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Thesis" sheetId="4" state="visible" r:id="rId6"/>
    <sheet name="Seg" sheetId="5" state="visible" r:id="rId7"/>
    <sheet name="PL" sheetId="6" state="visible" r:id="rId8"/>
    <sheet name="CF" sheetId="7" state="visible" r:id="rId9"/>
    <sheet name="Val" sheetId="8" state="visible" r:id="rId10"/>
    <sheet name="Recon" sheetId="9" state="visible" r:id="rId11"/>
    <sheet name="Sens" sheetId="10" state="visible" r:id="rId12"/>
    <sheet name="Sources" sheetId="11" state="visible" r:id="rId13"/>
  </sheets>
  <definedNames>
    <definedName function="false" hidden="false" name="ai_net_open" vbProcedure="false">In!$E$116</definedName>
    <definedName function="false" hidden="false" name="ai_net_open_hi" vbProcedure="false">In!$F$116</definedName>
    <definedName function="false" hidden="false" name="ai_net_open_lo" vbProcedure="false">In!$D$116</definedName>
    <definedName function="false" hidden="false" name="ai_runrate" vbProcedure="false">In!$E$170</definedName>
    <definedName function="false" hidden="false" name="al_fro" vbProcedure="false">In!$E$64</definedName>
    <definedName function="false" hidden="false" name="al_fro_hi" vbProcedure="false">In!$F$64</definedName>
    <definedName function="false" hidden="false" name="al_fro_lo" vbProcedure="false">In!$D$64</definedName>
    <definedName function="false" hidden="false" name="al_ind" vbProcedure="false">In!$E$63</definedName>
    <definedName function="false" hidden="false" name="al_ind_hi" vbProcedure="false">In!$F$63</definedName>
    <definedName function="false" hidden="false" name="al_ind_lo" vbProcedure="false">In!$D$63</definedName>
    <definedName function="false" hidden="false" name="al_lic" vbProcedure="false">In!$E$62</definedName>
    <definedName function="false" hidden="false" name="al_lic_hi" vbProcedure="false">In!$F$62</definedName>
    <definedName function="false" hidden="false" name="al_lic_lo" vbProcedure="false">In!$D$62</definedName>
    <definedName function="false" hidden="false" name="al_m365" vbProcedure="false">In!$E$61</definedName>
    <definedName function="false" hidden="false" name="al_m365_hi" vbProcedure="false">In!$F$61</definedName>
    <definedName function="false" hidden="false" name="al_m365_lo" vbProcedure="false">In!$D$61</definedName>
    <definedName function="false" hidden="false" name="al_srch" vbProcedure="false">In!$E$65</definedName>
    <definedName function="false" hidden="false" name="al_srch_hi" vbProcedure="false">In!$F$65</definedName>
    <definedName function="false" hidden="false" name="al_srch_lo" vbProcedure="false">In!$D$65</definedName>
    <definedName function="false" hidden="false" name="a_g3_27" vbProcedure="false">In!$E$100</definedName>
    <definedName function="false" hidden="false" name="a_g3_28" vbProcedure="false">In!$E$101</definedName>
    <definedName function="false" hidden="false" name="a_g3_29" vbProcedure="false">In!$E$102</definedName>
    <definedName function="false" hidden="false" name="bb_g" vbProcedure="false">In!$E$28</definedName>
    <definedName function="false" hidden="false" name="bb_g_hi" vbProcedure="false">In!$F$28</definedName>
    <definedName function="false" hidden="false" name="bb_g_lo" vbProcedure="false">In!$D$28</definedName>
    <definedName function="false" hidden="false" name="bb_target" vbProcedure="false">In!$E$27</definedName>
    <definedName function="false" hidden="false" name="beta" vbProcedure="false">In!$E$36</definedName>
    <definedName function="false" hidden="false" name="beta_hi" vbProcedure="false">In!$F$36</definedName>
    <definedName function="false" hidden="false" name="beta_lo" vbProcedure="false">In!$D$36</definedName>
    <definedName function="false" hidden="false" name="capex_floor27" vbProcedure="false">In!$E$117</definedName>
    <definedName function="false" hidden="false" name="cap_epoch" vbProcedure="false">In!$E$94</definedName>
    <definedName function="false" hidden="false" name="cash_open" vbProcedure="false">In!$E$10</definedName>
    <definedName function="false" hidden="false" name="chip_f" vbProcedure="false">In!$E$114</definedName>
    <definedName function="false" hidden="false" name="chip_f_hi" vbProcedure="false">In!$F$114</definedName>
    <definedName function="false" hidden="false" name="chip_f_lo" vbProcedure="false">In!$D$114</definedName>
    <definedName function="false" hidden="false" name="cons_cx27" vbProcedure="false">In!$E$157</definedName>
    <definedName function="false" hidden="false" name="cons_cx28" vbProcedure="false">In!$E$159</definedName>
    <definedName function="false" hidden="false" name="cons_cx29" vbProcedure="false">In!$E$161</definedName>
    <definedName function="false" hidden="false" name="cons_ebit27" vbProcedure="false">In!$E$156</definedName>
    <definedName function="false" hidden="false" name="cons_ebit28" vbProcedure="false">In!$E$158</definedName>
    <definedName function="false" hidden="false" name="cons_ebit29" vbProcedure="false">In!$E$160</definedName>
    <definedName function="false" hidden="false" name="cons_eps27" vbProcedure="false">In!$E$153</definedName>
    <definedName function="false" hidden="false" name="cons_eps27_hi" vbProcedure="false">In!$F$153</definedName>
    <definedName function="false" hidden="false" name="cons_eps27_lo" vbProcedure="false">In!$D$153</definedName>
    <definedName function="false" hidden="false" name="cons_eps28" vbProcedure="false">In!$E$162</definedName>
    <definedName function="false" hidden="false" name="cons_eps29" vbProcedure="false">In!$E$163</definedName>
    <definedName function="false" hidden="false" name="cons_rev27" vbProcedure="false">In!$E$152</definedName>
    <definedName function="false" hidden="false" name="cons_rev27_hi" vbProcedure="false">In!$F$152</definedName>
    <definedName function="false" hidden="false" name="cons_rev27_lo" vbProcedure="false">In!$D$152</definedName>
    <definedName function="false" hidden="false" name="cons_rev28" vbProcedure="false">In!$E$154</definedName>
    <definedName function="false" hidden="false" name="cons_rev29" vbProcedure="false">In!$E$155</definedName>
    <definedName function="false" hidden="false" name="cons_tp" vbProcedure="false">In!$E$151</definedName>
    <definedName function="false" hidden="false" name="cons_tp_hi" vbProcedure="false">In!$F$151</definedName>
    <definedName function="false" hidden="false" name="cons_tp_lo" vbProcedure="false">In!$D$151</definedName>
    <definedName function="false" hidden="false" name="cop_add_A" vbProcedure="false">In!$E$123</definedName>
    <definedName function="false" hidden="false" name="cop_add_B" vbProcedure="false">In!$E$124</definedName>
    <definedName function="false" hidden="false" name="cop_add_C" vbProcedure="false">In!$E$125</definedName>
    <definedName function="false" hidden="false" name="cop_px" vbProcedure="false">In!$E$122</definedName>
    <definedName function="false" hidden="false" name="cop_px_hi" vbProcedure="false">In!$F$122</definedName>
    <definedName function="false" hidden="false" name="cop_px_lo" vbProcedure="false">In!$D$122</definedName>
    <definedName function="false" hidden="false" name="cop_s24" vbProcedure="false">In!$E$119</definedName>
    <definedName function="false" hidden="false" name="cop_s25" vbProcedure="false">In!$E$120</definedName>
    <definedName function="false" hidden="false" name="cop_s26" vbProcedure="false">In!$E$121</definedName>
    <definedName function="false" hidden="false" name="cop_tail" vbProcedure="false">In!$E$126</definedName>
    <definedName function="false" hidden="false" name="cxit_open" vbProcedure="false">In!$E$103</definedName>
    <definedName function="false" hidden="false" name="cx_azo" vbProcedure="false">In!$E$144</definedName>
    <definedName function="false" hidden="false" name="cx_dev" vbProcedure="false">In!$E$149</definedName>
    <definedName function="false" hidden="false" name="cx_ind" vbProcedure="false">In!$E$147</definedName>
    <definedName function="false" hidden="false" name="cx_lic" vbProcedure="false">In!$E$146</definedName>
    <definedName function="false" hidden="false" name="cx_m365" vbProcedure="false">In!$E$145</definedName>
    <definedName function="false" hidden="false" name="cx_srch" vbProcedure="false">In!$E$148</definedName>
    <definedName function="false" hidden="false" name="debt_face" vbProcedure="false">In!$E$11</definedName>
    <definedName function="false" hidden="false" name="debt_mat_27" vbProcedure="false">In!$E$12</definedName>
    <definedName function="false" hidden="false" name="debt_mat_28" vbProcedure="false">In!$E$13</definedName>
    <definedName function="false" hidden="false" name="debt_mat_29" vbProcedure="false">In!$E$14</definedName>
    <definedName function="false" hidden="false" name="debt_mat_30" vbProcedure="false">In!$E$15</definedName>
    <definedName function="false" hidden="false" name="debt_mat_31" vbProcedure="false">In!$E$16</definedName>
    <definedName function="false" hidden="false" name="debt_mat_32" vbProcedure="false">In!$E$17</definedName>
    <definedName function="false" hidden="false" name="dil_gap" vbProcedure="false">In!$E$8</definedName>
    <definedName function="false" hidden="false" name="dm_seg" vbProcedure="false">In!$E$138</definedName>
    <definedName function="false" hidden="false" name="dm_seg_hi" vbProcedure="false">In!$F$138</definedName>
    <definedName function="false" hidden="false" name="dm_seg_lo" vbProcedure="false">In!$D$138</definedName>
    <definedName function="false" hidden="false" name="dps_27" vbProcedure="false">In!$E$32</definedName>
    <definedName function="false" hidden="false" name="dps_g" vbProcedure="false">In!$E$33</definedName>
    <definedName function="false" hidden="false" name="dps_g_hi" vbProcedure="false">In!$F$33</definedName>
    <definedName function="false" hidden="false" name="dps_g_lo" vbProcedure="false">In!$D$33</definedName>
    <definedName function="false" hidden="false" name="dps_q0" vbProcedure="false">In!$E$30</definedName>
    <definedName function="false" hidden="false" name="dps_q1" vbProcedure="false">In!$E$31</definedName>
    <definedName function="false" hidden="false" name="erp" vbProcedure="false">In!$E$37</definedName>
    <definedName function="false" hidden="false" name="ext_sh" vbProcedure="false">In!$E$95</definedName>
    <definedName function="false" hidden="false" name="ext_sh_hi" vbProcedure="false">In!$F$95</definedName>
    <definedName function="false" hidden="false" name="ext_sh_lo" vbProcedure="false">In!$D$95</definedName>
    <definedName function="false" hidden="false" name="fac_rent" vbProcedure="false">In!$E$83</definedName>
    <definedName function="false" hidden="false" name="fl_liab" vbProcedure="false">In!$E$18</definedName>
    <definedName function="false" hidden="false" name="fl_pay_27" vbProcedure="false">In!$E$20</definedName>
    <definedName function="false" hidden="false" name="fl_pay_28" vbProcedure="false">In!$E$21</definedName>
    <definedName function="false" hidden="false" name="fl_pay_29" vbProcedure="false">In!$E$22</definedName>
    <definedName function="false" hidden="false" name="fl_pay_30" vbProcedure="false">In!$E$23</definedName>
    <definedName function="false" hidden="false" name="fl_pay_31" vbProcedure="false">In!$E$24</definedName>
    <definedName function="false" hidden="false" name="fl_pay_32" vbProcedure="false">In!$E$25</definedName>
    <definedName function="false" hidden="false" name="fl_rate" vbProcedure="false">In!$E$19</definedName>
    <definedName function="false" hidden="false" name="glt_azo" vbProcedure="false">In!$E$129</definedName>
    <definedName function="false" hidden="false" name="glt_azo_hi" vbProcedure="false">In!$F$129</definedName>
    <definedName function="false" hidden="false" name="glt_azo_lo" vbProcedure="false">In!$D$129</definedName>
    <definedName function="false" hidden="false" name="glt_fro" vbProcedure="false">In!$E$133</definedName>
    <definedName function="false" hidden="false" name="glt_fro_hi" vbProcedure="false">In!$F$133</definedName>
    <definedName function="false" hidden="false" name="glt_fro_lo" vbProcedure="false">In!$D$133</definedName>
    <definedName function="false" hidden="false" name="glt_ind" vbProcedure="false">In!$E$132</definedName>
    <definedName function="false" hidden="false" name="glt_ind_hi" vbProcedure="false">In!$F$132</definedName>
    <definedName function="false" hidden="false" name="glt_ind_lo" vbProcedure="false">In!$D$132</definedName>
    <definedName function="false" hidden="false" name="glt_lic" vbProcedure="false">In!$E$131</definedName>
    <definedName function="false" hidden="false" name="glt_lic_hi" vbProcedure="false">In!$F$131</definedName>
    <definedName function="false" hidden="false" name="glt_lic_lo" vbProcedure="false">In!$D$131</definedName>
    <definedName function="false" hidden="false" name="glt_m365b" vbProcedure="false">In!$E$130</definedName>
    <definedName function="false" hidden="false" name="glt_m365b_hi" vbProcedure="false">In!$F$130</definedName>
    <definedName function="false" hidden="false" name="glt_m365b_lo" vbProcedure="false">In!$D$130</definedName>
    <definedName function="false" hidden="false" name="glt_srch" vbProcedure="false">In!$E$134</definedName>
    <definedName function="false" hidden="false" name="glt_srch_hi" vbProcedure="false">In!$F$134</definedName>
    <definedName function="false" hidden="false" name="glt_srch_lo" vbProcedure="false">In!$D$134</definedName>
    <definedName function="false" hidden="false" name="glt_win" vbProcedure="false">In!$E$136</definedName>
    <definedName function="false" hidden="false" name="glt_win_hi" vbProcedure="false">In!$F$136</definedName>
    <definedName function="false" hidden="false" name="glt_win_lo" vbProcedure="false">In!$D$136</definedName>
    <definedName function="false" hidden="false" name="glt_xbox" vbProcedure="false">In!$E$135</definedName>
    <definedName function="false" hidden="false" name="glt_xbox_hi" vbProcedure="false">In!$F$135</definedName>
    <definedName function="false" hidden="false" name="glt_xbox_lo" vbProcedure="false">In!$D$135</definedName>
    <definedName function="false" hidden="false" name="g_fy27_opm" vbProcedure="false">In!$E$169</definedName>
    <definedName function="false" hidden="false" name="g_q1_ai" vbProcedure="false">In!$E$165</definedName>
    <definedName function="false" hidden="false" name="g_q1_ai_hi" vbProcedure="false">In!$F$165</definedName>
    <definedName function="false" hidden="false" name="g_q1_ai_lo" vbProcedure="false">In!$D$165</definedName>
    <definedName function="false" hidden="false" name="g_q1_az" vbProcedure="false">In!$E$167</definedName>
    <definedName function="false" hidden="false" name="g_q1_az_hi" vbProcedure="false">In!$F$167</definedName>
    <definedName function="false" hidden="false" name="g_q1_az_lo" vbProcedure="false">In!$D$167</definedName>
    <definedName function="false" hidden="false" name="g_q1_cx" vbProcedure="false">In!$E$168</definedName>
    <definedName function="false" hidden="false" name="g_q1_dc" vbProcedure="false">In!$E$166</definedName>
    <definedName function="false" hidden="false" name="g_q1_dc_hi" vbProcedure="false">In!$F$166</definedName>
    <definedName function="false" hidden="false" name="g_q1_dc_lo" vbProcedure="false">In!$D$166</definedName>
    <definedName function="false" hidden="false" name="g_q1_rev" vbProcedure="false">In!$E$164</definedName>
    <definedName function="false" hidden="false" name="g_q1_rev_hi" vbProcedure="false">In!$F$164</definedName>
    <definedName function="false" hidden="false" name="g_q1_rev_lo" vbProcedure="false">In!$D$164</definedName>
    <definedName function="false" hidden="false" name="g_tv" vbProcedure="false">In!$E$42</definedName>
    <definedName function="false" hidden="false" name="g_tv_hi" vbProcedure="false">In!$F$42</definedName>
    <definedName function="false" hidden="false" name="g_tv_lo" vbProcedure="false">In!$D$42</definedName>
    <definedName function="false" hidden="false" name="kd" vbProcedure="false">In!$E$38</definedName>
    <definedName function="false" hidden="false" name="kd_hi" vbProcedure="false">In!$F$38</definedName>
    <definedName function="false" hidden="false" name="kd_lo" vbProcedure="false">In!$D$38</definedName>
    <definedName function="false" hidden="false" name="ke" vbProcedure="false">In!$E$40</definedName>
    <definedName function="false" hidden="false" name="k_A" vbProcedure="false">In!$E$111</definedName>
    <definedName function="false" hidden="false" name="k_B" vbProcedure="false">In!$E$112</definedName>
    <definedName function="false" hidden="false" name="k_C" vbProcedure="false">In!$E$113</definedName>
    <definedName function="false" hidden="false" name="k_long" vbProcedure="false">In!$E$106</definedName>
    <definedName function="false" hidden="false" name="k_spot" vbProcedure="false">In!$E$107</definedName>
    <definedName function="false" hidden="false" name="life_fac" vbProcedure="false">In!$E$82</definedName>
    <definedName function="false" hidden="false" name="life_it" vbProcedure="false">In!$E$81</definedName>
    <definedName function="false" hidden="false" name="life_it_hi" vbProcedure="false">In!$F$81</definedName>
    <definedName function="false" hidden="false" name="life_it_lo" vbProcedure="false">In!$D$81</definedName>
    <definedName function="false" hidden="false" name="life_nonai" vbProcedure="false">In!$E$143</definedName>
    <definedName function="false" hidden="false" name="life_nonai_hi" vbProcedure="false">In!$F$143</definedName>
    <definedName function="false" hidden="false" name="life_nonai_lo" vbProcedure="false">In!$D$143</definedName>
    <definedName function="false" hidden="false" name="liq_disc" vbProcedure="false">In!$E$52</definedName>
    <definedName function="false" hidden="false" name="liq_disc_hi" vbProcedure="false">In!$F$52</definedName>
    <definedName function="false" hidden="false" name="liq_disc_lo" vbProcedure="false">In!$D$52</definedName>
    <definedName function="false" hidden="false" name="ls_A" vbProcedure="false">In!$E$108</definedName>
    <definedName function="false" hidden="false" name="ls_B" vbProcedure="false">In!$E$109</definedName>
    <definedName function="false" hidden="false" name="ls_C" vbProcedure="false">In!$E$110</definedName>
    <definedName function="false" hidden="false" name="min_cash" vbProcedure="false">In!$E$26</definedName>
    <definedName function="false" hidden="false" name="min_cash_hi" vbProcedure="false">In!$F$26</definedName>
    <definedName function="false" hidden="false" name="min_cash_lo" vbProcedure="false">In!$D$26</definedName>
    <definedName function="false" hidden="false" name="mix_g2" vbProcedure="false">In!$E$98</definedName>
    <definedName function="false" hidden="false" name="mix_g3" vbProcedure="false">In!$E$99</definedName>
    <definedName function="false" hidden="false" name="mix_h" vbProcedure="false">In!$E$97</definedName>
    <definedName function="false" hidden="false" name="mw_ext_24" vbProcedure="false">In!$E$85</definedName>
    <definedName function="false" hidden="false" name="mw_ext_25" vbProcedure="false">In!$E$86</definedName>
    <definedName function="false" hidden="false" name="mw_ext_26" vbProcedure="false">In!$E$87</definedName>
    <definedName function="false" hidden="false" name="mw_ext_26_hi" vbProcedure="false">In!$F$87</definedName>
    <definedName function="false" hidden="false" name="mw_ext_26_lo" vbProcedure="false">In!$D$87</definedName>
    <definedName function="false" hidden="false" name="m_ads" vbProcedure="false">In!$E$57</definedName>
    <definedName function="false" hidden="false" name="m_ai" vbProcedure="false">In!$E$54</definedName>
    <definedName function="false" hidden="false" name="m_ai_hi" vbProcedure="false">In!$F$54</definedName>
    <definedName function="false" hidden="false" name="m_ai_lo" vbProcedure="false">In!$D$54</definedName>
    <definedName function="false" hidden="false" name="m_cloud" vbProcedure="false">In!$E$55</definedName>
    <definedName function="false" hidden="false" name="m_game" vbProcedure="false">In!$E$58</definedName>
    <definedName function="false" hidden="false" name="m_own" vbProcedure="false">In!$E$60</definedName>
    <definedName function="false" hidden="false" name="m_pc" vbProcedure="false">In!$E$59</definedName>
    <definedName function="false" hidden="false" name="m_sw" vbProcedure="false">In!$E$56</definedName>
    <definedName function="false" hidden="false" name="n_conv" vbProcedure="false">In!$E$128</definedName>
    <definedName function="false" hidden="false" name="oai_stake" vbProcedure="false">In!$E$50</definedName>
    <definedName function="false" hidden="false" name="oai_stake_hi" vbProcedure="false">In!$F$50</definedName>
    <definedName function="false" hidden="false" name="oai_v" vbProcedure="false">In!$E$53</definedName>
    <definedName function="false" hidden="false" name="oai_val" vbProcedure="false">In!$E$51</definedName>
    <definedName function="false" hidden="false" name="oie_f" vbProcedure="false">In!$E$139</definedName>
    <definedName function="false" hidden="false" name="oie_f_hi" vbProcedure="false">In!$F$139</definedName>
    <definedName function="false" hidden="false" name="oie_f_lo" vbProcedure="false">In!$D$139</definedName>
    <definedName function="false" hidden="false" name="old_dcf" vbProcedure="false">In!$E$173</definedName>
    <definedName function="false" hidden="false" name="old_ev" vbProcedure="false">In!$E$174</definedName>
    <definedName function="false" hidden="false" name="old_tp" vbProcedure="false">In!$E$172</definedName>
    <definedName function="false" hidden="false" name="old_tp_hi" vbProcedure="false">In!$F$172</definedName>
    <definedName function="false" hidden="false" name="old_tp_lo" vbProcedure="false">In!$D$172</definedName>
    <definedName function="false" hidden="false" name="old_w" vbProcedure="false">In!$E$175</definedName>
    <definedName function="false" hidden="false" name="pace" vbProcedure="false">In!$E$92</definedName>
    <definedName function="false" hidden="false" name="pace_epoch" vbProcedure="false">In!$E$93</definedName>
    <definedName function="false" hidden="false" name="px" vbProcedure="false">In!$E$5</definedName>
    <definedName function="false" hidden="false" name="p_long" vbProcedure="false">In!$E$104</definedName>
    <definedName function="false" hidden="false" name="p_spot" vbProcedure="false">In!$E$105</definedName>
    <definedName function="false" hidden="false" name="p_spot_hi" vbProcedure="false">In!$F$105</definedName>
    <definedName function="false" hidden="false" name="rent_ext_24" vbProcedure="false">In!$E$88</definedName>
    <definedName function="false" hidden="false" name="rent_ext_25" vbProcedure="false">In!$E$89</definedName>
    <definedName function="false" hidden="false" name="rent_ext_26" vbProcedure="false">In!$E$90</definedName>
    <definedName function="false" hidden="false" name="rent_ext_f" vbProcedure="false">In!$E$91</definedName>
    <definedName function="false" hidden="false" name="rent_mw" vbProcedure="false">In!$E$115</definedName>
    <definedName function="false" hidden="false" name="rf" vbProcedure="false">In!$E$35</definedName>
    <definedName function="false" hidden="false" name="ronic_prem" vbProcedure="false">In!$E$43</definedName>
    <definedName function="false" hidden="false" name="ronic_prem_hi" vbProcedure="false">In!$F$43</definedName>
    <definedName function="false" hidden="false" name="ronic_prem_lo" vbProcedure="false">In!$D$43</definedName>
    <definedName function="false" hidden="false" name="sbc_r" vbProcedure="false">In!$E$141</definedName>
    <definedName function="false" hidden="false" name="self_build" vbProcedure="false">In!$E$96</definedName>
    <definedName function="false" hidden="false" name="self_build_hi" vbProcedure="false">In!$F$96</definedName>
    <definedName function="false" hidden="false" name="self_build_lo" vbProcedure="false">In!$D$96</definedName>
    <definedName function="false" hidden="false" name="sh_basic26" vbProcedure="false">In!$E$7</definedName>
    <definedName function="false" hidden="false" name="sh_dil26" vbProcedure="false">In!$E$6</definedName>
    <definedName function="false" hidden="false" name="sh_iss" vbProcedure="false">In!$E$29</definedName>
    <definedName function="false" hidden="false" name="sh_iss_hi" vbProcedure="false">In!$F$29</definedName>
    <definedName function="false" hidden="false" name="sh_iss_lo" vbProcedure="false">In!$D$29</definedName>
    <definedName function="false" hidden="false" name="sh_out26" vbProcedure="false">In!$E$9</definedName>
    <definedName function="false" hidden="false" name="tax_f" vbProcedure="false">In!$E$140</definedName>
    <definedName function="false" hidden="false" name="tax_f_hi" vbProcedure="false">In!$F$140</definedName>
    <definedName function="false" hidden="false" name="tax_f_lo" vbProcedure="false">In!$D$140</definedName>
    <definedName function="false" hidden="false" name="tax_w" vbProcedure="false">In!$E$39</definedName>
    <definedName function="false" hidden="false" name="tk_cxfac" vbProcedure="false">In!$E$79</definedName>
    <definedName function="false" hidden="false" name="tk_cxit_gb200" vbProcedure="false">In!$E$72</definedName>
    <definedName function="false" hidden="false" name="tk_cxit_gb300" vbProcedure="false">In!$E$73</definedName>
    <definedName function="false" hidden="false" name="tk_cxit_h100" vbProcedure="false">In!$E$71</definedName>
    <definedName function="false" hidden="false" name="tk_cxit_vr200" vbProcedure="false">In!$E$74</definedName>
    <definedName function="false" hidden="false" name="tk_gpuhr_h100" vbProcedure="false">In!$E$80</definedName>
    <definedName function="false" hidden="false" name="tk_hold_gb200" vbProcedure="false">In!$E$68</definedName>
    <definedName function="false" hidden="false" name="tk_hold_gb300" vbProcedure="false">In!$E$69</definedName>
    <definedName function="false" hidden="false" name="tk_hold_h100" vbProcedure="false">In!$E$67</definedName>
    <definedName function="false" hidden="false" name="tk_hold_vr200" vbProcedure="false">In!$E$70</definedName>
    <definedName function="false" hidden="false" name="tk_opex_gb200" vbProcedure="false">In!$E$76</definedName>
    <definedName function="false" hidden="false" name="tk_opex_gb300" vbProcedure="false">In!$E$77</definedName>
    <definedName function="false" hidden="false" name="tk_opex_h100" vbProcedure="false">In!$E$75</definedName>
    <definedName function="false" hidden="false" name="tk_opex_vr200" vbProcedure="false">In!$E$78</definedName>
    <definedName function="false" hidden="false" name="t_roll" vbProcedure="false">In!$E$44</definedName>
    <definedName function="false" hidden="false" name="wacc" vbProcedure="false">In!$E$41</definedName>
    <definedName function="false" hidden="false" name="wc27" vbProcedure="false">In!$E$142</definedName>
    <definedName function="false" hidden="false" name="w_A" vbProcedure="false">In!$E$47</definedName>
    <definedName function="false" hidden="false" name="w_B" vbProcedure="false">In!$E$48</definedName>
    <definedName function="false" hidden="false" name="w_C" vbProcedure="false">In!$E$49</definedName>
    <definedName function="false" hidden="false" name="w_dcf" vbProcedure="false">In!$E$46</definedName>
    <definedName function="false" hidden="false" name="w_dcf_hi" vbProcedure="false">In!$F$46</definedName>
    <definedName function="false" hidden="false" name="w_dcf_lo" vbProcedure="false">In!$D$46</definedName>
    <definedName function="false" hidden="false" name="w_ntm28" vbProcedure="false">In!$E$45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<sst xmlns="http://schemas.openxmlformats.org/spreadsheetml/2006/main" count="31251" uniqueCount="1497">
  <si>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）個股模型 </t>
    </r>
    <r>
      <rPr>
        <sz val="11"/>
        <color theme="1"/>
        <rFont val="Calibri"/>
        <family val="2"/>
        <charset val="1"/>
      </rPr>
      <t xml:space="preserve">v0.3 — </t>
    </r>
    <r>
      <rPr>
        <sz val="11"/>
        <color theme="1"/>
        <rFont val="Noto Sans CJK SC"/>
        <family val="2"/>
      </rPr>
      <t xml:space="preserve">命題＋官方營收分部 → 損益表（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；資料截至 </t>
    </r>
    <r>
      <rPr>
        <sz val="11"/>
        <color theme="1"/>
        <rFont val="Calibri"/>
        <family val="2"/>
        <charset val="1"/>
      </rPr>
      <t xml:space="preserve">FY26Q4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未納入）</t>
    </r>
  </si>
  <si>
    <r>
      <rPr>
        <sz val="11"/>
        <color theme="1"/>
        <rFont val="Noto Sans CJK SC"/>
        <family val="2"/>
      </rPr>
      <t xml:space="preserve">工作表：</t>
    </r>
    <r>
      <rPr>
        <sz val="11"/>
        <color theme="1"/>
        <rFont val="Calibri"/>
        <family val="2"/>
        <charset val="1"/>
      </rPr>
      <t xml:space="preserve">README → In → Q → Thesis → Seg → PL → CF → Val → Recon → Sens → Sources</t>
    </r>
    <r>
      <rPr>
        <sz val="11"/>
        <color theme="1"/>
        <rFont val="Noto Sans CJK SC"/>
        <family val="2"/>
      </rPr>
      <t xml:space="preserve">。金額十億美元；財年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月結束（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</si>
  <si>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能否同時在 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（算力）與 </t>
    </r>
    <r>
      <rPr>
        <sz val="11"/>
        <color theme="1"/>
        <rFont val="Calibri"/>
        <family val="2"/>
        <charset val="1"/>
      </rPr>
      <t xml:space="preserve">Microsoft 365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應用）變現，撐住翻倍的資本支出。</t>
    </r>
  </si>
  <si>
    <r>
      <rPr>
        <sz val="11"/>
        <color theme="1"/>
        <rFont val="Noto Sans CJK SC"/>
        <family val="2"/>
      </rPr>
      <t xml:space="preserve">核心問題：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增量營業利益能否覆蓋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資本支出的資金成本（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），且自由現金流不需停止回購。</t>
    </r>
  </si>
  <si>
    <t xml:space="preserve">驅動 → 推導對照表（每頁輸入、推導量、因果方向）</t>
  </si>
  <si>
    <t xml:space="preserve">頁</t>
  </si>
  <si>
    <r>
      <rPr>
        <b val="true"/>
        <sz val="11"/>
        <rFont val="Noto Sans CJK SC"/>
        <family val="2"/>
      </rPr>
      <t xml:space="preserve">輸入（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頁鍵）</t>
    </r>
  </si>
  <si>
    <t xml:space="preserve">推導量</t>
  </si>
  <si>
    <t xml:space="preserve">因果方向</t>
  </si>
  <si>
    <r>
      <rPr>
        <b val="true"/>
        <sz val="11"/>
        <rFont val="Noto Sans CJK SC"/>
        <family val="2"/>
      </rPr>
      <t xml:space="preserve">基準值（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，情境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</si>
  <si>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t xml:space="preserve">Thesis</t>
  </si>
  <si>
    <r>
      <rPr>
        <sz val="11"/>
        <color theme="1"/>
        <rFont val="Calibri"/>
        <family val="2"/>
        <charset val="1"/>
      </rPr>
      <t xml:space="preserve">pace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mw_ext_26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ext_sh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rent_ext_f</t>
    </r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</si>
  <si>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、自有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（含自用）</t>
    </r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</si>
  <si>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越多 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營收↑、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資本支出與折舊↑</t>
    </r>
  </si>
  <si>
    <r>
      <rPr>
        <sz val="11"/>
        <color theme="1"/>
        <rFont val="Calibri"/>
        <family val="2"/>
        <charset val="1"/>
      </rPr>
      <t xml:space="preserve">tk_hold_*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p_long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p_spot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ls_*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</si>
  <si>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</t>
    </r>
    <r>
      <rPr>
        <sz val="11"/>
        <color theme="1"/>
        <rFont val="Calibri"/>
        <family val="2"/>
        <charset val="1"/>
      </rPr>
      <t xml:space="preserve">US$M/MW-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</si>
  <si>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越高 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EBITDA↑</t>
    </r>
    <r>
      <rPr>
        <sz val="11"/>
        <color theme="1"/>
        <rFont val="Noto Sans CJK SC"/>
        <family val="2"/>
      </rPr>
      <t xml:space="preserve">（三情境主要差異）</t>
    </r>
  </si>
  <si>
    <r>
      <rPr>
        <sz val="11"/>
        <color theme="1"/>
        <rFont val="Calibri"/>
        <family val="2"/>
        <charset val="1"/>
      </rPr>
      <t xml:space="preserve">tk_cxit_*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tk_cxfac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self_build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capex_floor27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life_it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</si>
  <si>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</si>
  <si>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Noto Sans CJK SC"/>
        <family val="2"/>
      </rPr>
      <t xml:space="preserve">資本支出 → 折舊 →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營業利益↓；→ 自由現金流↓</t>
    </r>
  </si>
  <si>
    <t xml:space="preserve">Seg</t>
  </si>
  <si>
    <r>
      <rPr>
        <sz val="11"/>
        <color theme="1"/>
        <rFont val="Calibri"/>
        <family val="2"/>
        <charset val="1"/>
      </rPr>
      <t xml:space="preserve">cop_s26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cop_add_*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cop_px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</si>
  <si>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M365 cloud </t>
    </r>
    <r>
      <rPr>
        <sz val="11"/>
        <color theme="1"/>
        <rFont val="Noto Sans CJK SC"/>
        <family val="2"/>
      </rPr>
      <t xml:space="preserve">子列）</t>
    </r>
  </si>
  <si>
    <r>
      <rPr>
        <sz val="11"/>
        <color theme="1"/>
        <rFont val="Noto Sans CJK SC"/>
        <family val="2"/>
      </rPr>
      <t xml:space="preserve">座席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月費 → </t>
    </r>
    <r>
      <rPr>
        <sz val="11"/>
        <color theme="1"/>
        <rFont val="Calibri"/>
        <family val="2"/>
        <charset val="1"/>
      </rPr>
      <t xml:space="preserve">M365 cloud↑</t>
    </r>
  </si>
  <si>
    <r>
      <rPr>
        <sz val="11"/>
        <color theme="1"/>
        <rFont val="Calibri"/>
        <family val="2"/>
        <charset val="1"/>
      </rPr>
      <t xml:space="preserve">glt_*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n_conv</t>
    </r>
  </si>
  <si>
    <t xml:space="preserve">非命題產品線營收</t>
  </si>
  <si>
    <t xml:space="preserve">近一年年增收斂到長期值</t>
  </si>
  <si>
    <t xml:space="preserve">PL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</si>
  <si>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校準）、</t>
    </r>
    <r>
      <rPr>
        <sz val="11"/>
        <color theme="1"/>
        <rFont val="Calibri"/>
        <family val="2"/>
        <charset val="1"/>
      </rPr>
      <t xml:space="preserve">dm_seg</t>
    </r>
  </si>
  <si>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核心利益率、分部營業利益</t>
    </r>
  </si>
  <si>
    <r>
      <rPr>
        <sz val="11"/>
        <color theme="1"/>
        <rFont val="Noto Sans CJK SC"/>
        <family val="2"/>
      </rPr>
      <t xml:space="preserve">核心利益率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（分部 −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Azure AI − AI </t>
    </r>
    <r>
      <rPr>
        <sz val="11"/>
        <color theme="1"/>
        <rFont val="Noto Sans CJK SC"/>
        <family val="2"/>
      </rPr>
      <t xml:space="preserve">成本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</si>
  <si>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tax_f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oie_f</t>
    </r>
  </si>
  <si>
    <r>
      <rPr>
        <sz val="11"/>
        <color theme="1"/>
        <rFont val="Noto Sans CJK SC"/>
        <family val="2"/>
      </rPr>
      <t xml:space="preserve">淨利、</t>
    </r>
    <r>
      <rPr>
        <sz val="11"/>
        <color theme="1"/>
        <rFont val="Calibri"/>
        <family val="2"/>
        <charset val="1"/>
      </rPr>
      <t xml:space="preserve">EPS</t>
    </r>
  </si>
  <si>
    <t xml:space="preserve">—</t>
  </si>
  <si>
    <t xml:space="preserve">CF</t>
  </si>
  <si>
    <r>
      <rPr>
        <sz val="11"/>
        <color theme="1"/>
        <rFont val="Calibri"/>
        <family val="2"/>
        <charset val="1"/>
      </rPr>
      <t xml:space="preserve">sbc_r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wc27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fl_pay_*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bb_target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dps_*</t>
    </r>
  </si>
  <si>
    <t xml:space="preserve">自由現金流、回購、舉債、股數</t>
  </si>
  <si>
    <t xml:space="preserve">自由現金流扣股利 → 回購（不足先減）→ 舉債</t>
  </si>
  <si>
    <t xml:space="preserve">Val</t>
  </si>
  <si>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erp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g_tv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w_*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</si>
  <si>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、加權目標價</t>
    </r>
  </si>
  <si>
    <r>
      <rPr>
        <sz val="11"/>
        <color theme="1"/>
        <rFont val="Calibri"/>
        <family val="2"/>
        <charset val="1"/>
      </rPr>
      <t xml:space="preserve">WACC↑ → DCF↓</t>
    </r>
    <r>
      <rPr>
        <sz val="11"/>
        <color theme="1"/>
        <rFont val="Noto Sans CJK SC"/>
        <family val="2"/>
      </rPr>
      <t xml:space="preserve">；倍數↑ → </t>
    </r>
    <r>
      <rPr>
        <sz val="11"/>
        <color theme="1"/>
        <rFont val="Calibri"/>
        <family val="2"/>
        <charset val="1"/>
      </rPr>
      <t xml:space="preserve">SOTP↑</t>
    </r>
  </si>
  <si>
    <t xml:space="preserve">結果摘要（三情境）</t>
  </si>
  <si>
    <t xml:space="preserve">項目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</si>
  <si>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</si>
  <si>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</si>
  <si>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</t>
    </r>
  </si>
  <si>
    <t xml:space="preserve">說明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</si>
  <si>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</si>
  <si>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</si>
  <si>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</si>
  <si>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</si>
  <si>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</si>
  <si>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 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</si>
  <si>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</si>
  <si>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FY2029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</si>
  <si>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</si>
  <si>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的差異：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架構（對外 </t>
    </r>
    <r>
      <rPr>
        <sz val="11"/>
        <color theme="1"/>
        <rFont val="Calibri"/>
        <family val="2"/>
        <charset val="1"/>
      </rPr>
      <t xml:space="preserve">AI 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收入＋其餘業務成長率線、融資瀑布）；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改為官方兩分部、八條產品線，命題只驅動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兩條子列，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資本支出經折舊進分部營業利益；評價改 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SOTP 50%</t>
    </r>
    <r>
      <rPr>
        <sz val="11"/>
        <color theme="1"/>
        <rFont val="Noto Sans CJK SC"/>
        <family val="2"/>
      </rPr>
      <t xml:space="preserve">、情境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。拆解見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節。</t>
    </r>
  </si>
  <si>
    <r>
      <rPr>
        <sz val="11"/>
        <color theme="1"/>
        <rFont val="Noto Sans CJK SC"/>
        <family val="2"/>
      </rPr>
      <t xml:space="preserve">已知限制：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、對外比例、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營收與座席歷史、產品線利潤公司皆未揭露（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，給區間）；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）未納入，將以 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滾入；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v21.4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</si>
  <si>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建置：</t>
    </r>
    <r>
      <rPr>
        <sz val="11"/>
        <color theme="1"/>
        <rFont val="Calibri"/>
        <family val="2"/>
        <charset val="1"/>
      </rPr>
      <t xml:space="preserve">python3 microsoft/build_microsoft.py raw.xlsx → soffice --headless --calc --convert-to xlsx → microsoft/dist/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python3 tools/company_html/build_company_html.py microsoft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</si>
  <si>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輸入（藍字＝輸入、黑字＝由其他輸入推得）。基準欄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；金額十億美元（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關鍵電力。標記：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一律給區間</t>
    </r>
  </si>
  <si>
    <r>
      <rPr>
        <sz val="11"/>
        <color theme="1"/>
        <rFont val="Noto Sans CJK SC"/>
        <family val="2"/>
      </rPr>
      <t xml:space="preserve">「沿用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」＝</t>
    </r>
    <r>
      <rPr>
        <sz val="11"/>
        <color theme="1"/>
        <rFont val="Calibri"/>
        <family val="2"/>
        <charset val="1"/>
      </rPr>
      <t xml:space="preserve">MAG 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PR #105</t>
    </r>
    <r>
      <rPr>
        <sz val="11"/>
        <color theme="1"/>
        <rFont val="Noto Sans CJK SC"/>
        <family val="2"/>
      </rPr>
      <t xml:space="preserve">）已核准的參數與證據，原出處見來源欄；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一手數字取自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v0.1a </t>
    </r>
    <r>
      <rPr>
        <sz val="11"/>
        <color theme="1"/>
        <rFont val="Noto Sans CJK SC"/>
        <family val="2"/>
      </rPr>
      <t xml:space="preserve">起的事實總帳）</t>
    </r>
  </si>
  <si>
    <t xml:space="preserve">鍵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</si>
  <si>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</si>
  <si>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</si>
  <si>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</si>
  <si>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</si>
  <si>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</si>
  <si>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</si>
  <si>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</si>
  <si>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股價、股數與資本結構（評價日 </t>
    </r>
    <r>
      <rPr>
        <b val="true"/>
        <sz val="11"/>
        <rFont val="Cambria"/>
        <family val="0"/>
        <charset val="1"/>
      </rPr>
      <t xml:space="preserve">2026-06-30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年底；目標價時點＝今日 </t>
    </r>
    <r>
      <rPr>
        <b val="true"/>
        <sz val="11"/>
        <rFont val="Cambria"/>
        <family val="0"/>
        <charset val="1"/>
      </rPr>
      <t xml:space="preserve">2026-10-27 </t>
    </r>
    <r>
      <rPr>
        <b val="true"/>
        <sz val="11"/>
        <rFont val="Noto Sans CJK SC"/>
        <family val="2"/>
      </rPr>
      <t xml:space="preserve">後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個月）</t>
    </r>
  </si>
  <si>
    <t xml:space="preserve">px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</si>
  <si>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</si>
  <si>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t xml:space="preserve">US$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</si>
  <si>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</si>
  <si>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https://stockanalysis.com/stocks/msft/statistics/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532.60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+8.09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+1.54%</t>
    </r>
    <r>
      <rPr>
        <sz val="11"/>
        <color theme="1"/>
        <rFont val="Noto Sans CJK SC"/>
        <family val="2"/>
      </rPr>
      <t xml:space="preserve">；擷取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</si>
  <si>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524.51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stockscan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bullfincher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10-26 </t>
    </r>
    <r>
      <rPr>
        <sz val="11"/>
        <color theme="1"/>
        <rFont val="Noto Sans CJK SC"/>
        <family val="2"/>
      </rPr>
      <t xml:space="preserve">漲 </t>
    </r>
    <r>
      <rPr>
        <sz val="11"/>
        <color theme="1"/>
        <rFont val="Calibri"/>
        <family val="2"/>
        <charset val="1"/>
      </rPr>
      <t xml:space="preserve">8.09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532.60</t>
    </r>
    <r>
      <rPr>
        <sz val="11"/>
        <color theme="1"/>
        <rFont val="Noto Sans CJK SC"/>
        <family val="2"/>
      </rPr>
      <t xml:space="preserve">，兩來源一致</t>
    </r>
  </si>
  <si>
    <t xml:space="preserve">sh_dil26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</si>
  <si>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稀釋加權股數</t>
    </r>
  </si>
  <si>
    <t xml:space="preserve">十億股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</si>
  <si>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is.sharesDilW.fy2026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</si>
  <si>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每股（評價日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）的分母</t>
    </r>
  </si>
  <si>
    <t xml:space="preserve">sh_basic26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</si>
  <si>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基本加權股數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</si>
  <si>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is.sharesBasicW.fy2026</t>
    </r>
  </si>
  <si>
    <t xml:space="preserve">dil_gap</t>
  </si>
  <si>
    <t xml:space="preserve">稀釋與基本股數差</t>
  </si>
  <si>
    <t xml:space="preserve">Derived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</si>
  <si>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稀釋 − 基本</t>
    </r>
  </si>
  <si>
    <t xml:space="preserve">預測期稀釋股數＝期間平均流通股數＋此差額</t>
  </si>
  <si>
    <t xml:space="preserve">sh_out26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</si>
  <si>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</si>
  <si>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sh.out.fy2026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）</t>
    </r>
  </si>
  <si>
    <t xml:space="preserve">cash_open</t>
  </si>
  <si>
    <r>
      <rPr>
        <sz val="11"/>
        <color theme="1"/>
        <rFont val="Noto Sans CJK SC"/>
        <family val="2"/>
      </rPr>
      <t xml:space="preserve">現金與短期投資（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</si>
  <si>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</si>
  <si>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bs.cashSti.fy2026</t>
    </r>
  </si>
  <si>
    <t xml:space="preserve">debt_face</t>
  </si>
  <si>
    <r>
      <rPr>
        <sz val="11"/>
        <color theme="1"/>
        <rFont val="Noto Sans CJK SC"/>
        <family val="2"/>
      </rPr>
      <t xml:space="preserve">債務面額（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</si>
  <si>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debt.face.fy2026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</si>
  <si>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帳面值 </t>
    </r>
    <r>
      <rPr>
        <sz val="11"/>
        <color theme="1"/>
        <rFont val="Calibri"/>
        <family val="2"/>
        <charset val="1"/>
      </rPr>
      <t xml:space="preserve">40.294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與淨現金用面額</t>
    </r>
  </si>
  <si>
    <t xml:space="preserve">debt_mat_27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</si>
  <si>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</si>
  <si>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debt.maturity.fy2027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</si>
  <si>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debt_mat_28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</si>
  <si>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</si>
  <si>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debt.maturity.fy2028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</si>
  <si>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debt_mat_29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</si>
  <si>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</si>
  <si>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debt.maturity.fy2029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</si>
  <si>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debt_mat_30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</si>
  <si>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FY2030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</si>
  <si>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debt.maturity.fy2030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</si>
  <si>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debt_mat_31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</si>
  <si>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FY2031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</si>
  <si>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debt.maturity.fy2031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</si>
  <si>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debt_mat_32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</si>
  <si>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FY2032</t>
    </r>
  </si>
  <si>
    <t xml:space="preserve">Assumed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</si>
  <si>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｜到期表只列 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以後合計 </t>
    </r>
    <r>
      <rPr>
        <sz val="11"/>
        <color theme="1"/>
        <rFont val="Calibri"/>
        <family val="2"/>
        <charset val="1"/>
      </rPr>
      <t xml:space="preserve">34.385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</t>
    </r>
  </si>
  <si>
    <t xml:space="preserve">fl_liab</t>
  </si>
  <si>
    <r>
      <rPr>
        <sz val="11"/>
        <color theme="1"/>
        <rFont val="Noto Sans CJK SC"/>
        <family val="2"/>
      </rPr>
      <t xml:space="preserve">融資租賃負債（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，在帳）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</si>
  <si>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lease.finLiab.fy2026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</si>
  <si>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在帳融資租賃的資產已在過去的資本支出（公司口徑）內，其本金在預測期照付（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</t>
    </r>
  </si>
  <si>
    <t xml:space="preserve">fl_rate</t>
  </si>
  <si>
    <t xml:space="preserve">融資租賃加權利率</t>
  </si>
  <si>
    <t xml:space="preserve">%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</si>
  <si>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lease.wtdRate.fin</t>
    </r>
  </si>
  <si>
    <t xml:space="preserve">fl_pay_27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</si>
  <si>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</si>
  <si>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lease.maturity.fin.fy2027</t>
    </r>
  </si>
  <si>
    <t xml:space="preserve">fl_pay_28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</si>
  <si>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</si>
  <si>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lease.maturity.fin.fy2028</t>
    </r>
  </si>
  <si>
    <t xml:space="preserve">fl_pay_29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</si>
  <si>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</si>
  <si>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lease.maturity.fin.fy2029</t>
    </r>
  </si>
  <si>
    <t xml:space="preserve">fl_pay_30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</si>
  <si>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</si>
  <si>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lease.maturity.fin.fy2030</t>
    </r>
  </si>
  <si>
    <t xml:space="preserve">fl_pay_31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</si>
  <si>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FY2031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</si>
  <si>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lease.maturity.fin.fy2031</t>
    </r>
  </si>
  <si>
    <t xml:space="preserve">fl_pay_32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</si>
  <si>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</si>
  <si>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FY2031</t>
    </r>
    <r>
      <rPr>
        <sz val="11"/>
        <color theme="1"/>
        <rFont val="Noto Sans CJK SC"/>
        <family val="2"/>
      </rPr>
      <t xml:space="preserve">（之後合計 </t>
    </r>
    <r>
      <rPr>
        <sz val="11"/>
        <color theme="1"/>
        <rFont val="Calibri"/>
        <family val="2"/>
        <charset val="1"/>
      </rPr>
      <t xml:space="preserve">55.490 </t>
    </r>
    <r>
      <rPr>
        <sz val="11"/>
        <color theme="1"/>
        <rFont val="Noto Sans CJK SC"/>
        <family val="2"/>
      </rPr>
      <t xml:space="preserve">分多年）</t>
    </r>
  </si>
  <si>
    <t xml:space="preserve">min_cash</t>
  </si>
  <si>
    <t xml:space="preserve">最低現金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</si>
  <si>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defaults.minCash 50</t>
    </r>
    <r>
      <rPr>
        <sz val="11"/>
        <color theme="1"/>
        <rFont val="Noto Sans CJK SC"/>
        <family val="2"/>
      </rPr>
      <t xml:space="preserve">）</t>
    </r>
  </si>
  <si>
    <t xml:space="preserve">低於此水準先停回購、再舉債</t>
  </si>
  <si>
    <t xml:space="preserve">bb_target</t>
  </si>
  <si>
    <t xml:space="preserve">回購目標（每年）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</si>
  <si>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cf.buyback.fy2026</t>
    </r>
    <r>
      <rPr>
        <sz val="11"/>
        <color theme="1"/>
        <rFont val="Noto Sans CJK SC"/>
        <family val="2"/>
      </rPr>
      <t xml:space="preserve">（含員工扣稅買回 </t>
    </r>
    <r>
      <rPr>
        <sz val="11"/>
        <color theme="1"/>
        <rFont val="Calibri"/>
        <family val="2"/>
        <charset val="1"/>
      </rPr>
      <t xml:space="preserve">5.6</t>
    </r>
    <r>
      <rPr>
        <sz val="11"/>
        <color theme="1"/>
        <rFont val="Noto Sans CJK SC"/>
        <family val="2"/>
      </rPr>
      <t xml:space="preserve">）</t>
    </r>
  </si>
  <si>
    <t xml:space="preserve">現金不足時先減回購</t>
  </si>
  <si>
    <t xml:space="preserve">bb_g</t>
  </si>
  <si>
    <t xml:space="preserve">回購價格年增（以現價起算）</t>
  </si>
  <si>
    <t xml:space="preserve">無：約等於股東權益成本扣股利率</t>
  </si>
  <si>
    <t xml:space="preserve">只影響股數</t>
  </si>
  <si>
    <t xml:space="preserve">sh_iss</t>
  </si>
  <si>
    <t xml:space="preserve">員工股票發行（每年）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</si>
  <si>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回購約 </t>
    </r>
    <r>
      <rPr>
        <sz val="11"/>
        <color theme="1"/>
        <rFont val="Calibri"/>
        <family val="2"/>
        <charset val="1"/>
      </rPr>
      <t xml:space="preserve">0.048 </t>
    </r>
    <r>
      <rPr>
        <sz val="11"/>
        <color theme="1"/>
        <rFont val="Noto Sans CJK SC"/>
        <family val="2"/>
      </rPr>
      <t xml:space="preserve">十億股（計畫 </t>
    </r>
    <r>
      <rPr>
        <sz val="11"/>
        <color theme="1"/>
        <rFont val="Calibri"/>
        <family val="2"/>
        <charset val="1"/>
      </rPr>
      <t xml:space="preserve">0.036</t>
    </r>
    <r>
      <rPr>
        <sz val="11"/>
        <color theme="1"/>
        <rFont val="Noto Sans CJK SC"/>
        <family val="2"/>
      </rPr>
      <t xml:space="preserve">＋扣稅買回 </t>
    </r>
    <r>
      <rPr>
        <sz val="11"/>
        <color theme="1"/>
        <rFont val="Calibri"/>
        <family val="2"/>
        <charset val="1"/>
      </rPr>
      <t xml:space="preserve">5.6 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470 </t>
    </r>
    <r>
      <rPr>
        <sz val="11"/>
        <color theme="1"/>
        <rFont val="Noto Sans CJK SC"/>
        <family val="2"/>
      </rPr>
      <t xml:space="preserve">美元），基本加權股數 </t>
    </r>
    <r>
      <rPr>
        <sz val="11"/>
        <color theme="1"/>
        <rFont val="Calibri"/>
        <family val="2"/>
        <charset val="1"/>
      </rPr>
      <t xml:space="preserve">7.433 → 7.429 </t>
    </r>
    <r>
      <rPr>
        <sz val="11"/>
        <color theme="1"/>
        <rFont val="Noto Sans CJK SC"/>
        <family val="2"/>
      </rPr>
      <t xml:space="preserve">幾乎不變 → 發行約 </t>
    </r>
    <r>
      <rPr>
        <sz val="11"/>
        <color theme="1"/>
        <rFont val="Calibri"/>
        <family val="2"/>
        <charset val="1"/>
      </rPr>
      <t xml:space="preserve">0.045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</si>
  <si>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</si>
  <si>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dps_q0</t>
  </si>
  <si>
    <r>
      <rPr>
        <sz val="11"/>
        <color theme="1"/>
        <rFont val="Noto Sans CJK SC"/>
        <family val="2"/>
      </rPr>
      <t xml:space="preserve">每季股利（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第一季付，舊額）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</si>
  <si>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sh.dps.fy2026</t>
    </r>
    <r>
      <rPr>
        <sz val="11"/>
        <color theme="1"/>
        <rFont val="Noto Sans CJK SC"/>
        <family val="2"/>
      </rPr>
      <t xml:space="preserve">（每季 </t>
    </r>
    <r>
      <rPr>
        <sz val="11"/>
        <color theme="1"/>
        <rFont val="Calibri"/>
        <family val="2"/>
        <charset val="1"/>
      </rPr>
      <t xml:space="preserve">0.91</t>
    </r>
    <r>
      <rPr>
        <sz val="11"/>
        <color theme="1"/>
        <rFont val="Noto Sans CJK SC"/>
        <family val="2"/>
      </rPr>
      <t xml:space="preserve">）</t>
    </r>
  </si>
  <si>
    <t xml:space="preserve">dps_q1</t>
  </si>
  <si>
    <r>
      <rPr>
        <sz val="11"/>
        <color theme="1"/>
        <rFont val="Noto Sans CJK SC"/>
        <family val="2"/>
      </rPr>
      <t xml:space="preserve">每季股利（</t>
    </r>
    <r>
      <rPr>
        <sz val="11"/>
        <color theme="1"/>
        <rFont val="Calibri"/>
        <family val="2"/>
        <charset val="1"/>
      </rPr>
      <t xml:space="preserve">2026-09-15 </t>
    </r>
    <r>
      <rPr>
        <sz val="11"/>
        <color theme="1"/>
        <rFont val="Noto Sans CJK SC"/>
        <family val="2"/>
      </rPr>
      <t xml:space="preserve">宣告，新額）</t>
    </r>
  </si>
  <si>
    <t xml:space="preserve">Interested-party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</si>
  <si>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sh.dpsQ.fy27q1</t>
    </r>
  </si>
  <si>
    <t xml:space="preserve">dps_27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</si>
  <si>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每股股利（付現）</t>
    </r>
  </si>
  <si>
    <t xml:space="preserve">第一季付舊額、其後三季付新額</t>
  </si>
  <si>
    <t xml:space="preserve">dps_g</t>
  </si>
  <si>
    <r>
      <rPr>
        <sz val="11"/>
        <color theme="1"/>
        <rFont val="Noto Sans CJK SC"/>
        <family val="2"/>
      </rPr>
      <t xml:space="preserve">每股股利年增（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</si>
  <si>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defaults.dividend.growth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宣告 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</si>
  <si>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折現率與評價參數（</t>
    </r>
    <r>
      <rPr>
        <b val="true"/>
        <sz val="11"/>
        <rFont val="Cambria"/>
        <family val="0"/>
        <charset val="1"/>
      </rPr>
      <t xml:space="preserve">WACC </t>
    </r>
    <r>
      <rPr>
        <b val="true"/>
        <sz val="11"/>
        <rFont val="Noto Sans CJK SC"/>
        <family val="2"/>
      </rPr>
      <t xml:space="preserve">沿用 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CAPM </t>
    </r>
    <r>
      <rPr>
        <b val="true"/>
        <sz val="11"/>
        <rFont val="Noto Sans CJK SC"/>
        <family val="2"/>
      </rPr>
      <t xml:space="preserve">輸入；權重為 </t>
    </r>
    <r>
      <rPr>
        <b val="true"/>
        <sz val="11"/>
        <rFont val="Cambria"/>
        <family val="0"/>
        <charset val="1"/>
      </rPr>
      <t xml:space="preserve">[</t>
    </r>
    <r>
      <rPr>
        <b val="true"/>
        <sz val="11"/>
        <rFont val="Noto Sans CJK SC"/>
        <family val="2"/>
      </rPr>
      <t xml:space="preserve">判斷</t>
    </r>
    <r>
      <rPr>
        <b val="true"/>
        <sz val="11"/>
        <rFont val="Cambria"/>
        <family val="0"/>
        <charset val="1"/>
      </rPr>
      <t xml:space="preserve">] </t>
    </r>
    <r>
      <rPr>
        <b val="true"/>
        <sz val="11"/>
        <rFont val="Noto Sans CJK SC"/>
        <family val="2"/>
      </rPr>
      <t xml:space="preserve">預設，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</si>
  <si>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rf</t>
  </si>
  <si>
    <r>
      <rPr>
        <sz val="11"/>
        <color theme="1"/>
        <rFont val="Noto Sans CJK SC"/>
        <family val="2"/>
      </rPr>
      <t xml:space="preserve">無風險利率（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年美債，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</si>
  <si>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val.ust10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U.S. Treasury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</si>
  <si>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</t>
    </r>
  </si>
  <si>
    <t xml:space="preserve">beta</t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</si>
  <si>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（獨立來源平均）</t>
    </r>
  </si>
  <si>
    <t xml:space="preserve">x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</si>
  <si>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val.beta.avg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5 </t>
    </r>
    <r>
      <rPr>
        <sz val="11"/>
        <color theme="1"/>
        <rFont val="Noto Sans CJK SC"/>
        <family val="2"/>
      </rPr>
      <t xml:space="preserve">年月 </t>
    </r>
    <r>
      <rPr>
        <sz val="11"/>
        <color theme="1"/>
        <rFont val="Calibri"/>
        <family val="2"/>
        <charset val="1"/>
      </rPr>
      <t xml:space="preserve">1.10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GuruFocus 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1.1741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C13</t>
    </r>
    <r>
      <rPr>
        <sz val="11"/>
        <color theme="1"/>
        <rFont val="Noto Sans CJK SC"/>
        <family val="2"/>
      </rPr>
      <t xml:space="preserve">）</t>
    </r>
  </si>
  <si>
    <t xml:space="preserve">erp</t>
  </si>
  <si>
    <t xml:space="preserve">股權風險溢酬</t>
  </si>
  <si>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對照表 </t>
    </r>
    <r>
      <rPr>
        <sz val="11"/>
        <color theme="1"/>
        <rFont val="Calibri"/>
        <family val="2"/>
        <charset val="1"/>
      </rPr>
      <t xml:space="preserve">r1 5.10</t>
    </r>
  </si>
  <si>
    <t xml:space="preserve">kd</t>
  </si>
  <si>
    <r>
      <rPr>
        <sz val="11"/>
        <color theme="1"/>
        <rFont val="Noto Sans CJK SC"/>
        <family val="2"/>
      </rPr>
      <t xml:space="preserve">稅前債務成本（</t>
    </r>
    <r>
      <rPr>
        <sz val="11"/>
        <color theme="1"/>
        <rFont val="Calibri"/>
        <family val="2"/>
        <charset val="1"/>
      </rPr>
      <t xml:space="preserve">Moody's Aaa </t>
    </r>
    <r>
      <rPr>
        <sz val="11"/>
        <color theme="1"/>
        <rFont val="Noto Sans CJK SC"/>
        <family val="2"/>
      </rPr>
      <t xml:space="preserve">類比）</t>
    </r>
  </si>
  <si>
    <t xml:space="preserve">Analogy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</si>
  <si>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val.kd.aaa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FRED DAAA 2026-10-06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</si>
  <si>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MSFT </t>
    </r>
    <r>
      <rPr>
        <sz val="11"/>
        <color theme="1"/>
        <rFont val="Noto Sans CJK SC"/>
        <family val="2"/>
      </rPr>
      <t xml:space="preserve">個別長債殖利率找不到</t>
    </r>
  </si>
  <si>
    <t xml:space="preserve">tax_w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</si>
  <si>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用稅率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</si>
  <si>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guid.fy27.etr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</si>
  <si>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ke</t>
  </si>
  <si>
    <r>
      <rPr>
        <sz val="11"/>
        <color theme="1"/>
        <rFont val="Noto Sans CJK SC"/>
        <family val="2"/>
      </rPr>
      <t xml:space="preserve">股東權益成本（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</si>
  <si>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rf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β × ERP</t>
    </r>
  </si>
  <si>
    <t xml:space="preserve">wacc</t>
  </si>
  <si>
    <t xml:space="preserve">WACC</t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</si>
  <si>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(D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E) × ke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(D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E) × kd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流通股數、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＝債務面額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</si>
  <si>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10.90%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529.76</t>
    </r>
    <r>
      <rPr>
        <sz val="11"/>
        <color theme="1"/>
        <rFont val="Noto Sans CJK SC"/>
        <family val="2"/>
      </rPr>
      <t xml:space="preserve">）</t>
    </r>
  </si>
  <si>
    <t xml:space="preserve">g_tv</t>
  </si>
  <si>
    <r>
      <rPr>
        <sz val="11"/>
        <color theme="1"/>
        <rFont val="Noto Sans CJK SC"/>
        <family val="2"/>
      </rPr>
      <t xml:space="preserve">永續成長率（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</si>
  <si>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20261027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節：</t>
    </r>
    <r>
      <rPr>
        <sz val="11"/>
        <color theme="1"/>
        <rFont val="Calibri"/>
        <family val="2"/>
        <charset val="1"/>
      </rPr>
      <t xml:space="preserve">g 3%</t>
    </r>
  </si>
  <si>
    <t xml:space="preserve">Sens ±1pt</t>
  </si>
  <si>
    <t xml:space="preserve">ronic_prem</t>
  </si>
  <si>
    <r>
      <rPr>
        <sz val="11"/>
        <color theme="1"/>
        <rFont val="Noto Sans CJK SC"/>
        <family val="2"/>
      </rPr>
      <t xml:space="preserve">永續期新投資報酬 − </t>
    </r>
    <r>
      <rPr>
        <sz val="11"/>
        <color theme="1"/>
        <rFont val="Calibri"/>
        <family val="2"/>
        <charset val="1"/>
      </rPr>
      <t xml:space="preserve">WACC</t>
    </r>
  </si>
  <si>
    <t xml:space="preserve">pt</t>
  </si>
  <si>
    <t xml:space="preserve">無：永續期新投資只賺資金成本（成長不創造價值）</t>
  </si>
  <si>
    <r>
      <rPr>
        <sz val="11"/>
        <color theme="1"/>
        <rFont val="Noto Sans CJK SC"/>
        <family val="2"/>
      </rPr>
      <t xml:space="preserve">永續期自由現金流＝</t>
    </r>
    <r>
      <rPr>
        <sz val="11"/>
        <color theme="1"/>
        <rFont val="Calibri"/>
        <family val="2"/>
        <charset val="1"/>
      </rPr>
      <t xml:space="preserve">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</t>
    </r>
    <r>
      <rPr>
        <sz val="11"/>
        <color theme="1"/>
        <rFont val="Noto Sans CJK SC"/>
        <family val="2"/>
      </rPr>
      <t xml:space="preserve">新投資報酬）；替代口徑（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））見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判斷預設表</t>
    </r>
  </si>
  <si>
    <t xml:space="preserve">t_roll</t>
  </si>
  <si>
    <t xml:space="preserve">評價日 → 目標價時點（年）</t>
  </si>
  <si>
    <t xml:space="preserve">年</t>
  </si>
  <si>
    <r>
      <rPr>
        <sz val="11"/>
        <color theme="1"/>
        <rFont val="Calibri"/>
        <family val="2"/>
        <charset val="1"/>
      </rPr>
      <t xml:space="preserve">2026-06-30 → 2027-10-27</t>
    </r>
    <r>
      <rPr>
        <sz val="11"/>
        <color theme="1"/>
        <rFont val="Noto Sans CJK SC"/>
        <family val="2"/>
      </rPr>
      <t xml:space="preserve">（今日後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</si>
  <si>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推到目標價時點（已決定事項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沿用）</t>
    </r>
  </si>
  <si>
    <t xml:space="preserve">w_ntm28</t>
  </si>
  <si>
    <r>
      <rPr>
        <sz val="11"/>
        <color theme="1"/>
        <rFont val="Noto Sans CJK SC"/>
        <family val="2"/>
      </rPr>
      <t xml:space="preserve">目標價時點的未來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個月中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的比重</t>
    </r>
  </si>
  <si>
    <r>
      <rPr>
        <sz val="11"/>
        <color theme="1"/>
        <rFont val="Calibri"/>
        <family val="2"/>
        <charset val="1"/>
      </rPr>
      <t xml:space="preserve">2027-10-27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0.68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0.32</t>
    </r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</si>
  <si>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NTM EBITDA</t>
    </r>
  </si>
  <si>
    <t xml:space="preserve">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</si>
  <si>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的權重（其餘為分部加總 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</si>
  <si>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預設：工作單 </t>
    </r>
    <r>
      <rPr>
        <sz val="11"/>
        <color theme="1"/>
        <rFont val="Calibri"/>
        <family val="2"/>
        <charset val="1"/>
      </rPr>
      <t xml:space="preserve">20261027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節（與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各半一致；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在分部層做）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</si>
  <si>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</si>
  <si>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w_A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</si>
  <si>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</si>
  <si>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預設：工作單 </t>
    </r>
    <r>
      <rPr>
        <sz val="11"/>
        <color theme="1"/>
        <rFont val="Calibri"/>
        <family val="2"/>
        <charset val="1"/>
      </rPr>
      <t xml:space="preserve">20261027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</si>
  <si>
    <t xml:space="preserve">w_B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</si>
  <si>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</si>
  <si>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w_C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</si>
  <si>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</si>
  <si>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oai_stake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</si>
  <si>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持股比例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</si>
  <si>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oai.stake.fy2026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</si>
  <si>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oai.stake.recap</t>
    </r>
    <r>
      <rPr>
        <sz val="11"/>
        <color theme="1"/>
        <rFont val="Noto Sans CJK SC"/>
        <family val="2"/>
      </rPr>
      <t xml:space="preserve">：重組時約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FY26Q1</t>
    </r>
    <r>
      <rPr>
        <sz val="11"/>
        <color theme="1"/>
        <rFont val="Noto Sans CJK SC"/>
        <family val="2"/>
      </rPr>
      <t xml:space="preserve">）</t>
    </r>
  </si>
  <si>
    <t xml:space="preserve">oai_val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</si>
  <si>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最近一輪投後估值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</si>
  <si>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oai.valuation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結案，募資 </t>
    </r>
    <r>
      <rPr>
        <sz val="11"/>
        <color theme="1"/>
        <rFont val="Calibri"/>
        <family val="2"/>
        <charset val="1"/>
      </rPr>
      <t xml:space="preserve">122</t>
    </r>
    <r>
      <rPr>
        <sz val="11"/>
        <color theme="1"/>
        <rFont val="Noto Sans CJK SC"/>
        <family val="2"/>
      </rPr>
      <t xml:space="preserve">）</t>
    </r>
  </si>
  <si>
    <t xml:space="preserve">新創自報估值</t>
  </si>
  <si>
    <t xml:space="preserve">liq_disc</t>
  </si>
  <si>
    <t xml:space="preserve">未上市持股流動性折價</t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</si>
  <si>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20261027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20%</t>
    </r>
  </si>
  <si>
    <t xml:space="preserve">oai_v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</si>
  <si>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持股價值（扣折價）</t>
    </r>
  </si>
  <si>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折價）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</si>
  <si>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持股比例未揭露 → 不估值（資料缺口）</t>
    </r>
  </si>
  <si>
    <t xml:space="preserve">m_ai</t>
  </si>
  <si>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NTM EBITDA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</si>
  <si>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valuation.evEbitda 6×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</si>
  <si>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基礎設施租賃同業（</t>
    </r>
    <r>
      <rPr>
        <sz val="11"/>
        <color theme="1"/>
        <rFont val="Calibri"/>
        <family val="2"/>
        <charset val="1"/>
      </rPr>
      <t xml:space="preserve">CRWV TTM 25×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</t>
    </r>
    <r>
      <rPr>
        <sz val="11"/>
        <color theme="1"/>
        <rFont val="Noto Sans CJK SC"/>
        <family val="2"/>
      </rPr>
      <t xml:space="preserve">不具意義、</t>
    </r>
    <r>
      <rPr>
        <sz val="11"/>
        <color theme="1"/>
        <rFont val="Calibri"/>
        <family val="2"/>
        <charset val="1"/>
      </rPr>
      <t xml:space="preserve">ORCL NTM 9.5×</t>
    </r>
    <r>
      <rPr>
        <sz val="11"/>
        <color theme="1"/>
        <rFont val="Noto Sans CJK SC"/>
        <family val="2"/>
      </rPr>
      <t xml:space="preserve">）口徑不一，沿用 </t>
    </r>
    <r>
      <rPr>
        <sz val="11"/>
        <color theme="1"/>
        <rFont val="Calibri"/>
        <family val="2"/>
        <charset val="1"/>
      </rPr>
      <t xml:space="preserve">v0.2.2</t>
    </r>
  </si>
  <si>
    <t xml:space="preserve">m_cloud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</si>
  <si>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雲端倍數（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其他）</t>
    </r>
  </si>
  <si>
    <r>
      <rPr>
        <sz val="11"/>
        <color theme="1"/>
        <rFont val="Calibri"/>
        <family val="2"/>
        <charset val="1"/>
      </rPr>
      <t xml:space="preserve">microsoft/data/peers_cloud_20261008.json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AKAM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EQIX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DOCN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C12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</si>
  <si>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收盤</t>
    </r>
  </si>
  <si>
    <t xml:space="preserve">m_sw</t>
  </si>
  <si>
    <r>
      <rPr>
        <sz val="11"/>
        <color theme="1"/>
        <rFont val="Noto Sans CJK SC"/>
        <family val="2"/>
      </rPr>
      <t xml:space="preserve">企業軟體倍數（</t>
    </r>
    <r>
      <rPr>
        <sz val="11"/>
        <color theme="1"/>
        <rFont val="Calibri"/>
        <family val="2"/>
        <charset val="1"/>
      </rPr>
      <t xml:space="preserve">M365 cloud</t>
    </r>
    <r>
      <rPr>
        <sz val="11"/>
        <color theme="1"/>
        <rFont val="Noto Sans CJK SC"/>
        <family val="2"/>
      </rPr>
      <t xml:space="preserve">、授權、產業、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</si>
  <si>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val.peer.sw.*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ORCL 9.54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SAP 15.02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CRM 10.80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ADBE 6.60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NOW 20.65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）</t>
    </r>
  </si>
  <si>
    <t xml:space="preserve">2026-10-07</t>
  </si>
  <si>
    <t xml:space="preserve">m_ads</t>
  </si>
  <si>
    <r>
      <rPr>
        <sz val="11"/>
        <color theme="1"/>
        <rFont val="Noto Sans CJK SC"/>
        <family val="2"/>
      </rPr>
      <t xml:space="preserve">數位廣告倍數（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</si>
  <si>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microsoft/data/peers_ads_20261009.json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PINS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TTD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APP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RDDT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SNAP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C18</t>
    </r>
    <r>
      <rPr>
        <sz val="11"/>
        <color theme="1"/>
        <rFont val="Noto Sans CJK SC"/>
        <family val="2"/>
      </rPr>
      <t xml:space="preserve">）</t>
    </r>
  </si>
  <si>
    <t xml:space="preserve">m_game</t>
  </si>
  <si>
    <r>
      <rPr>
        <sz val="11"/>
        <color theme="1"/>
        <rFont val="Noto Sans CJK SC"/>
        <family val="2"/>
      </rPr>
      <t xml:space="preserve">遊戲倍數（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</si>
  <si>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val.peer.game.*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TTWO 50.9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NTDOY 12.63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NTES 8.23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找不到）</t>
    </r>
  </si>
  <si>
    <t xml:space="preserve">2026-10-08</t>
  </si>
  <si>
    <t xml:space="preserve">m_pc</t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</si>
  <si>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／裝置倍數（</t>
    </r>
    <r>
      <rPr>
        <sz val="11"/>
        <color theme="1"/>
        <rFont val="Calibri"/>
        <family val="2"/>
        <charset val="1"/>
      </rPr>
      <t xml:space="preserve">Windows OEM and devices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</si>
  <si>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val.peer.pc.*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HPQ 7.6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DELL 22.1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 14.47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</t>
    </r>
  </si>
  <si>
    <t xml:space="preserve">m_own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</si>
  <si>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NTM 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（對照）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</si>
  <si>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val.msft.ownNtm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</si>
  <si>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只用於判斷預設替代（非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各線改用自身倍數）</t>
    </r>
  </si>
  <si>
    <t xml:space="preserve">al_m365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</si>
  <si>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</si>
  <si>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alloc.oiMargin</t>
    </r>
    <r>
      <rPr>
        <sz val="11"/>
        <color theme="1"/>
        <rFont val="Noto Sans CJK SC"/>
        <family val="2"/>
      </rPr>
      <t xml:space="preserve">（公司不揭露產品線利潤）；沿用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</si>
  <si>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 </t>
    </r>
    <r>
      <rPr>
        <sz val="11"/>
        <color theme="1"/>
        <rFont val="Calibri"/>
        <family val="2"/>
        <charset val="1"/>
      </rPr>
      <t xml:space="preserve">PBP </t>
    </r>
    <r>
      <rPr>
        <sz val="11"/>
        <color theme="1"/>
        <rFont val="Noto Sans CJK SC"/>
        <family val="2"/>
      </rPr>
      <t xml:space="preserve">分部 </t>
    </r>
    <r>
      <rPr>
        <sz val="11"/>
        <color theme="1"/>
        <rFont val="Calibri"/>
        <family val="2"/>
        <charset val="1"/>
      </rPr>
      <t xml:space="preserve">FY2026 59.9% </t>
    </r>
    <r>
      <rPr>
        <sz val="11"/>
        <color theme="1"/>
        <rFont val="Noto Sans CJK SC"/>
        <family val="2"/>
      </rPr>
      <t xml:space="preserve">類比；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</si>
  <si>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t xml:space="preserve">al_lic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</si>
  <si>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</si>
  <si>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地端授權毛利高、銷售費用低；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</si>
  <si>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t xml:space="preserve">al_ind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</si>
  <si>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</si>
  <si>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Dynamics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LinkedIn </t>
    </r>
    <r>
      <rPr>
        <sz val="11"/>
        <color theme="1"/>
        <rFont val="Noto Sans CJK SC"/>
        <family val="2"/>
      </rPr>
      <t xml:space="preserve">等；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</si>
  <si>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t xml:space="preserve">al_fro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</si>
  <si>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</si>
  <si>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含支援服務；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</si>
  <si>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t xml:space="preserve">al_srch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</si>
  <si>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</si>
  <si>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—；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</si>
  <si>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r>
      <rPr>
        <b val="true"/>
        <sz val="11"/>
        <rFont val="Cambria"/>
        <family val="0"/>
        <charset val="1"/>
      </rPr>
      <t xml:space="preserve">C. Tokenomics v21.4 </t>
    </r>
    <r>
      <rPr>
        <b val="true"/>
        <sz val="11"/>
        <rFont val="Noto Sans CJK SC"/>
        <family val="2"/>
      </rPr>
      <t xml:space="preserve">快照（</t>
    </r>
    <r>
      <rPr>
        <b val="true"/>
        <sz val="11"/>
        <rFont val="Cambria"/>
        <family val="0"/>
        <charset val="1"/>
      </rPr>
      <t xml:space="preserve">microsoft/data/tokenomics_snapshot_v21.4.json</t>
    </r>
    <r>
      <rPr>
        <b val="true"/>
        <sz val="11"/>
        <rFont val="Noto Sans CJK SC"/>
        <family val="2"/>
      </rPr>
      <t xml:space="preserve">；基準成本欄；每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關鍵電力；沿用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，本版不升級）</t>
    </r>
  </si>
  <si>
    <t xml:space="preserve">tk_hold_h100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</si>
  <si>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打平）</t>
    </r>
  </si>
  <si>
    <r>
      <rPr>
        <sz val="11"/>
        <color theme="1"/>
        <rFont val="Calibri"/>
        <family val="2"/>
        <charset val="1"/>
      </rPr>
      <t xml:space="preserve">US$M/MW-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</si>
  <si>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Tokenomics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</t>
    </r>
  </si>
  <si>
    <t xml:space="preserve">基準成本欄</t>
  </si>
  <si>
    <t xml:space="preserve">tk_hold_gb200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</si>
  <si>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打平）</t>
    </r>
  </si>
  <si>
    <t xml:space="preserve">tk_hold_gb300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</si>
  <si>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打平）</t>
    </r>
  </si>
  <si>
    <t xml:space="preserve">tk_hold_vr200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</si>
  <si>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打平）</t>
    </r>
  </si>
  <si>
    <t xml:space="preserve">tk_cxit_h100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</si>
  <si>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</si>
  <si>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US$M/MW</t>
  </si>
  <si>
    <t xml:space="preserve">tk_cxit_gb200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</si>
  <si>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</si>
  <si>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tk_cxit_gb300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</si>
  <si>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</si>
  <si>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tk_cxit_vr200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</si>
  <si>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</si>
  <si>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tk_opex_h100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</si>
  <si>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年營運成本）</t>
    </r>
  </si>
  <si>
    <t xml:space="preserve">電力、維護、人員、稅保</t>
  </si>
  <si>
    <t xml:space="preserve">tk_opex_gb200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</si>
  <si>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年營運成本）</t>
    </r>
  </si>
  <si>
    <t xml:space="preserve">tk_opex_gb300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</si>
  <si>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年營運成本）</t>
    </r>
  </si>
  <si>
    <t xml:space="preserve">tk_opex_vr200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</si>
  <si>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年營運成本）</t>
    </r>
  </si>
  <si>
    <t xml:space="preserve">tk_cxfac</t>
  </si>
  <si>
    <r>
      <rPr>
        <sz val="11"/>
        <color theme="1"/>
        <rFont val="Calibri"/>
        <family val="2"/>
        <charset val="1"/>
      </rPr>
      <t xml:space="preserve">IF_CapexFacility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機房資本支出）</t>
    </r>
  </si>
  <si>
    <t xml:space="preserve">各世代相同</t>
  </si>
  <si>
    <t xml:space="preserve">tk_gpuhr_h100</t>
  </si>
  <si>
    <r>
      <rPr>
        <sz val="11"/>
        <color theme="1"/>
        <rFont val="Calibri"/>
        <family val="2"/>
        <charset val="1"/>
      </rPr>
      <t xml:space="preserve">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小時打平價）</t>
    </r>
  </si>
  <si>
    <t xml:space="preserve">US$/GPU-hr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</si>
  <si>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現貨的分母</t>
    </r>
  </si>
  <si>
    <t xml:space="preserve">life_it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</si>
  <si>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折舊年限（</t>
    </r>
    <r>
      <rPr>
        <sz val="11"/>
        <color theme="1"/>
        <rFont val="Calibri"/>
        <family val="2"/>
        <charset val="1"/>
      </rPr>
      <t xml:space="preserve">IF_DeprLifeIT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</si>
  <si>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伺服器與網路設備 </t>
    </r>
    <r>
      <rPr>
        <sz val="11"/>
        <color theme="1"/>
        <rFont val="Calibri"/>
        <family val="2"/>
        <charset val="1"/>
      </rPr>
      <t xml:space="preserve">2–6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pl.usefulLife.servers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</si>
  <si>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±1 </t>
    </r>
    <r>
      <rPr>
        <sz val="11"/>
        <color theme="1"/>
        <rFont val="Noto Sans CJK SC"/>
        <family val="2"/>
      </rPr>
      <t xml:space="preserve">年</t>
    </r>
  </si>
  <si>
    <t xml:space="preserve">life_fac</t>
  </si>
  <si>
    <t xml:space="preserve">機房折舊年限</t>
  </si>
  <si>
    <r>
      <rPr>
        <sz val="11"/>
        <color theme="1"/>
        <rFont val="Calibri"/>
        <family val="2"/>
        <charset val="1"/>
      </rPr>
      <t xml:space="preserve">Tokenomics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IF_CapexFacility ÷ IF_DeprFac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</si>
  <si>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起建物 </t>
    </r>
    <r>
      <rPr>
        <sz val="11"/>
        <color theme="1"/>
        <rFont val="Calibri"/>
        <family val="2"/>
        <charset val="1"/>
      </rPr>
      <t xml:space="preserve">15 → 25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guid.usefulLife</t>
    </r>
    <r>
      <rPr>
        <sz val="11"/>
        <color theme="1"/>
        <rFont val="Noto Sans CJK SC"/>
        <family val="2"/>
      </rPr>
      <t xml:space="preserve">）</t>
    </r>
  </si>
  <si>
    <t xml:space="preserve">fac_rent</t>
  </si>
  <si>
    <r>
      <rPr>
        <sz val="11"/>
        <color theme="1"/>
        <rFont val="Noto Sans CJK SC"/>
        <family val="2"/>
      </rPr>
      <t xml:space="preserve">租用機房每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年租金（資本回收年金）</t>
    </r>
  </si>
  <si>
    <r>
      <rPr>
        <sz val="11"/>
        <color theme="1"/>
        <rFont val="Calibri"/>
        <family val="2"/>
        <charset val="1"/>
      </rPr>
      <t xml:space="preserve">IF_CapexFacility × </t>
    </r>
    <r>
      <rPr>
        <sz val="11"/>
        <color theme="1"/>
        <rFont val="Noto Sans CJK SC"/>
        <family val="2"/>
      </rPr>
      <t xml:space="preserve">年金因子（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經濟 </t>
    </r>
    <r>
      <rPr>
        <sz val="11"/>
        <color theme="1"/>
        <rFont val="Calibri"/>
        <family val="2"/>
        <charset val="1"/>
      </rPr>
      <t xml:space="preserve">WACC 10%</t>
    </r>
    <r>
      <rPr>
        <sz val="11"/>
        <color theme="1"/>
        <rFont val="Noto Sans CJK SC"/>
        <family val="2"/>
      </rPr>
      <t xml:space="preserve">、機房年限）</t>
    </r>
  </si>
  <si>
    <r>
      <rPr>
        <sz val="11"/>
        <color theme="1"/>
        <rFont val="Calibri"/>
        <family val="2"/>
        <charset val="1"/>
      </rPr>
      <t xml:space="preserve">C22</t>
    </r>
    <r>
      <rPr>
        <sz val="11"/>
        <color theme="1"/>
        <rFont val="Noto Sans CJK SC"/>
        <family val="2"/>
      </rPr>
      <t xml:space="preserve">：租用機房的租金計入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</si>
  <si>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命題模組：</t>
    </r>
    <r>
      <rPr>
        <b val="true"/>
        <sz val="11"/>
        <rFont val="Cambria"/>
        <family val="0"/>
        <charset val="1"/>
      </rPr>
      <t xml:space="preserve">AI MW</t>
    </r>
    <r>
      <rPr>
        <b val="true"/>
        <sz val="11"/>
        <rFont val="Noto Sans CJK SC"/>
        <family val="2"/>
      </rPr>
      <t xml:space="preserve">、對外比例、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（沿用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；不以 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營收、</t>
    </r>
    <r>
      <rPr>
        <b val="true"/>
        <sz val="11"/>
        <rFont val="Cambria"/>
        <family val="0"/>
        <charset val="1"/>
      </rPr>
      <t xml:space="preserve">RPO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AI run-rate </t>
    </r>
    <r>
      <rPr>
        <b val="true"/>
        <sz val="11"/>
        <rFont val="Noto Sans CJK SC"/>
        <family val="2"/>
      </rPr>
      <t xml:space="preserve">反推）</t>
    </r>
  </si>
  <si>
    <t xml:space="preserve">mw_ext_24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</si>
  <si>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年底，含租用）</t>
    </r>
  </si>
  <si>
    <t xml:space="preserve">MW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</si>
  <si>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v0.2.2 defaults.mwYearEnd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</si>
  <si>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（不存在）</t>
    </r>
  </si>
  <si>
    <t xml:space="preserve">mw_ext_25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</si>
  <si>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年底，含租用）</t>
    </r>
  </si>
  <si>
    <t xml:space="preserve">mw_ext_26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</si>
  <si>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年底，含租用）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</si>
  <si>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）｜三法交叉：自有在役 </t>
    </r>
    <r>
      <rPr>
        <sz val="11"/>
        <color theme="1"/>
        <rFont val="Calibri"/>
        <family val="2"/>
        <charset val="1"/>
      </rPr>
      <t xml:space="preserve">AI 4,500 ×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1,100 × 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split.extMW</t>
    </r>
    <r>
      <rPr>
        <sz val="11"/>
        <color theme="1"/>
        <rFont val="Noto Sans CJK SC"/>
        <family val="2"/>
      </rPr>
      <t xml:space="preserve">）</t>
    </r>
  </si>
  <si>
    <t xml:space="preserve">rent_ext_24</t>
  </si>
  <si>
    <r>
      <rPr>
        <sz val="11"/>
        <color theme="1"/>
        <rFont val="Noto Sans CJK SC"/>
        <family val="2"/>
      </rPr>
      <t xml:space="preserve">其中租用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</si>
  <si>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CoreWeave 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62%–67% </t>
    </r>
    <r>
      <rPr>
        <sz val="11"/>
        <color theme="1"/>
        <rFont val="Noto Sans CJK SC"/>
        <family val="2"/>
      </rPr>
      <t xml:space="preserve">來自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nc.crwv.*</t>
    </r>
    <r>
      <rPr>
        <sz val="11"/>
        <color theme="1"/>
        <rFont val="Noto Sans CJK SC"/>
        <family val="2"/>
      </rPr>
      <t xml:space="preserve">）推估</t>
    </r>
  </si>
  <si>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收入照算，不計資本支出與折舊（</t>
    </r>
    <r>
      <rPr>
        <sz val="11"/>
        <color theme="1"/>
        <rFont val="Calibri"/>
        <family val="2"/>
        <charset val="1"/>
      </rPr>
      <t xml:space="preserve">C20</t>
    </r>
    <r>
      <rPr>
        <sz val="11"/>
        <color theme="1"/>
        <rFont val="Noto Sans CJK SC"/>
        <family val="2"/>
      </rPr>
      <t xml:space="preserve">）</t>
    </r>
  </si>
  <si>
    <t xml:space="preserve">rent_ext_25</t>
  </si>
  <si>
    <r>
      <rPr>
        <sz val="11"/>
        <color theme="1"/>
        <rFont val="Noto Sans CJK SC"/>
        <family val="2"/>
      </rPr>
      <t xml:space="preserve">其中租用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年底）</t>
    </r>
  </si>
  <si>
    <t xml:space="preserve">rent_ext_26</t>
  </si>
  <si>
    <r>
      <rPr>
        <sz val="11"/>
        <color theme="1"/>
        <rFont val="Noto Sans CJK SC"/>
        <family val="2"/>
      </rPr>
      <t xml:space="preserve">其中租用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</si>
  <si>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capexModel.rentedExt</t>
    </r>
    <r>
      <rPr>
        <sz val="11"/>
        <color theme="1"/>
        <rFont val="Noto Sans CJK SC"/>
        <family val="2"/>
      </rPr>
      <t xml:space="preserve">：期初 </t>
    </r>
    <r>
      <rPr>
        <sz val="11"/>
        <color theme="1"/>
        <rFont val="Calibri"/>
        <family val="2"/>
        <charset val="1"/>
      </rPr>
      <t xml:space="preserve">550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1,100 ×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</si>
  <si>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t xml:space="preserve">rent_ext_f</t>
  </si>
  <si>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</si>
  <si>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rentedExt.path</t>
    </r>
    <r>
      <rPr>
        <sz val="11"/>
        <color theme="1"/>
        <rFont val="Noto Sans CJK SC"/>
        <family val="2"/>
      </rPr>
      <t xml:space="preserve">：加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205.5</t>
    </r>
    <r>
      <rPr>
        <sz val="11"/>
        <color theme="1"/>
        <rFont val="Noto Sans CJK SC"/>
        <family val="2"/>
      </rPr>
      <t xml:space="preserve">；到期以相同條件續約）</t>
    </r>
  </si>
  <si>
    <t xml:space="preserve">pace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</si>
  <si>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每年新增（三情境相同）</t>
    </r>
  </si>
  <si>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</si>
  <si>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：由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204.2 </t>
    </r>
    <r>
      <rPr>
        <sz val="11"/>
        <color theme="1"/>
        <rFont val="Noto Sans CJK SC"/>
        <family val="2"/>
      </rPr>
      <t xml:space="preserve">解出，</t>
    </r>
    <r>
      <rPr>
        <sz val="11"/>
        <color theme="1"/>
        <rFont val="Calibri"/>
        <family val="2"/>
        <charset val="1"/>
      </rPr>
      <t xml:space="preserve">scripts/calib_pace.js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</si>
  <si>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工作單：情境差異集中在命題的變現驅動；替代（保守＝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 </t>
    </r>
    <r>
      <rPr>
        <sz val="11"/>
        <color theme="1"/>
        <rFont val="Calibri"/>
        <family val="2"/>
        <charset val="1"/>
      </rPr>
      <t xml:space="preserve">650</t>
    </r>
    <r>
      <rPr>
        <sz val="11"/>
        <color theme="1"/>
        <rFont val="Noto Sans CJK SC"/>
        <family val="2"/>
      </rPr>
      <t xml:space="preserve">／年）見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判斷預設表</t>
    </r>
  </si>
  <si>
    <t xml:space="preserve">pace_epoch</t>
  </si>
  <si>
    <r>
      <rPr>
        <sz val="11"/>
        <color theme="1"/>
        <rFont val="Noto Sans CJK SC"/>
        <family val="2"/>
      </rPr>
      <t xml:space="preserve">替代：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可辨識站點速度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</si>
  <si>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scenarios.mwPath.pace.low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Fairwater Wisconsin 369 → 2,263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</si>
  <si>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上限 </t>
    </r>
    <r>
      <rPr>
        <sz val="11"/>
        <color theme="1"/>
        <rFont val="Calibri"/>
        <family val="2"/>
        <charset val="1"/>
      </rPr>
      <t xml:space="preserve">cap_epoch</t>
    </r>
  </si>
  <si>
    <t xml:space="preserve">cap_epoch</t>
  </si>
  <si>
    <r>
      <rPr>
        <sz val="11"/>
        <color theme="1"/>
        <rFont val="Noto Sans CJK SC"/>
        <family val="2"/>
      </rPr>
      <t xml:space="preserve">替代：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可辨識站點上限</t>
    </r>
  </si>
  <si>
    <t xml:space="preserve">ext_sh</t>
  </si>
  <si>
    <r>
      <rPr>
        <sz val="11"/>
        <color theme="1"/>
        <rFont val="Noto Sans CJK SC"/>
        <family val="2"/>
      </rPr>
      <t xml:space="preserve">對外比例（對外 </t>
    </r>
    <r>
      <rPr>
        <sz val="11"/>
        <color theme="1"/>
        <rFont val="Calibri"/>
        <family val="2"/>
        <charset val="1"/>
      </rPr>
      <t xml:space="preserve">AI MW ÷ </t>
    </r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</si>
  <si>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C23</t>
    </r>
    <r>
      <rPr>
        <sz val="11"/>
        <color theme="1"/>
        <rFont val="Noto Sans CJK SC"/>
        <family val="2"/>
      </rPr>
      <t xml:space="preserve">：公司無揭露，最大不確定）</t>
    </r>
  </si>
  <si>
    <r>
      <rPr>
        <sz val="11"/>
        <color theme="1"/>
        <rFont val="Calibri"/>
        <family val="2"/>
        <charset val="1"/>
      </rPr>
      <t xml:space="preserve">Sens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</t>
    </r>
  </si>
  <si>
    <t xml:space="preserve">self_build</t>
  </si>
  <si>
    <t xml:space="preserve">機房自建比例（自建＋融資租賃）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</si>
  <si>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capexModel.selfBuild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</si>
  <si>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其餘為營業租賃：不計資本支出，計租金（</t>
    </r>
    <r>
      <rPr>
        <sz val="11"/>
        <color theme="1"/>
        <rFont val="Calibri"/>
        <family val="2"/>
        <charset val="1"/>
      </rPr>
      <t xml:space="preserve">C22</t>
    </r>
    <r>
      <rPr>
        <sz val="11"/>
        <color theme="1"/>
        <rFont val="Noto Sans CJK SC"/>
        <family val="2"/>
      </rPr>
      <t xml:space="preserve">）</t>
    </r>
  </si>
  <si>
    <t xml:space="preserve">mix_h</t>
  </si>
  <si>
    <r>
      <rPr>
        <sz val="11"/>
        <color theme="1"/>
        <rFont val="Noto Sans CJK SC"/>
        <family val="2"/>
      </rPr>
      <t xml:space="preserve">期初在役世代占比：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</si>
  <si>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mw.genMix.open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Hopper 15–30%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GB200 35–55%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GB300 20–40%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</si>
  <si>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以前各年同此占比</t>
    </r>
  </si>
  <si>
    <t xml:space="preserve">mix_g2</t>
  </si>
  <si>
    <r>
      <rPr>
        <sz val="11"/>
        <color theme="1"/>
        <rFont val="Noto Sans CJK SC"/>
        <family val="2"/>
      </rPr>
      <t xml:space="preserve">期初在役世代占比：</t>
    </r>
    <r>
      <rPr>
        <sz val="11"/>
        <color theme="1"/>
        <rFont val="Calibri"/>
        <family val="2"/>
        <charset val="1"/>
      </rPr>
      <t xml:space="preserve">GB200</t>
    </r>
  </si>
  <si>
    <t xml:space="preserve">mix_g3</t>
  </si>
  <si>
    <r>
      <rPr>
        <sz val="11"/>
        <color theme="1"/>
        <rFont val="Noto Sans CJK SC"/>
        <family val="2"/>
      </rPr>
      <t xml:space="preserve">期初在役世代占比：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</t>
    </r>
  </si>
  <si>
    <t xml:space="preserve">a_g3_27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</si>
  <si>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）占比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</si>
  <si>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chips.mixAdds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60%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Maia 10%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</si>
  <si>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GB300 × 1.0 </t>
    </r>
    <r>
      <rPr>
        <sz val="11"/>
        <color theme="1"/>
        <rFont val="Noto Sans CJK SC"/>
        <family val="2"/>
      </rPr>
      <t xml:space="preserve">計（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只登錄不切換）</t>
    </r>
  </si>
  <si>
    <t xml:space="preserve">a_g3_28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</si>
  <si>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）占比 </t>
    </r>
    <r>
      <rPr>
        <sz val="11"/>
        <color theme="1"/>
        <rFont val="Calibri"/>
        <family val="2"/>
        <charset val="1"/>
      </rPr>
      <t xml:space="preserve">FY2028</t>
    </r>
  </si>
  <si>
    <t xml:space="preserve">a_g3_29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</si>
  <si>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）占比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起同）</t>
    </r>
  </si>
  <si>
    <t xml:space="preserve">cxit_open</t>
  </si>
  <si>
    <r>
      <rPr>
        <sz val="11"/>
        <color theme="1"/>
        <rFont val="Noto Sans CJK SC"/>
        <family val="2"/>
      </rPr>
      <t xml:space="preserve">期初世代加權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</si>
  <si>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期初占比 </t>
    </r>
    <r>
      <rPr>
        <sz val="11"/>
        <color theme="1"/>
        <rFont val="Calibri"/>
        <family val="2"/>
        <charset val="1"/>
      </rPr>
      <t xml:space="preserve">× IF_CapexIT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</si>
  <si>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以前各年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資本支出估計與折舊用</t>
    </r>
  </si>
  <si>
    <t xml:space="preserve">p_long</t>
  </si>
  <si>
    <r>
      <rPr>
        <sz val="11"/>
        <color theme="1"/>
        <rFont val="Noto Sans CJK SC"/>
        <family val="2"/>
      </rPr>
      <t xml:space="preserve">長約證據價格：</t>
    </r>
    <r>
      <rPr>
        <sz val="11"/>
        <color theme="1"/>
        <rFont val="Calibri"/>
        <family val="2"/>
        <charset val="1"/>
      </rPr>
      <t xml:space="preserve">IREN–Microsoft GB300 </t>
    </r>
    <r>
      <rPr>
        <sz val="11"/>
        <color theme="1"/>
        <rFont val="Noto Sans CJK SC"/>
        <family val="2"/>
      </rPr>
      <t xml:space="preserve">五年約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</si>
  <si>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kevidence lc.iren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TCV 9,700 ÷ 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÷ 200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</si>
  <si>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付給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的買價，代理長約賣價</t>
    </r>
  </si>
  <si>
    <t xml:space="preserve">p_spot</t>
  </si>
  <si>
    <r>
      <rPr>
        <sz val="11"/>
        <color theme="1"/>
        <rFont val="Noto Sans CJK SC"/>
        <family val="2"/>
      </rPr>
      <t xml:space="preserve">現貨證據價格：</t>
    </r>
    <r>
      <rPr>
        <sz val="11"/>
        <color theme="1"/>
        <rFont val="Calibri"/>
        <family val="2"/>
        <charset val="1"/>
      </rPr>
      <t xml:space="preserve">Silicon Data H100 </t>
    </r>
    <r>
      <rPr>
        <sz val="11"/>
        <color theme="1"/>
        <rFont val="Noto Sans CJK SC"/>
        <family val="2"/>
      </rPr>
      <t xml:space="preserve">指數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</si>
  <si>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kevidence spot.h100.index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</si>
  <si>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Azure H100 </t>
    </r>
    <r>
      <rPr>
        <sz val="11"/>
        <color theme="1"/>
        <rFont val="Noto Sans CJK SC"/>
        <family val="2"/>
      </rPr>
      <t xml:space="preserve">隨需牌價 </t>
    </r>
    <r>
      <rPr>
        <sz val="11"/>
        <color theme="1"/>
        <rFont val="Calibri"/>
        <family val="2"/>
        <charset val="1"/>
      </rPr>
      <t xml:space="preserve">12.29</t>
    </r>
    <r>
      <rPr>
        <sz val="11"/>
        <color theme="1"/>
        <rFont val="Noto Sans CJK SC"/>
        <family val="2"/>
      </rPr>
      <t xml:space="preserve">（只作上限）</t>
    </r>
  </si>
  <si>
    <t xml:space="preserve">k_long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</si>
  <si>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</t>
    </r>
  </si>
  <si>
    <r>
      <rPr>
        <sz val="11"/>
        <color theme="1"/>
        <rFont val="Noto Sans CJK SC"/>
        <family val="2"/>
      </rPr>
      <t xml:space="preserve">證據價格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同世代 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kspec </t>
    </r>
    <r>
      <rPr>
        <sz val="11"/>
        <color theme="1"/>
        <rFont val="Noto Sans CJK SC"/>
        <family val="2"/>
      </rPr>
      <t xml:space="preserve">規格）</t>
    </r>
  </si>
  <si>
    <t xml:space="preserve">v0.2.2 0.891</t>
  </si>
  <si>
    <t xml:space="preserve">k_spot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</si>
  <si>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</t>
    </r>
  </si>
  <si>
    <r>
      <rPr>
        <sz val="11"/>
        <color theme="1"/>
        <rFont val="Noto Sans CJK SC"/>
        <family val="2"/>
      </rPr>
      <t xml:space="preserve">證據價格 </t>
    </r>
    <r>
      <rPr>
        <sz val="11"/>
        <color theme="1"/>
        <rFont val="Calibri"/>
        <family val="2"/>
        <charset val="1"/>
      </rPr>
      <t xml:space="preserve">÷ 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</si>
  <si>
    <t xml:space="preserve">v0.2.2 1.828</t>
  </si>
  <si>
    <t xml:space="preserve">ls_A</t>
  </si>
  <si>
    <r>
      <rPr>
        <sz val="11"/>
        <color theme="1"/>
        <rFont val="Noto Sans CJK SC"/>
        <family val="2"/>
      </rPr>
      <t xml:space="preserve">長約占比（情境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</si>
  <si>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長約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＋現貨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v0.1a split.k </t>
    </r>
    <r>
      <rPr>
        <sz val="11"/>
        <color theme="1"/>
        <rFont val="Noto Sans CJK SC"/>
        <family val="2"/>
      </rPr>
      <t xml:space="preserve">高端口徑）</t>
    </r>
  </si>
  <si>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的價格軸差異是本版主要情境軸</t>
    </r>
  </si>
  <si>
    <t xml:space="preserve">ls_B</t>
  </si>
  <si>
    <r>
      <rPr>
        <sz val="11"/>
        <color theme="1"/>
        <rFont val="Noto Sans CJK SC"/>
        <family val="2"/>
      </rPr>
      <t xml:space="preserve">長約占比（情境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</si>
  <si>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 longShare 70%</t>
    </r>
  </si>
  <si>
    <t xml:space="preserve">ls_C</t>
  </si>
  <si>
    <r>
      <rPr>
        <sz val="11"/>
        <color theme="1"/>
        <rFont val="Noto Sans CJK SC"/>
        <family val="2"/>
      </rPr>
      <t xml:space="preserve">長約占比（情境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</si>
  <si>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全長約（</t>
    </r>
    <r>
      <rPr>
        <sz val="11"/>
        <color theme="1"/>
        <rFont val="Calibri"/>
        <family val="2"/>
        <charset val="1"/>
      </rPr>
      <t xml:space="preserve">v0.1a split.k </t>
    </r>
    <r>
      <rPr>
        <sz val="11"/>
        <color theme="1"/>
        <rFont val="Noto Sans CJK SC"/>
        <family val="2"/>
      </rPr>
      <t xml:space="preserve">低端口徑）</t>
    </r>
  </si>
  <si>
    <t xml:space="preserve">k_A</t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</si>
  <si>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</si>
  <si>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長約占比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長約 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長約占比）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現貨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</si>
  <si>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k 1.172</t>
    </r>
  </si>
  <si>
    <t xml:space="preserve">k_B</t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</si>
  <si>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</si>
  <si>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k_C</t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</si>
  <si>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</si>
  <si>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chip_f</t>
  </si>
  <si>
    <r>
      <rPr>
        <sz val="11"/>
        <color theme="1"/>
        <rFont val="Noto Sans CJK SC"/>
        <family val="2"/>
      </rPr>
      <t xml:space="preserve">自研晶片係數（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計）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</si>
  <si>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持有成本比 </t>
    </r>
    <r>
      <rPr>
        <sz val="11"/>
        <color theme="1"/>
        <rFont val="Calibri"/>
        <family val="2"/>
        <charset val="1"/>
      </rPr>
      <t xml:space="preserve">0.4–0.6 </t>
    </r>
    <r>
      <rPr>
        <sz val="11"/>
        <color theme="1"/>
        <rFont val="Noto Sans CJK SC"/>
        <family val="2"/>
      </rPr>
      <t xml:space="preserve">只登錄）</t>
    </r>
  </si>
  <si>
    <t xml:space="preserve">rent_mw</t>
  </si>
  <si>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年租金（全額）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</si>
  <si>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）（已揭露合約全額年租金 </t>
    </r>
    <r>
      <rPr>
        <sz val="11"/>
        <color theme="1"/>
        <rFont val="Calibri"/>
        <family val="2"/>
        <charset val="1"/>
      </rPr>
      <t xml:space="preserve">13.96 ÷ 1,571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</si>
  <si>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不另計營運成本</t>
    </r>
  </si>
  <si>
    <t xml:space="preserve">ai_net_open</t>
  </si>
  <si>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AI PP&amp;E </t>
    </r>
    <r>
      <rPr>
        <sz val="11"/>
        <color theme="1"/>
        <rFont val="Noto Sans CJK SC"/>
        <family val="2"/>
      </rPr>
      <t xml:space="preserve">淨額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毛額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</si>
  <si>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capexModel.aiNetShare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</si>
  <si>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</t>
    </r>
    <r>
      <rPr>
        <sz val="11"/>
        <color theme="1"/>
        <rFont val="Noto Sans CJK SC"/>
        <family val="2"/>
      </rPr>
      <t xml:space="preserve">的期初投入資本</t>
    </r>
  </si>
  <si>
    <t xml:space="preserve">capex_floor27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</si>
  <si>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資本支出下限（公司口徑，含融資租賃）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</si>
  <si>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capex.fy27.derived</t>
    </r>
    <r>
      <rPr>
        <sz val="11"/>
        <color theme="1"/>
        <rFont val="Noto Sans CJK SC"/>
        <family val="2"/>
      </rPr>
      <t xml:space="preserve">：曆年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175 −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31.9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41.0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102.1</t>
    </r>
    <r>
      <rPr>
        <sz val="11"/>
        <color theme="1"/>
        <rFont val="Noto Sans CJK SC"/>
        <family val="2"/>
      </rPr>
      <t xml:space="preserve">，下半年＝上半年</t>
    </r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</si>
  <si>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&gt;50 </t>
    </r>
    <r>
      <rPr>
        <sz val="11"/>
        <color theme="1"/>
        <rFont val="Noto Sans CJK SC"/>
        <family val="2"/>
      </rPr>
      <t xml:space="preserve">吻合；共識 </t>
    </r>
    <r>
      <rPr>
        <sz val="11"/>
        <color theme="1"/>
        <rFont val="Calibri"/>
        <family val="2"/>
        <charset val="1"/>
      </rPr>
      <t xml:space="preserve">192.8</t>
    </r>
    <r>
      <rPr>
        <sz val="11"/>
        <color theme="1"/>
        <rFont val="Noto Sans CJK SC"/>
        <family val="2"/>
      </rPr>
      <t xml:space="preserve">（推定現金口徑）</t>
    </r>
  </si>
  <si>
    <r>
      <rPr>
        <b val="true"/>
        <sz val="11"/>
        <rFont val="Cambria"/>
        <family val="0"/>
        <charset val="1"/>
      </rPr>
      <t xml:space="preserve">E. Microsoft 365 cloud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Copilot</t>
    </r>
    <r>
      <rPr>
        <b val="true"/>
        <sz val="11"/>
        <rFont val="Noto Sans CJK SC"/>
        <family val="2"/>
      </rPr>
      <t xml:space="preserve">（命題子列：付費座席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每座席月費）</t>
    </r>
  </si>
  <si>
    <t xml:space="preserve">cop_s24</t>
  </si>
  <si>
    <r>
      <rPr>
        <sz val="11"/>
        <color theme="1"/>
        <rFont val="Calibri"/>
        <family val="2"/>
        <charset val="1"/>
      </rPr>
      <t xml:space="preserve">M365 Copilot </t>
    </r>
    <r>
      <rPr>
        <sz val="11"/>
        <color theme="1"/>
        <rFont val="Noto Sans CJK SC"/>
        <family val="2"/>
      </rPr>
      <t xml:space="preserve">付費座席（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年底）</t>
    </r>
  </si>
  <si>
    <t xml:space="preserve">百萬席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</si>
  <si>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Copilot 2023-11 </t>
    </r>
    <r>
      <rPr>
        <sz val="11"/>
        <color theme="1"/>
        <rFont val="Noto Sans CJK SC"/>
        <family val="2"/>
      </rPr>
      <t xml:space="preserve">上市，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年底座席未揭露</t>
    </r>
  </si>
  <si>
    <t xml:space="preserve">cop_s25</t>
  </si>
  <si>
    <r>
      <rPr>
        <sz val="11"/>
        <color theme="1"/>
        <rFont val="Calibri"/>
        <family val="2"/>
        <charset val="1"/>
      </rPr>
      <t xml:space="preserve">M365 Copilot </t>
    </r>
    <r>
      <rPr>
        <sz val="11"/>
        <color theme="1"/>
        <rFont val="Noto Sans CJK SC"/>
        <family val="2"/>
      </rPr>
      <t xml:space="preserve">付費座席（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</si>
  <si>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年底座席未揭露（</t>
    </r>
    <r>
      <rPr>
        <sz val="11"/>
        <color theme="1"/>
        <rFont val="Calibri"/>
        <family val="2"/>
        <charset val="1"/>
      </rPr>
      <t xml:space="preserve">FY26Q2 15 </t>
    </r>
    <r>
      <rPr>
        <sz val="11"/>
        <color theme="1"/>
        <rFont val="Noto Sans CJK SC"/>
        <family val="2"/>
      </rPr>
      <t xml:space="preserve">百萬）</t>
    </r>
  </si>
  <si>
    <t xml:space="preserve">cop_s26</t>
  </si>
  <si>
    <r>
      <rPr>
        <sz val="11"/>
        <color theme="1"/>
        <rFont val="Calibri"/>
        <family val="2"/>
        <charset val="1"/>
      </rPr>
      <t xml:space="preserve">M365 Copilot </t>
    </r>
    <r>
      <rPr>
        <sz val="11"/>
        <color theme="1"/>
        <rFont val="Noto Sans CJK SC"/>
        <family val="2"/>
      </rPr>
      <t xml:space="preserve">付費座席（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</si>
  <si>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call.copilotSeats.fy26q4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FY26Q4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百萬席；</t>
    </r>
    <r>
      <rPr>
        <sz val="11"/>
        <color theme="1"/>
        <rFont val="Calibri"/>
        <family val="2"/>
        <charset val="1"/>
      </rPr>
      <t xml:space="preserve">FY26Q2 15 </t>
    </r>
    <r>
      <rPr>
        <sz val="11"/>
        <color theme="1"/>
        <rFont val="Noto Sans CJK SC"/>
        <family val="2"/>
      </rPr>
      <t xml:space="preserve">百萬）</t>
    </r>
  </si>
  <si>
    <t xml:space="preserve">cop_px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</si>
  <si>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每座席月費（實收）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</si>
  <si>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／月</t>
    </r>
  </si>
  <si>
    <r>
      <rPr>
        <sz val="11"/>
        <color theme="1"/>
        <rFont val="Noto Sans CJK SC"/>
        <family val="2"/>
      </rPr>
      <t xml:space="preserve">無：牌價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美元／月，大客戶折扣未揭露</t>
    </r>
  </si>
  <si>
    <r>
      <rPr>
        <sz val="11"/>
        <color theme="1"/>
        <rFont val="Calibri"/>
        <family val="2"/>
        <charset val="1"/>
      </rPr>
      <t xml:space="preserve">Sens 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</t>
    </r>
  </si>
  <si>
    <t xml:space="preserve">cop_add_A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</si>
  <si>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每年淨增座席 </t>
    </r>
    <r>
      <rPr>
        <sz val="11"/>
        <color theme="1"/>
        <rFont val="Calibri"/>
        <family val="2"/>
        <charset val="1"/>
      </rPr>
      <t xml:space="preserve">FY2027–FY2029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</si>
  <si>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淨增約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百萬（</t>
    </r>
    <r>
      <rPr>
        <sz val="11"/>
        <color theme="1"/>
        <rFont val="Calibri"/>
        <family val="2"/>
        <charset val="1"/>
      </rPr>
      <t xml:space="preserve">5 → 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起點）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</si>
  <si>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cop_tail</t>
    </r>
  </si>
  <si>
    <t xml:space="preserve">cop_add_B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</si>
  <si>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每年淨增座席 </t>
    </r>
    <r>
      <rPr>
        <sz val="11"/>
        <color theme="1"/>
        <rFont val="Calibri"/>
        <family val="2"/>
        <charset val="1"/>
      </rPr>
      <t xml:space="preserve">FY2027–FY2029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</si>
  <si>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cop_add_C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</si>
  <si>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每年淨增座席 </t>
    </r>
    <r>
      <rPr>
        <sz val="11"/>
        <color theme="1"/>
        <rFont val="Calibri"/>
        <family val="2"/>
        <charset val="1"/>
      </rPr>
      <t xml:space="preserve">FY2027–FY2029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</si>
  <si>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cop_tail</t>
  </si>
  <si>
    <r>
      <rPr>
        <sz val="11"/>
        <color theme="1"/>
        <rFont val="Calibri"/>
        <family val="2"/>
        <charset val="1"/>
      </rPr>
      <t xml:space="preserve">Copilot FY2030 </t>
    </r>
    <r>
      <rPr>
        <sz val="11"/>
        <color theme="1"/>
        <rFont val="Noto Sans CJK SC"/>
        <family val="2"/>
      </rPr>
      <t xml:space="preserve">起淨增相對前期的比例</t>
    </r>
  </si>
  <si>
    <t xml:space="preserve">無：滲透率上升後放緩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</si>
  <si>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產品線成長路徑：近一年年增（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8-K </t>
    </r>
    <r>
      <rPr>
        <b val="true"/>
        <sz val="11"/>
        <rFont val="Noto Sans CJK SC"/>
        <family val="2"/>
      </rPr>
      <t xml:space="preserve">重編口徑）線性收斂到長期值（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到達）</t>
    </r>
  </si>
  <si>
    <t xml:space="preserve">n_conv</t>
  </si>
  <si>
    <t xml:space="preserve">收斂年數</t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</si>
  <si>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v2 DCF </t>
    </r>
    <r>
      <rPr>
        <sz val="11"/>
        <color theme="1"/>
        <rFont val="Noto Sans CJK SC"/>
        <family val="2"/>
      </rPr>
      <t xml:space="preserve">明確期（到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）一致</t>
    </r>
  </si>
  <si>
    <t xml:space="preserve">glt_azo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</si>
  <si>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</si>
  <si>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azureNonAi gLT 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</si>
  <si>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三情境相同（非命題業務）；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用低／高</t>
    </r>
  </si>
  <si>
    <t xml:space="preserve">glt_m365b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</si>
  <si>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M365 cloud </t>
    </r>
    <r>
      <rPr>
        <sz val="11"/>
        <color theme="1"/>
        <rFont val="Noto Sans CJK SC"/>
        <family val="2"/>
      </rPr>
      <t xml:space="preserve">基礎（不含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</si>
  <si>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 M365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Copilot 10%</t>
    </r>
    <r>
      <rPr>
        <sz val="11"/>
        <color theme="1"/>
        <rFont val="Noto Sans CJK SC"/>
        <family val="2"/>
      </rPr>
      <t xml:space="preserve">；扣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後取 </t>
    </r>
    <r>
      <rPr>
        <sz val="11"/>
        <color theme="1"/>
        <rFont val="Calibri"/>
        <family val="2"/>
        <charset val="1"/>
      </rPr>
      <t xml:space="preserve">7%</t>
    </r>
  </si>
  <si>
    <t xml:space="preserve">glt_lic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</si>
  <si>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Productivity and server licensing</t>
    </r>
  </si>
  <si>
    <t xml:space="preserve">glt_ind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</si>
  <si>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Industry solutions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</si>
  <si>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indFrontier 7%</t>
    </r>
    <r>
      <rPr>
        <sz val="11"/>
        <color theme="1"/>
        <rFont val="Noto Sans CJK SC"/>
        <family val="2"/>
      </rPr>
      <t xml:space="preserve">）</t>
    </r>
  </si>
  <si>
    <t xml:space="preserve">glt_fro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</si>
  <si>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Frontier and support services</t>
    </r>
  </si>
  <si>
    <t xml:space="preserve">glt_srch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</si>
  <si>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Search and advertising</t>
    </r>
  </si>
  <si>
    <t xml:space="preserve">glt_xbox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</si>
  <si>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XBOX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</si>
  <si>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devGaming 2%</t>
    </r>
    <r>
      <rPr>
        <sz val="11"/>
        <color theme="1"/>
        <rFont val="Noto Sans CJK SC"/>
        <family val="2"/>
      </rPr>
      <t xml:space="preserve">）</t>
    </r>
  </si>
  <si>
    <t xml:space="preserve">glt_win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</si>
  <si>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Windows OEM and devices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</si>
  <si>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損益、現金與非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</t>
    </r>
  </si>
  <si>
    <t xml:space="preserve">dm_seg</t>
  </si>
  <si>
    <r>
      <rPr>
        <sz val="11"/>
        <color theme="1"/>
        <rFont val="Noto Sans CJK SC"/>
        <family val="2"/>
      </rPr>
      <t xml:space="preserve">分部核心利益率調整（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</si>
  <si>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</si>
  <si>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加在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核心利益率與 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利益率</t>
    </r>
  </si>
  <si>
    <t xml:space="preserve">oie_f</t>
  </si>
  <si>
    <t xml:space="preserve">業外收支（不含持股評價損益；每年）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</si>
  <si>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guid.fy27q1.oie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0.1</t>
    </r>
    <r>
      <rPr>
        <sz val="11"/>
        <color theme="1"/>
        <rFont val="Noto Sans CJK SC"/>
        <family val="2"/>
      </rPr>
      <t xml:space="preserve">（每季）</t>
    </r>
  </si>
  <si>
    <r>
      <rPr>
        <sz val="11"/>
        <color theme="1"/>
        <rFont val="Noto Sans CJK SC"/>
        <family val="2"/>
      </rPr>
      <t xml:space="preserve">持股評價損益（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權益法、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）預測期設 </t>
    </r>
    <r>
      <rPr>
        <sz val="11"/>
        <color theme="1"/>
        <rFont val="Calibri"/>
        <family val="2"/>
        <charset val="1"/>
      </rPr>
      <t xml:space="preserve">0</t>
    </r>
  </si>
  <si>
    <t xml:space="preserve">tax_f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</si>
  <si>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</si>
  <si>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guid.fy27.etr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</si>
  <si>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FY2026 19.4%</t>
  </si>
  <si>
    <t xml:space="preserve">sbc_r</t>
  </si>
  <si>
    <r>
      <rPr>
        <sz val="11"/>
        <color theme="1"/>
        <rFont val="Noto Sans CJK SC"/>
        <family val="2"/>
      </rPr>
      <t xml:space="preserve">股票薪酬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</si>
  <si>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</si>
  <si>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wc27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</si>
  <si>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營運資金變動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</si>
  <si>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cf.wc.total.fy2026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：首期＝上一年度實績）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</si>
  <si>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口徑）</t>
    </r>
  </si>
  <si>
    <t xml:space="preserve">life_nonai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</si>
  <si>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資產折舊年限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</si>
  <si>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C17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</si>
  <si>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折舊＝前期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／年限）＋ 當期非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</t>
    </r>
  </si>
  <si>
    <t xml:space="preserve">cx_azo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</si>
  <si>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</si>
  <si>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legacyBiz.lines.cx</t>
    </r>
    <r>
      <rPr>
        <sz val="11"/>
        <color theme="1"/>
        <rFont val="Noto Sans CJK SC"/>
        <family val="2"/>
      </rPr>
      <t xml:space="preserve">）</t>
    </r>
  </si>
  <si>
    <t xml:space="preserve">公司不揭露分部資本支出</t>
  </si>
  <si>
    <t xml:space="preserve">cx_m365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</si>
  <si>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Microsoft 365 cloud</t>
    </r>
  </si>
  <si>
    <t xml:space="preserve">cx_lic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</si>
  <si>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營收：授權</t>
    </r>
  </si>
  <si>
    <t xml:space="preserve">cx_ind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</si>
  <si>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Industry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Frontier</t>
    </r>
  </si>
  <si>
    <t xml:space="preserve">cx_srch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</si>
  <si>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Search and advertising</t>
    </r>
  </si>
  <si>
    <t xml:space="preserve">cx_dev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</si>
  <si>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</si>
  <si>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市場共識與公司指引（只作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對照，不作校準）</t>
    </r>
  </si>
  <si>
    <t xml:space="preserve">cons_tp</t>
  </si>
  <si>
    <r>
      <rPr>
        <sz val="11"/>
        <color theme="1"/>
        <rFont val="Noto Sans CJK SC"/>
        <family val="2"/>
      </rPr>
      <t xml:space="preserve">市場共識目標價（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57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</si>
  <si>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https://stockanalysis.com/stocks/msft/forecast/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頁面；中位數 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Strong Buy 41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Buy 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Hold 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</si>
  <si>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587.63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56 </t>
    </r>
    <r>
      <rPr>
        <sz val="11"/>
        <color theme="1"/>
        <rFont val="Noto Sans CJK SC"/>
        <family val="2"/>
      </rPr>
      <t xml:space="preserve">位）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</si>
  <si>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</si>
  <si>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</si>
  <si>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https://stockanalysis.com/stocks/msft/forecast/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</si>
  <si>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MarketScreener 391.271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</si>
  <si>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</si>
  <si>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</si>
  <si>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https://stockanalysis.com/stocks/msft/forecast/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</si>
  <si>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MarketScreener GAAP 19.72</t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</si>
  <si>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</si>
  <si>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</si>
  <si>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microsoft/data/consensus_msft_20261008.json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</si>
  <si>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cons_rev29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</si>
  <si>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</si>
  <si>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cons_ebit27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</si>
  <si>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</si>
  <si>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營業利益口徑</t>
    </r>
  </si>
  <si>
    <t xml:space="preserve">cons_cx27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</si>
  <si>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，推定現金口徑）</t>
    </r>
  </si>
  <si>
    <t xml:space="preserve">microsoft/data/consensus_msft_20261008.json</t>
  </si>
  <si>
    <t xml:space="preserve">模型為公司口徑（含融資租賃）</t>
  </si>
  <si>
    <t xml:space="preserve">cons_ebit28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</si>
  <si>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</si>
  <si>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cons_cx28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</si>
  <si>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，推定現金口徑）</t>
    </r>
  </si>
  <si>
    <t xml:space="preserve">cons_ebit29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</si>
  <si>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</si>
  <si>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cons_cx29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</si>
  <si>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，推定現金口徑）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</si>
  <si>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</si>
  <si>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</si>
  <si>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cons_eps29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</si>
  <si>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</si>
  <si>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g_q1_rev</t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</si>
  <si>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</si>
  <si>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 2026-09-02</t>
    </r>
    <r>
      <rPr>
        <sz val="11"/>
        <color theme="1"/>
        <rFont val="Noto Sans CJK SC"/>
        <family val="2"/>
      </rPr>
      <t xml:space="preserve">）</t>
    </r>
  </si>
  <si>
    <t xml:space="preserve">g_q1_ai</t>
  </si>
  <si>
    <r>
      <rPr>
        <sz val="11"/>
        <color theme="1"/>
        <rFont val="Calibri"/>
        <family val="2"/>
        <charset val="1"/>
      </rPr>
      <t xml:space="preserve">FY27Q1 Agents and Infra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</si>
  <si>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guid.fy27q1.rev.ai</t>
    </r>
  </si>
  <si>
    <t xml:space="preserve">g_q1_dc</t>
  </si>
  <si>
    <r>
      <rPr>
        <sz val="11"/>
        <color theme="1"/>
        <rFont val="Calibri"/>
        <family val="2"/>
        <charset val="1"/>
      </rPr>
      <t xml:space="preserve">FY27Q1 Devices and Consumer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</si>
  <si>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guid.fy27q1.rev.dc</t>
    </r>
  </si>
  <si>
    <t xml:space="preserve">g_q1_az</t>
  </si>
  <si>
    <r>
      <rPr>
        <sz val="11"/>
        <color theme="1"/>
        <rFont val="Calibri"/>
        <family val="2"/>
        <charset val="1"/>
      </rPr>
      <t xml:space="preserve">FY27Q1 Azure </t>
    </r>
    <r>
      <rPr>
        <sz val="11"/>
        <color theme="1"/>
        <rFont val="Noto Sans CJK SC"/>
        <family val="2"/>
      </rPr>
      <t xml:space="preserve">年增指引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</si>
  <si>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guid.fy27q1.azure</t>
    </r>
  </si>
  <si>
    <t xml:space="preserve">g_q1_cx</t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</si>
  <si>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資本支出指引（下限）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</si>
  <si>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over 50</t>
    </r>
    <r>
      <rPr>
        <sz val="11"/>
        <color theme="1"/>
        <rFont val="Noto Sans CJK SC"/>
        <family val="2"/>
      </rPr>
      <t xml:space="preserve">）</t>
    </r>
  </si>
  <si>
    <t xml:space="preserve">g_fy27_opm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</si>
  <si>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營業利益率變動指引（上限）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</si>
  <si>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guid.fy27.opm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down less than a point</t>
    </r>
    <r>
      <rPr>
        <sz val="11"/>
        <color theme="1"/>
        <rFont val="Noto Sans CJK SC"/>
        <family val="2"/>
      </rPr>
      <t xml:space="preserve">）</t>
    </r>
  </si>
  <si>
    <t xml:space="preserve">ai_runrate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</si>
  <si>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業務年化營收（</t>
    </r>
    <r>
      <rPr>
        <sz val="11"/>
        <color theme="1"/>
        <rFont val="Calibri"/>
        <family val="2"/>
        <charset val="1"/>
      </rPr>
      <t xml:space="preserve">FY26Q3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</si>
  <si>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call.aiRunRate.fy26q3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等自有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產品）</t>
    </r>
  </si>
  <si>
    <r>
      <rPr>
        <sz val="11"/>
        <color theme="1"/>
        <rFont val="Calibri"/>
        <family val="2"/>
        <charset val="1"/>
      </rPr>
      <t xml:space="preserve">C3</t>
    </r>
    <r>
      <rPr>
        <sz val="11"/>
        <color theme="1"/>
        <rFont val="Noto Sans CJK SC"/>
        <family val="2"/>
      </rPr>
      <t xml:space="preserve">：只作驗證列</t>
    </r>
  </si>
  <si>
    <r>
      <rPr>
        <b val="true"/>
        <sz val="11"/>
        <rFont val="Cambria"/>
        <family val="0"/>
        <charset val="1"/>
      </rPr>
      <t xml:space="preserve">I. v0.2.2 </t>
    </r>
    <r>
      <rPr>
        <b val="true"/>
        <sz val="11"/>
        <rFont val="Noto Sans CJK SC"/>
        <family val="2"/>
      </rPr>
      <t xml:space="preserve">對照（</t>
    </r>
    <r>
      <rPr>
        <b val="true"/>
        <sz val="11"/>
        <rFont val="Cambria"/>
        <family val="0"/>
        <charset val="1"/>
      </rPr>
      <t xml:space="preserve">microsoft/dist/_</t>
    </r>
    <r>
      <rPr>
        <b val="true"/>
        <sz val="11"/>
        <rFont val="Noto Sans CJK SC"/>
        <family val="2"/>
      </rPr>
      <t xml:space="preserve">待刪除</t>
    </r>
    <r>
      <rPr>
        <b val="true"/>
        <sz val="11"/>
        <rFont val="Cambria"/>
        <family val="0"/>
        <charset val="1"/>
      </rPr>
      <t xml:space="preserve">/20261025_Microsoft</t>
    </r>
    <r>
      <rPr>
        <b val="true"/>
        <sz val="11"/>
        <rFont val="Noto Sans CJK SC"/>
        <family val="2"/>
      </rPr>
      <t xml:space="preserve">收支模型</t>
    </r>
    <r>
      <rPr>
        <b val="true"/>
        <sz val="11"/>
        <rFont val="Cambria"/>
        <family val="0"/>
        <charset val="1"/>
      </rPr>
      <t xml:space="preserve">_v0_2_2.xlsx </t>
    </r>
    <r>
      <rPr>
        <b val="true"/>
        <sz val="11"/>
        <rFont val="Noto Sans CJK SC"/>
        <family val="2"/>
      </rPr>
      <t xml:space="preserve">評價</t>
    </r>
    <r>
      <rPr>
        <b val="true"/>
        <sz val="11"/>
        <rFont val="Cambria"/>
        <family val="0"/>
        <charset val="1"/>
      </rPr>
      <t xml:space="preserve">_DCF</t>
    </r>
    <r>
      <rPr>
        <b val="true"/>
        <sz val="11"/>
        <rFont val="Noto Sans CJK SC"/>
        <family val="2"/>
      </rPr>
      <t xml:space="preserve">與目標價）</t>
    </r>
  </si>
  <si>
    <t xml:space="preserve">old_tp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</si>
  <si>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</si>
  <si>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成品：低欄＝積極、高欄＝保守情境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</si>
  <si>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429.43</t>
    </r>
  </si>
  <si>
    <t xml:space="preserve">old_dcf</t>
  </si>
  <si>
    <r>
      <rPr>
        <sz val="11"/>
        <color theme="1"/>
        <rFont val="Calibri"/>
        <family val="2"/>
        <charset val="1"/>
      </rPr>
      <t xml:space="preserve">v0.2.2 DCF </t>
    </r>
    <r>
      <rPr>
        <sz val="11"/>
        <color theme="1"/>
        <rFont val="Noto Sans CJK SC"/>
        <family val="2"/>
      </rPr>
      <t xml:space="preserve">每股（推到目標價時點）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</si>
  <si>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成品</t>
    </r>
  </si>
  <si>
    <t xml:space="preserve">old_ev</t>
  </si>
  <si>
    <r>
      <rPr>
        <sz val="11"/>
        <color theme="1"/>
        <rFont val="Calibri"/>
        <family val="2"/>
        <charset val="1"/>
      </rPr>
      <t xml:space="preserve">v0.2.2 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每股（融資後）</t>
    </r>
  </si>
  <si>
    <t xml:space="preserve">old_w</t>
  </si>
  <si>
    <r>
      <rPr>
        <sz val="11"/>
        <color theme="1"/>
        <rFont val="Calibri"/>
        <family val="2"/>
        <charset val="1"/>
      </rPr>
      <t xml:space="preserve">v0.2.2 DCF </t>
    </r>
    <r>
      <rPr>
        <sz val="11"/>
        <color theme="1"/>
        <rFont val="Noto Sans CJK SC"/>
        <family val="2"/>
      </rPr>
      <t xml:space="preserve">權重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</si>
  <si>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＋分部 </t>
    </r>
    <r>
      <rPr>
        <sz val="11"/>
        <color theme="1"/>
        <rFont val="Calibri"/>
        <family val="2"/>
        <charset val="1"/>
      </rPr>
      <t xml:space="preserve">EV/EBITDA 55%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</si>
  <si>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實績（十億美元）。分部與產品線為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起的報導口徑（</t>
    </r>
    <r>
      <rPr>
        <sz val="11"/>
        <color theme="1"/>
        <rFont val="Calibri"/>
        <family val="2"/>
        <charset val="1"/>
      </rPr>
      <t xml:space="preserve">8-K 2026-09-02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Segment History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Products and Service Offerings — As Restated</t>
    </r>
    <r>
      <rPr>
        <sz val="11"/>
        <color theme="1"/>
        <rFont val="Noto Sans CJK SC"/>
        <family val="2"/>
      </rPr>
      <t xml:space="preserve">」，未經查核）；合併損益、現金流量取自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／財報新聞稿（事實總帳）</t>
    </r>
  </si>
  <si>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欄＝四季合計（公式）；</t>
    </r>
    <r>
      <rPr>
        <sz val="11"/>
        <color theme="1"/>
        <rFont val="Calibri"/>
        <family val="2"/>
        <charset val="1"/>
      </rPr>
      <t xml:space="preserve">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欄＝公司揭露的年度值（輸入）；核對列實績必須為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。舊三分部（</t>
    </r>
    <r>
      <rPr>
        <sz val="11"/>
        <color theme="1"/>
        <rFont val="Calibri"/>
        <family val="2"/>
        <charset val="1"/>
      </rPr>
      <t xml:space="preserve">PBP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MPC</t>
    </r>
    <r>
      <rPr>
        <sz val="11"/>
        <color theme="1"/>
        <rFont val="Noto Sans CJK SC"/>
        <family val="2"/>
      </rPr>
      <t xml:space="preserve">）列在下方對照（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以前口徑）</t>
    </r>
  </si>
  <si>
    <r>
      <rPr>
        <b val="true"/>
        <sz val="11"/>
        <rFont val="Cambria"/>
        <family val="0"/>
        <charset val="1"/>
      </rPr>
      <t xml:space="preserve">FY25Q1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2024-09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</si>
  <si>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12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</si>
  <si>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2025-03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</si>
  <si>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</si>
  <si>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2025-09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</si>
  <si>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12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</si>
  <si>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</si>
  <si>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</si>
  <si>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（四季合計）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</si>
  <si>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（四季合計）</t>
    </r>
  </si>
  <si>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（公司年度值）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</si>
  <si>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（公司年度值）</t>
    </r>
  </si>
  <si>
    <r>
      <rPr>
        <b val="true"/>
        <sz val="11"/>
        <rFont val="Noto Sans CJK SC"/>
        <family val="2"/>
      </rPr>
      <t xml:space="preserve">來源（事實總帳 </t>
    </r>
    <r>
      <rPr>
        <b val="true"/>
        <sz val="11"/>
        <rFont val="Cambria"/>
        <family val="0"/>
        <charset val="1"/>
      </rPr>
      <t xml:space="preserve">id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</si>
  <si>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官方分部與產品線營收（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起報導口徑）</t>
    </r>
  </si>
  <si>
    <t xml:space="preserve">Agents and Infra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</si>
  <si>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q.seg27.ai.rev.*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seg27.ai.rev.*</t>
    </r>
  </si>
  <si>
    <t xml:space="preserve">  Azure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</si>
  <si>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q.prod27.azure.*</t>
    </r>
  </si>
  <si>
    <t xml:space="preserve">  Microsoft 365 cloud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</si>
  <si>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q.prod27.m365cloud.*</t>
    </r>
  </si>
  <si>
    <t xml:space="preserve">  Productivity and server licensing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</si>
  <si>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q.prod27.licensing.*</t>
    </r>
  </si>
  <si>
    <t xml:space="preserve">  Industry solutions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</si>
  <si>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q.prod27.industry.*</t>
    </r>
  </si>
  <si>
    <t xml:space="preserve">  Frontier and support services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</si>
  <si>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q.prod27.frontier.*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</si>
  <si>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產品線合計 − 分部</t>
    </r>
  </si>
  <si>
    <t xml:space="preserve">核對</t>
  </si>
  <si>
    <t xml:space="preserve">Devices and Consumer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</si>
  <si>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q.seg27.dc.rev.*</t>
    </r>
  </si>
  <si>
    <t xml:space="preserve">  Search and advertising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</si>
  <si>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q.prod27.searchads.*</t>
    </r>
  </si>
  <si>
    <t xml:space="preserve">  XBOX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</si>
  <si>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q.prod27.xbox.*</t>
    </r>
  </si>
  <si>
    <t xml:space="preserve">  Windows OEM and devices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</si>
  <si>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q.prod27.windows.*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</si>
  <si>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產品線合計 − 分部</t>
    </r>
  </si>
  <si>
    <t xml:space="preserve">分部合計（營收）</t>
  </si>
  <si>
    <t xml:space="preserve">合併營收（公司損益表）</t>
  </si>
  <si>
    <r>
      <rPr>
        <sz val="11"/>
        <color theme="1"/>
        <rFont val="Noto Sans CJK SC"/>
        <family val="2"/>
      </rPr>
      <t xml:space="preserve">財報新聞稿／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q.rev.*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is.rev.*</t>
    </r>
  </si>
  <si>
    <t xml:space="preserve">檢查：分部合計 − 合併營收</t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</si>
  <si>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分部營業利益（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無未分攤項：分部合計＝合併營業利益）</t>
    </r>
  </si>
  <si>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</si>
  <si>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q.seg27.ai.oi.*</t>
    </r>
  </si>
  <si>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</si>
  <si>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q.seg27.dc.oi.*</t>
    </r>
  </si>
  <si>
    <t xml:space="preserve">合併營業利益（公司損益表）</t>
  </si>
  <si>
    <r>
      <rPr>
        <sz val="11"/>
        <color theme="1"/>
        <rFont val="Noto Sans CJK SC"/>
        <family val="2"/>
      </rPr>
      <t xml:space="preserve">財報新聞稿／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q.oi.*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is.oi.*</t>
    </r>
  </si>
  <si>
    <r>
      <rPr>
        <sz val="11"/>
        <color theme="1"/>
        <rFont val="Noto Sans CJK SC"/>
        <family val="2"/>
      </rPr>
      <t xml:space="preserve">檢查：分部營業利益合計 − 合併營業利益（未分攤＝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</si>
  <si>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合併損益主要列（年度值；淨利另列各季）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</si>
  <si>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等持股損益）</t>
    </r>
  </si>
  <si>
    <r>
      <rPr>
        <sz val="11"/>
        <color theme="1"/>
        <rFont val="Noto Sans CJK SC"/>
        <family val="2"/>
      </rPr>
      <t xml:space="preserve">財報新聞稿／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q.ni.*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is.ni.*</t>
    </r>
  </si>
  <si>
    <r>
      <rPr>
        <sz val="11"/>
        <color theme="1"/>
        <rFont val="Noto Sans CJK SC"/>
        <family val="2"/>
      </rPr>
      <t xml:space="preserve">業外收支（</t>
    </r>
    <r>
      <rPr>
        <sz val="11"/>
        <color theme="1"/>
        <rFont val="Calibri"/>
        <family val="2"/>
        <charset val="1"/>
      </rPr>
      <t xml:space="preserve">other income (expense), net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</si>
  <si>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is.oie.*</t>
    </r>
  </si>
  <si>
    <t xml:space="preserve">稅前淨利</t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</si>
  <si>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is.pretax.*</t>
    </r>
  </si>
  <si>
    <t xml:space="preserve">所得稅</t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</si>
  <si>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is.tax.*</t>
    </r>
  </si>
  <si>
    <r>
      <rPr>
        <sz val="11"/>
        <color theme="1"/>
        <rFont val="Noto Sans CJK SC"/>
        <family val="2"/>
      </rPr>
      <t xml:space="preserve">  其中：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等持股損益（公司非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調節）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</si>
  <si>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is.openaiGain.*</t>
    </r>
  </si>
  <si>
    <t xml:space="preserve">稀釋加權股數（十億股）</t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</si>
  <si>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is.sharesDilW.*</t>
    </r>
  </si>
  <si>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</si>
  <si>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is.epsDil.*</t>
    </r>
  </si>
  <si>
    <r>
      <rPr>
        <sz val="11"/>
        <color theme="1"/>
        <rFont val="Noto Sans CJK SC"/>
        <family val="2"/>
      </rPr>
      <t xml:space="preserve">檢查：營業利益＋業外 − 稅前；稅前 − 稅 − 淨利（年度，應為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</si>
  <si>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現金流量（各季為新聞稿單季值；資本支出為現金 </t>
    </r>
    <r>
      <rPr>
        <b val="true"/>
        <sz val="11"/>
        <rFont val="Cambria"/>
        <family val="0"/>
        <charset val="1"/>
      </rPr>
      <t xml:space="preserve">PP&amp;E</t>
    </r>
    <r>
      <rPr>
        <b val="true"/>
        <sz val="11"/>
        <rFont val="Noto Sans CJK SC"/>
        <family val="2"/>
      </rPr>
      <t xml:space="preserve">）</t>
    </r>
  </si>
  <si>
    <t xml:space="preserve">營業現金流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</si>
  <si>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q.cf.ocf.*</t>
    </r>
  </si>
  <si>
    <r>
      <rPr>
        <sz val="11"/>
        <color theme="1"/>
        <rFont val="Noto Sans CJK SC"/>
        <family val="2"/>
      </rPr>
      <t xml:space="preserve">資本支出（現金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，正值）</t>
    </r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</si>
  <si>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q.cf.capex.*</t>
    </r>
  </si>
  <si>
    <t xml:space="preserve">自由現金流（營業現金流 − 現金資本支出）</t>
  </si>
  <si>
    <t xml:space="preserve">折舊、攤銷及其他（現金流量表）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</si>
  <si>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q.cf.da.*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由年初至今推得）</t>
    </r>
  </si>
  <si>
    <t xml:space="preserve">股票薪酬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</si>
  <si>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q.cf.sbc.*</t>
    </r>
  </si>
  <si>
    <t xml:space="preserve">回購（正值）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</si>
  <si>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q.cf.buyback.*</t>
    </r>
  </si>
  <si>
    <t xml:space="preserve">股利（正值）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</si>
  <si>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q.cf.div.*</t>
    </r>
  </si>
  <si>
    <t xml:space="preserve">資本支出（公司口徑：含融資租賃，法說值）</t>
  </si>
  <si>
    <r>
      <rPr>
        <sz val="11"/>
        <color theme="1"/>
        <rFont val="Noto Sans CJK SC"/>
        <family val="2"/>
      </rPr>
      <t xml:space="preserve">法說｜</t>
    </r>
    <r>
      <rPr>
        <sz val="11"/>
        <color theme="1"/>
        <rFont val="Calibri"/>
        <family val="2"/>
        <charset val="1"/>
      </rPr>
      <t xml:space="preserve">capexFL.*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FY25Q4 </t>
    </r>
    <r>
      <rPr>
        <sz val="11"/>
        <color theme="1"/>
        <rFont val="Noto Sans CJK SC"/>
        <family val="2"/>
      </rPr>
      <t xml:space="preserve">起；公司口徑≠現金＋融資租賃）</t>
    </r>
  </si>
  <si>
    <t xml:space="preserve">融資租賃本金（正值）</t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</si>
  <si>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lease.finPrincipal.*</t>
    </r>
  </si>
  <si>
    <t xml:space="preserve">檢查：四季合計 − 公司年度值（以上各列絕對值合計）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</si>
  <si>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對照：舊三分部（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以前口徑；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／各季新聞稿）與 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</si>
  <si>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Productivity and Business Processes</t>
    </r>
    <r>
      <rPr>
        <sz val="11"/>
        <color theme="1"/>
        <rFont val="Noto Sans CJK SC"/>
        <family val="2"/>
      </rPr>
      <t xml:space="preserve">（舊） 營收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</si>
  <si>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／新聞稿｜</t>
    </r>
    <r>
      <rPr>
        <sz val="11"/>
        <color theme="1"/>
        <rFont val="Calibri"/>
        <family val="2"/>
        <charset val="1"/>
      </rPr>
      <t xml:space="preserve">q.seg.pbp.rev.*</t>
    </r>
  </si>
  <si>
    <r>
      <rPr>
        <sz val="11"/>
        <color theme="1"/>
        <rFont val="Calibri"/>
        <family val="2"/>
        <charset val="1"/>
      </rPr>
      <t xml:space="preserve">Intelligent Cloud</t>
    </r>
    <r>
      <rPr>
        <sz val="11"/>
        <color theme="1"/>
        <rFont val="Noto Sans CJK SC"/>
        <family val="2"/>
      </rPr>
      <t xml:space="preserve">（舊） 營收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</si>
  <si>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／新聞稿｜</t>
    </r>
    <r>
      <rPr>
        <sz val="11"/>
        <color theme="1"/>
        <rFont val="Calibri"/>
        <family val="2"/>
        <charset val="1"/>
      </rPr>
      <t xml:space="preserve">q.seg.ic.rev.*</t>
    </r>
  </si>
  <si>
    <r>
      <rPr>
        <sz val="11"/>
        <color theme="1"/>
        <rFont val="Calibri"/>
        <family val="2"/>
        <charset val="1"/>
      </rPr>
      <t xml:space="preserve">More Personal Computing</t>
    </r>
    <r>
      <rPr>
        <sz val="11"/>
        <color theme="1"/>
        <rFont val="Noto Sans CJK SC"/>
        <family val="2"/>
      </rPr>
      <t xml:space="preserve">（舊） 營收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</si>
  <si>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／新聞稿｜</t>
    </r>
    <r>
      <rPr>
        <sz val="11"/>
        <color theme="1"/>
        <rFont val="Calibri"/>
        <family val="2"/>
        <charset val="1"/>
      </rPr>
      <t xml:space="preserve">q.seg.mpc.rev.*</t>
    </r>
  </si>
  <si>
    <t xml:space="preserve">檢查：舊三分部合計 − 合併營收</t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</si>
  <si>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年增（重編口徑，公司揭露）</t>
    </r>
  </si>
  <si>
    <r>
      <rPr>
        <sz val="11"/>
        <color theme="1"/>
        <rFont val="Calibri"/>
        <family val="2"/>
        <charset val="1"/>
      </rPr>
      <t xml:space="preserve">8-K 2026-09-02 Investor Metrics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q.azure27.growth.*</t>
    </r>
  </si>
  <si>
    <r>
      <rPr>
        <sz val="11"/>
        <color theme="1"/>
        <rFont val="Calibri"/>
        <family val="2"/>
        <charset val="1"/>
      </rPr>
      <t xml:space="preserve">Thesis — </t>
    </r>
    <r>
      <rPr>
        <sz val="11"/>
        <color theme="1"/>
        <rFont val="Noto Sans CJK SC"/>
        <family val="2"/>
      </rPr>
      <t xml:space="preserve">命題模組：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 → Azure 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MW ×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× 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MW ×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成本）→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折舊與營運成本 →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WACC</t>
    </r>
  </si>
  <si>
    <r>
      <rPr>
        <sz val="11"/>
        <color theme="1"/>
        <rFont val="Noto Sans CJK SC"/>
        <family val="2"/>
      </rPr>
      <t xml:space="preserve">三情境的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路徑相同（資本支出依公司指引），差在變現：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（長約／現貨組合）與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座席。命題模組只驅動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」子列與 </t>
    </r>
    <r>
      <rPr>
        <sz val="11"/>
        <color theme="1"/>
        <rFont val="Calibri"/>
        <family val="2"/>
        <charset val="1"/>
      </rPr>
      <t xml:space="preserve">M365 cloud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」子列，不取代官方分部</t>
    </r>
  </si>
  <si>
    <r>
      <rPr>
        <sz val="11"/>
        <color theme="1"/>
        <rFont val="Noto Sans CJK SC"/>
        <family val="2"/>
      </rPr>
      <t xml:space="preserve">核心問題的答案列：「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− WACC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欄）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</si>
  <si>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</si>
  <si>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t xml:space="preserve">FY2024A</t>
  </si>
  <si>
    <t xml:space="preserve">FY2025A</t>
  </si>
  <si>
    <t xml:space="preserve">FY2026A</t>
  </si>
  <si>
    <t xml:space="preserve">FY2027</t>
  </si>
  <si>
    <t xml:space="preserve">FY2028</t>
  </si>
  <si>
    <t xml:space="preserve">FY2029</t>
  </si>
  <si>
    <t xml:space="preserve">FY2030</t>
  </si>
  <si>
    <t xml:space="preserve">FY2031</t>
  </si>
  <si>
    <t xml:space="preserve">FY2032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</si>
  <si>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（年底，含租用）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</si>
  <si>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上限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前期＋每年新增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；三情境速度相同（變現驅動不同）</t>
    </r>
  </si>
  <si>
    <r>
      <rPr>
        <sz val="11"/>
        <color theme="1"/>
        <rFont val="Noto Sans CJK SC"/>
        <family val="2"/>
      </rPr>
      <t xml:space="preserve">  其中租用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</si>
  <si>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收入照算，不計資本支出與折舊（</t>
    </r>
    <r>
      <rPr>
        <sz val="11"/>
        <color theme="1"/>
        <rFont val="Calibri"/>
        <family val="2"/>
        <charset val="1"/>
      </rPr>
      <t xml:space="preserve">C20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</si>
  <si>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自有對外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</si>
  <si>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（對外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對外比例）</t>
    </r>
  </si>
  <si>
    <r>
      <rPr>
        <sz val="11"/>
        <color theme="1"/>
        <rFont val="Noto Sans CJK SC"/>
        <family val="2"/>
      </rPr>
      <t xml:space="preserve">含自用（</t>
    </r>
    <r>
      <rPr>
        <sz val="11"/>
        <color theme="1"/>
        <rFont val="Calibri"/>
        <family val="2"/>
        <charset val="1"/>
      </rPr>
      <t xml:space="preserve">M365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GitHub Copilot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 </t>
    </r>
    <r>
      <rPr>
        <sz val="11"/>
        <color theme="1"/>
        <rFont val="Noto Sans CJK SC"/>
        <family val="2"/>
      </rPr>
      <t xml:space="preserve">研發）</t>
    </r>
  </si>
  <si>
    <r>
      <rPr>
        <sz val="11"/>
        <color theme="1"/>
        <rFont val="Noto Sans CJK SC"/>
        <family val="2"/>
      </rPr>
      <t xml:space="preserve">  其中自用 </t>
    </r>
    <r>
      <rPr>
        <sz val="11"/>
        <color theme="1"/>
        <rFont val="Calibri"/>
        <family val="2"/>
        <charset val="1"/>
      </rPr>
      <t xml:space="preserve">AI MW</t>
    </r>
  </si>
  <si>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新增（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欄含以前全部）</t>
    </r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</si>
  <si>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</t>
    </r>
  </si>
  <si>
    <r>
      <rPr>
        <sz val="11"/>
        <color theme="1"/>
        <rFont val="Noto Sans CJK SC"/>
        <family val="2"/>
      </rPr>
      <t xml:space="preserve">  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</si>
  <si>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  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</t>
    </r>
  </si>
  <si>
    <r>
      <rPr>
        <sz val="11"/>
        <color theme="1"/>
        <rFont val="Noto Sans CJK SC"/>
        <family val="2"/>
      </rPr>
      <t xml:space="preserve">  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</si>
  <si>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</si>
  <si>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Noto Sans CJK SC"/>
        <family val="2"/>
      </rPr>
      <t xml:space="preserve">在役世代加權 </t>
    </r>
    <r>
      <rPr>
        <sz val="11"/>
        <color theme="1"/>
        <rFont val="Calibri"/>
        <family val="2"/>
        <charset val="1"/>
      </rPr>
      <t xml:space="preserve">IF_HoldEcon</t>
    </r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</si>
  <si>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（長約占比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長約＋其餘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現貨）</t>
    </r>
  </si>
  <si>
    <r>
      <rPr>
        <sz val="11"/>
        <color theme="1"/>
        <rFont val="Noto Sans CJK SC"/>
        <family val="2"/>
      </rPr>
      <t xml:space="preserve">實績期（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以前）三情境同用基準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（拆分是估計，不是情境）；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起三年線性移到情境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現貨比重較高、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全長約）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</si>
  <si>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年收入（對外）</t>
    </r>
  </si>
  <si>
    <r>
      <rPr>
        <sz val="11"/>
        <color theme="1"/>
        <rFont val="Noto Sans CJK SC"/>
        <family val="2"/>
      </rPr>
      <t xml:space="preserve">按 </t>
    </r>
    <r>
      <rPr>
        <sz val="11"/>
        <color theme="1"/>
        <rFont val="Calibri"/>
        <family val="2"/>
        <charset val="1"/>
      </rPr>
      <t xml:space="preserve">MW-year </t>
    </r>
    <r>
      <rPr>
        <sz val="11"/>
        <color theme="1"/>
        <rFont val="Noto Sans CJK SC"/>
        <family val="2"/>
      </rPr>
      <t xml:space="preserve">計價，不乘利用率（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</si>
  <si>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營收（期間平均在役對外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</si>
  <si>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為模型估計（用於拆出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其他）</t>
    </r>
  </si>
  <si>
    <r>
      <rPr>
        <sz val="11"/>
        <color theme="1"/>
        <rFont val="Noto Sans CJK SC"/>
        <family val="2"/>
      </rPr>
      <t xml:space="preserve">在役世代加權 </t>
    </r>
    <r>
      <rPr>
        <sz val="11"/>
        <color theme="1"/>
        <rFont val="Calibri"/>
        <family val="2"/>
        <charset val="1"/>
      </rPr>
      <t xml:space="preserve">IF_OpexGW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</si>
  <si>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營運成本：自有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（平均 </t>
    </r>
    <r>
      <rPr>
        <sz val="11"/>
        <color theme="1"/>
        <rFont val="Calibri"/>
        <family val="2"/>
        <charset val="1"/>
      </rPr>
      <t xml:space="preserve">× IF_OpexGW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</si>
  <si>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營運成本：租用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租金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</si>
  <si>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營運成本：租用機房租金（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自建比例）</t>
    </r>
  </si>
  <si>
    <t xml:space="preserve">C22</t>
  </si>
  <si>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中對外的比重（期間平均）</t>
    </r>
  </si>
  <si>
    <r>
      <rPr>
        <sz val="11"/>
        <color theme="1"/>
        <rFont val="Calibri"/>
        <family val="2"/>
        <charset val="1"/>
      </rPr>
      <t xml:space="preserve">Azure AI EBITDA</t>
    </r>
    <r>
      <rPr>
        <sz val="11"/>
        <color theme="1"/>
        <rFont val="Noto Sans CJK SC"/>
        <family val="2"/>
      </rPr>
      <t xml:space="preserve">（營收 − 對外營運成本 − 租金）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</si>
  <si>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營運成本（服務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等自有產品）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</si>
  <si>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資本支出（世代加權）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</si>
  <si>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以前用期初世代加權（估計）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</si>
  <si>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汰換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（自有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滿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年限者）</t>
    </r>
  </si>
  <si>
    <r>
      <rPr>
        <sz val="11"/>
        <color theme="1"/>
        <rFont val="Noto Sans CJK SC"/>
        <family val="2"/>
      </rPr>
      <t xml:space="preserve">只換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、機房不換；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欄含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以前全部（視同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投入）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</si>
  <si>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資本支出（公式）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</si>
  <si>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機房資本支出（自建比例 </t>
    </r>
    <r>
      <rPr>
        <sz val="11"/>
        <color theme="1"/>
        <rFont val="Calibri"/>
        <family val="2"/>
        <charset val="1"/>
      </rPr>
      <t xml:space="preserve">× IF_CapexFacility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</si>
  <si>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補足到公司資本支出下限的差額（計入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</si>
  <si>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近期以公司指引為下限（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方法沿用）；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占約三分之二（法說短期資產）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</si>
  <si>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資本支出（含補足差額）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</si>
  <si>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資本支出合計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</si>
  <si>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以前為依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估計的值（非公司揭露）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</si>
  <si>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折舊（半年慣例、年限 </t>
    </r>
    <r>
      <rPr>
        <sz val="11"/>
        <color theme="1"/>
        <rFont val="Calibri"/>
        <family val="2"/>
        <charset val="1"/>
      </rPr>
      <t xml:space="preserve">life_it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</si>
  <si>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機房折舊（年限 </t>
    </r>
    <r>
      <rPr>
        <sz val="11"/>
        <color theme="1"/>
        <rFont val="Calibri"/>
        <family val="2"/>
        <charset val="1"/>
      </rPr>
      <t xml:space="preserve">life_fac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</si>
  <si>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折舊合計（進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營業利益）</t>
    </r>
  </si>
  <si>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對外分攤折舊）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</si>
  <si>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</si>
  <si>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增量營業利益＝</t>
    </r>
    <r>
      <rPr>
        <sz val="11"/>
        <color theme="1"/>
        <rFont val="Calibri"/>
        <family val="2"/>
        <charset val="1"/>
      </rPr>
      <t xml:space="preserve">Azure AI EBITDA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Copilot × </t>
    </r>
    <r>
      <rPr>
        <sz val="11"/>
        <color theme="1"/>
        <rFont val="Noto Sans CJK SC"/>
        <family val="2"/>
      </rPr>
      <t xml:space="preserve">核心利益率 − 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</si>
  <si>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AI PP&amp;E </t>
    </r>
    <r>
      <rPr>
        <sz val="11"/>
        <color theme="1"/>
        <rFont val="Noto Sans CJK SC"/>
        <family val="2"/>
      </rPr>
      <t xml:space="preserve">淨額（年底）</t>
    </r>
  </si>
  <si>
    <r>
      <rPr>
        <sz val="11"/>
        <color theme="1"/>
        <rFont val="Noto Sans CJK SC"/>
        <family val="2"/>
      </rPr>
      <t xml:space="preserve">期初＝自有 </t>
    </r>
    <r>
      <rPr>
        <sz val="11"/>
        <color theme="1"/>
        <rFont val="Calibri"/>
        <family val="2"/>
        <charset val="1"/>
      </rPr>
      <t xml:space="preserve">AI 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全成本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淨額比（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</si>
  <si>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</t>
    </r>
    <r>
      <rPr>
        <sz val="11"/>
        <color theme="1"/>
        <rFont val="Noto Sans CJK SC"/>
        <family val="2"/>
      </rPr>
      <t xml:space="preserve">（稅後營業利益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AI PP&amp;E </t>
    </r>
    <r>
      <rPr>
        <sz val="11"/>
        <color theme="1"/>
        <rFont val="Noto Sans CJK SC"/>
        <family val="2"/>
      </rPr>
      <t xml:space="preserve">淨額）</t>
    </r>
  </si>
  <si>
    <r>
      <rPr>
        <sz val="11"/>
        <color theme="1"/>
        <rFont val="Noto Sans CJK SC"/>
        <family val="2"/>
      </rPr>
      <t xml:space="preserve">  對外 </t>
    </r>
    <r>
      <rPr>
        <sz val="11"/>
        <color theme="1"/>
        <rFont val="Calibri"/>
        <family val="2"/>
        <charset val="1"/>
      </rPr>
      <t xml:space="preserve">AI ROIC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對外分攤的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C11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</si>
  <si>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− WACC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</si>
  <si>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經濟利潤＝稅後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營業利益 − </t>
    </r>
    <r>
      <rPr>
        <sz val="11"/>
        <color theme="1"/>
        <rFont val="Calibri"/>
        <family val="2"/>
        <charset val="1"/>
      </rPr>
      <t xml:space="preserve">WACC ×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AI PP&amp;E </t>
    </r>
    <r>
      <rPr>
        <sz val="11"/>
        <color theme="1"/>
        <rFont val="Noto Sans CJK SC"/>
        <family val="2"/>
      </rPr>
      <t xml:space="preserve">淨額</t>
    </r>
  </si>
  <si>
    <r>
      <rPr>
        <sz val="11"/>
        <color theme="1"/>
        <rFont val="Noto Sans CJK SC"/>
        <family val="2"/>
      </rPr>
      <t xml:space="preserve">對照（讀法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C16</t>
    </r>
    <r>
      <rPr>
        <sz val="11"/>
        <color theme="1"/>
        <rFont val="Noto Sans CJK SC"/>
        <family val="2"/>
      </rPr>
      <t xml:space="preserve">）：自用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影子收入（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，剛好回收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持有成本）</t>
    </r>
  </si>
  <si>
    <t xml:space="preserve">只作對照，不進損益與目標價</t>
  </si>
  <si>
    <r>
      <rPr>
        <sz val="11"/>
        <color theme="1"/>
        <rFont val="Noto Sans CJK SC"/>
        <family val="2"/>
      </rPr>
      <t xml:space="preserve">對照（讀法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AI ROIC</t>
    </r>
    <r>
      <rPr>
        <sz val="11"/>
        <color theme="1"/>
        <rFont val="Noto Sans CJK SC"/>
        <family val="2"/>
      </rPr>
      <t xml:space="preserve">（影子收入取代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</si>
  <si>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價值中性時的 </t>
    </r>
    <r>
      <rPr>
        <sz val="11"/>
        <color theme="1"/>
        <rFont val="Calibri"/>
        <family val="2"/>
        <charset val="1"/>
      </rPr>
      <t xml:space="preserve">AI ROIC</t>
    </r>
    <r>
      <rPr>
        <sz val="11"/>
        <color theme="1"/>
        <rFont val="Noto Sans CJK SC"/>
        <family val="2"/>
      </rPr>
      <t xml:space="preserve">；與主值的差＝自用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未被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收入覆蓋的部分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</si>
  <si>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</si>
  <si>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</si>
  <si>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Seg — </t>
    </r>
    <r>
      <rPr>
        <sz val="11"/>
        <color theme="1"/>
        <rFont val="Noto Sans CJK SC"/>
        <family val="2"/>
      </rPr>
      <t xml:space="preserve">營收分部層：官方分部 </t>
    </r>
    <r>
      <rPr>
        <sz val="11"/>
        <color theme="1"/>
        <rFont val="Calibri"/>
        <family val="2"/>
        <charset val="1"/>
      </rPr>
      <t xml:space="preserve">Agents and Infra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Devices and Consumer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重編）→ 八條產品線；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（命題）＋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其他；</t>
    </r>
    <r>
      <rPr>
        <sz val="11"/>
        <color theme="1"/>
        <rFont val="Calibri"/>
        <family val="2"/>
        <charset val="1"/>
      </rPr>
      <t xml:space="preserve">Microsoft 365 cloud </t>
    </r>
    <r>
      <rPr>
        <sz val="11"/>
        <color theme="1"/>
        <rFont val="Noto Sans CJK SC"/>
        <family val="2"/>
      </rPr>
      <t xml:space="preserve">＝ 基礎 ＋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（命題）</t>
    </r>
  </si>
  <si>
    <r>
      <rPr>
        <sz val="11"/>
        <color theme="1"/>
        <rFont val="Noto Sans CJK SC"/>
        <family val="2"/>
      </rPr>
      <t xml:space="preserve">非命題產品線：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年增線性收斂到長期值（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到達；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節）；三情境相同。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欄為實績（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M365 cloud </t>
    </r>
    <r>
      <rPr>
        <sz val="11"/>
        <color theme="1"/>
        <rFont val="Noto Sans CJK SC"/>
        <family val="2"/>
      </rPr>
      <t xml:space="preserve">的子列為模型拆分）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</si>
  <si>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</si>
  <si>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Azure AI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</si>
  <si>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Calibri"/>
        <family val="2"/>
        <charset val="1"/>
      </rPr>
      <t xml:space="preserve">  Azure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雲端；</t>
    </r>
    <r>
      <rPr>
        <sz val="11"/>
        <color theme="1"/>
        <rFont val="Calibri"/>
        <family val="2"/>
        <charset val="1"/>
      </rPr>
      <t xml:space="preserve">FY2025–26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實績 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估計）</t>
    </r>
  </si>
  <si>
    <t xml:space="preserve">    年增（近一年 → 長期值）</t>
  </si>
  <si>
    <t xml:space="preserve">Azure</t>
  </si>
  <si>
    <r>
      <rPr>
        <sz val="11"/>
        <color theme="1"/>
        <rFont val="Calibri"/>
        <family val="2"/>
        <charset val="1"/>
      </rPr>
      <t xml:space="preserve">  Copilot </t>
    </r>
    <r>
      <rPr>
        <sz val="11"/>
        <color theme="1"/>
        <rFont val="Noto Sans CJK SC"/>
        <family val="2"/>
      </rPr>
      <t xml:space="preserve">付費座席（年底）</t>
    </r>
  </si>
  <si>
    <r>
      <rPr>
        <sz val="11"/>
        <color theme="1"/>
        <rFont val="Calibri"/>
        <family val="2"/>
        <charset val="1"/>
      </rPr>
      <t xml:space="preserve">  Copilot</t>
    </r>
    <r>
      <rPr>
        <sz val="11"/>
        <color theme="1"/>
        <rFont val="Noto Sans CJK SC"/>
        <family val="2"/>
      </rPr>
      <t xml:space="preserve">（命題子列：平均座席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月費 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）</t>
    </r>
  </si>
  <si>
    <t xml:space="preserve">實績期用基準月費（拆分是估計）；敏感度只改預測期</t>
  </si>
  <si>
    <r>
      <rPr>
        <sz val="11"/>
        <color theme="1"/>
        <rFont val="Calibri"/>
        <family val="2"/>
        <charset val="1"/>
      </rPr>
      <t xml:space="preserve">  M365 </t>
    </r>
    <r>
      <rPr>
        <sz val="11"/>
        <color theme="1"/>
        <rFont val="Noto Sans CJK SC"/>
        <family val="2"/>
      </rPr>
      <t xml:space="preserve">基礎（不含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FY2025–26</t>
    </r>
    <r>
      <rPr>
        <sz val="11"/>
        <color theme="1"/>
        <rFont val="Noto Sans CJK SC"/>
        <family val="2"/>
      </rPr>
      <t xml:space="preserve">＝實績 −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估計）</t>
    </r>
  </si>
  <si>
    <t xml:space="preserve">Microsoft 365 cloud</t>
  </si>
  <si>
    <t xml:space="preserve">Productivity and server licensing</t>
  </si>
  <si>
    <t xml:space="preserve">Industry solutions</t>
  </si>
  <si>
    <t xml:space="preserve">Frontier and support services</t>
  </si>
  <si>
    <t xml:space="preserve">Search and advertising</t>
  </si>
  <si>
    <t xml:space="preserve">XBOX</t>
  </si>
  <si>
    <t xml:space="preserve">Windows OEM and devices</t>
  </si>
  <si>
    <t xml:space="preserve">合併營收（分部合計）</t>
  </si>
  <si>
    <t xml:space="preserve">檢查：產品線合計 − 分部；實績期另比對公司分部值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</si>
  <si>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</si>
  <si>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</si>
  <si>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分部營收 → 分部營業利益（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由核心利益率扣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折舊；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依實績利益率）→ 合併營業利益 → 業外 → 稅 → 淨利 →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</si>
  <si>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核對列（三情境、全部年度合計，應為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segments.json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tools/segment_check </t>
    </r>
    <r>
      <rPr>
        <sz val="11"/>
        <color theme="1"/>
        <rFont val="Noto Sans CJK SC"/>
        <family val="2"/>
      </rPr>
      <t xml:space="preserve">讀這三列）</t>
    </r>
  </si>
  <si>
    <t xml:space="preserve">檢查：分部合計 − 合併營收（三情境，實績期另比對公司值）</t>
  </si>
  <si>
    <t xml:space="preserve">檢查：產品線合計 − 分部（三情境，實績期另比對公司值）</t>
  </si>
  <si>
    <r>
      <rPr>
        <sz val="11"/>
        <color theme="1"/>
        <rFont val="Noto Sans CJK SC"/>
        <family val="2"/>
      </rPr>
      <t xml:space="preserve">檢查：命題子列合計 − 母列（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；三情境）</t>
    </r>
  </si>
  <si>
    <t xml:space="preserve">檢查：分部營業利益合計 − 合併營業利益（三情境；實績期比對公司值）</t>
  </si>
  <si>
    <r>
      <rPr>
        <sz val="11"/>
        <color theme="1"/>
        <rFont val="Noto Sans CJK SC"/>
        <family val="2"/>
      </rPr>
      <t xml:space="preserve">以下三個區塊依序為情境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；分部與產品線列標籤與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相同（</t>
    </r>
    <r>
      <rPr>
        <sz val="11"/>
        <color theme="1"/>
        <rFont val="Calibri"/>
        <family val="2"/>
        <charset val="1"/>
      </rPr>
      <t xml:space="preserve">segments.json </t>
    </r>
    <r>
      <rPr>
        <sz val="11"/>
        <color theme="1"/>
        <rFont val="Noto Sans CJK SC"/>
        <family val="2"/>
      </rPr>
      <t xml:space="preserve">對應）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</si>
  <si>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</si>
  <si>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Azure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</si>
  <si>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Calibri"/>
        <family val="2"/>
        <charset val="1"/>
      </rPr>
      <t xml:space="preserve">  M365 </t>
    </r>
    <r>
      <rPr>
        <sz val="11"/>
        <color theme="1"/>
        <rFont val="Noto Sans CJK SC"/>
        <family val="2"/>
      </rPr>
      <t xml:space="preserve">基礎（不含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</si>
  <si>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Copilot</t>
    </r>
    <r>
      <rPr>
        <sz val="11"/>
        <color theme="1"/>
        <rFont val="Noto Sans CJK SC"/>
        <family val="2"/>
      </rPr>
      <t xml:space="preserve">（命題子列）</t>
    </r>
  </si>
  <si>
    <t xml:space="preserve">合併營收</t>
  </si>
  <si>
    <t xml:space="preserve">營收年增</t>
  </si>
  <si>
    <r>
      <rPr>
        <sz val="11"/>
        <color theme="1"/>
        <rFont val="Noto Sans CJK SC"/>
        <family val="2"/>
      </rPr>
      <t xml:space="preserve">檢查：分部合計 − 合併營收；子列合計 − 母列（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M365 cloud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</si>
  <si>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核心利益率（扣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折舊前；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</si>
  <si>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分部營業利益＋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</t>
    </r>
    <r>
      <rPr>
        <sz val="11"/>
        <color theme="1"/>
        <rFont val="Calibri"/>
        <family val="2"/>
        <charset val="1"/>
      </rPr>
      <t xml:space="preserve">) ÷ (</t>
    </r>
    <r>
      <rPr>
        <sz val="11"/>
        <color theme="1"/>
        <rFont val="Noto Sans CJK SC"/>
        <family val="2"/>
      </rPr>
      <t xml:space="preserve">分部營收 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；之後固定（＋</t>
    </r>
    <r>
      <rPr>
        <sz val="11"/>
        <color theme="1"/>
        <rFont val="Calibri"/>
        <family val="2"/>
        <charset val="1"/>
      </rPr>
      <t xml:space="preserve">dm_seg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</si>
  <si>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＝核心利益率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（分部營收 −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資本支出經折舊進分部營業利益</t>
    </r>
  </si>
  <si>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</si>
  <si>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實績後固定（＋</t>
    </r>
    <r>
      <rPr>
        <sz val="11"/>
        <color theme="1"/>
        <rFont val="Calibri"/>
        <family val="2"/>
        <charset val="1"/>
      </rPr>
      <t xml:space="preserve">dm_seg</t>
    </r>
    <r>
      <rPr>
        <sz val="11"/>
        <color theme="1"/>
        <rFont val="Noto Sans CJK SC"/>
        <family val="2"/>
      </rPr>
      <t xml:space="preserve">）</t>
    </r>
  </si>
  <si>
    <t xml:space="preserve">合併營業利益（分部合計；無未分攤項）</t>
  </si>
  <si>
    <t xml:space="preserve">檢查：分部營業利益合計 − 公司合併營業利益（實績）</t>
  </si>
  <si>
    <t xml:space="preserve">營業利益率</t>
  </si>
  <si>
    <r>
      <rPr>
        <sz val="11"/>
        <color theme="1"/>
        <rFont val="Noto Sans CJK SC"/>
        <family val="2"/>
      </rPr>
      <t xml:space="preserve">  備忘：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</si>
  <si>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備忘：非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折舊攤銷（</t>
    </r>
    <r>
      <rPr>
        <sz val="11"/>
        <color theme="1"/>
        <rFont val="Calibri"/>
        <family val="2"/>
        <charset val="1"/>
      </rPr>
      <t xml:space="preserve">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</si>
  <si>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業外收支（預測期不含持股評價損益＝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</si>
  <si>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重組利得等 </t>
    </r>
    <r>
      <rPr>
        <sz val="11"/>
        <color theme="1"/>
        <rFont val="Calibri"/>
        <family val="2"/>
        <charset val="1"/>
      </rPr>
      <t xml:space="preserve">+6.5</t>
    </r>
  </si>
  <si>
    <t xml:space="preserve">淨利</t>
  </si>
  <si>
    <r>
      <rPr>
        <sz val="11"/>
        <color theme="1"/>
        <rFont val="Noto Sans CJK SC"/>
        <family val="2"/>
      </rPr>
      <t xml:space="preserve">稀釋股數（十億股；回購依 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</si>
  <si>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（稀釋，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</si>
  <si>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實績期與公司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 </t>
    </r>
    <r>
      <rPr>
        <sz val="11"/>
        <color theme="1"/>
        <rFont val="Calibri"/>
        <family val="2"/>
        <charset val="1"/>
      </rPr>
      <t xml:space="preserve">&lt; 0.01</t>
    </r>
    <r>
      <rPr>
        <sz val="11"/>
        <color theme="1"/>
        <rFont val="Noto Sans CJK SC"/>
        <family val="2"/>
      </rPr>
      <t xml:space="preserve">（四捨五入）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</si>
  <si>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</si>
  <si>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</si>
  <si>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</si>
  <si>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CF — </t>
    </r>
    <r>
      <rPr>
        <sz val="11"/>
        <color theme="1"/>
        <rFont val="Noto Sans CJK SC"/>
        <family val="2"/>
      </rPr>
      <t xml:space="preserve">營業現金流（淨利＋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折舊＋股票薪酬＋營運資金）− 資本支出（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比例）− 融資租賃本金 → 自由現金流；股利、回購、舉債（最低現金）</t>
    </r>
  </si>
  <si>
    <r>
      <rPr>
        <sz val="11"/>
        <color theme="1"/>
        <rFont val="Noto Sans CJK SC"/>
        <family val="2"/>
      </rPr>
      <t xml:space="preserve">收支關卡（地圖讀此表）：模型期間 </t>
    </r>
    <r>
      <rPr>
        <sz val="11"/>
        <color theme="1"/>
        <rFont val="Calibri"/>
        <family val="2"/>
        <charset val="1"/>
      </rPr>
      <t xml:space="preserve">FY2027–FY2031 </t>
    </r>
    <r>
      <rPr>
        <sz val="11"/>
        <color theme="1"/>
        <rFont val="Noto Sans CJK SC"/>
        <family val="2"/>
      </rPr>
      <t xml:space="preserve">自由現金流扣股利後合計；並判斷是否需要舉債或停止回購</t>
    </r>
  </si>
  <si>
    <t xml:space="preserve">收支關卡：自由現金流扣股利（五年合計）</t>
  </si>
  <si>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；為正＝五年自由現金流足以支付股利（地圖收支關卡讀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欄＝基準情境）</t>
    </r>
  </si>
  <si>
    <r>
      <rPr>
        <sz val="11"/>
        <color theme="1"/>
        <rFont val="Noto Sans CJK SC"/>
        <family val="2"/>
      </rPr>
      <t xml:space="preserve">是否需要舉債或停止回購（</t>
    </r>
    <r>
      <rPr>
        <sz val="11"/>
        <color theme="1"/>
        <rFont val="Calibri"/>
        <family val="2"/>
        <charset val="1"/>
      </rPr>
      <t xml:space="preserve">FY2027–FY2031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</si>
  <si>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</si>
  <si>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</si>
  <si>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（公司口徑，參考）</t>
    </r>
  </si>
  <si>
    <r>
      <rPr>
        <sz val="11"/>
        <color theme="1"/>
        <rFont val="Noto Sans CJK SC"/>
        <family val="2"/>
      </rPr>
      <t xml:space="preserve">回購合計 </t>
    </r>
    <r>
      <rPr>
        <sz val="11"/>
        <color theme="1"/>
        <rFont val="Calibri"/>
        <family val="2"/>
        <charset val="1"/>
      </rPr>
      <t xml:space="preserve">FY2027–FY2031</t>
    </r>
  </si>
  <si>
    <r>
      <rPr>
        <sz val="11"/>
        <color theme="1"/>
        <rFont val="Noto Sans CJK SC"/>
        <family val="2"/>
      </rPr>
      <t xml:space="preserve">新增舉債合計 </t>
    </r>
    <r>
      <rPr>
        <sz val="11"/>
        <color theme="1"/>
        <rFont val="Calibri"/>
        <family val="2"/>
        <charset val="1"/>
      </rPr>
      <t xml:space="preserve">FY2027–FY2031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</si>
  <si>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</si>
  <si>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折舊攤銷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</si>
  <si>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＝公司 </t>
    </r>
    <r>
      <rPr>
        <sz val="11"/>
        <color theme="1"/>
        <rFont val="Calibri"/>
        <family val="2"/>
        <charset val="1"/>
      </rPr>
      <t xml:space="preserve">D&amp;A − AI </t>
    </r>
    <r>
      <rPr>
        <sz val="11"/>
        <color theme="1"/>
        <rFont val="Noto Sans CJK SC"/>
        <family val="2"/>
      </rPr>
      <t xml:space="preserve">折舊估計（</t>
    </r>
    <r>
      <rPr>
        <sz val="11"/>
        <color theme="1"/>
        <rFont val="Calibri"/>
        <family val="2"/>
        <charset val="1"/>
      </rPr>
      <t xml:space="preserve">C17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</si>
  <si>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折舊攤銷合計（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</si>
  <si>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營運資金變動</t>
  </si>
  <si>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：首期＝上一年度實績；之後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</si>
  <si>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</si>
  <si>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資本支出（各線營收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比例）</t>
    </r>
  </si>
  <si>
    <t xml:space="preserve">資本支出合計（公司口徑，含融資租賃）</t>
  </si>
  <si>
    <r>
      <rPr>
        <sz val="11"/>
        <color theme="1"/>
        <rFont val="Noto Sans CJK SC"/>
        <family val="2"/>
      </rPr>
      <t xml:space="preserve">新的融資租賃在取得時視同現金（偏保守，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為公司法說值</t>
    </r>
  </si>
  <si>
    <t xml:space="preserve">在帳融資租賃負債（年底）</t>
  </si>
  <si>
    <t xml:space="preserve">在帳融資租賃本金（付款 − 利息）</t>
  </si>
  <si>
    <t xml:space="preserve">自由現金流（營業現金流 − 資本支出 − 融資租賃本金）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</si>
  <si>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為實績（現金資本支出口徑）</t>
    </r>
  </si>
  <si>
    <t xml:space="preserve">每股股利</t>
  </si>
  <si>
    <t xml:space="preserve">股利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</si>
  <si>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期初流通股數（避免與回購循環）</t>
    </r>
  </si>
  <si>
    <t xml:space="preserve">自由現金流扣股利</t>
  </si>
  <si>
    <t xml:space="preserve">債務到期償還</t>
  </si>
  <si>
    <t xml:space="preserve">回購（現金不足時先減）</t>
  </si>
  <si>
    <t xml:space="preserve">新增舉債（維持最低現金）</t>
  </si>
  <si>
    <t xml:space="preserve">現金與短期投資（年底）</t>
  </si>
  <si>
    <t xml:space="preserve">債務（年底，面額）</t>
  </si>
  <si>
    <t xml:space="preserve">淨現金（不含租賃）</t>
  </si>
  <si>
    <t xml:space="preserve">回購均價</t>
  </si>
  <si>
    <t xml:space="preserve">流通股數（年底）</t>
  </si>
  <si>
    <t xml:space="preserve">稀釋加權股數</t>
  </si>
  <si>
    <r>
      <rPr>
        <sz val="11"/>
        <color theme="1"/>
        <rFont val="Noto Sans CJK SC"/>
        <family val="2"/>
      </rPr>
      <t xml:space="preserve">自由現金流扣股利（</t>
    </r>
    <r>
      <rPr>
        <sz val="11"/>
        <color theme="1"/>
        <rFont val="Calibri"/>
        <family val="2"/>
        <charset val="1"/>
      </rPr>
      <t xml:space="preserve">FY2027–FY2031 </t>
    </r>
    <r>
      <rPr>
        <sz val="11"/>
        <color theme="1"/>
        <rFont val="Noto Sans CJK SC"/>
        <family val="2"/>
      </rPr>
      <t xml:space="preserve">合計，本情境）</t>
    </r>
  </si>
  <si>
    <t xml:space="preserve">文字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</si>
  <si>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</si>
  <si>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</si>
  <si>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目標價（約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個月後，</t>
    </r>
    <r>
      <rPr>
        <sz val="11"/>
        <color theme="1"/>
        <rFont val="Calibri"/>
        <family val="2"/>
        <charset val="1"/>
      </rPr>
      <t xml:space="preserve">2027-10-27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SOTP 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在分部層做）；情境權重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（皆 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頁黃底）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</si>
  <si>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：自由現金流（扣資本支出與融資租賃本金）以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折現到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後永續（</t>
    </r>
    <r>
      <rPr>
        <sz val="11"/>
        <color theme="1"/>
        <rFont val="Calibri"/>
        <family val="2"/>
        <charset val="1"/>
      </rPr>
      <t xml:space="preserve">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</t>
    </r>
    <r>
      <rPr>
        <sz val="11"/>
        <color theme="1"/>
        <rFont val="Noto Sans CJK SC"/>
        <family val="2"/>
      </rPr>
      <t xml:space="preserve">新投資報酬）），再以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推到目標價時點；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：各產品線目標價時點 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NTM EV/EBITDA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</si>
  <si>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</si>
  <si>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（自由現金流折現；</t>
    </r>
    <r>
      <rPr>
        <b val="true"/>
        <sz val="11"/>
        <rFont val="Cambria"/>
        <family val="0"/>
        <charset val="1"/>
      </rPr>
      <t xml:space="preserve">WACC </t>
    </r>
    <r>
      <rPr>
        <b val="true"/>
        <sz val="11"/>
        <rFont val="Noto Sans CJK SC"/>
        <family val="2"/>
      </rPr>
      <t xml:space="preserve">沿用 </t>
    </r>
    <r>
      <rPr>
        <b val="true"/>
        <sz val="11"/>
        <rFont val="Cambria"/>
        <family val="0"/>
        <charset val="1"/>
      </rPr>
      <t xml:space="preserve">v0.2.2 CAPM </t>
    </r>
    <r>
      <rPr>
        <b val="true"/>
        <sz val="11"/>
        <rFont val="Noto Sans CJK SC"/>
        <family val="2"/>
      </rPr>
      <t xml:space="preserve">輸入；</t>
    </r>
    <r>
      <rPr>
        <b val="true"/>
        <sz val="11"/>
        <rFont val="Cambria"/>
        <family val="0"/>
        <charset val="1"/>
      </rPr>
      <t xml:space="preserve">g 3%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</si>
  <si>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企業價值（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</si>
  <si>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永續價值占比</t>
  </si>
  <si>
    <r>
      <rPr>
        <sz val="11"/>
        <color theme="1"/>
        <rFont val="Noto Sans CJK SC"/>
        <family val="2"/>
      </rPr>
      <t xml:space="preserve">永續價值現值 </t>
    </r>
    <r>
      <rPr>
        <sz val="11"/>
        <color theme="1"/>
        <rFont val="Calibri"/>
        <family val="2"/>
        <charset val="1"/>
      </rPr>
      <t xml:space="preserve">÷ EV</t>
    </r>
  </si>
  <si>
    <r>
      <rPr>
        <sz val="11"/>
        <color theme="1"/>
        <rFont val="Noto Sans CJK SC"/>
        <family val="2"/>
      </rPr>
      <t xml:space="preserve">加：淨現金（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</si>
  <si>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加：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持股（比例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流動性折價））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</si>
  <si>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比例未揭露，不估值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</si>
  <si>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</si>
  <si>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</si>
  <si>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</si>
  <si>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＝評價日 → </t>
    </r>
    <r>
      <rPr>
        <sz val="11"/>
        <color theme="1"/>
        <rFont val="Calibri"/>
        <family val="2"/>
        <charset val="1"/>
      </rPr>
      <t xml:space="preserve">2027-10-27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</si>
  <si>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</si>
  <si>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</si>
  <si>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／永續成長率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</si>
  <si>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</si>
  <si>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在分部層做：各產品線目標價時點 </t>
    </r>
    <r>
      <rPr>
        <b val="true"/>
        <sz val="11"/>
        <rFont val="Cambria"/>
        <family val="0"/>
        <charset val="1"/>
      </rPr>
      <t xml:space="preserve">NTM EBITDA × </t>
    </r>
    <r>
      <rPr>
        <b val="true"/>
        <sz val="11"/>
        <rFont val="Noto Sans CJK SC"/>
        <family val="2"/>
      </rPr>
      <t xml:space="preserve">同業 </t>
    </r>
    <r>
      <rPr>
        <b val="true"/>
        <sz val="11"/>
        <rFont val="Cambria"/>
        <family val="0"/>
        <charset val="1"/>
      </rPr>
      <t xml:space="preserve">NTM EV/EBITDA </t>
    </r>
    <r>
      <rPr>
        <b val="true"/>
        <sz val="11"/>
        <rFont val="Noto Sans CJK SC"/>
        <family val="2"/>
      </rPr>
      <t xml:space="preserve">中位數）</t>
    </r>
  </si>
  <si>
    <r>
      <rPr>
        <b val="true"/>
        <sz val="11"/>
        <rFont val="Noto Sans CJK SC"/>
        <family val="2"/>
      </rPr>
      <t xml:space="preserve">倍數（</t>
    </r>
    <r>
      <rPr>
        <b val="true"/>
        <sz val="11"/>
        <rFont val="Cambria"/>
        <family val="0"/>
        <charset val="1"/>
      </rPr>
      <t xml:space="preserve">x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</si>
  <si>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Azure AI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</si>
  <si>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雲端同業）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</si>
  <si>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（企業軟體同業）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</si>
  <si>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（企業軟體）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</si>
  <si>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（企業軟體）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</si>
  <si>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（企業軟體）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</si>
  <si>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（數位廣告同業）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</si>
  <si>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（遊戲同業）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</si>
  <si>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Windows OEM and devices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／裝置同業）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</si>
  <si>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</si>
  <si>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Noto Sans CJK SC"/>
        <family val="2"/>
      </rPr>
      <t xml:space="preserve">加：淨現金（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年底）＋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 − 在帳融資租賃負債</t>
    </r>
  </si>
  <si>
    <t xml:space="preserve">分部加總每股價值（目標價時點）</t>
  </si>
  <si>
    <r>
      <rPr>
        <sz val="11"/>
        <color theme="1"/>
        <rFont val="Calibri"/>
        <family val="2"/>
        <charset val="1"/>
      </rPr>
      <t xml:space="preserve">÷ FY2027 </t>
    </r>
    <r>
      <rPr>
        <sz val="11"/>
        <color theme="1"/>
        <rFont val="Noto Sans CJK SC"/>
        <family val="2"/>
      </rPr>
      <t xml:space="preserve">年底流通股數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</si>
  <si>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</si>
  <si>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＝分部加總（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）情境加權；同業倍數見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節與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</si>
  <si>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</si>
  <si>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</si>
  <si>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</si>
  <si>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</si>
  <si>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w_dcf × DCF 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分部加總；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</si>
  <si>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</si>
  <si>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57 </t>
    </r>
    <r>
      <rPr>
        <sz val="11"/>
        <color theme="1"/>
        <rFont val="Noto Sans CJK SC"/>
        <family val="2"/>
      </rPr>
      <t xml:space="preserve">位平均；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＝最低、最高（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</si>
  <si>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</si>
  <si>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</si>
  <si>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</si>
  <si>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</si>
  <si>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</si>
  <si>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</si>
  <si>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</si>
  <si>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五級固定規則：≥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放空、≤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</si>
  <si>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SOTP 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</si>
  <si>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</si>
  <si>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上檔空間：情境目標價</t>
  </si>
  <si>
    <r>
      <rPr>
        <sz val="11"/>
        <color theme="1"/>
        <rFont val="Noto Sans CJK SC"/>
        <family val="2"/>
      </rPr>
      <t xml:space="preserve">投資建議（基準情境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，參考）</t>
    </r>
  </si>
  <si>
    <r>
      <rPr>
        <sz val="11"/>
        <color theme="1"/>
        <rFont val="Noto Sans CJK SC"/>
        <family val="2"/>
      </rPr>
      <t xml:space="preserve">地圖與評等用加權目標價（</t>
    </r>
    <r>
      <rPr>
        <sz val="11"/>
        <color theme="1"/>
        <rFont val="Calibri"/>
        <family val="2"/>
        <charset val="1"/>
      </rPr>
      <t xml:space="preserve">B38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</si>
  <si>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悲觀情境價（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</si>
  <si>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工作單：悲觀情境價＝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</si>
  <si>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</si>
  <si>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</si>
  <si>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</si>
  <si>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加權目標價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（基準）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</si>
  <si>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</si>
  <si>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：自由現金流（營業現金流 − 公司口徑資本支出 − 在帳融資租賃本金），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rf 5.28%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β 1.137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ERP 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kd 6.26%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FY2027–FY2032 </t>
    </r>
    <r>
      <rPr>
        <sz val="11"/>
        <color theme="1"/>
        <rFont val="Noto Sans CJK SC"/>
        <family val="2"/>
      </rPr>
      <t xml:space="preserve">明確期，永續期 </t>
    </r>
    <r>
      <rPr>
        <sz val="11"/>
        <color theme="1"/>
        <rFont val="Calibri"/>
        <family val="2"/>
        <charset val="1"/>
      </rPr>
      <t xml:space="preserve">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WACC − g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g 3%</t>
    </r>
    <r>
      <rPr>
        <sz val="11"/>
        <color theme="1"/>
        <rFont val="Noto Sans CJK SC"/>
        <family val="2"/>
      </rPr>
      <t xml:space="preserve">；評價日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推到 </t>
    </r>
    <r>
      <rPr>
        <sz val="11"/>
        <color theme="1"/>
        <rFont val="Calibri"/>
        <family val="2"/>
        <charset val="1"/>
      </rPr>
      <t xml:space="preserve">2027-10-27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Azure AI 6×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13.82×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家）、</t>
    </r>
    <r>
      <rPr>
        <sz val="11"/>
        <color theme="1"/>
        <rFont val="Calibri"/>
        <family val="2"/>
        <charset val="1"/>
      </rPr>
      <t xml:space="preserve">M365 cloud</t>
    </r>
    <r>
      <rPr>
        <sz val="11"/>
        <color theme="1"/>
        <rFont val="Noto Sans CJK SC"/>
        <family val="2"/>
      </rPr>
      <t xml:space="preserve">／授權／產業／</t>
    </r>
    <r>
      <rPr>
        <sz val="11"/>
        <color theme="1"/>
        <rFont val="Calibri"/>
        <family val="2"/>
        <charset val="1"/>
      </rPr>
      <t xml:space="preserve">Frontier 10.8×</t>
    </r>
    <r>
      <rPr>
        <sz val="11"/>
        <color theme="1"/>
        <rFont val="Noto Sans CJK SC"/>
        <family val="2"/>
      </rPr>
      <t xml:space="preserve">（企業軟體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家，不含 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）、搜尋與廣告 </t>
    </r>
    <r>
      <rPr>
        <sz val="11"/>
        <color theme="1"/>
        <rFont val="Calibri"/>
        <family val="2"/>
        <charset val="1"/>
      </rPr>
      <t xml:space="preserve">9.11×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家）、</t>
    </r>
    <r>
      <rPr>
        <sz val="11"/>
        <color theme="1"/>
        <rFont val="Calibri"/>
        <family val="2"/>
        <charset val="1"/>
      </rPr>
      <t xml:space="preserve">XBOX 12.63×</t>
    </r>
    <r>
      <rPr>
        <sz val="11"/>
        <color theme="1"/>
        <rFont val="Noto Sans CJK SC"/>
        <family val="2"/>
      </rPr>
      <t xml:space="preserve">（遊戲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Windows 14.47×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 3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），乘目標價時點 </t>
    </r>
    <r>
      <rPr>
        <sz val="11"/>
        <color theme="1"/>
        <rFont val="Calibri"/>
        <family val="2"/>
        <charset val="1"/>
      </rPr>
      <t xml:space="preserve">NTM EBITDA</t>
    </r>
    <r>
      <rPr>
        <sz val="11"/>
        <color theme="1"/>
        <rFont val="Noto Sans CJK SC"/>
        <family val="2"/>
      </rPr>
      <t xml:space="preserve">；加淨現金與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持股（</t>
    </r>
    <r>
      <rPr>
        <sz val="11"/>
        <color theme="1"/>
        <rFont val="Calibri"/>
        <family val="2"/>
        <charset val="1"/>
      </rPr>
      <t xml:space="preserve">25% × 852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1 − 20%</t>
    </r>
    <r>
      <rPr>
        <sz val="11"/>
        <color theme="1"/>
        <rFont val="Noto Sans CJK SC"/>
        <family val="2"/>
      </rPr>
      <t xml:space="preserve">））、減在帳融資租賃負債。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</si>
  <si>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各情境評價明細（引擎輸出；列 </t>
    </r>
    <r>
      <rPr>
        <b val="true"/>
        <sz val="11"/>
        <rFont val="Cambria"/>
        <family val="0"/>
        <charset val="1"/>
      </rPr>
      <t xml:space="preserve">70 </t>
    </r>
    <r>
      <rPr>
        <b val="true"/>
        <sz val="11"/>
        <rFont val="Noto Sans CJK SC"/>
        <family val="2"/>
      </rPr>
      <t xml:space="preserve">起）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</si>
  <si>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</si>
  <si>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折現年數（期中，自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</si>
  <si>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折現因子</t>
  </si>
  <si>
    <t xml:space="preserve">自由現金流現值</t>
  </si>
  <si>
    <r>
      <rPr>
        <sz val="11"/>
        <color theme="1"/>
        <rFont val="Noto Sans CJK SC"/>
        <family val="2"/>
      </rPr>
      <t xml:space="preserve">明確期現值合計（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</si>
  <si>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永續起點 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</t>
    </r>
  </si>
  <si>
    <r>
      <rPr>
        <sz val="11"/>
        <color theme="1"/>
        <rFont val="Noto Sans CJK SC"/>
        <family val="2"/>
      </rPr>
      <t xml:space="preserve">永續期自由現金流（</t>
    </r>
    <r>
      <rPr>
        <sz val="11"/>
        <color theme="1"/>
        <rFont val="Calibri"/>
        <family val="2"/>
        <charset val="1"/>
      </rPr>
      <t xml:space="preserve">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</t>
    </r>
    <r>
      <rPr>
        <sz val="11"/>
        <color theme="1"/>
        <rFont val="Noto Sans CJK SC"/>
        <family val="2"/>
      </rPr>
      <t xml:space="preserve">新投資報酬））</t>
    </r>
  </si>
  <si>
    <r>
      <rPr>
        <sz val="11"/>
        <color theme="1"/>
        <rFont val="Noto Sans CJK SC"/>
        <family val="2"/>
      </rPr>
      <t xml:space="preserve">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年底）</t>
    </r>
  </si>
  <si>
    <t xml:space="preserve">永續價值現值</t>
  </si>
  <si>
    <r>
      <rPr>
        <sz val="11"/>
        <color theme="1"/>
        <rFont val="Noto Sans CJK SC"/>
        <family val="2"/>
      </rPr>
      <t xml:space="preserve">股東權益價值＝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＋淨現金（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</si>
  <si>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^t_roll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</si>
  <si>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（營收 −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</si>
  <si>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</si>
  <si>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</si>
  <si>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</si>
  <si>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</si>
  <si>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</si>
  <si>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</si>
  <si>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合計（營業利益＋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折舊分攤）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</si>
  <si>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其他（分部殘差；含自用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</si>
  <si>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</si>
  <si>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（分部殘差按營收分）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</si>
  <si>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Windows OEM and devices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</si>
  <si>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</si>
  <si>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</si>
  <si>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</si>
  <si>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</si>
  <si>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</si>
  <si>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</si>
  <si>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</si>
  <si>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</si>
  <si>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Windows OEM and devices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</si>
  <si>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（目標價時點）</t>
    </r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</si>
  <si>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含租賃；</t>
    </r>
    <r>
      <rPr>
        <sz val="11"/>
        <color theme="1"/>
        <rFont val="Calibri"/>
        <family val="2"/>
        <charset val="1"/>
      </rPr>
      <t xml:space="preserve">Microsoft EBITDA </t>
    </r>
    <r>
      <rPr>
        <sz val="11"/>
        <color theme="1"/>
        <rFont val="Noto Sans CJK SC"/>
        <family val="2"/>
      </rPr>
      <t xml:space="preserve">已扣營業租金、未扣融資租賃折舊 → 減融資租賃負債</t>
    </r>
  </si>
  <si>
    <r>
      <rPr>
        <sz val="11"/>
        <color theme="1"/>
        <rFont val="Noto Sans CJK SC"/>
        <family val="2"/>
      </rPr>
      <t xml:space="preserve">情境目標價＝</t>
    </r>
    <r>
      <rPr>
        <sz val="11"/>
        <color theme="1"/>
        <rFont val="Calibri"/>
        <family val="2"/>
        <charset val="1"/>
      </rPr>
      <t xml:space="preserve">w_dcf × DCF 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分部加總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</si>
  <si>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</si>
  <si>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</si>
  <si>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模型（基準情境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）對照市場共識與公司指引；差距超過 </t>
    </r>
    <r>
      <rPr>
        <sz val="11"/>
        <color theme="1"/>
        <rFont val="Calibri"/>
        <family val="2"/>
        <charset val="1"/>
      </rPr>
      <t xml:space="preserve">5% </t>
    </r>
    <r>
      <rPr>
        <sz val="11"/>
        <color theme="1"/>
        <rFont val="Noto Sans CJK SC"/>
        <family val="2"/>
      </rPr>
      <t xml:space="preserve">者附原因。產品線層級的市場共識：未找到（免費資料源只提供合併層級）</t>
    </r>
  </si>
  <si>
    <r>
      <rPr>
        <b val="true"/>
        <sz val="11"/>
        <rFont val="Noto Sans CJK SC"/>
        <family val="2"/>
      </rPr>
      <t xml:space="preserve">模型（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</si>
  <si>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t xml:space="preserve">共識／指引</t>
  </si>
  <si>
    <t xml:space="preserve">差距</t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</si>
  <si>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</si>
  <si>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合併層級對共識（</t>
    </r>
    <r>
      <rPr>
        <b val="true"/>
        <sz val="11"/>
        <rFont val="Cambria"/>
        <family val="0"/>
        <charset val="1"/>
      </rPr>
      <t xml:space="preserve">MarketScreener 2026-10-08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營收與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另有 </t>
    </r>
    <r>
      <rPr>
        <b val="true"/>
        <sz val="11"/>
        <rFont val="Cambria"/>
        <family val="0"/>
        <charset val="1"/>
      </rPr>
      <t xml:space="preserve">S&amp;P 2026-10-26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</si>
  <si>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（對 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</si>
  <si>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觀點：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收入、其他線依近一年年增收斂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</si>
  <si>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</si>
  <si>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</si>
  <si>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</si>
  <si>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觀點：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資本支出依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成本與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年折舊進損益，折舊上升快於共識（見報告第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</si>
  <si>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FY2028</t>
    </r>
  </si>
  <si>
    <t xml:space="preserve">同上</t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</si>
  <si>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</si>
  <si>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（對 </t>
    </r>
    <r>
      <rPr>
        <sz val="11"/>
        <color theme="1"/>
        <rFont val="Calibri"/>
        <family val="2"/>
        <charset val="1"/>
      </rPr>
      <t xml:space="preserve">S&amp;P 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</si>
  <si>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口徑：模型為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（不含持股損益），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non-GAAP</t>
    </r>
  </si>
  <si>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GAAP</t>
    </r>
    <r>
      <rPr>
        <sz val="11"/>
        <color theme="1"/>
        <rFont val="Noto Sans CJK SC"/>
        <family val="2"/>
      </rPr>
      <t xml:space="preserve">）</t>
    </r>
  </si>
  <si>
    <t xml:space="preserve">EPS FY2029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</si>
  <si>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（模型公司口徑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共識推定現金口徑）</t>
    </r>
  </si>
  <si>
    <r>
      <rPr>
        <sz val="11"/>
        <color theme="1"/>
        <rFont val="Noto Sans CJK SC"/>
        <family val="2"/>
      </rPr>
      <t xml:space="preserve">拆法：模型含融資租賃（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融資租賃約 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取公司指引推估下限 </t>
    </r>
    <r>
      <rPr>
        <sz val="11"/>
        <color theme="1"/>
        <rFont val="Calibri"/>
        <family val="2"/>
        <charset val="1"/>
      </rPr>
      <t xml:space="preserve">204.2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</si>
  <si>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（模型公司口徑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共識推定現金口徑）</t>
    </r>
  </si>
  <si>
    <r>
      <rPr>
        <sz val="11"/>
        <color theme="1"/>
        <rFont val="Noto Sans CJK SC"/>
        <family val="2"/>
      </rPr>
      <t xml:space="preserve">觀點：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路徑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成本＋汰換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</si>
  <si>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（模型公司口徑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共識推定現金口徑）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</si>
  <si>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分部與產品線對公司指引（</t>
    </r>
    <r>
      <rPr>
        <b val="true"/>
        <sz val="11"/>
        <rFont val="Cambria"/>
        <family val="0"/>
        <charset val="1"/>
      </rPr>
      <t xml:space="preserve">FY27Q1 </t>
    </r>
    <r>
      <rPr>
        <b val="true"/>
        <sz val="11"/>
        <rFont val="Noto Sans CJK SC"/>
        <family val="2"/>
      </rPr>
      <t xml:space="preserve">指引 </t>
    </r>
    <r>
      <rPr>
        <b val="true"/>
        <sz val="11"/>
        <rFont val="Cambria"/>
        <family val="0"/>
        <charset val="1"/>
      </rPr>
      <t xml:space="preserve">× 4 </t>
    </r>
    <r>
      <rPr>
        <b val="true"/>
        <sz val="11"/>
        <rFont val="Noto Sans CJK SC"/>
        <family val="2"/>
      </rPr>
      <t xml:space="preserve">只作量級參考；季節性未調整）</t>
    </r>
  </si>
  <si>
    <r>
      <rPr>
        <sz val="11"/>
        <color theme="1"/>
        <rFont val="Calibri"/>
        <family val="2"/>
        <charset val="1"/>
      </rPr>
      <t xml:space="preserve">Agents and Infra FY2027 ÷ 4 vs FY27Q1 </t>
    </r>
    <r>
      <rPr>
        <sz val="11"/>
        <color theme="1"/>
        <rFont val="Noto Sans CJK SC"/>
        <family val="2"/>
      </rPr>
      <t xml:space="preserve">指引中點</t>
    </r>
  </si>
  <si>
    <t xml:space="preserve">全年平均季對第一季：模型含年內成長，偏高屬拆法</t>
  </si>
  <si>
    <r>
      <rPr>
        <sz val="11"/>
        <color theme="1"/>
        <rFont val="Calibri"/>
        <family val="2"/>
        <charset val="1"/>
      </rPr>
      <t xml:space="preserve">Devices and Consumer FY2027 ÷ 4 vs FY27Q1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</si>
  <si>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XBOX </t>
    </r>
    <r>
      <rPr>
        <sz val="11"/>
        <color theme="1"/>
        <rFont val="Noto Sans CJK SC"/>
        <family val="2"/>
      </rPr>
      <t xml:space="preserve">季節性（第二季旺季）</t>
    </r>
  </si>
  <si>
    <r>
      <rPr>
        <sz val="11"/>
        <color theme="1"/>
        <rFont val="Noto Sans CJK SC"/>
        <family val="2"/>
      </rPr>
      <t xml:space="preserve">合併營收 </t>
    </r>
    <r>
      <rPr>
        <sz val="11"/>
        <color theme="1"/>
        <rFont val="Calibri"/>
        <family val="2"/>
        <charset val="1"/>
      </rPr>
      <t xml:space="preserve">FY2027 ÷ 4 vs FY27Q1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</si>
  <si>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FY2027 vs FY27Q1 </t>
    </r>
    <r>
      <rPr>
        <sz val="11"/>
        <color theme="1"/>
        <rFont val="Noto Sans CJK SC"/>
        <family val="2"/>
      </rPr>
      <t xml:space="preserve">指引中點</t>
    </r>
  </si>
  <si>
    <t xml:space="preserve">公司只給第一季；全年未給</t>
  </si>
  <si>
    <r>
      <rPr>
        <sz val="11"/>
        <color theme="1"/>
        <rFont val="Noto Sans CJK SC"/>
        <family val="2"/>
      </rPr>
      <t xml:space="preserve">營業利益率變動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公司「下降不到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個百分點」</t>
    </r>
  </si>
  <si>
    <r>
      <rPr>
        <sz val="11"/>
        <color theme="1"/>
        <rFont val="Noto Sans CJK SC"/>
        <family val="2"/>
      </rPr>
      <t xml:space="preserve">觀點：模型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增加較多（</t>
    </r>
    <r>
      <rPr>
        <sz val="11"/>
        <color theme="1"/>
        <rFont val="Calibri"/>
        <family val="2"/>
        <charset val="1"/>
      </rPr>
      <t xml:space="preserve">AI IT 6 </t>
    </r>
    <r>
      <rPr>
        <sz val="11"/>
        <color theme="1"/>
        <rFont val="Noto Sans CJK SC"/>
        <family val="2"/>
      </rPr>
      <t xml:space="preserve">年、首年半年慣例）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</si>
  <si>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 ÷ 4 vs FY27Q1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&gt;50</t>
    </r>
    <r>
      <rPr>
        <sz val="11"/>
        <color theme="1"/>
        <rFont val="Noto Sans CJK SC"/>
        <family val="2"/>
      </rPr>
      <t xml:space="preserve">，公司口徑）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</si>
  <si>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命題驗證列（</t>
    </r>
    <r>
      <rPr>
        <b val="true"/>
        <sz val="11"/>
        <rFont val="Cambria"/>
        <family val="0"/>
        <charset val="1"/>
      </rPr>
      <t xml:space="preserve">C3</t>
    </r>
    <r>
      <rPr>
        <b val="true"/>
        <sz val="11"/>
        <rFont val="Noto Sans CJK SC"/>
        <family val="2"/>
      </rPr>
      <t xml:space="preserve">：只作驗證，不回頭校準）</t>
    </r>
  </si>
  <si>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業務年化（</t>
    </r>
    <r>
      <rPr>
        <sz val="11"/>
        <color theme="1"/>
        <rFont val="Calibri"/>
        <family val="2"/>
        <charset val="1"/>
      </rPr>
      <t xml:space="preserve">FY26Q3 &gt;37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</si>
  <si>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公司數字為 </t>
    </r>
    <r>
      <rPr>
        <sz val="11"/>
        <color theme="1"/>
        <rFont val="Calibri"/>
        <family val="2"/>
        <charset val="1"/>
      </rPr>
      <t xml:space="preserve">FY26Q3 </t>
    </r>
    <r>
      <rPr>
        <sz val="11"/>
        <color theme="1"/>
        <rFont val="Noto Sans CJK SC"/>
        <family val="2"/>
      </rPr>
      <t xml:space="preserve">年化（期末水準），模型為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全年平均；要對上須期末對外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約多 </t>
    </r>
    <r>
      <rPr>
        <sz val="11"/>
        <color theme="1"/>
        <rFont val="Calibri"/>
        <family val="2"/>
        <charset val="1"/>
      </rPr>
      <t xml:space="preserve">20%–30%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較高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</si>
  <si>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占比（模型）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</si>
  <si>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占比（不存在）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</si>
  <si>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（模型估計）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</si>
  <si>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營收（不存在）；座席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百萬（</t>
    </r>
    <r>
      <rPr>
        <sz val="11"/>
        <color theme="1"/>
        <rFont val="Calibri"/>
        <family val="2"/>
        <charset val="1"/>
      </rPr>
      <t xml:space="preserve">FY26Q4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</si>
  <si>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產品線層級市場共識</t>
    </r>
  </si>
  <si>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</si>
  <si>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Noto Sans CJK SC"/>
        <family val="2"/>
      </rPr>
      <t xml:space="preserve">未找到（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新產品線口徑 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才公布；免費資料源無產品線共識）</t>
    </r>
  </si>
  <si>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</si>
  <si>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</si>
  <si>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</si>
  <si>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</si>
  <si>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</si>
  <si>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</si>
  <si>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Windows OEM and devices</t>
    </r>
    <r>
      <rPr>
        <sz val="11"/>
        <color theme="1"/>
        <rFont val="Noto Sans CJK SC"/>
        <family val="2"/>
      </rPr>
      <t xml:space="preserve">：市場共識</t>
    </r>
  </si>
  <si>
    <r>
      <rPr>
        <b val="true"/>
        <sz val="11"/>
        <rFont val="Cambria"/>
        <family val="0"/>
        <charset val="1"/>
      </rPr>
      <t xml:space="preserve">5. v0.3 vs v0.2.2</t>
    </r>
    <r>
      <rPr>
        <b val="true"/>
        <sz val="11"/>
        <rFont val="Noto Sans CJK SC"/>
        <family val="2"/>
      </rPr>
      <t xml:space="preserve">：目標價差異拆解（加總＝總變動）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</si>
  <si>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EV/EBITDA 55%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</si>
  <si>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① 評價權重 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 → 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（用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的兩條腿）</t>
    </r>
  </si>
  <si>
    <t xml:space="preserve">方法</t>
  </si>
  <si>
    <r>
      <rPr>
        <sz val="11"/>
        <color theme="1"/>
        <rFont val="Calibri"/>
        <family val="2"/>
        <charset val="1"/>
      </rPr>
      <t xml:space="preserve">② DCF </t>
    </r>
    <r>
      <rPr>
        <sz val="11"/>
        <color theme="1"/>
        <rFont val="Noto Sans CJK SC"/>
        <family val="2"/>
      </rPr>
      <t xml:space="preserve">腿：</t>
    </r>
    <r>
      <rPr>
        <sz val="11"/>
        <color theme="1"/>
        <rFont val="Calibri"/>
        <family val="2"/>
        <charset val="1"/>
      </rPr>
      <t xml:space="preserve">v0.2.2 DCF → v0.3 </t>
    </r>
    <r>
      <rPr>
        <sz val="11"/>
        <color theme="1"/>
        <rFont val="Noto Sans CJK SC"/>
        <family val="2"/>
      </rPr>
      <t xml:space="preserve">基準情境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</si>
  <si>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營收結構（分部＋產品線）、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折舊進損益與稅、資本支出路徑、永續期口徑</t>
    </r>
  </si>
  <si>
    <r>
      <rPr>
        <sz val="11"/>
        <color theme="1"/>
        <rFont val="Noto Sans CJK SC"/>
        <family val="2"/>
      </rPr>
      <t xml:space="preserve">③ 倍數腿：</t>
    </r>
    <r>
      <rPr>
        <sz val="11"/>
        <color theme="1"/>
        <rFont val="Calibri"/>
        <family val="2"/>
        <charset val="1"/>
      </rPr>
      <t xml:space="preserve">v0.2.2 EV/EBITDA → v0.3 </t>
    </r>
    <r>
      <rPr>
        <sz val="11"/>
        <color theme="1"/>
        <rFont val="Noto Sans CJK SC"/>
        <family val="2"/>
      </rPr>
      <t xml:space="preserve">基準情境 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</si>
  <si>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產品線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各同業倍數（取代 </t>
    </r>
    <r>
      <rPr>
        <sz val="11"/>
        <color theme="1"/>
        <rFont val="Calibri"/>
        <family val="2"/>
        <charset val="1"/>
      </rPr>
      <t xml:space="preserve">AI 6×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加權倍數）</t>
    </r>
  </si>
  <si>
    <r>
      <rPr>
        <sz val="11"/>
        <color theme="1"/>
        <rFont val="Noto Sans CJK SC"/>
        <family val="2"/>
      </rPr>
      <t xml:space="preserve">④ 情境加權：基準情境 →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</si>
  <si>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以基準情境為點位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</si>
  <si>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加權目標價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</si>
  <si>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＋ ①＋②＋③＋④ − </t>
    </r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</si>
  <si>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一次動一個驅動，三情境全部重算後的加權目標價（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SOTP 50%</t>
    </r>
    <r>
      <rPr>
        <sz val="11"/>
        <color theme="1"/>
        <rFont val="Noto Sans CJK SC"/>
        <family val="2"/>
      </rPr>
      <t xml:space="preserve">、情境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）；下方列 </t>
    </r>
    <r>
      <rPr>
        <sz val="11"/>
        <color theme="1"/>
        <rFont val="Calibri"/>
        <family val="2"/>
        <charset val="1"/>
      </rPr>
      <t xml:space="preserve">70 </t>
    </r>
    <r>
      <rPr>
        <sz val="11"/>
        <color theme="1"/>
        <rFont val="Noto Sans CJK SC"/>
        <family val="2"/>
      </rPr>
      <t xml:space="preserve">起為各案例的完整引擎區塊（與主模型同一個函式）</t>
    </r>
  </si>
  <si>
    <t xml:space="preserve">案例</t>
  </si>
  <si>
    <t xml:space="preserve">驅動</t>
  </si>
  <si>
    <t xml:space="preserve">加權目標價</t>
  </si>
  <si>
    <t xml:space="preserve">相對基準</t>
  </si>
  <si>
    <r>
      <rPr>
        <b val="true"/>
        <sz val="11"/>
        <rFont val="Noto Sans CJK SC"/>
        <family val="2"/>
      </rPr>
      <t xml:space="preserve">相對基準 </t>
    </r>
    <r>
      <rPr>
        <b val="true"/>
        <sz val="11"/>
        <rFont val="Cambria"/>
        <family val="0"/>
        <charset val="1"/>
      </rPr>
      <t xml:space="preserve">%</t>
    </r>
  </si>
  <si>
    <t xml:space="preserve">k −15%</t>
  </si>
  <si>
    <r>
      <rPr>
        <sz val="11"/>
        <color theme="1"/>
        <rFont val="Noto Sans CJK SC"/>
        <family val="2"/>
      </rPr>
      <t xml:space="preserve">命題：每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k</t>
    </r>
  </si>
  <si>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同乘 </t>
    </r>
    <r>
      <rPr>
        <sz val="11"/>
        <color theme="1"/>
        <rFont val="Calibri"/>
        <family val="2"/>
        <charset val="1"/>
      </rPr>
      <t xml:space="preserve">0.85</t>
    </r>
  </si>
  <si>
    <t xml:space="preserve">k +15%</t>
  </si>
  <si>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同乘 </t>
    </r>
    <r>
      <rPr>
        <sz val="11"/>
        <color theme="1"/>
        <rFont val="Calibri"/>
        <family val="2"/>
        <charset val="1"/>
      </rPr>
      <t xml:space="preserve">1.15</t>
    </r>
  </si>
  <si>
    <r>
      <rPr>
        <sz val="11"/>
        <color theme="1"/>
        <rFont val="Noto Sans CJK SC"/>
        <family val="2"/>
      </rPr>
      <t xml:space="preserve">對外比例 </t>
    </r>
    <r>
      <rPr>
        <sz val="11"/>
        <color theme="1"/>
        <rFont val="Calibri"/>
        <family val="2"/>
        <charset val="1"/>
      </rPr>
      <t xml:space="preserve">50%</t>
    </r>
  </si>
  <si>
    <t xml:space="preserve">命題：對外比例</t>
  </si>
  <si>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＝對外 </t>
    </r>
    <r>
      <rPr>
        <sz val="11"/>
        <color theme="1"/>
        <rFont val="Calibri"/>
        <family val="2"/>
        <charset val="1"/>
      </rPr>
      <t xml:space="preserve">÷ 50%</t>
    </r>
    <r>
      <rPr>
        <sz val="11"/>
        <color theme="1"/>
        <rFont val="Noto Sans CJK SC"/>
        <family val="2"/>
      </rPr>
      <t xml:space="preserve">（同樣對外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要多建自用）</t>
    </r>
  </si>
  <si>
    <r>
      <rPr>
        <sz val="11"/>
        <color theme="1"/>
        <rFont val="Noto Sans CJK SC"/>
        <family val="2"/>
      </rPr>
      <t xml:space="preserve">對外比例 </t>
    </r>
    <r>
      <rPr>
        <sz val="11"/>
        <color theme="1"/>
        <rFont val="Calibri"/>
        <family val="2"/>
        <charset val="1"/>
      </rPr>
      <t xml:space="preserve">75%</t>
    </r>
  </si>
  <si>
    <r>
      <rPr>
        <sz val="11"/>
        <color theme="1"/>
        <rFont val="Calibri"/>
        <family val="2"/>
        <charset val="1"/>
      </rPr>
      <t xml:space="preserve">C23</t>
    </r>
    <r>
      <rPr>
        <sz val="11"/>
        <color theme="1"/>
        <rFont val="Noto Sans CJK SC"/>
        <family val="2"/>
      </rPr>
      <t xml:space="preserve">：最大不確定</t>
    </r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</si>
  <si>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</si>
  <si>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</si>
  <si>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+650</t>
    </r>
    <r>
      <rPr>
        <sz val="11"/>
        <color theme="1"/>
        <rFont val="Noto Sans CJK SC"/>
        <family val="2"/>
      </rPr>
      <t xml:space="preserve">、上限 </t>
    </r>
    <r>
      <rPr>
        <sz val="11"/>
        <color theme="1"/>
        <rFont val="Calibri"/>
        <family val="2"/>
        <charset val="1"/>
      </rPr>
      <t xml:space="preserve">4,386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保守情境）</t>
    </r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</si>
  <si>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 </t>
    </r>
    <r>
      <rPr>
        <sz val="11"/>
        <color theme="1"/>
        <rFont val="Calibri"/>
        <family val="2"/>
        <charset val="1"/>
      </rPr>
      <t xml:space="preserve">+20%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</si>
  <si>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+3,033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</si>
  <si>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</si>
  <si>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折舊年限</t>
    </r>
  </si>
  <si>
    <t xml:space="preserve">折舊與汰換提前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</si>
  <si>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</si>
  <si>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座席淨增 −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</si>
  <si>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座席</t>
    </r>
  </si>
  <si>
    <t xml:space="preserve">各情境每年淨增座席減半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</si>
  <si>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座席淨增 </t>
    </r>
    <r>
      <rPr>
        <sz val="11"/>
        <color theme="1"/>
        <rFont val="Calibri"/>
        <family val="2"/>
        <charset val="1"/>
      </rPr>
      <t xml:space="preserve">+50%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</si>
  <si>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月費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美元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</si>
  <si>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月費</t>
    </r>
  </si>
  <si>
    <r>
      <rPr>
        <sz val="11"/>
        <color theme="1"/>
        <rFont val="Noto Sans CJK SC"/>
        <family val="2"/>
      </rPr>
      <t xml:space="preserve">牌價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、基準實收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（預測期）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</si>
  <si>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月費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美元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</si>
  <si>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其他長期年增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</si>
  <si>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業務：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其他成長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</si>
  <si>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</si>
  <si>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其他長期年增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</si>
  <si>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搜尋與廣告長期年增 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</si>
  <si>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Noto Sans CJK SC"/>
        <family val="2"/>
      </rPr>
      <t xml:space="preserve">業務：</t>
    </r>
    <r>
      <rPr>
        <sz val="11"/>
        <color theme="1"/>
        <rFont val="Calibri"/>
        <family val="2"/>
        <charset val="1"/>
      </rPr>
      <t xml:space="preserve">Search and advertising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</si>
  <si>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</si>
  <si>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Noto Sans CJK SC"/>
        <family val="2"/>
      </rPr>
      <t xml:space="preserve">搜尋與廣告長期年增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</si>
  <si>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XBOX </t>
    </r>
    <r>
      <rPr>
        <sz val="11"/>
        <color theme="1"/>
        <rFont val="Noto Sans CJK SC"/>
        <family val="2"/>
      </rPr>
      <t xml:space="preserve">長期年增 −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</si>
  <si>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Noto Sans CJK SC"/>
        <family val="2"/>
      </rPr>
      <t xml:space="preserve">業務：</t>
    </r>
    <r>
      <rPr>
        <sz val="11"/>
        <color theme="1"/>
        <rFont val="Calibri"/>
        <family val="2"/>
        <charset val="1"/>
      </rPr>
      <t xml:space="preserve">XBOX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</si>
  <si>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</si>
  <si>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Calibri"/>
        <family val="2"/>
        <charset val="1"/>
      </rPr>
      <t xml:space="preserve">XBOX </t>
    </r>
    <r>
      <rPr>
        <sz val="11"/>
        <color theme="1"/>
        <rFont val="Noto Sans CJK SC"/>
        <family val="2"/>
      </rPr>
      <t xml:space="preserve">長期年增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</si>
  <si>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分部利益率 −</t>
    </r>
    <r>
      <rPr>
        <sz val="11"/>
        <color theme="1"/>
        <rFont val="Calibri"/>
        <family val="2"/>
        <charset val="1"/>
      </rPr>
      <t xml:space="preserve">2pt</t>
    </r>
  </si>
  <si>
    <t xml:space="preserve">業務：分部利益率</t>
  </si>
  <si>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核心利益率與 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利益率同減</t>
    </r>
  </si>
  <si>
    <r>
      <rPr>
        <sz val="11"/>
        <color theme="1"/>
        <rFont val="Noto Sans CJK SC"/>
        <family val="2"/>
      </rPr>
      <t xml:space="preserve">分部利益率 </t>
    </r>
    <r>
      <rPr>
        <sz val="11"/>
        <color theme="1"/>
        <rFont val="Calibri"/>
        <family val="2"/>
        <charset val="1"/>
      </rPr>
      <t xml:space="preserve">+2pt</t>
    </r>
  </si>
  <si>
    <t xml:space="preserve">WACC −1pt</t>
  </si>
  <si>
    <r>
      <rPr>
        <sz val="11"/>
        <color theme="1"/>
        <rFont val="Noto Sans CJK SC"/>
        <family val="2"/>
      </rPr>
      <t xml:space="preserve">評價：</t>
    </r>
    <r>
      <rPr>
        <sz val="11"/>
        <color theme="1"/>
        <rFont val="Calibri"/>
        <family val="2"/>
        <charset val="1"/>
      </rPr>
      <t xml:space="preserve">WACC</t>
    </r>
  </si>
  <si>
    <t xml:space="preserve">只改折現（營運不變）</t>
  </si>
  <si>
    <t xml:space="preserve">WACC +1pt</t>
  </si>
  <si>
    <t xml:space="preserve">g 2%</t>
  </si>
  <si>
    <t xml:space="preserve">評價：永續成長</t>
  </si>
  <si>
    <t xml:space="preserve">g 4%</t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</si>
  <si>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倍數 −</t>
    </r>
    <r>
      <rPr>
        <sz val="11"/>
        <color theme="1"/>
        <rFont val="Calibri"/>
        <family val="2"/>
        <charset val="1"/>
      </rPr>
      <t xml:space="preserve">20%</t>
    </r>
  </si>
  <si>
    <t xml:space="preserve">評價：同業倍數</t>
  </si>
  <si>
    <t xml:space="preserve">所有產品線倍數同乘</t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</si>
  <si>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+20%</t>
    </r>
  </si>
  <si>
    <r>
      <rPr>
        <b val="true"/>
        <sz val="11"/>
        <rFont val="Noto Sans CJK SC"/>
        <family val="2"/>
      </rPr>
      <t xml:space="preserve">判斷預設的替代（報告第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節）：每列只改一項，其餘同基準</t>
    </r>
  </si>
  <si>
    <t xml:space="preserve">替代</t>
  </si>
  <si>
    <t xml:space="preserve">影響範圍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</si>
  <si>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情境改用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速度（</t>
    </r>
    <r>
      <rPr>
        <sz val="11"/>
        <color theme="1"/>
        <rFont val="Calibri"/>
        <family val="2"/>
        <charset val="1"/>
      </rPr>
      <t xml:space="preserve">650</t>
    </r>
    <r>
      <rPr>
        <sz val="11"/>
        <color theme="1"/>
        <rFont val="Noto Sans CJK SC"/>
        <family val="2"/>
      </rPr>
      <t xml:space="preserve">／年，上限 </t>
    </r>
    <r>
      <rPr>
        <sz val="11"/>
        <color theme="1"/>
        <rFont val="Calibri"/>
        <family val="2"/>
        <charset val="1"/>
      </rPr>
      <t xml:space="preserve">4,386</t>
    </r>
    <r>
      <rPr>
        <sz val="11"/>
        <color theme="1"/>
        <rFont val="Noto Sans CJK SC"/>
        <family val="2"/>
      </rPr>
      <t xml:space="preserve">）</t>
    </r>
  </si>
  <si>
    <t xml:space="preserve">C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</si>
  <si>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改用長約低端（</t>
    </r>
    <r>
      <rPr>
        <sz val="11"/>
        <color theme="1"/>
        <rFont val="Calibri"/>
        <family val="2"/>
        <charset val="1"/>
      </rPr>
      <t xml:space="preserve">0.47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價格軸低）</t>
    </r>
  </si>
  <si>
    <r>
      <rPr>
        <sz val="11"/>
        <color theme="1"/>
        <rFont val="Noto Sans CJK SC"/>
        <family val="2"/>
      </rPr>
      <t xml:space="preserve">永續期改用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</t>
    </r>
  </si>
  <si>
    <t xml:space="preserve">三情境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</si>
  <si>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各線改用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自身倍數 </t>
    </r>
    <r>
      <rPr>
        <sz val="11"/>
        <color theme="1"/>
        <rFont val="Calibri"/>
        <family val="2"/>
        <charset val="1"/>
      </rPr>
      <t xml:space="preserve">15.67×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</si>
  <si>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、無流動性折價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</si>
  <si>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權重改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</t>
    </r>
  </si>
  <si>
    <t xml:space="preserve">評價權重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</si>
  <si>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權重改 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</t>
    </r>
  </si>
  <si>
    <r>
      <rPr>
        <sz val="11"/>
        <color theme="1"/>
        <rFont val="Noto Sans CJK SC"/>
        <family val="2"/>
      </rPr>
      <t xml:space="preserve">情境權重改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</t>
    </r>
  </si>
  <si>
    <r>
      <rPr>
        <sz val="11"/>
        <color theme="1"/>
        <rFont val="Noto Sans CJK SC"/>
        <family val="2"/>
      </rPr>
      <t xml:space="preserve">只用基準情境 </t>
    </r>
    <r>
      <rPr>
        <sz val="11"/>
        <color theme="1"/>
        <rFont val="Calibri"/>
        <family val="2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</si>
  <si>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讀法：龍捲風以加權目標價的變動排序；命題驅動（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、對外比例、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折舊年限、</t>
    </r>
    <r>
      <rPr>
        <b val="true"/>
        <sz val="11"/>
        <rFont val="Cambria"/>
        <family val="0"/>
        <charset val="1"/>
      </rPr>
      <t xml:space="preserve">Copilot</t>
    </r>
    <r>
      <rPr>
        <b val="true"/>
        <sz val="11"/>
        <rFont val="Noto Sans CJK SC"/>
        <family val="2"/>
      </rPr>
      <t xml:space="preserve">）與業務驅動、評價參數並列。判斷預設的替代見上表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</si>
  <si>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</si>
  <si>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</si>
  <si>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</si>
  <si>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</si>
  <si>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</si>
  <si>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</si>
  <si>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</si>
  <si>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</si>
  <si>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</si>
  <si>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</si>
  <si>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</si>
  <si>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</si>
  <si>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</si>
  <si>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</si>
  <si>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</si>
  <si>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</si>
  <si>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</si>
  <si>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</si>
  <si>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</si>
  <si>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</si>
  <si>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</si>
  <si>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</si>
  <si>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</si>
  <si>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</si>
  <si>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</si>
  <si>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</si>
  <si>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</si>
  <si>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</si>
  <si>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</si>
  <si>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</si>
  <si>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</si>
  <si>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</si>
  <si>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</si>
  <si>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</si>
  <si>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</si>
  <si>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</si>
  <si>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</si>
  <si>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</si>
  <si>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</si>
  <si>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</si>
  <si>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</si>
  <si>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</si>
  <si>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</si>
  <si>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</si>
  <si>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</si>
  <si>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</si>
  <si>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</si>
  <si>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</si>
  <si>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</si>
  <si>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</si>
  <si>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</si>
  <si>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</si>
  <si>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</si>
  <si>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</si>
  <si>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</si>
  <si>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</si>
  <si>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</si>
  <si>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</si>
  <si>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</si>
  <si>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</si>
  <si>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</si>
  <si>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</si>
  <si>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</si>
  <si>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</si>
  <si>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</si>
  <si>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</si>
  <si>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</si>
  <si>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</si>
  <si>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</si>
  <si>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</si>
  <si>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</si>
  <si>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</si>
  <si>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</si>
  <si>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</si>
  <si>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</si>
  <si>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</si>
  <si>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</si>
  <si>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</si>
  <si>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</si>
  <si>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</si>
  <si>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</si>
  <si>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</si>
  <si>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</si>
  <si>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</si>
  <si>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</si>
  <si>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</si>
  <si>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</si>
  <si>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</si>
  <si>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</si>
  <si>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</si>
  <si>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</si>
  <si>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</si>
  <si>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</si>
  <si>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</si>
  <si>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</si>
  <si>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</si>
  <si>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</si>
  <si>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</si>
  <si>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</si>
  <si>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</si>
  <si>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</si>
  <si>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</si>
  <si>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</si>
  <si>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</si>
  <si>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</si>
  <si>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</si>
  <si>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</si>
  <si>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</si>
  <si>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</si>
  <si>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</si>
  <si>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</si>
  <si>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</si>
  <si>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</si>
  <si>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</si>
  <si>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</si>
  <si>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</si>
  <si>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</si>
  <si>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</si>
  <si>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</si>
  <si>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</si>
  <si>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</si>
  <si>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</si>
  <si>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</si>
  <si>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</si>
  <si>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</si>
  <si>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</si>
  <si>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</si>
  <si>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</si>
  <si>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</si>
  <si>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</si>
  <si>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</si>
  <si>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</si>
  <si>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</si>
  <si>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</si>
  <si>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</si>
  <si>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</si>
  <si>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</si>
  <si>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</si>
  <si>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</si>
  <si>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</si>
  <si>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</si>
  <si>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</si>
  <si>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</si>
  <si>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</si>
  <si>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</si>
  <si>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</si>
  <si>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</si>
  <si>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</si>
  <si>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</si>
  <si>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</si>
  <si>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</si>
  <si>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</si>
  <si>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</si>
  <si>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</si>
  <si>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</si>
  <si>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</si>
  <si>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</si>
  <si>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</si>
  <si>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</si>
  <si>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</si>
  <si>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</si>
  <si>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</si>
  <si>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</si>
  <si>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</si>
  <si>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</si>
  <si>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</si>
  <si>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</si>
  <si>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</si>
  <si>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</si>
  <si>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</si>
  <si>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</si>
  <si>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</si>
  <si>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</si>
  <si>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</si>
  <si>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</si>
  <si>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</si>
  <si>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</si>
  <si>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</si>
  <si>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</si>
  <si>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</si>
  <si>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</si>
  <si>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</si>
  <si>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</si>
  <si>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</si>
  <si>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</si>
  <si>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</si>
  <si>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</si>
  <si>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</si>
  <si>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</si>
  <si>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</si>
  <si>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</si>
  <si>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</si>
  <si>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</si>
  <si>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</si>
  <si>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</si>
  <si>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</si>
  <si>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</si>
  <si>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</si>
  <si>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</si>
  <si>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</si>
  <si>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</si>
  <si>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</si>
  <si>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</si>
  <si>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</si>
  <si>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</si>
  <si>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</si>
  <si>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</si>
  <si>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</si>
  <si>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</si>
  <si>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</si>
  <si>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</si>
  <si>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</si>
  <si>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</si>
  <si>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</si>
  <si>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</si>
  <si>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</si>
  <si>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</si>
  <si>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</si>
  <si>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</si>
  <si>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</si>
  <si>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</si>
  <si>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</si>
  <si>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</si>
  <si>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</si>
  <si>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</si>
  <si>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</si>
  <si>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</si>
  <si>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</si>
  <si>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</si>
  <si>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</si>
  <si>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</si>
  <si>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</si>
  <si>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</si>
  <si>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</si>
  <si>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</si>
  <si>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</si>
  <si>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</si>
  <si>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</si>
  <si>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</si>
  <si>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</si>
  <si>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</si>
  <si>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</si>
  <si>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</si>
  <si>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</si>
  <si>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</si>
  <si>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</si>
  <si>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</si>
  <si>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</si>
  <si>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</si>
  <si>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</si>
  <si>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</si>
  <si>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</si>
  <si>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</si>
  <si>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</si>
  <si>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</si>
  <si>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</si>
  <si>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</si>
  <si>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</si>
  <si>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</si>
  <si>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</si>
  <si>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</si>
  <si>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</si>
  <si>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</si>
  <si>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</si>
  <si>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</si>
  <si>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</si>
  <si>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</si>
  <si>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</si>
  <si>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</si>
  <si>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</si>
  <si>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</si>
  <si>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</si>
  <si>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</si>
  <si>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</si>
  <si>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</si>
  <si>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</si>
  <si>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</si>
  <si>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</si>
  <si>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</si>
  <si>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</si>
  <si>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</si>
  <si>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</si>
  <si>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</si>
  <si>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</si>
  <si>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</si>
  <si>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</si>
  <si>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</si>
  <si>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</si>
  <si>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</si>
  <si>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</si>
  <si>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</si>
  <si>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</si>
  <si>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</si>
  <si>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</si>
  <si>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</si>
  <si>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</si>
  <si>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</si>
  <si>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</si>
  <si>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</si>
  <si>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</si>
  <si>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−1pt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</si>
  <si>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−1pt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</si>
  <si>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−1pt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</si>
  <si>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+1pt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</si>
  <si>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+1pt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</si>
  <si>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+1pt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</si>
  <si>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</si>
  <si>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</si>
  <si>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</si>
  <si>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</si>
  <si>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</si>
  <si>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</si>
  <si>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</si>
  <si>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</si>
  <si>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</si>
  <si>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</si>
  <si>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</si>
  <si>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</si>
  <si>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</si>
  <si>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</si>
  <si>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</si>
  <si>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</si>
  <si>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</si>
  <si>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0.47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</si>
  <si>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0.47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</si>
  <si>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0.47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</si>
  <si>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0.47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</si>
  <si>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0.47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</si>
  <si>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判斷替代「永續期改用 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自由現金流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</si>
  <si>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永續期自由現金流（替代：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））</t>
    </r>
  </si>
  <si>
    <r>
      <rPr>
        <b val="true"/>
        <sz val="11"/>
        <rFont val="Noto Sans CJK SC"/>
        <family val="2"/>
      </rPr>
      <t xml:space="preserve">判斷替代「永續期改用 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自由現金流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</si>
  <si>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判斷替代「永續期改用 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自由現金流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</si>
  <si>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各線改用 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自身倍數 </t>
    </r>
    <r>
      <rPr>
        <b val="true"/>
        <sz val="11"/>
        <rFont val="Cambria"/>
        <family val="0"/>
        <charset val="1"/>
      </rPr>
      <t xml:space="preserve">15.67×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</si>
  <si>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各線改用 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自身倍數 </t>
    </r>
    <r>
      <rPr>
        <b val="true"/>
        <sz val="11"/>
        <rFont val="Cambria"/>
        <family val="0"/>
        <charset val="1"/>
      </rPr>
      <t xml:space="preserve">15.67×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</si>
  <si>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各線改用 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自身倍數 </t>
    </r>
    <r>
      <rPr>
        <b val="true"/>
        <sz val="11"/>
        <rFont val="Cambria"/>
        <family val="0"/>
        <charset val="1"/>
      </rPr>
      <t xml:space="preserve">15.67×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</si>
  <si>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、無流動性折價」｜情境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</si>
  <si>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、無流動性折價」｜情境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</si>
  <si>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、無流動性折價」｜情境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</si>
  <si>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t xml:space="preserve">編號</t>
  </si>
  <si>
    <t xml:space="preserve">文件</t>
  </si>
  <si>
    <t xml:space="preserve">日期</t>
  </si>
  <si>
    <t xml:space="preserve">網址</t>
  </si>
  <si>
    <r>
      <rPr>
        <sz val="11"/>
        <color theme="1"/>
        <rFont val="Calibri"/>
        <family val="2"/>
        <charset val="1"/>
      </rPr>
      <t xml:space="preserve">Microsoft Form 10-K FY2026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，經查核）</t>
    </r>
  </si>
  <si>
    <t xml:space="preserve">2026-07-29</t>
  </si>
  <si>
    <t xml:space="preserve">https://www.sec.gov/Archives/edgar/data/789019/000119312526323660/msft-20260630.htm</t>
  </si>
  <si>
    <r>
      <rPr>
        <sz val="11"/>
        <color theme="1"/>
        <rFont val="Calibri"/>
        <family val="2"/>
        <charset val="1"/>
      </rPr>
      <t xml:space="preserve">Microsoft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 Segments and Investor Metrics</t>
    </r>
    <r>
      <rPr>
        <sz val="11"/>
        <color theme="1"/>
        <rFont val="Noto Sans CJK SC"/>
        <family val="2"/>
      </rPr>
      <t xml:space="preserve">（分部重編、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金額、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調整後指引）</t>
    </r>
  </si>
  <si>
    <t xml:space="preserve">2026-09-02</t>
  </si>
  <si>
    <t xml:space="preserve">https://www.sec.gov/Archives/edgar/data/789019/000119312526380280/d291965dex991.htm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</si>
  <si>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</si>
  <si>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Calibri"/>
        <family val="2"/>
        <charset val="1"/>
      </rPr>
      <t xml:space="preserve">Microsoft FY26 </t>
    </r>
    <r>
      <rPr>
        <sz val="11"/>
        <color theme="1"/>
        <rFont val="Noto Sans CJK SC"/>
        <family val="2"/>
      </rPr>
      <t xml:space="preserve">各季財報新聞稿與法說（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網站）</t>
    </r>
  </si>
  <si>
    <r>
      <rPr>
        <sz val="11"/>
        <color theme="1"/>
        <rFont val="Calibri"/>
        <family val="2"/>
        <charset val="1"/>
      </rPr>
      <t xml:space="preserve">2025-10-29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2026-07-29</t>
    </r>
  </si>
  <si>
    <t xml:space="preserve">https://www.microsoft.com/en-us/investor/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</si>
  <si>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</si>
  <si>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事實總帳（</t>
    </r>
    <r>
      <rPr>
        <sz val="11"/>
        <color theme="1"/>
        <rFont val="Calibri"/>
        <family val="2"/>
        <charset val="1"/>
      </rPr>
      <t xml:space="preserve">v0.1a </t>
    </r>
    <r>
      <rPr>
        <sz val="11"/>
        <color theme="1"/>
        <rFont val="Noto Sans CJK SC"/>
        <family val="2"/>
      </rPr>
      <t xml:space="preserve">起；每筆附來源、日期、標記）</t>
    </r>
  </si>
  <si>
    <t xml:space="preserve">microsoft/data/microsoft_facts_20261008.json</t>
  </si>
  <si>
    <t xml:space="preserve">依各筆</t>
  </si>
  <si>
    <r>
      <rPr>
        <sz val="11"/>
        <color theme="1"/>
        <rFont val="Calibri"/>
        <family val="2"/>
        <charset val="1"/>
      </rPr>
      <t xml:space="preserve">Tokenomics v21.4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</t>
    </r>
  </si>
  <si>
    <t xml:space="preserve">2026-10-25</t>
  </si>
  <si>
    <t xml:space="preserve">microsoft/data/tokenomics_snapshot_v21.4.json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</si>
  <si>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證據（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長約、</t>
    </r>
    <r>
      <rPr>
        <sz val="11"/>
        <color theme="1"/>
        <rFont val="Calibri"/>
        <family val="2"/>
        <charset val="1"/>
      </rPr>
      <t xml:space="preserve">Silicon Data H100 </t>
    </r>
    <r>
      <rPr>
        <sz val="11"/>
        <color theme="1"/>
        <rFont val="Noto Sans CJK SC"/>
        <family val="2"/>
      </rPr>
      <t xml:space="preserve">指數、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牌價）</t>
    </r>
  </si>
  <si>
    <t xml:space="preserve">microsoft/data/kevidence_microsoft_20261008.json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</si>
  <si>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</si>
  <si>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Noto Sans CJK SC"/>
        <family val="2"/>
      </rPr>
      <t xml:space="preserve">市場共識（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</si>
  <si>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統計頁（收盤 </t>
    </r>
    <r>
      <rPr>
        <sz val="11"/>
        <color theme="1"/>
        <rFont val="Calibri"/>
        <family val="2"/>
        <charset val="1"/>
      </rPr>
      <t xml:space="preserve">532.60</t>
    </r>
    <r>
      <rPr>
        <sz val="11"/>
        <color theme="1"/>
        <rFont val="Noto Sans CJK SC"/>
        <family val="2"/>
      </rPr>
      <t xml:space="preserve">）</t>
    </r>
  </si>
  <si>
    <t xml:space="preserve">2026-10-26</t>
  </si>
  <si>
    <t xml:space="preserve">https://stockanalysis.com/stocks/msft/statistics/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</si>
  <si>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預測頁（共識目標價 </t>
    </r>
    <r>
      <rPr>
        <sz val="11"/>
        <color theme="1"/>
        <rFont val="Calibri"/>
        <family val="2"/>
        <charset val="1"/>
      </rPr>
      <t xml:space="preserve">603.43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391.6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19.76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</si>
  <si>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https://stockanalysis.com/stocks/msft/forecast/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</si>
  <si>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家）</t>
    </r>
  </si>
  <si>
    <t xml:space="preserve">microsoft/data/peers_cloud_20261008.json</t>
  </si>
  <si>
    <r>
      <rPr>
        <sz val="11"/>
        <color theme="1"/>
        <rFont val="Noto Sans CJK SC"/>
        <family val="2"/>
      </rPr>
      <t xml:space="preserve">數位廣告同業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家）</t>
    </r>
  </si>
  <si>
    <t xml:space="preserve">microsoft/data/peers_ads_20261009.json</t>
  </si>
  <si>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命題與驅動對照表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C1–C23</t>
    </r>
    <r>
      <rPr>
        <sz val="11"/>
        <color theme="1"/>
        <rFont val="Noto Sans CJK SC"/>
        <family val="2"/>
      </rPr>
      <t xml:space="preserve">）</t>
    </r>
  </si>
  <si>
    <t xml:space="preserve">2026-10-09</t>
  </si>
  <si>
    <r>
      <rPr>
        <sz val="11"/>
        <color theme="1"/>
        <rFont val="Calibri"/>
        <family val="2"/>
        <charset val="1"/>
      </rPr>
      <t xml:space="preserve">mag/docs/plan/20261008_MAG_</t>
    </r>
    <r>
      <rPr>
        <sz val="11"/>
        <color theme="1"/>
        <rFont val="Noto Sans CJK SC"/>
        <family val="2"/>
      </rPr>
      <t xml:space="preserve">命題與驅動對照表</t>
    </r>
    <r>
      <rPr>
        <sz val="11"/>
        <color theme="1"/>
        <rFont val="Calibri"/>
        <family val="2"/>
        <charset val="1"/>
      </rPr>
      <t xml:space="preserve">_r1.md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</si>
  <si>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成品（對照）</t>
    </r>
  </si>
  <si>
    <r>
      <rPr>
        <sz val="11"/>
        <color theme="1"/>
        <rFont val="Calibri"/>
        <family val="2"/>
        <charset val="1"/>
      </rPr>
      <t xml:space="preserve">microsoft/dist/_</t>
    </r>
    <r>
      <rPr>
        <sz val="11"/>
        <color theme="1"/>
        <rFont val="Noto Sans CJK SC"/>
        <family val="2"/>
      </rPr>
      <t xml:space="preserve">待刪除</t>
    </r>
    <r>
      <rPr>
        <sz val="11"/>
        <color theme="1"/>
        <rFont val="Calibri"/>
        <family val="2"/>
        <charset val="1"/>
      </rPr>
      <t xml:space="preserve">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_v0_2_2.xlsx</t>
    </r>
  </si>
  <si>
    <t xml:space="preserve">個股模型原則（命題＋營收分部）</t>
  </si>
  <si>
    <t xml:space="preserve">2026-10-27</t>
  </si>
  <si>
    <r>
      <rPr>
        <sz val="11"/>
        <color theme="1"/>
        <rFont val="Calibri"/>
        <family val="2"/>
        <charset val="1"/>
      </rPr>
      <t xml:space="preserve">docs/plan/</t>
    </r>
    <r>
      <rPr>
        <sz val="11"/>
        <color theme="1"/>
        <rFont val="Noto Sans CJK SC"/>
        <family val="2"/>
      </rPr>
      <t xml:space="preserve">個股模型原則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命題加營收分部</t>
    </r>
    <r>
      <rPr>
        <sz val="11"/>
        <color theme="1"/>
        <rFont val="Calibri"/>
        <family val="2"/>
        <charset val="1"/>
      </rPr>
      <t xml:space="preserve">.md</t>
    </r>
  </si>
  <si>
    <r>
      <rPr>
        <sz val="11"/>
        <color theme="1"/>
        <rFont val="Calibri"/>
        <family val="2"/>
        <charset val="1"/>
      </rPr>
      <t xml:space="preserve">MAG v0.3 </t>
    </r>
    <r>
      <rPr>
        <sz val="11"/>
        <color theme="1"/>
        <rFont val="Noto Sans CJK SC"/>
        <family val="2"/>
      </rPr>
      <t xml:space="preserve">工作單</t>
    </r>
  </si>
  <si>
    <r>
      <rPr>
        <sz val="11"/>
        <color theme="1"/>
        <rFont val="Calibri"/>
        <family val="2"/>
        <charset val="1"/>
      </rPr>
      <t xml:space="preserve">mag/docs/workorders/20261027_MAG_v0.3_</t>
    </r>
    <r>
      <rPr>
        <sz val="11"/>
        <color theme="1"/>
        <rFont val="Noto Sans CJK SC"/>
        <family val="2"/>
      </rPr>
      <t xml:space="preserve">個股模型重建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分部架構</t>
    </r>
    <r>
      <rPr>
        <sz val="11"/>
        <color theme="1"/>
        <rFont val="Calibri"/>
        <family val="2"/>
        <charset val="1"/>
      </rPr>
      <t xml:space="preserve">.md</t>
    </r>
  </si>
  <si>
    <r>
      <rPr>
        <sz val="11"/>
        <color theme="1"/>
        <rFont val="Noto Sans CJK SC"/>
        <family val="2"/>
      </rPr>
      <t xml:space="preserve">未找到：產品線層級市場共識；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年底座席；</t>
    </r>
    <r>
      <rPr>
        <sz val="11"/>
        <color theme="1"/>
        <rFont val="Calibri"/>
        <family val="2"/>
        <charset val="1"/>
      </rPr>
      <t xml:space="preserve">M365 </t>
    </r>
    <r>
      <rPr>
        <sz val="11"/>
        <color theme="1"/>
        <rFont val="Noto Sans CJK SC"/>
        <family val="2"/>
      </rPr>
      <t xml:space="preserve">商用座席數（事實總帳未收）；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占比；</t>
    </r>
    <r>
      <rPr>
        <sz val="11"/>
        <color theme="1"/>
        <rFont val="Calibri"/>
        <family val="2"/>
        <charset val="1"/>
      </rPr>
      <t xml:space="preserve">MSFT </t>
    </r>
    <r>
      <rPr>
        <sz val="11"/>
        <color theme="1"/>
        <rFont val="Noto Sans CJK SC"/>
        <family val="2"/>
      </rPr>
      <t xml:space="preserve">個別長債殖利率；遊戲與 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倍數（改用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</t>
    </r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</si>
</sst>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.00"/>
    <numFmt numFmtId="166" formatCode="#,##0.0"/>
    <numFmt numFmtId="167" formatCode="0.0%"/>
    <numFmt numFmtId="168" formatCode="0.00"/>
    <numFmt numFmtId="169" formatCode="0.000"/>
    <numFmt numFmtId="170" formatCode="#,##0.000"/>
    <numFmt numFmtId="171" formatCode="0%"/>
    <numFmt numFmtId="172" formatCode="#,##0"/>
    <numFmt numFmtId="173" formatCode="@"/>
    <numFmt numFmtId="174" formatCode="0.00%"/>
    <numFmt numFmtId="175" formatCode="0.0"/>
    <numFmt numFmtId="176" formatCode="\+0.0%;\-0.0%"/>
    <numFmt numFmtId="177" formatCode="\+#,##0.00;\-#,##0.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5" min="2" style="0" width="24"/>
  </cols>
  <sheetData>
    <row r="1" customFormat="false" ht="17.15" hidden="false" customHeight="false" outlineLevel="0" collapsed="false">
      <c r="A1" s="0" t="s">
        <v>0</v>
      </c>
    </row>
    <row r="2" customFormat="false" ht="17.15" hidden="false" customHeight="false" outlineLevel="0" collapsed="false">
      <c r="A2" s="1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32.8" hidden="false" customHeight="false" outlineLevel="0" collapsed="false">
      <c r="A5" s="2" t="str">
        <f aca="false">"① 命題答案：FY2029 基準情境 AI 增量 ROIC "&amp;TEXT(Thesis!H86,"0.0%")&amp;"，WACC "&amp;TEXT(wacc,"0.0%")&amp;"（差 "&amp;TEXT((Thesis!H86-wacc)*100,"+0.0;-0.0")&amp;" 個百分點；樂觀 "&amp;TEXT(Thesis!H42,"0.0%")&amp;"、保守 "&amp;TEXT(Thesis!H130,"0.0%")&amp;"）。AI 折舊從 FY2026 的 "&amp;TEXT(Thesis!E81,"0.0")&amp;" 升到 FY2029 的 "&amp;TEXT(Thesis!H81,"0.0")&amp;" 十億美元，營業利益率 FY2029 為 "&amp;TEXT(PL!H72,"0.0%")&amp;"（FY2026 "&amp;TEXT(PL!E72,"0.0%")&amp;"）。"</f>
        <v>① 命題答案：FY2029 基準情境 AI 增量 ROIC 1.1%，WACC 10.9%（差 -9.8 個百分點；樂觀 6.5%、保守 -5.2%）。AI 折舊從 FY2026 的 16.3 升到 FY2029 的 87.7 十億美元，營業利益率 FY2029 為 39.3%（FY2026 46.8%）。</v>
      </c>
    </row>
    <row r="6" customFormat="false" ht="32.8" hidden="false" customHeight="false" outlineLevel="0" collapsed="false">
      <c r="A6" s="2" t="str">
        <f aca="false">"② 收支關卡：基準情境 FY2027–FY2031 自由現金流扣股利合計 "&amp;TEXT(CF!C5,"#,##0.0")&amp;" 十億美元（樂觀 "&amp;TEXT(CF!B5,"#,##0.0")&amp;"、保守 "&amp;TEXT(CF!D5,"#,##0.0")&amp;"）；"&amp;CF!C6&amp;"。"</f>
        <v>② 收支關卡：基準情境 FY2027–FY2031 自由現金流扣股利合計 189.4 十億美元（樂觀 342.0、保守 10.1）；需要舉債 9.8 十億美元；回購較每年 22.3 的目標少 21.6 十億美元（2 年減少）。</v>
      </c>
    </row>
    <row r="7" customFormat="false" ht="48.5" hidden="false" customHeight="false" outlineLevel="0" collapsed="false">
      <c r="A7" s="2" t="str">
        <f aca="false">"③ 評價：加權目標價 "&amp;TEXT(Val!B34,"#,##0")&amp;" 美元，較現價 "&amp;TEXT(px,"#,##0.00")&amp;" "&amp;TEXT(Val!B38,"+0.0%;-0.0%")&amp;"；DCF "&amp;TEXT(Val!B13,"#,##0")&amp;"（永續價值占 "&amp;TEXT(Val!C8,"0%")&amp;"）、分部加總 "&amp;TEXT(Val!B30,"#,##0")&amp;"；市場共識 "&amp;TEXT(cons_tp,"#,##0")&amp;"。差距來自：AI 資本支出使 FY2027 自由現金流接近 0（基準 "&amp;TEXT(CF!F55,"0.0")&amp;"），WACC "&amp;TEXT(wacc,"0.0%")&amp;"（−1pt 時目標價 "&amp;TEXT(Sens!C24,"#,##0")&amp;"）；同業倍數低於 Microsoft 自身 NTM EV/EBITDA "&amp;TEXT(m_own,"0.0")&amp;"×（非 AI 各線改用自身倍數時目標價 "&amp;TEXT(Sens!C36,"#,##0")&amp;"）。"</f>
        <v>③ 評價：加權目標價 329 美元，較現價 532.60 -38.2%；DCF 235（永續價值占 80%）、分部加總 423；市場共識 603。差距來自：AI 資本支出使 FY2027 自由現金流接近 0（基準 1.2），WACC 10.9%（−1pt 時目標價 341）；同業倍數低於 Microsoft 自身 NTM EV/EBITDA 15.7×（非 AI 各線改用自身倍數時目標價 389）。</v>
      </c>
    </row>
    <row r="8" customFormat="false" ht="32.8" hidden="false" customHeight="false" outlineLevel="0" collapsed="false">
      <c r="A8" s="2" t="str">
        <f aca="false">"投資建議："&amp;Val!B41&amp;"（上檔空間 "&amp;TEXT(Val!B38,"+0.0%;-0.0%")&amp;"；五級固定規則：≥ +50% 強力買進、+25%～+50% 買進、−25%～+25% 中立、−50%～−25% 放空、≤ −50% 強力放空）"</f>
        <v>投資建議：放空（上檔空間 -38.2%；五級固定規則：≥ +50% 強力買進、+25%～+50% 買進、−25%～+25% 中立、−50%～−25% 放空、≤ −50% 強力放空）</v>
      </c>
    </row>
    <row r="9" customFormat="false" ht="17.15" hidden="false" customHeight="false" outlineLevel="0" collapsed="false">
      <c r="A9" s="2" t="str">
        <f aca="false">"收支關卡（地圖）：CF 頁「收支關卡：自由現金流扣股利（五年合計）」基準 "&amp;TEXT(CF!C5,"#,##0.0")&amp;" 十億美元"</f>
        <v>收支關卡（地圖）：CF 頁「收支關卡：自由現金流扣股利（五年合計）」基準 189.4 十億美元</v>
      </c>
    </row>
    <row r="11" customFormat="false" ht="15" hidden="false" customHeight="false" outlineLevel="0" collapsed="false">
      <c r="A11" s="3" t="s">
        <v>4</v>
      </c>
    </row>
    <row r="12" customFormat="false" ht="17.15" hidden="false" customHeight="false" outlineLevel="0" collapsed="false">
      <c r="A12" s="4" t="s">
        <v>5</v>
      </c>
      <c r="B12" s="4" t="s">
        <v>6</v>
      </c>
      <c r="C12" s="4" t="s">
        <v>7</v>
      </c>
      <c r="D12" s="4" t="s">
        <v>8</v>
      </c>
      <c r="E12" s="4" t="s">
        <v>9</v>
      </c>
    </row>
    <row r="13" customFormat="false" ht="17.15" hidden="false" customHeight="false" outlineLevel="0" collapsed="false">
      <c r="A13" s="0" t="s">
        <v>10</v>
      </c>
      <c r="B13" s="0" t="s">
        <v>11</v>
      </c>
      <c r="C13" s="1" t="s">
        <v>12</v>
      </c>
      <c r="D13" s="0" t="s">
        <v>13</v>
      </c>
      <c r="E13" s="5" t="n">
        <f aca="false">Thesis!H50</f>
        <v>10831.6</v>
      </c>
    </row>
    <row r="14" customFormat="false" ht="17.15" hidden="false" customHeight="false" outlineLevel="0" collapsed="false">
      <c r="A14" s="0" t="s">
        <v>10</v>
      </c>
      <c r="B14" s="0" t="s">
        <v>14</v>
      </c>
      <c r="C14" s="1" t="s">
        <v>15</v>
      </c>
      <c r="D14" s="0" t="s">
        <v>16</v>
      </c>
      <c r="E14" s="5" t="n">
        <f aca="false">Thesis!H63</f>
        <v>13.0472022091214</v>
      </c>
    </row>
    <row r="15" customFormat="false" ht="17.15" hidden="false" customHeight="false" outlineLevel="0" collapsed="false">
      <c r="A15" s="0" t="s">
        <v>10</v>
      </c>
      <c r="B15" s="0" t="s">
        <v>17</v>
      </c>
      <c r="C15" s="0" t="s">
        <v>18</v>
      </c>
      <c r="D15" s="1" t="s">
        <v>19</v>
      </c>
      <c r="E15" s="5" t="n">
        <f aca="false">Thesis!H81</f>
        <v>87.7423159931396</v>
      </c>
    </row>
    <row r="16" customFormat="false" ht="17.15" hidden="false" customHeight="false" outlineLevel="0" collapsed="false">
      <c r="A16" s="0" t="s">
        <v>20</v>
      </c>
      <c r="B16" s="0" t="s">
        <v>21</v>
      </c>
      <c r="C16" s="0" t="s">
        <v>22</v>
      </c>
      <c r="D16" s="1" t="s">
        <v>23</v>
      </c>
      <c r="E16" s="5" t="n">
        <f aca="false">Seg!H38</f>
        <v>24</v>
      </c>
    </row>
    <row r="17" customFormat="false" ht="17.15" hidden="false" customHeight="false" outlineLevel="0" collapsed="false">
      <c r="A17" s="0" t="s">
        <v>20</v>
      </c>
      <c r="B17" s="0" t="s">
        <v>24</v>
      </c>
      <c r="C17" s="1" t="s">
        <v>25</v>
      </c>
      <c r="D17" s="1" t="s">
        <v>26</v>
      </c>
      <c r="E17" s="5" t="n">
        <f aca="false">Seg!H56</f>
        <v>552.773101018903</v>
      </c>
    </row>
    <row r="18" customFormat="false" ht="17.15" hidden="false" customHeight="false" outlineLevel="0" collapsed="false">
      <c r="A18" s="0" t="s">
        <v>27</v>
      </c>
      <c r="B18" s="1" t="s">
        <v>28</v>
      </c>
      <c r="C18" s="0" t="s">
        <v>29</v>
      </c>
      <c r="D18" s="1" t="s">
        <v>30</v>
      </c>
      <c r="E18" s="5" t="n">
        <f aca="false">PL!H67</f>
        <v>196.822554588626</v>
      </c>
    </row>
    <row r="19" customFormat="false" ht="17.15" hidden="false" customHeight="false" outlineLevel="0" collapsed="false">
      <c r="A19" s="0" t="s">
        <v>27</v>
      </c>
      <c r="B19" s="0" t="s">
        <v>31</v>
      </c>
      <c r="C19" s="1" t="s">
        <v>32</v>
      </c>
      <c r="D19" s="0" t="s">
        <v>33</v>
      </c>
      <c r="E19" s="5" t="n">
        <f aca="false">PL!H80</f>
        <v>23.0114606350727</v>
      </c>
    </row>
    <row r="20" customFormat="false" ht="17.15" hidden="false" customHeight="false" outlineLevel="0" collapsed="false">
      <c r="A20" s="0" t="s">
        <v>34</v>
      </c>
      <c r="B20" s="0" t="s">
        <v>35</v>
      </c>
      <c r="C20" s="1" t="s">
        <v>36</v>
      </c>
      <c r="D20" s="1" t="s">
        <v>37</v>
      </c>
      <c r="E20" s="5" t="n">
        <f aca="false">CF!H55</f>
        <v>70.5529026074843</v>
      </c>
    </row>
    <row r="21" customFormat="false" ht="17.15" hidden="false" customHeight="false" outlineLevel="0" collapsed="false">
      <c r="A21" s="0" t="s">
        <v>38</v>
      </c>
      <c r="B21" s="0" t="s">
        <v>39</v>
      </c>
      <c r="C21" s="0" t="s">
        <v>40</v>
      </c>
      <c r="D21" s="0" t="s">
        <v>41</v>
      </c>
      <c r="E21" s="5" t="n">
        <f aca="false">Val!B34</f>
        <v>328.915955330906</v>
      </c>
    </row>
    <row r="23" customFormat="false" ht="15" hidden="false" customHeight="false" outlineLevel="0" collapsed="false">
      <c r="A23" s="3" t="s">
        <v>42</v>
      </c>
    </row>
    <row r="24" customFormat="false" ht="17.15" hidden="false" customHeight="false" outlineLevel="0" collapsed="false">
      <c r="A24" s="4" t="s">
        <v>43</v>
      </c>
      <c r="B24" s="4" t="s">
        <v>44</v>
      </c>
      <c r="C24" s="4" t="s">
        <v>45</v>
      </c>
      <c r="D24" s="4" t="s">
        <v>46</v>
      </c>
      <c r="E24" s="4" t="s">
        <v>47</v>
      </c>
    </row>
    <row r="25" customFormat="false" ht="17.15" hidden="false" customHeight="false" outlineLevel="0" collapsed="false">
      <c r="A25" s="1" t="s">
        <v>48</v>
      </c>
      <c r="B25" s="6" t="n">
        <f aca="false">Seg!H29</f>
        <v>585.223080296262</v>
      </c>
      <c r="C25" s="6" t="n">
        <f aca="false">Seg!H56</f>
        <v>552.773101018903</v>
      </c>
      <c r="D25" s="6" t="n">
        <f aca="false">Seg!H83</f>
        <v>515.333125886071</v>
      </c>
    </row>
    <row r="26" customFormat="false" ht="17.15" hidden="false" customHeight="false" outlineLevel="0" collapsed="false">
      <c r="A26" s="0" t="s">
        <v>49</v>
      </c>
      <c r="B26" s="6" t="n">
        <f aca="false">Thesis!H20</f>
        <v>149.785610014234</v>
      </c>
      <c r="C26" s="6" t="n">
        <f aca="false">Thesis!H64</f>
        <v>124.835630736874</v>
      </c>
      <c r="D26" s="6" t="n">
        <f aca="false">Thesis!H108</f>
        <v>94.895655604042</v>
      </c>
    </row>
    <row r="27" customFormat="false" ht="17.15" hidden="false" customHeight="false" outlineLevel="0" collapsed="false">
      <c r="A27" s="0" t="s">
        <v>50</v>
      </c>
      <c r="B27" s="6" t="n">
        <f aca="false">Seg!H11</f>
        <v>31.5</v>
      </c>
      <c r="C27" s="6" t="n">
        <f aca="false">Seg!H38</f>
        <v>24</v>
      </c>
      <c r="D27" s="6" t="n">
        <f aca="false">Seg!H65</f>
        <v>16.5</v>
      </c>
    </row>
    <row r="28" customFormat="false" ht="17.15" hidden="false" customHeight="false" outlineLevel="0" collapsed="false">
      <c r="A28" s="1" t="s">
        <v>51</v>
      </c>
      <c r="B28" s="7" t="n">
        <f aca="false">PL!H37</f>
        <v>0.421529710789076</v>
      </c>
      <c r="C28" s="7" t="n">
        <f aca="false">PL!H72</f>
        <v>0.393347208781769</v>
      </c>
      <c r="D28" s="7" t="n">
        <f aca="false">PL!H107</f>
        <v>0.355468321187464</v>
      </c>
    </row>
    <row r="29" customFormat="false" ht="17.15" hidden="false" customHeight="false" outlineLevel="0" collapsed="false">
      <c r="A29" s="0" t="s">
        <v>52</v>
      </c>
      <c r="B29" s="8" t="n">
        <f aca="false">PL!G45</f>
        <v>22.5012571562784</v>
      </c>
      <c r="C29" s="8" t="n">
        <f aca="false">PL!G80</f>
        <v>20.9273576201665</v>
      </c>
      <c r="D29" s="8" t="n">
        <f aca="false">PL!G115</f>
        <v>19.1279881401817</v>
      </c>
    </row>
    <row r="30" customFormat="false" ht="17.15" hidden="false" customHeight="false" outlineLevel="0" collapsed="false">
      <c r="A30" s="0" t="s">
        <v>53</v>
      </c>
      <c r="B30" s="8" t="n">
        <f aca="false">PL!H45</f>
        <v>26.1820833274396</v>
      </c>
      <c r="C30" s="8" t="n">
        <f aca="false">PL!H80</f>
        <v>23.0114606350727</v>
      </c>
      <c r="D30" s="8" t="n">
        <f aca="false">PL!H115</f>
        <v>19.3465006517505</v>
      </c>
    </row>
    <row r="31" customFormat="false" ht="17.15" hidden="false" customHeight="false" outlineLevel="0" collapsed="false">
      <c r="A31" s="1" t="s">
        <v>54</v>
      </c>
      <c r="B31" s="6" t="n">
        <f aca="false">CF!H27</f>
        <v>94.5243442800126</v>
      </c>
      <c r="C31" s="6" t="n">
        <f aca="false">CF!H55</f>
        <v>70.5529026074843</v>
      </c>
      <c r="D31" s="6" t="n">
        <f aca="false">CF!H83</f>
        <v>42.4029253007048</v>
      </c>
    </row>
    <row r="32" customFormat="false" ht="17.15" hidden="false" customHeight="false" outlineLevel="0" collapsed="false">
      <c r="A32" s="0" t="s">
        <v>55</v>
      </c>
      <c r="B32" s="7" t="n">
        <f aca="false">Thesis!H42</f>
        <v>0.0648795965209917</v>
      </c>
      <c r="C32" s="7" t="n">
        <f aca="false">Thesis!H86</f>
        <v>0.0109113433759107</v>
      </c>
      <c r="D32" s="7" t="n">
        <f aca="false">Thesis!H130</f>
        <v>-0.0522319943287548</v>
      </c>
    </row>
    <row r="33" customFormat="false" ht="17.15" hidden="false" customHeight="false" outlineLevel="0" collapsed="false">
      <c r="A33" s="1" t="s">
        <v>56</v>
      </c>
      <c r="B33" s="5" t="n">
        <f aca="false">Val!B42</f>
        <v>363.964440633548</v>
      </c>
      <c r="C33" s="5" t="n">
        <f aca="false">Val!C42</f>
        <v>330.316150494476</v>
      </c>
      <c r="D33" s="5" t="n">
        <f aca="false">Val!D42</f>
        <v>291.067079701122</v>
      </c>
    </row>
    <row r="35" customFormat="false" ht="48.5" hidden="false" customHeight="false" outlineLevel="0" collapsed="false">
      <c r="A35" s="2" t="s">
        <v>57</v>
      </c>
    </row>
    <row r="36" customFormat="false" ht="32.8" hidden="false" customHeight="false" outlineLevel="0" collapsed="false">
      <c r="A36" s="2" t="s">
        <v>58</v>
      </c>
    </row>
    <row r="37" customFormat="false" ht="30.55" hidden="false" customHeight="false" outlineLevel="0" collapsed="false">
      <c r="A37" s="2" t="s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60</v>
      </c>
    </row>
    <row r="2" customFormat="false" ht="17.15" hidden="false" customHeight="false" outlineLevel="0" collapsed="false">
      <c r="A2" s="1" t="s">
        <v>61</v>
      </c>
    </row>
    <row r="3" customFormat="false" ht="17.15" hidden="false" customHeight="false" outlineLevel="0" collapsed="false">
      <c r="A3" s="4" t="s">
        <v>62</v>
      </c>
      <c r="B3" s="4" t="s">
        <v>43</v>
      </c>
      <c r="C3" s="4" t="s">
        <v>63</v>
      </c>
      <c r="D3" s="4" t="s">
        <v>64</v>
      </c>
      <c r="E3" s="4" t="s">
        <v>65</v>
      </c>
      <c r="F3" s="4" t="s">
        <v>66</v>
      </c>
      <c r="G3" s="4" t="s">
        <v>67</v>
      </c>
      <c r="H3" s="4" t="s">
        <v>68</v>
      </c>
      <c r="I3" s="4" t="s">
        <v>69</v>
      </c>
    </row>
    <row r="4" customFormat="false" ht="17.15" hidden="false" customHeight="false" outlineLevel="0" collapsed="false">
      <c r="A4" s="9" t="s">
        <v>70</v>
      </c>
    </row>
    <row r="5" customFormat="false" ht="17.15" hidden="false" customHeight="false" outlineLevel="0" collapsed="false">
      <c r="A5" s="0" t="s">
        <v>71</v>
      </c>
      <c r="B5" s="1" t="s">
        <v>72</v>
      </c>
      <c r="C5" s="0" t="s">
        <v>73</v>
      </c>
      <c r="E5" s="10" t="n">
        <v>532.6</v>
      </c>
      <c r="G5" s="11" t="s">
        <v>74</v>
      </c>
      <c r="H5" s="11" t="s">
        <v>75</v>
      </c>
      <c r="I5" s="11" t="s">
        <v>76</v>
      </c>
    </row>
    <row r="6" customFormat="false" ht="17.15" hidden="false" customHeight="false" outlineLevel="0" collapsed="false">
      <c r="A6" s="0" t="s">
        <v>77</v>
      </c>
      <c r="B6" s="0" t="s">
        <v>78</v>
      </c>
      <c r="C6" s="1" t="s">
        <v>79</v>
      </c>
      <c r="E6" s="10" t="n">
        <v>7.453</v>
      </c>
      <c r="G6" s="11" t="s">
        <v>74</v>
      </c>
      <c r="H6" s="1" t="s">
        <v>80</v>
      </c>
      <c r="I6" s="11" t="s">
        <v>81</v>
      </c>
    </row>
    <row r="7" customFormat="false" ht="17.15" hidden="false" customHeight="false" outlineLevel="0" collapsed="false">
      <c r="A7" s="0" t="s">
        <v>82</v>
      </c>
      <c r="B7" s="0" t="s">
        <v>83</v>
      </c>
      <c r="C7" s="1" t="s">
        <v>79</v>
      </c>
      <c r="E7" s="10" t="n">
        <v>7.429</v>
      </c>
      <c r="G7" s="11" t="s">
        <v>74</v>
      </c>
      <c r="H7" s="1" t="s">
        <v>84</v>
      </c>
      <c r="I7" s="11" t="s">
        <v>33</v>
      </c>
    </row>
    <row r="8" customFormat="false" ht="17.15" hidden="false" customHeight="false" outlineLevel="0" collapsed="false">
      <c r="A8" s="0" t="s">
        <v>85</v>
      </c>
      <c r="B8" s="1" t="s">
        <v>86</v>
      </c>
      <c r="C8" s="1" t="s">
        <v>79</v>
      </c>
      <c r="E8" s="0" t="n">
        <f aca="false">sh_dil26-sh_basic26</f>
        <v>0.024</v>
      </c>
      <c r="G8" s="0" t="s">
        <v>87</v>
      </c>
      <c r="H8" s="0" t="s">
        <v>88</v>
      </c>
      <c r="I8" s="1" t="s">
        <v>89</v>
      </c>
    </row>
    <row r="9" customFormat="false" ht="17.15" hidden="false" customHeight="false" outlineLevel="0" collapsed="false">
      <c r="A9" s="0" t="s">
        <v>90</v>
      </c>
      <c r="B9" s="1" t="s">
        <v>91</v>
      </c>
      <c r="C9" s="1" t="s">
        <v>79</v>
      </c>
      <c r="E9" s="10" t="n">
        <v>7.427</v>
      </c>
      <c r="G9" s="11" t="s">
        <v>74</v>
      </c>
      <c r="H9" s="1" t="s">
        <v>92</v>
      </c>
      <c r="I9" s="11" t="s">
        <v>33</v>
      </c>
    </row>
    <row r="10" customFormat="false" ht="17.15" hidden="false" customHeight="false" outlineLevel="0" collapsed="false">
      <c r="A10" s="0" t="s">
        <v>93</v>
      </c>
      <c r="B10" s="1" t="s">
        <v>94</v>
      </c>
      <c r="C10" s="0" t="s">
        <v>95</v>
      </c>
      <c r="E10" s="10" t="n">
        <v>76.843</v>
      </c>
      <c r="G10" s="11" t="s">
        <v>74</v>
      </c>
      <c r="H10" s="1" t="s">
        <v>96</v>
      </c>
      <c r="I10" s="11" t="s">
        <v>33</v>
      </c>
    </row>
    <row r="11" customFormat="false" ht="17.15" hidden="false" customHeight="false" outlineLevel="0" collapsed="false">
      <c r="A11" s="0" t="s">
        <v>97</v>
      </c>
      <c r="B11" s="1" t="s">
        <v>98</v>
      </c>
      <c r="C11" s="0" t="s">
        <v>95</v>
      </c>
      <c r="E11" s="10" t="n">
        <v>46.136</v>
      </c>
      <c r="G11" s="11" t="s">
        <v>74</v>
      </c>
      <c r="H11" s="1" t="s">
        <v>99</v>
      </c>
      <c r="I11" s="1" t="s">
        <v>100</v>
      </c>
    </row>
    <row r="12" customFormat="false" ht="17.15" hidden="false" customHeight="false" outlineLevel="0" collapsed="false">
      <c r="A12" s="0" t="s">
        <v>101</v>
      </c>
      <c r="B12" s="1" t="s">
        <v>102</v>
      </c>
      <c r="C12" s="0" t="s">
        <v>95</v>
      </c>
      <c r="E12" s="10" t="n">
        <v>9.25</v>
      </c>
      <c r="G12" s="11" t="s">
        <v>74</v>
      </c>
      <c r="H12" s="1" t="s">
        <v>103</v>
      </c>
      <c r="I12" s="11" t="s">
        <v>33</v>
      </c>
    </row>
    <row r="13" customFormat="false" ht="17.15" hidden="false" customHeight="false" outlineLevel="0" collapsed="false">
      <c r="A13" s="0" t="s">
        <v>104</v>
      </c>
      <c r="B13" s="1" t="s">
        <v>105</v>
      </c>
      <c r="C13" s="0" t="s">
        <v>95</v>
      </c>
      <c r="E13" s="10" t="n">
        <v>0</v>
      </c>
      <c r="G13" s="11" t="s">
        <v>74</v>
      </c>
      <c r="H13" s="1" t="s">
        <v>106</v>
      </c>
      <c r="I13" s="11" t="s">
        <v>33</v>
      </c>
    </row>
    <row r="14" customFormat="false" ht="17.15" hidden="false" customHeight="false" outlineLevel="0" collapsed="false">
      <c r="A14" s="0" t="s">
        <v>107</v>
      </c>
      <c r="B14" s="1" t="s">
        <v>108</v>
      </c>
      <c r="C14" s="0" t="s">
        <v>95</v>
      </c>
      <c r="E14" s="10" t="n">
        <v>2.001</v>
      </c>
      <c r="G14" s="11" t="s">
        <v>74</v>
      </c>
      <c r="H14" s="1" t="s">
        <v>109</v>
      </c>
      <c r="I14" s="11" t="s">
        <v>33</v>
      </c>
    </row>
    <row r="15" customFormat="false" ht="17.15" hidden="false" customHeight="false" outlineLevel="0" collapsed="false">
      <c r="A15" s="0" t="s">
        <v>110</v>
      </c>
      <c r="B15" s="1" t="s">
        <v>111</v>
      </c>
      <c r="C15" s="0" t="s">
        <v>95</v>
      </c>
      <c r="E15" s="10" t="n">
        <v>0</v>
      </c>
      <c r="G15" s="11" t="s">
        <v>74</v>
      </c>
      <c r="H15" s="1" t="s">
        <v>112</v>
      </c>
      <c r="I15" s="11" t="s">
        <v>33</v>
      </c>
    </row>
    <row r="16" customFormat="false" ht="17.15" hidden="false" customHeight="false" outlineLevel="0" collapsed="false">
      <c r="A16" s="0" t="s">
        <v>113</v>
      </c>
      <c r="B16" s="1" t="s">
        <v>114</v>
      </c>
      <c r="C16" s="0" t="s">
        <v>95</v>
      </c>
      <c r="E16" s="10" t="n">
        <v>0.5</v>
      </c>
      <c r="G16" s="11" t="s">
        <v>74</v>
      </c>
      <c r="H16" s="1" t="s">
        <v>115</v>
      </c>
      <c r="I16" s="11" t="s">
        <v>33</v>
      </c>
    </row>
    <row r="17" customFormat="false" ht="17.15" hidden="false" customHeight="false" outlineLevel="0" collapsed="false">
      <c r="A17" s="0" t="s">
        <v>116</v>
      </c>
      <c r="B17" s="1" t="s">
        <v>117</v>
      </c>
      <c r="C17" s="0" t="s">
        <v>95</v>
      </c>
      <c r="E17" s="10" t="n">
        <v>0</v>
      </c>
      <c r="G17" s="11" t="s">
        <v>118</v>
      </c>
      <c r="H17" s="1" t="s">
        <v>119</v>
      </c>
      <c r="I17" s="11" t="s">
        <v>33</v>
      </c>
    </row>
    <row r="18" customFormat="false" ht="17.15" hidden="false" customHeight="false" outlineLevel="0" collapsed="false">
      <c r="A18" s="0" t="s">
        <v>120</v>
      </c>
      <c r="B18" s="1" t="s">
        <v>121</v>
      </c>
      <c r="C18" s="0" t="s">
        <v>95</v>
      </c>
      <c r="E18" s="10" t="n">
        <v>66.594</v>
      </c>
      <c r="G18" s="11" t="s">
        <v>74</v>
      </c>
      <c r="H18" s="1" t="s">
        <v>122</v>
      </c>
      <c r="I18" s="1" t="s">
        <v>123</v>
      </c>
    </row>
    <row r="19" customFormat="false" ht="17.15" hidden="false" customHeight="false" outlineLevel="0" collapsed="false">
      <c r="A19" s="0" t="s">
        <v>124</v>
      </c>
      <c r="B19" s="1" t="s">
        <v>125</v>
      </c>
      <c r="C19" s="0" t="s">
        <v>126</v>
      </c>
      <c r="E19" s="12" t="n">
        <v>0.045</v>
      </c>
      <c r="G19" s="11" t="s">
        <v>74</v>
      </c>
      <c r="H19" s="1" t="s">
        <v>127</v>
      </c>
      <c r="I19" s="11" t="s">
        <v>33</v>
      </c>
    </row>
    <row r="20" customFormat="false" ht="17.15" hidden="false" customHeight="false" outlineLevel="0" collapsed="false">
      <c r="A20" s="0" t="s">
        <v>128</v>
      </c>
      <c r="B20" s="1" t="s">
        <v>129</v>
      </c>
      <c r="C20" s="0" t="s">
        <v>95</v>
      </c>
      <c r="E20" s="10" t="n">
        <v>7.121</v>
      </c>
      <c r="G20" s="11" t="s">
        <v>74</v>
      </c>
      <c r="H20" s="1" t="s">
        <v>130</v>
      </c>
      <c r="I20" s="11" t="s">
        <v>33</v>
      </c>
    </row>
    <row r="21" customFormat="false" ht="17.15" hidden="false" customHeight="false" outlineLevel="0" collapsed="false">
      <c r="A21" s="0" t="s">
        <v>131</v>
      </c>
      <c r="B21" s="1" t="s">
        <v>132</v>
      </c>
      <c r="C21" s="0" t="s">
        <v>95</v>
      </c>
      <c r="E21" s="10" t="n">
        <v>7.294</v>
      </c>
      <c r="G21" s="11" t="s">
        <v>74</v>
      </c>
      <c r="H21" s="1" t="s">
        <v>133</v>
      </c>
      <c r="I21" s="11" t="s">
        <v>33</v>
      </c>
    </row>
    <row r="22" customFormat="false" ht="17.15" hidden="false" customHeight="false" outlineLevel="0" collapsed="false">
      <c r="A22" s="0" t="s">
        <v>134</v>
      </c>
      <c r="B22" s="1" t="s">
        <v>135</v>
      </c>
      <c r="C22" s="0" t="s">
        <v>95</v>
      </c>
      <c r="E22" s="10" t="n">
        <v>6.668</v>
      </c>
      <c r="G22" s="11" t="s">
        <v>74</v>
      </c>
      <c r="H22" s="1" t="s">
        <v>136</v>
      </c>
      <c r="I22" s="11" t="s">
        <v>33</v>
      </c>
    </row>
    <row r="23" customFormat="false" ht="17.15" hidden="false" customHeight="false" outlineLevel="0" collapsed="false">
      <c r="A23" s="0" t="s">
        <v>137</v>
      </c>
      <c r="B23" s="1" t="s">
        <v>138</v>
      </c>
      <c r="C23" s="0" t="s">
        <v>95</v>
      </c>
      <c r="E23" s="10" t="n">
        <v>6.57</v>
      </c>
      <c r="G23" s="11" t="s">
        <v>74</v>
      </c>
      <c r="H23" s="1" t="s">
        <v>139</v>
      </c>
      <c r="I23" s="11" t="s">
        <v>33</v>
      </c>
    </row>
    <row r="24" customFormat="false" ht="17.15" hidden="false" customHeight="false" outlineLevel="0" collapsed="false">
      <c r="A24" s="0" t="s">
        <v>140</v>
      </c>
      <c r="B24" s="1" t="s">
        <v>141</v>
      </c>
      <c r="C24" s="0" t="s">
        <v>95</v>
      </c>
      <c r="E24" s="10" t="n">
        <v>6.543</v>
      </c>
      <c r="G24" s="11" t="s">
        <v>74</v>
      </c>
      <c r="H24" s="1" t="s">
        <v>142</v>
      </c>
      <c r="I24" s="11" t="s">
        <v>33</v>
      </c>
    </row>
    <row r="25" customFormat="false" ht="17.15" hidden="false" customHeight="false" outlineLevel="0" collapsed="false">
      <c r="A25" s="0" t="s">
        <v>143</v>
      </c>
      <c r="B25" s="1" t="s">
        <v>144</v>
      </c>
      <c r="C25" s="0" t="s">
        <v>95</v>
      </c>
      <c r="E25" s="0" t="n">
        <f aca="false">fl_pay_31</f>
        <v>6.543</v>
      </c>
      <c r="G25" s="0" t="s">
        <v>118</v>
      </c>
      <c r="H25" s="1" t="s">
        <v>145</v>
      </c>
      <c r="I25" s="0" t="s">
        <v>33</v>
      </c>
    </row>
    <row r="26" customFormat="false" ht="17.15" hidden="false" customHeight="false" outlineLevel="0" collapsed="false">
      <c r="A26" s="0" t="s">
        <v>146</v>
      </c>
      <c r="B26" s="1" t="s">
        <v>147</v>
      </c>
      <c r="C26" s="0" t="s">
        <v>95</v>
      </c>
      <c r="D26" s="10" t="n">
        <v>30</v>
      </c>
      <c r="E26" s="10" t="n">
        <v>50</v>
      </c>
      <c r="F26" s="10" t="n">
        <v>70</v>
      </c>
      <c r="G26" s="11" t="s">
        <v>118</v>
      </c>
      <c r="H26" s="1" t="s">
        <v>148</v>
      </c>
      <c r="I26" s="1" t="s">
        <v>149</v>
      </c>
    </row>
    <row r="27" customFormat="false" ht="17.15" hidden="false" customHeight="false" outlineLevel="0" collapsed="false">
      <c r="A27" s="0" t="s">
        <v>150</v>
      </c>
      <c r="B27" s="1" t="s">
        <v>151</v>
      </c>
      <c r="C27" s="0" t="s">
        <v>95</v>
      </c>
      <c r="E27" s="10" t="n">
        <v>22.271</v>
      </c>
      <c r="G27" s="11" t="s">
        <v>74</v>
      </c>
      <c r="H27" s="1" t="s">
        <v>152</v>
      </c>
      <c r="I27" s="1" t="s">
        <v>153</v>
      </c>
    </row>
    <row r="28" customFormat="false" ht="15" hidden="false" customHeight="false" outlineLevel="0" collapsed="false">
      <c r="A28" s="0" t="s">
        <v>154</v>
      </c>
      <c r="B28" s="1" t="s">
        <v>155</v>
      </c>
      <c r="C28" s="0" t="s">
        <v>126</v>
      </c>
      <c r="D28" s="12" t="n">
        <v>0</v>
      </c>
      <c r="E28" s="12" t="n">
        <v>0.08</v>
      </c>
      <c r="F28" s="12" t="n">
        <v>0.12</v>
      </c>
      <c r="G28" s="11" t="s">
        <v>118</v>
      </c>
      <c r="H28" s="1" t="s">
        <v>156</v>
      </c>
      <c r="I28" s="1" t="s">
        <v>157</v>
      </c>
    </row>
    <row r="29" customFormat="false" ht="17.15" hidden="false" customHeight="false" outlineLevel="0" collapsed="false">
      <c r="A29" s="0" t="s">
        <v>158</v>
      </c>
      <c r="B29" s="1" t="s">
        <v>159</v>
      </c>
      <c r="C29" s="1" t="s">
        <v>79</v>
      </c>
      <c r="D29" s="10" t="n">
        <v>0.035</v>
      </c>
      <c r="E29" s="10" t="n">
        <v>0.045</v>
      </c>
      <c r="F29" s="10" t="n">
        <v>0.055</v>
      </c>
      <c r="G29" s="11" t="s">
        <v>87</v>
      </c>
      <c r="H29" s="1" t="s">
        <v>160</v>
      </c>
      <c r="I29" s="1" t="s">
        <v>161</v>
      </c>
    </row>
    <row r="30" customFormat="false" ht="17.15" hidden="false" customHeight="false" outlineLevel="0" collapsed="false">
      <c r="A30" s="0" t="s">
        <v>162</v>
      </c>
      <c r="B30" s="1" t="s">
        <v>163</v>
      </c>
      <c r="C30" s="0" t="s">
        <v>73</v>
      </c>
      <c r="E30" s="10" t="n">
        <v>0.91</v>
      </c>
      <c r="G30" s="11" t="s">
        <v>74</v>
      </c>
      <c r="H30" s="1" t="s">
        <v>164</v>
      </c>
      <c r="I30" s="11" t="s">
        <v>33</v>
      </c>
    </row>
    <row r="31" customFormat="false" ht="17.15" hidden="false" customHeight="false" outlineLevel="0" collapsed="false">
      <c r="A31" s="0" t="s">
        <v>165</v>
      </c>
      <c r="B31" s="1" t="s">
        <v>166</v>
      </c>
      <c r="C31" s="0" t="s">
        <v>73</v>
      </c>
      <c r="E31" s="10" t="n">
        <v>0.98</v>
      </c>
      <c r="G31" s="11" t="s">
        <v>167</v>
      </c>
      <c r="H31" s="1" t="s">
        <v>168</v>
      </c>
      <c r="I31" s="11" t="s">
        <v>33</v>
      </c>
    </row>
    <row r="32" customFormat="false" ht="17.15" hidden="false" customHeight="false" outlineLevel="0" collapsed="false">
      <c r="A32" s="0" t="s">
        <v>169</v>
      </c>
      <c r="B32" s="0" t="s">
        <v>170</v>
      </c>
      <c r="C32" s="0" t="s">
        <v>73</v>
      </c>
      <c r="E32" s="0" t="n">
        <f aca="false">dps_q0+3*dps_q1</f>
        <v>3.85</v>
      </c>
      <c r="G32" s="0" t="s">
        <v>87</v>
      </c>
      <c r="H32" s="1" t="s">
        <v>171</v>
      </c>
      <c r="I32" s="0" t="s">
        <v>33</v>
      </c>
    </row>
    <row r="33" customFormat="false" ht="17.15" hidden="false" customHeight="false" outlineLevel="0" collapsed="false">
      <c r="A33" s="0" t="s">
        <v>172</v>
      </c>
      <c r="B33" s="1" t="s">
        <v>173</v>
      </c>
      <c r="C33" s="0" t="s">
        <v>126</v>
      </c>
      <c r="D33" s="12" t="n">
        <v>0.05</v>
      </c>
      <c r="E33" s="12" t="n">
        <v>0.08</v>
      </c>
      <c r="F33" s="12" t="n">
        <v>0.1</v>
      </c>
      <c r="G33" s="11" t="s">
        <v>167</v>
      </c>
      <c r="H33" s="1" t="s">
        <v>174</v>
      </c>
      <c r="I33" s="11" t="s">
        <v>33</v>
      </c>
    </row>
    <row r="34" customFormat="false" ht="17.15" hidden="false" customHeight="false" outlineLevel="0" collapsed="false">
      <c r="A34" s="9" t="s">
        <v>175</v>
      </c>
    </row>
    <row r="35" customFormat="false" ht="17.15" hidden="false" customHeight="false" outlineLevel="0" collapsed="false">
      <c r="A35" s="0" t="s">
        <v>176</v>
      </c>
      <c r="B35" s="1" t="s">
        <v>177</v>
      </c>
      <c r="C35" s="0" t="s">
        <v>126</v>
      </c>
      <c r="E35" s="12" t="n">
        <v>0.0528</v>
      </c>
      <c r="G35" s="11" t="s">
        <v>74</v>
      </c>
      <c r="H35" s="1" t="s">
        <v>178</v>
      </c>
      <c r="I35" s="1" t="s">
        <v>179</v>
      </c>
    </row>
    <row r="36" customFormat="false" ht="17.15" hidden="false" customHeight="false" outlineLevel="0" collapsed="false">
      <c r="A36" s="0" t="s">
        <v>180</v>
      </c>
      <c r="B36" s="0" t="s">
        <v>181</v>
      </c>
      <c r="C36" s="0" t="s">
        <v>182</v>
      </c>
      <c r="D36" s="13" t="n">
        <v>1.1</v>
      </c>
      <c r="E36" s="13" t="n">
        <v>1.137</v>
      </c>
      <c r="F36" s="13" t="n">
        <v>1.1741</v>
      </c>
      <c r="G36" s="11" t="s">
        <v>87</v>
      </c>
      <c r="H36" s="1" t="s">
        <v>183</v>
      </c>
      <c r="I36" s="1" t="s">
        <v>179</v>
      </c>
    </row>
    <row r="37" customFormat="false" ht="17.15" hidden="false" customHeight="false" outlineLevel="0" collapsed="false">
      <c r="A37" s="0" t="s">
        <v>184</v>
      </c>
      <c r="B37" s="1" t="s">
        <v>185</v>
      </c>
      <c r="C37" s="0" t="s">
        <v>126</v>
      </c>
      <c r="E37" s="12" t="n">
        <v>0.05</v>
      </c>
      <c r="G37" s="11" t="s">
        <v>118</v>
      </c>
      <c r="H37" s="11" t="s">
        <v>186</v>
      </c>
      <c r="I37" s="1" t="s">
        <v>179</v>
      </c>
    </row>
    <row r="38" customFormat="false" ht="17.15" hidden="false" customHeight="false" outlineLevel="0" collapsed="false">
      <c r="A38" s="0" t="s">
        <v>187</v>
      </c>
      <c r="B38" s="1" t="s">
        <v>188</v>
      </c>
      <c r="C38" s="0" t="s">
        <v>126</v>
      </c>
      <c r="D38" s="12" t="n">
        <v>0.057</v>
      </c>
      <c r="E38" s="12" t="n">
        <v>0.0626</v>
      </c>
      <c r="F38" s="12" t="n">
        <v>0.065</v>
      </c>
      <c r="G38" s="11" t="s">
        <v>189</v>
      </c>
      <c r="H38" s="1" t="s">
        <v>190</v>
      </c>
      <c r="I38" s="11" t="s">
        <v>191</v>
      </c>
    </row>
    <row r="39" customFormat="false" ht="17.15" hidden="false" customHeight="false" outlineLevel="0" collapsed="false">
      <c r="A39" s="0" t="s">
        <v>192</v>
      </c>
      <c r="B39" s="0" t="s">
        <v>193</v>
      </c>
      <c r="C39" s="0" t="s">
        <v>126</v>
      </c>
      <c r="E39" s="12" t="n">
        <v>0.2</v>
      </c>
      <c r="G39" s="11" t="s">
        <v>167</v>
      </c>
      <c r="H39" s="1" t="s">
        <v>194</v>
      </c>
      <c r="I39" s="11" t="s">
        <v>33</v>
      </c>
    </row>
    <row r="40" customFormat="false" ht="17.15" hidden="false" customHeight="false" outlineLevel="0" collapsed="false">
      <c r="A40" s="0" t="s">
        <v>195</v>
      </c>
      <c r="B40" s="1" t="s">
        <v>196</v>
      </c>
      <c r="C40" s="0" t="s">
        <v>126</v>
      </c>
      <c r="E40" s="7" t="n">
        <f aca="false">rf+beta*erp</f>
        <v>0.10965</v>
      </c>
      <c r="G40" s="11" t="s">
        <v>87</v>
      </c>
      <c r="H40" s="11" t="s">
        <v>197</v>
      </c>
      <c r="I40" s="11" t="s">
        <v>33</v>
      </c>
    </row>
    <row r="41" customFormat="false" ht="17.15" hidden="false" customHeight="false" outlineLevel="0" collapsed="false">
      <c r="A41" s="0" t="s">
        <v>198</v>
      </c>
      <c r="B41" s="0" t="s">
        <v>199</v>
      </c>
      <c r="C41" s="0" t="s">
        <v>126</v>
      </c>
      <c r="E41" s="7" t="n">
        <f aca="false">(px*sh_out26*ke+debt_face*kd*(1-tax_w))/(px*sh_out26+debt_face)</f>
        <v>0.108963221150254</v>
      </c>
      <c r="G41" s="11" t="s">
        <v>87</v>
      </c>
      <c r="H41" s="11" t="s">
        <v>200</v>
      </c>
      <c r="I41" s="11" t="s">
        <v>201</v>
      </c>
    </row>
    <row r="42" customFormat="false" ht="17.15" hidden="false" customHeight="false" outlineLevel="0" collapsed="false">
      <c r="A42" s="0" t="s">
        <v>202</v>
      </c>
      <c r="B42" s="1" t="s">
        <v>203</v>
      </c>
      <c r="C42" s="0" t="s">
        <v>126</v>
      </c>
      <c r="D42" s="12" t="n">
        <v>0.02</v>
      </c>
      <c r="E42" s="12" t="n">
        <v>0.03</v>
      </c>
      <c r="F42" s="12" t="n">
        <v>0.04</v>
      </c>
      <c r="G42" s="11" t="s">
        <v>118</v>
      </c>
      <c r="H42" s="1" t="s">
        <v>204</v>
      </c>
      <c r="I42" s="11" t="s">
        <v>205</v>
      </c>
    </row>
    <row r="43" customFormat="false" ht="17.15" hidden="false" customHeight="false" outlineLevel="0" collapsed="false">
      <c r="A43" s="0" t="s">
        <v>206</v>
      </c>
      <c r="B43" s="1" t="s">
        <v>207</v>
      </c>
      <c r="C43" s="0" t="s">
        <v>208</v>
      </c>
      <c r="D43" s="12" t="n">
        <v>-0.02</v>
      </c>
      <c r="E43" s="12" t="n">
        <v>0</v>
      </c>
      <c r="F43" s="12" t="n">
        <v>0.05</v>
      </c>
      <c r="G43" s="11" t="s">
        <v>118</v>
      </c>
      <c r="H43" s="1" t="s">
        <v>209</v>
      </c>
      <c r="I43" s="1" t="s">
        <v>210</v>
      </c>
    </row>
    <row r="44" customFormat="false" ht="17.15" hidden="false" customHeight="false" outlineLevel="0" collapsed="false">
      <c r="A44" s="0" t="s">
        <v>211</v>
      </c>
      <c r="B44" s="1" t="s">
        <v>212</v>
      </c>
      <c r="C44" s="1" t="s">
        <v>213</v>
      </c>
      <c r="E44" s="0" t="n">
        <f aca="false">(DATE(2027,10,27)-DATE(2026,6,30))/365</f>
        <v>1.32602739726027</v>
      </c>
      <c r="G44" s="0" t="s">
        <v>87</v>
      </c>
      <c r="H44" s="0" t="s">
        <v>214</v>
      </c>
      <c r="I44" s="0" t="s">
        <v>215</v>
      </c>
    </row>
    <row r="45" customFormat="false" ht="17.15" hidden="false" customHeight="false" outlineLevel="0" collapsed="false">
      <c r="A45" s="14" t="s">
        <v>216</v>
      </c>
      <c r="B45" s="15" t="s">
        <v>217</v>
      </c>
      <c r="C45" s="14" t="s">
        <v>182</v>
      </c>
      <c r="D45" s="14"/>
      <c r="E45" s="16" t="n">
        <f aca="false">(DATE(2028,6,30)-DATE(2027,10,27))/365</f>
        <v>0.676712328767123</v>
      </c>
      <c r="F45" s="14"/>
      <c r="G45" s="14" t="s">
        <v>87</v>
      </c>
      <c r="H45" s="14" t="s">
        <v>218</v>
      </c>
      <c r="I45" s="14" t="s">
        <v>219</v>
      </c>
    </row>
    <row r="46" customFormat="false" ht="17.15" hidden="false" customHeight="false" outlineLevel="0" collapsed="false">
      <c r="A46" s="14" t="s">
        <v>220</v>
      </c>
      <c r="B46" s="15" t="s">
        <v>221</v>
      </c>
      <c r="C46" s="14" t="s">
        <v>126</v>
      </c>
      <c r="D46" s="17" t="n">
        <v>0.3</v>
      </c>
      <c r="E46" s="17" t="n">
        <v>0.5</v>
      </c>
      <c r="F46" s="17" t="n">
        <v>0.7</v>
      </c>
      <c r="G46" s="14" t="s">
        <v>118</v>
      </c>
      <c r="H46" s="14" t="s">
        <v>222</v>
      </c>
      <c r="I46" s="14" t="s">
        <v>223</v>
      </c>
    </row>
    <row r="47" customFormat="false" ht="17.15" hidden="false" customHeight="false" outlineLevel="0" collapsed="false">
      <c r="A47" s="14" t="s">
        <v>224</v>
      </c>
      <c r="B47" s="15" t="s">
        <v>225</v>
      </c>
      <c r="C47" s="14" t="s">
        <v>126</v>
      </c>
      <c r="D47" s="14"/>
      <c r="E47" s="17" t="n">
        <v>0.25</v>
      </c>
      <c r="F47" s="14"/>
      <c r="G47" s="14" t="s">
        <v>118</v>
      </c>
      <c r="H47" s="14" t="s">
        <v>226</v>
      </c>
      <c r="I47" s="14" t="s">
        <v>223</v>
      </c>
    </row>
    <row r="48" customFormat="false" ht="17.15" hidden="false" customHeight="false" outlineLevel="0" collapsed="false">
      <c r="A48" s="14" t="s">
        <v>227</v>
      </c>
      <c r="B48" s="15" t="s">
        <v>228</v>
      </c>
      <c r="C48" s="14" t="s">
        <v>126</v>
      </c>
      <c r="D48" s="14"/>
      <c r="E48" s="17" t="n">
        <v>0.5</v>
      </c>
      <c r="F48" s="14"/>
      <c r="G48" s="14" t="s">
        <v>118</v>
      </c>
      <c r="H48" s="14" t="s">
        <v>226</v>
      </c>
      <c r="I48" s="14" t="s">
        <v>223</v>
      </c>
    </row>
    <row r="49" customFormat="false" ht="17.15" hidden="false" customHeight="false" outlineLevel="0" collapsed="false">
      <c r="A49" s="14" t="s">
        <v>229</v>
      </c>
      <c r="B49" s="15" t="s">
        <v>230</v>
      </c>
      <c r="C49" s="14" t="s">
        <v>126</v>
      </c>
      <c r="D49" s="14"/>
      <c r="E49" s="17" t="n">
        <v>0.25</v>
      </c>
      <c r="F49" s="14"/>
      <c r="G49" s="14" t="s">
        <v>118</v>
      </c>
      <c r="H49" s="14" t="s">
        <v>226</v>
      </c>
      <c r="I49" s="14" t="s">
        <v>223</v>
      </c>
    </row>
    <row r="50" customFormat="false" ht="17.15" hidden="false" customHeight="false" outlineLevel="0" collapsed="false">
      <c r="A50" s="0" t="s">
        <v>231</v>
      </c>
      <c r="B50" s="0" t="s">
        <v>232</v>
      </c>
      <c r="C50" s="0" t="s">
        <v>126</v>
      </c>
      <c r="E50" s="12" t="n">
        <v>0.25</v>
      </c>
      <c r="F50" s="12" t="n">
        <v>0.27</v>
      </c>
      <c r="G50" s="11" t="s">
        <v>74</v>
      </c>
      <c r="H50" s="1" t="s">
        <v>233</v>
      </c>
      <c r="I50" s="11" t="s">
        <v>234</v>
      </c>
    </row>
    <row r="51" customFormat="false" ht="17.15" hidden="false" customHeight="false" outlineLevel="0" collapsed="false">
      <c r="A51" s="0" t="s">
        <v>235</v>
      </c>
      <c r="B51" s="0" t="s">
        <v>236</v>
      </c>
      <c r="C51" s="0" t="s">
        <v>95</v>
      </c>
      <c r="E51" s="10" t="n">
        <v>852</v>
      </c>
      <c r="G51" s="11" t="s">
        <v>167</v>
      </c>
      <c r="H51" s="1" t="s">
        <v>237</v>
      </c>
      <c r="I51" s="1" t="s">
        <v>238</v>
      </c>
    </row>
    <row r="52" customFormat="false" ht="17.15" hidden="false" customHeight="false" outlineLevel="0" collapsed="false">
      <c r="A52" s="0" t="s">
        <v>239</v>
      </c>
      <c r="B52" s="1" t="s">
        <v>240</v>
      </c>
      <c r="C52" s="0" t="s">
        <v>126</v>
      </c>
      <c r="D52" s="12" t="n">
        <v>0</v>
      </c>
      <c r="E52" s="12" t="n">
        <v>0.2</v>
      </c>
      <c r="F52" s="12" t="n">
        <v>0.4</v>
      </c>
      <c r="G52" s="11" t="s">
        <v>118</v>
      </c>
      <c r="H52" s="1" t="s">
        <v>241</v>
      </c>
      <c r="I52" s="1" t="s">
        <v>179</v>
      </c>
    </row>
    <row r="53" customFormat="false" ht="17.15" hidden="false" customHeight="false" outlineLevel="0" collapsed="false">
      <c r="A53" s="0" t="s">
        <v>242</v>
      </c>
      <c r="B53" s="0" t="s">
        <v>243</v>
      </c>
      <c r="C53" s="0" t="s">
        <v>95</v>
      </c>
      <c r="E53" s="0" t="n">
        <f aca="false">oai_stake*oai_val*(1-liq_disc)</f>
        <v>170.4</v>
      </c>
      <c r="G53" s="0" t="s">
        <v>87</v>
      </c>
      <c r="H53" s="1" t="s">
        <v>244</v>
      </c>
      <c r="I53" s="0" t="s">
        <v>245</v>
      </c>
    </row>
    <row r="54" customFormat="false" ht="17.15" hidden="false" customHeight="false" outlineLevel="0" collapsed="false">
      <c r="A54" s="0" t="s">
        <v>246</v>
      </c>
      <c r="B54" s="0" t="s">
        <v>247</v>
      </c>
      <c r="C54" s="0" t="s">
        <v>182</v>
      </c>
      <c r="D54" s="13" t="n">
        <v>4</v>
      </c>
      <c r="E54" s="13" t="n">
        <v>6</v>
      </c>
      <c r="F54" s="13" t="n">
        <v>10</v>
      </c>
      <c r="G54" s="11" t="s">
        <v>118</v>
      </c>
      <c r="H54" s="1" t="s">
        <v>248</v>
      </c>
      <c r="I54" s="11" t="s">
        <v>249</v>
      </c>
    </row>
    <row r="55" customFormat="false" ht="17.15" hidden="false" customHeight="false" outlineLevel="0" collapsed="false">
      <c r="A55" s="0" t="s">
        <v>250</v>
      </c>
      <c r="B55" s="1" t="s">
        <v>251</v>
      </c>
      <c r="C55" s="0" t="s">
        <v>182</v>
      </c>
      <c r="E55" s="13" t="n">
        <v>13.82</v>
      </c>
      <c r="G55" s="11" t="s">
        <v>87</v>
      </c>
      <c r="H55" s="11" t="s">
        <v>252</v>
      </c>
      <c r="I55" s="11" t="s">
        <v>253</v>
      </c>
    </row>
    <row r="56" customFormat="false" ht="17.15" hidden="false" customHeight="false" outlineLevel="0" collapsed="false">
      <c r="A56" s="0" t="s">
        <v>254</v>
      </c>
      <c r="B56" s="1" t="s">
        <v>255</v>
      </c>
      <c r="C56" s="0" t="s">
        <v>182</v>
      </c>
      <c r="E56" s="13" t="n">
        <v>10.8</v>
      </c>
      <c r="G56" s="11" t="s">
        <v>87</v>
      </c>
      <c r="H56" s="1" t="s">
        <v>256</v>
      </c>
      <c r="I56" s="11" t="s">
        <v>257</v>
      </c>
    </row>
    <row r="57" customFormat="false" ht="17.15" hidden="false" customHeight="false" outlineLevel="0" collapsed="false">
      <c r="A57" s="0" t="s">
        <v>258</v>
      </c>
      <c r="B57" s="1" t="s">
        <v>259</v>
      </c>
      <c r="C57" s="0" t="s">
        <v>182</v>
      </c>
      <c r="E57" s="13" t="n">
        <v>9.11</v>
      </c>
      <c r="G57" s="11" t="s">
        <v>87</v>
      </c>
      <c r="H57" s="11" t="s">
        <v>260</v>
      </c>
      <c r="I57" s="11" t="s">
        <v>257</v>
      </c>
    </row>
    <row r="58" customFormat="false" ht="17.15" hidden="false" customHeight="false" outlineLevel="0" collapsed="false">
      <c r="A58" s="0" t="s">
        <v>261</v>
      </c>
      <c r="B58" s="1" t="s">
        <v>262</v>
      </c>
      <c r="C58" s="0" t="s">
        <v>182</v>
      </c>
      <c r="E58" s="13" t="n">
        <v>12.63</v>
      </c>
      <c r="G58" s="11" t="s">
        <v>87</v>
      </c>
      <c r="H58" s="1" t="s">
        <v>263</v>
      </c>
      <c r="I58" s="11" t="s">
        <v>264</v>
      </c>
    </row>
    <row r="59" customFormat="false" ht="17.15" hidden="false" customHeight="false" outlineLevel="0" collapsed="false">
      <c r="A59" s="0" t="s">
        <v>265</v>
      </c>
      <c r="B59" s="0" t="s">
        <v>266</v>
      </c>
      <c r="C59" s="0" t="s">
        <v>182</v>
      </c>
      <c r="E59" s="13" t="n">
        <v>14.47</v>
      </c>
      <c r="G59" s="11" t="s">
        <v>87</v>
      </c>
      <c r="H59" s="1" t="s">
        <v>267</v>
      </c>
      <c r="I59" s="11" t="s">
        <v>264</v>
      </c>
    </row>
    <row r="60" customFormat="false" ht="17.15" hidden="false" customHeight="false" outlineLevel="0" collapsed="false">
      <c r="A60" s="0" t="s">
        <v>268</v>
      </c>
      <c r="B60" s="0" t="s">
        <v>269</v>
      </c>
      <c r="C60" s="0" t="s">
        <v>182</v>
      </c>
      <c r="E60" s="13" t="n">
        <v>15.67</v>
      </c>
      <c r="G60" s="11" t="s">
        <v>87</v>
      </c>
      <c r="H60" s="1" t="s">
        <v>270</v>
      </c>
      <c r="I60" s="1" t="s">
        <v>271</v>
      </c>
    </row>
    <row r="61" customFormat="false" ht="17.15" hidden="false" customHeight="false" outlineLevel="0" collapsed="false">
      <c r="A61" s="0" t="s">
        <v>272</v>
      </c>
      <c r="B61" s="1" t="s">
        <v>273</v>
      </c>
      <c r="C61" s="0" t="s">
        <v>126</v>
      </c>
      <c r="D61" s="12" t="n">
        <v>0.5</v>
      </c>
      <c r="E61" s="12" t="n">
        <v>0.6</v>
      </c>
      <c r="F61" s="12" t="n">
        <v>0.7</v>
      </c>
      <c r="G61" s="11" t="s">
        <v>118</v>
      </c>
      <c r="H61" s="1" t="s">
        <v>274</v>
      </c>
      <c r="I61" s="1" t="s">
        <v>275</v>
      </c>
    </row>
    <row r="62" customFormat="false" ht="17.15" hidden="false" customHeight="false" outlineLevel="0" collapsed="false">
      <c r="A62" s="0" t="s">
        <v>276</v>
      </c>
      <c r="B62" s="1" t="s">
        <v>277</v>
      </c>
      <c r="C62" s="0" t="s">
        <v>126</v>
      </c>
      <c r="D62" s="12" t="n">
        <v>0.65</v>
      </c>
      <c r="E62" s="12" t="n">
        <v>0.75</v>
      </c>
      <c r="F62" s="12" t="n">
        <v>0.85</v>
      </c>
      <c r="G62" s="11" t="s">
        <v>118</v>
      </c>
      <c r="H62" s="1" t="s">
        <v>274</v>
      </c>
      <c r="I62" s="1" t="s">
        <v>278</v>
      </c>
    </row>
    <row r="63" customFormat="false" ht="17.15" hidden="false" customHeight="false" outlineLevel="0" collapsed="false">
      <c r="A63" s="0" t="s">
        <v>279</v>
      </c>
      <c r="B63" s="1" t="s">
        <v>280</v>
      </c>
      <c r="C63" s="0" t="s">
        <v>126</v>
      </c>
      <c r="D63" s="12" t="n">
        <v>0.2</v>
      </c>
      <c r="E63" s="12" t="n">
        <v>0.3</v>
      </c>
      <c r="F63" s="12" t="n">
        <v>0.4</v>
      </c>
      <c r="G63" s="11" t="s">
        <v>118</v>
      </c>
      <c r="H63" s="1" t="s">
        <v>274</v>
      </c>
      <c r="I63" s="1" t="s">
        <v>281</v>
      </c>
    </row>
    <row r="64" customFormat="false" ht="17.15" hidden="false" customHeight="false" outlineLevel="0" collapsed="false">
      <c r="A64" s="0" t="s">
        <v>282</v>
      </c>
      <c r="B64" s="1" t="s">
        <v>283</v>
      </c>
      <c r="C64" s="0" t="s">
        <v>126</v>
      </c>
      <c r="D64" s="12" t="n">
        <v>0.2</v>
      </c>
      <c r="E64" s="12" t="n">
        <v>0.3</v>
      </c>
      <c r="F64" s="12" t="n">
        <v>0.4</v>
      </c>
      <c r="G64" s="11" t="s">
        <v>118</v>
      </c>
      <c r="H64" s="1" t="s">
        <v>274</v>
      </c>
      <c r="I64" s="1" t="s">
        <v>284</v>
      </c>
    </row>
    <row r="65" customFormat="false" ht="17.15" hidden="false" customHeight="false" outlineLevel="0" collapsed="false">
      <c r="A65" s="0" t="s">
        <v>285</v>
      </c>
      <c r="B65" s="1" t="s">
        <v>286</v>
      </c>
      <c r="C65" s="0" t="s">
        <v>126</v>
      </c>
      <c r="D65" s="12" t="n">
        <v>0.2</v>
      </c>
      <c r="E65" s="12" t="n">
        <v>0.3</v>
      </c>
      <c r="F65" s="12" t="n">
        <v>0.4</v>
      </c>
      <c r="G65" s="11" t="s">
        <v>118</v>
      </c>
      <c r="H65" s="1" t="s">
        <v>274</v>
      </c>
      <c r="I65" s="1" t="s">
        <v>287</v>
      </c>
    </row>
    <row r="66" customFormat="false" ht="17.15" hidden="false" customHeight="false" outlineLevel="0" collapsed="false">
      <c r="A66" s="9" t="s">
        <v>288</v>
      </c>
    </row>
    <row r="67" customFormat="false" ht="17.15" hidden="false" customHeight="false" outlineLevel="0" collapsed="false">
      <c r="A67" s="0" t="s">
        <v>289</v>
      </c>
      <c r="B67" s="0" t="s">
        <v>290</v>
      </c>
      <c r="C67" s="0" t="s">
        <v>291</v>
      </c>
      <c r="E67" s="10" t="n">
        <v>9.70308728611469</v>
      </c>
      <c r="G67" s="11" t="s">
        <v>87</v>
      </c>
      <c r="H67" s="11" t="s">
        <v>292</v>
      </c>
      <c r="I67" s="1" t="s">
        <v>293</v>
      </c>
    </row>
    <row r="68" customFormat="false" ht="17.15" hidden="false" customHeight="false" outlineLevel="0" collapsed="false">
      <c r="A68" s="0" t="s">
        <v>294</v>
      </c>
      <c r="B68" s="0" t="s">
        <v>295</v>
      </c>
      <c r="C68" s="0" t="s">
        <v>291</v>
      </c>
      <c r="E68" s="10" t="n">
        <v>8.82816556596761</v>
      </c>
      <c r="G68" s="11" t="s">
        <v>87</v>
      </c>
      <c r="H68" s="11" t="s">
        <v>292</v>
      </c>
      <c r="I68" s="1" t="s">
        <v>293</v>
      </c>
    </row>
    <row r="69" customFormat="false" ht="17.15" hidden="false" customHeight="false" outlineLevel="0" collapsed="false">
      <c r="A69" s="0" t="s">
        <v>296</v>
      </c>
      <c r="B69" s="0" t="s">
        <v>297</v>
      </c>
      <c r="C69" s="0" t="s">
        <v>291</v>
      </c>
      <c r="E69" s="10" t="n">
        <v>10.8864110021101</v>
      </c>
      <c r="G69" s="11" t="s">
        <v>87</v>
      </c>
      <c r="H69" s="11" t="s">
        <v>292</v>
      </c>
      <c r="I69" s="1" t="s">
        <v>293</v>
      </c>
    </row>
    <row r="70" customFormat="false" ht="17.15" hidden="false" customHeight="false" outlineLevel="0" collapsed="false">
      <c r="A70" s="0" t="s">
        <v>298</v>
      </c>
      <c r="B70" s="0" t="s">
        <v>299</v>
      </c>
      <c r="C70" s="0" t="s">
        <v>291</v>
      </c>
      <c r="E70" s="10" t="n">
        <v>12.2254710045841</v>
      </c>
      <c r="G70" s="11" t="s">
        <v>87</v>
      </c>
      <c r="H70" s="11" t="s">
        <v>292</v>
      </c>
      <c r="I70" s="1" t="s">
        <v>293</v>
      </c>
    </row>
    <row r="71" customFormat="false" ht="17.15" hidden="false" customHeight="false" outlineLevel="0" collapsed="false">
      <c r="A71" s="0" t="s">
        <v>300</v>
      </c>
      <c r="B71" s="0" t="s">
        <v>301</v>
      </c>
      <c r="C71" s="0" t="s">
        <v>302</v>
      </c>
      <c r="E71" s="10" t="n">
        <v>27.510214</v>
      </c>
      <c r="G71" s="11" t="s">
        <v>87</v>
      </c>
      <c r="H71" s="11" t="s">
        <v>292</v>
      </c>
      <c r="I71" s="11" t="s">
        <v>33</v>
      </c>
    </row>
    <row r="72" customFormat="false" ht="17.15" hidden="false" customHeight="false" outlineLevel="0" collapsed="false">
      <c r="A72" s="0" t="s">
        <v>303</v>
      </c>
      <c r="B72" s="0" t="s">
        <v>304</v>
      </c>
      <c r="C72" s="0" t="s">
        <v>302</v>
      </c>
      <c r="E72" s="10" t="n">
        <v>24.015174</v>
      </c>
      <c r="G72" s="11" t="s">
        <v>87</v>
      </c>
      <c r="H72" s="11" t="s">
        <v>292</v>
      </c>
      <c r="I72" s="11" t="s">
        <v>33</v>
      </c>
    </row>
    <row r="73" customFormat="false" ht="17.15" hidden="false" customHeight="false" outlineLevel="0" collapsed="false">
      <c r="A73" s="0" t="s">
        <v>305</v>
      </c>
      <c r="B73" s="0" t="s">
        <v>306</v>
      </c>
      <c r="C73" s="0" t="s">
        <v>302</v>
      </c>
      <c r="E73" s="10" t="n">
        <v>32.237224</v>
      </c>
      <c r="G73" s="11" t="s">
        <v>87</v>
      </c>
      <c r="H73" s="11" t="s">
        <v>292</v>
      </c>
      <c r="I73" s="11" t="s">
        <v>33</v>
      </c>
    </row>
    <row r="74" customFormat="false" ht="17.15" hidden="false" customHeight="false" outlineLevel="0" collapsed="false">
      <c r="A74" s="0" t="s">
        <v>307</v>
      </c>
      <c r="B74" s="0" t="s">
        <v>308</v>
      </c>
      <c r="C74" s="0" t="s">
        <v>302</v>
      </c>
      <c r="E74" s="10" t="n">
        <v>37.586352</v>
      </c>
      <c r="G74" s="11" t="s">
        <v>87</v>
      </c>
      <c r="H74" s="11" t="s">
        <v>292</v>
      </c>
      <c r="I74" s="11" t="s">
        <v>33</v>
      </c>
    </row>
    <row r="75" customFormat="false" ht="17.15" hidden="false" customHeight="false" outlineLevel="0" collapsed="false">
      <c r="A75" s="0" t="s">
        <v>309</v>
      </c>
      <c r="B75" s="0" t="s">
        <v>310</v>
      </c>
      <c r="C75" s="0" t="s">
        <v>291</v>
      </c>
      <c r="E75" s="10" t="n">
        <v>1.88466748019734</v>
      </c>
      <c r="G75" s="11" t="s">
        <v>87</v>
      </c>
      <c r="H75" s="11" t="s">
        <v>292</v>
      </c>
      <c r="I75" s="1" t="s">
        <v>311</v>
      </c>
    </row>
    <row r="76" customFormat="false" ht="17.15" hidden="false" customHeight="false" outlineLevel="0" collapsed="false">
      <c r="A76" s="0" t="s">
        <v>312</v>
      </c>
      <c r="B76" s="0" t="s">
        <v>313</v>
      </c>
      <c r="C76" s="0" t="s">
        <v>291</v>
      </c>
      <c r="E76" s="10" t="n">
        <v>1.812232738713</v>
      </c>
      <c r="G76" s="11" t="s">
        <v>87</v>
      </c>
      <c r="H76" s="11" t="s">
        <v>292</v>
      </c>
      <c r="I76" s="1" t="s">
        <v>311</v>
      </c>
    </row>
    <row r="77" customFormat="false" ht="17.15" hidden="false" customHeight="false" outlineLevel="0" collapsed="false">
      <c r="A77" s="0" t="s">
        <v>314</v>
      </c>
      <c r="B77" s="0" t="s">
        <v>315</v>
      </c>
      <c r="C77" s="0" t="s">
        <v>291</v>
      </c>
      <c r="E77" s="10" t="n">
        <v>1.98263481314457</v>
      </c>
      <c r="G77" s="11" t="s">
        <v>87</v>
      </c>
      <c r="H77" s="11" t="s">
        <v>292</v>
      </c>
      <c r="I77" s="1" t="s">
        <v>311</v>
      </c>
    </row>
    <row r="78" customFormat="false" ht="17.15" hidden="false" customHeight="false" outlineLevel="0" collapsed="false">
      <c r="A78" s="0" t="s">
        <v>316</v>
      </c>
      <c r="B78" s="0" t="s">
        <v>317</v>
      </c>
      <c r="C78" s="0" t="s">
        <v>291</v>
      </c>
      <c r="E78" s="10" t="n">
        <v>2.09349554831403</v>
      </c>
      <c r="G78" s="11" t="s">
        <v>87</v>
      </c>
      <c r="H78" s="11" t="s">
        <v>292</v>
      </c>
      <c r="I78" s="1" t="s">
        <v>311</v>
      </c>
    </row>
    <row r="79" customFormat="false" ht="17.15" hidden="false" customHeight="false" outlineLevel="0" collapsed="false">
      <c r="A79" s="0" t="s">
        <v>318</v>
      </c>
      <c r="B79" s="0" t="s">
        <v>319</v>
      </c>
      <c r="C79" s="0" t="s">
        <v>302</v>
      </c>
      <c r="E79" s="10" t="n">
        <v>12.67</v>
      </c>
      <c r="G79" s="11" t="s">
        <v>87</v>
      </c>
      <c r="H79" s="11" t="s">
        <v>292</v>
      </c>
      <c r="I79" s="1" t="s">
        <v>320</v>
      </c>
    </row>
    <row r="80" customFormat="false" ht="17.15" hidden="false" customHeight="false" outlineLevel="0" collapsed="false">
      <c r="A80" s="0" t="s">
        <v>321</v>
      </c>
      <c r="B80" s="0" t="s">
        <v>322</v>
      </c>
      <c r="C80" s="0" t="s">
        <v>323</v>
      </c>
      <c r="E80" s="10" t="n">
        <v>1.54259654785589</v>
      </c>
      <c r="G80" s="11" t="s">
        <v>87</v>
      </c>
      <c r="H80" s="11" t="s">
        <v>292</v>
      </c>
      <c r="I80" s="11" t="s">
        <v>324</v>
      </c>
    </row>
    <row r="81" customFormat="false" ht="17.15" hidden="false" customHeight="false" outlineLevel="0" collapsed="false">
      <c r="A81" s="0" t="s">
        <v>325</v>
      </c>
      <c r="B81" s="0" t="s">
        <v>326</v>
      </c>
      <c r="C81" s="1" t="s">
        <v>213</v>
      </c>
      <c r="D81" s="10" t="n">
        <v>5</v>
      </c>
      <c r="E81" s="10" t="n">
        <v>6</v>
      </c>
      <c r="F81" s="10" t="n">
        <v>7</v>
      </c>
      <c r="G81" s="11" t="s">
        <v>87</v>
      </c>
      <c r="H81" s="11" t="s">
        <v>327</v>
      </c>
      <c r="I81" s="11" t="s">
        <v>328</v>
      </c>
    </row>
    <row r="82" customFormat="false" ht="17.15" hidden="false" customHeight="false" outlineLevel="0" collapsed="false">
      <c r="A82" s="0" t="s">
        <v>329</v>
      </c>
      <c r="B82" s="1" t="s">
        <v>330</v>
      </c>
      <c r="C82" s="1" t="s">
        <v>213</v>
      </c>
      <c r="E82" s="10" t="n">
        <v>20</v>
      </c>
      <c r="G82" s="11" t="s">
        <v>87</v>
      </c>
      <c r="H82" s="11" t="s">
        <v>331</v>
      </c>
      <c r="I82" s="1" t="s">
        <v>332</v>
      </c>
    </row>
    <row r="83" customFormat="false" ht="17.15" hidden="false" customHeight="false" outlineLevel="0" collapsed="false">
      <c r="A83" s="0" t="s">
        <v>333</v>
      </c>
      <c r="B83" s="1" t="s">
        <v>334</v>
      </c>
      <c r="C83" s="0" t="s">
        <v>291</v>
      </c>
      <c r="E83" s="0" t="n">
        <f aca="false">tk_cxfac*0.1/(1-1.1^(-life_fac))</f>
        <v>1.48821344586815</v>
      </c>
      <c r="G83" s="0" t="s">
        <v>87</v>
      </c>
      <c r="H83" s="0" t="s">
        <v>335</v>
      </c>
      <c r="I83" s="0" t="s">
        <v>336</v>
      </c>
    </row>
    <row r="84" customFormat="false" ht="17.15" hidden="false" customHeight="false" outlineLevel="0" collapsed="false">
      <c r="A84" s="9" t="s">
        <v>337</v>
      </c>
    </row>
    <row r="85" customFormat="false" ht="17.15" hidden="false" customHeight="false" outlineLevel="0" collapsed="false">
      <c r="A85" s="0" t="s">
        <v>338</v>
      </c>
      <c r="B85" s="1" t="s">
        <v>339</v>
      </c>
      <c r="C85" s="0" t="s">
        <v>340</v>
      </c>
      <c r="E85" s="10" t="n">
        <v>640</v>
      </c>
      <c r="G85" s="11" t="s">
        <v>87</v>
      </c>
      <c r="H85" s="1" t="s">
        <v>341</v>
      </c>
      <c r="I85" s="1" t="s">
        <v>342</v>
      </c>
    </row>
    <row r="86" customFormat="false" ht="17.15" hidden="false" customHeight="false" outlineLevel="0" collapsed="false">
      <c r="A86" s="0" t="s">
        <v>343</v>
      </c>
      <c r="B86" s="1" t="s">
        <v>344</v>
      </c>
      <c r="C86" s="0" t="s">
        <v>340</v>
      </c>
      <c r="E86" s="10" t="n">
        <v>1630</v>
      </c>
      <c r="G86" s="11" t="s">
        <v>87</v>
      </c>
      <c r="H86" s="1" t="s">
        <v>341</v>
      </c>
      <c r="I86" s="1" t="s">
        <v>342</v>
      </c>
    </row>
    <row r="87" customFormat="false" ht="17.15" hidden="false" customHeight="false" outlineLevel="0" collapsed="false">
      <c r="A87" s="0" t="s">
        <v>345</v>
      </c>
      <c r="B87" s="1" t="s">
        <v>346</v>
      </c>
      <c r="C87" s="0" t="s">
        <v>340</v>
      </c>
      <c r="D87" s="10" t="n">
        <v>2150</v>
      </c>
      <c r="E87" s="10" t="n">
        <v>3250</v>
      </c>
      <c r="F87" s="10" t="n">
        <v>4875</v>
      </c>
      <c r="G87" s="11" t="s">
        <v>87</v>
      </c>
      <c r="H87" s="1" t="s">
        <v>347</v>
      </c>
      <c r="I87" s="1" t="s">
        <v>342</v>
      </c>
    </row>
    <row r="88" customFormat="false" ht="17.15" hidden="false" customHeight="false" outlineLevel="0" collapsed="false">
      <c r="A88" s="0" t="s">
        <v>348</v>
      </c>
      <c r="B88" s="1" t="s">
        <v>349</v>
      </c>
      <c r="C88" s="0" t="s">
        <v>340</v>
      </c>
      <c r="E88" s="10" t="n">
        <v>150</v>
      </c>
      <c r="G88" s="11" t="s">
        <v>118</v>
      </c>
      <c r="H88" s="1" t="s">
        <v>350</v>
      </c>
      <c r="I88" s="1" t="s">
        <v>351</v>
      </c>
    </row>
    <row r="89" customFormat="false" ht="17.15" hidden="false" customHeight="false" outlineLevel="0" collapsed="false">
      <c r="A89" s="0" t="s">
        <v>352</v>
      </c>
      <c r="B89" s="1" t="s">
        <v>353</v>
      </c>
      <c r="C89" s="0" t="s">
        <v>340</v>
      </c>
      <c r="E89" s="10" t="n">
        <v>400</v>
      </c>
      <c r="G89" s="11" t="s">
        <v>118</v>
      </c>
      <c r="H89" s="1" t="s">
        <v>350</v>
      </c>
      <c r="I89" s="1" t="s">
        <v>351</v>
      </c>
    </row>
    <row r="90" customFormat="false" ht="17.15" hidden="false" customHeight="false" outlineLevel="0" collapsed="false">
      <c r="A90" s="0" t="s">
        <v>354</v>
      </c>
      <c r="B90" s="1" t="s">
        <v>355</v>
      </c>
      <c r="C90" s="0" t="s">
        <v>340</v>
      </c>
      <c r="E90" s="10" t="n">
        <v>550</v>
      </c>
      <c r="G90" s="11" t="s">
        <v>87</v>
      </c>
      <c r="H90" s="1" t="s">
        <v>356</v>
      </c>
      <c r="I90" s="1" t="s">
        <v>351</v>
      </c>
    </row>
    <row r="91" customFormat="false" ht="17.15" hidden="false" customHeight="false" outlineLevel="0" collapsed="false">
      <c r="A91" s="0" t="s">
        <v>357</v>
      </c>
      <c r="B91" s="1" t="s">
        <v>358</v>
      </c>
      <c r="C91" s="0" t="s">
        <v>340</v>
      </c>
      <c r="E91" s="10" t="n">
        <v>756</v>
      </c>
      <c r="G91" s="11" t="s">
        <v>87</v>
      </c>
      <c r="H91" s="1" t="s">
        <v>359</v>
      </c>
      <c r="I91" s="11" t="s">
        <v>33</v>
      </c>
    </row>
    <row r="92" customFormat="false" ht="17.15" hidden="false" customHeight="false" outlineLevel="0" collapsed="false">
      <c r="A92" s="0" t="s">
        <v>360</v>
      </c>
      <c r="B92" s="1" t="s">
        <v>361</v>
      </c>
      <c r="C92" s="0" t="s">
        <v>362</v>
      </c>
      <c r="E92" s="10" t="n">
        <v>2527.2</v>
      </c>
      <c r="G92" s="11" t="s">
        <v>87</v>
      </c>
      <c r="H92" s="1" t="s">
        <v>363</v>
      </c>
      <c r="I92" s="1" t="s">
        <v>364</v>
      </c>
    </row>
    <row r="93" customFormat="false" ht="17.15" hidden="false" customHeight="false" outlineLevel="0" collapsed="false">
      <c r="A93" s="0" t="s">
        <v>365</v>
      </c>
      <c r="B93" s="1" t="s">
        <v>366</v>
      </c>
      <c r="C93" s="0" t="s">
        <v>362</v>
      </c>
      <c r="E93" s="10" t="n">
        <v>650</v>
      </c>
      <c r="G93" s="11" t="s">
        <v>87</v>
      </c>
      <c r="H93" s="1" t="s">
        <v>367</v>
      </c>
      <c r="I93" s="1" t="s">
        <v>368</v>
      </c>
    </row>
    <row r="94" customFormat="false" ht="17.15" hidden="false" customHeight="false" outlineLevel="0" collapsed="false">
      <c r="A94" s="0" t="s">
        <v>369</v>
      </c>
      <c r="B94" s="1" t="s">
        <v>370</v>
      </c>
      <c r="C94" s="0" t="s">
        <v>340</v>
      </c>
      <c r="E94" s="10" t="n">
        <v>4386</v>
      </c>
      <c r="G94" s="11" t="s">
        <v>87</v>
      </c>
      <c r="H94" s="1" t="s">
        <v>179</v>
      </c>
      <c r="I94" s="11" t="s">
        <v>33</v>
      </c>
    </row>
    <row r="95" customFormat="false" ht="17.15" hidden="false" customHeight="false" outlineLevel="0" collapsed="false">
      <c r="A95" s="0" t="s">
        <v>371</v>
      </c>
      <c r="B95" s="1" t="s">
        <v>372</v>
      </c>
      <c r="C95" s="0" t="s">
        <v>126</v>
      </c>
      <c r="D95" s="12" t="n">
        <v>0.5</v>
      </c>
      <c r="E95" s="12" t="n">
        <v>0.6</v>
      </c>
      <c r="F95" s="12" t="n">
        <v>0.75</v>
      </c>
      <c r="G95" s="11" t="s">
        <v>118</v>
      </c>
      <c r="H95" s="1" t="s">
        <v>373</v>
      </c>
      <c r="I95" s="11" t="s">
        <v>374</v>
      </c>
    </row>
    <row r="96" customFormat="false" ht="17.15" hidden="false" customHeight="false" outlineLevel="0" collapsed="false">
      <c r="A96" s="0" t="s">
        <v>375</v>
      </c>
      <c r="B96" s="1" t="s">
        <v>376</v>
      </c>
      <c r="C96" s="0" t="s">
        <v>126</v>
      </c>
      <c r="D96" s="12" t="n">
        <v>0.4</v>
      </c>
      <c r="E96" s="12" t="n">
        <v>0.6</v>
      </c>
      <c r="F96" s="12" t="n">
        <v>0.8</v>
      </c>
      <c r="G96" s="11" t="s">
        <v>118</v>
      </c>
      <c r="H96" s="1" t="s">
        <v>377</v>
      </c>
      <c r="I96" s="1" t="s">
        <v>378</v>
      </c>
    </row>
    <row r="97" customFormat="false" ht="17.15" hidden="false" customHeight="false" outlineLevel="0" collapsed="false">
      <c r="A97" s="0" t="s">
        <v>379</v>
      </c>
      <c r="B97" s="1" t="s">
        <v>380</v>
      </c>
      <c r="C97" s="0" t="s">
        <v>126</v>
      </c>
      <c r="E97" s="12" t="n">
        <v>0.2</v>
      </c>
      <c r="G97" s="11" t="s">
        <v>118</v>
      </c>
      <c r="H97" s="1" t="s">
        <v>381</v>
      </c>
      <c r="I97" s="11" t="s">
        <v>382</v>
      </c>
    </row>
    <row r="98" customFormat="false" ht="17.15" hidden="false" customHeight="false" outlineLevel="0" collapsed="false">
      <c r="A98" s="0" t="s">
        <v>383</v>
      </c>
      <c r="B98" s="1" t="s">
        <v>384</v>
      </c>
      <c r="C98" s="0" t="s">
        <v>126</v>
      </c>
      <c r="E98" s="12" t="n">
        <v>0.45</v>
      </c>
      <c r="G98" s="11" t="s">
        <v>118</v>
      </c>
      <c r="H98" s="1" t="s">
        <v>381</v>
      </c>
      <c r="I98" s="11" t="s">
        <v>382</v>
      </c>
    </row>
    <row r="99" customFormat="false" ht="17.15" hidden="false" customHeight="false" outlineLevel="0" collapsed="false">
      <c r="A99" s="0" t="s">
        <v>385</v>
      </c>
      <c r="B99" s="1" t="s">
        <v>386</v>
      </c>
      <c r="C99" s="0" t="s">
        <v>126</v>
      </c>
      <c r="E99" s="12" t="n">
        <v>0.35</v>
      </c>
      <c r="G99" s="11" t="s">
        <v>118</v>
      </c>
      <c r="H99" s="1" t="s">
        <v>381</v>
      </c>
      <c r="I99" s="11" t="s">
        <v>382</v>
      </c>
    </row>
    <row r="100" customFormat="false" ht="17.15" hidden="false" customHeight="false" outlineLevel="0" collapsed="false">
      <c r="A100" s="0" t="s">
        <v>387</v>
      </c>
      <c r="B100" s="1" t="s">
        <v>388</v>
      </c>
      <c r="C100" s="0" t="s">
        <v>126</v>
      </c>
      <c r="E100" s="12" t="n">
        <v>0.7</v>
      </c>
      <c r="G100" s="11" t="s">
        <v>118</v>
      </c>
      <c r="H100" s="1" t="s">
        <v>389</v>
      </c>
      <c r="I100" s="11" t="s">
        <v>390</v>
      </c>
    </row>
    <row r="101" customFormat="false" ht="17.15" hidden="false" customHeight="false" outlineLevel="0" collapsed="false">
      <c r="A101" s="0" t="s">
        <v>391</v>
      </c>
      <c r="B101" s="1" t="s">
        <v>392</v>
      </c>
      <c r="C101" s="0" t="s">
        <v>126</v>
      </c>
      <c r="E101" s="12" t="n">
        <v>0.3</v>
      </c>
      <c r="G101" s="11" t="s">
        <v>118</v>
      </c>
      <c r="H101" s="1" t="s">
        <v>389</v>
      </c>
      <c r="I101" s="11" t="s">
        <v>390</v>
      </c>
    </row>
    <row r="102" customFormat="false" ht="17.15" hidden="false" customHeight="false" outlineLevel="0" collapsed="false">
      <c r="A102" s="0" t="s">
        <v>393</v>
      </c>
      <c r="B102" s="1" t="s">
        <v>394</v>
      </c>
      <c r="C102" s="0" t="s">
        <v>126</v>
      </c>
      <c r="E102" s="12" t="n">
        <v>0.1</v>
      </c>
      <c r="G102" s="11" t="s">
        <v>118</v>
      </c>
      <c r="H102" s="1" t="s">
        <v>389</v>
      </c>
      <c r="I102" s="11" t="s">
        <v>390</v>
      </c>
    </row>
    <row r="103" customFormat="false" ht="17.15" hidden="false" customHeight="false" outlineLevel="0" collapsed="false">
      <c r="A103" s="0" t="s">
        <v>395</v>
      </c>
      <c r="B103" s="1" t="s">
        <v>396</v>
      </c>
      <c r="C103" s="0" t="s">
        <v>302</v>
      </c>
      <c r="E103" s="0" t="n">
        <f aca="false">mix_h*tk_cxit_h100+mix_g2*tk_cxit_gb200+mix_g3*tk_cxit_gb300</f>
        <v>27.5918995</v>
      </c>
      <c r="G103" s="0" t="s">
        <v>87</v>
      </c>
      <c r="H103" s="1" t="s">
        <v>397</v>
      </c>
      <c r="I103" s="0" t="s">
        <v>398</v>
      </c>
    </row>
    <row r="104" customFormat="false" ht="17.15" hidden="false" customHeight="false" outlineLevel="0" collapsed="false">
      <c r="A104" s="0" t="s">
        <v>399</v>
      </c>
      <c r="B104" s="1" t="s">
        <v>400</v>
      </c>
      <c r="C104" s="0" t="s">
        <v>291</v>
      </c>
      <c r="E104" s="10" t="n">
        <v>9.7</v>
      </c>
      <c r="G104" s="11" t="s">
        <v>189</v>
      </c>
      <c r="H104" s="1" t="s">
        <v>401</v>
      </c>
      <c r="I104" s="11" t="s">
        <v>402</v>
      </c>
    </row>
    <row r="105" customFormat="false" ht="17.15" hidden="false" customHeight="false" outlineLevel="0" collapsed="false">
      <c r="A105" s="0" t="s">
        <v>403</v>
      </c>
      <c r="B105" s="1" t="s">
        <v>404</v>
      </c>
      <c r="C105" s="0" t="s">
        <v>323</v>
      </c>
      <c r="E105" s="10" t="n">
        <v>2.82</v>
      </c>
      <c r="F105" s="10" t="n">
        <v>12.29</v>
      </c>
      <c r="G105" s="11" t="s">
        <v>74</v>
      </c>
      <c r="H105" s="1" t="s">
        <v>405</v>
      </c>
      <c r="I105" s="1" t="s">
        <v>406</v>
      </c>
    </row>
    <row r="106" customFormat="false" ht="17.15" hidden="false" customHeight="false" outlineLevel="0" collapsed="false">
      <c r="A106" s="0" t="s">
        <v>407</v>
      </c>
      <c r="B106" s="0" t="s">
        <v>408</v>
      </c>
      <c r="C106" s="0" t="s">
        <v>182</v>
      </c>
      <c r="E106" s="18" t="n">
        <f aca="false">p_long/tk_hold_gb300</f>
        <v>0.891019087752599</v>
      </c>
      <c r="G106" s="11" t="s">
        <v>87</v>
      </c>
      <c r="H106" s="1" t="s">
        <v>409</v>
      </c>
      <c r="I106" s="11" t="s">
        <v>410</v>
      </c>
    </row>
    <row r="107" customFormat="false" ht="17.15" hidden="false" customHeight="false" outlineLevel="0" collapsed="false">
      <c r="A107" s="0" t="s">
        <v>411</v>
      </c>
      <c r="B107" s="0" t="s">
        <v>412</v>
      </c>
      <c r="C107" s="0" t="s">
        <v>182</v>
      </c>
      <c r="E107" s="18" t="n">
        <f aca="false">p_spot/tk_gpuhr_h100</f>
        <v>1.82808654921445</v>
      </c>
      <c r="G107" s="11" t="s">
        <v>87</v>
      </c>
      <c r="H107" s="1" t="s">
        <v>413</v>
      </c>
      <c r="I107" s="11" t="s">
        <v>414</v>
      </c>
    </row>
    <row r="108" customFormat="false" ht="17.15" hidden="false" customHeight="false" outlineLevel="0" collapsed="false">
      <c r="A108" s="0" t="s">
        <v>415</v>
      </c>
      <c r="B108" s="1" t="s">
        <v>416</v>
      </c>
      <c r="C108" s="0" t="s">
        <v>126</v>
      </c>
      <c r="E108" s="12" t="n">
        <v>0.45</v>
      </c>
      <c r="G108" s="11" t="s">
        <v>118</v>
      </c>
      <c r="H108" s="1" t="s">
        <v>417</v>
      </c>
      <c r="I108" s="11" t="s">
        <v>418</v>
      </c>
    </row>
    <row r="109" customFormat="false" ht="17.15" hidden="false" customHeight="false" outlineLevel="0" collapsed="false">
      <c r="A109" s="0" t="s">
        <v>419</v>
      </c>
      <c r="B109" s="1" t="s">
        <v>420</v>
      </c>
      <c r="C109" s="0" t="s">
        <v>126</v>
      </c>
      <c r="E109" s="12" t="n">
        <v>0.7</v>
      </c>
      <c r="G109" s="11" t="s">
        <v>118</v>
      </c>
      <c r="H109" s="1" t="s">
        <v>421</v>
      </c>
      <c r="I109" s="11" t="s">
        <v>418</v>
      </c>
    </row>
    <row r="110" customFormat="false" ht="17.15" hidden="false" customHeight="false" outlineLevel="0" collapsed="false">
      <c r="A110" s="0" t="s">
        <v>422</v>
      </c>
      <c r="B110" s="1" t="s">
        <v>423</v>
      </c>
      <c r="C110" s="0" t="s">
        <v>126</v>
      </c>
      <c r="E110" s="12" t="n">
        <v>1</v>
      </c>
      <c r="G110" s="11" t="s">
        <v>118</v>
      </c>
      <c r="H110" s="1" t="s">
        <v>424</v>
      </c>
      <c r="I110" s="11" t="s">
        <v>418</v>
      </c>
    </row>
    <row r="111" customFormat="false" ht="17.15" hidden="false" customHeight="false" outlineLevel="0" collapsed="false">
      <c r="A111" s="0" t="s">
        <v>425</v>
      </c>
      <c r="B111" s="0" t="s">
        <v>426</v>
      </c>
      <c r="C111" s="0" t="s">
        <v>182</v>
      </c>
      <c r="E111" s="18" t="n">
        <f aca="false">ls_A*k_long+(1-ls_A)*k_spot</f>
        <v>1.40640619155662</v>
      </c>
      <c r="G111" s="11" t="s">
        <v>87</v>
      </c>
      <c r="H111" s="1" t="s">
        <v>427</v>
      </c>
      <c r="I111" s="11" t="s">
        <v>428</v>
      </c>
    </row>
    <row r="112" customFormat="false" ht="17.15" hidden="false" customHeight="false" outlineLevel="0" collapsed="false">
      <c r="A112" s="0" t="s">
        <v>429</v>
      </c>
      <c r="B112" s="0" t="s">
        <v>430</v>
      </c>
      <c r="C112" s="0" t="s">
        <v>182</v>
      </c>
      <c r="E112" s="18" t="n">
        <f aca="false">ls_B*k_long+(1-ls_B)*k_spot</f>
        <v>1.17213932619116</v>
      </c>
      <c r="G112" s="11" t="s">
        <v>87</v>
      </c>
      <c r="H112" s="1" t="s">
        <v>427</v>
      </c>
      <c r="I112" s="11" t="s">
        <v>428</v>
      </c>
    </row>
    <row r="113" customFormat="false" ht="17.15" hidden="false" customHeight="false" outlineLevel="0" collapsed="false">
      <c r="A113" s="0" t="s">
        <v>431</v>
      </c>
      <c r="B113" s="0" t="s">
        <v>432</v>
      </c>
      <c r="C113" s="0" t="s">
        <v>182</v>
      </c>
      <c r="E113" s="18" t="n">
        <f aca="false">ls_C*k_long+(1-ls_C)*k_spot</f>
        <v>0.891019087752599</v>
      </c>
      <c r="G113" s="11" t="s">
        <v>87</v>
      </c>
      <c r="H113" s="1" t="s">
        <v>427</v>
      </c>
      <c r="I113" s="11" t="s">
        <v>428</v>
      </c>
    </row>
    <row r="114" customFormat="false" ht="17.15" hidden="false" customHeight="false" outlineLevel="0" collapsed="false">
      <c r="A114" s="0" t="s">
        <v>433</v>
      </c>
      <c r="B114" s="1" t="s">
        <v>434</v>
      </c>
      <c r="C114" s="0" t="s">
        <v>182</v>
      </c>
      <c r="D114" s="13" t="n">
        <v>0.7</v>
      </c>
      <c r="E114" s="13" t="n">
        <v>1</v>
      </c>
      <c r="F114" s="13" t="n">
        <v>1</v>
      </c>
      <c r="G114" s="11" t="s">
        <v>118</v>
      </c>
      <c r="H114" s="1" t="s">
        <v>435</v>
      </c>
      <c r="I114" s="11" t="s">
        <v>33</v>
      </c>
    </row>
    <row r="115" customFormat="false" ht="17.15" hidden="false" customHeight="false" outlineLevel="0" collapsed="false">
      <c r="A115" s="0" t="s">
        <v>436</v>
      </c>
      <c r="B115" s="1" t="s">
        <v>437</v>
      </c>
      <c r="C115" s="0" t="s">
        <v>291</v>
      </c>
      <c r="E115" s="10" t="n">
        <v>8.89</v>
      </c>
      <c r="G115" s="11" t="s">
        <v>87</v>
      </c>
      <c r="H115" s="1" t="s">
        <v>438</v>
      </c>
      <c r="I115" s="1" t="s">
        <v>439</v>
      </c>
    </row>
    <row r="116" customFormat="false" ht="17.15" hidden="false" customHeight="false" outlineLevel="0" collapsed="false">
      <c r="A116" s="0" t="s">
        <v>440</v>
      </c>
      <c r="B116" s="1" t="s">
        <v>441</v>
      </c>
      <c r="C116" s="0" t="s">
        <v>126</v>
      </c>
      <c r="D116" s="12" t="n">
        <v>0.65</v>
      </c>
      <c r="E116" s="12" t="n">
        <v>0.8</v>
      </c>
      <c r="F116" s="12" t="n">
        <v>0.9</v>
      </c>
      <c r="G116" s="11" t="s">
        <v>118</v>
      </c>
      <c r="H116" s="1" t="s">
        <v>442</v>
      </c>
      <c r="I116" s="11" t="s">
        <v>443</v>
      </c>
    </row>
    <row r="117" customFormat="false" ht="17.15" hidden="false" customHeight="false" outlineLevel="0" collapsed="false">
      <c r="A117" s="0" t="s">
        <v>444</v>
      </c>
      <c r="B117" s="0" t="s">
        <v>445</v>
      </c>
      <c r="C117" s="0" t="s">
        <v>95</v>
      </c>
      <c r="E117" s="10" t="n">
        <v>204.2</v>
      </c>
      <c r="G117" s="11" t="s">
        <v>87</v>
      </c>
      <c r="H117" s="1" t="s">
        <v>446</v>
      </c>
      <c r="I117" s="11" t="s">
        <v>447</v>
      </c>
    </row>
    <row r="118" customFormat="false" ht="17.15" hidden="false" customHeight="false" outlineLevel="0" collapsed="false">
      <c r="A118" s="9" t="s">
        <v>448</v>
      </c>
    </row>
    <row r="119" customFormat="false" ht="17.15" hidden="false" customHeight="false" outlineLevel="0" collapsed="false">
      <c r="A119" s="0" t="s">
        <v>449</v>
      </c>
      <c r="B119" s="0" t="s">
        <v>450</v>
      </c>
      <c r="C119" s="1" t="s">
        <v>451</v>
      </c>
      <c r="E119" s="10" t="n">
        <v>1</v>
      </c>
      <c r="G119" s="11" t="s">
        <v>118</v>
      </c>
      <c r="H119" s="1" t="s">
        <v>452</v>
      </c>
      <c r="I119" s="11" t="s">
        <v>33</v>
      </c>
    </row>
    <row r="120" customFormat="false" ht="17.15" hidden="false" customHeight="false" outlineLevel="0" collapsed="false">
      <c r="A120" s="0" t="s">
        <v>453</v>
      </c>
      <c r="B120" s="0" t="s">
        <v>454</v>
      </c>
      <c r="C120" s="1" t="s">
        <v>451</v>
      </c>
      <c r="E120" s="10" t="n">
        <v>5</v>
      </c>
      <c r="G120" s="11" t="s">
        <v>118</v>
      </c>
      <c r="H120" s="1" t="s">
        <v>455</v>
      </c>
      <c r="I120" s="11" t="s">
        <v>33</v>
      </c>
    </row>
    <row r="121" customFormat="false" ht="17.15" hidden="false" customHeight="false" outlineLevel="0" collapsed="false">
      <c r="A121" s="0" t="s">
        <v>456</v>
      </c>
      <c r="B121" s="0" t="s">
        <v>457</v>
      </c>
      <c r="C121" s="1" t="s">
        <v>451</v>
      </c>
      <c r="E121" s="10" t="n">
        <v>30</v>
      </c>
      <c r="G121" s="11" t="s">
        <v>167</v>
      </c>
      <c r="H121" s="1" t="s">
        <v>458</v>
      </c>
      <c r="I121" s="11" t="s">
        <v>33</v>
      </c>
    </row>
    <row r="122" customFormat="false" ht="17.15" hidden="false" customHeight="false" outlineLevel="0" collapsed="false">
      <c r="A122" s="0" t="s">
        <v>459</v>
      </c>
      <c r="B122" s="0" t="s">
        <v>460</v>
      </c>
      <c r="C122" s="0" t="s">
        <v>461</v>
      </c>
      <c r="D122" s="10" t="n">
        <v>18</v>
      </c>
      <c r="E122" s="10" t="n">
        <v>25</v>
      </c>
      <c r="F122" s="10" t="n">
        <v>30</v>
      </c>
      <c r="G122" s="11" t="s">
        <v>118</v>
      </c>
      <c r="H122" s="1" t="s">
        <v>462</v>
      </c>
      <c r="I122" s="11" t="s">
        <v>463</v>
      </c>
    </row>
    <row r="123" customFormat="false" ht="17.15" hidden="false" customHeight="false" outlineLevel="0" collapsed="false">
      <c r="A123" s="0" t="s">
        <v>464</v>
      </c>
      <c r="B123" s="0" t="s">
        <v>465</v>
      </c>
      <c r="C123" s="1" t="s">
        <v>451</v>
      </c>
      <c r="E123" s="10" t="n">
        <v>30</v>
      </c>
      <c r="G123" s="11" t="s">
        <v>118</v>
      </c>
      <c r="H123" s="11" t="s">
        <v>466</v>
      </c>
      <c r="I123" s="11" t="s">
        <v>467</v>
      </c>
    </row>
    <row r="124" customFormat="false" ht="17.15" hidden="false" customHeight="false" outlineLevel="0" collapsed="false">
      <c r="A124" s="0" t="s">
        <v>468</v>
      </c>
      <c r="B124" s="0" t="s">
        <v>469</v>
      </c>
      <c r="C124" s="1" t="s">
        <v>451</v>
      </c>
      <c r="E124" s="10" t="n">
        <v>20</v>
      </c>
      <c r="G124" s="11" t="s">
        <v>118</v>
      </c>
      <c r="H124" s="11" t="s">
        <v>466</v>
      </c>
      <c r="I124" s="11" t="s">
        <v>467</v>
      </c>
    </row>
    <row r="125" customFormat="false" ht="17.15" hidden="false" customHeight="false" outlineLevel="0" collapsed="false">
      <c r="A125" s="0" t="s">
        <v>470</v>
      </c>
      <c r="B125" s="0" t="s">
        <v>471</v>
      </c>
      <c r="C125" s="1" t="s">
        <v>451</v>
      </c>
      <c r="E125" s="10" t="n">
        <v>10</v>
      </c>
      <c r="G125" s="11" t="s">
        <v>118</v>
      </c>
      <c r="H125" s="11" t="s">
        <v>466</v>
      </c>
      <c r="I125" s="11" t="s">
        <v>467</v>
      </c>
    </row>
    <row r="126" customFormat="false" ht="17.15" hidden="false" customHeight="false" outlineLevel="0" collapsed="false">
      <c r="A126" s="0" t="s">
        <v>472</v>
      </c>
      <c r="B126" s="0" t="s">
        <v>473</v>
      </c>
      <c r="C126" s="0" t="s">
        <v>182</v>
      </c>
      <c r="E126" s="13" t="n">
        <v>0.5</v>
      </c>
      <c r="G126" s="11" t="s">
        <v>118</v>
      </c>
      <c r="H126" s="1" t="s">
        <v>474</v>
      </c>
      <c r="I126" s="11" t="s">
        <v>33</v>
      </c>
    </row>
    <row r="127" customFormat="false" ht="17.15" hidden="false" customHeight="false" outlineLevel="0" collapsed="false">
      <c r="A127" s="9" t="s">
        <v>475</v>
      </c>
    </row>
    <row r="128" customFormat="false" ht="17.15" hidden="false" customHeight="false" outlineLevel="0" collapsed="false">
      <c r="A128" s="0" t="s">
        <v>476</v>
      </c>
      <c r="B128" s="1" t="s">
        <v>477</v>
      </c>
      <c r="C128" s="1" t="s">
        <v>213</v>
      </c>
      <c r="E128" s="10" t="n">
        <v>6</v>
      </c>
      <c r="G128" s="11" t="s">
        <v>118</v>
      </c>
      <c r="H128" s="1" t="s">
        <v>478</v>
      </c>
      <c r="I128" s="11" t="s">
        <v>33</v>
      </c>
    </row>
    <row r="129" customFormat="false" ht="17.15" hidden="false" customHeight="false" outlineLevel="0" collapsed="false">
      <c r="A129" s="0" t="s">
        <v>479</v>
      </c>
      <c r="B129" s="1" t="s">
        <v>480</v>
      </c>
      <c r="C129" s="0" t="s">
        <v>126</v>
      </c>
      <c r="D129" s="12" t="n">
        <v>0.05</v>
      </c>
      <c r="E129" s="12" t="n">
        <v>0.08</v>
      </c>
      <c r="F129" s="12" t="n">
        <v>0.12</v>
      </c>
      <c r="G129" s="11" t="s">
        <v>118</v>
      </c>
      <c r="H129" s="1" t="s">
        <v>481</v>
      </c>
      <c r="I129" s="1" t="s">
        <v>482</v>
      </c>
    </row>
    <row r="130" customFormat="false" ht="17.15" hidden="false" customHeight="false" outlineLevel="0" collapsed="false">
      <c r="A130" s="0" t="s">
        <v>483</v>
      </c>
      <c r="B130" s="1" t="s">
        <v>484</v>
      </c>
      <c r="C130" s="0" t="s">
        <v>126</v>
      </c>
      <c r="D130" s="12" t="n">
        <v>0.04</v>
      </c>
      <c r="E130" s="12" t="n">
        <v>0.07</v>
      </c>
      <c r="F130" s="12" t="n">
        <v>0.1</v>
      </c>
      <c r="G130" s="11" t="s">
        <v>118</v>
      </c>
      <c r="H130" s="11" t="s">
        <v>485</v>
      </c>
      <c r="I130" s="1" t="s">
        <v>482</v>
      </c>
    </row>
    <row r="131" customFormat="false" ht="17.15" hidden="false" customHeight="false" outlineLevel="0" collapsed="false">
      <c r="A131" s="0" t="s">
        <v>486</v>
      </c>
      <c r="B131" s="1" t="s">
        <v>487</v>
      </c>
      <c r="C131" s="0" t="s">
        <v>126</v>
      </c>
      <c r="D131" s="12" t="n">
        <v>0</v>
      </c>
      <c r="E131" s="12" t="n">
        <v>0.02</v>
      </c>
      <c r="F131" s="12" t="n">
        <v>0.04</v>
      </c>
      <c r="G131" s="11" t="s">
        <v>118</v>
      </c>
      <c r="H131" s="1" t="s">
        <v>179</v>
      </c>
      <c r="I131" s="1" t="s">
        <v>482</v>
      </c>
    </row>
    <row r="132" customFormat="false" ht="17.15" hidden="false" customHeight="false" outlineLevel="0" collapsed="false">
      <c r="A132" s="0" t="s">
        <v>488</v>
      </c>
      <c r="B132" s="1" t="s">
        <v>489</v>
      </c>
      <c r="C132" s="0" t="s">
        <v>126</v>
      </c>
      <c r="D132" s="12" t="n">
        <v>0.04</v>
      </c>
      <c r="E132" s="12" t="n">
        <v>0.07</v>
      </c>
      <c r="F132" s="12" t="n">
        <v>0.1</v>
      </c>
      <c r="G132" s="11" t="s">
        <v>118</v>
      </c>
      <c r="H132" s="1" t="s">
        <v>490</v>
      </c>
      <c r="I132" s="1" t="s">
        <v>482</v>
      </c>
    </row>
    <row r="133" customFormat="false" ht="17.15" hidden="false" customHeight="false" outlineLevel="0" collapsed="false">
      <c r="A133" s="0" t="s">
        <v>491</v>
      </c>
      <c r="B133" s="1" t="s">
        <v>492</v>
      </c>
      <c r="C133" s="0" t="s">
        <v>126</v>
      </c>
      <c r="D133" s="12" t="n">
        <v>0.04</v>
      </c>
      <c r="E133" s="12" t="n">
        <v>0.07</v>
      </c>
      <c r="F133" s="12" t="n">
        <v>0.1</v>
      </c>
      <c r="G133" s="11" t="s">
        <v>118</v>
      </c>
      <c r="H133" s="1" t="s">
        <v>490</v>
      </c>
      <c r="I133" s="1" t="s">
        <v>482</v>
      </c>
    </row>
    <row r="134" customFormat="false" ht="17.15" hidden="false" customHeight="false" outlineLevel="0" collapsed="false">
      <c r="A134" s="0" t="s">
        <v>493</v>
      </c>
      <c r="B134" s="1" t="s">
        <v>494</v>
      </c>
      <c r="C134" s="0" t="s">
        <v>126</v>
      </c>
      <c r="D134" s="12" t="n">
        <v>0.04</v>
      </c>
      <c r="E134" s="12" t="n">
        <v>0.07</v>
      </c>
      <c r="F134" s="12" t="n">
        <v>0.1</v>
      </c>
      <c r="G134" s="11" t="s">
        <v>118</v>
      </c>
      <c r="H134" s="1" t="s">
        <v>179</v>
      </c>
      <c r="I134" s="1" t="s">
        <v>482</v>
      </c>
    </row>
    <row r="135" customFormat="false" ht="17.15" hidden="false" customHeight="false" outlineLevel="0" collapsed="false">
      <c r="A135" s="0" t="s">
        <v>495</v>
      </c>
      <c r="B135" s="1" t="s">
        <v>496</v>
      </c>
      <c r="C135" s="0" t="s">
        <v>126</v>
      </c>
      <c r="D135" s="12" t="n">
        <v>-0.02</v>
      </c>
      <c r="E135" s="12" t="n">
        <v>0.02</v>
      </c>
      <c r="F135" s="12" t="n">
        <v>0.05</v>
      </c>
      <c r="G135" s="11" t="s">
        <v>118</v>
      </c>
      <c r="H135" s="1" t="s">
        <v>497</v>
      </c>
      <c r="I135" s="1" t="s">
        <v>482</v>
      </c>
    </row>
    <row r="136" customFormat="false" ht="17.15" hidden="false" customHeight="false" outlineLevel="0" collapsed="false">
      <c r="A136" s="0" t="s">
        <v>498</v>
      </c>
      <c r="B136" s="1" t="s">
        <v>499</v>
      </c>
      <c r="C136" s="0" t="s">
        <v>126</v>
      </c>
      <c r="D136" s="12" t="n">
        <v>-0.02</v>
      </c>
      <c r="E136" s="12" t="n">
        <v>0.02</v>
      </c>
      <c r="F136" s="12" t="n">
        <v>0.04</v>
      </c>
      <c r="G136" s="11" t="s">
        <v>118</v>
      </c>
      <c r="H136" s="1" t="s">
        <v>497</v>
      </c>
      <c r="I136" s="1" t="s">
        <v>482</v>
      </c>
    </row>
    <row r="137" customFormat="false" ht="17.15" hidden="false" customHeight="false" outlineLevel="0" collapsed="false">
      <c r="A137" s="9" t="s">
        <v>500</v>
      </c>
    </row>
    <row r="138" customFormat="false" ht="17.15" hidden="false" customHeight="false" outlineLevel="0" collapsed="false">
      <c r="A138" s="0" t="s">
        <v>501</v>
      </c>
      <c r="B138" s="1" t="s">
        <v>502</v>
      </c>
      <c r="C138" s="0" t="s">
        <v>208</v>
      </c>
      <c r="D138" s="12" t="n">
        <v>-0.02</v>
      </c>
      <c r="E138" s="12" t="n">
        <v>0</v>
      </c>
      <c r="F138" s="12" t="n">
        <v>0.02</v>
      </c>
      <c r="G138" s="11" t="s">
        <v>118</v>
      </c>
      <c r="H138" s="1" t="s">
        <v>503</v>
      </c>
      <c r="I138" s="1" t="s">
        <v>504</v>
      </c>
    </row>
    <row r="139" customFormat="false" ht="17.15" hidden="false" customHeight="false" outlineLevel="0" collapsed="false">
      <c r="A139" s="0" t="s">
        <v>505</v>
      </c>
      <c r="B139" s="1" t="s">
        <v>506</v>
      </c>
      <c r="C139" s="0" t="s">
        <v>95</v>
      </c>
      <c r="D139" s="10" t="n">
        <v>-1</v>
      </c>
      <c r="E139" s="10" t="n">
        <v>-0.4</v>
      </c>
      <c r="F139" s="10" t="n">
        <v>0.4</v>
      </c>
      <c r="G139" s="11" t="s">
        <v>167</v>
      </c>
      <c r="H139" s="1" t="s">
        <v>507</v>
      </c>
      <c r="I139" s="1" t="s">
        <v>508</v>
      </c>
    </row>
    <row r="140" customFormat="false" ht="17.15" hidden="false" customHeight="false" outlineLevel="0" collapsed="false">
      <c r="A140" s="0" t="s">
        <v>509</v>
      </c>
      <c r="B140" s="1" t="s">
        <v>510</v>
      </c>
      <c r="C140" s="0" t="s">
        <v>126</v>
      </c>
      <c r="D140" s="12" t="n">
        <v>0.19</v>
      </c>
      <c r="E140" s="12" t="n">
        <v>0.2</v>
      </c>
      <c r="F140" s="12" t="n">
        <v>0.21</v>
      </c>
      <c r="G140" s="11" t="s">
        <v>167</v>
      </c>
      <c r="H140" s="1" t="s">
        <v>511</v>
      </c>
      <c r="I140" s="11" t="s">
        <v>512</v>
      </c>
    </row>
    <row r="141" customFormat="false" ht="17.15" hidden="false" customHeight="false" outlineLevel="0" collapsed="false">
      <c r="A141" s="0" t="s">
        <v>513</v>
      </c>
      <c r="B141" s="1" t="s">
        <v>514</v>
      </c>
      <c r="C141" s="0" t="s">
        <v>126</v>
      </c>
      <c r="E141" s="7" t="n">
        <f aca="false">Q!M39/Q!M18</f>
        <v>0.0373825861336371</v>
      </c>
      <c r="G141" s="11" t="s">
        <v>87</v>
      </c>
      <c r="H141" s="11" t="s">
        <v>515</v>
      </c>
      <c r="I141" s="11" t="s">
        <v>33</v>
      </c>
    </row>
    <row r="142" customFormat="false" ht="17.15" hidden="false" customHeight="false" outlineLevel="0" collapsed="false">
      <c r="A142" s="0" t="s">
        <v>516</v>
      </c>
      <c r="B142" s="0" t="s">
        <v>517</v>
      </c>
      <c r="C142" s="0" t="s">
        <v>95</v>
      </c>
      <c r="E142" s="10" t="n">
        <v>-4.895</v>
      </c>
      <c r="G142" s="11" t="s">
        <v>87</v>
      </c>
      <c r="H142" s="1" t="s">
        <v>518</v>
      </c>
      <c r="I142" s="11" t="s">
        <v>519</v>
      </c>
    </row>
    <row r="143" customFormat="false" ht="17.15" hidden="false" customHeight="false" outlineLevel="0" collapsed="false">
      <c r="A143" s="0" t="s">
        <v>520</v>
      </c>
      <c r="B143" s="1" t="s">
        <v>521</v>
      </c>
      <c r="C143" s="1" t="s">
        <v>213</v>
      </c>
      <c r="D143" s="10" t="n">
        <v>8</v>
      </c>
      <c r="E143" s="10" t="n">
        <v>10</v>
      </c>
      <c r="F143" s="10" t="n">
        <v>15</v>
      </c>
      <c r="G143" s="11" t="s">
        <v>118</v>
      </c>
      <c r="H143" s="1" t="s">
        <v>522</v>
      </c>
      <c r="I143" s="1" t="s">
        <v>523</v>
      </c>
    </row>
    <row r="144" customFormat="false" ht="17.15" hidden="false" customHeight="false" outlineLevel="0" collapsed="false">
      <c r="A144" s="0" t="s">
        <v>524</v>
      </c>
      <c r="B144" s="1" t="s">
        <v>525</v>
      </c>
      <c r="C144" s="0" t="s">
        <v>126</v>
      </c>
      <c r="E144" s="12" t="n">
        <v>0.2</v>
      </c>
      <c r="G144" s="11" t="s">
        <v>118</v>
      </c>
      <c r="H144" s="1" t="s">
        <v>526</v>
      </c>
      <c r="I144" s="1" t="s">
        <v>527</v>
      </c>
    </row>
    <row r="145" customFormat="false" ht="17.15" hidden="false" customHeight="false" outlineLevel="0" collapsed="false">
      <c r="A145" s="0" t="s">
        <v>528</v>
      </c>
      <c r="B145" s="1" t="s">
        <v>529</v>
      </c>
      <c r="C145" s="0" t="s">
        <v>126</v>
      </c>
      <c r="E145" s="12" t="n">
        <v>0.1</v>
      </c>
      <c r="G145" s="11" t="s">
        <v>118</v>
      </c>
      <c r="H145" s="1" t="s">
        <v>526</v>
      </c>
      <c r="I145" s="1" t="s">
        <v>527</v>
      </c>
    </row>
    <row r="146" customFormat="false" ht="17.15" hidden="false" customHeight="false" outlineLevel="0" collapsed="false">
      <c r="A146" s="0" t="s">
        <v>530</v>
      </c>
      <c r="B146" s="1" t="s">
        <v>531</v>
      </c>
      <c r="C146" s="0" t="s">
        <v>126</v>
      </c>
      <c r="E146" s="12" t="n">
        <v>0.02</v>
      </c>
      <c r="G146" s="11" t="s">
        <v>118</v>
      </c>
      <c r="H146" s="1" t="s">
        <v>526</v>
      </c>
      <c r="I146" s="1" t="s">
        <v>527</v>
      </c>
    </row>
    <row r="147" customFormat="false" ht="17.15" hidden="false" customHeight="false" outlineLevel="0" collapsed="false">
      <c r="A147" s="0" t="s">
        <v>532</v>
      </c>
      <c r="B147" s="1" t="s">
        <v>533</v>
      </c>
      <c r="C147" s="0" t="s">
        <v>126</v>
      </c>
      <c r="E147" s="12" t="n">
        <v>0.05</v>
      </c>
      <c r="G147" s="11" t="s">
        <v>118</v>
      </c>
      <c r="H147" s="1" t="s">
        <v>526</v>
      </c>
      <c r="I147" s="1" t="s">
        <v>527</v>
      </c>
    </row>
    <row r="148" customFormat="false" ht="17.15" hidden="false" customHeight="false" outlineLevel="0" collapsed="false">
      <c r="A148" s="0" t="s">
        <v>534</v>
      </c>
      <c r="B148" s="1" t="s">
        <v>535</v>
      </c>
      <c r="C148" s="0" t="s">
        <v>126</v>
      </c>
      <c r="E148" s="12" t="n">
        <v>0.08</v>
      </c>
      <c r="G148" s="11" t="s">
        <v>118</v>
      </c>
      <c r="H148" s="1" t="s">
        <v>526</v>
      </c>
      <c r="I148" s="1" t="s">
        <v>527</v>
      </c>
    </row>
    <row r="149" customFormat="false" ht="17.15" hidden="false" customHeight="false" outlineLevel="0" collapsed="false">
      <c r="A149" s="0" t="s">
        <v>536</v>
      </c>
      <c r="B149" s="1" t="s">
        <v>537</v>
      </c>
      <c r="C149" s="0" t="s">
        <v>126</v>
      </c>
      <c r="E149" s="12" t="n">
        <v>0.03</v>
      </c>
      <c r="G149" s="11" t="s">
        <v>118</v>
      </c>
      <c r="H149" s="1" t="s">
        <v>526</v>
      </c>
      <c r="I149" s="1" t="s">
        <v>527</v>
      </c>
    </row>
    <row r="150" customFormat="false" ht="17.15" hidden="false" customHeight="false" outlineLevel="0" collapsed="false">
      <c r="A150" s="9" t="s">
        <v>538</v>
      </c>
    </row>
    <row r="151" customFormat="false" ht="17.15" hidden="false" customHeight="false" outlineLevel="0" collapsed="false">
      <c r="A151" s="0" t="s">
        <v>539</v>
      </c>
      <c r="B151" s="1" t="s">
        <v>540</v>
      </c>
      <c r="C151" s="0" t="s">
        <v>73</v>
      </c>
      <c r="D151" s="10" t="n">
        <v>440</v>
      </c>
      <c r="E151" s="10" t="n">
        <v>603.43</v>
      </c>
      <c r="F151" s="10" t="n">
        <v>870</v>
      </c>
      <c r="G151" s="11" t="s">
        <v>167</v>
      </c>
      <c r="H151" s="11" t="s">
        <v>541</v>
      </c>
      <c r="I151" s="11" t="s">
        <v>542</v>
      </c>
    </row>
    <row r="152" customFormat="false" ht="17.15" hidden="false" customHeight="false" outlineLevel="0" collapsed="false">
      <c r="A152" s="0" t="s">
        <v>543</v>
      </c>
      <c r="B152" s="1" t="s">
        <v>544</v>
      </c>
      <c r="C152" s="0" t="s">
        <v>95</v>
      </c>
      <c r="D152" s="10" t="n">
        <v>380</v>
      </c>
      <c r="E152" s="10" t="n">
        <v>391.6</v>
      </c>
      <c r="F152" s="10" t="n">
        <v>402.7</v>
      </c>
      <c r="G152" s="11" t="s">
        <v>167</v>
      </c>
      <c r="H152" s="11" t="s">
        <v>545</v>
      </c>
      <c r="I152" s="11" t="s">
        <v>546</v>
      </c>
    </row>
    <row r="153" customFormat="false" ht="17.15" hidden="false" customHeight="false" outlineLevel="0" collapsed="false">
      <c r="A153" s="0" t="s">
        <v>547</v>
      </c>
      <c r="B153" s="1" t="s">
        <v>548</v>
      </c>
      <c r="C153" s="0" t="s">
        <v>73</v>
      </c>
      <c r="D153" s="10" t="n">
        <v>19.06</v>
      </c>
      <c r="E153" s="10" t="n">
        <v>19.76</v>
      </c>
      <c r="F153" s="10" t="n">
        <v>20.7</v>
      </c>
      <c r="G153" s="11" t="s">
        <v>167</v>
      </c>
      <c r="H153" s="11" t="s">
        <v>549</v>
      </c>
      <c r="I153" s="11" t="s">
        <v>550</v>
      </c>
    </row>
    <row r="154" customFormat="false" ht="17.15" hidden="false" customHeight="false" outlineLevel="0" collapsed="false">
      <c r="A154" s="0" t="s">
        <v>551</v>
      </c>
      <c r="B154" s="1" t="s">
        <v>552</v>
      </c>
      <c r="C154" s="0" t="s">
        <v>95</v>
      </c>
      <c r="E154" s="10" t="n">
        <v>467.955</v>
      </c>
      <c r="G154" s="11" t="s">
        <v>167</v>
      </c>
      <c r="H154" s="11" t="s">
        <v>553</v>
      </c>
      <c r="I154" s="11" t="s">
        <v>33</v>
      </c>
    </row>
    <row r="155" customFormat="false" ht="17.15" hidden="false" customHeight="false" outlineLevel="0" collapsed="false">
      <c r="A155" s="0" t="s">
        <v>554</v>
      </c>
      <c r="B155" s="1" t="s">
        <v>555</v>
      </c>
      <c r="C155" s="0" t="s">
        <v>95</v>
      </c>
      <c r="E155" s="10" t="n">
        <v>569.502</v>
      </c>
      <c r="G155" s="11" t="s">
        <v>167</v>
      </c>
      <c r="H155" s="11" t="s">
        <v>553</v>
      </c>
      <c r="I155" s="11" t="s">
        <v>33</v>
      </c>
    </row>
    <row r="156" customFormat="false" ht="17.15" hidden="false" customHeight="false" outlineLevel="0" collapsed="false">
      <c r="A156" s="0" t="s">
        <v>556</v>
      </c>
      <c r="B156" s="1" t="s">
        <v>557</v>
      </c>
      <c r="C156" s="0" t="s">
        <v>95</v>
      </c>
      <c r="E156" s="10" t="n">
        <v>182.305</v>
      </c>
      <c r="G156" s="11" t="s">
        <v>167</v>
      </c>
      <c r="H156" s="11" t="s">
        <v>553</v>
      </c>
      <c r="I156" s="11" t="s">
        <v>558</v>
      </c>
    </row>
    <row r="157" customFormat="false" ht="17.15" hidden="false" customHeight="false" outlineLevel="0" collapsed="false">
      <c r="A157" s="0" t="s">
        <v>559</v>
      </c>
      <c r="B157" s="1" t="s">
        <v>560</v>
      </c>
      <c r="C157" s="0" t="s">
        <v>95</v>
      </c>
      <c r="E157" s="10" t="n">
        <v>192.827</v>
      </c>
      <c r="G157" s="11" t="s">
        <v>167</v>
      </c>
      <c r="H157" s="11" t="s">
        <v>561</v>
      </c>
      <c r="I157" s="1" t="s">
        <v>562</v>
      </c>
    </row>
    <row r="158" customFormat="false" ht="17.15" hidden="false" customHeight="false" outlineLevel="0" collapsed="false">
      <c r="A158" s="0" t="s">
        <v>563</v>
      </c>
      <c r="B158" s="1" t="s">
        <v>564</v>
      </c>
      <c r="C158" s="0" t="s">
        <v>95</v>
      </c>
      <c r="E158" s="10" t="n">
        <v>217.245</v>
      </c>
      <c r="G158" s="11" t="s">
        <v>167</v>
      </c>
      <c r="H158" s="11" t="s">
        <v>553</v>
      </c>
      <c r="I158" s="11" t="s">
        <v>558</v>
      </c>
    </row>
    <row r="159" customFormat="false" ht="17.15" hidden="false" customHeight="false" outlineLevel="0" collapsed="false">
      <c r="A159" s="0" t="s">
        <v>565</v>
      </c>
      <c r="B159" s="1" t="s">
        <v>566</v>
      </c>
      <c r="C159" s="0" t="s">
        <v>95</v>
      </c>
      <c r="E159" s="10" t="n">
        <v>216.787</v>
      </c>
      <c r="G159" s="11" t="s">
        <v>167</v>
      </c>
      <c r="H159" s="11" t="s">
        <v>561</v>
      </c>
      <c r="I159" s="1" t="s">
        <v>562</v>
      </c>
    </row>
    <row r="160" customFormat="false" ht="17.15" hidden="false" customHeight="false" outlineLevel="0" collapsed="false">
      <c r="A160" s="0" t="s">
        <v>567</v>
      </c>
      <c r="B160" s="1" t="s">
        <v>568</v>
      </c>
      <c r="C160" s="0" t="s">
        <v>95</v>
      </c>
      <c r="E160" s="10" t="n">
        <v>262.608</v>
      </c>
      <c r="G160" s="11" t="s">
        <v>167</v>
      </c>
      <c r="H160" s="11" t="s">
        <v>553</v>
      </c>
      <c r="I160" s="11" t="s">
        <v>558</v>
      </c>
    </row>
    <row r="161" customFormat="false" ht="17.15" hidden="false" customHeight="false" outlineLevel="0" collapsed="false">
      <c r="A161" s="0" t="s">
        <v>569</v>
      </c>
      <c r="B161" s="1" t="s">
        <v>570</v>
      </c>
      <c r="C161" s="0" t="s">
        <v>95</v>
      </c>
      <c r="E161" s="10" t="n">
        <v>251.173</v>
      </c>
      <c r="G161" s="11" t="s">
        <v>167</v>
      </c>
      <c r="H161" s="11" t="s">
        <v>561</v>
      </c>
      <c r="I161" s="1" t="s">
        <v>562</v>
      </c>
    </row>
    <row r="162" customFormat="false" ht="17.15" hidden="false" customHeight="false" outlineLevel="0" collapsed="false">
      <c r="A162" s="0" t="s">
        <v>571</v>
      </c>
      <c r="B162" s="1" t="s">
        <v>572</v>
      </c>
      <c r="C162" s="0" t="s">
        <v>73</v>
      </c>
      <c r="E162" s="10" t="n">
        <v>23.6</v>
      </c>
      <c r="G162" s="11" t="s">
        <v>167</v>
      </c>
      <c r="H162" s="11" t="s">
        <v>561</v>
      </c>
      <c r="I162" s="11" t="s">
        <v>33</v>
      </c>
    </row>
    <row r="163" customFormat="false" ht="17.15" hidden="false" customHeight="false" outlineLevel="0" collapsed="false">
      <c r="A163" s="0" t="s">
        <v>573</v>
      </c>
      <c r="B163" s="1" t="s">
        <v>574</v>
      </c>
      <c r="C163" s="0" t="s">
        <v>73</v>
      </c>
      <c r="E163" s="10" t="n">
        <v>29.03</v>
      </c>
      <c r="G163" s="11" t="s">
        <v>167</v>
      </c>
      <c r="H163" s="11" t="s">
        <v>561</v>
      </c>
      <c r="I163" s="11" t="s">
        <v>33</v>
      </c>
    </row>
    <row r="164" customFormat="false" ht="17.15" hidden="false" customHeight="false" outlineLevel="0" collapsed="false">
      <c r="A164" s="0" t="s">
        <v>575</v>
      </c>
      <c r="B164" s="0" t="s">
        <v>576</v>
      </c>
      <c r="C164" s="0" t="s">
        <v>95</v>
      </c>
      <c r="D164" s="10" t="n">
        <v>89.85</v>
      </c>
      <c r="E164" s="10" t="n">
        <v>90.4</v>
      </c>
      <c r="F164" s="10" t="n">
        <v>90.95</v>
      </c>
      <c r="G164" s="11" t="s">
        <v>167</v>
      </c>
      <c r="H164" s="1" t="s">
        <v>577</v>
      </c>
      <c r="I164" s="11" t="s">
        <v>33</v>
      </c>
    </row>
    <row r="165" customFormat="false" ht="17.15" hidden="false" customHeight="false" outlineLevel="0" collapsed="false">
      <c r="A165" s="0" t="s">
        <v>578</v>
      </c>
      <c r="B165" s="0" t="s">
        <v>579</v>
      </c>
      <c r="C165" s="0" t="s">
        <v>95</v>
      </c>
      <c r="D165" s="10" t="n">
        <v>75.15</v>
      </c>
      <c r="E165" s="10" t="n">
        <v>75.45</v>
      </c>
      <c r="F165" s="10" t="n">
        <v>75.75</v>
      </c>
      <c r="G165" s="11" t="s">
        <v>167</v>
      </c>
      <c r="H165" s="1" t="s">
        <v>580</v>
      </c>
      <c r="I165" s="11" t="s">
        <v>33</v>
      </c>
    </row>
    <row r="166" customFormat="false" ht="17.15" hidden="false" customHeight="false" outlineLevel="0" collapsed="false">
      <c r="A166" s="0" t="s">
        <v>581</v>
      </c>
      <c r="B166" s="0" t="s">
        <v>582</v>
      </c>
      <c r="C166" s="0" t="s">
        <v>95</v>
      </c>
      <c r="D166" s="10" t="n">
        <v>14.7</v>
      </c>
      <c r="E166" s="10" t="n">
        <v>14.95</v>
      </c>
      <c r="F166" s="10" t="n">
        <v>15.2</v>
      </c>
      <c r="G166" s="11" t="s">
        <v>167</v>
      </c>
      <c r="H166" s="1" t="s">
        <v>583</v>
      </c>
      <c r="I166" s="11" t="s">
        <v>33</v>
      </c>
    </row>
    <row r="167" customFormat="false" ht="17.15" hidden="false" customHeight="false" outlineLevel="0" collapsed="false">
      <c r="A167" s="0" t="s">
        <v>584</v>
      </c>
      <c r="B167" s="0" t="s">
        <v>585</v>
      </c>
      <c r="C167" s="0" t="s">
        <v>126</v>
      </c>
      <c r="D167" s="12" t="n">
        <v>0.44</v>
      </c>
      <c r="E167" s="12" t="n">
        <v>0.445</v>
      </c>
      <c r="F167" s="12" t="n">
        <v>0.45</v>
      </c>
      <c r="G167" s="11" t="s">
        <v>167</v>
      </c>
      <c r="H167" s="1" t="s">
        <v>586</v>
      </c>
      <c r="I167" s="11" t="s">
        <v>33</v>
      </c>
    </row>
    <row r="168" customFormat="false" ht="17.15" hidden="false" customHeight="false" outlineLevel="0" collapsed="false">
      <c r="A168" s="0" t="s">
        <v>587</v>
      </c>
      <c r="B168" s="0" t="s">
        <v>588</v>
      </c>
      <c r="C168" s="0" t="s">
        <v>95</v>
      </c>
      <c r="E168" s="10" t="n">
        <v>50</v>
      </c>
      <c r="G168" s="11" t="s">
        <v>167</v>
      </c>
      <c r="H168" s="1" t="s">
        <v>589</v>
      </c>
      <c r="I168" s="11" t="s">
        <v>33</v>
      </c>
    </row>
    <row r="169" customFormat="false" ht="17.15" hidden="false" customHeight="false" outlineLevel="0" collapsed="false">
      <c r="A169" s="0" t="s">
        <v>590</v>
      </c>
      <c r="B169" s="0" t="s">
        <v>591</v>
      </c>
      <c r="C169" s="0" t="s">
        <v>208</v>
      </c>
      <c r="E169" s="12" t="n">
        <v>-0.01</v>
      </c>
      <c r="G169" s="11" t="s">
        <v>167</v>
      </c>
      <c r="H169" s="1" t="s">
        <v>592</v>
      </c>
      <c r="I169" s="11" t="s">
        <v>33</v>
      </c>
    </row>
    <row r="170" customFormat="false" ht="17.15" hidden="false" customHeight="false" outlineLevel="0" collapsed="false">
      <c r="A170" s="0" t="s">
        <v>593</v>
      </c>
      <c r="B170" s="1" t="s">
        <v>594</v>
      </c>
      <c r="C170" s="0" t="s">
        <v>95</v>
      </c>
      <c r="E170" s="10" t="n">
        <v>37</v>
      </c>
      <c r="G170" s="11" t="s">
        <v>167</v>
      </c>
      <c r="H170" s="1" t="s">
        <v>595</v>
      </c>
      <c r="I170" s="11" t="s">
        <v>596</v>
      </c>
    </row>
    <row r="171" customFormat="false" ht="17.15" hidden="false" customHeight="false" outlineLevel="0" collapsed="false">
      <c r="A171" s="9" t="s">
        <v>597</v>
      </c>
    </row>
    <row r="172" customFormat="false" ht="17.15" hidden="false" customHeight="false" outlineLevel="0" collapsed="false">
      <c r="A172" s="0" t="s">
        <v>598</v>
      </c>
      <c r="B172" s="0" t="s">
        <v>599</v>
      </c>
      <c r="C172" s="0" t="s">
        <v>73</v>
      </c>
      <c r="D172" s="10" t="n">
        <v>360.16</v>
      </c>
      <c r="E172" s="10" t="n">
        <v>359.06</v>
      </c>
      <c r="F172" s="10" t="n">
        <v>380.56</v>
      </c>
      <c r="G172" s="11" t="s">
        <v>87</v>
      </c>
      <c r="H172" s="11" t="s">
        <v>600</v>
      </c>
      <c r="I172" s="1" t="s">
        <v>601</v>
      </c>
    </row>
    <row r="173" customFormat="false" ht="17.15" hidden="false" customHeight="false" outlineLevel="0" collapsed="false">
      <c r="A173" s="0" t="s">
        <v>602</v>
      </c>
      <c r="B173" s="0" t="s">
        <v>603</v>
      </c>
      <c r="C173" s="0" t="s">
        <v>73</v>
      </c>
      <c r="E173" s="10" t="n">
        <v>324.13</v>
      </c>
      <c r="G173" s="11" t="s">
        <v>87</v>
      </c>
      <c r="H173" s="11" t="s">
        <v>604</v>
      </c>
      <c r="I173" s="11" t="s">
        <v>33</v>
      </c>
    </row>
    <row r="174" customFormat="false" ht="17.15" hidden="false" customHeight="false" outlineLevel="0" collapsed="false">
      <c r="A174" s="0" t="s">
        <v>605</v>
      </c>
      <c r="B174" s="0" t="s">
        <v>606</v>
      </c>
      <c r="C174" s="0" t="s">
        <v>73</v>
      </c>
      <c r="E174" s="10" t="n">
        <v>387.64</v>
      </c>
      <c r="G174" s="11" t="s">
        <v>87</v>
      </c>
      <c r="H174" s="11" t="s">
        <v>604</v>
      </c>
      <c r="I174" s="11" t="s">
        <v>33</v>
      </c>
    </row>
    <row r="175" customFormat="false" ht="17.15" hidden="false" customHeight="false" outlineLevel="0" collapsed="false">
      <c r="A175" s="0" t="s">
        <v>607</v>
      </c>
      <c r="B175" s="0" t="s">
        <v>608</v>
      </c>
      <c r="C175" s="0" t="s">
        <v>126</v>
      </c>
      <c r="E175" s="12" t="n">
        <v>0.45</v>
      </c>
      <c r="G175" s="11" t="s">
        <v>87</v>
      </c>
      <c r="H175" s="11" t="s">
        <v>609</v>
      </c>
      <c r="I175" s="11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3" min="2" style="0" width="13"/>
    <col collapsed="false" customWidth="true" hidden="false" outlineLevel="0" max="14" min="14" style="0" width="16"/>
    <col collapsed="false" customWidth="true" hidden="false" outlineLevel="0" max="15" min="15" style="0" width="70"/>
  </cols>
  <sheetData>
    <row r="1" customFormat="false" ht="17.15" hidden="false" customHeight="false" outlineLevel="0" collapsed="false">
      <c r="A1" s="0" t="s">
        <v>610</v>
      </c>
    </row>
    <row r="2" customFormat="false" ht="17.15" hidden="false" customHeight="false" outlineLevel="0" collapsed="false">
      <c r="A2" s="0" t="s">
        <v>611</v>
      </c>
    </row>
    <row r="3" customFormat="false" ht="17.15" hidden="false" customHeight="false" outlineLevel="0" collapsed="false">
      <c r="A3" s="4" t="s">
        <v>43</v>
      </c>
      <c r="B3" s="19" t="s">
        <v>612</v>
      </c>
      <c r="C3" s="19" t="s">
        <v>613</v>
      </c>
      <c r="D3" s="19" t="s">
        <v>614</v>
      </c>
      <c r="E3" s="19" t="s">
        <v>615</v>
      </c>
      <c r="F3" s="19" t="s">
        <v>616</v>
      </c>
      <c r="G3" s="19" t="s">
        <v>617</v>
      </c>
      <c r="H3" s="19" t="s">
        <v>618</v>
      </c>
      <c r="I3" s="19" t="s">
        <v>619</v>
      </c>
      <c r="J3" s="19" t="s">
        <v>620</v>
      </c>
      <c r="K3" s="19" t="s">
        <v>621</v>
      </c>
      <c r="L3" s="19" t="s">
        <v>622</v>
      </c>
      <c r="M3" s="19" t="s">
        <v>623</v>
      </c>
      <c r="N3" s="4" t="s">
        <v>67</v>
      </c>
      <c r="O3" s="4" t="s">
        <v>624</v>
      </c>
    </row>
    <row r="4" customFormat="false" ht="17.15" hidden="false" customHeight="false" outlineLevel="0" collapsed="false">
      <c r="A4" s="9" t="s">
        <v>625</v>
      </c>
    </row>
    <row r="5" customFormat="false" ht="17.15" hidden="false" customHeight="false" outlineLevel="0" collapsed="false">
      <c r="A5" s="0" t="s">
        <v>626</v>
      </c>
      <c r="B5" s="20" t="n">
        <v>50.476</v>
      </c>
      <c r="C5" s="20" t="n">
        <v>52.766</v>
      </c>
      <c r="D5" s="20" t="n">
        <v>54.763</v>
      </c>
      <c r="E5" s="20" t="n">
        <v>60.778</v>
      </c>
      <c r="F5" s="20" t="n">
        <v>61.672</v>
      </c>
      <c r="G5" s="20" t="n">
        <v>64.441</v>
      </c>
      <c r="H5" s="20" t="n">
        <v>67.438</v>
      </c>
      <c r="I5" s="20" t="n">
        <v>74.576</v>
      </c>
      <c r="J5" s="21" t="n">
        <f aca="false">SUM(B5:E5)</f>
        <v>218.783</v>
      </c>
      <c r="K5" s="21" t="n">
        <f aca="false">SUM(F5:I5)</f>
        <v>268.127</v>
      </c>
      <c r="L5" s="20" t="n">
        <v>218.783</v>
      </c>
      <c r="M5" s="20" t="n">
        <v>268.127</v>
      </c>
      <c r="N5" s="11" t="s">
        <v>74</v>
      </c>
      <c r="O5" s="11" t="s">
        <v>627</v>
      </c>
    </row>
    <row r="6" customFormat="false" ht="17.15" hidden="false" customHeight="false" outlineLevel="0" collapsed="false">
      <c r="A6" s="0" t="s">
        <v>628</v>
      </c>
      <c r="B6" s="20" t="n">
        <v>16.021</v>
      </c>
      <c r="C6" s="20" t="n">
        <v>17.337</v>
      </c>
      <c r="D6" s="20" t="n">
        <v>18.54</v>
      </c>
      <c r="E6" s="20" t="n">
        <v>20.712</v>
      </c>
      <c r="F6" s="20" t="n">
        <v>22.384</v>
      </c>
      <c r="G6" s="20" t="n">
        <v>24.129</v>
      </c>
      <c r="H6" s="20" t="n">
        <v>26.008</v>
      </c>
      <c r="I6" s="20" t="n">
        <v>29.417</v>
      </c>
      <c r="J6" s="21" t="n">
        <f aca="false">SUM(B6:E6)</f>
        <v>72.61</v>
      </c>
      <c r="K6" s="21" t="n">
        <f aca="false">SUM(F6:I6)</f>
        <v>101.938</v>
      </c>
      <c r="L6" s="20" t="n">
        <v>72.61</v>
      </c>
      <c r="M6" s="20" t="n">
        <v>101.938</v>
      </c>
      <c r="N6" s="11" t="s">
        <v>74</v>
      </c>
      <c r="O6" s="11" t="s">
        <v>629</v>
      </c>
    </row>
    <row r="7" customFormat="false" ht="17.15" hidden="false" customHeight="false" outlineLevel="0" collapsed="false">
      <c r="A7" s="0" t="s">
        <v>630</v>
      </c>
      <c r="B7" s="20" t="n">
        <v>20.017</v>
      </c>
      <c r="C7" s="20" t="n">
        <v>20.686</v>
      </c>
      <c r="D7" s="20" t="n">
        <v>20.967</v>
      </c>
      <c r="E7" s="20" t="n">
        <v>22.935</v>
      </c>
      <c r="F7" s="20" t="n">
        <v>23.694</v>
      </c>
      <c r="G7" s="20" t="n">
        <v>24.466</v>
      </c>
      <c r="H7" s="20" t="n">
        <v>25.418</v>
      </c>
      <c r="I7" s="20" t="n">
        <v>26.721</v>
      </c>
      <c r="J7" s="21" t="n">
        <f aca="false">SUM(B7:E7)</f>
        <v>84.605</v>
      </c>
      <c r="K7" s="21" t="n">
        <f aca="false">SUM(F7:I7)</f>
        <v>100.299</v>
      </c>
      <c r="L7" s="20" t="n">
        <v>84.605</v>
      </c>
      <c r="M7" s="20" t="n">
        <v>100.299</v>
      </c>
      <c r="N7" s="11" t="s">
        <v>74</v>
      </c>
      <c r="O7" s="11" t="s">
        <v>631</v>
      </c>
    </row>
    <row r="8" customFormat="false" ht="17.15" hidden="false" customHeight="false" outlineLevel="0" collapsed="false">
      <c r="A8" s="0" t="s">
        <v>632</v>
      </c>
      <c r="B8" s="20" t="n">
        <v>8.051</v>
      </c>
      <c r="C8" s="20" t="n">
        <v>8.307</v>
      </c>
      <c r="D8" s="20" t="n">
        <v>8.731</v>
      </c>
      <c r="E8" s="20" t="n">
        <v>10.302</v>
      </c>
      <c r="F8" s="20" t="n">
        <v>8.678</v>
      </c>
      <c r="G8" s="20" t="n">
        <v>8.814</v>
      </c>
      <c r="H8" s="20" t="n">
        <v>8.76</v>
      </c>
      <c r="I8" s="20" t="n">
        <v>11.033</v>
      </c>
      <c r="J8" s="21" t="n">
        <f aca="false">SUM(B8:E8)</f>
        <v>35.391</v>
      </c>
      <c r="K8" s="21" t="n">
        <f aca="false">SUM(F8:I8)</f>
        <v>37.285</v>
      </c>
      <c r="L8" s="20" t="n">
        <v>35.391</v>
      </c>
      <c r="M8" s="20" t="n">
        <v>37.285</v>
      </c>
      <c r="N8" s="11" t="s">
        <v>74</v>
      </c>
      <c r="O8" s="11" t="s">
        <v>633</v>
      </c>
    </row>
    <row r="9" customFormat="false" ht="17.15" hidden="false" customHeight="false" outlineLevel="0" collapsed="false">
      <c r="A9" s="0" t="s">
        <v>634</v>
      </c>
      <c r="B9" s="20" t="n">
        <v>4.459</v>
      </c>
      <c r="C9" s="20" t="n">
        <v>4.544</v>
      </c>
      <c r="D9" s="20" t="n">
        <v>4.579</v>
      </c>
      <c r="E9" s="20" t="n">
        <v>4.835</v>
      </c>
      <c r="F9" s="20" t="n">
        <v>4.894</v>
      </c>
      <c r="G9" s="20" t="n">
        <v>4.994</v>
      </c>
      <c r="H9" s="20" t="n">
        <v>5.165</v>
      </c>
      <c r="I9" s="20" t="n">
        <v>5.292</v>
      </c>
      <c r="J9" s="21" t="n">
        <f aca="false">SUM(B9:E9)</f>
        <v>18.417</v>
      </c>
      <c r="K9" s="21" t="n">
        <f aca="false">SUM(F9:I9)</f>
        <v>20.345</v>
      </c>
      <c r="L9" s="20" t="n">
        <v>18.417</v>
      </c>
      <c r="M9" s="20" t="n">
        <v>20.345</v>
      </c>
      <c r="N9" s="11" t="s">
        <v>74</v>
      </c>
      <c r="O9" s="11" t="s">
        <v>635</v>
      </c>
    </row>
    <row r="10" customFormat="false" ht="17.15" hidden="false" customHeight="false" outlineLevel="0" collapsed="false">
      <c r="A10" s="0" t="s">
        <v>636</v>
      </c>
      <c r="B10" s="20" t="n">
        <v>1.928</v>
      </c>
      <c r="C10" s="20" t="n">
        <v>1.892</v>
      </c>
      <c r="D10" s="20" t="n">
        <v>1.946</v>
      </c>
      <c r="E10" s="20" t="n">
        <v>1.994</v>
      </c>
      <c r="F10" s="20" t="n">
        <v>2.022</v>
      </c>
      <c r="G10" s="20" t="n">
        <v>2.038</v>
      </c>
      <c r="H10" s="20" t="n">
        <v>2.087</v>
      </c>
      <c r="I10" s="20" t="n">
        <v>2.113</v>
      </c>
      <c r="J10" s="21" t="n">
        <f aca="false">SUM(B10:E10)</f>
        <v>7.76</v>
      </c>
      <c r="K10" s="21" t="n">
        <f aca="false">SUM(F10:I10)</f>
        <v>8.26</v>
      </c>
      <c r="L10" s="20" t="n">
        <v>7.76</v>
      </c>
      <c r="M10" s="20" t="n">
        <v>8.26</v>
      </c>
      <c r="N10" s="11" t="s">
        <v>74</v>
      </c>
      <c r="O10" s="11" t="s">
        <v>637</v>
      </c>
    </row>
    <row r="11" customFormat="false" ht="17.15" hidden="false" customHeight="false" outlineLevel="0" collapsed="false">
      <c r="A11" s="22" t="s">
        <v>638</v>
      </c>
      <c r="B11" s="23" t="n">
        <f aca="false">SUM(B6:B10)-B5</f>
        <v>0</v>
      </c>
      <c r="C11" s="23" t="n">
        <f aca="false">SUM(C6:C10)-C5</f>
        <v>0</v>
      </c>
      <c r="D11" s="23" t="n">
        <f aca="false">SUM(D6:D10)-D5</f>
        <v>0</v>
      </c>
      <c r="E11" s="23" t="n">
        <f aca="false">SUM(E6:E10)-E5</f>
        <v>0</v>
      </c>
      <c r="F11" s="23" t="n">
        <f aca="false">SUM(F6:F10)-F5</f>
        <v>0</v>
      </c>
      <c r="G11" s="23" t="n">
        <f aca="false">SUM(G6:G10)-G5</f>
        <v>0</v>
      </c>
      <c r="H11" s="23" t="n">
        <f aca="false">SUM(H6:H10)-H5</f>
        <v>0</v>
      </c>
      <c r="I11" s="23" t="n">
        <f aca="false">SUM(I6:I10)-I5</f>
        <v>0</v>
      </c>
      <c r="J11" s="23" t="n">
        <f aca="false">SUM(J6:J10)-J5</f>
        <v>0</v>
      </c>
      <c r="K11" s="23" t="n">
        <f aca="false">SUM(K6:K10)-K5</f>
        <v>0</v>
      </c>
      <c r="L11" s="23" t="n">
        <f aca="false">SUM(L6:L10)-L5</f>
        <v>0</v>
      </c>
      <c r="M11" s="23" t="n">
        <f aca="false">SUM(M6:M10)-M5</f>
        <v>0</v>
      </c>
      <c r="N11" s="1" t="s">
        <v>639</v>
      </c>
    </row>
    <row r="12" customFormat="false" ht="17.15" hidden="false" customHeight="false" outlineLevel="0" collapsed="false">
      <c r="A12" s="0" t="s">
        <v>640</v>
      </c>
      <c r="B12" s="20" t="n">
        <v>15.109</v>
      </c>
      <c r="C12" s="20" t="n">
        <v>16.866</v>
      </c>
      <c r="D12" s="20" t="n">
        <v>15.303</v>
      </c>
      <c r="E12" s="20" t="n">
        <v>15.663</v>
      </c>
      <c r="F12" s="20" t="n">
        <v>16.001</v>
      </c>
      <c r="G12" s="20" t="n">
        <v>16.832</v>
      </c>
      <c r="H12" s="20" t="n">
        <v>15.448</v>
      </c>
      <c r="I12" s="20" t="n">
        <v>15.431</v>
      </c>
      <c r="J12" s="21" t="n">
        <f aca="false">SUM(B12:E12)</f>
        <v>62.941</v>
      </c>
      <c r="K12" s="21" t="n">
        <f aca="false">SUM(F12:I12)</f>
        <v>63.712</v>
      </c>
      <c r="L12" s="20" t="n">
        <v>62.941</v>
      </c>
      <c r="M12" s="20" t="n">
        <v>63.712</v>
      </c>
      <c r="N12" s="11" t="s">
        <v>74</v>
      </c>
      <c r="O12" s="11" t="s">
        <v>641</v>
      </c>
    </row>
    <row r="13" customFormat="false" ht="17.15" hidden="false" customHeight="false" outlineLevel="0" collapsed="false">
      <c r="A13" s="0" t="s">
        <v>642</v>
      </c>
      <c r="B13" s="20" t="n">
        <v>5.159</v>
      </c>
      <c r="C13" s="20" t="n">
        <v>5.773</v>
      </c>
      <c r="D13" s="20" t="n">
        <v>5.437</v>
      </c>
      <c r="E13" s="20" t="n">
        <v>5.802</v>
      </c>
      <c r="F13" s="20" t="n">
        <v>5.942</v>
      </c>
      <c r="G13" s="20" t="n">
        <v>6.393</v>
      </c>
      <c r="H13" s="20" t="n">
        <v>6.065</v>
      </c>
      <c r="I13" s="20" t="n">
        <v>6.435</v>
      </c>
      <c r="J13" s="21" t="n">
        <f aca="false">SUM(B13:E13)</f>
        <v>22.171</v>
      </c>
      <c r="K13" s="21" t="n">
        <f aca="false">SUM(F13:I13)</f>
        <v>24.835</v>
      </c>
      <c r="L13" s="20" t="n">
        <v>22.171</v>
      </c>
      <c r="M13" s="20" t="n">
        <v>24.835</v>
      </c>
      <c r="N13" s="11" t="s">
        <v>74</v>
      </c>
      <c r="O13" s="11" t="s">
        <v>643</v>
      </c>
    </row>
    <row r="14" customFormat="false" ht="17.15" hidden="false" customHeight="false" outlineLevel="0" collapsed="false">
      <c r="A14" s="0" t="s">
        <v>644</v>
      </c>
      <c r="B14" s="20" t="n">
        <v>5.621</v>
      </c>
      <c r="C14" s="20" t="n">
        <v>6.581</v>
      </c>
      <c r="D14" s="20" t="n">
        <v>5.721</v>
      </c>
      <c r="E14" s="20" t="n">
        <v>5.532</v>
      </c>
      <c r="F14" s="20" t="n">
        <v>5.508</v>
      </c>
      <c r="G14" s="20" t="n">
        <v>5.958</v>
      </c>
      <c r="H14" s="20" t="n">
        <v>5.341</v>
      </c>
      <c r="I14" s="20" t="n">
        <v>4.983</v>
      </c>
      <c r="J14" s="21" t="n">
        <f aca="false">SUM(B14:E14)</f>
        <v>23.455</v>
      </c>
      <c r="K14" s="21" t="n">
        <f aca="false">SUM(F14:I14)</f>
        <v>21.79</v>
      </c>
      <c r="L14" s="20" t="n">
        <v>23.455</v>
      </c>
      <c r="M14" s="20" t="n">
        <v>21.79</v>
      </c>
      <c r="N14" s="11" t="s">
        <v>74</v>
      </c>
      <c r="O14" s="11" t="s">
        <v>645</v>
      </c>
    </row>
    <row r="15" customFormat="false" ht="17.15" hidden="false" customHeight="false" outlineLevel="0" collapsed="false">
      <c r="A15" s="0" t="s">
        <v>646</v>
      </c>
      <c r="B15" s="20" t="n">
        <v>4.329</v>
      </c>
      <c r="C15" s="20" t="n">
        <v>4.512</v>
      </c>
      <c r="D15" s="20" t="n">
        <v>4.145</v>
      </c>
      <c r="E15" s="20" t="n">
        <v>4.329</v>
      </c>
      <c r="F15" s="20" t="n">
        <v>4.551</v>
      </c>
      <c r="G15" s="20" t="n">
        <v>4.481</v>
      </c>
      <c r="H15" s="20" t="n">
        <v>4.042</v>
      </c>
      <c r="I15" s="20" t="n">
        <v>4.013</v>
      </c>
      <c r="J15" s="21" t="n">
        <f aca="false">SUM(B15:E15)</f>
        <v>17.315</v>
      </c>
      <c r="K15" s="21" t="n">
        <f aca="false">SUM(F15:I15)</f>
        <v>17.087</v>
      </c>
      <c r="L15" s="20" t="n">
        <v>17.315</v>
      </c>
      <c r="M15" s="20" t="n">
        <v>17.087</v>
      </c>
      <c r="N15" s="11" t="s">
        <v>74</v>
      </c>
      <c r="O15" s="11" t="s">
        <v>647</v>
      </c>
    </row>
    <row r="16" customFormat="false" ht="17.15" hidden="false" customHeight="false" outlineLevel="0" collapsed="false">
      <c r="A16" s="22" t="s">
        <v>648</v>
      </c>
      <c r="B16" s="23" t="n">
        <f aca="false">SUM(B13:B15)-B12</f>
        <v>0</v>
      </c>
      <c r="C16" s="23" t="n">
        <f aca="false">SUM(C13:C15)-C12</f>
        <v>0</v>
      </c>
      <c r="D16" s="23" t="n">
        <f aca="false">SUM(D13:D15)-D12</f>
        <v>0</v>
      </c>
      <c r="E16" s="23" t="n">
        <f aca="false">SUM(E13:E15)-E12</f>
        <v>0</v>
      </c>
      <c r="F16" s="23" t="n">
        <f aca="false">SUM(F13:F15)-F12</f>
        <v>0</v>
      </c>
      <c r="G16" s="23" t="n">
        <f aca="false">SUM(G13:G15)-G12</f>
        <v>0</v>
      </c>
      <c r="H16" s="23" t="n">
        <f aca="false">SUM(H13:H15)-H12</f>
        <v>0</v>
      </c>
      <c r="I16" s="23" t="n">
        <f aca="false">SUM(I13:I15)-I12</f>
        <v>0</v>
      </c>
      <c r="J16" s="23" t="n">
        <f aca="false">SUM(J13:J15)-J12</f>
        <v>0</v>
      </c>
      <c r="K16" s="23" t="n">
        <f aca="false">SUM(K13:K15)-K12</f>
        <v>0</v>
      </c>
      <c r="L16" s="23" t="n">
        <f aca="false">SUM(L13:L15)-L12</f>
        <v>0</v>
      </c>
      <c r="M16" s="23" t="n">
        <f aca="false">SUM(M13:M15)-M12</f>
        <v>0</v>
      </c>
      <c r="N16" s="1" t="s">
        <v>639</v>
      </c>
    </row>
    <row r="17" customFormat="false" ht="15" hidden="false" customHeight="false" outlineLevel="0" collapsed="false">
      <c r="A17" s="1" t="s">
        <v>649</v>
      </c>
      <c r="B17" s="21" t="n">
        <f aca="false">B5+B12</f>
        <v>65.585</v>
      </c>
      <c r="C17" s="21" t="n">
        <f aca="false">C5+C12</f>
        <v>69.632</v>
      </c>
      <c r="D17" s="21" t="n">
        <f aca="false">D5+D12</f>
        <v>70.066</v>
      </c>
      <c r="E17" s="21" t="n">
        <f aca="false">E5+E12</f>
        <v>76.441</v>
      </c>
      <c r="F17" s="21" t="n">
        <f aca="false">F5+F12</f>
        <v>77.673</v>
      </c>
      <c r="G17" s="21" t="n">
        <f aca="false">G5+G12</f>
        <v>81.273</v>
      </c>
      <c r="H17" s="21" t="n">
        <f aca="false">H5+H12</f>
        <v>82.886</v>
      </c>
      <c r="I17" s="21" t="n">
        <f aca="false">I5+I12</f>
        <v>90.007</v>
      </c>
      <c r="J17" s="21" t="n">
        <f aca="false">SUM(B17:E17)</f>
        <v>281.724</v>
      </c>
      <c r="K17" s="21" t="n">
        <f aca="false">SUM(F17:I17)</f>
        <v>331.839</v>
      </c>
      <c r="L17" s="21" t="n">
        <f aca="false">L5+L12</f>
        <v>281.724</v>
      </c>
      <c r="M17" s="21" t="n">
        <f aca="false">M5+M12</f>
        <v>331.839</v>
      </c>
      <c r="N17" s="11" t="s">
        <v>87</v>
      </c>
    </row>
    <row r="18" customFormat="false" ht="17.15" hidden="false" customHeight="false" outlineLevel="0" collapsed="false">
      <c r="A18" s="1" t="s">
        <v>650</v>
      </c>
      <c r="B18" s="20" t="n">
        <v>65.585</v>
      </c>
      <c r="C18" s="20" t="n">
        <v>69.632</v>
      </c>
      <c r="D18" s="20" t="n">
        <v>70.066</v>
      </c>
      <c r="E18" s="20" t="n">
        <v>76.441</v>
      </c>
      <c r="F18" s="20" t="n">
        <v>77.673</v>
      </c>
      <c r="G18" s="20" t="n">
        <v>81.273</v>
      </c>
      <c r="H18" s="20" t="n">
        <v>82.886</v>
      </c>
      <c r="I18" s="20" t="n">
        <v>90.007</v>
      </c>
      <c r="J18" s="21" t="n">
        <f aca="false">SUM(B18:E18)</f>
        <v>281.724</v>
      </c>
      <c r="K18" s="21" t="n">
        <f aca="false">SUM(F18:I18)</f>
        <v>331.839</v>
      </c>
      <c r="L18" s="20" t="n">
        <v>281.724</v>
      </c>
      <c r="M18" s="20" t="n">
        <v>331.839</v>
      </c>
      <c r="N18" s="11" t="s">
        <v>74</v>
      </c>
      <c r="O18" s="1" t="s">
        <v>651</v>
      </c>
    </row>
    <row r="19" customFormat="false" ht="15" hidden="false" customHeight="false" outlineLevel="0" collapsed="false">
      <c r="A19" s="22" t="s">
        <v>652</v>
      </c>
      <c r="B19" s="23" t="n">
        <f aca="false">B17-B18</f>
        <v>0</v>
      </c>
      <c r="C19" s="23" t="n">
        <f aca="false">C17-C18</f>
        <v>0</v>
      </c>
      <c r="D19" s="23" t="n">
        <f aca="false">D17-D18</f>
        <v>0</v>
      </c>
      <c r="E19" s="23" t="n">
        <f aca="false">E17-E18</f>
        <v>0</v>
      </c>
      <c r="F19" s="23" t="n">
        <f aca="false">F17-F18</f>
        <v>0</v>
      </c>
      <c r="G19" s="23" t="n">
        <f aca="false">G17-G18</f>
        <v>0</v>
      </c>
      <c r="H19" s="23" t="n">
        <f aca="false">H17-H18</f>
        <v>0</v>
      </c>
      <c r="I19" s="23" t="n">
        <f aca="false">I17-I18</f>
        <v>0</v>
      </c>
      <c r="J19" s="23" t="n">
        <f aca="false">J17-J18</f>
        <v>0</v>
      </c>
      <c r="K19" s="23" t="n">
        <f aca="false">K17-K18</f>
        <v>0</v>
      </c>
      <c r="L19" s="23" t="n">
        <f aca="false">L17-L18</f>
        <v>0</v>
      </c>
      <c r="M19" s="23" t="n">
        <f aca="false">M17-M18</f>
        <v>0</v>
      </c>
      <c r="N19" s="1" t="s">
        <v>639</v>
      </c>
    </row>
    <row r="20" customFormat="false" ht="17.15" hidden="false" customHeight="false" outlineLevel="0" collapsed="false">
      <c r="A20" s="9" t="s">
        <v>653</v>
      </c>
    </row>
    <row r="21" customFormat="false" ht="17.15" hidden="false" customHeight="false" outlineLevel="0" collapsed="false">
      <c r="A21" s="0" t="s">
        <v>654</v>
      </c>
      <c r="B21" s="20" t="n">
        <v>26.171</v>
      </c>
      <c r="C21" s="20" t="n">
        <v>26.718</v>
      </c>
      <c r="D21" s="20" t="n">
        <v>27.704</v>
      </c>
      <c r="E21" s="20" t="n">
        <v>30.221</v>
      </c>
      <c r="F21" s="20" t="n">
        <v>32.718</v>
      </c>
      <c r="G21" s="20" t="n">
        <v>33.167</v>
      </c>
      <c r="H21" s="20" t="n">
        <v>33.748</v>
      </c>
      <c r="I21" s="20" t="n">
        <v>36.732</v>
      </c>
      <c r="J21" s="21" t="n">
        <f aca="false">SUM(B21:E21)</f>
        <v>110.814</v>
      </c>
      <c r="K21" s="21" t="n">
        <f aca="false">SUM(F21:I21)</f>
        <v>136.365</v>
      </c>
      <c r="L21" s="20" t="n">
        <v>110.814</v>
      </c>
      <c r="M21" s="20" t="n">
        <v>136.365</v>
      </c>
      <c r="N21" s="11" t="s">
        <v>74</v>
      </c>
      <c r="O21" s="11" t="s">
        <v>655</v>
      </c>
    </row>
    <row r="22" customFormat="false" ht="17.15" hidden="false" customHeight="false" outlineLevel="0" collapsed="false">
      <c r="A22" s="0" t="s">
        <v>656</v>
      </c>
      <c r="B22" s="20" t="n">
        <v>4.381</v>
      </c>
      <c r="C22" s="20" t="n">
        <v>4.935</v>
      </c>
      <c r="D22" s="20" t="n">
        <v>4.296</v>
      </c>
      <c r="E22" s="20" t="n">
        <v>4.102</v>
      </c>
      <c r="F22" s="20" t="n">
        <v>5.243</v>
      </c>
      <c r="G22" s="20" t="n">
        <v>5.108</v>
      </c>
      <c r="H22" s="20" t="n">
        <v>4.65</v>
      </c>
      <c r="I22" s="20" t="n">
        <v>3.871</v>
      </c>
      <c r="J22" s="21" t="n">
        <f aca="false">SUM(B22:E22)</f>
        <v>17.714</v>
      </c>
      <c r="K22" s="21" t="n">
        <f aca="false">SUM(F22:I22)</f>
        <v>18.872</v>
      </c>
      <c r="L22" s="20" t="n">
        <v>17.714</v>
      </c>
      <c r="M22" s="20" t="n">
        <v>18.872</v>
      </c>
      <c r="N22" s="11" t="s">
        <v>74</v>
      </c>
      <c r="O22" s="11" t="s">
        <v>657</v>
      </c>
    </row>
    <row r="23" customFormat="false" ht="17.15" hidden="false" customHeight="false" outlineLevel="0" collapsed="false">
      <c r="A23" s="1" t="s">
        <v>658</v>
      </c>
      <c r="B23" s="20" t="n">
        <v>30.552</v>
      </c>
      <c r="C23" s="20" t="n">
        <v>31.653</v>
      </c>
      <c r="D23" s="20" t="n">
        <v>32</v>
      </c>
      <c r="E23" s="20" t="n">
        <v>34.323</v>
      </c>
      <c r="F23" s="20" t="n">
        <v>37.961</v>
      </c>
      <c r="G23" s="20" t="n">
        <v>38.275</v>
      </c>
      <c r="H23" s="20" t="n">
        <v>38.398</v>
      </c>
      <c r="I23" s="20" t="n">
        <v>40.603</v>
      </c>
      <c r="J23" s="21" t="n">
        <f aca="false">SUM(B23:E23)</f>
        <v>128.528</v>
      </c>
      <c r="K23" s="21" t="n">
        <f aca="false">SUM(F23:I23)</f>
        <v>155.237</v>
      </c>
      <c r="L23" s="20" t="n">
        <v>128.528</v>
      </c>
      <c r="M23" s="20" t="n">
        <v>155.237</v>
      </c>
      <c r="N23" s="11" t="s">
        <v>74</v>
      </c>
      <c r="O23" s="1" t="s">
        <v>659</v>
      </c>
    </row>
    <row r="24" customFormat="false" ht="17.15" hidden="false" customHeight="false" outlineLevel="0" collapsed="false">
      <c r="A24" s="22" t="s">
        <v>660</v>
      </c>
      <c r="B24" s="23" t="n">
        <f aca="false">B21+B22-B23</f>
        <v>0</v>
      </c>
      <c r="C24" s="23" t="n">
        <f aca="false">C21+C22-C23</f>
        <v>0</v>
      </c>
      <c r="D24" s="23" t="n">
        <f aca="false">D21+D22-D23</f>
        <v>0</v>
      </c>
      <c r="E24" s="23" t="n">
        <f aca="false">E21+E22-E23</f>
        <v>0</v>
      </c>
      <c r="F24" s="23" t="n">
        <f aca="false">F21+F22-F23</f>
        <v>0</v>
      </c>
      <c r="G24" s="23" t="n">
        <f aca="false">G21+G22-G23</f>
        <v>0</v>
      </c>
      <c r="H24" s="23" t="n">
        <f aca="false">H21+H22-H23</f>
        <v>0</v>
      </c>
      <c r="I24" s="23" t="n">
        <f aca="false">I21+I22-I23</f>
        <v>0</v>
      </c>
      <c r="J24" s="23" t="n">
        <f aca="false">J21+J22-J23</f>
        <v>0</v>
      </c>
      <c r="K24" s="23" t="n">
        <f aca="false">K21+K22-K23</f>
        <v>0</v>
      </c>
      <c r="L24" s="23" t="n">
        <f aca="false">L21+L22-L23</f>
        <v>0</v>
      </c>
      <c r="M24" s="23" t="n">
        <f aca="false">M21+M22-M23</f>
        <v>0</v>
      </c>
      <c r="N24" s="1" t="s">
        <v>639</v>
      </c>
    </row>
    <row r="25" customFormat="false" ht="17.15" hidden="false" customHeight="false" outlineLevel="0" collapsed="false">
      <c r="A25" s="9" t="s">
        <v>661</v>
      </c>
    </row>
    <row r="26" customFormat="false" ht="17.15" hidden="false" customHeight="false" outlineLevel="0" collapsed="false">
      <c r="A26" s="1" t="s">
        <v>662</v>
      </c>
      <c r="B26" s="20" t="n">
        <v>24.667</v>
      </c>
      <c r="C26" s="20" t="n">
        <v>24.108</v>
      </c>
      <c r="D26" s="20" t="n">
        <v>25.824</v>
      </c>
      <c r="E26" s="20" t="n">
        <v>27.233</v>
      </c>
      <c r="F26" s="20" t="n">
        <v>27.747</v>
      </c>
      <c r="G26" s="20" t="n">
        <v>38.458</v>
      </c>
      <c r="H26" s="20" t="n">
        <v>31.778</v>
      </c>
      <c r="I26" s="20" t="n">
        <v>35.766</v>
      </c>
      <c r="J26" s="21" t="n">
        <f aca="false">SUM(B26:E26)</f>
        <v>101.832</v>
      </c>
      <c r="K26" s="21" t="n">
        <f aca="false">SUM(F26:I26)</f>
        <v>133.749</v>
      </c>
      <c r="L26" s="20" t="n">
        <v>101.832</v>
      </c>
      <c r="M26" s="20" t="n">
        <v>133.749</v>
      </c>
      <c r="N26" s="11" t="s">
        <v>74</v>
      </c>
      <c r="O26" s="1" t="s">
        <v>663</v>
      </c>
    </row>
    <row r="27" customFormat="false" ht="17.15" hidden="false" customHeight="false" outlineLevel="0" collapsed="false">
      <c r="A27" s="1" t="s">
        <v>664</v>
      </c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0" t="n">
        <v>-4.901</v>
      </c>
      <c r="M27" s="20" t="n">
        <v>10.697</v>
      </c>
      <c r="N27" s="11" t="s">
        <v>74</v>
      </c>
      <c r="O27" s="11" t="s">
        <v>665</v>
      </c>
    </row>
    <row r="28" customFormat="false" ht="17.15" hidden="false" customHeight="false" outlineLevel="0" collapsed="false">
      <c r="A28" s="1" t="s">
        <v>666</v>
      </c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0" t="n">
        <v>123.627</v>
      </c>
      <c r="M28" s="20" t="n">
        <v>165.934</v>
      </c>
      <c r="N28" s="11" t="s">
        <v>74</v>
      </c>
      <c r="O28" s="11" t="s">
        <v>667</v>
      </c>
    </row>
    <row r="29" customFormat="false" ht="17.15" hidden="false" customHeight="false" outlineLevel="0" collapsed="false">
      <c r="A29" s="1" t="s">
        <v>668</v>
      </c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0" t="n">
        <v>21.795</v>
      </c>
      <c r="M29" s="20" t="n">
        <v>32.185</v>
      </c>
      <c r="N29" s="11" t="s">
        <v>74</v>
      </c>
      <c r="O29" s="11" t="s">
        <v>669</v>
      </c>
    </row>
    <row r="30" customFormat="false" ht="17.15" hidden="false" customHeight="false" outlineLevel="0" collapsed="false">
      <c r="A30" s="1" t="s">
        <v>670</v>
      </c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0" t="n">
        <v>-4.763</v>
      </c>
      <c r="M30" s="20" t="n">
        <v>6.53</v>
      </c>
      <c r="N30" s="11" t="s">
        <v>74</v>
      </c>
      <c r="O30" s="11" t="s">
        <v>671</v>
      </c>
    </row>
    <row r="31" customFormat="false" ht="17.15" hidden="false" customHeight="false" outlineLevel="0" collapsed="false">
      <c r="A31" s="1" t="s">
        <v>672</v>
      </c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0" t="n">
        <v>7.465</v>
      </c>
      <c r="M31" s="20" t="n">
        <v>7.453</v>
      </c>
      <c r="N31" s="11" t="s">
        <v>74</v>
      </c>
      <c r="O31" s="11" t="s">
        <v>673</v>
      </c>
    </row>
    <row r="32" customFormat="false" ht="17.15" hidden="false" customHeight="false" outlineLevel="0" collapsed="false">
      <c r="A32" s="1" t="s">
        <v>674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24" t="n">
        <v>13.64</v>
      </c>
      <c r="M32" s="24" t="n">
        <v>17.95</v>
      </c>
      <c r="N32" s="11" t="s">
        <v>74</v>
      </c>
      <c r="O32" s="11" t="s">
        <v>675</v>
      </c>
    </row>
    <row r="33" customFormat="false" ht="17.15" hidden="false" customHeight="false" outlineLevel="0" collapsed="false">
      <c r="A33" s="22" t="s">
        <v>676</v>
      </c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3" t="n">
        <f aca="false">(L23+L27-L28)+(L28-L29-L26)</f>
        <v>0</v>
      </c>
      <c r="M33" s="23" t="n">
        <f aca="false">(M23+M27-M28)+(M28-M29-M26)</f>
        <v>0</v>
      </c>
      <c r="N33" s="1" t="s">
        <v>639</v>
      </c>
    </row>
    <row r="34" customFormat="false" ht="17.15" hidden="false" customHeight="false" outlineLevel="0" collapsed="false">
      <c r="A34" s="9" t="s">
        <v>677</v>
      </c>
    </row>
    <row r="35" customFormat="false" ht="17.15" hidden="false" customHeight="false" outlineLevel="0" collapsed="false">
      <c r="A35" s="1" t="s">
        <v>678</v>
      </c>
      <c r="B35" s="20" t="n">
        <v>34.18</v>
      </c>
      <c r="C35" s="20" t="n">
        <v>22.291</v>
      </c>
      <c r="D35" s="20" t="n">
        <v>37.044</v>
      </c>
      <c r="E35" s="20" t="n">
        <v>42.647</v>
      </c>
      <c r="F35" s="20" t="n">
        <v>45.057</v>
      </c>
      <c r="G35" s="20" t="n">
        <v>35.758</v>
      </c>
      <c r="H35" s="20" t="n">
        <v>46.679</v>
      </c>
      <c r="I35" s="20" t="n">
        <v>55.441</v>
      </c>
      <c r="J35" s="21" t="n">
        <f aca="false">SUM(B35:E35)</f>
        <v>136.162</v>
      </c>
      <c r="K35" s="21" t="n">
        <f aca="false">SUM(F35:I35)</f>
        <v>182.935</v>
      </c>
      <c r="L35" s="20" t="n">
        <v>136.162</v>
      </c>
      <c r="M35" s="20" t="n">
        <v>182.935</v>
      </c>
      <c r="N35" s="11" t="s">
        <v>74</v>
      </c>
      <c r="O35" s="1" t="s">
        <v>679</v>
      </c>
    </row>
    <row r="36" customFormat="false" ht="17.15" hidden="false" customHeight="false" outlineLevel="0" collapsed="false">
      <c r="A36" s="1" t="s">
        <v>680</v>
      </c>
      <c r="B36" s="20" t="n">
        <v>14.923</v>
      </c>
      <c r="C36" s="20" t="n">
        <v>15.804</v>
      </c>
      <c r="D36" s="20" t="n">
        <v>16.745</v>
      </c>
      <c r="E36" s="20" t="n">
        <v>17.079</v>
      </c>
      <c r="F36" s="20" t="n">
        <v>19.394</v>
      </c>
      <c r="G36" s="20" t="n">
        <v>29.876</v>
      </c>
      <c r="H36" s="20" t="n">
        <v>30.876</v>
      </c>
      <c r="I36" s="20" t="n">
        <v>35.802</v>
      </c>
      <c r="J36" s="21" t="n">
        <f aca="false">SUM(B36:E36)</f>
        <v>64.551</v>
      </c>
      <c r="K36" s="21" t="n">
        <f aca="false">SUM(F36:I36)</f>
        <v>115.948</v>
      </c>
      <c r="L36" s="20" t="n">
        <v>64.551</v>
      </c>
      <c r="M36" s="20" t="n">
        <v>115.948</v>
      </c>
      <c r="N36" s="11" t="s">
        <v>74</v>
      </c>
      <c r="O36" s="1" t="s">
        <v>681</v>
      </c>
    </row>
    <row r="37" customFormat="false" ht="15" hidden="false" customHeight="false" outlineLevel="0" collapsed="false">
      <c r="A37" s="1" t="s">
        <v>682</v>
      </c>
      <c r="B37" s="21" t="n">
        <f aca="false">B35-B36</f>
        <v>19.257</v>
      </c>
      <c r="C37" s="21" t="n">
        <f aca="false">C35-C36</f>
        <v>6.487</v>
      </c>
      <c r="D37" s="21" t="n">
        <f aca="false">D35-D36</f>
        <v>20.299</v>
      </c>
      <c r="E37" s="21" t="n">
        <f aca="false">E35-E36</f>
        <v>25.568</v>
      </c>
      <c r="F37" s="21" t="n">
        <f aca="false">F35-F36</f>
        <v>25.663</v>
      </c>
      <c r="G37" s="21" t="n">
        <f aca="false">G35-G36</f>
        <v>5.882</v>
      </c>
      <c r="H37" s="21" t="n">
        <f aca="false">H35-H36</f>
        <v>15.803</v>
      </c>
      <c r="I37" s="21" t="n">
        <f aca="false">I35-I36</f>
        <v>19.639</v>
      </c>
      <c r="J37" s="21" t="n">
        <f aca="false">SUM(B37:E37)</f>
        <v>71.611</v>
      </c>
      <c r="K37" s="21" t="n">
        <f aca="false">SUM(F37:I37)</f>
        <v>66.987</v>
      </c>
      <c r="L37" s="21" t="n">
        <f aca="false">L35-L36</f>
        <v>71.611</v>
      </c>
      <c r="M37" s="21" t="n">
        <f aca="false">M35-M36</f>
        <v>66.987</v>
      </c>
      <c r="N37" s="11" t="s">
        <v>87</v>
      </c>
    </row>
    <row r="38" customFormat="false" ht="17.15" hidden="false" customHeight="false" outlineLevel="0" collapsed="false">
      <c r="A38" s="1" t="s">
        <v>683</v>
      </c>
      <c r="B38" s="20" t="n">
        <v>6.716</v>
      </c>
      <c r="C38" s="20" t="n">
        <v>5.667</v>
      </c>
      <c r="D38" s="20" t="n">
        <v>7.734</v>
      </c>
      <c r="E38" s="20" t="n">
        <v>9.317</v>
      </c>
      <c r="F38" s="20" t="n">
        <v>8.147</v>
      </c>
      <c r="G38" s="20" t="n">
        <v>9.198</v>
      </c>
      <c r="H38" s="20" t="n">
        <v>10.167</v>
      </c>
      <c r="I38" s="20" t="n">
        <v>11.022</v>
      </c>
      <c r="J38" s="21" t="n">
        <f aca="false">SUM(B38:E38)</f>
        <v>29.434</v>
      </c>
      <c r="K38" s="21" t="n">
        <f aca="false">SUM(F38:I38)</f>
        <v>38.534</v>
      </c>
      <c r="L38" s="20" t="n">
        <v>29.433</v>
      </c>
      <c r="M38" s="20" t="n">
        <v>38.534</v>
      </c>
      <c r="N38" s="11" t="s">
        <v>74</v>
      </c>
      <c r="O38" s="1" t="s">
        <v>684</v>
      </c>
    </row>
    <row r="39" customFormat="false" ht="17.15" hidden="false" customHeight="false" outlineLevel="0" collapsed="false">
      <c r="A39" s="1" t="s">
        <v>685</v>
      </c>
      <c r="B39" s="20" t="n">
        <v>2.832</v>
      </c>
      <c r="C39" s="20" t="n">
        <v>3.089</v>
      </c>
      <c r="D39" s="20" t="n">
        <v>2.98</v>
      </c>
      <c r="E39" s="20" t="n">
        <v>3.073</v>
      </c>
      <c r="F39" s="20" t="n">
        <v>2.983</v>
      </c>
      <c r="G39" s="20" t="n">
        <v>3.219</v>
      </c>
      <c r="H39" s="20" t="n">
        <v>3.081</v>
      </c>
      <c r="I39" s="20" t="n">
        <v>3.122</v>
      </c>
      <c r="J39" s="21" t="n">
        <f aca="false">SUM(B39:E39)</f>
        <v>11.974</v>
      </c>
      <c r="K39" s="21" t="n">
        <f aca="false">SUM(F39:I39)</f>
        <v>12.405</v>
      </c>
      <c r="L39" s="20" t="n">
        <v>11.974</v>
      </c>
      <c r="M39" s="20" t="n">
        <v>12.405</v>
      </c>
      <c r="N39" s="11" t="s">
        <v>74</v>
      </c>
      <c r="O39" s="1" t="s">
        <v>686</v>
      </c>
    </row>
    <row r="40" customFormat="false" ht="17.15" hidden="false" customHeight="false" outlineLevel="0" collapsed="false">
      <c r="A40" s="1" t="s">
        <v>687</v>
      </c>
      <c r="B40" s="20" t="n">
        <v>4.107</v>
      </c>
      <c r="C40" s="20" t="n">
        <v>4.986</v>
      </c>
      <c r="D40" s="20" t="n">
        <v>4.781</v>
      </c>
      <c r="E40" s="20" t="n">
        <v>4.546</v>
      </c>
      <c r="F40" s="20" t="n">
        <v>5.65</v>
      </c>
      <c r="G40" s="20" t="n">
        <v>7.415</v>
      </c>
      <c r="H40" s="20" t="n">
        <v>4.627</v>
      </c>
      <c r="I40" s="20" t="n">
        <v>4.579</v>
      </c>
      <c r="J40" s="21" t="n">
        <f aca="false">SUM(B40:E40)</f>
        <v>18.42</v>
      </c>
      <c r="K40" s="21" t="n">
        <f aca="false">SUM(F40:I40)</f>
        <v>22.271</v>
      </c>
      <c r="L40" s="20" t="n">
        <v>18.42</v>
      </c>
      <c r="M40" s="20" t="n">
        <v>22.271</v>
      </c>
      <c r="N40" s="11" t="s">
        <v>74</v>
      </c>
      <c r="O40" s="1" t="s">
        <v>688</v>
      </c>
    </row>
    <row r="41" customFormat="false" ht="17.15" hidden="false" customHeight="false" outlineLevel="0" collapsed="false">
      <c r="A41" s="1" t="s">
        <v>689</v>
      </c>
      <c r="B41" s="20" t="n">
        <v>5.574</v>
      </c>
      <c r="C41" s="20" t="n">
        <v>6.17</v>
      </c>
      <c r="D41" s="20" t="n">
        <v>6.169</v>
      </c>
      <c r="E41" s="20" t="n">
        <v>6.169</v>
      </c>
      <c r="F41" s="20" t="n">
        <v>6.169</v>
      </c>
      <c r="G41" s="20" t="n">
        <v>6.762</v>
      </c>
      <c r="H41" s="20" t="n">
        <v>6.756</v>
      </c>
      <c r="I41" s="20" t="n">
        <v>6.758</v>
      </c>
      <c r="J41" s="21" t="n">
        <f aca="false">SUM(B41:E41)</f>
        <v>24.082</v>
      </c>
      <c r="K41" s="21" t="n">
        <f aca="false">SUM(F41:I41)</f>
        <v>26.445</v>
      </c>
      <c r="L41" s="20" t="n">
        <v>24.082</v>
      </c>
      <c r="M41" s="20" t="n">
        <v>26.445</v>
      </c>
      <c r="N41" s="11" t="s">
        <v>74</v>
      </c>
      <c r="O41" s="1" t="s">
        <v>690</v>
      </c>
    </row>
    <row r="42" customFormat="false" ht="17.15" hidden="false" customHeight="false" outlineLevel="0" collapsed="false">
      <c r="A42" s="1" t="s">
        <v>691</v>
      </c>
      <c r="B42" s="21"/>
      <c r="C42" s="21"/>
      <c r="D42" s="21"/>
      <c r="E42" s="20" t="n">
        <v>24.2</v>
      </c>
      <c r="F42" s="20" t="n">
        <v>34.9</v>
      </c>
      <c r="G42" s="20" t="n">
        <v>37.5</v>
      </c>
      <c r="H42" s="20" t="n">
        <v>31.9</v>
      </c>
      <c r="I42" s="20" t="n">
        <v>41</v>
      </c>
      <c r="J42" s="21"/>
      <c r="K42" s="21" t="n">
        <f aca="false">SUM(F42:I42)</f>
        <v>145.3</v>
      </c>
      <c r="L42" s="21"/>
      <c r="M42" s="20" t="n">
        <v>145.3</v>
      </c>
      <c r="N42" s="11" t="s">
        <v>167</v>
      </c>
      <c r="O42" s="1" t="s">
        <v>692</v>
      </c>
    </row>
    <row r="43" customFormat="false" ht="17.15" hidden="false" customHeight="false" outlineLevel="0" collapsed="false">
      <c r="A43" s="1" t="s">
        <v>693</v>
      </c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0" t="n">
        <v>2.283</v>
      </c>
      <c r="M43" s="20" t="n">
        <v>3.101</v>
      </c>
      <c r="N43" s="11" t="s">
        <v>74</v>
      </c>
      <c r="O43" s="11" t="s">
        <v>694</v>
      </c>
    </row>
    <row r="44" customFormat="false" ht="15" hidden="false" customHeight="false" outlineLevel="0" collapsed="false">
      <c r="A44" s="22" t="s">
        <v>695</v>
      </c>
      <c r="B44" s="22"/>
      <c r="C44" s="22"/>
      <c r="D44" s="22"/>
      <c r="E44" s="22"/>
      <c r="F44" s="22"/>
      <c r="G44" s="22"/>
      <c r="H44" s="22"/>
      <c r="I44" s="22"/>
      <c r="J44" s="23" t="n">
        <f aca="false">SUMPRODUCT(ABS(J5:J23-L5:L23))+ABS(J26-L26)+SUMPRODUCT(ABS(J35:J41-L35:L41))</f>
        <v>0.00100000000000122</v>
      </c>
      <c r="K44" s="23" t="n">
        <f aca="false">SUMPRODUCT(ABS(K5:K23-M5:M23))+ABS(K26-M26)+SUMPRODUCT(ABS(K35:K41-M35:M41))+ABS(K42-M42)</f>
        <v>0</v>
      </c>
      <c r="L44" s="22"/>
      <c r="M44" s="22"/>
      <c r="N44" s="1" t="s">
        <v>639</v>
      </c>
    </row>
    <row r="45" customFormat="false" ht="17.15" hidden="false" customHeight="false" outlineLevel="0" collapsed="false">
      <c r="A45" s="9" t="s">
        <v>696</v>
      </c>
    </row>
    <row r="46" customFormat="false" ht="17.15" hidden="false" customHeight="false" outlineLevel="0" collapsed="false">
      <c r="A46" s="0" t="s">
        <v>697</v>
      </c>
      <c r="B46" s="20" t="n">
        <v>28.317</v>
      </c>
      <c r="C46" s="20" t="n">
        <v>29.437</v>
      </c>
      <c r="D46" s="20" t="n">
        <v>29.944</v>
      </c>
      <c r="E46" s="20" t="n">
        <v>33.112</v>
      </c>
      <c r="F46" s="20" t="n">
        <v>33.02</v>
      </c>
      <c r="G46" s="20" t="n">
        <v>34.116</v>
      </c>
      <c r="H46" s="20" t="n">
        <v>35.013</v>
      </c>
      <c r="I46" s="20" t="n">
        <v>37.847</v>
      </c>
      <c r="J46" s="21" t="n">
        <f aca="false">SUM(B46:E46)</f>
        <v>120.81</v>
      </c>
      <c r="K46" s="21" t="n">
        <f aca="false">SUM(F46:I46)</f>
        <v>139.996</v>
      </c>
      <c r="L46" s="20" t="n">
        <v>120.81</v>
      </c>
      <c r="M46" s="20" t="n">
        <v>139.996</v>
      </c>
      <c r="N46" s="11" t="s">
        <v>74</v>
      </c>
      <c r="O46" s="11" t="s">
        <v>698</v>
      </c>
    </row>
    <row r="47" customFormat="false" ht="17.15" hidden="false" customHeight="false" outlineLevel="0" collapsed="false">
      <c r="A47" s="0" t="s">
        <v>699</v>
      </c>
      <c r="B47" s="20" t="n">
        <v>24.092</v>
      </c>
      <c r="C47" s="20" t="n">
        <v>25.544</v>
      </c>
      <c r="D47" s="20" t="n">
        <v>26.751</v>
      </c>
      <c r="E47" s="20" t="n">
        <v>29.878</v>
      </c>
      <c r="F47" s="20" t="n">
        <v>30.897</v>
      </c>
      <c r="G47" s="20" t="n">
        <v>32.907</v>
      </c>
      <c r="H47" s="20" t="n">
        <v>34.681</v>
      </c>
      <c r="I47" s="20" t="n">
        <v>39.306</v>
      </c>
      <c r="J47" s="21" t="n">
        <f aca="false">SUM(B47:E47)</f>
        <v>106.265</v>
      </c>
      <c r="K47" s="21" t="n">
        <f aca="false">SUM(F47:I47)</f>
        <v>137.791</v>
      </c>
      <c r="L47" s="20" t="n">
        <v>106.265</v>
      </c>
      <c r="M47" s="20" t="n">
        <v>137.791</v>
      </c>
      <c r="N47" s="11" t="s">
        <v>74</v>
      </c>
      <c r="O47" s="11" t="s">
        <v>700</v>
      </c>
    </row>
    <row r="48" customFormat="false" ht="17.15" hidden="false" customHeight="false" outlineLevel="0" collapsed="false">
      <c r="A48" s="0" t="s">
        <v>701</v>
      </c>
      <c r="B48" s="20" t="n">
        <v>13.176</v>
      </c>
      <c r="C48" s="20" t="n">
        <v>14.651</v>
      </c>
      <c r="D48" s="20" t="n">
        <v>13.371</v>
      </c>
      <c r="E48" s="20" t="n">
        <v>13.451</v>
      </c>
      <c r="F48" s="20" t="n">
        <v>13.756</v>
      </c>
      <c r="G48" s="20" t="n">
        <v>14.25</v>
      </c>
      <c r="H48" s="20" t="n">
        <v>13.192</v>
      </c>
      <c r="I48" s="20" t="n">
        <v>12.854</v>
      </c>
      <c r="J48" s="21" t="n">
        <f aca="false">SUM(B48:E48)</f>
        <v>54.649</v>
      </c>
      <c r="K48" s="21" t="n">
        <f aca="false">SUM(F48:I48)</f>
        <v>54.052</v>
      </c>
      <c r="L48" s="20" t="n">
        <v>54.649</v>
      </c>
      <c r="M48" s="20" t="n">
        <v>54.052</v>
      </c>
      <c r="N48" s="11" t="s">
        <v>74</v>
      </c>
      <c r="O48" s="11" t="s">
        <v>702</v>
      </c>
    </row>
    <row r="49" customFormat="false" ht="15" hidden="false" customHeight="false" outlineLevel="0" collapsed="false">
      <c r="A49" s="22" t="s">
        <v>703</v>
      </c>
      <c r="B49" s="23" t="n">
        <f aca="false">B46+B47+B48-B18</f>
        <v>0</v>
      </c>
      <c r="C49" s="23" t="n">
        <f aca="false">C46+C47+C48-C18</f>
        <v>0</v>
      </c>
      <c r="D49" s="23" t="n">
        <f aca="false">D46+D47+D48-D18</f>
        <v>0</v>
      </c>
      <c r="E49" s="23" t="n">
        <f aca="false">E46+E47+E48-E18</f>
        <v>0</v>
      </c>
      <c r="F49" s="23" t="n">
        <f aca="false">F46+F47+F48-F18</f>
        <v>0</v>
      </c>
      <c r="G49" s="23" t="n">
        <f aca="false">G46+G47+G48-G18</f>
        <v>0</v>
      </c>
      <c r="H49" s="23" t="n">
        <f aca="false">H46+H47+H48-H18</f>
        <v>0</v>
      </c>
      <c r="I49" s="23" t="n">
        <f aca="false">I46+I47+I48-I18</f>
        <v>0</v>
      </c>
      <c r="J49" s="23" t="n">
        <f aca="false">J46+J47+J48-J18</f>
        <v>0</v>
      </c>
      <c r="K49" s="23" t="n">
        <f aca="false">K46+K47+K48-K18</f>
        <v>0</v>
      </c>
      <c r="L49" s="23" t="n">
        <f aca="false">L46+L47+L48-L18</f>
        <v>0</v>
      </c>
      <c r="M49" s="23" t="n">
        <f aca="false">M46+M47+M48-M18</f>
        <v>0</v>
      </c>
      <c r="N49" s="1" t="s">
        <v>639</v>
      </c>
    </row>
    <row r="50" customFormat="false" ht="17.15" hidden="false" customHeight="false" outlineLevel="0" collapsed="false">
      <c r="A50" s="0" t="s">
        <v>704</v>
      </c>
      <c r="B50" s="25"/>
      <c r="C50" s="25"/>
      <c r="D50" s="25"/>
      <c r="E50" s="25"/>
      <c r="F50" s="26" t="n">
        <v>0.4</v>
      </c>
      <c r="G50" s="26" t="n">
        <v>0.39</v>
      </c>
      <c r="H50" s="26" t="n">
        <v>0.4</v>
      </c>
      <c r="I50" s="26" t="n">
        <v>0.42</v>
      </c>
      <c r="J50" s="25"/>
      <c r="K50" s="25"/>
      <c r="L50" s="25"/>
      <c r="M50" s="25"/>
      <c r="N50" s="11" t="s">
        <v>167</v>
      </c>
      <c r="O50" s="11" t="s">
        <v>705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11" min="3" style="0" width="11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706</v>
      </c>
    </row>
    <row r="2" customFormat="false" ht="17.15" hidden="false" customHeight="false" outlineLevel="0" collapsed="false">
      <c r="A2" s="1" t="s">
        <v>707</v>
      </c>
    </row>
    <row r="3" customFormat="false" ht="17.15" hidden="false" customHeight="false" outlineLevel="0" collapsed="false">
      <c r="A3" s="1" t="s">
        <v>708</v>
      </c>
    </row>
    <row r="4" customFormat="false" ht="17.15" hidden="false" customHeight="false" outlineLevel="0" collapsed="false">
      <c r="A4" s="3" t="s">
        <v>709</v>
      </c>
    </row>
    <row r="5" customFormat="false" ht="15" hidden="false" customHeight="false" outlineLevel="0" collapsed="false">
      <c r="A5" s="4" t="s">
        <v>43</v>
      </c>
      <c r="B5" s="4" t="s">
        <v>63</v>
      </c>
      <c r="C5" s="19" t="s">
        <v>710</v>
      </c>
      <c r="D5" s="19" t="s">
        <v>711</v>
      </c>
      <c r="E5" s="19" t="s">
        <v>712</v>
      </c>
      <c r="F5" s="19" t="s">
        <v>713</v>
      </c>
      <c r="G5" s="19" t="s">
        <v>714</v>
      </c>
      <c r="H5" s="19" t="s">
        <v>715</v>
      </c>
      <c r="I5" s="19" t="s">
        <v>716</v>
      </c>
      <c r="J5" s="19" t="s">
        <v>717</v>
      </c>
      <c r="K5" s="19" t="s">
        <v>718</v>
      </c>
      <c r="L5" s="4" t="s">
        <v>47</v>
      </c>
    </row>
    <row r="6" customFormat="false" ht="17.15" hidden="false" customHeight="false" outlineLevel="0" collapsed="false">
      <c r="A6" s="1" t="s">
        <v>719</v>
      </c>
      <c r="B6" s="0" t="s">
        <v>340</v>
      </c>
      <c r="C6" s="27" t="n">
        <f aca="false">mw_ext_24</f>
        <v>640</v>
      </c>
      <c r="D6" s="27" t="n">
        <f aca="false">mw_ext_25</f>
        <v>1630</v>
      </c>
      <c r="E6" s="27" t="n">
        <f aca="false">mw_ext_26</f>
        <v>3250</v>
      </c>
      <c r="F6" s="27" t="n">
        <f aca="false">MIN(1000000000,Thesis!E6+pace)</f>
        <v>5777.2</v>
      </c>
      <c r="G6" s="27" t="n">
        <f aca="false">MIN(1000000000,Thesis!F6+pace)</f>
        <v>8304.4</v>
      </c>
      <c r="H6" s="27" t="n">
        <f aca="false">MIN(1000000000,Thesis!G6+pace)</f>
        <v>10831.6</v>
      </c>
      <c r="I6" s="27" t="n">
        <f aca="false">MIN(1000000000,Thesis!H6+pace)</f>
        <v>13358.8</v>
      </c>
      <c r="J6" s="27" t="n">
        <f aca="false">MIN(1000000000,Thesis!I6+pace)</f>
        <v>15886</v>
      </c>
      <c r="K6" s="27" t="n">
        <f aca="false">MIN(1000000000,Thesis!J6+pace)</f>
        <v>18413.2</v>
      </c>
      <c r="L6" s="11" t="s">
        <v>720</v>
      </c>
    </row>
    <row r="7" customFormat="false" ht="17.15" hidden="false" customHeight="false" outlineLevel="0" collapsed="false">
      <c r="A7" s="1" t="s">
        <v>721</v>
      </c>
      <c r="B7" s="0" t="s">
        <v>340</v>
      </c>
      <c r="C7" s="27" t="n">
        <f aca="false">rent_ext_24</f>
        <v>150</v>
      </c>
      <c r="D7" s="27" t="n">
        <f aca="false">rent_ext_25</f>
        <v>400</v>
      </c>
      <c r="E7" s="27" t="n">
        <f aca="false">rent_ext_26</f>
        <v>550</v>
      </c>
      <c r="F7" s="27" t="n">
        <f aca="false">rent_ext_f</f>
        <v>756</v>
      </c>
      <c r="G7" s="27" t="n">
        <f aca="false">rent_ext_f</f>
        <v>756</v>
      </c>
      <c r="H7" s="27" t="n">
        <f aca="false">rent_ext_f</f>
        <v>756</v>
      </c>
      <c r="I7" s="27" t="n">
        <f aca="false">rent_ext_f</f>
        <v>756</v>
      </c>
      <c r="J7" s="27" t="n">
        <f aca="false">rent_ext_f</f>
        <v>756</v>
      </c>
      <c r="K7" s="27" t="n">
        <f aca="false">rent_ext_f</f>
        <v>756</v>
      </c>
      <c r="L7" s="1" t="s">
        <v>722</v>
      </c>
    </row>
    <row r="8" customFormat="false" ht="17.15" hidden="false" customHeight="false" outlineLevel="0" collapsed="false">
      <c r="A8" s="1" t="s">
        <v>723</v>
      </c>
      <c r="B8" s="0" t="s">
        <v>340</v>
      </c>
      <c r="C8" s="27" t="n">
        <f aca="false">Thesis!C6-Thesis!C7</f>
        <v>490</v>
      </c>
      <c r="D8" s="27" t="n">
        <f aca="false">Thesis!D6-Thesis!D7</f>
        <v>1230</v>
      </c>
      <c r="E8" s="27" t="n">
        <f aca="false">Thesis!E6-Thesis!E7</f>
        <v>2700</v>
      </c>
      <c r="F8" s="27" t="n">
        <f aca="false">Thesis!F6-Thesis!F7</f>
        <v>5021.2</v>
      </c>
      <c r="G8" s="27" t="n">
        <f aca="false">Thesis!G6-Thesis!G7</f>
        <v>7548.4</v>
      </c>
      <c r="H8" s="27" t="n">
        <f aca="false">Thesis!H6-Thesis!H7</f>
        <v>10075.6</v>
      </c>
      <c r="I8" s="27" t="n">
        <f aca="false">Thesis!I6-Thesis!I7</f>
        <v>12602.8</v>
      </c>
      <c r="J8" s="27" t="n">
        <f aca="false">Thesis!J6-Thesis!J7</f>
        <v>15130</v>
      </c>
      <c r="K8" s="27" t="n">
        <f aca="false">Thesis!K6-Thesis!K7</f>
        <v>17657.2</v>
      </c>
    </row>
    <row r="9" customFormat="false" ht="17.15" hidden="false" customHeight="false" outlineLevel="0" collapsed="false">
      <c r="A9" s="1" t="s">
        <v>724</v>
      </c>
      <c r="B9" s="0" t="s">
        <v>340</v>
      </c>
      <c r="C9" s="27" t="n">
        <f aca="false">Thesis!C8/ext_sh</f>
        <v>816.666666666667</v>
      </c>
      <c r="D9" s="27" t="n">
        <f aca="false">Thesis!D8/ext_sh</f>
        <v>2050</v>
      </c>
      <c r="E9" s="27" t="n">
        <f aca="false">Thesis!E8/ext_sh</f>
        <v>4500</v>
      </c>
      <c r="F9" s="27" t="n">
        <f aca="false">Thesis!F8/ext_sh</f>
        <v>8368.66666666667</v>
      </c>
      <c r="G9" s="27" t="n">
        <f aca="false">Thesis!G8/ext_sh</f>
        <v>12580.6666666667</v>
      </c>
      <c r="H9" s="27" t="n">
        <f aca="false">Thesis!H8/ext_sh</f>
        <v>16792.6666666667</v>
      </c>
      <c r="I9" s="27" t="n">
        <f aca="false">Thesis!I8/ext_sh</f>
        <v>21004.6666666667</v>
      </c>
      <c r="J9" s="27" t="n">
        <f aca="false">Thesis!J8/ext_sh</f>
        <v>25216.6666666667</v>
      </c>
      <c r="K9" s="27" t="n">
        <f aca="false">Thesis!K8/ext_sh</f>
        <v>29428.6666666667</v>
      </c>
      <c r="L9" s="1" t="s">
        <v>725</v>
      </c>
    </row>
    <row r="10" customFormat="false" ht="17.15" hidden="false" customHeight="false" outlineLevel="0" collapsed="false">
      <c r="A10" s="1" t="s">
        <v>726</v>
      </c>
      <c r="B10" s="0" t="s">
        <v>340</v>
      </c>
      <c r="C10" s="27" t="n">
        <f aca="false">Thesis!C9-Thesis!C8</f>
        <v>326.666666666667</v>
      </c>
      <c r="D10" s="27" t="n">
        <f aca="false">Thesis!D9-Thesis!D8</f>
        <v>820</v>
      </c>
      <c r="E10" s="27" t="n">
        <f aca="false">Thesis!E9-Thesis!E8</f>
        <v>1800</v>
      </c>
      <c r="F10" s="27" t="n">
        <f aca="false">Thesis!F9-Thesis!F8</f>
        <v>3347.46666666667</v>
      </c>
      <c r="G10" s="27" t="n">
        <f aca="false">Thesis!G9-Thesis!G8</f>
        <v>5032.26666666667</v>
      </c>
      <c r="H10" s="27" t="n">
        <f aca="false">Thesis!H9-Thesis!H8</f>
        <v>6717.06666666667</v>
      </c>
      <c r="I10" s="27" t="n">
        <f aca="false">Thesis!I9-Thesis!I8</f>
        <v>8401.86666666667</v>
      </c>
      <c r="J10" s="27" t="n">
        <f aca="false">Thesis!J9-Thesis!J8</f>
        <v>10086.6666666667</v>
      </c>
      <c r="K10" s="27" t="n">
        <f aca="false">Thesis!K9-Thesis!K8</f>
        <v>11771.4666666667</v>
      </c>
    </row>
    <row r="11" customFormat="false" ht="17.15" hidden="false" customHeight="false" outlineLevel="0" collapsed="false">
      <c r="A11" s="1" t="s">
        <v>727</v>
      </c>
      <c r="B11" s="0" t="s">
        <v>340</v>
      </c>
      <c r="C11" s="27" t="n">
        <f aca="false">Thesis!C9</f>
        <v>816.666666666667</v>
      </c>
      <c r="D11" s="27" t="n">
        <f aca="false">Thesis!D9-Thesis!C9</f>
        <v>1233.33333333333</v>
      </c>
      <c r="E11" s="27" t="n">
        <f aca="false">Thesis!E9-Thesis!D9</f>
        <v>2450</v>
      </c>
      <c r="F11" s="27" t="n">
        <f aca="false">Thesis!F9-Thesis!E9</f>
        <v>3868.66666666667</v>
      </c>
      <c r="G11" s="27" t="n">
        <f aca="false">Thesis!G9-Thesis!F9</f>
        <v>4212</v>
      </c>
      <c r="H11" s="27" t="n">
        <f aca="false">Thesis!H9-Thesis!G9</f>
        <v>4212</v>
      </c>
      <c r="I11" s="27" t="n">
        <f aca="false">Thesis!I9-Thesis!H9</f>
        <v>4212</v>
      </c>
      <c r="J11" s="27" t="n">
        <f aca="false">Thesis!J9-Thesis!I9</f>
        <v>4212</v>
      </c>
      <c r="K11" s="27" t="n">
        <f aca="false">Thesis!K9-Thesis!J9</f>
        <v>4212</v>
      </c>
    </row>
    <row r="12" customFormat="false" ht="17.15" hidden="false" customHeight="false" outlineLevel="0" collapsed="false">
      <c r="A12" s="1" t="s">
        <v>728</v>
      </c>
      <c r="B12" s="0" t="s">
        <v>340</v>
      </c>
      <c r="D12" s="27" t="n">
        <f aca="false">Thesis!D6-Thesis!C6</f>
        <v>990</v>
      </c>
      <c r="E12" s="27" t="n">
        <f aca="false">Thesis!E6-Thesis!D6</f>
        <v>1620</v>
      </c>
      <c r="F12" s="27" t="n">
        <f aca="false">Thesis!F6-Thesis!E6</f>
        <v>2527.2</v>
      </c>
      <c r="G12" s="27" t="n">
        <f aca="false">Thesis!G6-Thesis!F6</f>
        <v>2527.2</v>
      </c>
      <c r="H12" s="27" t="n">
        <f aca="false">Thesis!H6-Thesis!G6</f>
        <v>2527.2</v>
      </c>
      <c r="I12" s="27" t="n">
        <f aca="false">Thesis!I6-Thesis!H6</f>
        <v>2527.2</v>
      </c>
      <c r="J12" s="27" t="n">
        <f aca="false">Thesis!J6-Thesis!I6</f>
        <v>2527.2</v>
      </c>
      <c r="K12" s="27" t="n">
        <f aca="false">Thesis!K6-Thesis!J6</f>
        <v>2527.2</v>
      </c>
    </row>
    <row r="13" customFormat="false" ht="17.15" hidden="false" customHeight="false" outlineLevel="0" collapsed="false">
      <c r="A13" s="1" t="s">
        <v>729</v>
      </c>
      <c r="B13" s="0" t="s">
        <v>340</v>
      </c>
      <c r="C13" s="27" t="n">
        <f aca="false">mix_h*Thesis!C6</f>
        <v>128</v>
      </c>
      <c r="D13" s="27" t="n">
        <f aca="false">mix_h*Thesis!D6</f>
        <v>326</v>
      </c>
      <c r="E13" s="27" t="n">
        <f aca="false">mix_h*Thesis!E6</f>
        <v>650</v>
      </c>
      <c r="F13" s="27" t="n">
        <f aca="false">Thesis!E13</f>
        <v>650</v>
      </c>
      <c r="G13" s="27" t="n">
        <f aca="false">Thesis!F13</f>
        <v>650</v>
      </c>
      <c r="H13" s="27" t="n">
        <f aca="false">Thesis!G13</f>
        <v>650</v>
      </c>
      <c r="I13" s="27" t="n">
        <f aca="false">Thesis!H13</f>
        <v>650</v>
      </c>
      <c r="J13" s="27" t="n">
        <f aca="false">Thesis!I13</f>
        <v>650</v>
      </c>
      <c r="K13" s="27" t="n">
        <f aca="false">Thesis!J13</f>
        <v>650</v>
      </c>
    </row>
    <row r="14" customFormat="false" ht="17.15" hidden="false" customHeight="false" outlineLevel="0" collapsed="false">
      <c r="A14" s="1" t="s">
        <v>730</v>
      </c>
      <c r="B14" s="0" t="s">
        <v>340</v>
      </c>
      <c r="C14" s="27" t="n">
        <f aca="false">mix_g2*Thesis!C6</f>
        <v>288</v>
      </c>
      <c r="D14" s="27" t="n">
        <f aca="false">mix_g2*Thesis!D6</f>
        <v>733.5</v>
      </c>
      <c r="E14" s="27" t="n">
        <f aca="false">mix_g2*Thesis!E6</f>
        <v>1462.5</v>
      </c>
      <c r="F14" s="27" t="n">
        <f aca="false">Thesis!E14</f>
        <v>1462.5</v>
      </c>
      <c r="G14" s="27" t="n">
        <f aca="false">Thesis!F14</f>
        <v>1462.5</v>
      </c>
      <c r="H14" s="27" t="n">
        <f aca="false">Thesis!G14</f>
        <v>1462.5</v>
      </c>
      <c r="I14" s="27" t="n">
        <f aca="false">Thesis!H14</f>
        <v>1462.5</v>
      </c>
      <c r="J14" s="27" t="n">
        <f aca="false">Thesis!I14</f>
        <v>1462.5</v>
      </c>
      <c r="K14" s="27" t="n">
        <f aca="false">Thesis!J14</f>
        <v>1462.5</v>
      </c>
    </row>
    <row r="15" customFormat="false" ht="17.15" hidden="false" customHeight="false" outlineLevel="0" collapsed="false">
      <c r="A15" s="1" t="s">
        <v>731</v>
      </c>
      <c r="B15" s="0" t="s">
        <v>340</v>
      </c>
      <c r="C15" s="27" t="n">
        <f aca="false">mix_g3*Thesis!C6</f>
        <v>224</v>
      </c>
      <c r="D15" s="27" t="n">
        <f aca="false">mix_g3*Thesis!D6</f>
        <v>570.5</v>
      </c>
      <c r="E15" s="27" t="n">
        <f aca="false">mix_g3*Thesis!E6</f>
        <v>1137.5</v>
      </c>
      <c r="F15" s="27" t="n">
        <f aca="false">Thesis!E15+Thesis!F12*a_g3_27</f>
        <v>2906.54</v>
      </c>
      <c r="G15" s="27" t="n">
        <f aca="false">Thesis!F15+Thesis!G12*a_g3_28</f>
        <v>3664.7</v>
      </c>
      <c r="H15" s="27" t="n">
        <f aca="false">Thesis!G15+Thesis!H12*a_g3_29</f>
        <v>3917.42</v>
      </c>
      <c r="I15" s="27" t="n">
        <f aca="false">Thesis!H15+Thesis!I12*a_g3_29</f>
        <v>4170.14</v>
      </c>
      <c r="J15" s="27" t="n">
        <f aca="false">Thesis!I15+Thesis!J12*a_g3_29</f>
        <v>4422.86</v>
      </c>
      <c r="K15" s="27" t="n">
        <f aca="false">Thesis!J15+Thesis!K12*a_g3_29</f>
        <v>4675.58</v>
      </c>
    </row>
    <row r="16" customFormat="false" ht="17.15" hidden="false" customHeight="false" outlineLevel="0" collapsed="false">
      <c r="A16" s="1" t="s">
        <v>732</v>
      </c>
      <c r="B16" s="0" t="s">
        <v>340</v>
      </c>
      <c r="C16" s="27" t="n">
        <f aca="false">0</f>
        <v>0</v>
      </c>
      <c r="D16" s="27" t="n">
        <f aca="false">0</f>
        <v>0</v>
      </c>
      <c r="E16" s="27" t="n">
        <f aca="false">0</f>
        <v>0</v>
      </c>
      <c r="F16" s="27" t="n">
        <f aca="false">Thesis!E16+Thesis!F12*(1-a_g3_27)</f>
        <v>758.16</v>
      </c>
      <c r="G16" s="27" t="n">
        <f aca="false">Thesis!F16+Thesis!G12*(1-a_g3_28)</f>
        <v>2527.2</v>
      </c>
      <c r="H16" s="27" t="n">
        <f aca="false">Thesis!G16+Thesis!H12*(1-a_g3_29)</f>
        <v>4801.68</v>
      </c>
      <c r="I16" s="27" t="n">
        <f aca="false">Thesis!H16+Thesis!I12*(1-a_g3_29)</f>
        <v>7076.16</v>
      </c>
      <c r="J16" s="27" t="n">
        <f aca="false">Thesis!I16+Thesis!J12*(1-a_g3_29)</f>
        <v>9350.64</v>
      </c>
      <c r="K16" s="27" t="n">
        <f aca="false">Thesis!J16+Thesis!K12*(1-a_g3_29)</f>
        <v>11625.12</v>
      </c>
    </row>
    <row r="17" customFormat="false" ht="17.15" hidden="false" customHeight="false" outlineLevel="0" collapsed="false">
      <c r="A17" s="1" t="s">
        <v>733</v>
      </c>
      <c r="B17" s="0" t="s">
        <v>291</v>
      </c>
      <c r="C17" s="18" t="n">
        <f aca="false">(Thesis!C13*tk_hold_h100+Thesis!C14*tk_hold_gb200+Thesis!C15*tk_hold_gb300+Thesis!C16*tk_hold_vr200)/Thesis!C6</f>
        <v>9.7235358126469</v>
      </c>
      <c r="D17" s="18" t="n">
        <f aca="false">(Thesis!D13*tk_hold_h100+Thesis!D14*tk_hold_gb200+Thesis!D15*tk_hold_gb300+Thesis!D16*tk_hold_vr200)/Thesis!D6</f>
        <v>9.7235358126469</v>
      </c>
      <c r="E17" s="18" t="n">
        <f aca="false">(Thesis!E13*tk_hold_h100+Thesis!E14*tk_hold_gb200+Thesis!E15*tk_hold_gb300+Thesis!E16*tk_hold_vr200)/Thesis!E6</f>
        <v>9.7235358126469</v>
      </c>
      <c r="F17" s="18" t="n">
        <f aca="false">(Thesis!F13*tk_hold_h100+Thesis!F14*tk_hold_gb200+Thesis!F15*tk_hold_gb300+Thesis!F16*tk_hold_vr200)/Thesis!F6</f>
        <v>10.4079573161931</v>
      </c>
      <c r="G17" s="18" t="n">
        <f aca="false">(Thesis!G13*tk_hold_h100+Thesis!G14*tk_hold_gb200+Thesis!G15*tk_hold_gb300+Thesis!G16*tk_hold_vr200)/Thesis!G6</f>
        <v>10.8388131109316</v>
      </c>
      <c r="H17" s="18" t="n">
        <f aca="false">(Thesis!H13*tk_hold_h100+Thesis!H14*tk_hold_gb200+Thesis!H15*tk_hold_gb300+Thesis!H16*tk_hold_vr200)/Thesis!H6</f>
        <v>11.1311018388216</v>
      </c>
      <c r="I17" s="18" t="n">
        <f aca="false">(Thesis!I13*tk_hold_h100+Thesis!I14*tk_hold_gb200+Thesis!I15*tk_hold_gb300+Thesis!I16*tk_hold_vr200)/Thesis!I6</f>
        <v>11.3128009818501</v>
      </c>
      <c r="J17" s="18" t="n">
        <f aca="false">(Thesis!J13*tk_hold_h100+Thesis!J14*tk_hold_gb200+Thesis!J15*tk_hold_gb300+Thesis!J16*tk_hold_vr200)/Thesis!J6</f>
        <v>11.4366894646418</v>
      </c>
      <c r="K17" s="18" t="n">
        <f aca="false">(Thesis!K13*tk_hold_h100+Thesis!K14*tk_hold_gb200+Thesis!K15*tk_hold_gb300+Thesis!K16*tk_hold_vr200)/Thesis!K6</f>
        <v>11.526570716348</v>
      </c>
    </row>
    <row r="18" customFormat="false" ht="17.15" hidden="false" customHeight="false" outlineLevel="0" collapsed="false">
      <c r="A18" s="0" t="s">
        <v>734</v>
      </c>
      <c r="B18" s="0" t="s">
        <v>182</v>
      </c>
      <c r="C18" s="18" t="n">
        <f aca="false">k_B</f>
        <v>1.17213932619116</v>
      </c>
      <c r="D18" s="18" t="n">
        <f aca="false">k_B</f>
        <v>1.17213932619116</v>
      </c>
      <c r="E18" s="18" t="n">
        <f aca="false">k_B</f>
        <v>1.17213932619116</v>
      </c>
      <c r="F18" s="18" t="n">
        <f aca="false">(k_B+((ls_A*k_long+(1-ls_A)*k_spot)-k_B)*MIN(1,1/3))*1</f>
        <v>1.25022828131298</v>
      </c>
      <c r="G18" s="18" t="n">
        <f aca="false">(k_B+((ls_A*k_long+(1-ls_A)*k_spot)-k_B)*MIN(1,2/3))*1</f>
        <v>1.3283172364348</v>
      </c>
      <c r="H18" s="18" t="n">
        <f aca="false">(k_B+((ls_A*k_long+(1-ls_A)*k_spot)-k_B)*MIN(1,3/3))*1</f>
        <v>1.40640619155662</v>
      </c>
      <c r="I18" s="18" t="n">
        <f aca="false">(k_B+((ls_A*k_long+(1-ls_A)*k_spot)-k_B)*MIN(1,4/3))*1</f>
        <v>1.40640619155662</v>
      </c>
      <c r="J18" s="18" t="n">
        <f aca="false">(k_B+((ls_A*k_long+(1-ls_A)*k_spot)-k_B)*MIN(1,5/3))*1</f>
        <v>1.40640619155662</v>
      </c>
      <c r="K18" s="18" t="n">
        <f aca="false">(k_B+((ls_A*k_long+(1-ls_A)*k_spot)-k_B)*MIN(1,6/3))*1</f>
        <v>1.40640619155662</v>
      </c>
      <c r="L18" s="1" t="s">
        <v>735</v>
      </c>
    </row>
    <row r="19" customFormat="false" ht="17.15" hidden="false" customHeight="false" outlineLevel="0" collapsed="false">
      <c r="A19" s="1" t="s">
        <v>736</v>
      </c>
      <c r="B19" s="0" t="s">
        <v>291</v>
      </c>
      <c r="C19" s="18" t="n">
        <f aca="false">Thesis!C17*Thesis!C18*chip_f</f>
        <v>11.3973387156315</v>
      </c>
      <c r="D19" s="18" t="n">
        <f aca="false">Thesis!D17*Thesis!D18*chip_f</f>
        <v>11.3973387156315</v>
      </c>
      <c r="E19" s="18" t="n">
        <f aca="false">Thesis!E17*Thesis!E18*chip_f</f>
        <v>11.3973387156315</v>
      </c>
      <c r="F19" s="18" t="n">
        <f aca="false">Thesis!F17*Thesis!F18*chip_f</f>
        <v>13.0123225874029</v>
      </c>
      <c r="G19" s="18" t="n">
        <f aca="false">Thesis!G17*Thesis!G18*chip_f</f>
        <v>14.3973822777458</v>
      </c>
      <c r="H19" s="18" t="n">
        <f aca="false">Thesis!H17*Thesis!H18*chip_f</f>
        <v>15.6548505449659</v>
      </c>
      <c r="I19" s="18" t="n">
        <f aca="false">Thesis!I17*Thesis!I18*chip_f</f>
        <v>15.9103933447218</v>
      </c>
      <c r="J19" s="18" t="n">
        <f aca="false">Thesis!J17*Thesis!J18*chip_f</f>
        <v>16.0846308739825</v>
      </c>
      <c r="K19" s="18" t="n">
        <f aca="false">Thesis!K17*Thesis!K18*chip_f</f>
        <v>16.211040422887</v>
      </c>
      <c r="L19" s="1" t="s">
        <v>737</v>
      </c>
    </row>
    <row r="20" customFormat="false" ht="17.15" hidden="false" customHeight="false" outlineLevel="0" collapsed="false">
      <c r="A20" s="0" t="s">
        <v>738</v>
      </c>
      <c r="B20" s="0" t="s">
        <v>95</v>
      </c>
      <c r="D20" s="6" t="n">
        <f aca="false">(Thesis!C6+Thesis!D6)/2*Thesis!D19/1000</f>
        <v>12.9359794422418</v>
      </c>
      <c r="E20" s="6" t="n">
        <f aca="false">(Thesis!D6+Thesis!E6)/2*Thesis!E19/1000</f>
        <v>27.8095064661409</v>
      </c>
      <c r="F20" s="6" t="n">
        <f aca="false">(Thesis!E6+Thesis!F6)/2*Thesis!F19/1000</f>
        <v>58.7324192305018</v>
      </c>
      <c r="G20" s="6" t="n">
        <f aca="false">(Thesis!F6+Thesis!G6)/2*Thesis!G19/1000</f>
        <v>101.369089141153</v>
      </c>
      <c r="H20" s="6" t="n">
        <f aca="false">(Thesis!G6+Thesis!H6)/2*Thesis!H19/1000</f>
        <v>149.785610014234</v>
      </c>
      <c r="I20" s="6" t="n">
        <f aca="false">(Thesis!H6+Thesis!I6)/2*Thesis!I19/1000</f>
        <v>192.439389583079</v>
      </c>
      <c r="J20" s="6" t="n">
        <f aca="false">(Thesis!I6+Thesis!J6)/2*Thesis!J19/1000</f>
        <v>235.195906491722</v>
      </c>
      <c r="K20" s="6" t="n">
        <f aca="false">(Thesis!J6+Thesis!K6)/2*Thesis!K19/1000</f>
        <v>278.012858836343</v>
      </c>
      <c r="L20" s="11" t="s">
        <v>739</v>
      </c>
    </row>
    <row r="21" customFormat="false" ht="17.15" hidden="false" customHeight="false" outlineLevel="0" collapsed="false">
      <c r="A21" s="1" t="s">
        <v>740</v>
      </c>
      <c r="B21" s="0" t="s">
        <v>291</v>
      </c>
      <c r="C21" s="18" t="n">
        <f aca="false">(Thesis!C13*tk_opex_h100+Thesis!C14*tk_opex_gb200+Thesis!C15*tk_opex_gb300+Thesis!C16*tk_opex_vr200)/Thesis!C6</f>
        <v>1.88636041306092</v>
      </c>
      <c r="D21" s="18" t="n">
        <f aca="false">(Thesis!D13*tk_opex_h100+Thesis!D14*tk_opex_gb200+Thesis!D15*tk_opex_gb300+Thesis!D16*tk_opex_vr200)/Thesis!D6</f>
        <v>1.88636041306092</v>
      </c>
      <c r="E21" s="18" t="n">
        <f aca="false">(Thesis!E13*tk_opex_h100+Thesis!E14*tk_opex_gb200+Thesis!E15*tk_opex_gb300+Thesis!E16*tk_opex_vr200)/Thesis!E6</f>
        <v>1.88636041306092</v>
      </c>
      <c r="F21" s="18" t="n">
        <f aca="false">(Thesis!F13*tk_opex_h100+Thesis!F14*tk_opex_gb200+Thesis!F15*tk_opex_gb300+Thesis!F16*tk_opex_vr200)/Thesis!F6</f>
        <v>1.9430236476499</v>
      </c>
      <c r="G21" s="18" t="n">
        <f aca="false">(Thesis!G13*tk_opex_h100+Thesis!G14*tk_opex_gb200+Thesis!G15*tk_opex_gb300+Thesis!G16*tk_opex_vr200)/Thesis!G6</f>
        <v>1.9786941852423</v>
      </c>
      <c r="H21" s="18" t="n">
        <f aca="false">(Thesis!H13*tk_opex_h100+Thesis!H14*tk_opex_gb200+Thesis!H15*tk_opex_gb300+Thesis!H16*tk_opex_vr200)/Thesis!H6</f>
        <v>2.00289275976156</v>
      </c>
      <c r="I21" s="18" t="n">
        <f aca="false">(Thesis!I13*tk_opex_h100+Thesis!I14*tk_opex_gb200+Thesis!I15*tk_opex_gb300+Thesis!I16*tk_opex_vr200)/Thesis!I6</f>
        <v>2.01793562605478</v>
      </c>
      <c r="J21" s="18" t="n">
        <f aca="false">(Thesis!J13*tk_opex_h100+Thesis!J14*tk_opex_gb200+Thesis!J15*tk_opex_gb300+Thesis!J16*tk_opex_vr200)/Thesis!J6</f>
        <v>2.02819234961902</v>
      </c>
      <c r="K21" s="18" t="n">
        <f aca="false">(Thesis!K13*tk_opex_h100+Thesis!K14*tk_opex_gb200+Thesis!K15*tk_opex_gb300+Thesis!K16*tk_opex_vr200)/Thesis!K6</f>
        <v>2.0356336155994</v>
      </c>
    </row>
    <row r="22" customFormat="false" ht="17.15" hidden="false" customHeight="false" outlineLevel="0" collapsed="false">
      <c r="A22" s="0" t="s">
        <v>741</v>
      </c>
      <c r="B22" s="0" t="s">
        <v>95</v>
      </c>
      <c r="D22" s="6" t="n">
        <f aca="false">(Thesis!C9+Thesis!D9)/2*Thesis!D21/1000</f>
        <v>2.70378325872065</v>
      </c>
      <c r="E22" s="6" t="n">
        <f aca="false">(Thesis!D9+Thesis!E9)/2*Thesis!E21/1000</f>
        <v>6.17783035277451</v>
      </c>
      <c r="F22" s="6" t="n">
        <f aca="false">(Thesis!E9+Thesis!F9)/2*Thesis!F21/1000</f>
        <v>12.5020618235287</v>
      </c>
      <c r="G22" s="6" t="n">
        <f aca="false">(Thesis!F9+Thesis!G9)/2*Thesis!G21/1000</f>
        <v>20.7261620256847</v>
      </c>
      <c r="H22" s="6" t="n">
        <f aca="false">(Thesis!G9+Thesis!H9)/2*Thesis!H21/1000</f>
        <v>29.4158183316982</v>
      </c>
      <c r="I22" s="6" t="n">
        <f aca="false">(Thesis!H9+Thesis!I9)/2*Thesis!I21/1000</f>
        <v>38.1362927516005</v>
      </c>
      <c r="J22" s="6" t="n">
        <f aca="false">(Thesis!I9+Thesis!J9)/2*Thesis!J21/1000</f>
        <v>46.8728773279286</v>
      </c>
      <c r="K22" s="6" t="n">
        <f aca="false">(Thesis!J9+Thesis!K9)/2*Thesis!K21/1000</f>
        <v>55.618938734484</v>
      </c>
    </row>
    <row r="23" customFormat="false" ht="17.15" hidden="false" customHeight="false" outlineLevel="0" collapsed="false">
      <c r="A23" s="0" t="s">
        <v>742</v>
      </c>
      <c r="B23" s="0" t="s">
        <v>95</v>
      </c>
      <c r="D23" s="6" t="n">
        <f aca="false">(Thesis!C7+Thesis!D7)/2*rent_mw/1000</f>
        <v>2.44475</v>
      </c>
      <c r="E23" s="6" t="n">
        <f aca="false">(Thesis!D7+Thesis!E7)/2*rent_mw/1000</f>
        <v>4.22275</v>
      </c>
      <c r="F23" s="6" t="n">
        <f aca="false">(Thesis!E7+Thesis!F7)/2*rent_mw/1000</f>
        <v>5.80517</v>
      </c>
      <c r="G23" s="6" t="n">
        <f aca="false">(Thesis!F7+Thesis!G7)/2*rent_mw/1000</f>
        <v>6.72084</v>
      </c>
      <c r="H23" s="6" t="n">
        <f aca="false">(Thesis!G7+Thesis!H7)/2*rent_mw/1000</f>
        <v>6.72084</v>
      </c>
      <c r="I23" s="6" t="n">
        <f aca="false">(Thesis!H7+Thesis!I7)/2*rent_mw/1000</f>
        <v>6.72084</v>
      </c>
      <c r="J23" s="6" t="n">
        <f aca="false">(Thesis!I7+Thesis!J7)/2*rent_mw/1000</f>
        <v>6.72084</v>
      </c>
      <c r="K23" s="6" t="n">
        <f aca="false">(Thesis!J7+Thesis!K7)/2*rent_mw/1000</f>
        <v>6.72084</v>
      </c>
    </row>
    <row r="24" customFormat="false" ht="17.15" hidden="false" customHeight="false" outlineLevel="0" collapsed="false">
      <c r="A24" s="0" t="s">
        <v>743</v>
      </c>
      <c r="B24" s="0" t="s">
        <v>95</v>
      </c>
      <c r="D24" s="6" t="n">
        <f aca="false">(Thesis!C9+Thesis!D9)/2*(1-self_build)*fac_rent/1000</f>
        <v>0.853242375631075</v>
      </c>
      <c r="E24" s="6" t="n">
        <f aca="false">(Thesis!D9+Thesis!E9)/2*(1-self_build)*fac_rent/1000</f>
        <v>1.94955961408728</v>
      </c>
      <c r="F24" s="6" t="n">
        <f aca="false">(Thesis!E9+Thesis!F9)/2*(1-self_build)*fac_rent/1000</f>
        <v>3.83026455274573</v>
      </c>
      <c r="G24" s="6" t="n">
        <f aca="false">(Thesis!F9+Thesis!G9)/2*(1-self_build)*fac_rent/1000</f>
        <v>6.23541590972812</v>
      </c>
      <c r="H24" s="6" t="n">
        <f aca="false">(Thesis!G9+Thesis!H9)/2*(1-self_build)*fac_rent/1000</f>
        <v>8.74275792332679</v>
      </c>
      <c r="I24" s="6" t="n">
        <f aca="false">(Thesis!H9+Thesis!I9)/2*(1-self_build)*fac_rent/1000</f>
        <v>11.2500999369255</v>
      </c>
      <c r="J24" s="6" t="n">
        <f aca="false">(Thesis!I9+Thesis!J9)/2*(1-self_build)*fac_rent/1000</f>
        <v>13.7574419505241</v>
      </c>
      <c r="K24" s="6" t="n">
        <f aca="false">(Thesis!J9+Thesis!K9)/2*(1-self_build)*fac_rent/1000</f>
        <v>16.2647839641228</v>
      </c>
      <c r="L24" s="11" t="s">
        <v>744</v>
      </c>
    </row>
    <row r="25" customFormat="false" ht="17.15" hidden="false" customHeight="false" outlineLevel="0" collapsed="false">
      <c r="A25" s="1" t="s">
        <v>745</v>
      </c>
      <c r="B25" s="0" t="s">
        <v>126</v>
      </c>
      <c r="D25" s="7" t="n">
        <f aca="false">(Thesis!C8+Thesis!D8)/(Thesis!C9+Thesis!D9)</f>
        <v>0.6</v>
      </c>
      <c r="E25" s="7" t="n">
        <f aca="false">(Thesis!D8+Thesis!E8)/(Thesis!D9+Thesis!E9)</f>
        <v>0.6</v>
      </c>
      <c r="F25" s="7" t="n">
        <f aca="false">(Thesis!E8+Thesis!F8)/(Thesis!E9+Thesis!F9)</f>
        <v>0.6</v>
      </c>
      <c r="G25" s="7" t="n">
        <f aca="false">(Thesis!F8+Thesis!G8)/(Thesis!F9+Thesis!G9)</f>
        <v>0.6</v>
      </c>
      <c r="H25" s="7" t="n">
        <f aca="false">(Thesis!G8+Thesis!H8)/(Thesis!G9+Thesis!H9)</f>
        <v>0.6</v>
      </c>
      <c r="I25" s="7" t="n">
        <f aca="false">(Thesis!H8+Thesis!I8)/(Thesis!H9+Thesis!I9)</f>
        <v>0.6</v>
      </c>
      <c r="J25" s="7" t="n">
        <f aca="false">(Thesis!I8+Thesis!J8)/(Thesis!I9+Thesis!J9)</f>
        <v>0.6</v>
      </c>
      <c r="K25" s="7" t="n">
        <f aca="false">(Thesis!J8+Thesis!K8)/(Thesis!J9+Thesis!K9)</f>
        <v>0.6</v>
      </c>
    </row>
    <row r="26" customFormat="false" ht="17.15" hidden="false" customHeight="false" outlineLevel="0" collapsed="false">
      <c r="A26" s="0" t="s">
        <v>746</v>
      </c>
      <c r="B26" s="0" t="s">
        <v>95</v>
      </c>
      <c r="D26" s="6" t="n">
        <f aca="false">Thesis!D20-Thesis!D25*(Thesis!D22+Thesis!D24)-Thesis!D23</f>
        <v>8.35701406163072</v>
      </c>
      <c r="E26" s="6" t="n">
        <f aca="false">Thesis!E20-Thesis!E25*(Thesis!E22+Thesis!E24)-Thesis!E23</f>
        <v>18.7103224860238</v>
      </c>
      <c r="F26" s="6" t="n">
        <f aca="false">Thesis!F20-Thesis!F25*(Thesis!F22+Thesis!F24)-Thesis!F23</f>
        <v>43.1278534047371</v>
      </c>
      <c r="G26" s="6" t="n">
        <f aca="false">Thesis!G20-Thesis!G25*(Thesis!G22+Thesis!G24)-Thesis!G23</f>
        <v>78.4713023799053</v>
      </c>
      <c r="H26" s="6" t="n">
        <f aca="false">Thesis!H20-Thesis!H25*(Thesis!H22+Thesis!H24)-Thesis!H23</f>
        <v>120.169624261219</v>
      </c>
      <c r="I26" s="6" t="n">
        <f aca="false">Thesis!I20-Thesis!I25*(Thesis!I22+Thesis!I24)-Thesis!I23</f>
        <v>156.086713969963</v>
      </c>
      <c r="J26" s="6" t="n">
        <f aca="false">Thesis!J20-Thesis!J25*(Thesis!J22+Thesis!J24)-Thesis!J23</f>
        <v>192.09687492465</v>
      </c>
      <c r="K26" s="6" t="n">
        <f aca="false">Thesis!K20-Thesis!K25*(Thesis!K22+Thesis!K24)-Thesis!K23</f>
        <v>228.161785217179</v>
      </c>
    </row>
    <row r="27" customFormat="false" ht="17.15" hidden="false" customHeight="false" outlineLevel="0" collapsed="false">
      <c r="A27" s="1" t="s">
        <v>747</v>
      </c>
      <c r="B27" s="0" t="s">
        <v>95</v>
      </c>
      <c r="D27" s="6" t="n">
        <f aca="false">(1-Thesis!D25)*(Thesis!D22+Thesis!D24)</f>
        <v>1.42281025374069</v>
      </c>
      <c r="E27" s="6" t="n">
        <f aca="false">(1-Thesis!E25)*(Thesis!E22+Thesis!E24)</f>
        <v>3.25095598674472</v>
      </c>
      <c r="F27" s="6" t="n">
        <f aca="false">(1-Thesis!F25)*(Thesis!F22+Thesis!F24)</f>
        <v>6.53293055050977</v>
      </c>
      <c r="G27" s="6" t="n">
        <f aca="false">(1-Thesis!G25)*(Thesis!G22+Thesis!G24)</f>
        <v>10.7846311741651</v>
      </c>
      <c r="H27" s="6" t="n">
        <f aca="false">(1-Thesis!H25)*(Thesis!H22+Thesis!H24)</f>
        <v>15.26343050201</v>
      </c>
      <c r="I27" s="6" t="n">
        <f aca="false">(1-Thesis!I25)*(Thesis!I22+Thesis!I24)</f>
        <v>19.7545570754104</v>
      </c>
      <c r="J27" s="6" t="n">
        <f aca="false">(1-Thesis!J25)*(Thesis!J22+Thesis!J24)</f>
        <v>24.2521277113811</v>
      </c>
      <c r="K27" s="6" t="n">
        <f aca="false">(1-Thesis!K25)*(Thesis!K22+Thesis!K24)</f>
        <v>28.7534890794427</v>
      </c>
    </row>
    <row r="28" customFormat="false" ht="17.15" hidden="false" customHeight="false" outlineLevel="0" collapsed="false">
      <c r="A28" s="1" t="s">
        <v>748</v>
      </c>
      <c r="B28" s="0" t="s">
        <v>302</v>
      </c>
      <c r="C28" s="8" t="n">
        <f aca="false">cxit_open</f>
        <v>27.5918995</v>
      </c>
      <c r="D28" s="8" t="n">
        <f aca="false">cxit_open</f>
        <v>27.5918995</v>
      </c>
      <c r="E28" s="8" t="n">
        <f aca="false">cxit_open</f>
        <v>27.5918995</v>
      </c>
      <c r="F28" s="8" t="n">
        <f aca="false">(a_g3_27*tk_cxit_gb300+(1-a_g3_27)*tk_cxit_vr200)</f>
        <v>33.8419624</v>
      </c>
      <c r="G28" s="8" t="n">
        <f aca="false">(a_g3_28*tk_cxit_gb300+(1-a_g3_28)*tk_cxit_vr200)</f>
        <v>35.9816136</v>
      </c>
      <c r="H28" s="8" t="n">
        <f aca="false">(a_g3_29*tk_cxit_gb300+(1-a_g3_29)*tk_cxit_vr200)</f>
        <v>37.0514392</v>
      </c>
      <c r="I28" s="8" t="n">
        <f aca="false">(a_g3_29*tk_cxit_gb300+(1-a_g3_29)*tk_cxit_vr200)</f>
        <v>37.0514392</v>
      </c>
      <c r="J28" s="8" t="n">
        <f aca="false">(a_g3_29*tk_cxit_gb300+(1-a_g3_29)*tk_cxit_vr200)</f>
        <v>37.0514392</v>
      </c>
      <c r="K28" s="8" t="n">
        <f aca="false">(a_g3_29*tk_cxit_gb300+(1-a_g3_29)*tk_cxit_vr200)</f>
        <v>37.0514392</v>
      </c>
      <c r="L28" s="11" t="s">
        <v>749</v>
      </c>
    </row>
    <row r="29" customFormat="false" ht="17.15" hidden="false" customHeight="false" outlineLevel="0" collapsed="false">
      <c r="A29" s="0" t="s">
        <v>750</v>
      </c>
      <c r="B29" s="0" t="s">
        <v>340</v>
      </c>
      <c r="F29" s="27" t="n">
        <f aca="false">Thesis!C11*IF(3=life_it,1,0)+Thesis!D11*IF(2=life_it,1,0)+Thesis!E11*IF(1=life_it,1,0)</f>
        <v>0</v>
      </c>
      <c r="G29" s="27" t="n">
        <f aca="false">Thesis!C11*IF(4=life_it,1,0)+Thesis!D11*IF(3=life_it,1,0)+Thesis!E11*IF(2=life_it,1,0)+Thesis!F11*IF(1=life_it,1,0)</f>
        <v>0</v>
      </c>
      <c r="H29" s="27" t="n">
        <f aca="false">Thesis!C11*IF(5=life_it,1,0)+Thesis!D11*IF(4=life_it,1,0)+Thesis!E11*IF(3=life_it,1,0)+Thesis!F11*IF(2=life_it,1,0)+Thesis!G11*IF(1=life_it,1,0)</f>
        <v>0</v>
      </c>
      <c r="I29" s="27" t="n">
        <f aca="false">Thesis!C11*IF(6=life_it,1,0)+Thesis!D11*IF(5=life_it,1,0)+Thesis!E11*IF(4=life_it,1,0)+Thesis!F11*IF(3=life_it,1,0)+Thesis!G11*IF(2=life_it,1,0)+Thesis!H11*IF(1=life_it,1,0)</f>
        <v>816.666666666667</v>
      </c>
      <c r="J29" s="27" t="n">
        <f aca="false">Thesis!C11*IF(7=life_it,1,0)+Thesis!D11*IF(6=life_it,1,0)+Thesis!E11*IF(5=life_it,1,0)+Thesis!F11*IF(4=life_it,1,0)+Thesis!G11*IF(3=life_it,1,0)+Thesis!H11*IF(2=life_it,1,0)+Thesis!I11*IF(1=life_it,1,0)</f>
        <v>1233.33333333333</v>
      </c>
      <c r="K29" s="27" t="n">
        <f aca="false">Thesis!C11*IF(8=life_it,1,0)+Thesis!D11*IF(7=life_it,1,0)+Thesis!E11*IF(6=life_it,1,0)+Thesis!F11*IF(5=life_it,1,0)+Thesis!G11*IF(4=life_it,1,0)+Thesis!H11*IF(3=life_it,1,0)+Thesis!I11*IF(2=life_it,1,0)+Thesis!J11*IF(1=life_it,1,0)</f>
        <v>2450</v>
      </c>
      <c r="L29" s="1" t="s">
        <v>751</v>
      </c>
    </row>
    <row r="30" customFormat="false" ht="17.15" hidden="false" customHeight="false" outlineLevel="0" collapsed="false">
      <c r="A30" s="0" t="s">
        <v>752</v>
      </c>
      <c r="B30" s="0" t="s">
        <v>95</v>
      </c>
      <c r="C30" s="6" t="n">
        <f aca="false">Thesis!C11*Thesis!C28/1000</f>
        <v>22.5333845916667</v>
      </c>
      <c r="D30" s="6" t="n">
        <f aca="false">Thesis!D11*Thesis!D28/1000</f>
        <v>34.0300093833333</v>
      </c>
      <c r="E30" s="6" t="n">
        <f aca="false">Thesis!E11*Thesis!E28/1000</f>
        <v>67.600153775</v>
      </c>
      <c r="F30" s="6" t="n">
        <f aca="false">(Thesis!F11+Thesis!F29)*Thesis!F28/1000</f>
        <v>130.923271871467</v>
      </c>
      <c r="G30" s="6" t="n">
        <f aca="false">(Thesis!G11+Thesis!G29)*Thesis!G28/1000</f>
        <v>151.5545564832</v>
      </c>
      <c r="H30" s="6" t="n">
        <f aca="false">(Thesis!H11+Thesis!H29)*Thesis!H28/1000</f>
        <v>156.0606619104</v>
      </c>
      <c r="I30" s="6" t="n">
        <f aca="false">(Thesis!I11+Thesis!I29)*Thesis!I28/1000</f>
        <v>186.319337257067</v>
      </c>
      <c r="J30" s="6" t="n">
        <f aca="false">(Thesis!J11+Thesis!J29)*Thesis!J28/1000</f>
        <v>201.757436923733</v>
      </c>
      <c r="K30" s="6" t="n">
        <f aca="false">(Thesis!K11+Thesis!K29)*Thesis!K28/1000</f>
        <v>246.8366879504</v>
      </c>
    </row>
    <row r="31" customFormat="false" ht="17.15" hidden="false" customHeight="false" outlineLevel="0" collapsed="false">
      <c r="A31" s="0" t="s">
        <v>753</v>
      </c>
      <c r="B31" s="0" t="s">
        <v>95</v>
      </c>
      <c r="C31" s="6" t="n">
        <f aca="false">Thesis!C11*self_build*tk_cxfac/1000</f>
        <v>6.2083</v>
      </c>
      <c r="D31" s="6" t="n">
        <f aca="false">Thesis!D11*self_build*tk_cxfac/1000</f>
        <v>9.3758</v>
      </c>
      <c r="E31" s="6" t="n">
        <f aca="false">Thesis!E11*self_build*tk_cxfac/1000</f>
        <v>18.6249</v>
      </c>
      <c r="F31" s="6" t="n">
        <f aca="false">Thesis!F11*self_build*tk_cxfac/1000</f>
        <v>29.409604</v>
      </c>
      <c r="G31" s="6" t="n">
        <f aca="false">Thesis!G11*self_build*tk_cxfac/1000</f>
        <v>32.019624</v>
      </c>
      <c r="H31" s="6" t="n">
        <f aca="false">Thesis!H11*self_build*tk_cxfac/1000</f>
        <v>32.019624</v>
      </c>
      <c r="I31" s="6" t="n">
        <f aca="false">Thesis!I11*self_build*tk_cxfac/1000</f>
        <v>32.019624</v>
      </c>
      <c r="J31" s="6" t="n">
        <f aca="false">Thesis!J11*self_build*tk_cxfac/1000</f>
        <v>32.019624</v>
      </c>
      <c r="K31" s="6" t="n">
        <f aca="false">Thesis!K11*self_build*tk_cxfac/1000</f>
        <v>32.019624</v>
      </c>
    </row>
    <row r="32" customFormat="false" ht="17.15" hidden="false" customHeight="false" outlineLevel="0" collapsed="false">
      <c r="A32" s="0" t="s">
        <v>754</v>
      </c>
      <c r="B32" s="0" t="s">
        <v>95</v>
      </c>
      <c r="F32" s="6" t="n">
        <f aca="false">MAX(0,capex_floor27-Thesis!F30-Thesis!F31-CF!F23)</f>
        <v>8.13777689897088</v>
      </c>
      <c r="G32" s="6" t="n">
        <f aca="false">0</f>
        <v>0</v>
      </c>
      <c r="H32" s="6" t="n">
        <f aca="false">0</f>
        <v>0</v>
      </c>
      <c r="I32" s="6" t="n">
        <f aca="false">0</f>
        <v>0</v>
      </c>
      <c r="J32" s="6" t="n">
        <f aca="false">0</f>
        <v>0</v>
      </c>
      <c r="K32" s="6" t="n">
        <f aca="false">0</f>
        <v>0</v>
      </c>
      <c r="L32" s="1" t="s">
        <v>755</v>
      </c>
    </row>
    <row r="33" customFormat="false" ht="17.15" hidden="false" customHeight="false" outlineLevel="0" collapsed="false">
      <c r="A33" s="0" t="s">
        <v>756</v>
      </c>
      <c r="B33" s="0" t="s">
        <v>95</v>
      </c>
      <c r="C33" s="6" t="n">
        <f aca="false">Thesis!C30</f>
        <v>22.5333845916667</v>
      </c>
      <c r="D33" s="6" t="n">
        <f aca="false">Thesis!D30</f>
        <v>34.0300093833333</v>
      </c>
      <c r="E33" s="6" t="n">
        <f aca="false">Thesis!E30</f>
        <v>67.600153775</v>
      </c>
      <c r="F33" s="6" t="n">
        <f aca="false">Thesis!F30+Thesis!F32</f>
        <v>139.061048770438</v>
      </c>
      <c r="G33" s="6" t="n">
        <f aca="false">Thesis!G30+Thesis!G32</f>
        <v>151.5545564832</v>
      </c>
      <c r="H33" s="6" t="n">
        <f aca="false">Thesis!H30+Thesis!H32</f>
        <v>156.0606619104</v>
      </c>
      <c r="I33" s="6" t="n">
        <f aca="false">Thesis!I30+Thesis!I32</f>
        <v>186.319337257067</v>
      </c>
      <c r="J33" s="6" t="n">
        <f aca="false">Thesis!J30+Thesis!J32</f>
        <v>201.757436923733</v>
      </c>
      <c r="K33" s="6" t="n">
        <f aca="false">Thesis!K30+Thesis!K32</f>
        <v>246.8366879504</v>
      </c>
    </row>
    <row r="34" customFormat="false" ht="17.15" hidden="false" customHeight="false" outlineLevel="0" collapsed="false">
      <c r="A34" s="0" t="s">
        <v>757</v>
      </c>
      <c r="B34" s="0" t="s">
        <v>95</v>
      </c>
      <c r="C34" s="6" t="n">
        <f aca="false">Thesis!C33+Thesis!C31</f>
        <v>28.7416845916667</v>
      </c>
      <c r="D34" s="6" t="n">
        <f aca="false">Thesis!D33+Thesis!D31</f>
        <v>43.4058093833333</v>
      </c>
      <c r="E34" s="6" t="n">
        <f aca="false">Thesis!E33+Thesis!E31</f>
        <v>86.225053775</v>
      </c>
      <c r="F34" s="6" t="n">
        <f aca="false">Thesis!F33+Thesis!F31</f>
        <v>168.470652770438</v>
      </c>
      <c r="G34" s="6" t="n">
        <f aca="false">Thesis!G33+Thesis!G31</f>
        <v>183.5741804832</v>
      </c>
      <c r="H34" s="6" t="n">
        <f aca="false">Thesis!H33+Thesis!H31</f>
        <v>188.0802859104</v>
      </c>
      <c r="I34" s="6" t="n">
        <f aca="false">Thesis!I33+Thesis!I31</f>
        <v>218.338961257067</v>
      </c>
      <c r="J34" s="6" t="n">
        <f aca="false">Thesis!J33+Thesis!J31</f>
        <v>233.777060923733</v>
      </c>
      <c r="K34" s="6" t="n">
        <f aca="false">Thesis!K33+Thesis!K31</f>
        <v>278.8563119504</v>
      </c>
      <c r="L34" s="11" t="s">
        <v>758</v>
      </c>
    </row>
    <row r="35" customFormat="false" ht="17.15" hidden="false" customHeight="false" outlineLevel="0" collapsed="false">
      <c r="A35" s="0" t="s">
        <v>759</v>
      </c>
      <c r="B35" s="0" t="s">
        <v>95</v>
      </c>
      <c r="E35" s="6" t="n">
        <f aca="false">(Thesis!C33*IF(2&lt;life_it,1,IF(2=life_it,0.5,0))+Thesis!D33*IF(1&lt;life_it,1,IF(1=life_it,0.5,0))+Thesis!E33*0.5)/life_it</f>
        <v>15.0605784770833</v>
      </c>
      <c r="F35" s="6" t="n">
        <f aca="false">(Thesis!C33*IF(3&lt;life_it,1,IF(3=life_it,0.5,0))+Thesis!D33*IF(2&lt;life_it,1,IF(2=life_it,0.5,0))+Thesis!E33*IF(1&lt;life_it,1,IF(1=life_it,0.5,0))+Thesis!F33*0.5)/life_it</f>
        <v>32.2823453558698</v>
      </c>
      <c r="G35" s="6" t="n">
        <f aca="false">(Thesis!C33*IF(4&lt;life_it,1,IF(4=life_it,0.5,0))+Thesis!D33*IF(3&lt;life_it,1,IF(3=life_it,0.5,0))+Thesis!E33*IF(2&lt;life_it,1,IF(2=life_it,0.5,0))+Thesis!F33*IF(1&lt;life_it,1,IF(1=life_it,0.5,0))+Thesis!G33*0.5)/life_it</f>
        <v>56.5003124603396</v>
      </c>
      <c r="H35" s="6" t="n">
        <f aca="false">(Thesis!C33*IF(5&lt;life_it,1,IF(5=life_it,0.5,0))+Thesis!D33*IF(4&lt;life_it,1,IF(4=life_it,0.5,0))+Thesis!E33*IF(3&lt;life_it,1,IF(3=life_it,0.5,0))+Thesis!F33*IF(2&lt;life_it,1,IF(2=life_it,0.5,0))+Thesis!G33*IF(1&lt;life_it,1,IF(1=life_it,0.5,0))+Thesis!H33*0.5)/life_it</f>
        <v>82.1349139931396</v>
      </c>
      <c r="I35" s="6" t="n">
        <f aca="false">(Thesis!C33*IF(6&lt;life_it,1,IF(6=life_it,0.5,0))+Thesis!D33*IF(5&lt;life_it,1,IF(5=life_it,0.5,0))+Thesis!E33*IF(4&lt;life_it,1,IF(4=life_it,0.5,0))+Thesis!F33*IF(3&lt;life_it,1,IF(3=life_it,0.5,0))+Thesis!G33*IF(2&lt;life_it,1,IF(2=life_it,0.5,0))+Thesis!H33*IF(1&lt;life_it,1,IF(1=life_it,0.5,0))+Thesis!I33*0.5)/life_it</f>
        <v>108.788798541123</v>
      </c>
      <c r="J35" s="6" t="n">
        <f aca="false">(Thesis!C33*IF(7&lt;life_it,1,IF(7=life_it,0.5,0))+Thesis!D33*IF(6&lt;life_it,1,IF(6=life_it,0.5,0))+Thesis!E33*IF(5&lt;life_it,1,IF(5=life_it,0.5,0))+Thesis!F33*IF(4&lt;life_it,1,IF(4=life_it,0.5,0))+Thesis!G33*IF(3&lt;life_it,1,IF(3=life_it,0.5,0))+Thesis!H33*IF(2&lt;life_it,1,IF(2=life_it,0.5,0))+Thesis!I33*IF(1&lt;life_it,1,IF(1=life_it,0.5,0))+Thesis!J33*0.5)/life_it</f>
        <v>136.414913558273</v>
      </c>
      <c r="K35" s="6" t="n">
        <f aca="false">(Thesis!C33*IF(8&lt;life_it,1,IF(8=life_it,0.5,0))+Thesis!D33*IF(7&lt;life_it,1,IF(7=life_it,0.5,0))+Thesis!E33*IF(6&lt;life_it,1,IF(6=life_it,0.5,0))+Thesis!F33*IF(5&lt;life_it,1,IF(5=life_it,0.5,0))+Thesis!G33*IF(4&lt;life_it,1,IF(4=life_it,0.5,0))+Thesis!H33*IF(3&lt;life_it,1,IF(3=life_it,0.5,0))+Thesis!I33*IF(2&lt;life_it,1,IF(2=life_it,0.5,0))+Thesis!J33*IF(1&lt;life_it,1,IF(1=life_it,0.5,0))+Thesis!K33*0.5)/life_it</f>
        <v>165.32857703459</v>
      </c>
    </row>
    <row r="36" customFormat="false" ht="17.15" hidden="false" customHeight="false" outlineLevel="0" collapsed="false">
      <c r="A36" s="0" t="s">
        <v>760</v>
      </c>
      <c r="B36" s="0" t="s">
        <v>95</v>
      </c>
      <c r="E36" s="6" t="n">
        <f aca="false">(Thesis!C31*IF(2&lt;life_fac,1,IF(2=life_fac,0.5,0))+Thesis!D31*IF(1&lt;life_fac,1,IF(1=life_fac,0.5,0))+Thesis!E31*0.5)/life_fac</f>
        <v>1.2448275</v>
      </c>
      <c r="F36" s="6" t="n">
        <f aca="false">(Thesis!C31*IF(3&lt;life_fac,1,IF(3=life_fac,0.5,0))+Thesis!D31*IF(2&lt;life_fac,1,IF(2=life_fac,0.5,0))+Thesis!E31*IF(1&lt;life_fac,1,IF(1=life_fac,0.5,0))+Thesis!F31*0.5)/life_fac</f>
        <v>2.4456901</v>
      </c>
      <c r="G36" s="6" t="n">
        <f aca="false">(Thesis!C31*IF(4&lt;life_fac,1,IF(4=life_fac,0.5,0))+Thesis!D31*IF(3&lt;life_fac,1,IF(3=life_fac,0.5,0))+Thesis!E31*IF(2&lt;life_fac,1,IF(2=life_fac,0.5,0))+Thesis!F31*IF(1&lt;life_fac,1,IF(1=life_fac,0.5,0))+Thesis!G31*0.5)/life_fac</f>
        <v>3.9814208</v>
      </c>
      <c r="H36" s="6" t="n">
        <f aca="false">(Thesis!C31*IF(5&lt;life_fac,1,IF(5=life_fac,0.5,0))+Thesis!D31*IF(4&lt;life_fac,1,IF(4=life_fac,0.5,0))+Thesis!E31*IF(3&lt;life_fac,1,IF(3=life_fac,0.5,0))+Thesis!F31*IF(2&lt;life_fac,1,IF(2=life_fac,0.5,0))+Thesis!G31*IF(1&lt;life_fac,1,IF(1=life_fac,0.5,0))+Thesis!H31*0.5)/life_fac</f>
        <v>5.582402</v>
      </c>
      <c r="I36" s="6" t="n">
        <f aca="false">(Thesis!C31*IF(6&lt;life_fac,1,IF(6=life_fac,0.5,0))+Thesis!D31*IF(5&lt;life_fac,1,IF(5=life_fac,0.5,0))+Thesis!E31*IF(4&lt;life_fac,1,IF(4=life_fac,0.5,0))+Thesis!F31*IF(3&lt;life_fac,1,IF(3=life_fac,0.5,0))+Thesis!G31*IF(2&lt;life_fac,1,IF(2=life_fac,0.5,0))+Thesis!H31*IF(1&lt;life_fac,1,IF(1=life_fac,0.5,0))+Thesis!I31*0.5)/life_fac</f>
        <v>7.1833832</v>
      </c>
      <c r="J36" s="6" t="n">
        <f aca="false">(Thesis!C31*IF(7&lt;life_fac,1,IF(7=life_fac,0.5,0))+Thesis!D31*IF(6&lt;life_fac,1,IF(6=life_fac,0.5,0))+Thesis!E31*IF(5&lt;life_fac,1,IF(5=life_fac,0.5,0))+Thesis!F31*IF(4&lt;life_fac,1,IF(4=life_fac,0.5,0))+Thesis!G31*IF(3&lt;life_fac,1,IF(3=life_fac,0.5,0))+Thesis!H31*IF(2&lt;life_fac,1,IF(2=life_fac,0.5,0))+Thesis!I31*IF(1&lt;life_fac,1,IF(1=life_fac,0.5,0))+Thesis!J31*0.5)/life_fac</f>
        <v>8.7843644</v>
      </c>
      <c r="K36" s="6" t="n">
        <f aca="false">(Thesis!C31*IF(8&lt;life_fac,1,IF(8=life_fac,0.5,0))+Thesis!D31*IF(7&lt;life_fac,1,IF(7=life_fac,0.5,0))+Thesis!E31*IF(6&lt;life_fac,1,IF(6=life_fac,0.5,0))+Thesis!F31*IF(5&lt;life_fac,1,IF(5=life_fac,0.5,0))+Thesis!G31*IF(4&lt;life_fac,1,IF(4=life_fac,0.5,0))+Thesis!H31*IF(3&lt;life_fac,1,IF(3=life_fac,0.5,0))+Thesis!I31*IF(2&lt;life_fac,1,IF(2=life_fac,0.5,0))+Thesis!J31*IF(1&lt;life_fac,1,IF(1=life_fac,0.5,0))+Thesis!K31*0.5)/life_fac</f>
        <v>10.3853456</v>
      </c>
    </row>
    <row r="37" customFormat="false" ht="17.15" hidden="false" customHeight="false" outlineLevel="0" collapsed="false">
      <c r="A37" s="0" t="s">
        <v>761</v>
      </c>
      <c r="B37" s="0" t="s">
        <v>95</v>
      </c>
      <c r="E37" s="6" t="n">
        <f aca="false">Thesis!E35+Thesis!E36</f>
        <v>16.3054059770833</v>
      </c>
      <c r="F37" s="6" t="n">
        <f aca="false">Thesis!F35+Thesis!F36</f>
        <v>34.7280354558698</v>
      </c>
      <c r="G37" s="6" t="n">
        <f aca="false">Thesis!G35+Thesis!G36</f>
        <v>60.4817332603396</v>
      </c>
      <c r="H37" s="6" t="n">
        <f aca="false">Thesis!H35+Thesis!H36</f>
        <v>87.7173159931396</v>
      </c>
      <c r="I37" s="6" t="n">
        <f aca="false">Thesis!I35+Thesis!I36</f>
        <v>115.972181741123</v>
      </c>
      <c r="J37" s="6" t="n">
        <f aca="false">Thesis!J35+Thesis!J36</f>
        <v>145.199277958273</v>
      </c>
      <c r="K37" s="6" t="n">
        <f aca="false">Thesis!K35+Thesis!K36</f>
        <v>175.71392263459</v>
      </c>
    </row>
    <row r="38" customFormat="false" ht="17.15" hidden="false" customHeight="false" outlineLevel="0" collapsed="false">
      <c r="A38" s="0" t="s">
        <v>762</v>
      </c>
      <c r="B38" s="0" t="s">
        <v>95</v>
      </c>
      <c r="E38" s="6" t="n">
        <f aca="false">Thesis!E26-Thesis!E25*Thesis!E37</f>
        <v>8.92707889977379</v>
      </c>
      <c r="F38" s="6" t="n">
        <f aca="false">Thesis!F26-Thesis!F25*Thesis!F37</f>
        <v>22.2910321312152</v>
      </c>
      <c r="G38" s="6" t="n">
        <f aca="false">Thesis!G26-Thesis!G25*Thesis!G37</f>
        <v>42.1822624237015</v>
      </c>
      <c r="H38" s="6" t="n">
        <f aca="false">Thesis!H26-Thesis!H25*Thesis!H37</f>
        <v>67.5392346653351</v>
      </c>
      <c r="I38" s="6" t="n">
        <f aca="false">Thesis!I26-Thesis!I25*Thesis!I37</f>
        <v>86.5034049252897</v>
      </c>
      <c r="J38" s="6" t="n">
        <f aca="false">Thesis!J26-Thesis!J25*Thesis!J37</f>
        <v>104.977308149687</v>
      </c>
      <c r="K38" s="6" t="n">
        <f aca="false">Thesis!K26-Thesis!K25*Thesis!K37</f>
        <v>122.733431636425</v>
      </c>
    </row>
    <row r="39" customFormat="false" ht="17.15" hidden="false" customHeight="false" outlineLevel="0" collapsed="false">
      <c r="A39" s="0" t="s">
        <v>763</v>
      </c>
      <c r="B39" s="0" t="s">
        <v>95</v>
      </c>
      <c r="E39" s="6" t="n">
        <f aca="false">Seg!E11</f>
        <v>5.25</v>
      </c>
      <c r="F39" s="6" t="n">
        <f aca="false">Seg!F11</f>
        <v>13.5</v>
      </c>
      <c r="G39" s="6" t="n">
        <f aca="false">Seg!G11</f>
        <v>22.5</v>
      </c>
      <c r="H39" s="6" t="n">
        <f aca="false">Seg!H11</f>
        <v>31.5</v>
      </c>
      <c r="I39" s="6" t="n">
        <f aca="false">Seg!I11</f>
        <v>38.25</v>
      </c>
      <c r="J39" s="6" t="n">
        <f aca="false">Seg!J11</f>
        <v>42.75</v>
      </c>
      <c r="K39" s="6" t="n">
        <f aca="false">Seg!K11</f>
        <v>47.25</v>
      </c>
    </row>
    <row r="40" customFormat="false" ht="17.15" hidden="false" customHeight="false" outlineLevel="0" collapsed="false">
      <c r="A40" s="0" t="s">
        <v>764</v>
      </c>
      <c r="B40" s="0" t="s">
        <v>95</v>
      </c>
      <c r="E40" s="6" t="n">
        <f aca="false">Thesis!E26+Thesis!E39*PL!E31-Thesis!E27-Thesis!E37</f>
        <v>2.1514866143068</v>
      </c>
      <c r="F40" s="6" t="n">
        <f aca="false">Thesis!F26+Thesis!F39*PL!F31-Thesis!F27-Thesis!F37</f>
        <v>9.57481163521454</v>
      </c>
      <c r="G40" s="6" t="n">
        <f aca="false">Thesis!G26+Thesis!G39*PL!G31-Thesis!G27-Thesis!G37</f>
        <v>20.0514783401622</v>
      </c>
      <c r="H40" s="6" t="n">
        <f aca="false">Thesis!H26+Thesis!H39*PL!H31-Thesis!H27-Thesis!H37</f>
        <v>35.1740343187356</v>
      </c>
      <c r="I40" s="6" t="n">
        <f aca="false">Thesis!I26+Thesis!I39*PL!I31-Thesis!I27-Thesis!I37</f>
        <v>42.199093824525</v>
      </c>
      <c r="J40" s="6" t="n">
        <f aca="false">Thesis!J26+Thesis!J39*PL!J31-Thesis!J27-Thesis!J37</f>
        <v>47.0538960050436</v>
      </c>
      <c r="K40" s="6" t="n">
        <f aca="false">Thesis!K26+Thesis!K39*PL!K31-Thesis!K27-Thesis!K37</f>
        <v>50.6721083321463</v>
      </c>
    </row>
    <row r="41" customFormat="false" ht="17.15" hidden="false" customHeight="false" outlineLevel="0" collapsed="false">
      <c r="A41" s="0" t="s">
        <v>765</v>
      </c>
      <c r="B41" s="0" t="s">
        <v>95</v>
      </c>
      <c r="E41" s="6" t="n">
        <f aca="false">Thesis!E9*(cxit_open+self_build*tk_cxfac)/1000*ai_net_open</f>
        <v>126.6980382</v>
      </c>
      <c r="F41" s="6" t="n">
        <f aca="false">Thesis!E41+Thesis!F34-Thesis!F37</f>
        <v>260.440655514568</v>
      </c>
      <c r="G41" s="6" t="n">
        <f aca="false">Thesis!F41+Thesis!G34-Thesis!G37</f>
        <v>383.533102737428</v>
      </c>
      <c r="H41" s="6" t="n">
        <f aca="false">Thesis!G41+Thesis!H34-Thesis!H37</f>
        <v>483.896072654688</v>
      </c>
      <c r="I41" s="6" t="n">
        <f aca="false">Thesis!H41+Thesis!I34-Thesis!I37</f>
        <v>586.262852170632</v>
      </c>
      <c r="J41" s="6" t="n">
        <f aca="false">Thesis!I41+Thesis!J34-Thesis!J37</f>
        <v>674.840635136093</v>
      </c>
      <c r="K41" s="6" t="n">
        <f aca="false">Thesis!J41+Thesis!K34-Thesis!K37</f>
        <v>777.983024451903</v>
      </c>
      <c r="L41" s="1" t="s">
        <v>766</v>
      </c>
    </row>
    <row r="42" customFormat="false" ht="17.15" hidden="false" customHeight="false" outlineLevel="0" collapsed="false">
      <c r="A42" s="0" t="s">
        <v>767</v>
      </c>
      <c r="B42" s="0" t="s">
        <v>126</v>
      </c>
      <c r="F42" s="7" t="n">
        <f aca="false">Thesis!F40*(1-tax_f)/((Thesis!E41+Thesis!F41)/2)</f>
        <v>0.0395716028004121</v>
      </c>
      <c r="G42" s="7" t="n">
        <f aca="false">Thesis!G40*(1-tax_f)/((Thesis!F41+Thesis!G41)/2)</f>
        <v>0.0498193675334597</v>
      </c>
      <c r="H42" s="7" t="n">
        <f aca="false">Thesis!H40*(1-tax_f)/((Thesis!G41+Thesis!H41)/2)</f>
        <v>0.0648795965209917</v>
      </c>
      <c r="I42" s="7" t="n">
        <f aca="false">Thesis!I40*(1-tax_f)/((Thesis!H41+Thesis!I41)/2)</f>
        <v>0.0630920777773833</v>
      </c>
      <c r="J42" s="7" t="n">
        <f aca="false">Thesis!J40*(1-tax_f)/((Thesis!I41+Thesis!J41)/2)</f>
        <v>0.0596986959165855</v>
      </c>
      <c r="K42" s="7" t="n">
        <f aca="false">Thesis!K40*(1-tax_f)/((Thesis!J41+Thesis!K41)/2)</f>
        <v>0.0558053778904084</v>
      </c>
    </row>
    <row r="43" customFormat="false" ht="17.15" hidden="false" customHeight="false" outlineLevel="0" collapsed="false">
      <c r="A43" s="1" t="s">
        <v>768</v>
      </c>
      <c r="B43" s="0" t="s">
        <v>126</v>
      </c>
      <c r="F43" s="7" t="n">
        <f aca="false">Thesis!F38*(1-tax_f)/(Thesis!F25*(Thesis!E41+Thesis!F41)/2)</f>
        <v>0.153543815988938</v>
      </c>
      <c r="G43" s="7" t="n">
        <f aca="false">Thesis!G38*(1-tax_f)/(Thesis!G25*(Thesis!F41+Thesis!G41)/2)</f>
        <v>0.17467487096866</v>
      </c>
      <c r="H43" s="7" t="n">
        <f aca="false">Thesis!H38*(1-tax_f)/(Thesis!H25*(Thesis!G41+Thesis!H41)/2)</f>
        <v>0.207630352867497</v>
      </c>
      <c r="I43" s="7" t="n">
        <f aca="false">Thesis!I38*(1-tax_f)/(Thesis!I25*(Thesis!H41+Thesis!I41)/2)</f>
        <v>0.21555279418437</v>
      </c>
      <c r="J43" s="7" t="n">
        <f aca="false">Thesis!J38*(1-tax_f)/(Thesis!J25*(Thesis!I41+Thesis!J41)/2)</f>
        <v>0.221979790886961</v>
      </c>
      <c r="K43" s="7" t="n">
        <f aca="false">Thesis!K38*(1-tax_f)/(Thesis!K25*(Thesis!J41+Thesis!K41)/2)</f>
        <v>0.225277960522259</v>
      </c>
    </row>
    <row r="44" customFormat="false" ht="17.15" hidden="false" customHeight="false" outlineLevel="0" collapsed="false">
      <c r="A44" s="0" t="s">
        <v>769</v>
      </c>
      <c r="B44" s="0" t="s">
        <v>208</v>
      </c>
      <c r="F44" s="7" t="n">
        <f aca="false">Thesis!F42-wacc</f>
        <v>-0.0693916183498419</v>
      </c>
      <c r="G44" s="7" t="n">
        <f aca="false">Thesis!G42-wacc</f>
        <v>-0.0591438536167942</v>
      </c>
      <c r="H44" s="7" t="n">
        <f aca="false">Thesis!H42-wacc</f>
        <v>-0.0440836246292623</v>
      </c>
      <c r="I44" s="7" t="n">
        <f aca="false">Thesis!I42-wacc</f>
        <v>-0.0458711433728706</v>
      </c>
      <c r="J44" s="7" t="n">
        <f aca="false">Thesis!J42-wacc</f>
        <v>-0.0492645252336685</v>
      </c>
      <c r="K44" s="7" t="n">
        <f aca="false">Thesis!K42-wacc</f>
        <v>-0.0531578432598456</v>
      </c>
    </row>
    <row r="45" customFormat="false" ht="17.15" hidden="false" customHeight="false" outlineLevel="0" collapsed="false">
      <c r="A45" s="0" t="s">
        <v>770</v>
      </c>
      <c r="B45" s="0" t="s">
        <v>95</v>
      </c>
      <c r="F45" s="6" t="n">
        <f aca="false">Thesis!F40*(1-tax_f)-wacc*(Thesis!E41+Thesis!F41)/2</f>
        <v>-13.4320902413488</v>
      </c>
      <c r="G45" s="6" t="n">
        <f aca="false">Thesis!G40*(1-tax_f)-wacc*(Thesis!F41+Thesis!G41)/2</f>
        <v>-19.0435448455564</v>
      </c>
      <c r="H45" s="6" t="n">
        <f aca="false">Thesis!H40*(1-tax_f)-wacc*(Thesis!G41+Thesis!H41)/2</f>
        <v>-19.1197110802283</v>
      </c>
      <c r="I45" s="6" t="n">
        <f aca="false">Thesis!I40*(1-tax_f)-wacc*(Thesis!H41+Thesis!I41)/2</f>
        <v>-24.5447067362097</v>
      </c>
      <c r="J45" s="6" t="n">
        <f aca="false">Thesis!J40*(1-tax_f)-wacc*(Thesis!I41+Thesis!J41)/2</f>
        <v>-31.0638322863447</v>
      </c>
      <c r="K45" s="6" t="n">
        <f aca="false">Thesis!K40*(1-tax_f)-wacc*(Thesis!J41+Thesis!K41)/2</f>
        <v>-38.614486190287</v>
      </c>
    </row>
    <row r="46" customFormat="false" ht="17.15" hidden="false" customHeight="false" outlineLevel="0" collapsed="false">
      <c r="A46" s="1" t="s">
        <v>771</v>
      </c>
      <c r="B46" s="0" t="s">
        <v>95</v>
      </c>
      <c r="F46" s="6" t="n">
        <f aca="false">(Thesis!E10+Thesis!F10)/2*Thesis!F17/1000</f>
        <v>26.7873066765967</v>
      </c>
      <c r="G46" s="6" t="n">
        <f aca="false">(Thesis!F10+Thesis!G10)/2*Thesis!G17/1000</f>
        <v>45.4131817597218</v>
      </c>
      <c r="H46" s="6" t="n">
        <f aca="false">(Thesis!G10+Thesis!H10)/2*Thesis!H17/1000</f>
        <v>65.3915129357971</v>
      </c>
      <c r="I46" s="6" t="n">
        <f aca="false">(Thesis!H10+Thesis!I10)/2*Thesis!I17/1000</f>
        <v>85.5187419289299</v>
      </c>
      <c r="J46" s="6" t="n">
        <f aca="false">(Thesis!I10+Thesis!J10)/2*Thesis!J17/1000</f>
        <v>105.723807195006</v>
      </c>
      <c r="K46" s="6" t="n">
        <f aca="false">(Thesis!J10+Thesis!K10)/2*Thesis!K17/1000</f>
        <v>125.974659797015</v>
      </c>
      <c r="L46" s="1" t="s">
        <v>772</v>
      </c>
    </row>
    <row r="47" customFormat="false" ht="17.15" hidden="false" customHeight="false" outlineLevel="0" collapsed="false">
      <c r="A47" s="1" t="s">
        <v>773</v>
      </c>
      <c r="B47" s="0" t="s">
        <v>126</v>
      </c>
      <c r="F47" s="7" t="n">
        <f aca="false">(Thesis!F26+Thesis!F46-Thesis!F27-Thesis!F37)*(1-tax_f)/((Thesis!E41+Thesis!F41)/2)</f>
        <v>0.118424511071293</v>
      </c>
      <c r="G47" s="7" t="n">
        <f aca="false">(Thesis!G26+Thesis!G46-Thesis!G27-Thesis!G37)*(1-tax_f)/((Thesis!F41+Thesis!G41)/2)</f>
        <v>0.130733574853607</v>
      </c>
      <c r="H47" s="7" t="n">
        <f aca="false">(Thesis!H26+Thesis!H46-Thesis!H27-Thesis!H37)*(1-tax_f)/((Thesis!G41+Thesis!H41)/2)</f>
        <v>0.152322090230892</v>
      </c>
      <c r="I47" s="7" t="n">
        <f aca="false">(Thesis!I26+Thesis!I46-Thesis!I27-Thesis!I37)*(1-tax_f)/((Thesis!H41+Thesis!I41)/2)</f>
        <v>0.158299803330078</v>
      </c>
      <c r="J47" s="7" t="n">
        <f aca="false">(Thesis!J26+Thesis!J46-Thesis!J27-Thesis!J37)*(1-tax_f)/((Thesis!I41+Thesis!J41)/2)</f>
        <v>0.162865969674421</v>
      </c>
      <c r="K47" s="7" t="n">
        <f aca="false">(Thesis!K26+Thesis!K46-Thesis!K27-Thesis!K37)*(1-tax_f)/((Thesis!J41+Thesis!K41)/2)</f>
        <v>0.164831052757063</v>
      </c>
      <c r="L47" s="1" t="s">
        <v>774</v>
      </c>
    </row>
    <row r="48" customFormat="false" ht="17.15" hidden="false" customHeight="false" outlineLevel="0" collapsed="false">
      <c r="A48" s="3" t="s">
        <v>775</v>
      </c>
    </row>
    <row r="49" customFormat="false" ht="15" hidden="false" customHeight="false" outlineLevel="0" collapsed="false">
      <c r="A49" s="4" t="s">
        <v>43</v>
      </c>
      <c r="B49" s="4" t="s">
        <v>63</v>
      </c>
      <c r="C49" s="19" t="s">
        <v>710</v>
      </c>
      <c r="D49" s="19" t="s">
        <v>711</v>
      </c>
      <c r="E49" s="19" t="s">
        <v>712</v>
      </c>
      <c r="F49" s="19" t="s">
        <v>713</v>
      </c>
      <c r="G49" s="19" t="s">
        <v>714</v>
      </c>
      <c r="H49" s="19" t="s">
        <v>715</v>
      </c>
      <c r="I49" s="19" t="s">
        <v>716</v>
      </c>
      <c r="J49" s="19" t="s">
        <v>717</v>
      </c>
      <c r="K49" s="19" t="s">
        <v>718</v>
      </c>
      <c r="L49" s="4" t="s">
        <v>47</v>
      </c>
    </row>
    <row r="50" customFormat="false" ht="17.15" hidden="false" customHeight="false" outlineLevel="0" collapsed="false">
      <c r="A50" s="1" t="s">
        <v>719</v>
      </c>
      <c r="B50" s="0" t="s">
        <v>340</v>
      </c>
      <c r="C50" s="27" t="n">
        <f aca="false">mw_ext_24</f>
        <v>640</v>
      </c>
      <c r="D50" s="27" t="n">
        <f aca="false">mw_ext_25</f>
        <v>1630</v>
      </c>
      <c r="E50" s="27" t="n">
        <f aca="false">mw_ext_26</f>
        <v>3250</v>
      </c>
      <c r="F50" s="27" t="n">
        <f aca="false">MIN(1000000000,Thesis!E50+pace)</f>
        <v>5777.2</v>
      </c>
      <c r="G50" s="27" t="n">
        <f aca="false">MIN(1000000000,Thesis!F50+pace)</f>
        <v>8304.4</v>
      </c>
      <c r="H50" s="27" t="n">
        <f aca="false">MIN(1000000000,Thesis!G50+pace)</f>
        <v>10831.6</v>
      </c>
      <c r="I50" s="27" t="n">
        <f aca="false">MIN(1000000000,Thesis!H50+pace)</f>
        <v>13358.8</v>
      </c>
      <c r="J50" s="27" t="n">
        <f aca="false">MIN(1000000000,Thesis!I50+pace)</f>
        <v>15886</v>
      </c>
      <c r="K50" s="27" t="n">
        <f aca="false">MIN(1000000000,Thesis!J50+pace)</f>
        <v>18413.2</v>
      </c>
      <c r="L50" s="11" t="s">
        <v>720</v>
      </c>
    </row>
    <row r="51" customFormat="false" ht="17.15" hidden="false" customHeight="false" outlineLevel="0" collapsed="false">
      <c r="A51" s="1" t="s">
        <v>721</v>
      </c>
      <c r="B51" s="0" t="s">
        <v>340</v>
      </c>
      <c r="C51" s="27" t="n">
        <f aca="false">rent_ext_24</f>
        <v>150</v>
      </c>
      <c r="D51" s="27" t="n">
        <f aca="false">rent_ext_25</f>
        <v>400</v>
      </c>
      <c r="E51" s="27" t="n">
        <f aca="false">rent_ext_26</f>
        <v>550</v>
      </c>
      <c r="F51" s="27" t="n">
        <f aca="false">rent_ext_f</f>
        <v>756</v>
      </c>
      <c r="G51" s="27" t="n">
        <f aca="false">rent_ext_f</f>
        <v>756</v>
      </c>
      <c r="H51" s="27" t="n">
        <f aca="false">rent_ext_f</f>
        <v>756</v>
      </c>
      <c r="I51" s="27" t="n">
        <f aca="false">rent_ext_f</f>
        <v>756</v>
      </c>
      <c r="J51" s="27" t="n">
        <f aca="false">rent_ext_f</f>
        <v>756</v>
      </c>
      <c r="K51" s="27" t="n">
        <f aca="false">rent_ext_f</f>
        <v>756</v>
      </c>
      <c r="L51" s="1" t="s">
        <v>722</v>
      </c>
    </row>
    <row r="52" customFormat="false" ht="17.15" hidden="false" customHeight="false" outlineLevel="0" collapsed="false">
      <c r="A52" s="1" t="s">
        <v>723</v>
      </c>
      <c r="B52" s="0" t="s">
        <v>340</v>
      </c>
      <c r="C52" s="27" t="n">
        <f aca="false">Thesis!C50-Thesis!C51</f>
        <v>490</v>
      </c>
      <c r="D52" s="27" t="n">
        <f aca="false">Thesis!D50-Thesis!D51</f>
        <v>1230</v>
      </c>
      <c r="E52" s="27" t="n">
        <f aca="false">Thesis!E50-Thesis!E51</f>
        <v>2700</v>
      </c>
      <c r="F52" s="27" t="n">
        <f aca="false">Thesis!F50-Thesis!F51</f>
        <v>5021.2</v>
      </c>
      <c r="G52" s="27" t="n">
        <f aca="false">Thesis!G50-Thesis!G51</f>
        <v>7548.4</v>
      </c>
      <c r="H52" s="27" t="n">
        <f aca="false">Thesis!H50-Thesis!H51</f>
        <v>10075.6</v>
      </c>
      <c r="I52" s="27" t="n">
        <f aca="false">Thesis!I50-Thesis!I51</f>
        <v>12602.8</v>
      </c>
      <c r="J52" s="27" t="n">
        <f aca="false">Thesis!J50-Thesis!J51</f>
        <v>15130</v>
      </c>
      <c r="K52" s="27" t="n">
        <f aca="false">Thesis!K50-Thesis!K51</f>
        <v>17657.2</v>
      </c>
    </row>
    <row r="53" customFormat="false" ht="17.15" hidden="false" customHeight="false" outlineLevel="0" collapsed="false">
      <c r="A53" s="1" t="s">
        <v>724</v>
      </c>
      <c r="B53" s="0" t="s">
        <v>340</v>
      </c>
      <c r="C53" s="27" t="n">
        <f aca="false">Thesis!C52/ext_sh</f>
        <v>816.666666666667</v>
      </c>
      <c r="D53" s="27" t="n">
        <f aca="false">Thesis!D52/ext_sh</f>
        <v>2050</v>
      </c>
      <c r="E53" s="27" t="n">
        <f aca="false">Thesis!E52/ext_sh</f>
        <v>4500</v>
      </c>
      <c r="F53" s="27" t="n">
        <f aca="false">Thesis!F52/ext_sh</f>
        <v>8368.66666666667</v>
      </c>
      <c r="G53" s="27" t="n">
        <f aca="false">Thesis!G52/ext_sh</f>
        <v>12580.6666666667</v>
      </c>
      <c r="H53" s="27" t="n">
        <f aca="false">Thesis!H52/ext_sh</f>
        <v>16792.6666666667</v>
      </c>
      <c r="I53" s="27" t="n">
        <f aca="false">Thesis!I52/ext_sh</f>
        <v>21004.6666666667</v>
      </c>
      <c r="J53" s="27" t="n">
        <f aca="false">Thesis!J52/ext_sh</f>
        <v>25216.6666666667</v>
      </c>
      <c r="K53" s="27" t="n">
        <f aca="false">Thesis!K52/ext_sh</f>
        <v>29428.6666666667</v>
      </c>
      <c r="L53" s="1" t="s">
        <v>725</v>
      </c>
    </row>
    <row r="54" customFormat="false" ht="17.15" hidden="false" customHeight="false" outlineLevel="0" collapsed="false">
      <c r="A54" s="1" t="s">
        <v>726</v>
      </c>
      <c r="B54" s="0" t="s">
        <v>340</v>
      </c>
      <c r="C54" s="27" t="n">
        <f aca="false">Thesis!C53-Thesis!C52</f>
        <v>326.666666666667</v>
      </c>
      <c r="D54" s="27" t="n">
        <f aca="false">Thesis!D53-Thesis!D52</f>
        <v>820</v>
      </c>
      <c r="E54" s="27" t="n">
        <f aca="false">Thesis!E53-Thesis!E52</f>
        <v>1800</v>
      </c>
      <c r="F54" s="27" t="n">
        <f aca="false">Thesis!F53-Thesis!F52</f>
        <v>3347.46666666667</v>
      </c>
      <c r="G54" s="27" t="n">
        <f aca="false">Thesis!G53-Thesis!G52</f>
        <v>5032.26666666667</v>
      </c>
      <c r="H54" s="27" t="n">
        <f aca="false">Thesis!H53-Thesis!H52</f>
        <v>6717.06666666667</v>
      </c>
      <c r="I54" s="27" t="n">
        <f aca="false">Thesis!I53-Thesis!I52</f>
        <v>8401.86666666667</v>
      </c>
      <c r="J54" s="27" t="n">
        <f aca="false">Thesis!J53-Thesis!J52</f>
        <v>10086.6666666667</v>
      </c>
      <c r="K54" s="27" t="n">
        <f aca="false">Thesis!K53-Thesis!K52</f>
        <v>11771.4666666667</v>
      </c>
    </row>
    <row r="55" customFormat="false" ht="17.15" hidden="false" customHeight="false" outlineLevel="0" collapsed="false">
      <c r="A55" s="1" t="s">
        <v>727</v>
      </c>
      <c r="B55" s="0" t="s">
        <v>340</v>
      </c>
      <c r="C55" s="27" t="n">
        <f aca="false">Thesis!C53</f>
        <v>816.666666666667</v>
      </c>
      <c r="D55" s="27" t="n">
        <f aca="false">Thesis!D53-Thesis!C53</f>
        <v>1233.33333333333</v>
      </c>
      <c r="E55" s="27" t="n">
        <f aca="false">Thesis!E53-Thesis!D53</f>
        <v>2450</v>
      </c>
      <c r="F55" s="27" t="n">
        <f aca="false">Thesis!F53-Thesis!E53</f>
        <v>3868.66666666667</v>
      </c>
      <c r="G55" s="27" t="n">
        <f aca="false">Thesis!G53-Thesis!F53</f>
        <v>4212</v>
      </c>
      <c r="H55" s="27" t="n">
        <f aca="false">Thesis!H53-Thesis!G53</f>
        <v>4212</v>
      </c>
      <c r="I55" s="27" t="n">
        <f aca="false">Thesis!I53-Thesis!H53</f>
        <v>4212</v>
      </c>
      <c r="J55" s="27" t="n">
        <f aca="false">Thesis!J53-Thesis!I53</f>
        <v>4212</v>
      </c>
      <c r="K55" s="27" t="n">
        <f aca="false">Thesis!K53-Thesis!J53</f>
        <v>4212</v>
      </c>
    </row>
    <row r="56" customFormat="false" ht="17.15" hidden="false" customHeight="false" outlineLevel="0" collapsed="false">
      <c r="A56" s="1" t="s">
        <v>728</v>
      </c>
      <c r="B56" s="0" t="s">
        <v>340</v>
      </c>
      <c r="D56" s="27" t="n">
        <f aca="false">Thesis!D50-Thesis!C50</f>
        <v>990</v>
      </c>
      <c r="E56" s="27" t="n">
        <f aca="false">Thesis!E50-Thesis!D50</f>
        <v>1620</v>
      </c>
      <c r="F56" s="27" t="n">
        <f aca="false">Thesis!F50-Thesis!E50</f>
        <v>2527.2</v>
      </c>
      <c r="G56" s="27" t="n">
        <f aca="false">Thesis!G50-Thesis!F50</f>
        <v>2527.2</v>
      </c>
      <c r="H56" s="27" t="n">
        <f aca="false">Thesis!H50-Thesis!G50</f>
        <v>2527.2</v>
      </c>
      <c r="I56" s="27" t="n">
        <f aca="false">Thesis!I50-Thesis!H50</f>
        <v>2527.2</v>
      </c>
      <c r="J56" s="27" t="n">
        <f aca="false">Thesis!J50-Thesis!I50</f>
        <v>2527.2</v>
      </c>
      <c r="K56" s="27" t="n">
        <f aca="false">Thesis!K50-Thesis!J50</f>
        <v>2527.2</v>
      </c>
    </row>
    <row r="57" customFormat="false" ht="17.15" hidden="false" customHeight="false" outlineLevel="0" collapsed="false">
      <c r="A57" s="1" t="s">
        <v>729</v>
      </c>
      <c r="B57" s="0" t="s">
        <v>340</v>
      </c>
      <c r="C57" s="27" t="n">
        <f aca="false">mix_h*Thesis!C50</f>
        <v>128</v>
      </c>
      <c r="D57" s="27" t="n">
        <f aca="false">mix_h*Thesis!D50</f>
        <v>326</v>
      </c>
      <c r="E57" s="27" t="n">
        <f aca="false">mix_h*Thesis!E50</f>
        <v>650</v>
      </c>
      <c r="F57" s="27" t="n">
        <f aca="false">Thesis!E57</f>
        <v>650</v>
      </c>
      <c r="G57" s="27" t="n">
        <f aca="false">Thesis!F57</f>
        <v>650</v>
      </c>
      <c r="H57" s="27" t="n">
        <f aca="false">Thesis!G57</f>
        <v>650</v>
      </c>
      <c r="I57" s="27" t="n">
        <f aca="false">Thesis!H57</f>
        <v>650</v>
      </c>
      <c r="J57" s="27" t="n">
        <f aca="false">Thesis!I57</f>
        <v>650</v>
      </c>
      <c r="K57" s="27" t="n">
        <f aca="false">Thesis!J57</f>
        <v>650</v>
      </c>
    </row>
    <row r="58" customFormat="false" ht="17.15" hidden="false" customHeight="false" outlineLevel="0" collapsed="false">
      <c r="A58" s="1" t="s">
        <v>730</v>
      </c>
      <c r="B58" s="0" t="s">
        <v>340</v>
      </c>
      <c r="C58" s="27" t="n">
        <f aca="false">mix_g2*Thesis!C50</f>
        <v>288</v>
      </c>
      <c r="D58" s="27" t="n">
        <f aca="false">mix_g2*Thesis!D50</f>
        <v>733.5</v>
      </c>
      <c r="E58" s="27" t="n">
        <f aca="false">mix_g2*Thesis!E50</f>
        <v>1462.5</v>
      </c>
      <c r="F58" s="27" t="n">
        <f aca="false">Thesis!E58</f>
        <v>1462.5</v>
      </c>
      <c r="G58" s="27" t="n">
        <f aca="false">Thesis!F58</f>
        <v>1462.5</v>
      </c>
      <c r="H58" s="27" t="n">
        <f aca="false">Thesis!G58</f>
        <v>1462.5</v>
      </c>
      <c r="I58" s="27" t="n">
        <f aca="false">Thesis!H58</f>
        <v>1462.5</v>
      </c>
      <c r="J58" s="27" t="n">
        <f aca="false">Thesis!I58</f>
        <v>1462.5</v>
      </c>
      <c r="K58" s="27" t="n">
        <f aca="false">Thesis!J58</f>
        <v>1462.5</v>
      </c>
    </row>
    <row r="59" customFormat="false" ht="17.15" hidden="false" customHeight="false" outlineLevel="0" collapsed="false">
      <c r="A59" s="1" t="s">
        <v>731</v>
      </c>
      <c r="B59" s="0" t="s">
        <v>340</v>
      </c>
      <c r="C59" s="27" t="n">
        <f aca="false">mix_g3*Thesis!C50</f>
        <v>224</v>
      </c>
      <c r="D59" s="27" t="n">
        <f aca="false">mix_g3*Thesis!D50</f>
        <v>570.5</v>
      </c>
      <c r="E59" s="27" t="n">
        <f aca="false">mix_g3*Thesis!E50</f>
        <v>1137.5</v>
      </c>
      <c r="F59" s="27" t="n">
        <f aca="false">Thesis!E59+Thesis!F56*a_g3_27</f>
        <v>2906.54</v>
      </c>
      <c r="G59" s="27" t="n">
        <f aca="false">Thesis!F59+Thesis!G56*a_g3_28</f>
        <v>3664.7</v>
      </c>
      <c r="H59" s="27" t="n">
        <f aca="false">Thesis!G59+Thesis!H56*a_g3_29</f>
        <v>3917.42</v>
      </c>
      <c r="I59" s="27" t="n">
        <f aca="false">Thesis!H59+Thesis!I56*a_g3_29</f>
        <v>4170.14</v>
      </c>
      <c r="J59" s="27" t="n">
        <f aca="false">Thesis!I59+Thesis!J56*a_g3_29</f>
        <v>4422.86</v>
      </c>
      <c r="K59" s="27" t="n">
        <f aca="false">Thesis!J59+Thesis!K56*a_g3_29</f>
        <v>4675.58</v>
      </c>
    </row>
    <row r="60" customFormat="false" ht="17.15" hidden="false" customHeight="false" outlineLevel="0" collapsed="false">
      <c r="A60" s="1" t="s">
        <v>732</v>
      </c>
      <c r="B60" s="0" t="s">
        <v>340</v>
      </c>
      <c r="C60" s="27" t="n">
        <f aca="false">0</f>
        <v>0</v>
      </c>
      <c r="D60" s="27" t="n">
        <f aca="false">0</f>
        <v>0</v>
      </c>
      <c r="E60" s="27" t="n">
        <f aca="false">0</f>
        <v>0</v>
      </c>
      <c r="F60" s="27" t="n">
        <f aca="false">Thesis!E60+Thesis!F56*(1-a_g3_27)</f>
        <v>758.16</v>
      </c>
      <c r="G60" s="27" t="n">
        <f aca="false">Thesis!F60+Thesis!G56*(1-a_g3_28)</f>
        <v>2527.2</v>
      </c>
      <c r="H60" s="27" t="n">
        <f aca="false">Thesis!G60+Thesis!H56*(1-a_g3_29)</f>
        <v>4801.68</v>
      </c>
      <c r="I60" s="27" t="n">
        <f aca="false">Thesis!H60+Thesis!I56*(1-a_g3_29)</f>
        <v>7076.16</v>
      </c>
      <c r="J60" s="27" t="n">
        <f aca="false">Thesis!I60+Thesis!J56*(1-a_g3_29)</f>
        <v>9350.64</v>
      </c>
      <c r="K60" s="27" t="n">
        <f aca="false">Thesis!J60+Thesis!K56*(1-a_g3_29)</f>
        <v>11625.12</v>
      </c>
    </row>
    <row r="61" customFormat="false" ht="17.15" hidden="false" customHeight="false" outlineLevel="0" collapsed="false">
      <c r="A61" s="1" t="s">
        <v>733</v>
      </c>
      <c r="B61" s="0" t="s">
        <v>291</v>
      </c>
      <c r="C61" s="18" t="n">
        <f aca="false">(Thesis!C57*tk_hold_h100+Thesis!C58*tk_hold_gb200+Thesis!C59*tk_hold_gb300+Thesis!C60*tk_hold_vr200)/Thesis!C50</f>
        <v>9.7235358126469</v>
      </c>
      <c r="D61" s="18" t="n">
        <f aca="false">(Thesis!D57*tk_hold_h100+Thesis!D58*tk_hold_gb200+Thesis!D59*tk_hold_gb300+Thesis!D60*tk_hold_vr200)/Thesis!D50</f>
        <v>9.7235358126469</v>
      </c>
      <c r="E61" s="18" t="n">
        <f aca="false">(Thesis!E57*tk_hold_h100+Thesis!E58*tk_hold_gb200+Thesis!E59*tk_hold_gb300+Thesis!E60*tk_hold_vr200)/Thesis!E50</f>
        <v>9.7235358126469</v>
      </c>
      <c r="F61" s="18" t="n">
        <f aca="false">(Thesis!F57*tk_hold_h100+Thesis!F58*tk_hold_gb200+Thesis!F59*tk_hold_gb300+Thesis!F60*tk_hold_vr200)/Thesis!F50</f>
        <v>10.4079573161931</v>
      </c>
      <c r="G61" s="18" t="n">
        <f aca="false">(Thesis!G57*tk_hold_h100+Thesis!G58*tk_hold_gb200+Thesis!G59*tk_hold_gb300+Thesis!G60*tk_hold_vr200)/Thesis!G50</f>
        <v>10.8388131109316</v>
      </c>
      <c r="H61" s="18" t="n">
        <f aca="false">(Thesis!H57*tk_hold_h100+Thesis!H58*tk_hold_gb200+Thesis!H59*tk_hold_gb300+Thesis!H60*tk_hold_vr200)/Thesis!H50</f>
        <v>11.1311018388216</v>
      </c>
      <c r="I61" s="18" t="n">
        <f aca="false">(Thesis!I57*tk_hold_h100+Thesis!I58*tk_hold_gb200+Thesis!I59*tk_hold_gb300+Thesis!I60*tk_hold_vr200)/Thesis!I50</f>
        <v>11.3128009818501</v>
      </c>
      <c r="J61" s="18" t="n">
        <f aca="false">(Thesis!J57*tk_hold_h100+Thesis!J58*tk_hold_gb200+Thesis!J59*tk_hold_gb300+Thesis!J60*tk_hold_vr200)/Thesis!J50</f>
        <v>11.4366894646418</v>
      </c>
      <c r="K61" s="18" t="n">
        <f aca="false">(Thesis!K57*tk_hold_h100+Thesis!K58*tk_hold_gb200+Thesis!K59*tk_hold_gb300+Thesis!K60*tk_hold_vr200)/Thesis!K50</f>
        <v>11.526570716348</v>
      </c>
    </row>
    <row r="62" customFormat="false" ht="17.15" hidden="false" customHeight="false" outlineLevel="0" collapsed="false">
      <c r="A62" s="0" t="s">
        <v>734</v>
      </c>
      <c r="B62" s="0" t="s">
        <v>182</v>
      </c>
      <c r="C62" s="18" t="n">
        <f aca="false">k_B</f>
        <v>1.17213932619116</v>
      </c>
      <c r="D62" s="18" t="n">
        <f aca="false">k_B</f>
        <v>1.17213932619116</v>
      </c>
      <c r="E62" s="18" t="n">
        <f aca="false">k_B</f>
        <v>1.17213932619116</v>
      </c>
      <c r="F62" s="18" t="n">
        <f aca="false">(k_B+((ls_B*k_long+(1-ls_B)*k_spot)-k_B)*MIN(1,1/3))*1</f>
        <v>1.17213932619116</v>
      </c>
      <c r="G62" s="18" t="n">
        <f aca="false">(k_B+((ls_B*k_long+(1-ls_B)*k_spot)-k_B)*MIN(1,2/3))*1</f>
        <v>1.17213932619116</v>
      </c>
      <c r="H62" s="18" t="n">
        <f aca="false">(k_B+((ls_B*k_long+(1-ls_B)*k_spot)-k_B)*MIN(1,3/3))*1</f>
        <v>1.17213932619116</v>
      </c>
      <c r="I62" s="18" t="n">
        <f aca="false">(k_B+((ls_B*k_long+(1-ls_B)*k_spot)-k_B)*MIN(1,4/3))*1</f>
        <v>1.17213932619116</v>
      </c>
      <c r="J62" s="18" t="n">
        <f aca="false">(k_B+((ls_B*k_long+(1-ls_B)*k_spot)-k_B)*MIN(1,5/3))*1</f>
        <v>1.17213932619116</v>
      </c>
      <c r="K62" s="18" t="n">
        <f aca="false">(k_B+((ls_B*k_long+(1-ls_B)*k_spot)-k_B)*MIN(1,6/3))*1</f>
        <v>1.17213932619116</v>
      </c>
      <c r="L62" s="1" t="s">
        <v>735</v>
      </c>
    </row>
    <row r="63" customFormat="false" ht="17.15" hidden="false" customHeight="false" outlineLevel="0" collapsed="false">
      <c r="A63" s="1" t="s">
        <v>736</v>
      </c>
      <c r="B63" s="0" t="s">
        <v>291</v>
      </c>
      <c r="C63" s="18" t="n">
        <f aca="false">Thesis!C61*Thesis!C62*chip_f</f>
        <v>11.3973387156315</v>
      </c>
      <c r="D63" s="18" t="n">
        <f aca="false">Thesis!D61*Thesis!D62*chip_f</f>
        <v>11.3973387156315</v>
      </c>
      <c r="E63" s="18" t="n">
        <f aca="false">Thesis!E61*Thesis!E62*chip_f</f>
        <v>11.3973387156315</v>
      </c>
      <c r="F63" s="18" t="n">
        <f aca="false">Thesis!F61*Thesis!F62*chip_f</f>
        <v>12.1995760756289</v>
      </c>
      <c r="G63" s="18" t="n">
        <f aca="false">Thesis!G61*Thesis!G62*chip_f</f>
        <v>12.7045990965592</v>
      </c>
      <c r="H63" s="18" t="n">
        <f aca="false">Thesis!H61*Thesis!H62*chip_f</f>
        <v>13.0472022091214</v>
      </c>
      <c r="I63" s="18" t="n">
        <f aca="false">Thesis!I61*Thesis!I62*chip_f</f>
        <v>13.2601789202004</v>
      </c>
      <c r="J63" s="18" t="n">
        <f aca="false">Thesis!J61*Thesis!J62*chip_f</f>
        <v>13.4053934829427</v>
      </c>
      <c r="K63" s="18" t="n">
        <f aca="false">Thesis!K61*Thesis!K62*chip_f</f>
        <v>13.5107468327548</v>
      </c>
      <c r="L63" s="1" t="s">
        <v>737</v>
      </c>
    </row>
    <row r="64" customFormat="false" ht="17.15" hidden="false" customHeight="false" outlineLevel="0" collapsed="false">
      <c r="A64" s="0" t="s">
        <v>738</v>
      </c>
      <c r="B64" s="0" t="s">
        <v>95</v>
      </c>
      <c r="D64" s="6" t="n">
        <f aca="false">(Thesis!C50+Thesis!D50)/2*Thesis!D63/1000</f>
        <v>12.9359794422418</v>
      </c>
      <c r="E64" s="6" t="n">
        <f aca="false">(Thesis!D50+Thesis!E50)/2*Thesis!E63/1000</f>
        <v>27.8095064661409</v>
      </c>
      <c r="F64" s="6" t="n">
        <f aca="false">(Thesis!E50+Thesis!F50)/2*Thesis!F63/1000</f>
        <v>55.0640065749585</v>
      </c>
      <c r="G64" s="6" t="n">
        <f aca="false">(Thesis!F50+Thesis!G50)/2*Thesis!G63/1000</f>
        <v>89.4505413190538</v>
      </c>
      <c r="H64" s="6" t="n">
        <f aca="false">(Thesis!G50+Thesis!H50)/2*Thesis!H63/1000</f>
        <v>124.835630736874</v>
      </c>
      <c r="I64" s="6" t="n">
        <f aca="false">(Thesis!H50+Thesis!I50)/2*Thesis!I63/1000</f>
        <v>160.384516075608</v>
      </c>
      <c r="J64" s="6" t="n">
        <f aca="false">(Thesis!I50+Thesis!J50)/2*Thesis!J63/1000</f>
        <v>196.019025664981</v>
      </c>
      <c r="K64" s="6" t="n">
        <f aca="false">(Thesis!J50+Thesis!K50)/2*Thesis!K63/1000</f>
        <v>231.703903883012</v>
      </c>
      <c r="L64" s="11" t="s">
        <v>739</v>
      </c>
    </row>
    <row r="65" customFormat="false" ht="17.15" hidden="false" customHeight="false" outlineLevel="0" collapsed="false">
      <c r="A65" s="1" t="s">
        <v>740</v>
      </c>
      <c r="B65" s="0" t="s">
        <v>291</v>
      </c>
      <c r="C65" s="18" t="n">
        <f aca="false">(Thesis!C57*tk_opex_h100+Thesis!C58*tk_opex_gb200+Thesis!C59*tk_opex_gb300+Thesis!C60*tk_opex_vr200)/Thesis!C50</f>
        <v>1.88636041306092</v>
      </c>
      <c r="D65" s="18" t="n">
        <f aca="false">(Thesis!D57*tk_opex_h100+Thesis!D58*tk_opex_gb200+Thesis!D59*tk_opex_gb300+Thesis!D60*tk_opex_vr200)/Thesis!D50</f>
        <v>1.88636041306092</v>
      </c>
      <c r="E65" s="18" t="n">
        <f aca="false">(Thesis!E57*tk_opex_h100+Thesis!E58*tk_opex_gb200+Thesis!E59*tk_opex_gb300+Thesis!E60*tk_opex_vr200)/Thesis!E50</f>
        <v>1.88636041306092</v>
      </c>
      <c r="F65" s="18" t="n">
        <f aca="false">(Thesis!F57*tk_opex_h100+Thesis!F58*tk_opex_gb200+Thesis!F59*tk_opex_gb300+Thesis!F60*tk_opex_vr200)/Thesis!F50</f>
        <v>1.9430236476499</v>
      </c>
      <c r="G65" s="18" t="n">
        <f aca="false">(Thesis!G57*tk_opex_h100+Thesis!G58*tk_opex_gb200+Thesis!G59*tk_opex_gb300+Thesis!G60*tk_opex_vr200)/Thesis!G50</f>
        <v>1.9786941852423</v>
      </c>
      <c r="H65" s="18" t="n">
        <f aca="false">(Thesis!H57*tk_opex_h100+Thesis!H58*tk_opex_gb200+Thesis!H59*tk_opex_gb300+Thesis!H60*tk_opex_vr200)/Thesis!H50</f>
        <v>2.00289275976156</v>
      </c>
      <c r="I65" s="18" t="n">
        <f aca="false">(Thesis!I57*tk_opex_h100+Thesis!I58*tk_opex_gb200+Thesis!I59*tk_opex_gb300+Thesis!I60*tk_opex_vr200)/Thesis!I50</f>
        <v>2.01793562605478</v>
      </c>
      <c r="J65" s="18" t="n">
        <f aca="false">(Thesis!J57*tk_opex_h100+Thesis!J58*tk_opex_gb200+Thesis!J59*tk_opex_gb300+Thesis!J60*tk_opex_vr200)/Thesis!J50</f>
        <v>2.02819234961902</v>
      </c>
      <c r="K65" s="18" t="n">
        <f aca="false">(Thesis!K57*tk_opex_h100+Thesis!K58*tk_opex_gb200+Thesis!K59*tk_opex_gb300+Thesis!K60*tk_opex_vr200)/Thesis!K50</f>
        <v>2.0356336155994</v>
      </c>
    </row>
    <row r="66" customFormat="false" ht="17.15" hidden="false" customHeight="false" outlineLevel="0" collapsed="false">
      <c r="A66" s="0" t="s">
        <v>741</v>
      </c>
      <c r="B66" s="0" t="s">
        <v>95</v>
      </c>
      <c r="D66" s="6" t="n">
        <f aca="false">(Thesis!C53+Thesis!D53)/2*Thesis!D65/1000</f>
        <v>2.70378325872065</v>
      </c>
      <c r="E66" s="6" t="n">
        <f aca="false">(Thesis!D53+Thesis!E53)/2*Thesis!E65/1000</f>
        <v>6.17783035277451</v>
      </c>
      <c r="F66" s="6" t="n">
        <f aca="false">(Thesis!E53+Thesis!F53)/2*Thesis!F65/1000</f>
        <v>12.5020618235287</v>
      </c>
      <c r="G66" s="6" t="n">
        <f aca="false">(Thesis!F53+Thesis!G53)/2*Thesis!G65/1000</f>
        <v>20.7261620256847</v>
      </c>
      <c r="H66" s="6" t="n">
        <f aca="false">(Thesis!G53+Thesis!H53)/2*Thesis!H65/1000</f>
        <v>29.4158183316982</v>
      </c>
      <c r="I66" s="6" t="n">
        <f aca="false">(Thesis!H53+Thesis!I53)/2*Thesis!I65/1000</f>
        <v>38.1362927516005</v>
      </c>
      <c r="J66" s="6" t="n">
        <f aca="false">(Thesis!I53+Thesis!J53)/2*Thesis!J65/1000</f>
        <v>46.8728773279286</v>
      </c>
      <c r="K66" s="6" t="n">
        <f aca="false">(Thesis!J53+Thesis!K53)/2*Thesis!K65/1000</f>
        <v>55.618938734484</v>
      </c>
    </row>
    <row r="67" customFormat="false" ht="17.15" hidden="false" customHeight="false" outlineLevel="0" collapsed="false">
      <c r="A67" s="0" t="s">
        <v>742</v>
      </c>
      <c r="B67" s="0" t="s">
        <v>95</v>
      </c>
      <c r="D67" s="6" t="n">
        <f aca="false">(Thesis!C51+Thesis!D51)/2*rent_mw/1000</f>
        <v>2.44475</v>
      </c>
      <c r="E67" s="6" t="n">
        <f aca="false">(Thesis!D51+Thesis!E51)/2*rent_mw/1000</f>
        <v>4.22275</v>
      </c>
      <c r="F67" s="6" t="n">
        <f aca="false">(Thesis!E51+Thesis!F51)/2*rent_mw/1000</f>
        <v>5.80517</v>
      </c>
      <c r="G67" s="6" t="n">
        <f aca="false">(Thesis!F51+Thesis!G51)/2*rent_mw/1000</f>
        <v>6.72084</v>
      </c>
      <c r="H67" s="6" t="n">
        <f aca="false">(Thesis!G51+Thesis!H51)/2*rent_mw/1000</f>
        <v>6.72084</v>
      </c>
      <c r="I67" s="6" t="n">
        <f aca="false">(Thesis!H51+Thesis!I51)/2*rent_mw/1000</f>
        <v>6.72084</v>
      </c>
      <c r="J67" s="6" t="n">
        <f aca="false">(Thesis!I51+Thesis!J51)/2*rent_mw/1000</f>
        <v>6.72084</v>
      </c>
      <c r="K67" s="6" t="n">
        <f aca="false">(Thesis!J51+Thesis!K51)/2*rent_mw/1000</f>
        <v>6.72084</v>
      </c>
    </row>
    <row r="68" customFormat="false" ht="17.15" hidden="false" customHeight="false" outlineLevel="0" collapsed="false">
      <c r="A68" s="0" t="s">
        <v>743</v>
      </c>
      <c r="B68" s="0" t="s">
        <v>95</v>
      </c>
      <c r="D68" s="6" t="n">
        <f aca="false">(Thesis!C53+Thesis!D53)/2*(1-self_build)*fac_rent/1000</f>
        <v>0.853242375631075</v>
      </c>
      <c r="E68" s="6" t="n">
        <f aca="false">(Thesis!D53+Thesis!E53)/2*(1-self_build)*fac_rent/1000</f>
        <v>1.94955961408728</v>
      </c>
      <c r="F68" s="6" t="n">
        <f aca="false">(Thesis!E53+Thesis!F53)/2*(1-self_build)*fac_rent/1000</f>
        <v>3.83026455274573</v>
      </c>
      <c r="G68" s="6" t="n">
        <f aca="false">(Thesis!F53+Thesis!G53)/2*(1-self_build)*fac_rent/1000</f>
        <v>6.23541590972812</v>
      </c>
      <c r="H68" s="6" t="n">
        <f aca="false">(Thesis!G53+Thesis!H53)/2*(1-self_build)*fac_rent/1000</f>
        <v>8.74275792332679</v>
      </c>
      <c r="I68" s="6" t="n">
        <f aca="false">(Thesis!H53+Thesis!I53)/2*(1-self_build)*fac_rent/1000</f>
        <v>11.2500999369255</v>
      </c>
      <c r="J68" s="6" t="n">
        <f aca="false">(Thesis!I53+Thesis!J53)/2*(1-self_build)*fac_rent/1000</f>
        <v>13.7574419505241</v>
      </c>
      <c r="K68" s="6" t="n">
        <f aca="false">(Thesis!J53+Thesis!K53)/2*(1-self_build)*fac_rent/1000</f>
        <v>16.2647839641228</v>
      </c>
      <c r="L68" s="11" t="s">
        <v>744</v>
      </c>
    </row>
    <row r="69" customFormat="false" ht="17.15" hidden="false" customHeight="false" outlineLevel="0" collapsed="false">
      <c r="A69" s="1" t="s">
        <v>745</v>
      </c>
      <c r="B69" s="0" t="s">
        <v>126</v>
      </c>
      <c r="D69" s="7" t="n">
        <f aca="false">(Thesis!C52+Thesis!D52)/(Thesis!C53+Thesis!D53)</f>
        <v>0.6</v>
      </c>
      <c r="E69" s="7" t="n">
        <f aca="false">(Thesis!D52+Thesis!E52)/(Thesis!D53+Thesis!E53)</f>
        <v>0.6</v>
      </c>
      <c r="F69" s="7" t="n">
        <f aca="false">(Thesis!E52+Thesis!F52)/(Thesis!E53+Thesis!F53)</f>
        <v>0.6</v>
      </c>
      <c r="G69" s="7" t="n">
        <f aca="false">(Thesis!F52+Thesis!G52)/(Thesis!F53+Thesis!G53)</f>
        <v>0.6</v>
      </c>
      <c r="H69" s="7" t="n">
        <f aca="false">(Thesis!G52+Thesis!H52)/(Thesis!G53+Thesis!H53)</f>
        <v>0.6</v>
      </c>
      <c r="I69" s="7" t="n">
        <f aca="false">(Thesis!H52+Thesis!I52)/(Thesis!H53+Thesis!I53)</f>
        <v>0.6</v>
      </c>
      <c r="J69" s="7" t="n">
        <f aca="false">(Thesis!I52+Thesis!J52)/(Thesis!I53+Thesis!J53)</f>
        <v>0.6</v>
      </c>
      <c r="K69" s="7" t="n">
        <f aca="false">(Thesis!J52+Thesis!K52)/(Thesis!J53+Thesis!K53)</f>
        <v>0.6</v>
      </c>
    </row>
    <row r="70" customFormat="false" ht="17.15" hidden="false" customHeight="false" outlineLevel="0" collapsed="false">
      <c r="A70" s="0" t="s">
        <v>746</v>
      </c>
      <c r="B70" s="0" t="s">
        <v>95</v>
      </c>
      <c r="D70" s="6" t="n">
        <f aca="false">Thesis!D64-Thesis!D69*(Thesis!D66+Thesis!D68)-Thesis!D67</f>
        <v>8.35701406163072</v>
      </c>
      <c r="E70" s="6" t="n">
        <f aca="false">Thesis!E64-Thesis!E69*(Thesis!E66+Thesis!E68)-Thesis!E67</f>
        <v>18.7103224860238</v>
      </c>
      <c r="F70" s="6" t="n">
        <f aca="false">Thesis!F64-Thesis!F69*(Thesis!F66+Thesis!F68)-Thesis!F67</f>
        <v>39.4594407491938</v>
      </c>
      <c r="G70" s="6" t="n">
        <f aca="false">Thesis!G64-Thesis!G69*(Thesis!G66+Thesis!G68)-Thesis!G67</f>
        <v>66.5527545578061</v>
      </c>
      <c r="H70" s="6" t="n">
        <f aca="false">Thesis!H64-Thesis!H69*(Thesis!H66+Thesis!H68)-Thesis!H67</f>
        <v>95.219644983859</v>
      </c>
      <c r="I70" s="6" t="n">
        <f aca="false">Thesis!I64-Thesis!I69*(Thesis!I66+Thesis!I68)-Thesis!I67</f>
        <v>124.031840462493</v>
      </c>
      <c r="J70" s="6" t="n">
        <f aca="false">Thesis!J64-Thesis!J69*(Thesis!J66+Thesis!J68)-Thesis!J67</f>
        <v>152.919994097909</v>
      </c>
      <c r="K70" s="6" t="n">
        <f aca="false">Thesis!K64-Thesis!K69*(Thesis!K66+Thesis!K68)-Thesis!K67</f>
        <v>181.852830263848</v>
      </c>
    </row>
    <row r="71" customFormat="false" ht="17.15" hidden="false" customHeight="false" outlineLevel="0" collapsed="false">
      <c r="A71" s="1" t="s">
        <v>747</v>
      </c>
      <c r="B71" s="0" t="s">
        <v>95</v>
      </c>
      <c r="D71" s="6" t="n">
        <f aca="false">(1-Thesis!D69)*(Thesis!D66+Thesis!D68)</f>
        <v>1.42281025374069</v>
      </c>
      <c r="E71" s="6" t="n">
        <f aca="false">(1-Thesis!E69)*(Thesis!E66+Thesis!E68)</f>
        <v>3.25095598674472</v>
      </c>
      <c r="F71" s="6" t="n">
        <f aca="false">(1-Thesis!F69)*(Thesis!F66+Thesis!F68)</f>
        <v>6.53293055050977</v>
      </c>
      <c r="G71" s="6" t="n">
        <f aca="false">(1-Thesis!G69)*(Thesis!G66+Thesis!G68)</f>
        <v>10.7846311741651</v>
      </c>
      <c r="H71" s="6" t="n">
        <f aca="false">(1-Thesis!H69)*(Thesis!H66+Thesis!H68)</f>
        <v>15.26343050201</v>
      </c>
      <c r="I71" s="6" t="n">
        <f aca="false">(1-Thesis!I69)*(Thesis!I66+Thesis!I68)</f>
        <v>19.7545570754104</v>
      </c>
      <c r="J71" s="6" t="n">
        <f aca="false">(1-Thesis!J69)*(Thesis!J66+Thesis!J68)</f>
        <v>24.2521277113811</v>
      </c>
      <c r="K71" s="6" t="n">
        <f aca="false">(1-Thesis!K69)*(Thesis!K66+Thesis!K68)</f>
        <v>28.7534890794427</v>
      </c>
    </row>
    <row r="72" customFormat="false" ht="17.15" hidden="false" customHeight="false" outlineLevel="0" collapsed="false">
      <c r="A72" s="1" t="s">
        <v>748</v>
      </c>
      <c r="B72" s="0" t="s">
        <v>302</v>
      </c>
      <c r="C72" s="8" t="n">
        <f aca="false">cxit_open</f>
        <v>27.5918995</v>
      </c>
      <c r="D72" s="8" t="n">
        <f aca="false">cxit_open</f>
        <v>27.5918995</v>
      </c>
      <c r="E72" s="8" t="n">
        <f aca="false">cxit_open</f>
        <v>27.5918995</v>
      </c>
      <c r="F72" s="8" t="n">
        <f aca="false">(a_g3_27*tk_cxit_gb300+(1-a_g3_27)*tk_cxit_vr200)</f>
        <v>33.8419624</v>
      </c>
      <c r="G72" s="8" t="n">
        <f aca="false">(a_g3_28*tk_cxit_gb300+(1-a_g3_28)*tk_cxit_vr200)</f>
        <v>35.9816136</v>
      </c>
      <c r="H72" s="8" t="n">
        <f aca="false">(a_g3_29*tk_cxit_gb300+(1-a_g3_29)*tk_cxit_vr200)</f>
        <v>37.0514392</v>
      </c>
      <c r="I72" s="8" t="n">
        <f aca="false">(a_g3_29*tk_cxit_gb300+(1-a_g3_29)*tk_cxit_vr200)</f>
        <v>37.0514392</v>
      </c>
      <c r="J72" s="8" t="n">
        <f aca="false">(a_g3_29*tk_cxit_gb300+(1-a_g3_29)*tk_cxit_vr200)</f>
        <v>37.0514392</v>
      </c>
      <c r="K72" s="8" t="n">
        <f aca="false">(a_g3_29*tk_cxit_gb300+(1-a_g3_29)*tk_cxit_vr200)</f>
        <v>37.0514392</v>
      </c>
      <c r="L72" s="11" t="s">
        <v>749</v>
      </c>
    </row>
    <row r="73" customFormat="false" ht="17.15" hidden="false" customHeight="false" outlineLevel="0" collapsed="false">
      <c r="A73" s="0" t="s">
        <v>750</v>
      </c>
      <c r="B73" s="0" t="s">
        <v>340</v>
      </c>
      <c r="F73" s="27" t="n">
        <f aca="false">Thesis!C55*IF(3=life_it,1,0)+Thesis!D55*IF(2=life_it,1,0)+Thesis!E55*IF(1=life_it,1,0)</f>
        <v>0</v>
      </c>
      <c r="G73" s="27" t="n">
        <f aca="false">Thesis!C55*IF(4=life_it,1,0)+Thesis!D55*IF(3=life_it,1,0)+Thesis!E55*IF(2=life_it,1,0)+Thesis!F55*IF(1=life_it,1,0)</f>
        <v>0</v>
      </c>
      <c r="H73" s="27" t="n">
        <f aca="false">Thesis!C55*IF(5=life_it,1,0)+Thesis!D55*IF(4=life_it,1,0)+Thesis!E55*IF(3=life_it,1,0)+Thesis!F55*IF(2=life_it,1,0)+Thesis!G55*IF(1=life_it,1,0)</f>
        <v>0</v>
      </c>
      <c r="I73" s="27" t="n">
        <f aca="false">Thesis!C55*IF(6=life_it,1,0)+Thesis!D55*IF(5=life_it,1,0)+Thesis!E55*IF(4=life_it,1,0)+Thesis!F55*IF(3=life_it,1,0)+Thesis!G55*IF(2=life_it,1,0)+Thesis!H55*IF(1=life_it,1,0)</f>
        <v>816.666666666667</v>
      </c>
      <c r="J73" s="27" t="n">
        <f aca="false">Thesis!C55*IF(7=life_it,1,0)+Thesis!D55*IF(6=life_it,1,0)+Thesis!E55*IF(5=life_it,1,0)+Thesis!F55*IF(4=life_it,1,0)+Thesis!G55*IF(3=life_it,1,0)+Thesis!H55*IF(2=life_it,1,0)+Thesis!I55*IF(1=life_it,1,0)</f>
        <v>1233.33333333333</v>
      </c>
      <c r="K73" s="27" t="n">
        <f aca="false">Thesis!C55*IF(8=life_it,1,0)+Thesis!D55*IF(7=life_it,1,0)+Thesis!E55*IF(6=life_it,1,0)+Thesis!F55*IF(5=life_it,1,0)+Thesis!G55*IF(4=life_it,1,0)+Thesis!H55*IF(3=life_it,1,0)+Thesis!I55*IF(2=life_it,1,0)+Thesis!J55*IF(1=life_it,1,0)</f>
        <v>2450</v>
      </c>
      <c r="L73" s="1" t="s">
        <v>751</v>
      </c>
    </row>
    <row r="74" customFormat="false" ht="17.15" hidden="false" customHeight="false" outlineLevel="0" collapsed="false">
      <c r="A74" s="0" t="s">
        <v>752</v>
      </c>
      <c r="B74" s="0" t="s">
        <v>95</v>
      </c>
      <c r="C74" s="6" t="n">
        <f aca="false">Thesis!C55*Thesis!C72/1000</f>
        <v>22.5333845916667</v>
      </c>
      <c r="D74" s="6" t="n">
        <f aca="false">Thesis!D55*Thesis!D72/1000</f>
        <v>34.0300093833333</v>
      </c>
      <c r="E74" s="6" t="n">
        <f aca="false">Thesis!E55*Thesis!E72/1000</f>
        <v>67.600153775</v>
      </c>
      <c r="F74" s="6" t="n">
        <f aca="false">(Thesis!F55+Thesis!F73)*Thesis!F72/1000</f>
        <v>130.923271871467</v>
      </c>
      <c r="G74" s="6" t="n">
        <f aca="false">(Thesis!G55+Thesis!G73)*Thesis!G72/1000</f>
        <v>151.5545564832</v>
      </c>
      <c r="H74" s="6" t="n">
        <f aca="false">(Thesis!H55+Thesis!H73)*Thesis!H72/1000</f>
        <v>156.0606619104</v>
      </c>
      <c r="I74" s="6" t="n">
        <f aca="false">(Thesis!I55+Thesis!I73)*Thesis!I72/1000</f>
        <v>186.319337257067</v>
      </c>
      <c r="J74" s="6" t="n">
        <f aca="false">(Thesis!J55+Thesis!J73)*Thesis!J72/1000</f>
        <v>201.757436923733</v>
      </c>
      <c r="K74" s="6" t="n">
        <f aca="false">(Thesis!K55+Thesis!K73)*Thesis!K72/1000</f>
        <v>246.8366879504</v>
      </c>
    </row>
    <row r="75" customFormat="false" ht="17.15" hidden="false" customHeight="false" outlineLevel="0" collapsed="false">
      <c r="A75" s="0" t="s">
        <v>753</v>
      </c>
      <c r="B75" s="0" t="s">
        <v>95</v>
      </c>
      <c r="C75" s="6" t="n">
        <f aca="false">Thesis!C55*self_build*tk_cxfac/1000</f>
        <v>6.2083</v>
      </c>
      <c r="D75" s="6" t="n">
        <f aca="false">Thesis!D55*self_build*tk_cxfac/1000</f>
        <v>9.3758</v>
      </c>
      <c r="E75" s="6" t="n">
        <f aca="false">Thesis!E55*self_build*tk_cxfac/1000</f>
        <v>18.6249</v>
      </c>
      <c r="F75" s="6" t="n">
        <f aca="false">Thesis!F55*self_build*tk_cxfac/1000</f>
        <v>29.409604</v>
      </c>
      <c r="G75" s="6" t="n">
        <f aca="false">Thesis!G55*self_build*tk_cxfac/1000</f>
        <v>32.019624</v>
      </c>
      <c r="H75" s="6" t="n">
        <f aca="false">Thesis!H55*self_build*tk_cxfac/1000</f>
        <v>32.019624</v>
      </c>
      <c r="I75" s="6" t="n">
        <f aca="false">Thesis!I55*self_build*tk_cxfac/1000</f>
        <v>32.019624</v>
      </c>
      <c r="J75" s="6" t="n">
        <f aca="false">Thesis!J55*self_build*tk_cxfac/1000</f>
        <v>32.019624</v>
      </c>
      <c r="K75" s="6" t="n">
        <f aca="false">Thesis!K55*self_build*tk_cxfac/1000</f>
        <v>32.019624</v>
      </c>
    </row>
    <row r="76" customFormat="false" ht="17.15" hidden="false" customHeight="false" outlineLevel="0" collapsed="false">
      <c r="A76" s="0" t="s">
        <v>754</v>
      </c>
      <c r="B76" s="0" t="s">
        <v>95</v>
      </c>
      <c r="F76" s="6" t="n">
        <f aca="false">MAX(0,capex_floor27-Thesis!F74-Thesis!F75-CF!F51)</f>
        <v>8.28777689897088</v>
      </c>
      <c r="G76" s="6" t="n">
        <f aca="false">0</f>
        <v>0</v>
      </c>
      <c r="H76" s="6" t="n">
        <f aca="false">0</f>
        <v>0</v>
      </c>
      <c r="I76" s="6" t="n">
        <f aca="false">0</f>
        <v>0</v>
      </c>
      <c r="J76" s="6" t="n">
        <f aca="false">0</f>
        <v>0</v>
      </c>
      <c r="K76" s="6" t="n">
        <f aca="false">0</f>
        <v>0</v>
      </c>
      <c r="L76" s="1" t="s">
        <v>755</v>
      </c>
    </row>
    <row r="77" customFormat="false" ht="17.15" hidden="false" customHeight="false" outlineLevel="0" collapsed="false">
      <c r="A77" s="0" t="s">
        <v>756</v>
      </c>
      <c r="B77" s="0" t="s">
        <v>95</v>
      </c>
      <c r="C77" s="6" t="n">
        <f aca="false">Thesis!C74</f>
        <v>22.5333845916667</v>
      </c>
      <c r="D77" s="6" t="n">
        <f aca="false">Thesis!D74</f>
        <v>34.0300093833333</v>
      </c>
      <c r="E77" s="6" t="n">
        <f aca="false">Thesis!E74</f>
        <v>67.600153775</v>
      </c>
      <c r="F77" s="6" t="n">
        <f aca="false">Thesis!F74+Thesis!F76</f>
        <v>139.211048770438</v>
      </c>
      <c r="G77" s="6" t="n">
        <f aca="false">Thesis!G74+Thesis!G76</f>
        <v>151.5545564832</v>
      </c>
      <c r="H77" s="6" t="n">
        <f aca="false">Thesis!H74+Thesis!H76</f>
        <v>156.0606619104</v>
      </c>
      <c r="I77" s="6" t="n">
        <f aca="false">Thesis!I74+Thesis!I76</f>
        <v>186.319337257067</v>
      </c>
      <c r="J77" s="6" t="n">
        <f aca="false">Thesis!J74+Thesis!J76</f>
        <v>201.757436923733</v>
      </c>
      <c r="K77" s="6" t="n">
        <f aca="false">Thesis!K74+Thesis!K76</f>
        <v>246.8366879504</v>
      </c>
    </row>
    <row r="78" customFormat="false" ht="17.15" hidden="false" customHeight="false" outlineLevel="0" collapsed="false">
      <c r="A78" s="0" t="s">
        <v>757</v>
      </c>
      <c r="B78" s="0" t="s">
        <v>95</v>
      </c>
      <c r="C78" s="6" t="n">
        <f aca="false">Thesis!C77+Thesis!C75</f>
        <v>28.7416845916667</v>
      </c>
      <c r="D78" s="6" t="n">
        <f aca="false">Thesis!D77+Thesis!D75</f>
        <v>43.4058093833333</v>
      </c>
      <c r="E78" s="6" t="n">
        <f aca="false">Thesis!E77+Thesis!E75</f>
        <v>86.225053775</v>
      </c>
      <c r="F78" s="6" t="n">
        <f aca="false">Thesis!F77+Thesis!F75</f>
        <v>168.620652770438</v>
      </c>
      <c r="G78" s="6" t="n">
        <f aca="false">Thesis!G77+Thesis!G75</f>
        <v>183.5741804832</v>
      </c>
      <c r="H78" s="6" t="n">
        <f aca="false">Thesis!H77+Thesis!H75</f>
        <v>188.0802859104</v>
      </c>
      <c r="I78" s="6" t="n">
        <f aca="false">Thesis!I77+Thesis!I75</f>
        <v>218.338961257067</v>
      </c>
      <c r="J78" s="6" t="n">
        <f aca="false">Thesis!J77+Thesis!J75</f>
        <v>233.777060923733</v>
      </c>
      <c r="K78" s="6" t="n">
        <f aca="false">Thesis!K77+Thesis!K75</f>
        <v>278.8563119504</v>
      </c>
      <c r="L78" s="11" t="s">
        <v>758</v>
      </c>
    </row>
    <row r="79" customFormat="false" ht="17.15" hidden="false" customHeight="false" outlineLevel="0" collapsed="false">
      <c r="A79" s="0" t="s">
        <v>759</v>
      </c>
      <c r="B79" s="0" t="s">
        <v>95</v>
      </c>
      <c r="E79" s="6" t="n">
        <f aca="false">(Thesis!C77*IF(2&lt;life_it,1,IF(2=life_it,0.5,0))+Thesis!D77*IF(1&lt;life_it,1,IF(1=life_it,0.5,0))+Thesis!E77*0.5)/life_it</f>
        <v>15.0605784770833</v>
      </c>
      <c r="F79" s="6" t="n">
        <f aca="false">(Thesis!C77*IF(3&lt;life_it,1,IF(3=life_it,0.5,0))+Thesis!D77*IF(2&lt;life_it,1,IF(2=life_it,0.5,0))+Thesis!E77*IF(1&lt;life_it,1,IF(1=life_it,0.5,0))+Thesis!F77*0.5)/life_it</f>
        <v>32.2948453558698</v>
      </c>
      <c r="G79" s="6" t="n">
        <f aca="false">(Thesis!C77*IF(4&lt;life_it,1,IF(4=life_it,0.5,0))+Thesis!D77*IF(3&lt;life_it,1,IF(3=life_it,0.5,0))+Thesis!E77*IF(2&lt;life_it,1,IF(2=life_it,0.5,0))+Thesis!F77*IF(1&lt;life_it,1,IF(1=life_it,0.5,0))+Thesis!G77*0.5)/life_it</f>
        <v>56.5253124603396</v>
      </c>
      <c r="H79" s="6" t="n">
        <f aca="false">(Thesis!C77*IF(5&lt;life_it,1,IF(5=life_it,0.5,0))+Thesis!D77*IF(4&lt;life_it,1,IF(4=life_it,0.5,0))+Thesis!E77*IF(3&lt;life_it,1,IF(3=life_it,0.5,0))+Thesis!F77*IF(2&lt;life_it,1,IF(2=life_it,0.5,0))+Thesis!G77*IF(1&lt;life_it,1,IF(1=life_it,0.5,0))+Thesis!H77*0.5)/life_it</f>
        <v>82.1599139931396</v>
      </c>
      <c r="I79" s="6" t="n">
        <f aca="false">(Thesis!C77*IF(6&lt;life_it,1,IF(6=life_it,0.5,0))+Thesis!D77*IF(5&lt;life_it,1,IF(5=life_it,0.5,0))+Thesis!E77*IF(4&lt;life_it,1,IF(4=life_it,0.5,0))+Thesis!F77*IF(3&lt;life_it,1,IF(3=life_it,0.5,0))+Thesis!G77*IF(2&lt;life_it,1,IF(2=life_it,0.5,0))+Thesis!H77*IF(1&lt;life_it,1,IF(1=life_it,0.5,0))+Thesis!I77*0.5)/life_it</f>
        <v>108.813798541123</v>
      </c>
      <c r="J79" s="6" t="n">
        <f aca="false">(Thesis!C77*IF(7&lt;life_it,1,IF(7=life_it,0.5,0))+Thesis!D77*IF(6&lt;life_it,1,IF(6=life_it,0.5,0))+Thesis!E77*IF(5&lt;life_it,1,IF(5=life_it,0.5,0))+Thesis!F77*IF(4&lt;life_it,1,IF(4=life_it,0.5,0))+Thesis!G77*IF(3&lt;life_it,1,IF(3=life_it,0.5,0))+Thesis!H77*IF(2&lt;life_it,1,IF(2=life_it,0.5,0))+Thesis!I77*IF(1&lt;life_it,1,IF(1=life_it,0.5,0))+Thesis!J77*0.5)/life_it</f>
        <v>136.439913558273</v>
      </c>
      <c r="K79" s="6" t="n">
        <f aca="false">(Thesis!C77*IF(8&lt;life_it,1,IF(8=life_it,0.5,0))+Thesis!D77*IF(7&lt;life_it,1,IF(7=life_it,0.5,0))+Thesis!E77*IF(6&lt;life_it,1,IF(6=life_it,0.5,0))+Thesis!F77*IF(5&lt;life_it,1,IF(5=life_it,0.5,0))+Thesis!G77*IF(4&lt;life_it,1,IF(4=life_it,0.5,0))+Thesis!H77*IF(3&lt;life_it,1,IF(3=life_it,0.5,0))+Thesis!I77*IF(2&lt;life_it,1,IF(2=life_it,0.5,0))+Thesis!J77*IF(1&lt;life_it,1,IF(1=life_it,0.5,0))+Thesis!K77*0.5)/life_it</f>
        <v>165.35357703459</v>
      </c>
    </row>
    <row r="80" customFormat="false" ht="17.15" hidden="false" customHeight="false" outlineLevel="0" collapsed="false">
      <c r="A80" s="0" t="s">
        <v>760</v>
      </c>
      <c r="B80" s="0" t="s">
        <v>95</v>
      </c>
      <c r="E80" s="6" t="n">
        <f aca="false">(Thesis!C75*IF(2&lt;life_fac,1,IF(2=life_fac,0.5,0))+Thesis!D75*IF(1&lt;life_fac,1,IF(1=life_fac,0.5,0))+Thesis!E75*0.5)/life_fac</f>
        <v>1.2448275</v>
      </c>
      <c r="F80" s="6" t="n">
        <f aca="false">(Thesis!C75*IF(3&lt;life_fac,1,IF(3=life_fac,0.5,0))+Thesis!D75*IF(2&lt;life_fac,1,IF(2=life_fac,0.5,0))+Thesis!E75*IF(1&lt;life_fac,1,IF(1=life_fac,0.5,0))+Thesis!F75*0.5)/life_fac</f>
        <v>2.4456901</v>
      </c>
      <c r="G80" s="6" t="n">
        <f aca="false">(Thesis!C75*IF(4&lt;life_fac,1,IF(4=life_fac,0.5,0))+Thesis!D75*IF(3&lt;life_fac,1,IF(3=life_fac,0.5,0))+Thesis!E75*IF(2&lt;life_fac,1,IF(2=life_fac,0.5,0))+Thesis!F75*IF(1&lt;life_fac,1,IF(1=life_fac,0.5,0))+Thesis!G75*0.5)/life_fac</f>
        <v>3.9814208</v>
      </c>
      <c r="H80" s="6" t="n">
        <f aca="false">(Thesis!C75*IF(5&lt;life_fac,1,IF(5=life_fac,0.5,0))+Thesis!D75*IF(4&lt;life_fac,1,IF(4=life_fac,0.5,0))+Thesis!E75*IF(3&lt;life_fac,1,IF(3=life_fac,0.5,0))+Thesis!F75*IF(2&lt;life_fac,1,IF(2=life_fac,0.5,0))+Thesis!G75*IF(1&lt;life_fac,1,IF(1=life_fac,0.5,0))+Thesis!H75*0.5)/life_fac</f>
        <v>5.582402</v>
      </c>
      <c r="I80" s="6" t="n">
        <f aca="false">(Thesis!C75*IF(6&lt;life_fac,1,IF(6=life_fac,0.5,0))+Thesis!D75*IF(5&lt;life_fac,1,IF(5=life_fac,0.5,0))+Thesis!E75*IF(4&lt;life_fac,1,IF(4=life_fac,0.5,0))+Thesis!F75*IF(3&lt;life_fac,1,IF(3=life_fac,0.5,0))+Thesis!G75*IF(2&lt;life_fac,1,IF(2=life_fac,0.5,0))+Thesis!H75*IF(1&lt;life_fac,1,IF(1=life_fac,0.5,0))+Thesis!I75*0.5)/life_fac</f>
        <v>7.1833832</v>
      </c>
      <c r="J80" s="6" t="n">
        <f aca="false">(Thesis!C75*IF(7&lt;life_fac,1,IF(7=life_fac,0.5,0))+Thesis!D75*IF(6&lt;life_fac,1,IF(6=life_fac,0.5,0))+Thesis!E75*IF(5&lt;life_fac,1,IF(5=life_fac,0.5,0))+Thesis!F75*IF(4&lt;life_fac,1,IF(4=life_fac,0.5,0))+Thesis!G75*IF(3&lt;life_fac,1,IF(3=life_fac,0.5,0))+Thesis!H75*IF(2&lt;life_fac,1,IF(2=life_fac,0.5,0))+Thesis!I75*IF(1&lt;life_fac,1,IF(1=life_fac,0.5,0))+Thesis!J75*0.5)/life_fac</f>
        <v>8.7843644</v>
      </c>
      <c r="K80" s="6" t="n">
        <f aca="false">(Thesis!C75*IF(8&lt;life_fac,1,IF(8=life_fac,0.5,0))+Thesis!D75*IF(7&lt;life_fac,1,IF(7=life_fac,0.5,0))+Thesis!E75*IF(6&lt;life_fac,1,IF(6=life_fac,0.5,0))+Thesis!F75*IF(5&lt;life_fac,1,IF(5=life_fac,0.5,0))+Thesis!G75*IF(4&lt;life_fac,1,IF(4=life_fac,0.5,0))+Thesis!H75*IF(3&lt;life_fac,1,IF(3=life_fac,0.5,0))+Thesis!I75*IF(2&lt;life_fac,1,IF(2=life_fac,0.5,0))+Thesis!J75*IF(1&lt;life_fac,1,IF(1=life_fac,0.5,0))+Thesis!K75*0.5)/life_fac</f>
        <v>10.3853456</v>
      </c>
    </row>
    <row r="81" customFormat="false" ht="17.15" hidden="false" customHeight="false" outlineLevel="0" collapsed="false">
      <c r="A81" s="0" t="s">
        <v>761</v>
      </c>
      <c r="B81" s="0" t="s">
        <v>95</v>
      </c>
      <c r="E81" s="6" t="n">
        <f aca="false">Thesis!E79+Thesis!E80</f>
        <v>16.3054059770833</v>
      </c>
      <c r="F81" s="6" t="n">
        <f aca="false">Thesis!F79+Thesis!F80</f>
        <v>34.7405354558698</v>
      </c>
      <c r="G81" s="6" t="n">
        <f aca="false">Thesis!G79+Thesis!G80</f>
        <v>60.5067332603396</v>
      </c>
      <c r="H81" s="6" t="n">
        <f aca="false">Thesis!H79+Thesis!H80</f>
        <v>87.7423159931396</v>
      </c>
      <c r="I81" s="6" t="n">
        <f aca="false">Thesis!I79+Thesis!I80</f>
        <v>115.997181741123</v>
      </c>
      <c r="J81" s="6" t="n">
        <f aca="false">Thesis!J79+Thesis!J80</f>
        <v>145.224277958273</v>
      </c>
      <c r="K81" s="6" t="n">
        <f aca="false">Thesis!K79+Thesis!K80</f>
        <v>175.73892263459</v>
      </c>
    </row>
    <row r="82" customFormat="false" ht="17.15" hidden="false" customHeight="false" outlineLevel="0" collapsed="false">
      <c r="A82" s="0" t="s">
        <v>762</v>
      </c>
      <c r="B82" s="0" t="s">
        <v>95</v>
      </c>
      <c r="E82" s="6" t="n">
        <f aca="false">Thesis!E70-Thesis!E69*Thesis!E81</f>
        <v>8.92707889977379</v>
      </c>
      <c r="F82" s="6" t="n">
        <f aca="false">Thesis!F70-Thesis!F69*Thesis!F81</f>
        <v>18.615119475672</v>
      </c>
      <c r="G82" s="6" t="n">
        <f aca="false">Thesis!G70-Thesis!G69*Thesis!G81</f>
        <v>30.2487146016024</v>
      </c>
      <c r="H82" s="6" t="n">
        <f aca="false">Thesis!H70-Thesis!H69*Thesis!H81</f>
        <v>42.5742553879752</v>
      </c>
      <c r="I82" s="6" t="n">
        <f aca="false">Thesis!I70-Thesis!I69*Thesis!I81</f>
        <v>54.433531417819</v>
      </c>
      <c r="J82" s="6" t="n">
        <f aca="false">Thesis!J70-Thesis!J69*Thesis!J81</f>
        <v>65.7854273229457</v>
      </c>
      <c r="K82" s="6" t="n">
        <f aca="false">Thesis!K70-Thesis!K69*Thesis!K81</f>
        <v>76.4094766830945</v>
      </c>
    </row>
    <row r="83" customFormat="false" ht="17.15" hidden="false" customHeight="false" outlineLevel="0" collapsed="false">
      <c r="A83" s="0" t="s">
        <v>763</v>
      </c>
      <c r="B83" s="0" t="s">
        <v>95</v>
      </c>
      <c r="E83" s="6" t="n">
        <f aca="false">Seg!E38</f>
        <v>5.25</v>
      </c>
      <c r="F83" s="6" t="n">
        <f aca="false">Seg!F38</f>
        <v>12</v>
      </c>
      <c r="G83" s="6" t="n">
        <f aca="false">Seg!G38</f>
        <v>18</v>
      </c>
      <c r="H83" s="6" t="n">
        <f aca="false">Seg!H38</f>
        <v>24</v>
      </c>
      <c r="I83" s="6" t="n">
        <f aca="false">Seg!I38</f>
        <v>28.5</v>
      </c>
      <c r="J83" s="6" t="n">
        <f aca="false">Seg!J38</f>
        <v>31.5</v>
      </c>
      <c r="K83" s="6" t="n">
        <f aca="false">Seg!K38</f>
        <v>34.5</v>
      </c>
    </row>
    <row r="84" customFormat="false" ht="17.15" hidden="false" customHeight="false" outlineLevel="0" collapsed="false">
      <c r="A84" s="0" t="s">
        <v>764</v>
      </c>
      <c r="B84" s="0" t="s">
        <v>95</v>
      </c>
      <c r="E84" s="6" t="n">
        <f aca="false">Thesis!E70+Thesis!E83*PL!E66-Thesis!E71-Thesis!E81</f>
        <v>2.1514866143068</v>
      </c>
      <c r="F84" s="6" t="n">
        <f aca="false">Thesis!F70+Thesis!F83*PL!F66-Thesis!F71-Thesis!F81</f>
        <v>5.03746295335383</v>
      </c>
      <c r="G84" s="6" t="n">
        <f aca="false">Thesis!G70+Thesis!G83*PL!G66-Thesis!G71-Thesis!G81</f>
        <v>5.53862243911072</v>
      </c>
      <c r="H84" s="6" t="n">
        <f aca="false">Thesis!H70+Thesis!H83*PL!H66-Thesis!H71-Thesis!H81</f>
        <v>5.9168749097885</v>
      </c>
      <c r="I84" s="6" t="n">
        <f aca="false">Thesis!I70+Thesis!I83*PL!I66-Thesis!I71-Thesis!I81</f>
        <v>4.55238614599091</v>
      </c>
      <c r="J84" s="6" t="n">
        <f aca="false">Thesis!J70+Thesis!J83*PL!J66-Thesis!J71-Thesis!J81</f>
        <v>1.42874498092178</v>
      </c>
      <c r="K84" s="6" t="n">
        <f aca="false">Thesis!K70+Thesis!K83*PL!K66-Thesis!K71-Thesis!K81</f>
        <v>-2.94155284488286</v>
      </c>
    </row>
    <row r="85" customFormat="false" ht="17.15" hidden="false" customHeight="false" outlineLevel="0" collapsed="false">
      <c r="A85" s="0" t="s">
        <v>765</v>
      </c>
      <c r="B85" s="0" t="s">
        <v>95</v>
      </c>
      <c r="E85" s="6" t="n">
        <f aca="false">Thesis!E53*(cxit_open+self_build*tk_cxfac)/1000*ai_net_open</f>
        <v>126.6980382</v>
      </c>
      <c r="F85" s="6" t="n">
        <f aca="false">Thesis!E85+Thesis!F78-Thesis!F81</f>
        <v>260.578155514568</v>
      </c>
      <c r="G85" s="6" t="n">
        <f aca="false">Thesis!F85+Thesis!G78-Thesis!G81</f>
        <v>383.645602737428</v>
      </c>
      <c r="H85" s="6" t="n">
        <f aca="false">Thesis!G85+Thesis!H78-Thesis!H81</f>
        <v>483.983572654688</v>
      </c>
      <c r="I85" s="6" t="n">
        <f aca="false">Thesis!H85+Thesis!I78-Thesis!I81</f>
        <v>586.325352170632</v>
      </c>
      <c r="J85" s="6" t="n">
        <f aca="false">Thesis!I85+Thesis!J78-Thesis!J81</f>
        <v>674.878135136093</v>
      </c>
      <c r="K85" s="6" t="n">
        <f aca="false">Thesis!J85+Thesis!K78-Thesis!K81</f>
        <v>777.995524451903</v>
      </c>
      <c r="L85" s="1" t="s">
        <v>766</v>
      </c>
    </row>
    <row r="86" customFormat="false" ht="17.15" hidden="false" customHeight="false" outlineLevel="0" collapsed="false">
      <c r="A86" s="0" t="s">
        <v>767</v>
      </c>
      <c r="B86" s="0" t="s">
        <v>126</v>
      </c>
      <c r="F86" s="7" t="n">
        <f aca="false">Thesis!F84*(1-tax_f)/((Thesis!E85+Thesis!F85)/2)</f>
        <v>0.020811867231133</v>
      </c>
      <c r="G86" s="7" t="n">
        <f aca="false">Thesis!G84*(1-tax_f)/((Thesis!F85+Thesis!G85)/2)</f>
        <v>0.0137557731907036</v>
      </c>
      <c r="H86" s="7" t="n">
        <f aca="false">Thesis!H84*(1-tax_f)/((Thesis!G85+Thesis!H85)/2)</f>
        <v>0.0109113433759107</v>
      </c>
      <c r="I86" s="7" t="n">
        <f aca="false">Thesis!I84*(1-tax_f)/((Thesis!H85+Thesis!I85)/2)</f>
        <v>0.00680534158376209</v>
      </c>
      <c r="J86" s="7" t="n">
        <f aca="false">Thesis!J84*(1-tax_f)/((Thesis!I85+Thesis!J85)/2)</f>
        <v>0.00181254808798264</v>
      </c>
      <c r="K86" s="7" t="n">
        <f aca="false">Thesis!K84*(1-tax_f)/((Thesis!J85+Thesis!K85)/2)</f>
        <v>-0.00323943139911232</v>
      </c>
    </row>
    <row r="87" customFormat="false" ht="17.15" hidden="false" customHeight="false" outlineLevel="0" collapsed="false">
      <c r="A87" s="1" t="s">
        <v>768</v>
      </c>
      <c r="B87" s="0" t="s">
        <v>126</v>
      </c>
      <c r="F87" s="7" t="n">
        <f aca="false">Thesis!F82*(1-tax_f)/(Thesis!F69*(Thesis!E85+Thesis!F85)/2)</f>
        <v>0.128178079126594</v>
      </c>
      <c r="G87" s="7" t="n">
        <f aca="false">Thesis!G82*(1-tax_f)/(Thesis!G69*(Thesis!F85+Thesis!G85)/2)</f>
        <v>0.125209972318428</v>
      </c>
      <c r="H87" s="7" t="n">
        <f aca="false">Thesis!H82*(1-tax_f)/(Thesis!H69*(Thesis!G85+Thesis!H85)/2)</f>
        <v>0.130852385928537</v>
      </c>
      <c r="I87" s="7" t="n">
        <f aca="false">Thesis!I82*(1-tax_f)/(Thesis!I69*(Thesis!H85+Thesis!I85)/2)</f>
        <v>0.135620735671751</v>
      </c>
      <c r="J87" s="7" t="n">
        <f aca="false">Thesis!J82*(1-tax_f)/(Thesis!J69*(Thesis!I85+Thesis!J85)/2)</f>
        <v>0.139095560676846</v>
      </c>
      <c r="K87" s="7" t="n">
        <f aca="false">Thesis!K82*(1-tax_f)/(Thesis!K69*(Thesis!J85+Thesis!K85)/2)</f>
        <v>0.14024523271076</v>
      </c>
    </row>
    <row r="88" customFormat="false" ht="17.15" hidden="false" customHeight="false" outlineLevel="0" collapsed="false">
      <c r="A88" s="0" t="s">
        <v>769</v>
      </c>
      <c r="B88" s="0" t="s">
        <v>208</v>
      </c>
      <c r="F88" s="7" t="n">
        <f aca="false">Thesis!F86-wacc</f>
        <v>-0.088151353919121</v>
      </c>
      <c r="G88" s="7" t="n">
        <f aca="false">Thesis!G86-wacc</f>
        <v>-0.0952074479595503</v>
      </c>
      <c r="H88" s="7" t="n">
        <f aca="false">Thesis!H86-wacc</f>
        <v>-0.0980518777743433</v>
      </c>
      <c r="I88" s="7" t="n">
        <f aca="false">Thesis!I86-wacc</f>
        <v>-0.102157879566492</v>
      </c>
      <c r="J88" s="7" t="n">
        <f aca="false">Thesis!J86-wacc</f>
        <v>-0.107150673062271</v>
      </c>
      <c r="K88" s="7" t="n">
        <f aca="false">Thesis!K86-wacc</f>
        <v>-0.112202652549366</v>
      </c>
    </row>
    <row r="89" customFormat="false" ht="17.15" hidden="false" customHeight="false" outlineLevel="0" collapsed="false">
      <c r="A89" s="0" t="s">
        <v>770</v>
      </c>
      <c r="B89" s="0" t="s">
        <v>95</v>
      </c>
      <c r="F89" s="6" t="n">
        <f aca="false">Thesis!F84*(1-tax_f)-wacc*(Thesis!E85+Thesis!F85)/2</f>
        <v>-17.0694604082915</v>
      </c>
      <c r="G89" s="6" t="n">
        <f aca="false">Thesis!G84*(1-tax_f)-wacc*(Thesis!F85+Thesis!G85)/2</f>
        <v>-30.6674499690414</v>
      </c>
      <c r="H89" s="6" t="n">
        <f aca="false">Thesis!H84*(1-tax_f)-wacc*(Thesis!G85+Thesis!H85)/2</f>
        <v>-42.536334929501</v>
      </c>
      <c r="I89" s="6" t="n">
        <f aca="false">Thesis!I84*(1-tax_f)-wacc*(Thesis!H85+Thesis!I85)/2</f>
        <v>-54.6702451206233</v>
      </c>
      <c r="J89" s="6" t="n">
        <f aca="false">Thesis!J84*(1-tax_f)-wacc*(Thesis!I85+Thesis!J85)/2</f>
        <v>-67.5694012666997</v>
      </c>
      <c r="K89" s="6" t="n">
        <f aca="false">Thesis!K84*(1-tax_f)-wacc*(Thesis!J85+Thesis!K85)/2</f>
        <v>-81.5081392124391</v>
      </c>
    </row>
    <row r="90" customFormat="false" ht="17.15" hidden="false" customHeight="false" outlineLevel="0" collapsed="false">
      <c r="A90" s="1" t="s">
        <v>771</v>
      </c>
      <c r="B90" s="0" t="s">
        <v>95</v>
      </c>
      <c r="F90" s="6" t="n">
        <f aca="false">(Thesis!E54+Thesis!F54)/2*Thesis!F61/1000</f>
        <v>26.7873066765967</v>
      </c>
      <c r="G90" s="6" t="n">
        <f aca="false">(Thesis!F54+Thesis!G54)/2*Thesis!G61/1000</f>
        <v>45.4131817597218</v>
      </c>
      <c r="H90" s="6" t="n">
        <f aca="false">(Thesis!G54+Thesis!H54)/2*Thesis!H61/1000</f>
        <v>65.3915129357971</v>
      </c>
      <c r="I90" s="6" t="n">
        <f aca="false">(Thesis!H54+Thesis!I54)/2*Thesis!I61/1000</f>
        <v>85.5187419289299</v>
      </c>
      <c r="J90" s="6" t="n">
        <f aca="false">(Thesis!I54+Thesis!J54)/2*Thesis!J61/1000</f>
        <v>105.723807195006</v>
      </c>
      <c r="K90" s="6" t="n">
        <f aca="false">(Thesis!J54+Thesis!K54)/2*Thesis!K61/1000</f>
        <v>125.974659797015</v>
      </c>
      <c r="L90" s="1" t="s">
        <v>772</v>
      </c>
    </row>
    <row r="91" customFormat="false" ht="17.15" hidden="false" customHeight="false" outlineLevel="0" collapsed="false">
      <c r="A91" s="1" t="s">
        <v>773</v>
      </c>
      <c r="B91" s="0" t="s">
        <v>126</v>
      </c>
      <c r="F91" s="7" t="n">
        <f aca="false">(Thesis!F70+Thesis!F90-Thesis!F71-Thesis!F81)*(1-tax_f)/((Thesis!E85+Thesis!F85)/2)</f>
        <v>0.103175074842083</v>
      </c>
      <c r="G91" s="7" t="n">
        <f aca="false">(Thesis!G70+Thesis!G90-Thesis!G71-Thesis!G81)*(1-tax_f)/((Thesis!F85+Thesis!G85)/2)</f>
        <v>0.101019737597725</v>
      </c>
      <c r="H91" s="7" t="n">
        <f aca="false">(Thesis!H70+Thesis!H90-Thesis!H71-Thesis!H81)*(1-tax_f)/((Thesis!G85+Thesis!H85)/2)</f>
        <v>0.106230473678522</v>
      </c>
      <c r="I91" s="7" t="n">
        <f aca="false">(Thesis!I70+Thesis!I90-Thesis!I71-Thesis!I81)*(1-tax_f)/((Thesis!H85+Thesis!I85)/2)</f>
        <v>0.110321559487224</v>
      </c>
      <c r="J91" s="7" t="n">
        <f aca="false">(Thesis!J70+Thesis!J90-Thesis!J71-Thesis!J81)*(1-tax_f)/((Thesis!I85+Thesis!J85)/2)</f>
        <v>0.113120392096189</v>
      </c>
      <c r="K91" s="7" t="n">
        <f aca="false">(Thesis!K70+Thesis!K90-Thesis!K71-Thesis!K81)*(1-tax_f)/((Thesis!J85+Thesis!K85)/2)</f>
        <v>0.113799382529803</v>
      </c>
      <c r="L91" s="1" t="s">
        <v>774</v>
      </c>
    </row>
    <row r="92" customFormat="false" ht="17.15" hidden="false" customHeight="false" outlineLevel="0" collapsed="false">
      <c r="A92" s="3" t="s">
        <v>776</v>
      </c>
    </row>
    <row r="93" customFormat="false" ht="15" hidden="false" customHeight="false" outlineLevel="0" collapsed="false">
      <c r="A93" s="4" t="s">
        <v>43</v>
      </c>
      <c r="B93" s="4" t="s">
        <v>63</v>
      </c>
      <c r="C93" s="19" t="s">
        <v>710</v>
      </c>
      <c r="D93" s="19" t="s">
        <v>711</v>
      </c>
      <c r="E93" s="19" t="s">
        <v>712</v>
      </c>
      <c r="F93" s="19" t="s">
        <v>713</v>
      </c>
      <c r="G93" s="19" t="s">
        <v>714</v>
      </c>
      <c r="H93" s="19" t="s">
        <v>715</v>
      </c>
      <c r="I93" s="19" t="s">
        <v>716</v>
      </c>
      <c r="J93" s="19" t="s">
        <v>717</v>
      </c>
      <c r="K93" s="19" t="s">
        <v>718</v>
      </c>
      <c r="L93" s="4" t="s">
        <v>47</v>
      </c>
    </row>
    <row r="94" customFormat="false" ht="17.15" hidden="false" customHeight="false" outlineLevel="0" collapsed="false">
      <c r="A94" s="1" t="s">
        <v>719</v>
      </c>
      <c r="B94" s="0" t="s">
        <v>340</v>
      </c>
      <c r="C94" s="27" t="n">
        <f aca="false">mw_ext_24</f>
        <v>640</v>
      </c>
      <c r="D94" s="27" t="n">
        <f aca="false">mw_ext_25</f>
        <v>1630</v>
      </c>
      <c r="E94" s="27" t="n">
        <f aca="false">mw_ext_26</f>
        <v>3250</v>
      </c>
      <c r="F94" s="27" t="n">
        <f aca="false">MIN(1000000000,Thesis!E94+pace)</f>
        <v>5777.2</v>
      </c>
      <c r="G94" s="27" t="n">
        <f aca="false">MIN(1000000000,Thesis!F94+pace)</f>
        <v>8304.4</v>
      </c>
      <c r="H94" s="27" t="n">
        <f aca="false">MIN(1000000000,Thesis!G94+pace)</f>
        <v>10831.6</v>
      </c>
      <c r="I94" s="27" t="n">
        <f aca="false">MIN(1000000000,Thesis!H94+pace)</f>
        <v>13358.8</v>
      </c>
      <c r="J94" s="27" t="n">
        <f aca="false">MIN(1000000000,Thesis!I94+pace)</f>
        <v>15886</v>
      </c>
      <c r="K94" s="27" t="n">
        <f aca="false">MIN(1000000000,Thesis!J94+pace)</f>
        <v>18413.2</v>
      </c>
      <c r="L94" s="11" t="s">
        <v>720</v>
      </c>
    </row>
    <row r="95" customFormat="false" ht="17.15" hidden="false" customHeight="false" outlineLevel="0" collapsed="false">
      <c r="A95" s="1" t="s">
        <v>721</v>
      </c>
      <c r="B95" s="0" t="s">
        <v>340</v>
      </c>
      <c r="C95" s="27" t="n">
        <f aca="false">rent_ext_24</f>
        <v>150</v>
      </c>
      <c r="D95" s="27" t="n">
        <f aca="false">rent_ext_25</f>
        <v>400</v>
      </c>
      <c r="E95" s="27" t="n">
        <f aca="false">rent_ext_26</f>
        <v>550</v>
      </c>
      <c r="F95" s="27" t="n">
        <f aca="false">rent_ext_f</f>
        <v>756</v>
      </c>
      <c r="G95" s="27" t="n">
        <f aca="false">rent_ext_f</f>
        <v>756</v>
      </c>
      <c r="H95" s="27" t="n">
        <f aca="false">rent_ext_f</f>
        <v>756</v>
      </c>
      <c r="I95" s="27" t="n">
        <f aca="false">rent_ext_f</f>
        <v>756</v>
      </c>
      <c r="J95" s="27" t="n">
        <f aca="false">rent_ext_f</f>
        <v>756</v>
      </c>
      <c r="K95" s="27" t="n">
        <f aca="false">rent_ext_f</f>
        <v>756</v>
      </c>
      <c r="L95" s="1" t="s">
        <v>722</v>
      </c>
    </row>
    <row r="96" customFormat="false" ht="17.15" hidden="false" customHeight="false" outlineLevel="0" collapsed="false">
      <c r="A96" s="1" t="s">
        <v>723</v>
      </c>
      <c r="B96" s="0" t="s">
        <v>340</v>
      </c>
      <c r="C96" s="27" t="n">
        <f aca="false">Thesis!C94-Thesis!C95</f>
        <v>490</v>
      </c>
      <c r="D96" s="27" t="n">
        <f aca="false">Thesis!D94-Thesis!D95</f>
        <v>1230</v>
      </c>
      <c r="E96" s="27" t="n">
        <f aca="false">Thesis!E94-Thesis!E95</f>
        <v>2700</v>
      </c>
      <c r="F96" s="27" t="n">
        <f aca="false">Thesis!F94-Thesis!F95</f>
        <v>5021.2</v>
      </c>
      <c r="G96" s="27" t="n">
        <f aca="false">Thesis!G94-Thesis!G95</f>
        <v>7548.4</v>
      </c>
      <c r="H96" s="27" t="n">
        <f aca="false">Thesis!H94-Thesis!H95</f>
        <v>10075.6</v>
      </c>
      <c r="I96" s="27" t="n">
        <f aca="false">Thesis!I94-Thesis!I95</f>
        <v>12602.8</v>
      </c>
      <c r="J96" s="27" t="n">
        <f aca="false">Thesis!J94-Thesis!J95</f>
        <v>15130</v>
      </c>
      <c r="K96" s="27" t="n">
        <f aca="false">Thesis!K94-Thesis!K95</f>
        <v>17657.2</v>
      </c>
    </row>
    <row r="97" customFormat="false" ht="17.15" hidden="false" customHeight="false" outlineLevel="0" collapsed="false">
      <c r="A97" s="1" t="s">
        <v>724</v>
      </c>
      <c r="B97" s="0" t="s">
        <v>340</v>
      </c>
      <c r="C97" s="27" t="n">
        <f aca="false">Thesis!C96/ext_sh</f>
        <v>816.666666666667</v>
      </c>
      <c r="D97" s="27" t="n">
        <f aca="false">Thesis!D96/ext_sh</f>
        <v>2050</v>
      </c>
      <c r="E97" s="27" t="n">
        <f aca="false">Thesis!E96/ext_sh</f>
        <v>4500</v>
      </c>
      <c r="F97" s="27" t="n">
        <f aca="false">Thesis!F96/ext_sh</f>
        <v>8368.66666666667</v>
      </c>
      <c r="G97" s="27" t="n">
        <f aca="false">Thesis!G96/ext_sh</f>
        <v>12580.6666666667</v>
      </c>
      <c r="H97" s="27" t="n">
        <f aca="false">Thesis!H96/ext_sh</f>
        <v>16792.6666666667</v>
      </c>
      <c r="I97" s="27" t="n">
        <f aca="false">Thesis!I96/ext_sh</f>
        <v>21004.6666666667</v>
      </c>
      <c r="J97" s="27" t="n">
        <f aca="false">Thesis!J96/ext_sh</f>
        <v>25216.6666666667</v>
      </c>
      <c r="K97" s="27" t="n">
        <f aca="false">Thesis!K96/ext_sh</f>
        <v>29428.6666666667</v>
      </c>
      <c r="L97" s="1" t="s">
        <v>725</v>
      </c>
    </row>
    <row r="98" customFormat="false" ht="17.15" hidden="false" customHeight="false" outlineLevel="0" collapsed="false">
      <c r="A98" s="1" t="s">
        <v>726</v>
      </c>
      <c r="B98" s="0" t="s">
        <v>340</v>
      </c>
      <c r="C98" s="27" t="n">
        <f aca="false">Thesis!C97-Thesis!C96</f>
        <v>326.666666666667</v>
      </c>
      <c r="D98" s="27" t="n">
        <f aca="false">Thesis!D97-Thesis!D96</f>
        <v>820</v>
      </c>
      <c r="E98" s="27" t="n">
        <f aca="false">Thesis!E97-Thesis!E96</f>
        <v>1800</v>
      </c>
      <c r="F98" s="27" t="n">
        <f aca="false">Thesis!F97-Thesis!F96</f>
        <v>3347.46666666667</v>
      </c>
      <c r="G98" s="27" t="n">
        <f aca="false">Thesis!G97-Thesis!G96</f>
        <v>5032.26666666667</v>
      </c>
      <c r="H98" s="27" t="n">
        <f aca="false">Thesis!H97-Thesis!H96</f>
        <v>6717.06666666667</v>
      </c>
      <c r="I98" s="27" t="n">
        <f aca="false">Thesis!I97-Thesis!I96</f>
        <v>8401.86666666667</v>
      </c>
      <c r="J98" s="27" t="n">
        <f aca="false">Thesis!J97-Thesis!J96</f>
        <v>10086.6666666667</v>
      </c>
      <c r="K98" s="27" t="n">
        <f aca="false">Thesis!K97-Thesis!K96</f>
        <v>11771.4666666667</v>
      </c>
    </row>
    <row r="99" customFormat="false" ht="17.15" hidden="false" customHeight="false" outlineLevel="0" collapsed="false">
      <c r="A99" s="1" t="s">
        <v>727</v>
      </c>
      <c r="B99" s="0" t="s">
        <v>340</v>
      </c>
      <c r="C99" s="27" t="n">
        <f aca="false">Thesis!C97</f>
        <v>816.666666666667</v>
      </c>
      <c r="D99" s="27" t="n">
        <f aca="false">Thesis!D97-Thesis!C97</f>
        <v>1233.33333333333</v>
      </c>
      <c r="E99" s="27" t="n">
        <f aca="false">Thesis!E97-Thesis!D97</f>
        <v>2450</v>
      </c>
      <c r="F99" s="27" t="n">
        <f aca="false">Thesis!F97-Thesis!E97</f>
        <v>3868.66666666667</v>
      </c>
      <c r="G99" s="27" t="n">
        <f aca="false">Thesis!G97-Thesis!F97</f>
        <v>4212</v>
      </c>
      <c r="H99" s="27" t="n">
        <f aca="false">Thesis!H97-Thesis!G97</f>
        <v>4212</v>
      </c>
      <c r="I99" s="27" t="n">
        <f aca="false">Thesis!I97-Thesis!H97</f>
        <v>4212</v>
      </c>
      <c r="J99" s="27" t="n">
        <f aca="false">Thesis!J97-Thesis!I97</f>
        <v>4212</v>
      </c>
      <c r="K99" s="27" t="n">
        <f aca="false">Thesis!K97-Thesis!J97</f>
        <v>4212</v>
      </c>
    </row>
    <row r="100" customFormat="false" ht="17.15" hidden="false" customHeight="false" outlineLevel="0" collapsed="false">
      <c r="A100" s="1" t="s">
        <v>728</v>
      </c>
      <c r="B100" s="0" t="s">
        <v>340</v>
      </c>
      <c r="D100" s="27" t="n">
        <f aca="false">Thesis!D94-Thesis!C94</f>
        <v>990</v>
      </c>
      <c r="E100" s="27" t="n">
        <f aca="false">Thesis!E94-Thesis!D94</f>
        <v>1620</v>
      </c>
      <c r="F100" s="27" t="n">
        <f aca="false">Thesis!F94-Thesis!E94</f>
        <v>2527.2</v>
      </c>
      <c r="G100" s="27" t="n">
        <f aca="false">Thesis!G94-Thesis!F94</f>
        <v>2527.2</v>
      </c>
      <c r="H100" s="27" t="n">
        <f aca="false">Thesis!H94-Thesis!G94</f>
        <v>2527.2</v>
      </c>
      <c r="I100" s="27" t="n">
        <f aca="false">Thesis!I94-Thesis!H94</f>
        <v>2527.2</v>
      </c>
      <c r="J100" s="27" t="n">
        <f aca="false">Thesis!J94-Thesis!I94</f>
        <v>2527.2</v>
      </c>
      <c r="K100" s="27" t="n">
        <f aca="false">Thesis!K94-Thesis!J94</f>
        <v>2527.2</v>
      </c>
    </row>
    <row r="101" customFormat="false" ht="17.15" hidden="false" customHeight="false" outlineLevel="0" collapsed="false">
      <c r="A101" s="1" t="s">
        <v>729</v>
      </c>
      <c r="B101" s="0" t="s">
        <v>340</v>
      </c>
      <c r="C101" s="27" t="n">
        <f aca="false">mix_h*Thesis!C94</f>
        <v>128</v>
      </c>
      <c r="D101" s="27" t="n">
        <f aca="false">mix_h*Thesis!D94</f>
        <v>326</v>
      </c>
      <c r="E101" s="27" t="n">
        <f aca="false">mix_h*Thesis!E94</f>
        <v>650</v>
      </c>
      <c r="F101" s="27" t="n">
        <f aca="false">Thesis!E101</f>
        <v>650</v>
      </c>
      <c r="G101" s="27" t="n">
        <f aca="false">Thesis!F101</f>
        <v>650</v>
      </c>
      <c r="H101" s="27" t="n">
        <f aca="false">Thesis!G101</f>
        <v>650</v>
      </c>
      <c r="I101" s="27" t="n">
        <f aca="false">Thesis!H101</f>
        <v>650</v>
      </c>
      <c r="J101" s="27" t="n">
        <f aca="false">Thesis!I101</f>
        <v>650</v>
      </c>
      <c r="K101" s="27" t="n">
        <f aca="false">Thesis!J101</f>
        <v>650</v>
      </c>
    </row>
    <row r="102" customFormat="false" ht="17.15" hidden="false" customHeight="false" outlineLevel="0" collapsed="false">
      <c r="A102" s="1" t="s">
        <v>730</v>
      </c>
      <c r="B102" s="0" t="s">
        <v>340</v>
      </c>
      <c r="C102" s="27" t="n">
        <f aca="false">mix_g2*Thesis!C94</f>
        <v>288</v>
      </c>
      <c r="D102" s="27" t="n">
        <f aca="false">mix_g2*Thesis!D94</f>
        <v>733.5</v>
      </c>
      <c r="E102" s="27" t="n">
        <f aca="false">mix_g2*Thesis!E94</f>
        <v>1462.5</v>
      </c>
      <c r="F102" s="27" t="n">
        <f aca="false">Thesis!E102</f>
        <v>1462.5</v>
      </c>
      <c r="G102" s="27" t="n">
        <f aca="false">Thesis!F102</f>
        <v>1462.5</v>
      </c>
      <c r="H102" s="27" t="n">
        <f aca="false">Thesis!G102</f>
        <v>1462.5</v>
      </c>
      <c r="I102" s="27" t="n">
        <f aca="false">Thesis!H102</f>
        <v>1462.5</v>
      </c>
      <c r="J102" s="27" t="n">
        <f aca="false">Thesis!I102</f>
        <v>1462.5</v>
      </c>
      <c r="K102" s="27" t="n">
        <f aca="false">Thesis!J102</f>
        <v>1462.5</v>
      </c>
    </row>
    <row r="103" customFormat="false" ht="17.15" hidden="false" customHeight="false" outlineLevel="0" collapsed="false">
      <c r="A103" s="1" t="s">
        <v>731</v>
      </c>
      <c r="B103" s="0" t="s">
        <v>340</v>
      </c>
      <c r="C103" s="27" t="n">
        <f aca="false">mix_g3*Thesis!C94</f>
        <v>224</v>
      </c>
      <c r="D103" s="27" t="n">
        <f aca="false">mix_g3*Thesis!D94</f>
        <v>570.5</v>
      </c>
      <c r="E103" s="27" t="n">
        <f aca="false">mix_g3*Thesis!E94</f>
        <v>1137.5</v>
      </c>
      <c r="F103" s="27" t="n">
        <f aca="false">Thesis!E103+Thesis!F100*a_g3_27</f>
        <v>2906.54</v>
      </c>
      <c r="G103" s="27" t="n">
        <f aca="false">Thesis!F103+Thesis!G100*a_g3_28</f>
        <v>3664.7</v>
      </c>
      <c r="H103" s="27" t="n">
        <f aca="false">Thesis!G103+Thesis!H100*a_g3_29</f>
        <v>3917.42</v>
      </c>
      <c r="I103" s="27" t="n">
        <f aca="false">Thesis!H103+Thesis!I100*a_g3_29</f>
        <v>4170.14</v>
      </c>
      <c r="J103" s="27" t="n">
        <f aca="false">Thesis!I103+Thesis!J100*a_g3_29</f>
        <v>4422.86</v>
      </c>
      <c r="K103" s="27" t="n">
        <f aca="false">Thesis!J103+Thesis!K100*a_g3_29</f>
        <v>4675.58</v>
      </c>
    </row>
    <row r="104" customFormat="false" ht="17.15" hidden="false" customHeight="false" outlineLevel="0" collapsed="false">
      <c r="A104" s="1" t="s">
        <v>732</v>
      </c>
      <c r="B104" s="0" t="s">
        <v>340</v>
      </c>
      <c r="C104" s="27" t="n">
        <f aca="false">0</f>
        <v>0</v>
      </c>
      <c r="D104" s="27" t="n">
        <f aca="false">0</f>
        <v>0</v>
      </c>
      <c r="E104" s="27" t="n">
        <f aca="false">0</f>
        <v>0</v>
      </c>
      <c r="F104" s="27" t="n">
        <f aca="false">Thesis!E104+Thesis!F100*(1-a_g3_27)</f>
        <v>758.16</v>
      </c>
      <c r="G104" s="27" t="n">
        <f aca="false">Thesis!F104+Thesis!G100*(1-a_g3_28)</f>
        <v>2527.2</v>
      </c>
      <c r="H104" s="27" t="n">
        <f aca="false">Thesis!G104+Thesis!H100*(1-a_g3_29)</f>
        <v>4801.68</v>
      </c>
      <c r="I104" s="27" t="n">
        <f aca="false">Thesis!H104+Thesis!I100*(1-a_g3_29)</f>
        <v>7076.16</v>
      </c>
      <c r="J104" s="27" t="n">
        <f aca="false">Thesis!I104+Thesis!J100*(1-a_g3_29)</f>
        <v>9350.64</v>
      </c>
      <c r="K104" s="27" t="n">
        <f aca="false">Thesis!J104+Thesis!K100*(1-a_g3_29)</f>
        <v>11625.12</v>
      </c>
    </row>
    <row r="105" customFormat="false" ht="17.15" hidden="false" customHeight="false" outlineLevel="0" collapsed="false">
      <c r="A105" s="1" t="s">
        <v>733</v>
      </c>
      <c r="B105" s="0" t="s">
        <v>291</v>
      </c>
      <c r="C105" s="18" t="n">
        <f aca="false">(Thesis!C101*tk_hold_h100+Thesis!C102*tk_hold_gb200+Thesis!C103*tk_hold_gb300+Thesis!C104*tk_hold_vr200)/Thesis!C94</f>
        <v>9.7235358126469</v>
      </c>
      <c r="D105" s="18" t="n">
        <f aca="false">(Thesis!D101*tk_hold_h100+Thesis!D102*tk_hold_gb200+Thesis!D103*tk_hold_gb300+Thesis!D104*tk_hold_vr200)/Thesis!D94</f>
        <v>9.7235358126469</v>
      </c>
      <c r="E105" s="18" t="n">
        <f aca="false">(Thesis!E101*tk_hold_h100+Thesis!E102*tk_hold_gb200+Thesis!E103*tk_hold_gb300+Thesis!E104*tk_hold_vr200)/Thesis!E94</f>
        <v>9.7235358126469</v>
      </c>
      <c r="F105" s="18" t="n">
        <f aca="false">(Thesis!F101*tk_hold_h100+Thesis!F102*tk_hold_gb200+Thesis!F103*tk_hold_gb300+Thesis!F104*tk_hold_vr200)/Thesis!F94</f>
        <v>10.4079573161931</v>
      </c>
      <c r="G105" s="18" t="n">
        <f aca="false">(Thesis!G101*tk_hold_h100+Thesis!G102*tk_hold_gb200+Thesis!G103*tk_hold_gb300+Thesis!G104*tk_hold_vr200)/Thesis!G94</f>
        <v>10.8388131109316</v>
      </c>
      <c r="H105" s="18" t="n">
        <f aca="false">(Thesis!H101*tk_hold_h100+Thesis!H102*tk_hold_gb200+Thesis!H103*tk_hold_gb300+Thesis!H104*tk_hold_vr200)/Thesis!H94</f>
        <v>11.1311018388216</v>
      </c>
      <c r="I105" s="18" t="n">
        <f aca="false">(Thesis!I101*tk_hold_h100+Thesis!I102*tk_hold_gb200+Thesis!I103*tk_hold_gb300+Thesis!I104*tk_hold_vr200)/Thesis!I94</f>
        <v>11.3128009818501</v>
      </c>
      <c r="J105" s="18" t="n">
        <f aca="false">(Thesis!J101*tk_hold_h100+Thesis!J102*tk_hold_gb200+Thesis!J103*tk_hold_gb300+Thesis!J104*tk_hold_vr200)/Thesis!J94</f>
        <v>11.4366894646418</v>
      </c>
      <c r="K105" s="18" t="n">
        <f aca="false">(Thesis!K101*tk_hold_h100+Thesis!K102*tk_hold_gb200+Thesis!K103*tk_hold_gb300+Thesis!K104*tk_hold_vr200)/Thesis!K94</f>
        <v>11.526570716348</v>
      </c>
    </row>
    <row r="106" customFormat="false" ht="17.15" hidden="false" customHeight="false" outlineLevel="0" collapsed="false">
      <c r="A106" s="0" t="s">
        <v>734</v>
      </c>
      <c r="B106" s="0" t="s">
        <v>182</v>
      </c>
      <c r="C106" s="18" t="n">
        <f aca="false">k_B</f>
        <v>1.17213932619116</v>
      </c>
      <c r="D106" s="18" t="n">
        <f aca="false">k_B</f>
        <v>1.17213932619116</v>
      </c>
      <c r="E106" s="18" t="n">
        <f aca="false">k_B</f>
        <v>1.17213932619116</v>
      </c>
      <c r="F106" s="18" t="n">
        <f aca="false">(k_B+((ls_C*k_long+(1-ls_C)*k_spot)-k_B)*MIN(1,1/3))*1</f>
        <v>1.07843258004497</v>
      </c>
      <c r="G106" s="18" t="n">
        <f aca="false">(k_B+((ls_C*k_long+(1-ls_C)*k_spot)-k_B)*MIN(1,2/3))*1</f>
        <v>0.984725833898784</v>
      </c>
      <c r="H106" s="18" t="n">
        <f aca="false">(k_B+((ls_C*k_long+(1-ls_C)*k_spot)-k_B)*MIN(1,3/3))*1</f>
        <v>0.891019087752599</v>
      </c>
      <c r="I106" s="18" t="n">
        <f aca="false">(k_B+((ls_C*k_long+(1-ls_C)*k_spot)-k_B)*MIN(1,4/3))*1</f>
        <v>0.891019087752599</v>
      </c>
      <c r="J106" s="18" t="n">
        <f aca="false">(k_B+((ls_C*k_long+(1-ls_C)*k_spot)-k_B)*MIN(1,5/3))*1</f>
        <v>0.891019087752599</v>
      </c>
      <c r="K106" s="18" t="n">
        <f aca="false">(k_B+((ls_C*k_long+(1-ls_C)*k_spot)-k_B)*MIN(1,6/3))*1</f>
        <v>0.891019087752599</v>
      </c>
      <c r="L106" s="1" t="s">
        <v>735</v>
      </c>
    </row>
    <row r="107" customFormat="false" ht="17.15" hidden="false" customHeight="false" outlineLevel="0" collapsed="false">
      <c r="A107" s="1" t="s">
        <v>736</v>
      </c>
      <c r="B107" s="0" t="s">
        <v>291</v>
      </c>
      <c r="C107" s="18" t="n">
        <f aca="false">Thesis!C105*Thesis!C106*chip_f</f>
        <v>11.3973387156315</v>
      </c>
      <c r="D107" s="18" t="n">
        <f aca="false">Thesis!D105*Thesis!D106*chip_f</f>
        <v>11.3973387156315</v>
      </c>
      <c r="E107" s="18" t="n">
        <f aca="false">Thesis!E105*Thesis!E106*chip_f</f>
        <v>11.3973387156315</v>
      </c>
      <c r="F107" s="18" t="n">
        <f aca="false">Thesis!F105*Thesis!F106*chip_f</f>
        <v>11.2242802615</v>
      </c>
      <c r="G107" s="18" t="n">
        <f aca="false">Thesis!G105*Thesis!G106*chip_f</f>
        <v>10.6732592791352</v>
      </c>
      <c r="H107" s="18" t="n">
        <f aca="false">Thesis!H105*Thesis!H106*chip_f</f>
        <v>9.91802420610807</v>
      </c>
      <c r="I107" s="18" t="n">
        <f aca="false">Thesis!I105*Thesis!I106*chip_f</f>
        <v>10.0799216107748</v>
      </c>
      <c r="J107" s="18" t="n">
        <f aca="false">Thesis!J105*Thesis!J106*chip_f</f>
        <v>10.1903086136949</v>
      </c>
      <c r="K107" s="18" t="n">
        <f aca="false">Thesis!K105*Thesis!K106*chip_f</f>
        <v>10.2703945245962</v>
      </c>
      <c r="L107" s="1" t="s">
        <v>737</v>
      </c>
    </row>
    <row r="108" customFormat="false" ht="17.15" hidden="false" customHeight="false" outlineLevel="0" collapsed="false">
      <c r="A108" s="0" t="s">
        <v>738</v>
      </c>
      <c r="B108" s="0" t="s">
        <v>95</v>
      </c>
      <c r="D108" s="6" t="n">
        <f aca="false">(Thesis!C94+Thesis!D94)/2*Thesis!D107/1000</f>
        <v>12.9359794422418</v>
      </c>
      <c r="E108" s="6" t="n">
        <f aca="false">(Thesis!D94+Thesis!E94)/2*Thesis!E107/1000</f>
        <v>27.8095064661409</v>
      </c>
      <c r="F108" s="6" t="n">
        <f aca="false">(Thesis!E94+Thesis!F94)/2*Thesis!F107/1000</f>
        <v>50.6619113883066</v>
      </c>
      <c r="G108" s="6" t="n">
        <f aca="false">(Thesis!F94+Thesis!G94)/2*Thesis!G107/1000</f>
        <v>75.1482839325348</v>
      </c>
      <c r="H108" s="6" t="n">
        <f aca="false">(Thesis!G94+Thesis!H94)/2*Thesis!H107/1000</f>
        <v>94.895655604042</v>
      </c>
      <c r="I108" s="6" t="n">
        <f aca="false">(Thesis!H94+Thesis!I94)/2*Thesis!I107/1000</f>
        <v>121.918667866643</v>
      </c>
      <c r="J108" s="6" t="n">
        <f aca="false">(Thesis!I94+Thesis!J94)/2*Thesis!J107/1000</f>
        <v>149.006768672892</v>
      </c>
      <c r="K108" s="6" t="n">
        <f aca="false">(Thesis!J94+Thesis!K94)/2*Thesis!K107/1000</f>
        <v>176.133157939015</v>
      </c>
      <c r="L108" s="11" t="s">
        <v>739</v>
      </c>
    </row>
    <row r="109" customFormat="false" ht="17.15" hidden="false" customHeight="false" outlineLevel="0" collapsed="false">
      <c r="A109" s="1" t="s">
        <v>740</v>
      </c>
      <c r="B109" s="0" t="s">
        <v>291</v>
      </c>
      <c r="C109" s="18" t="n">
        <f aca="false">(Thesis!C101*tk_opex_h100+Thesis!C102*tk_opex_gb200+Thesis!C103*tk_opex_gb300+Thesis!C104*tk_opex_vr200)/Thesis!C94</f>
        <v>1.88636041306092</v>
      </c>
      <c r="D109" s="18" t="n">
        <f aca="false">(Thesis!D101*tk_opex_h100+Thesis!D102*tk_opex_gb200+Thesis!D103*tk_opex_gb300+Thesis!D104*tk_opex_vr200)/Thesis!D94</f>
        <v>1.88636041306092</v>
      </c>
      <c r="E109" s="18" t="n">
        <f aca="false">(Thesis!E101*tk_opex_h100+Thesis!E102*tk_opex_gb200+Thesis!E103*tk_opex_gb300+Thesis!E104*tk_opex_vr200)/Thesis!E94</f>
        <v>1.88636041306092</v>
      </c>
      <c r="F109" s="18" t="n">
        <f aca="false">(Thesis!F101*tk_opex_h100+Thesis!F102*tk_opex_gb200+Thesis!F103*tk_opex_gb300+Thesis!F104*tk_opex_vr200)/Thesis!F94</f>
        <v>1.9430236476499</v>
      </c>
      <c r="G109" s="18" t="n">
        <f aca="false">(Thesis!G101*tk_opex_h100+Thesis!G102*tk_opex_gb200+Thesis!G103*tk_opex_gb300+Thesis!G104*tk_opex_vr200)/Thesis!G94</f>
        <v>1.9786941852423</v>
      </c>
      <c r="H109" s="18" t="n">
        <f aca="false">(Thesis!H101*tk_opex_h100+Thesis!H102*tk_opex_gb200+Thesis!H103*tk_opex_gb300+Thesis!H104*tk_opex_vr200)/Thesis!H94</f>
        <v>2.00289275976156</v>
      </c>
      <c r="I109" s="18" t="n">
        <f aca="false">(Thesis!I101*tk_opex_h100+Thesis!I102*tk_opex_gb200+Thesis!I103*tk_opex_gb300+Thesis!I104*tk_opex_vr200)/Thesis!I94</f>
        <v>2.01793562605478</v>
      </c>
      <c r="J109" s="18" t="n">
        <f aca="false">(Thesis!J101*tk_opex_h100+Thesis!J102*tk_opex_gb200+Thesis!J103*tk_opex_gb300+Thesis!J104*tk_opex_vr200)/Thesis!J94</f>
        <v>2.02819234961902</v>
      </c>
      <c r="K109" s="18" t="n">
        <f aca="false">(Thesis!K101*tk_opex_h100+Thesis!K102*tk_opex_gb200+Thesis!K103*tk_opex_gb300+Thesis!K104*tk_opex_vr200)/Thesis!K94</f>
        <v>2.0356336155994</v>
      </c>
    </row>
    <row r="110" customFormat="false" ht="17.15" hidden="false" customHeight="false" outlineLevel="0" collapsed="false">
      <c r="A110" s="0" t="s">
        <v>741</v>
      </c>
      <c r="B110" s="0" t="s">
        <v>95</v>
      </c>
      <c r="D110" s="6" t="n">
        <f aca="false">(Thesis!C97+Thesis!D97)/2*Thesis!D109/1000</f>
        <v>2.70378325872065</v>
      </c>
      <c r="E110" s="6" t="n">
        <f aca="false">(Thesis!D97+Thesis!E97)/2*Thesis!E109/1000</f>
        <v>6.17783035277451</v>
      </c>
      <c r="F110" s="6" t="n">
        <f aca="false">(Thesis!E97+Thesis!F97)/2*Thesis!F109/1000</f>
        <v>12.5020618235287</v>
      </c>
      <c r="G110" s="6" t="n">
        <f aca="false">(Thesis!F97+Thesis!G97)/2*Thesis!G109/1000</f>
        <v>20.7261620256847</v>
      </c>
      <c r="H110" s="6" t="n">
        <f aca="false">(Thesis!G97+Thesis!H97)/2*Thesis!H109/1000</f>
        <v>29.4158183316982</v>
      </c>
      <c r="I110" s="6" t="n">
        <f aca="false">(Thesis!H97+Thesis!I97)/2*Thesis!I109/1000</f>
        <v>38.1362927516005</v>
      </c>
      <c r="J110" s="6" t="n">
        <f aca="false">(Thesis!I97+Thesis!J97)/2*Thesis!J109/1000</f>
        <v>46.8728773279286</v>
      </c>
      <c r="K110" s="6" t="n">
        <f aca="false">(Thesis!J97+Thesis!K97)/2*Thesis!K109/1000</f>
        <v>55.618938734484</v>
      </c>
    </row>
    <row r="111" customFormat="false" ht="17.15" hidden="false" customHeight="false" outlineLevel="0" collapsed="false">
      <c r="A111" s="0" t="s">
        <v>742</v>
      </c>
      <c r="B111" s="0" t="s">
        <v>95</v>
      </c>
      <c r="D111" s="6" t="n">
        <f aca="false">(Thesis!C95+Thesis!D95)/2*rent_mw/1000</f>
        <v>2.44475</v>
      </c>
      <c r="E111" s="6" t="n">
        <f aca="false">(Thesis!D95+Thesis!E95)/2*rent_mw/1000</f>
        <v>4.22275</v>
      </c>
      <c r="F111" s="6" t="n">
        <f aca="false">(Thesis!E95+Thesis!F95)/2*rent_mw/1000</f>
        <v>5.80517</v>
      </c>
      <c r="G111" s="6" t="n">
        <f aca="false">(Thesis!F95+Thesis!G95)/2*rent_mw/1000</f>
        <v>6.72084</v>
      </c>
      <c r="H111" s="6" t="n">
        <f aca="false">(Thesis!G95+Thesis!H95)/2*rent_mw/1000</f>
        <v>6.72084</v>
      </c>
      <c r="I111" s="6" t="n">
        <f aca="false">(Thesis!H95+Thesis!I95)/2*rent_mw/1000</f>
        <v>6.72084</v>
      </c>
      <c r="J111" s="6" t="n">
        <f aca="false">(Thesis!I95+Thesis!J95)/2*rent_mw/1000</f>
        <v>6.72084</v>
      </c>
      <c r="K111" s="6" t="n">
        <f aca="false">(Thesis!J95+Thesis!K95)/2*rent_mw/1000</f>
        <v>6.72084</v>
      </c>
    </row>
    <row r="112" customFormat="false" ht="17.15" hidden="false" customHeight="false" outlineLevel="0" collapsed="false">
      <c r="A112" s="0" t="s">
        <v>743</v>
      </c>
      <c r="B112" s="0" t="s">
        <v>95</v>
      </c>
      <c r="D112" s="6" t="n">
        <f aca="false">(Thesis!C97+Thesis!D97)/2*(1-self_build)*fac_rent/1000</f>
        <v>0.853242375631075</v>
      </c>
      <c r="E112" s="6" t="n">
        <f aca="false">(Thesis!D97+Thesis!E97)/2*(1-self_build)*fac_rent/1000</f>
        <v>1.94955961408728</v>
      </c>
      <c r="F112" s="6" t="n">
        <f aca="false">(Thesis!E97+Thesis!F97)/2*(1-self_build)*fac_rent/1000</f>
        <v>3.83026455274573</v>
      </c>
      <c r="G112" s="6" t="n">
        <f aca="false">(Thesis!F97+Thesis!G97)/2*(1-self_build)*fac_rent/1000</f>
        <v>6.23541590972812</v>
      </c>
      <c r="H112" s="6" t="n">
        <f aca="false">(Thesis!G97+Thesis!H97)/2*(1-self_build)*fac_rent/1000</f>
        <v>8.74275792332679</v>
      </c>
      <c r="I112" s="6" t="n">
        <f aca="false">(Thesis!H97+Thesis!I97)/2*(1-self_build)*fac_rent/1000</f>
        <v>11.2500999369255</v>
      </c>
      <c r="J112" s="6" t="n">
        <f aca="false">(Thesis!I97+Thesis!J97)/2*(1-self_build)*fac_rent/1000</f>
        <v>13.7574419505241</v>
      </c>
      <c r="K112" s="6" t="n">
        <f aca="false">(Thesis!J97+Thesis!K97)/2*(1-self_build)*fac_rent/1000</f>
        <v>16.2647839641228</v>
      </c>
      <c r="L112" s="11" t="s">
        <v>744</v>
      </c>
    </row>
    <row r="113" customFormat="false" ht="17.15" hidden="false" customHeight="false" outlineLevel="0" collapsed="false">
      <c r="A113" s="1" t="s">
        <v>745</v>
      </c>
      <c r="B113" s="0" t="s">
        <v>126</v>
      </c>
      <c r="D113" s="7" t="n">
        <f aca="false">(Thesis!C96+Thesis!D96)/(Thesis!C97+Thesis!D97)</f>
        <v>0.6</v>
      </c>
      <c r="E113" s="7" t="n">
        <f aca="false">(Thesis!D96+Thesis!E96)/(Thesis!D97+Thesis!E97)</f>
        <v>0.6</v>
      </c>
      <c r="F113" s="7" t="n">
        <f aca="false">(Thesis!E96+Thesis!F96)/(Thesis!E97+Thesis!F97)</f>
        <v>0.6</v>
      </c>
      <c r="G113" s="7" t="n">
        <f aca="false">(Thesis!F96+Thesis!G96)/(Thesis!F97+Thesis!G97)</f>
        <v>0.6</v>
      </c>
      <c r="H113" s="7" t="n">
        <f aca="false">(Thesis!G96+Thesis!H96)/(Thesis!G97+Thesis!H97)</f>
        <v>0.6</v>
      </c>
      <c r="I113" s="7" t="n">
        <f aca="false">(Thesis!H96+Thesis!I96)/(Thesis!H97+Thesis!I97)</f>
        <v>0.6</v>
      </c>
      <c r="J113" s="7" t="n">
        <f aca="false">(Thesis!I96+Thesis!J96)/(Thesis!I97+Thesis!J97)</f>
        <v>0.6</v>
      </c>
      <c r="K113" s="7" t="n">
        <f aca="false">(Thesis!J96+Thesis!K96)/(Thesis!J97+Thesis!K97)</f>
        <v>0.6</v>
      </c>
    </row>
    <row r="114" customFormat="false" ht="17.15" hidden="false" customHeight="false" outlineLevel="0" collapsed="false">
      <c r="A114" s="0" t="s">
        <v>746</v>
      </c>
      <c r="B114" s="0" t="s">
        <v>95</v>
      </c>
      <c r="D114" s="6" t="n">
        <f aca="false">Thesis!D108-Thesis!D113*(Thesis!D110+Thesis!D112)-Thesis!D111</f>
        <v>8.35701406163072</v>
      </c>
      <c r="E114" s="6" t="n">
        <f aca="false">Thesis!E108-Thesis!E113*(Thesis!E110+Thesis!E112)-Thesis!E111</f>
        <v>18.7103224860238</v>
      </c>
      <c r="F114" s="6" t="n">
        <f aca="false">Thesis!F108-Thesis!F113*(Thesis!F110+Thesis!F112)-Thesis!F111</f>
        <v>35.0573455625419</v>
      </c>
      <c r="G114" s="6" t="n">
        <f aca="false">Thesis!G108-Thesis!G113*(Thesis!G110+Thesis!G112)-Thesis!G111</f>
        <v>52.2504971712871</v>
      </c>
      <c r="H114" s="6" t="n">
        <f aca="false">Thesis!H108-Thesis!H113*(Thesis!H110+Thesis!H112)-Thesis!H111</f>
        <v>65.2796698510271</v>
      </c>
      <c r="I114" s="6" t="n">
        <f aca="false">Thesis!I108-Thesis!I113*(Thesis!I110+Thesis!I112)-Thesis!I111</f>
        <v>85.5659922535278</v>
      </c>
      <c r="J114" s="6" t="n">
        <f aca="false">Thesis!J108-Thesis!J113*(Thesis!J110+Thesis!J112)-Thesis!J111</f>
        <v>105.90773710582</v>
      </c>
      <c r="K114" s="6" t="n">
        <f aca="false">Thesis!K108-Thesis!K113*(Thesis!K110+Thesis!K112)-Thesis!K111</f>
        <v>126.282084319851</v>
      </c>
    </row>
    <row r="115" customFormat="false" ht="17.15" hidden="false" customHeight="false" outlineLevel="0" collapsed="false">
      <c r="A115" s="1" t="s">
        <v>747</v>
      </c>
      <c r="B115" s="0" t="s">
        <v>95</v>
      </c>
      <c r="D115" s="6" t="n">
        <f aca="false">(1-Thesis!D113)*(Thesis!D110+Thesis!D112)</f>
        <v>1.42281025374069</v>
      </c>
      <c r="E115" s="6" t="n">
        <f aca="false">(1-Thesis!E113)*(Thesis!E110+Thesis!E112)</f>
        <v>3.25095598674472</v>
      </c>
      <c r="F115" s="6" t="n">
        <f aca="false">(1-Thesis!F113)*(Thesis!F110+Thesis!F112)</f>
        <v>6.53293055050977</v>
      </c>
      <c r="G115" s="6" t="n">
        <f aca="false">(1-Thesis!G113)*(Thesis!G110+Thesis!G112)</f>
        <v>10.7846311741651</v>
      </c>
      <c r="H115" s="6" t="n">
        <f aca="false">(1-Thesis!H113)*(Thesis!H110+Thesis!H112)</f>
        <v>15.26343050201</v>
      </c>
      <c r="I115" s="6" t="n">
        <f aca="false">(1-Thesis!I113)*(Thesis!I110+Thesis!I112)</f>
        <v>19.7545570754104</v>
      </c>
      <c r="J115" s="6" t="n">
        <f aca="false">(1-Thesis!J113)*(Thesis!J110+Thesis!J112)</f>
        <v>24.2521277113811</v>
      </c>
      <c r="K115" s="6" t="n">
        <f aca="false">(1-Thesis!K113)*(Thesis!K110+Thesis!K112)</f>
        <v>28.7534890794427</v>
      </c>
    </row>
    <row r="116" customFormat="false" ht="17.15" hidden="false" customHeight="false" outlineLevel="0" collapsed="false">
      <c r="A116" s="1" t="s">
        <v>748</v>
      </c>
      <c r="B116" s="0" t="s">
        <v>302</v>
      </c>
      <c r="C116" s="8" t="n">
        <f aca="false">cxit_open</f>
        <v>27.5918995</v>
      </c>
      <c r="D116" s="8" t="n">
        <f aca="false">cxit_open</f>
        <v>27.5918995</v>
      </c>
      <c r="E116" s="8" t="n">
        <f aca="false">cxit_open</f>
        <v>27.5918995</v>
      </c>
      <c r="F116" s="8" t="n">
        <f aca="false">(a_g3_27*tk_cxit_gb300+(1-a_g3_27)*tk_cxit_vr200)</f>
        <v>33.8419624</v>
      </c>
      <c r="G116" s="8" t="n">
        <f aca="false">(a_g3_28*tk_cxit_gb300+(1-a_g3_28)*tk_cxit_vr200)</f>
        <v>35.9816136</v>
      </c>
      <c r="H116" s="8" t="n">
        <f aca="false">(a_g3_29*tk_cxit_gb300+(1-a_g3_29)*tk_cxit_vr200)</f>
        <v>37.0514392</v>
      </c>
      <c r="I116" s="8" t="n">
        <f aca="false">(a_g3_29*tk_cxit_gb300+(1-a_g3_29)*tk_cxit_vr200)</f>
        <v>37.0514392</v>
      </c>
      <c r="J116" s="8" t="n">
        <f aca="false">(a_g3_29*tk_cxit_gb300+(1-a_g3_29)*tk_cxit_vr200)</f>
        <v>37.0514392</v>
      </c>
      <c r="K116" s="8" t="n">
        <f aca="false">(a_g3_29*tk_cxit_gb300+(1-a_g3_29)*tk_cxit_vr200)</f>
        <v>37.0514392</v>
      </c>
      <c r="L116" s="11" t="s">
        <v>749</v>
      </c>
    </row>
    <row r="117" customFormat="false" ht="17.15" hidden="false" customHeight="false" outlineLevel="0" collapsed="false">
      <c r="A117" s="0" t="s">
        <v>750</v>
      </c>
      <c r="B117" s="0" t="s">
        <v>340</v>
      </c>
      <c r="F117" s="27" t="n">
        <f aca="false">Thesis!C99*IF(3=life_it,1,0)+Thesis!D99*IF(2=life_it,1,0)+Thesis!E99*IF(1=life_it,1,0)</f>
        <v>0</v>
      </c>
      <c r="G117" s="27" t="n">
        <f aca="false">Thesis!C99*IF(4=life_it,1,0)+Thesis!D99*IF(3=life_it,1,0)+Thesis!E99*IF(2=life_it,1,0)+Thesis!F99*IF(1=life_it,1,0)</f>
        <v>0</v>
      </c>
      <c r="H117" s="27" t="n">
        <f aca="false">Thesis!C99*IF(5=life_it,1,0)+Thesis!D99*IF(4=life_it,1,0)+Thesis!E99*IF(3=life_it,1,0)+Thesis!F99*IF(2=life_it,1,0)+Thesis!G99*IF(1=life_it,1,0)</f>
        <v>0</v>
      </c>
      <c r="I117" s="27" t="n">
        <f aca="false">Thesis!C99*IF(6=life_it,1,0)+Thesis!D99*IF(5=life_it,1,0)+Thesis!E99*IF(4=life_it,1,0)+Thesis!F99*IF(3=life_it,1,0)+Thesis!G99*IF(2=life_it,1,0)+Thesis!H99*IF(1=life_it,1,0)</f>
        <v>816.666666666667</v>
      </c>
      <c r="J117" s="27" t="n">
        <f aca="false">Thesis!C99*IF(7=life_it,1,0)+Thesis!D99*IF(6=life_it,1,0)+Thesis!E99*IF(5=life_it,1,0)+Thesis!F99*IF(4=life_it,1,0)+Thesis!G99*IF(3=life_it,1,0)+Thesis!H99*IF(2=life_it,1,0)+Thesis!I99*IF(1=life_it,1,0)</f>
        <v>1233.33333333333</v>
      </c>
      <c r="K117" s="27" t="n">
        <f aca="false">Thesis!C99*IF(8=life_it,1,0)+Thesis!D99*IF(7=life_it,1,0)+Thesis!E99*IF(6=life_it,1,0)+Thesis!F99*IF(5=life_it,1,0)+Thesis!G99*IF(4=life_it,1,0)+Thesis!H99*IF(3=life_it,1,0)+Thesis!I99*IF(2=life_it,1,0)+Thesis!J99*IF(1=life_it,1,0)</f>
        <v>2450</v>
      </c>
      <c r="L117" s="1" t="s">
        <v>751</v>
      </c>
    </row>
    <row r="118" customFormat="false" ht="17.15" hidden="false" customHeight="false" outlineLevel="0" collapsed="false">
      <c r="A118" s="0" t="s">
        <v>752</v>
      </c>
      <c r="B118" s="0" t="s">
        <v>95</v>
      </c>
      <c r="C118" s="6" t="n">
        <f aca="false">Thesis!C99*Thesis!C116/1000</f>
        <v>22.5333845916667</v>
      </c>
      <c r="D118" s="6" t="n">
        <f aca="false">Thesis!D99*Thesis!D116/1000</f>
        <v>34.0300093833333</v>
      </c>
      <c r="E118" s="6" t="n">
        <f aca="false">Thesis!E99*Thesis!E116/1000</f>
        <v>67.600153775</v>
      </c>
      <c r="F118" s="6" t="n">
        <f aca="false">(Thesis!F99+Thesis!F117)*Thesis!F116/1000</f>
        <v>130.923271871467</v>
      </c>
      <c r="G118" s="6" t="n">
        <f aca="false">(Thesis!G99+Thesis!G117)*Thesis!G116/1000</f>
        <v>151.5545564832</v>
      </c>
      <c r="H118" s="6" t="n">
        <f aca="false">(Thesis!H99+Thesis!H117)*Thesis!H116/1000</f>
        <v>156.0606619104</v>
      </c>
      <c r="I118" s="6" t="n">
        <f aca="false">(Thesis!I99+Thesis!I117)*Thesis!I116/1000</f>
        <v>186.319337257067</v>
      </c>
      <c r="J118" s="6" t="n">
        <f aca="false">(Thesis!J99+Thesis!J117)*Thesis!J116/1000</f>
        <v>201.757436923733</v>
      </c>
      <c r="K118" s="6" t="n">
        <f aca="false">(Thesis!K99+Thesis!K117)*Thesis!K116/1000</f>
        <v>246.8366879504</v>
      </c>
    </row>
    <row r="119" customFormat="false" ht="17.15" hidden="false" customHeight="false" outlineLevel="0" collapsed="false">
      <c r="A119" s="0" t="s">
        <v>753</v>
      </c>
      <c r="B119" s="0" t="s">
        <v>95</v>
      </c>
      <c r="C119" s="6" t="n">
        <f aca="false">Thesis!C99*self_build*tk_cxfac/1000</f>
        <v>6.2083</v>
      </c>
      <c r="D119" s="6" t="n">
        <f aca="false">Thesis!D99*self_build*tk_cxfac/1000</f>
        <v>9.3758</v>
      </c>
      <c r="E119" s="6" t="n">
        <f aca="false">Thesis!E99*self_build*tk_cxfac/1000</f>
        <v>18.6249</v>
      </c>
      <c r="F119" s="6" t="n">
        <f aca="false">Thesis!F99*self_build*tk_cxfac/1000</f>
        <v>29.409604</v>
      </c>
      <c r="G119" s="6" t="n">
        <f aca="false">Thesis!G99*self_build*tk_cxfac/1000</f>
        <v>32.019624</v>
      </c>
      <c r="H119" s="6" t="n">
        <f aca="false">Thesis!H99*self_build*tk_cxfac/1000</f>
        <v>32.019624</v>
      </c>
      <c r="I119" s="6" t="n">
        <f aca="false">Thesis!I99*self_build*tk_cxfac/1000</f>
        <v>32.019624</v>
      </c>
      <c r="J119" s="6" t="n">
        <f aca="false">Thesis!J99*self_build*tk_cxfac/1000</f>
        <v>32.019624</v>
      </c>
      <c r="K119" s="6" t="n">
        <f aca="false">Thesis!K99*self_build*tk_cxfac/1000</f>
        <v>32.019624</v>
      </c>
    </row>
    <row r="120" customFormat="false" ht="17.15" hidden="false" customHeight="false" outlineLevel="0" collapsed="false">
      <c r="A120" s="0" t="s">
        <v>754</v>
      </c>
      <c r="B120" s="0" t="s">
        <v>95</v>
      </c>
      <c r="F120" s="6" t="n">
        <f aca="false">MAX(0,capex_floor27-Thesis!F118-Thesis!F119-CF!F79)</f>
        <v>8.43777689897088</v>
      </c>
      <c r="G120" s="6" t="n">
        <f aca="false">0</f>
        <v>0</v>
      </c>
      <c r="H120" s="6" t="n">
        <f aca="false">0</f>
        <v>0</v>
      </c>
      <c r="I120" s="6" t="n">
        <f aca="false">0</f>
        <v>0</v>
      </c>
      <c r="J120" s="6" t="n">
        <f aca="false">0</f>
        <v>0</v>
      </c>
      <c r="K120" s="6" t="n">
        <f aca="false">0</f>
        <v>0</v>
      </c>
      <c r="L120" s="1" t="s">
        <v>755</v>
      </c>
    </row>
    <row r="121" customFormat="false" ht="17.15" hidden="false" customHeight="false" outlineLevel="0" collapsed="false">
      <c r="A121" s="0" t="s">
        <v>756</v>
      </c>
      <c r="B121" s="0" t="s">
        <v>95</v>
      </c>
      <c r="C121" s="6" t="n">
        <f aca="false">Thesis!C118</f>
        <v>22.5333845916667</v>
      </c>
      <c r="D121" s="6" t="n">
        <f aca="false">Thesis!D118</f>
        <v>34.0300093833333</v>
      </c>
      <c r="E121" s="6" t="n">
        <f aca="false">Thesis!E118</f>
        <v>67.600153775</v>
      </c>
      <c r="F121" s="6" t="n">
        <f aca="false">Thesis!F118+Thesis!F120</f>
        <v>139.361048770438</v>
      </c>
      <c r="G121" s="6" t="n">
        <f aca="false">Thesis!G118+Thesis!G120</f>
        <v>151.5545564832</v>
      </c>
      <c r="H121" s="6" t="n">
        <f aca="false">Thesis!H118+Thesis!H120</f>
        <v>156.0606619104</v>
      </c>
      <c r="I121" s="6" t="n">
        <f aca="false">Thesis!I118+Thesis!I120</f>
        <v>186.319337257067</v>
      </c>
      <c r="J121" s="6" t="n">
        <f aca="false">Thesis!J118+Thesis!J120</f>
        <v>201.757436923733</v>
      </c>
      <c r="K121" s="6" t="n">
        <f aca="false">Thesis!K118+Thesis!K120</f>
        <v>246.8366879504</v>
      </c>
    </row>
    <row r="122" customFormat="false" ht="17.15" hidden="false" customHeight="false" outlineLevel="0" collapsed="false">
      <c r="A122" s="0" t="s">
        <v>757</v>
      </c>
      <c r="B122" s="0" t="s">
        <v>95</v>
      </c>
      <c r="C122" s="6" t="n">
        <f aca="false">Thesis!C121+Thesis!C119</f>
        <v>28.7416845916667</v>
      </c>
      <c r="D122" s="6" t="n">
        <f aca="false">Thesis!D121+Thesis!D119</f>
        <v>43.4058093833333</v>
      </c>
      <c r="E122" s="6" t="n">
        <f aca="false">Thesis!E121+Thesis!E119</f>
        <v>86.225053775</v>
      </c>
      <c r="F122" s="6" t="n">
        <f aca="false">Thesis!F121+Thesis!F119</f>
        <v>168.770652770438</v>
      </c>
      <c r="G122" s="6" t="n">
        <f aca="false">Thesis!G121+Thesis!G119</f>
        <v>183.5741804832</v>
      </c>
      <c r="H122" s="6" t="n">
        <f aca="false">Thesis!H121+Thesis!H119</f>
        <v>188.0802859104</v>
      </c>
      <c r="I122" s="6" t="n">
        <f aca="false">Thesis!I121+Thesis!I119</f>
        <v>218.338961257067</v>
      </c>
      <c r="J122" s="6" t="n">
        <f aca="false">Thesis!J121+Thesis!J119</f>
        <v>233.777060923733</v>
      </c>
      <c r="K122" s="6" t="n">
        <f aca="false">Thesis!K121+Thesis!K119</f>
        <v>278.8563119504</v>
      </c>
      <c r="L122" s="11" t="s">
        <v>758</v>
      </c>
    </row>
    <row r="123" customFormat="false" ht="17.15" hidden="false" customHeight="false" outlineLevel="0" collapsed="false">
      <c r="A123" s="0" t="s">
        <v>759</v>
      </c>
      <c r="B123" s="0" t="s">
        <v>95</v>
      </c>
      <c r="E123" s="6" t="n">
        <f aca="false">(Thesis!C121*IF(2&lt;life_it,1,IF(2=life_it,0.5,0))+Thesis!D121*IF(1&lt;life_it,1,IF(1=life_it,0.5,0))+Thesis!E121*0.5)/life_it</f>
        <v>15.0605784770833</v>
      </c>
      <c r="F123" s="6" t="n">
        <f aca="false">(Thesis!C121*IF(3&lt;life_it,1,IF(3=life_it,0.5,0))+Thesis!D121*IF(2&lt;life_it,1,IF(2=life_it,0.5,0))+Thesis!E121*IF(1&lt;life_it,1,IF(1=life_it,0.5,0))+Thesis!F121*0.5)/life_it</f>
        <v>32.3073453558698</v>
      </c>
      <c r="G123" s="6" t="n">
        <f aca="false">(Thesis!C121*IF(4&lt;life_it,1,IF(4=life_it,0.5,0))+Thesis!D121*IF(3&lt;life_it,1,IF(3=life_it,0.5,0))+Thesis!E121*IF(2&lt;life_it,1,IF(2=life_it,0.5,0))+Thesis!F121*IF(1&lt;life_it,1,IF(1=life_it,0.5,0))+Thesis!G121*0.5)/life_it</f>
        <v>56.5503124603396</v>
      </c>
      <c r="H123" s="6" t="n">
        <f aca="false">(Thesis!C121*IF(5&lt;life_it,1,IF(5=life_it,0.5,0))+Thesis!D121*IF(4&lt;life_it,1,IF(4=life_it,0.5,0))+Thesis!E121*IF(3&lt;life_it,1,IF(3=life_it,0.5,0))+Thesis!F121*IF(2&lt;life_it,1,IF(2=life_it,0.5,0))+Thesis!G121*IF(1&lt;life_it,1,IF(1=life_it,0.5,0))+Thesis!H121*0.5)/life_it</f>
        <v>82.1849139931396</v>
      </c>
      <c r="I123" s="6" t="n">
        <f aca="false">(Thesis!C121*IF(6&lt;life_it,1,IF(6=life_it,0.5,0))+Thesis!D121*IF(5&lt;life_it,1,IF(5=life_it,0.5,0))+Thesis!E121*IF(4&lt;life_it,1,IF(4=life_it,0.5,0))+Thesis!F121*IF(3&lt;life_it,1,IF(3=life_it,0.5,0))+Thesis!G121*IF(2&lt;life_it,1,IF(2=life_it,0.5,0))+Thesis!H121*IF(1&lt;life_it,1,IF(1=life_it,0.5,0))+Thesis!I121*0.5)/life_it</f>
        <v>108.838798541123</v>
      </c>
      <c r="J123" s="6" t="n">
        <f aca="false">(Thesis!C121*IF(7&lt;life_it,1,IF(7=life_it,0.5,0))+Thesis!D121*IF(6&lt;life_it,1,IF(6=life_it,0.5,0))+Thesis!E121*IF(5&lt;life_it,1,IF(5=life_it,0.5,0))+Thesis!F121*IF(4&lt;life_it,1,IF(4=life_it,0.5,0))+Thesis!G121*IF(3&lt;life_it,1,IF(3=life_it,0.5,0))+Thesis!H121*IF(2&lt;life_it,1,IF(2=life_it,0.5,0))+Thesis!I121*IF(1&lt;life_it,1,IF(1=life_it,0.5,0))+Thesis!J121*0.5)/life_it</f>
        <v>136.464913558273</v>
      </c>
      <c r="K123" s="6" t="n">
        <f aca="false">(Thesis!C121*IF(8&lt;life_it,1,IF(8=life_it,0.5,0))+Thesis!D121*IF(7&lt;life_it,1,IF(7=life_it,0.5,0))+Thesis!E121*IF(6&lt;life_it,1,IF(6=life_it,0.5,0))+Thesis!F121*IF(5&lt;life_it,1,IF(5=life_it,0.5,0))+Thesis!G121*IF(4&lt;life_it,1,IF(4=life_it,0.5,0))+Thesis!H121*IF(3&lt;life_it,1,IF(3=life_it,0.5,0))+Thesis!I121*IF(2&lt;life_it,1,IF(2=life_it,0.5,0))+Thesis!J121*IF(1&lt;life_it,1,IF(1=life_it,0.5,0))+Thesis!K121*0.5)/life_it</f>
        <v>165.37857703459</v>
      </c>
    </row>
    <row r="124" customFormat="false" ht="17.15" hidden="false" customHeight="false" outlineLevel="0" collapsed="false">
      <c r="A124" s="0" t="s">
        <v>760</v>
      </c>
      <c r="B124" s="0" t="s">
        <v>95</v>
      </c>
      <c r="E124" s="6" t="n">
        <f aca="false">(Thesis!C119*IF(2&lt;life_fac,1,IF(2=life_fac,0.5,0))+Thesis!D119*IF(1&lt;life_fac,1,IF(1=life_fac,0.5,0))+Thesis!E119*0.5)/life_fac</f>
        <v>1.2448275</v>
      </c>
      <c r="F124" s="6" t="n">
        <f aca="false">(Thesis!C119*IF(3&lt;life_fac,1,IF(3=life_fac,0.5,0))+Thesis!D119*IF(2&lt;life_fac,1,IF(2=life_fac,0.5,0))+Thesis!E119*IF(1&lt;life_fac,1,IF(1=life_fac,0.5,0))+Thesis!F119*0.5)/life_fac</f>
        <v>2.4456901</v>
      </c>
      <c r="G124" s="6" t="n">
        <f aca="false">(Thesis!C119*IF(4&lt;life_fac,1,IF(4=life_fac,0.5,0))+Thesis!D119*IF(3&lt;life_fac,1,IF(3=life_fac,0.5,0))+Thesis!E119*IF(2&lt;life_fac,1,IF(2=life_fac,0.5,0))+Thesis!F119*IF(1&lt;life_fac,1,IF(1=life_fac,0.5,0))+Thesis!G119*0.5)/life_fac</f>
        <v>3.9814208</v>
      </c>
      <c r="H124" s="6" t="n">
        <f aca="false">(Thesis!C119*IF(5&lt;life_fac,1,IF(5=life_fac,0.5,0))+Thesis!D119*IF(4&lt;life_fac,1,IF(4=life_fac,0.5,0))+Thesis!E119*IF(3&lt;life_fac,1,IF(3=life_fac,0.5,0))+Thesis!F119*IF(2&lt;life_fac,1,IF(2=life_fac,0.5,0))+Thesis!G119*IF(1&lt;life_fac,1,IF(1=life_fac,0.5,0))+Thesis!H119*0.5)/life_fac</f>
        <v>5.582402</v>
      </c>
      <c r="I124" s="6" t="n">
        <f aca="false">(Thesis!C119*IF(6&lt;life_fac,1,IF(6=life_fac,0.5,0))+Thesis!D119*IF(5&lt;life_fac,1,IF(5=life_fac,0.5,0))+Thesis!E119*IF(4&lt;life_fac,1,IF(4=life_fac,0.5,0))+Thesis!F119*IF(3&lt;life_fac,1,IF(3=life_fac,0.5,0))+Thesis!G119*IF(2&lt;life_fac,1,IF(2=life_fac,0.5,0))+Thesis!H119*IF(1&lt;life_fac,1,IF(1=life_fac,0.5,0))+Thesis!I119*0.5)/life_fac</f>
        <v>7.1833832</v>
      </c>
      <c r="J124" s="6" t="n">
        <f aca="false">(Thesis!C119*IF(7&lt;life_fac,1,IF(7=life_fac,0.5,0))+Thesis!D119*IF(6&lt;life_fac,1,IF(6=life_fac,0.5,0))+Thesis!E119*IF(5&lt;life_fac,1,IF(5=life_fac,0.5,0))+Thesis!F119*IF(4&lt;life_fac,1,IF(4=life_fac,0.5,0))+Thesis!G119*IF(3&lt;life_fac,1,IF(3=life_fac,0.5,0))+Thesis!H119*IF(2&lt;life_fac,1,IF(2=life_fac,0.5,0))+Thesis!I119*IF(1&lt;life_fac,1,IF(1=life_fac,0.5,0))+Thesis!J119*0.5)/life_fac</f>
        <v>8.7843644</v>
      </c>
      <c r="K124" s="6" t="n">
        <f aca="false">(Thesis!C119*IF(8&lt;life_fac,1,IF(8=life_fac,0.5,0))+Thesis!D119*IF(7&lt;life_fac,1,IF(7=life_fac,0.5,0))+Thesis!E119*IF(6&lt;life_fac,1,IF(6=life_fac,0.5,0))+Thesis!F119*IF(5&lt;life_fac,1,IF(5=life_fac,0.5,0))+Thesis!G119*IF(4&lt;life_fac,1,IF(4=life_fac,0.5,0))+Thesis!H119*IF(3&lt;life_fac,1,IF(3=life_fac,0.5,0))+Thesis!I119*IF(2&lt;life_fac,1,IF(2=life_fac,0.5,0))+Thesis!J119*IF(1&lt;life_fac,1,IF(1=life_fac,0.5,0))+Thesis!K119*0.5)/life_fac</f>
        <v>10.3853456</v>
      </c>
    </row>
    <row r="125" customFormat="false" ht="17.15" hidden="false" customHeight="false" outlineLevel="0" collapsed="false">
      <c r="A125" s="0" t="s">
        <v>761</v>
      </c>
      <c r="B125" s="0" t="s">
        <v>95</v>
      </c>
      <c r="E125" s="6" t="n">
        <f aca="false">Thesis!E123+Thesis!E124</f>
        <v>16.3054059770833</v>
      </c>
      <c r="F125" s="6" t="n">
        <f aca="false">Thesis!F123+Thesis!F124</f>
        <v>34.7530354558698</v>
      </c>
      <c r="G125" s="6" t="n">
        <f aca="false">Thesis!G123+Thesis!G124</f>
        <v>60.5317332603396</v>
      </c>
      <c r="H125" s="6" t="n">
        <f aca="false">Thesis!H123+Thesis!H124</f>
        <v>87.7673159931396</v>
      </c>
      <c r="I125" s="6" t="n">
        <f aca="false">Thesis!I123+Thesis!I124</f>
        <v>116.022181741123</v>
      </c>
      <c r="J125" s="6" t="n">
        <f aca="false">Thesis!J123+Thesis!J124</f>
        <v>145.249277958273</v>
      </c>
      <c r="K125" s="6" t="n">
        <f aca="false">Thesis!K123+Thesis!K124</f>
        <v>175.76392263459</v>
      </c>
    </row>
    <row r="126" customFormat="false" ht="17.15" hidden="false" customHeight="false" outlineLevel="0" collapsed="false">
      <c r="A126" s="0" t="s">
        <v>762</v>
      </c>
      <c r="B126" s="0" t="s">
        <v>95</v>
      </c>
      <c r="E126" s="6" t="n">
        <f aca="false">Thesis!E114-Thesis!E113*Thesis!E125</f>
        <v>8.92707889977379</v>
      </c>
      <c r="F126" s="6" t="n">
        <f aca="false">Thesis!F114-Thesis!F113*Thesis!F125</f>
        <v>14.2055242890201</v>
      </c>
      <c r="G126" s="6" t="n">
        <f aca="false">Thesis!G114-Thesis!G113*Thesis!G125</f>
        <v>15.9314572150833</v>
      </c>
      <c r="H126" s="6" t="n">
        <f aca="false">Thesis!H114-Thesis!H113*Thesis!H125</f>
        <v>12.6192802551433</v>
      </c>
      <c r="I126" s="6" t="n">
        <f aca="false">Thesis!I114-Thesis!I113*Thesis!I125</f>
        <v>15.9526832088541</v>
      </c>
      <c r="J126" s="6" t="n">
        <f aca="false">Thesis!J114-Thesis!J113*Thesis!J125</f>
        <v>18.7581703308565</v>
      </c>
      <c r="K126" s="6" t="n">
        <f aca="false">Thesis!K114-Thesis!K113*Thesis!K125</f>
        <v>20.8237307390974</v>
      </c>
    </row>
    <row r="127" customFormat="false" ht="17.15" hidden="false" customHeight="false" outlineLevel="0" collapsed="false">
      <c r="A127" s="0" t="s">
        <v>763</v>
      </c>
      <c r="B127" s="0" t="s">
        <v>95</v>
      </c>
      <c r="E127" s="6" t="n">
        <f aca="false">Seg!E65</f>
        <v>5.25</v>
      </c>
      <c r="F127" s="6" t="n">
        <f aca="false">Seg!F65</f>
        <v>10.5</v>
      </c>
      <c r="G127" s="6" t="n">
        <f aca="false">Seg!G65</f>
        <v>13.5</v>
      </c>
      <c r="H127" s="6" t="n">
        <f aca="false">Seg!H65</f>
        <v>16.5</v>
      </c>
      <c r="I127" s="6" t="n">
        <f aca="false">Seg!I65</f>
        <v>18.75</v>
      </c>
      <c r="J127" s="6" t="n">
        <f aca="false">Seg!J65</f>
        <v>20.25</v>
      </c>
      <c r="K127" s="6" t="n">
        <f aca="false">Seg!K65</f>
        <v>21.75</v>
      </c>
    </row>
    <row r="128" customFormat="false" ht="17.15" hidden="false" customHeight="false" outlineLevel="0" collapsed="false">
      <c r="A128" s="0" t="s">
        <v>764</v>
      </c>
      <c r="B128" s="0" t="s">
        <v>95</v>
      </c>
      <c r="E128" s="6" t="n">
        <f aca="false">Thesis!E114+Thesis!E127*PL!E101-Thesis!E115-Thesis!E125</f>
        <v>2.1514866143068</v>
      </c>
      <c r="F128" s="6" t="n">
        <f aca="false">Thesis!F114+Thesis!F127*PL!F101-Thesis!F115-Thesis!F125</f>
        <v>-0.233568259615524</v>
      </c>
      <c r="G128" s="6" t="n">
        <f aca="false">Thesis!G114+Thesis!G127*PL!G101-Thesis!G115-Thesis!G125</f>
        <v>-11.3579430263606</v>
      </c>
      <c r="H128" s="6" t="n">
        <f aca="false">Thesis!H114+Thesis!H127*PL!H101-Thesis!H115-Thesis!H125</f>
        <v>-28.3302803546306</v>
      </c>
      <c r="I128" s="6" t="n">
        <f aca="false">Thesis!I114+Thesis!I127*PL!I101-Thesis!I115-Thesis!I125</f>
        <v>-39.5052962340374</v>
      </c>
      <c r="J128" s="6" t="n">
        <f aca="false">Thesis!J114+Thesis!J127*PL!J101-Thesis!J115-Thesis!J125</f>
        <v>-52.0317822085483</v>
      </c>
      <c r="K128" s="6" t="n">
        <f aca="false">Thesis!K114+Thesis!K127*PL!K101-Thesis!K115-Thesis!K125</f>
        <v>-65.8170050125782</v>
      </c>
    </row>
    <row r="129" customFormat="false" ht="17.15" hidden="false" customHeight="false" outlineLevel="0" collapsed="false">
      <c r="A129" s="0" t="s">
        <v>765</v>
      </c>
      <c r="B129" s="0" t="s">
        <v>95</v>
      </c>
      <c r="E129" s="6" t="n">
        <f aca="false">Thesis!E97*(cxit_open+self_build*tk_cxfac)/1000*ai_net_open</f>
        <v>126.6980382</v>
      </c>
      <c r="F129" s="6" t="n">
        <f aca="false">Thesis!E129+Thesis!F122-Thesis!F125</f>
        <v>260.715655514568</v>
      </c>
      <c r="G129" s="6" t="n">
        <f aca="false">Thesis!F129+Thesis!G122-Thesis!G125</f>
        <v>383.758102737428</v>
      </c>
      <c r="H129" s="6" t="n">
        <f aca="false">Thesis!G129+Thesis!H122-Thesis!H125</f>
        <v>484.071072654689</v>
      </c>
      <c r="I129" s="6" t="n">
        <f aca="false">Thesis!H129+Thesis!I122-Thesis!I125</f>
        <v>586.387852170632</v>
      </c>
      <c r="J129" s="6" t="n">
        <f aca="false">Thesis!I129+Thesis!J122-Thesis!J125</f>
        <v>674.915635136093</v>
      </c>
      <c r="K129" s="6" t="n">
        <f aca="false">Thesis!J129+Thesis!K122-Thesis!K125</f>
        <v>778.008024451903</v>
      </c>
      <c r="L129" s="1" t="s">
        <v>766</v>
      </c>
    </row>
    <row r="130" customFormat="false" ht="17.15" hidden="false" customHeight="false" outlineLevel="0" collapsed="false">
      <c r="A130" s="0" t="s">
        <v>767</v>
      </c>
      <c r="B130" s="0" t="s">
        <v>126</v>
      </c>
      <c r="F130" s="7" t="n">
        <f aca="false">Thesis!F128*(1-tax_f)/((Thesis!E129+Thesis!F129)/2)</f>
        <v>-0.000964625725543334</v>
      </c>
      <c r="G130" s="7" t="n">
        <f aca="false">Thesis!G128*(1-tax_f)/((Thesis!F129+Thesis!G129)/2)</f>
        <v>-0.0281977483326346</v>
      </c>
      <c r="H130" s="7" t="n">
        <f aca="false">Thesis!H128*(1-tax_f)/((Thesis!G129+Thesis!H129)/2)</f>
        <v>-0.0522319943287548</v>
      </c>
      <c r="I130" s="7" t="n">
        <f aca="false">Thesis!I128*(1-tax_f)/((Thesis!H129+Thesis!I129)/2)</f>
        <v>-0.0590480143689533</v>
      </c>
      <c r="J130" s="7" t="n">
        <f aca="false">Thesis!J128*(1-tax_f)/((Thesis!I129+Thesis!J129)/2)</f>
        <v>-0.066003822530804</v>
      </c>
      <c r="K130" s="7" t="n">
        <f aca="false">Thesis!K128*(1-tax_f)/((Thesis!J129+Thesis!K129)/2)</f>
        <v>-0.0724795190202815</v>
      </c>
    </row>
    <row r="131" customFormat="false" ht="17.15" hidden="false" customHeight="false" outlineLevel="0" collapsed="false">
      <c r="A131" s="1" t="s">
        <v>768</v>
      </c>
      <c r="B131" s="0" t="s">
        <v>126</v>
      </c>
      <c r="F131" s="7" t="n">
        <f aca="false">Thesis!F126*(1-tax_f)/(Thesis!F113*(Thesis!E129+Thesis!F129)/2)</f>
        <v>0.0977802249085266</v>
      </c>
      <c r="G131" s="7" t="n">
        <f aca="false">Thesis!G126*(1-tax_f)/(Thesis!G113*(Thesis!F129+Thesis!G129)/2)</f>
        <v>0.0659202727231561</v>
      </c>
      <c r="H131" s="7" t="n">
        <f aca="false">Thesis!H126*(1-tax_f)/(Thesis!H113*(Thesis!G129+Thesis!H129)/2)</f>
        <v>0.0387765414760463</v>
      </c>
      <c r="I131" s="7" t="n">
        <f aca="false">Thesis!I126*(1-tax_f)/(Thesis!I113*(Thesis!H129+Thesis!I129)/2)</f>
        <v>0.0397404212066203</v>
      </c>
      <c r="J131" s="7" t="n">
        <f aca="false">Thesis!J126*(1-tax_f)/(Thesis!J113*(Thesis!I129+Thesis!J129)/2)</f>
        <v>0.0396588038107804</v>
      </c>
      <c r="K131" s="7" t="n">
        <f aca="false">Thesis!K126*(1-tax_f)/(Thesis!K113*(Thesis!J129+Thesis!K129)/2)</f>
        <v>0.0382194537690573</v>
      </c>
    </row>
    <row r="132" customFormat="false" ht="17.15" hidden="false" customHeight="false" outlineLevel="0" collapsed="false">
      <c r="A132" s="0" t="s">
        <v>769</v>
      </c>
      <c r="B132" s="0" t="s">
        <v>208</v>
      </c>
      <c r="F132" s="7" t="n">
        <f aca="false">Thesis!F130-wacc</f>
        <v>-0.109927846875797</v>
      </c>
      <c r="G132" s="7" t="n">
        <f aca="false">Thesis!G130-wacc</f>
        <v>-0.137160969482889</v>
      </c>
      <c r="H132" s="7" t="n">
        <f aca="false">Thesis!H130-wacc</f>
        <v>-0.161195215479009</v>
      </c>
      <c r="I132" s="7" t="n">
        <f aca="false">Thesis!I130-wacc</f>
        <v>-0.168011235519207</v>
      </c>
      <c r="J132" s="7" t="n">
        <f aca="false">Thesis!J130-wacc</f>
        <v>-0.174967043681058</v>
      </c>
      <c r="K132" s="7" t="n">
        <f aca="false">Thesis!K130-wacc</f>
        <v>-0.181442740170536</v>
      </c>
    </row>
    <row r="133" customFormat="false" ht="17.15" hidden="false" customHeight="false" outlineLevel="0" collapsed="false">
      <c r="A133" s="0" t="s">
        <v>770</v>
      </c>
      <c r="B133" s="0" t="s">
        <v>95</v>
      </c>
      <c r="F133" s="6" t="n">
        <f aca="false">Thesis!F128*(1-tax_f)-wacc*(Thesis!E129+Thesis!F129)/2</f>
        <v>-21.293776600121</v>
      </c>
      <c r="G133" s="6" t="n">
        <f aca="false">Thesis!G128*(1-tax_f)-wacc*(Thesis!F129+Thesis!G129)/2</f>
        <v>-44.1983227440623</v>
      </c>
      <c r="H133" s="6" t="n">
        <f aca="false">Thesis!H128*(1-tax_f)-wacc*(Thesis!G129+Thesis!H129)/2</f>
        <v>-69.9449554631514</v>
      </c>
      <c r="I133" s="6" t="n">
        <f aca="false">Thesis!I128*(1-tax_f)-wacc*(Thesis!H129+Thesis!I129)/2</f>
        <v>-89.9245632662322</v>
      </c>
      <c r="J133" s="6" t="n">
        <f aca="false">Thesis!J128*(1-tax_f)-wacc*(Thesis!I129+Thesis!J129)/2</f>
        <v>-110.343271179333</v>
      </c>
      <c r="K133" s="6" t="n">
        <f aca="false">Thesis!K128*(1-tax_f)-wacc*(Thesis!J129+Thesis!K129)/2</f>
        <v>-131.811225027124</v>
      </c>
    </row>
    <row r="134" customFormat="false" ht="17.15" hidden="false" customHeight="false" outlineLevel="0" collapsed="false">
      <c r="A134" s="1" t="s">
        <v>771</v>
      </c>
      <c r="B134" s="0" t="s">
        <v>95</v>
      </c>
      <c r="F134" s="6" t="n">
        <f aca="false">(Thesis!E98+Thesis!F98)/2*Thesis!F105/1000</f>
        <v>26.7873066765967</v>
      </c>
      <c r="G134" s="6" t="n">
        <f aca="false">(Thesis!F98+Thesis!G98)/2*Thesis!G105/1000</f>
        <v>45.4131817597218</v>
      </c>
      <c r="H134" s="6" t="n">
        <f aca="false">(Thesis!G98+Thesis!H98)/2*Thesis!H105/1000</f>
        <v>65.3915129357971</v>
      </c>
      <c r="I134" s="6" t="n">
        <f aca="false">(Thesis!H98+Thesis!I98)/2*Thesis!I105/1000</f>
        <v>85.5187419289299</v>
      </c>
      <c r="J134" s="6" t="n">
        <f aca="false">(Thesis!I98+Thesis!J98)/2*Thesis!J105/1000</f>
        <v>105.723807195006</v>
      </c>
      <c r="K134" s="6" t="n">
        <f aca="false">(Thesis!J98+Thesis!K98)/2*Thesis!K105/1000</f>
        <v>125.974659797015</v>
      </c>
      <c r="L134" s="1" t="s">
        <v>772</v>
      </c>
    </row>
    <row r="135" customFormat="false" ht="17.15" hidden="false" customHeight="false" outlineLevel="0" collapsed="false">
      <c r="A135" s="1" t="s">
        <v>773</v>
      </c>
      <c r="B135" s="0" t="s">
        <v>126</v>
      </c>
      <c r="F135" s="7" t="n">
        <f aca="false">(Thesis!F114+Thesis!F134-Thesis!F115-Thesis!F125)*(1-tax_f)/((Thesis!E129+Thesis!F129)/2)</f>
        <v>0.0849063894903249</v>
      </c>
      <c r="G135" s="7" t="n">
        <f aca="false">(Thesis!G114+Thesis!G134-Thesis!G115-Thesis!G125)*(1-tax_f)/((Thesis!F129+Thesis!G129)/2)</f>
        <v>0.0654110468496738</v>
      </c>
      <c r="H135" s="7" t="n">
        <f aca="false">(Thesis!H114+Thesis!H134-Thesis!H115-Thesis!H125)*(1-tax_f)/((Thesis!G129+Thesis!H129)/2)</f>
        <v>0.0509601420656284</v>
      </c>
      <c r="I135" s="7" t="n">
        <f aca="false">(Thesis!I114+Thesis!I134-Thesis!I115-Thesis!I125)*(1-tax_f)/((Thesis!H129+Thesis!I129)/2)</f>
        <v>0.0527743674001295</v>
      </c>
      <c r="J135" s="7" t="n">
        <f aca="false">(Thesis!J114+Thesis!J134-Thesis!J115-Thesis!J125)*(1-tax_f)/((Thesis!I129+Thesis!J129)/2)</f>
        <v>0.0534433009091354</v>
      </c>
      <c r="K135" s="7" t="n">
        <f aca="false">(Thesis!K114+Thesis!K134-Thesis!K115-Thesis!K125)*(1-tax_f)/((Thesis!J129+Thesis!K129)/2)</f>
        <v>0.0525718824526499</v>
      </c>
      <c r="L135" s="1" t="s">
        <v>774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11" min="3" style="0" width="11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777</v>
      </c>
    </row>
    <row r="2" customFormat="false" ht="17.15" hidden="false" customHeight="false" outlineLevel="0" collapsed="false">
      <c r="A2" s="1" t="s">
        <v>778</v>
      </c>
    </row>
    <row r="4" customFormat="false" ht="17.15" hidden="false" customHeight="false" outlineLevel="0" collapsed="false">
      <c r="A4" s="3" t="s">
        <v>779</v>
      </c>
    </row>
    <row r="5" customFormat="false" ht="15" hidden="false" customHeight="false" outlineLevel="0" collapsed="false">
      <c r="A5" s="4" t="s">
        <v>43</v>
      </c>
      <c r="B5" s="4" t="s">
        <v>63</v>
      </c>
      <c r="C5" s="19" t="s">
        <v>710</v>
      </c>
      <c r="D5" s="19" t="s">
        <v>711</v>
      </c>
      <c r="E5" s="19" t="s">
        <v>712</v>
      </c>
      <c r="F5" s="19" t="s">
        <v>713</v>
      </c>
      <c r="G5" s="19" t="s">
        <v>714</v>
      </c>
      <c r="H5" s="19" t="s">
        <v>715</v>
      </c>
      <c r="I5" s="19" t="s">
        <v>716</v>
      </c>
      <c r="J5" s="19" t="s">
        <v>717</v>
      </c>
      <c r="K5" s="19" t="s">
        <v>718</v>
      </c>
      <c r="L5" s="4" t="s">
        <v>47</v>
      </c>
    </row>
    <row r="6" customFormat="false" ht="17.15" hidden="false" customHeight="false" outlineLevel="0" collapsed="false">
      <c r="A6" s="0" t="s">
        <v>780</v>
      </c>
      <c r="B6" s="0" t="s">
        <v>95</v>
      </c>
      <c r="D6" s="6" t="n">
        <f aca="false">Thesis!D20</f>
        <v>12.9359794422418</v>
      </c>
      <c r="E6" s="6" t="n">
        <f aca="false">Thesis!E20</f>
        <v>27.8095064661409</v>
      </c>
      <c r="F6" s="6" t="n">
        <f aca="false">Thesis!F20</f>
        <v>58.7324192305018</v>
      </c>
      <c r="G6" s="6" t="n">
        <f aca="false">Thesis!G20</f>
        <v>101.369089141153</v>
      </c>
      <c r="H6" s="6" t="n">
        <f aca="false">Thesis!H20</f>
        <v>149.785610014234</v>
      </c>
      <c r="I6" s="6" t="n">
        <f aca="false">Thesis!I20</f>
        <v>192.439389583079</v>
      </c>
      <c r="J6" s="6" t="n">
        <f aca="false">Thesis!J20</f>
        <v>235.195906491722</v>
      </c>
      <c r="K6" s="6" t="n">
        <f aca="false">Thesis!K20</f>
        <v>278.012858836343</v>
      </c>
    </row>
    <row r="7" customFormat="false" ht="17.15" hidden="false" customHeight="false" outlineLevel="0" collapsed="false">
      <c r="A7" s="0" t="s">
        <v>781</v>
      </c>
      <c r="B7" s="0" t="s">
        <v>95</v>
      </c>
      <c r="D7" s="6" t="n">
        <f aca="false">Q!L6-Seg!D6</f>
        <v>59.6740205577583</v>
      </c>
      <c r="E7" s="6" t="n">
        <f aca="false">Q!M6-Seg!E6</f>
        <v>74.1284935338591</v>
      </c>
      <c r="F7" s="6" t="n">
        <f aca="false">Seg!E7*(1+Seg!F8)</f>
        <v>90.0799497373663</v>
      </c>
      <c r="G7" s="6" t="n">
        <f aca="false">Seg!F7*(1+Seg!G8)</f>
        <v>107.02842520331</v>
      </c>
      <c r="H7" s="6" t="n">
        <f aca="false">Seg!G7*(1+Seg!H8)</f>
        <v>124.271982585636</v>
      </c>
      <c r="I7" s="6" t="n">
        <f aca="false">Seg!H7*(1+Seg!I8)</f>
        <v>140.933702381855</v>
      </c>
      <c r="J7" s="6" t="n">
        <f aca="false">Seg!I7*(1+Seg!J8)</f>
        <v>156.018867314332</v>
      </c>
      <c r="K7" s="6" t="n">
        <f aca="false">Seg!J7*(1+Seg!K8)</f>
        <v>168.500376699478</v>
      </c>
    </row>
    <row r="8" customFormat="false" ht="15" hidden="false" customHeight="false" outlineLevel="0" collapsed="false">
      <c r="A8" s="1" t="s">
        <v>782</v>
      </c>
      <c r="B8" s="0" t="s">
        <v>126</v>
      </c>
      <c r="E8" s="7" t="n">
        <f aca="false">Seg!E7/Seg!D7-1</f>
        <v>0.242223883039864</v>
      </c>
      <c r="F8" s="7" t="n">
        <f aca="false">Seg!$E$8+(glt_azo-Seg!$E$8)*MIN(1,1/n_conv)</f>
        <v>0.215186569199887</v>
      </c>
      <c r="G8" s="7" t="n">
        <f aca="false">Seg!$E$8+(glt_azo-Seg!$E$8)*MIN(1,2/n_conv)</f>
        <v>0.18814925535991</v>
      </c>
      <c r="H8" s="7" t="n">
        <f aca="false">Seg!$E$8+(glt_azo-Seg!$E$8)*MIN(1,3/n_conv)</f>
        <v>0.161111941519932</v>
      </c>
      <c r="I8" s="7" t="n">
        <f aca="false">Seg!$E$8+(glt_azo-Seg!$E$8)*MIN(1,4/n_conv)</f>
        <v>0.134074627679955</v>
      </c>
      <c r="J8" s="7" t="n">
        <f aca="false">Seg!$E$8+(glt_azo-Seg!$E$8)*MIN(1,5/n_conv)</f>
        <v>0.107037313839977</v>
      </c>
      <c r="K8" s="7" t="n">
        <f aca="false">Seg!$E$8+(glt_azo-Seg!$E$8)*MIN(1,6/n_conv)</f>
        <v>0.08</v>
      </c>
    </row>
    <row r="9" customFormat="false" ht="15" hidden="false" customHeight="false" outlineLevel="0" collapsed="false">
      <c r="A9" s="0" t="s">
        <v>783</v>
      </c>
      <c r="B9" s="0" t="s">
        <v>95</v>
      </c>
      <c r="D9" s="6" t="n">
        <f aca="false">Seg!D6+Seg!D7</f>
        <v>72.61</v>
      </c>
      <c r="E9" s="6" t="n">
        <f aca="false">Seg!E6+Seg!E7</f>
        <v>101.938</v>
      </c>
      <c r="F9" s="6" t="n">
        <f aca="false">Seg!F6+Seg!F7</f>
        <v>148.812368967868</v>
      </c>
      <c r="G9" s="6" t="n">
        <f aca="false">Seg!G6+Seg!G7</f>
        <v>208.397514344463</v>
      </c>
      <c r="H9" s="6" t="n">
        <f aca="false">Seg!H6+Seg!H7</f>
        <v>274.05759259987</v>
      </c>
      <c r="I9" s="6" t="n">
        <f aca="false">Seg!I6+Seg!I7</f>
        <v>333.373091964934</v>
      </c>
      <c r="J9" s="6" t="n">
        <f aca="false">Seg!J6+Seg!J7</f>
        <v>391.214773806054</v>
      </c>
      <c r="K9" s="6" t="n">
        <f aca="false">Seg!K6+Seg!K7</f>
        <v>446.513235535821</v>
      </c>
    </row>
    <row r="10" customFormat="false" ht="17.15" hidden="false" customHeight="false" outlineLevel="0" collapsed="false">
      <c r="A10" s="0" t="s">
        <v>784</v>
      </c>
      <c r="B10" s="1" t="s">
        <v>451</v>
      </c>
      <c r="C10" s="27" t="n">
        <f aca="false">cop_s24</f>
        <v>1</v>
      </c>
      <c r="D10" s="27" t="n">
        <f aca="false">cop_s25</f>
        <v>5</v>
      </c>
      <c r="E10" s="27" t="n">
        <f aca="false">cop_s26</f>
        <v>30</v>
      </c>
      <c r="F10" s="27" t="n">
        <f aca="false">Seg!E10+IF(2027&lt;=2029,cop_add_A,cop_add_A*cop_tail)</f>
        <v>60</v>
      </c>
      <c r="G10" s="27" t="n">
        <f aca="false">Seg!F10+IF(2028&lt;=2029,cop_add_A,cop_add_A*cop_tail)</f>
        <v>90</v>
      </c>
      <c r="H10" s="27" t="n">
        <f aca="false">Seg!G10+IF(2029&lt;=2029,cop_add_A,cop_add_A*cop_tail)</f>
        <v>120</v>
      </c>
      <c r="I10" s="27" t="n">
        <f aca="false">Seg!H10+IF(2030&lt;=2029,cop_add_A,cop_add_A*cop_tail)</f>
        <v>135</v>
      </c>
      <c r="J10" s="27" t="n">
        <f aca="false">Seg!I10+IF(2031&lt;=2029,cop_add_A,cop_add_A*cop_tail)</f>
        <v>150</v>
      </c>
      <c r="K10" s="27" t="n">
        <f aca="false">Seg!J10+IF(2032&lt;=2029,cop_add_A,cop_add_A*cop_tail)</f>
        <v>165</v>
      </c>
    </row>
    <row r="11" customFormat="false" ht="17.15" hidden="false" customHeight="false" outlineLevel="0" collapsed="false">
      <c r="A11" s="0" t="s">
        <v>785</v>
      </c>
      <c r="B11" s="0" t="s">
        <v>95</v>
      </c>
      <c r="D11" s="6" t="n">
        <f aca="false">(Seg!C10+Seg!D10)/2*cop_px*12/1000</f>
        <v>0.9</v>
      </c>
      <c r="E11" s="6" t="n">
        <f aca="false">(Seg!D10+Seg!E10)/2*cop_px*12/1000</f>
        <v>5.25</v>
      </c>
      <c r="F11" s="6" t="n">
        <f aca="false">(Seg!E10+Seg!F10)/2*cop_px*12/1000</f>
        <v>13.5</v>
      </c>
      <c r="G11" s="6" t="n">
        <f aca="false">(Seg!F10+Seg!G10)/2*cop_px*12/1000</f>
        <v>22.5</v>
      </c>
      <c r="H11" s="6" t="n">
        <f aca="false">(Seg!G10+Seg!H10)/2*cop_px*12/1000</f>
        <v>31.5</v>
      </c>
      <c r="I11" s="6" t="n">
        <f aca="false">(Seg!H10+Seg!I10)/2*cop_px*12/1000</f>
        <v>38.25</v>
      </c>
      <c r="J11" s="6" t="n">
        <f aca="false">(Seg!I10+Seg!J10)/2*cop_px*12/1000</f>
        <v>42.75</v>
      </c>
      <c r="K11" s="6" t="n">
        <f aca="false">(Seg!J10+Seg!K10)/2*cop_px*12/1000</f>
        <v>47.25</v>
      </c>
      <c r="L11" s="1" t="s">
        <v>786</v>
      </c>
    </row>
    <row r="12" customFormat="false" ht="17.15" hidden="false" customHeight="false" outlineLevel="0" collapsed="false">
      <c r="A12" s="0" t="s">
        <v>787</v>
      </c>
      <c r="B12" s="0" t="s">
        <v>95</v>
      </c>
      <c r="D12" s="6" t="n">
        <f aca="false">Q!L7-Seg!D11</f>
        <v>83.705</v>
      </c>
      <c r="E12" s="6" t="n">
        <f aca="false">Q!M7-Seg!E11</f>
        <v>95.049</v>
      </c>
      <c r="F12" s="6" t="n">
        <f aca="false">Seg!E12*(1+Seg!F13)</f>
        <v>106.89238776686</v>
      </c>
      <c r="G12" s="6" t="n">
        <f aca="false">Seg!F12*(1+Seg!G13)</f>
        <v>119.044168448684</v>
      </c>
      <c r="H12" s="6" t="n">
        <f aca="false">Seg!G12*(1+Seg!H13)</f>
        <v>131.277359388781</v>
      </c>
      <c r="I12" s="6" t="n">
        <f aca="false">Seg!H12*(1+Seg!I13)</f>
        <v>143.334028071957</v>
      </c>
      <c r="J12" s="6" t="n">
        <f aca="false">Seg!I12*(1+Seg!J13)</f>
        <v>154.932702785465</v>
      </c>
      <c r="K12" s="6" t="n">
        <f aca="false">Seg!J12*(1+Seg!K13)</f>
        <v>165.777991980448</v>
      </c>
    </row>
    <row r="13" customFormat="false" ht="15" hidden="false" customHeight="false" outlineLevel="0" collapsed="false">
      <c r="A13" s="1" t="s">
        <v>782</v>
      </c>
      <c r="B13" s="0" t="s">
        <v>126</v>
      </c>
      <c r="E13" s="7" t="n">
        <f aca="false">Seg!E12/Seg!D12-1</f>
        <v>0.135523564900544</v>
      </c>
      <c r="F13" s="7" t="n">
        <f aca="false">Seg!$E$13+(glt_m365b-Seg!$E$13)*MIN(1,1/n_conv)</f>
        <v>0.124602970750453</v>
      </c>
      <c r="G13" s="7" t="n">
        <f aca="false">Seg!$E$13+(glt_m365b-Seg!$E$13)*MIN(1,2/n_conv)</f>
        <v>0.113682376600363</v>
      </c>
      <c r="H13" s="7" t="n">
        <f aca="false">Seg!$E$13+(glt_m365b-Seg!$E$13)*MIN(1,3/n_conv)</f>
        <v>0.102761782450272</v>
      </c>
      <c r="I13" s="7" t="n">
        <f aca="false">Seg!$E$13+(glt_m365b-Seg!$E$13)*MIN(1,4/n_conv)</f>
        <v>0.0918411883001813</v>
      </c>
      <c r="J13" s="7" t="n">
        <f aca="false">Seg!$E$13+(glt_m365b-Seg!$E$13)*MIN(1,5/n_conv)</f>
        <v>0.0809205941500906</v>
      </c>
      <c r="K13" s="7" t="n">
        <f aca="false">Seg!$E$13+(glt_m365b-Seg!$E$13)*MIN(1,6/n_conv)</f>
        <v>0.07</v>
      </c>
    </row>
    <row r="14" customFormat="false" ht="15" hidden="false" customHeight="false" outlineLevel="0" collapsed="false">
      <c r="A14" s="0" t="s">
        <v>788</v>
      </c>
      <c r="B14" s="0" t="s">
        <v>95</v>
      </c>
      <c r="D14" s="6" t="n">
        <f aca="false">Seg!D12+Seg!D11</f>
        <v>84.605</v>
      </c>
      <c r="E14" s="6" t="n">
        <f aca="false">Seg!E12+Seg!E11</f>
        <v>100.299</v>
      </c>
      <c r="F14" s="6" t="n">
        <f aca="false">Seg!F12+Seg!F11</f>
        <v>120.39238776686</v>
      </c>
      <c r="G14" s="6" t="n">
        <f aca="false">Seg!G12+Seg!G11</f>
        <v>141.544168448684</v>
      </c>
      <c r="H14" s="6" t="n">
        <f aca="false">Seg!H12+Seg!H11</f>
        <v>162.777359388781</v>
      </c>
      <c r="I14" s="6" t="n">
        <f aca="false">Seg!I12+Seg!I11</f>
        <v>181.584028071957</v>
      </c>
      <c r="J14" s="6" t="n">
        <f aca="false">Seg!J12+Seg!J11</f>
        <v>197.682702785465</v>
      </c>
      <c r="K14" s="6" t="n">
        <f aca="false">Seg!K12+Seg!K11</f>
        <v>213.027991980448</v>
      </c>
    </row>
    <row r="15" customFormat="false" ht="15" hidden="false" customHeight="false" outlineLevel="0" collapsed="false">
      <c r="A15" s="0" t="s">
        <v>789</v>
      </c>
      <c r="B15" s="0" t="s">
        <v>95</v>
      </c>
      <c r="D15" s="6" t="n">
        <f aca="false">Q!L8</f>
        <v>35.391</v>
      </c>
      <c r="E15" s="6" t="n">
        <f aca="false">Q!M8</f>
        <v>37.285</v>
      </c>
      <c r="F15" s="6" t="n">
        <f aca="false">Seg!E15*(1+Seg!F16)</f>
        <v>39.0720834331704</v>
      </c>
      <c r="G15" s="6" t="n">
        <f aca="false">Seg!F15*(1+Seg!G16)</f>
        <v>40.726562953769</v>
      </c>
      <c r="H15" s="6" t="n">
        <f aca="false">Seg!G15*(1+Seg!H16)</f>
        <v>42.2235987259198</v>
      </c>
      <c r="I15" s="6" t="n">
        <f aca="false">Seg!H15*(1+Seg!I16)</f>
        <v>43.5397988077414</v>
      </c>
      <c r="J15" s="6" t="n">
        <f aca="false">Seg!I15*(1+Seg!J16)</f>
        <v>44.653811225693</v>
      </c>
      <c r="K15" s="6" t="n">
        <f aca="false">Seg!J15*(1+Seg!K16)</f>
        <v>45.5468874502068</v>
      </c>
    </row>
    <row r="16" customFormat="false" ht="15" hidden="false" customHeight="false" outlineLevel="0" collapsed="false">
      <c r="A16" s="1" t="s">
        <v>782</v>
      </c>
      <c r="B16" s="0" t="s">
        <v>126</v>
      </c>
      <c r="E16" s="7" t="n">
        <f aca="false">Seg!E15/Seg!D15-1</f>
        <v>0.0535164307309768</v>
      </c>
      <c r="F16" s="7" t="n">
        <f aca="false">Seg!$E$16+(glt_lic-Seg!$E$16)*MIN(1,1/n_conv)</f>
        <v>0.0479303589424807</v>
      </c>
      <c r="G16" s="7" t="n">
        <f aca="false">Seg!$E$16+(glt_lic-Seg!$E$16)*MIN(1,2/n_conv)</f>
        <v>0.0423442871539845</v>
      </c>
      <c r="H16" s="7" t="n">
        <f aca="false">Seg!$E$16+(glt_lic-Seg!$E$16)*MIN(1,3/n_conv)</f>
        <v>0.0367582153654884</v>
      </c>
      <c r="I16" s="7" t="n">
        <f aca="false">Seg!$E$16+(glt_lic-Seg!$E$16)*MIN(1,4/n_conv)</f>
        <v>0.0311721435769923</v>
      </c>
      <c r="J16" s="7" t="n">
        <f aca="false">Seg!$E$16+(glt_lic-Seg!$E$16)*MIN(1,5/n_conv)</f>
        <v>0.0255860717884961</v>
      </c>
      <c r="K16" s="7" t="n">
        <f aca="false">Seg!$E$16+(glt_lic-Seg!$E$16)*MIN(1,6/n_conv)</f>
        <v>0.02</v>
      </c>
    </row>
    <row r="17" customFormat="false" ht="15" hidden="false" customHeight="false" outlineLevel="0" collapsed="false">
      <c r="A17" s="0" t="s">
        <v>790</v>
      </c>
      <c r="B17" s="0" t="s">
        <v>95</v>
      </c>
      <c r="D17" s="6" t="n">
        <f aca="false">Q!L9</f>
        <v>18.417</v>
      </c>
      <c r="E17" s="6" t="n">
        <f aca="false">Q!M9</f>
        <v>20.345</v>
      </c>
      <c r="F17" s="6" t="n">
        <f aca="false">Seg!E17*(1+Seg!F18)</f>
        <v>22.3572203267814</v>
      </c>
      <c r="G17" s="6" t="n">
        <f aca="false">Seg!F17*(1+Seg!G18)</f>
        <v>24.4392124437232</v>
      </c>
      <c r="H17" s="6" t="n">
        <f aca="false">Seg!G17*(1+Seg!H18)</f>
        <v>26.5738052080665</v>
      </c>
      <c r="I17" s="6" t="n">
        <f aca="false">Seg!H17*(1+Seg!I18)</f>
        <v>28.7412169166967</v>
      </c>
      <c r="J17" s="6" t="n">
        <f aca="false">Seg!I17*(1+Seg!J18)</f>
        <v>30.9192545395413</v>
      </c>
      <c r="K17" s="6" t="n">
        <f aca="false">Seg!J17*(1+Seg!K18)</f>
        <v>33.0836023573092</v>
      </c>
    </row>
    <row r="18" customFormat="false" ht="15" hidden="false" customHeight="false" outlineLevel="0" collapsed="false">
      <c r="A18" s="1" t="s">
        <v>782</v>
      </c>
      <c r="B18" s="0" t="s">
        <v>126</v>
      </c>
      <c r="E18" s="7" t="n">
        <f aca="false">Seg!E17/Seg!D17-1</f>
        <v>0.104685888038225</v>
      </c>
      <c r="F18" s="7" t="n">
        <f aca="false">Seg!$E$18+(glt_ind-Seg!$E$18)*MIN(1,1/n_conv)</f>
        <v>0.0989049066985211</v>
      </c>
      <c r="G18" s="7" t="n">
        <f aca="false">Seg!$E$18+(glt_ind-Seg!$E$18)*MIN(1,2/n_conv)</f>
        <v>0.0931239253588169</v>
      </c>
      <c r="H18" s="7" t="n">
        <f aca="false">Seg!$E$18+(glt_ind-Seg!$E$18)*MIN(1,3/n_conv)</f>
        <v>0.0873429440191127</v>
      </c>
      <c r="I18" s="7" t="n">
        <f aca="false">Seg!$E$18+(glt_ind-Seg!$E$18)*MIN(1,4/n_conv)</f>
        <v>0.0815619626794085</v>
      </c>
      <c r="J18" s="7" t="n">
        <f aca="false">Seg!$E$18+(glt_ind-Seg!$E$18)*MIN(1,5/n_conv)</f>
        <v>0.0757809813397042</v>
      </c>
      <c r="K18" s="7" t="n">
        <f aca="false">Seg!$E$18+(glt_ind-Seg!$E$18)*MIN(1,6/n_conv)</f>
        <v>0.07</v>
      </c>
    </row>
    <row r="19" customFormat="false" ht="15" hidden="false" customHeight="false" outlineLevel="0" collapsed="false">
      <c r="A19" s="0" t="s">
        <v>791</v>
      </c>
      <c r="B19" s="0" t="s">
        <v>95</v>
      </c>
      <c r="D19" s="6" t="n">
        <f aca="false">Q!L10</f>
        <v>7.76</v>
      </c>
      <c r="E19" s="6" t="n">
        <f aca="false">Q!M10</f>
        <v>8.26</v>
      </c>
      <c r="F19" s="6" t="n">
        <f aca="false">Seg!E19*(1+Seg!F20)</f>
        <v>8.79988041237113</v>
      </c>
      <c r="G19" s="6" t="n">
        <f aca="false">Seg!F19*(1+Seg!G20)</f>
        <v>9.38321269125306</v>
      </c>
      <c r="H19" s="6" t="n">
        <f aca="false">Seg!G19*(1+Seg!H20)</f>
        <v>10.0139193587476</v>
      </c>
      <c r="I19" s="6" t="n">
        <f aca="false">Seg!H19*(1+Seg!I20)</f>
        <v>10.6963111830911</v>
      </c>
      <c r="J19" s="6" t="n">
        <f aca="false">Seg!I19*(1+Seg!J20)</f>
        <v>11.4351285534696</v>
      </c>
      <c r="K19" s="6" t="n">
        <f aca="false">Seg!J19*(1+Seg!K20)</f>
        <v>12.2355875522124</v>
      </c>
    </row>
    <row r="20" customFormat="false" ht="15" hidden="false" customHeight="false" outlineLevel="0" collapsed="false">
      <c r="A20" s="1" t="s">
        <v>782</v>
      </c>
      <c r="B20" s="0" t="s">
        <v>126</v>
      </c>
      <c r="E20" s="7" t="n">
        <f aca="false">Seg!E19/Seg!D19-1</f>
        <v>0.0644329896907216</v>
      </c>
      <c r="F20" s="7" t="n">
        <f aca="false">Seg!$E$20+(glt_fro-Seg!$E$20)*MIN(1,1/n_conv)</f>
        <v>0.065360824742268</v>
      </c>
      <c r="G20" s="7" t="n">
        <f aca="false">Seg!$E$20+(glt_fro-Seg!$E$20)*MIN(1,2/n_conv)</f>
        <v>0.0662886597938144</v>
      </c>
      <c r="H20" s="7" t="n">
        <f aca="false">Seg!$E$20+(glt_fro-Seg!$E$20)*MIN(1,3/n_conv)</f>
        <v>0.0672164948453608</v>
      </c>
      <c r="I20" s="7" t="n">
        <f aca="false">Seg!$E$20+(glt_fro-Seg!$E$20)*MIN(1,4/n_conv)</f>
        <v>0.0681443298969072</v>
      </c>
      <c r="J20" s="7" t="n">
        <f aca="false">Seg!$E$20+(glt_fro-Seg!$E$20)*MIN(1,5/n_conv)</f>
        <v>0.0690721649484536</v>
      </c>
      <c r="K20" s="7" t="n">
        <f aca="false">Seg!$E$20+(glt_fro-Seg!$E$20)*MIN(1,6/n_conv)</f>
        <v>0.07</v>
      </c>
    </row>
    <row r="21" customFormat="false" ht="15" hidden="false" customHeight="false" outlineLevel="0" collapsed="false">
      <c r="A21" s="0" t="s">
        <v>626</v>
      </c>
      <c r="B21" s="0" t="s">
        <v>95</v>
      </c>
      <c r="D21" s="6" t="n">
        <f aca="false">Seg!D9+Seg!D14+Seg!D15+Seg!D17+Seg!D19</f>
        <v>218.783</v>
      </c>
      <c r="E21" s="6" t="n">
        <f aca="false">Seg!E9+Seg!E14+Seg!E15+Seg!E17+Seg!E19</f>
        <v>268.127</v>
      </c>
      <c r="F21" s="6" t="n">
        <f aca="false">Seg!F9+Seg!F14+Seg!F15+Seg!F17+Seg!F19</f>
        <v>339.433940907051</v>
      </c>
      <c r="G21" s="6" t="n">
        <f aca="false">Seg!G9+Seg!G14+Seg!G15+Seg!G17+Seg!G19</f>
        <v>424.490670881892</v>
      </c>
      <c r="H21" s="6" t="n">
        <f aca="false">Seg!H9+Seg!H14+Seg!H15+Seg!H17+Seg!H19</f>
        <v>515.646275281385</v>
      </c>
      <c r="I21" s="6" t="n">
        <f aca="false">Seg!I9+Seg!I14+Seg!I15+Seg!I17+Seg!I19</f>
        <v>597.93444694442</v>
      </c>
      <c r="J21" s="6" t="n">
        <f aca="false">Seg!J9+Seg!J14+Seg!J15+Seg!J17+Seg!J19</f>
        <v>675.905670910223</v>
      </c>
      <c r="K21" s="6" t="n">
        <f aca="false">Seg!K9+Seg!K14+Seg!K15+Seg!K17+Seg!K19</f>
        <v>750.407304875998</v>
      </c>
    </row>
    <row r="22" customFormat="false" ht="15" hidden="false" customHeight="false" outlineLevel="0" collapsed="false">
      <c r="A22" s="0" t="s">
        <v>792</v>
      </c>
      <c r="B22" s="0" t="s">
        <v>95</v>
      </c>
      <c r="D22" s="6" t="n">
        <f aca="false">Q!L13</f>
        <v>22.171</v>
      </c>
      <c r="E22" s="6" t="n">
        <f aca="false">Q!M13</f>
        <v>24.835</v>
      </c>
      <c r="F22" s="6" t="n">
        <f aca="false">Seg!E22*(1+Seg!F23)</f>
        <v>27.6114901218559</v>
      </c>
      <c r="G22" s="6" t="n">
        <f aca="false">Seg!F22*(1+Seg!G23)</f>
        <v>30.4675667338515</v>
      </c>
      <c r="H22" s="6" t="n">
        <f aca="false">Seg!G22*(1+Seg!H23)</f>
        <v>33.3643766955789</v>
      </c>
      <c r="I22" s="6" t="n">
        <f aca="false">Seg!H22*(1+Seg!I23)</f>
        <v>36.2577016533691</v>
      </c>
      <c r="J22" s="6" t="n">
        <f aca="false">Seg!I22*(1+Seg!J23)</f>
        <v>39.0988367952171</v>
      </c>
      <c r="K22" s="6" t="n">
        <f aca="false">Seg!J22*(1+Seg!K23)</f>
        <v>41.8357553708823</v>
      </c>
    </row>
    <row r="23" customFormat="false" ht="15" hidden="false" customHeight="false" outlineLevel="0" collapsed="false">
      <c r="A23" s="1" t="s">
        <v>782</v>
      </c>
      <c r="B23" s="0" t="s">
        <v>126</v>
      </c>
      <c r="E23" s="7" t="n">
        <f aca="false">Seg!E22/Seg!D22-1</f>
        <v>0.120156961796942</v>
      </c>
      <c r="F23" s="7" t="n">
        <f aca="false">Seg!$E$23+(glt_srch-Seg!$E$23)*MIN(1,1/n_conv)</f>
        <v>0.111797468164118</v>
      </c>
      <c r="G23" s="7" t="n">
        <f aca="false">Seg!$E$23+(glt_srch-Seg!$E$23)*MIN(1,2/n_conv)</f>
        <v>0.103437974531295</v>
      </c>
      <c r="H23" s="7" t="n">
        <f aca="false">Seg!$E$23+(glt_srch-Seg!$E$23)*MIN(1,3/n_conv)</f>
        <v>0.095078480898471</v>
      </c>
      <c r="I23" s="7" t="n">
        <f aca="false">Seg!$E$23+(glt_srch-Seg!$E$23)*MIN(1,4/n_conv)</f>
        <v>0.0867189872656474</v>
      </c>
      <c r="J23" s="7" t="n">
        <f aca="false">Seg!$E$23+(glt_srch-Seg!$E$23)*MIN(1,5/n_conv)</f>
        <v>0.0783594936328237</v>
      </c>
      <c r="K23" s="7" t="n">
        <f aca="false">Seg!$E$23+(glt_srch-Seg!$E$23)*MIN(1,6/n_conv)</f>
        <v>0.07</v>
      </c>
    </row>
    <row r="24" customFormat="false" ht="15" hidden="false" customHeight="false" outlineLevel="0" collapsed="false">
      <c r="A24" s="0" t="s">
        <v>793</v>
      </c>
      <c r="B24" s="0" t="s">
        <v>95</v>
      </c>
      <c r="D24" s="6" t="n">
        <f aca="false">Q!L14</f>
        <v>23.455</v>
      </c>
      <c r="E24" s="6" t="n">
        <f aca="false">Q!M14</f>
        <v>21.79</v>
      </c>
      <c r="F24" s="6" t="n">
        <f aca="false">Seg!E24*(1+Seg!F25)</f>
        <v>20.5736277908051</v>
      </c>
      <c r="G24" s="6" t="n">
        <f aca="false">Seg!F24*(1+Seg!G25)</f>
        <v>19.7371452817919</v>
      </c>
      <c r="H24" s="6" t="n">
        <f aca="false">Seg!G24*(1+Seg!H25)</f>
        <v>19.2339764043138</v>
      </c>
      <c r="I24" s="6" t="n">
        <f aca="false">Seg!H24*(1+Seg!I25)</f>
        <v>19.0353086852681</v>
      </c>
      <c r="J24" s="6" t="n">
        <f aca="false">Seg!I24*(1+Seg!J25)</f>
        <v>19.1273539319129</v>
      </c>
      <c r="K24" s="6" t="n">
        <f aca="false">Seg!J24*(1+Seg!K25)</f>
        <v>19.5099010105511</v>
      </c>
    </row>
    <row r="25" customFormat="false" ht="15" hidden="false" customHeight="false" outlineLevel="0" collapsed="false">
      <c r="A25" s="1" t="s">
        <v>782</v>
      </c>
      <c r="B25" s="0" t="s">
        <v>126</v>
      </c>
      <c r="E25" s="7" t="n">
        <f aca="false">Seg!E24/Seg!D24-1</f>
        <v>-0.0709869963760392</v>
      </c>
      <c r="F25" s="7" t="n">
        <f aca="false">Seg!$E$25+(glt_xbox-Seg!$E$25)*MIN(1,1/n_conv)</f>
        <v>-0.0558224969800327</v>
      </c>
      <c r="G25" s="7" t="n">
        <f aca="false">Seg!$E$25+(glt_xbox-Seg!$E$25)*MIN(1,2/n_conv)</f>
        <v>-0.0406579975840262</v>
      </c>
      <c r="H25" s="7" t="n">
        <f aca="false">Seg!$E$25+(glt_xbox-Seg!$E$25)*MIN(1,3/n_conv)</f>
        <v>-0.0254934981880196</v>
      </c>
      <c r="I25" s="7" t="n">
        <f aca="false">Seg!$E$25+(glt_xbox-Seg!$E$25)*MIN(1,4/n_conv)</f>
        <v>-0.0103289987920131</v>
      </c>
      <c r="J25" s="7" t="n">
        <f aca="false">Seg!$E$25+(glt_xbox-Seg!$E$25)*MIN(1,5/n_conv)</f>
        <v>0.00483550060399347</v>
      </c>
      <c r="K25" s="7" t="n">
        <f aca="false">Seg!$E$25+(glt_xbox-Seg!$E$25)*MIN(1,6/n_conv)</f>
        <v>0.02</v>
      </c>
    </row>
    <row r="26" customFormat="false" ht="15" hidden="false" customHeight="false" outlineLevel="0" collapsed="false">
      <c r="A26" s="0" t="s">
        <v>794</v>
      </c>
      <c r="B26" s="0" t="s">
        <v>95</v>
      </c>
      <c r="D26" s="6" t="n">
        <f aca="false">Q!L15</f>
        <v>17.315</v>
      </c>
      <c r="E26" s="6" t="n">
        <f aca="false">Q!M15</f>
        <v>17.087</v>
      </c>
      <c r="F26" s="6" t="n">
        <f aca="false">Seg!E26*(1+Seg!F27)</f>
        <v>16.9564585436519</v>
      </c>
      <c r="G26" s="6" t="n">
        <f aca="false">Seg!F26*(1+Seg!G27)</f>
        <v>16.9206490624268</v>
      </c>
      <c r="H26" s="6" t="n">
        <f aca="false">Seg!G26*(1+Seg!H27)</f>
        <v>16.9784519149849</v>
      </c>
      <c r="I26" s="6" t="n">
        <f aca="false">Seg!H26*(1+Seg!I27)</f>
        <v>17.1303084701817</v>
      </c>
      <c r="J26" s="6" t="n">
        <f aca="false">Seg!I26*(1+Seg!J27)</f>
        <v>17.3782189407267</v>
      </c>
      <c r="K26" s="6" t="n">
        <f aca="false">Seg!J26*(1+Seg!K27)</f>
        <v>17.7257833195413</v>
      </c>
    </row>
    <row r="27" customFormat="false" ht="15" hidden="false" customHeight="false" outlineLevel="0" collapsed="false">
      <c r="A27" s="1" t="s">
        <v>782</v>
      </c>
      <c r="B27" s="0" t="s">
        <v>126</v>
      </c>
      <c r="E27" s="7" t="n">
        <f aca="false">Seg!E26/Seg!D26-1</f>
        <v>-0.0131677736066995</v>
      </c>
      <c r="F27" s="7" t="n">
        <f aca="false">Seg!$E$27+(glt_win-Seg!$E$27)*MIN(1,1/n_conv)</f>
        <v>-0.00763981133891627</v>
      </c>
      <c r="G27" s="7" t="n">
        <f aca="false">Seg!$E$27+(glt_win-Seg!$E$27)*MIN(1,2/n_conv)</f>
        <v>-0.00211184907113301</v>
      </c>
      <c r="H27" s="7" t="n">
        <f aca="false">Seg!$E$27+(glt_win-Seg!$E$27)*MIN(1,3/n_conv)</f>
        <v>0.00341611319665024</v>
      </c>
      <c r="I27" s="7" t="n">
        <f aca="false">Seg!$E$27+(glt_win-Seg!$E$27)*MIN(1,4/n_conv)</f>
        <v>0.00894407546443349</v>
      </c>
      <c r="J27" s="7" t="n">
        <f aca="false">Seg!$E$27+(glt_win-Seg!$E$27)*MIN(1,5/n_conv)</f>
        <v>0.0144720377322168</v>
      </c>
      <c r="K27" s="7" t="n">
        <f aca="false">Seg!$E$27+(glt_win-Seg!$E$27)*MIN(1,6/n_conv)</f>
        <v>0.02</v>
      </c>
    </row>
    <row r="28" customFormat="false" ht="15" hidden="false" customHeight="false" outlineLevel="0" collapsed="false">
      <c r="A28" s="0" t="s">
        <v>640</v>
      </c>
      <c r="B28" s="0" t="s">
        <v>95</v>
      </c>
      <c r="D28" s="6" t="n">
        <f aca="false">Seg!D22+Seg!D24+Seg!D26</f>
        <v>62.941</v>
      </c>
      <c r="E28" s="6" t="n">
        <f aca="false">Seg!E22+Seg!E24+Seg!E26</f>
        <v>63.712</v>
      </c>
      <c r="F28" s="6" t="n">
        <f aca="false">Seg!F22+Seg!F24+Seg!F26</f>
        <v>65.1415764563129</v>
      </c>
      <c r="G28" s="6" t="n">
        <f aca="false">Seg!G22+Seg!G24+Seg!G26</f>
        <v>67.1253610780702</v>
      </c>
      <c r="H28" s="6" t="n">
        <f aca="false">Seg!H22+Seg!H24+Seg!H26</f>
        <v>69.5768050148776</v>
      </c>
      <c r="I28" s="6" t="n">
        <f aca="false">Seg!I22+Seg!I24+Seg!I26</f>
        <v>72.4233188088189</v>
      </c>
      <c r="J28" s="6" t="n">
        <f aca="false">Seg!J22+Seg!J24+Seg!J26</f>
        <v>75.6044096678567</v>
      </c>
      <c r="K28" s="6" t="n">
        <f aca="false">Seg!K22+Seg!K24+Seg!K26</f>
        <v>79.0714397009747</v>
      </c>
    </row>
    <row r="29" customFormat="false" ht="15" hidden="false" customHeight="false" outlineLevel="0" collapsed="false">
      <c r="A29" s="1" t="s">
        <v>795</v>
      </c>
      <c r="B29" s="0" t="s">
        <v>95</v>
      </c>
      <c r="D29" s="6" t="n">
        <f aca="false">Seg!D21+Seg!D28</f>
        <v>281.724</v>
      </c>
      <c r="E29" s="6" t="n">
        <f aca="false">Seg!E21+Seg!E28</f>
        <v>331.839</v>
      </c>
      <c r="F29" s="6" t="n">
        <f aca="false">Seg!F21+Seg!F28</f>
        <v>404.575517363364</v>
      </c>
      <c r="G29" s="6" t="n">
        <f aca="false">Seg!G21+Seg!G28</f>
        <v>491.616031959962</v>
      </c>
      <c r="H29" s="6" t="n">
        <f aca="false">Seg!H21+Seg!H28</f>
        <v>585.223080296262</v>
      </c>
      <c r="I29" s="6" t="n">
        <f aca="false">Seg!I21+Seg!I28</f>
        <v>670.357765753239</v>
      </c>
      <c r="J29" s="6" t="n">
        <f aca="false">Seg!J21+Seg!J28</f>
        <v>751.510080578079</v>
      </c>
      <c r="K29" s="6" t="n">
        <f aca="false">Seg!K21+Seg!K28</f>
        <v>829.478744576972</v>
      </c>
    </row>
    <row r="30" customFormat="false" ht="15" hidden="false" customHeight="false" outlineLevel="0" collapsed="false">
      <c r="A30" s="22" t="s">
        <v>796</v>
      </c>
      <c r="B30" s="28" t="s">
        <v>95</v>
      </c>
      <c r="C30" s="28"/>
      <c r="D30" s="23" t="n">
        <f aca="false">(Seg!D9+Seg!D14+Seg!D15+Seg!D17+Seg!D19-Seg!D21)+(Seg!D22+Seg!D24+Seg!D26-Seg!D28)+(Seg!D21-Q!L5)+(Seg!D28-Q!L12)+(Seg!D9-Q!L6)+(Seg!D14-Q!L7)</f>
        <v>0</v>
      </c>
      <c r="E30" s="23" t="n">
        <f aca="false">(Seg!E9+Seg!E14+Seg!E15+Seg!E17+Seg!E19-Seg!E21)+(Seg!E22+Seg!E24+Seg!E26-Seg!E28)+(Seg!E21-Q!M5)+(Seg!E28-Q!M12)+(Seg!E9-Q!M6)+(Seg!E14-Q!M7)</f>
        <v>0</v>
      </c>
      <c r="F30" s="23" t="n">
        <f aca="false">(Seg!F9+Seg!F14+Seg!F15+Seg!F17+Seg!F19-Seg!F21)+(Seg!F22+Seg!F24+Seg!F26-Seg!F28)</f>
        <v>0</v>
      </c>
      <c r="G30" s="23" t="n">
        <f aca="false">(Seg!G9+Seg!G14+Seg!G15+Seg!G17+Seg!G19-Seg!G21)+(Seg!G22+Seg!G24+Seg!G26-Seg!G28)</f>
        <v>0</v>
      </c>
      <c r="H30" s="23" t="n">
        <f aca="false">(Seg!H9+Seg!H14+Seg!H15+Seg!H17+Seg!H19-Seg!H21)+(Seg!H22+Seg!H24+Seg!H26-Seg!H28)</f>
        <v>0</v>
      </c>
      <c r="I30" s="23" t="n">
        <f aca="false">(Seg!I9+Seg!I14+Seg!I15+Seg!I17+Seg!I19-Seg!I21)+(Seg!I22+Seg!I24+Seg!I26-Seg!I28)</f>
        <v>0</v>
      </c>
      <c r="J30" s="23" t="n">
        <f aca="false">(Seg!J9+Seg!J14+Seg!J15+Seg!J17+Seg!J19-Seg!J21)+(Seg!J22+Seg!J24+Seg!J26-Seg!J28)</f>
        <v>0</v>
      </c>
      <c r="K30" s="23" t="n">
        <f aca="false">(Seg!K9+Seg!K14+Seg!K15+Seg!K17+Seg!K19-Seg!K21)+(Seg!K22+Seg!K24+Seg!K26-Seg!K28)</f>
        <v>0</v>
      </c>
    </row>
    <row r="31" customFormat="false" ht="17.15" hidden="false" customHeight="false" outlineLevel="0" collapsed="false">
      <c r="A31" s="3" t="s">
        <v>797</v>
      </c>
    </row>
    <row r="32" customFormat="false" ht="15" hidden="false" customHeight="false" outlineLevel="0" collapsed="false">
      <c r="A32" s="4" t="s">
        <v>43</v>
      </c>
      <c r="B32" s="4" t="s">
        <v>63</v>
      </c>
      <c r="C32" s="19" t="s">
        <v>710</v>
      </c>
      <c r="D32" s="19" t="s">
        <v>711</v>
      </c>
      <c r="E32" s="19" t="s">
        <v>712</v>
      </c>
      <c r="F32" s="19" t="s">
        <v>713</v>
      </c>
      <c r="G32" s="19" t="s">
        <v>714</v>
      </c>
      <c r="H32" s="19" t="s">
        <v>715</v>
      </c>
      <c r="I32" s="19" t="s">
        <v>716</v>
      </c>
      <c r="J32" s="19" t="s">
        <v>717</v>
      </c>
      <c r="K32" s="19" t="s">
        <v>718</v>
      </c>
      <c r="L32" s="4" t="s">
        <v>47</v>
      </c>
    </row>
    <row r="33" customFormat="false" ht="17.15" hidden="false" customHeight="false" outlineLevel="0" collapsed="false">
      <c r="A33" s="0" t="s">
        <v>780</v>
      </c>
      <c r="B33" s="0" t="s">
        <v>95</v>
      </c>
      <c r="D33" s="6" t="n">
        <f aca="false">Thesis!D64</f>
        <v>12.9359794422418</v>
      </c>
      <c r="E33" s="6" t="n">
        <f aca="false">Thesis!E64</f>
        <v>27.8095064661409</v>
      </c>
      <c r="F33" s="6" t="n">
        <f aca="false">Thesis!F64</f>
        <v>55.0640065749585</v>
      </c>
      <c r="G33" s="6" t="n">
        <f aca="false">Thesis!G64</f>
        <v>89.4505413190538</v>
      </c>
      <c r="H33" s="6" t="n">
        <f aca="false">Thesis!H64</f>
        <v>124.835630736874</v>
      </c>
      <c r="I33" s="6" t="n">
        <f aca="false">Thesis!I64</f>
        <v>160.384516075608</v>
      </c>
      <c r="J33" s="6" t="n">
        <f aca="false">Thesis!J64</f>
        <v>196.019025664981</v>
      </c>
      <c r="K33" s="6" t="n">
        <f aca="false">Thesis!K64</f>
        <v>231.703903883012</v>
      </c>
    </row>
    <row r="34" customFormat="false" ht="17.15" hidden="false" customHeight="false" outlineLevel="0" collapsed="false">
      <c r="A34" s="0" t="s">
        <v>781</v>
      </c>
      <c r="B34" s="0" t="s">
        <v>95</v>
      </c>
      <c r="D34" s="6" t="n">
        <f aca="false">Q!L6-Seg!D33</f>
        <v>59.6740205577583</v>
      </c>
      <c r="E34" s="6" t="n">
        <f aca="false">Q!M6-Seg!E33</f>
        <v>74.1284935338591</v>
      </c>
      <c r="F34" s="6" t="n">
        <f aca="false">Seg!E34*(1+Seg!F35)</f>
        <v>90.0799497373663</v>
      </c>
      <c r="G34" s="6" t="n">
        <f aca="false">Seg!F34*(1+Seg!G35)</f>
        <v>107.02842520331</v>
      </c>
      <c r="H34" s="6" t="n">
        <f aca="false">Seg!G34*(1+Seg!H35)</f>
        <v>124.271982585636</v>
      </c>
      <c r="I34" s="6" t="n">
        <f aca="false">Seg!H34*(1+Seg!I35)</f>
        <v>140.933702381855</v>
      </c>
      <c r="J34" s="6" t="n">
        <f aca="false">Seg!I34*(1+Seg!J35)</f>
        <v>156.018867314332</v>
      </c>
      <c r="K34" s="6" t="n">
        <f aca="false">Seg!J34*(1+Seg!K35)</f>
        <v>168.500376699478</v>
      </c>
    </row>
    <row r="35" customFormat="false" ht="15" hidden="false" customHeight="false" outlineLevel="0" collapsed="false">
      <c r="A35" s="1" t="s">
        <v>782</v>
      </c>
      <c r="B35" s="0" t="s">
        <v>126</v>
      </c>
      <c r="E35" s="7" t="n">
        <f aca="false">Seg!E34/Seg!D34-1</f>
        <v>0.242223883039864</v>
      </c>
      <c r="F35" s="7" t="n">
        <f aca="false">Seg!$E$35+(glt_azo-Seg!$E$35)*MIN(1,1/n_conv)</f>
        <v>0.215186569199887</v>
      </c>
      <c r="G35" s="7" t="n">
        <f aca="false">Seg!$E$35+(glt_azo-Seg!$E$35)*MIN(1,2/n_conv)</f>
        <v>0.18814925535991</v>
      </c>
      <c r="H35" s="7" t="n">
        <f aca="false">Seg!$E$35+(glt_azo-Seg!$E$35)*MIN(1,3/n_conv)</f>
        <v>0.161111941519932</v>
      </c>
      <c r="I35" s="7" t="n">
        <f aca="false">Seg!$E$35+(glt_azo-Seg!$E$35)*MIN(1,4/n_conv)</f>
        <v>0.134074627679955</v>
      </c>
      <c r="J35" s="7" t="n">
        <f aca="false">Seg!$E$35+(glt_azo-Seg!$E$35)*MIN(1,5/n_conv)</f>
        <v>0.107037313839977</v>
      </c>
      <c r="K35" s="7" t="n">
        <f aca="false">Seg!$E$35+(glt_azo-Seg!$E$35)*MIN(1,6/n_conv)</f>
        <v>0.08</v>
      </c>
    </row>
    <row r="36" customFormat="false" ht="15" hidden="false" customHeight="false" outlineLevel="0" collapsed="false">
      <c r="A36" s="0" t="s">
        <v>783</v>
      </c>
      <c r="B36" s="0" t="s">
        <v>95</v>
      </c>
      <c r="D36" s="6" t="n">
        <f aca="false">Seg!D33+Seg!D34</f>
        <v>72.61</v>
      </c>
      <c r="E36" s="6" t="n">
        <f aca="false">Seg!E33+Seg!E34</f>
        <v>101.938</v>
      </c>
      <c r="F36" s="6" t="n">
        <f aca="false">Seg!F33+Seg!F34</f>
        <v>145.143956312325</v>
      </c>
      <c r="G36" s="6" t="n">
        <f aca="false">Seg!G33+Seg!G34</f>
        <v>196.478966522364</v>
      </c>
      <c r="H36" s="6" t="n">
        <f aca="false">Seg!H33+Seg!H34</f>
        <v>249.10761332251</v>
      </c>
      <c r="I36" s="6" t="n">
        <f aca="false">Seg!I33+Seg!I34</f>
        <v>301.318218457463</v>
      </c>
      <c r="J36" s="6" t="n">
        <f aca="false">Seg!J33+Seg!J34</f>
        <v>352.037892979313</v>
      </c>
      <c r="K36" s="6" t="n">
        <f aca="false">Seg!K33+Seg!K34</f>
        <v>400.20428058249</v>
      </c>
    </row>
    <row r="37" customFormat="false" ht="17.15" hidden="false" customHeight="false" outlineLevel="0" collapsed="false">
      <c r="A37" s="0" t="s">
        <v>784</v>
      </c>
      <c r="B37" s="1" t="s">
        <v>451</v>
      </c>
      <c r="C37" s="27" t="n">
        <f aca="false">cop_s24</f>
        <v>1</v>
      </c>
      <c r="D37" s="27" t="n">
        <f aca="false">cop_s25</f>
        <v>5</v>
      </c>
      <c r="E37" s="27" t="n">
        <f aca="false">cop_s26</f>
        <v>30</v>
      </c>
      <c r="F37" s="27" t="n">
        <f aca="false">Seg!E37+IF(2027&lt;=2029,cop_add_B,cop_add_B*cop_tail)</f>
        <v>50</v>
      </c>
      <c r="G37" s="27" t="n">
        <f aca="false">Seg!F37+IF(2028&lt;=2029,cop_add_B,cop_add_B*cop_tail)</f>
        <v>70</v>
      </c>
      <c r="H37" s="27" t="n">
        <f aca="false">Seg!G37+IF(2029&lt;=2029,cop_add_B,cop_add_B*cop_tail)</f>
        <v>90</v>
      </c>
      <c r="I37" s="27" t="n">
        <f aca="false">Seg!H37+IF(2030&lt;=2029,cop_add_B,cop_add_B*cop_tail)</f>
        <v>100</v>
      </c>
      <c r="J37" s="27" t="n">
        <f aca="false">Seg!I37+IF(2031&lt;=2029,cop_add_B,cop_add_B*cop_tail)</f>
        <v>110</v>
      </c>
      <c r="K37" s="27" t="n">
        <f aca="false">Seg!J37+IF(2032&lt;=2029,cop_add_B,cop_add_B*cop_tail)</f>
        <v>120</v>
      </c>
    </row>
    <row r="38" customFormat="false" ht="17.15" hidden="false" customHeight="false" outlineLevel="0" collapsed="false">
      <c r="A38" s="0" t="s">
        <v>785</v>
      </c>
      <c r="B38" s="0" t="s">
        <v>95</v>
      </c>
      <c r="D38" s="6" t="n">
        <f aca="false">(Seg!C37+Seg!D37)/2*cop_px*12/1000</f>
        <v>0.9</v>
      </c>
      <c r="E38" s="6" t="n">
        <f aca="false">(Seg!D37+Seg!E37)/2*cop_px*12/1000</f>
        <v>5.25</v>
      </c>
      <c r="F38" s="6" t="n">
        <f aca="false">(Seg!E37+Seg!F37)/2*cop_px*12/1000</f>
        <v>12</v>
      </c>
      <c r="G38" s="6" t="n">
        <f aca="false">(Seg!F37+Seg!G37)/2*cop_px*12/1000</f>
        <v>18</v>
      </c>
      <c r="H38" s="6" t="n">
        <f aca="false">(Seg!G37+Seg!H37)/2*cop_px*12/1000</f>
        <v>24</v>
      </c>
      <c r="I38" s="6" t="n">
        <f aca="false">(Seg!H37+Seg!I37)/2*cop_px*12/1000</f>
        <v>28.5</v>
      </c>
      <c r="J38" s="6" t="n">
        <f aca="false">(Seg!I37+Seg!J37)/2*cop_px*12/1000</f>
        <v>31.5</v>
      </c>
      <c r="K38" s="6" t="n">
        <f aca="false">(Seg!J37+Seg!K37)/2*cop_px*12/1000</f>
        <v>34.5</v>
      </c>
      <c r="L38" s="1" t="s">
        <v>786</v>
      </c>
    </row>
    <row r="39" customFormat="false" ht="17.15" hidden="false" customHeight="false" outlineLevel="0" collapsed="false">
      <c r="A39" s="0" t="s">
        <v>787</v>
      </c>
      <c r="B39" s="0" t="s">
        <v>95</v>
      </c>
      <c r="D39" s="6" t="n">
        <f aca="false">Q!L7-Seg!D38</f>
        <v>83.705</v>
      </c>
      <c r="E39" s="6" t="n">
        <f aca="false">Q!M7-Seg!E38</f>
        <v>95.049</v>
      </c>
      <c r="F39" s="6" t="n">
        <f aca="false">Seg!E39*(1+Seg!F40)</f>
        <v>106.89238776686</v>
      </c>
      <c r="G39" s="6" t="n">
        <f aca="false">Seg!F39*(1+Seg!G40)</f>
        <v>119.044168448684</v>
      </c>
      <c r="H39" s="6" t="n">
        <f aca="false">Seg!G39*(1+Seg!H40)</f>
        <v>131.277359388781</v>
      </c>
      <c r="I39" s="6" t="n">
        <f aca="false">Seg!H39*(1+Seg!I40)</f>
        <v>143.334028071957</v>
      </c>
      <c r="J39" s="6" t="n">
        <f aca="false">Seg!I39*(1+Seg!J40)</f>
        <v>154.932702785465</v>
      </c>
      <c r="K39" s="6" t="n">
        <f aca="false">Seg!J39*(1+Seg!K40)</f>
        <v>165.777991980448</v>
      </c>
    </row>
    <row r="40" customFormat="false" ht="15" hidden="false" customHeight="false" outlineLevel="0" collapsed="false">
      <c r="A40" s="1" t="s">
        <v>782</v>
      </c>
      <c r="B40" s="0" t="s">
        <v>126</v>
      </c>
      <c r="E40" s="7" t="n">
        <f aca="false">Seg!E39/Seg!D39-1</f>
        <v>0.135523564900544</v>
      </c>
      <c r="F40" s="7" t="n">
        <f aca="false">Seg!$E$40+(glt_m365b-Seg!$E$40)*MIN(1,1/n_conv)</f>
        <v>0.124602970750453</v>
      </c>
      <c r="G40" s="7" t="n">
        <f aca="false">Seg!$E$40+(glt_m365b-Seg!$E$40)*MIN(1,2/n_conv)</f>
        <v>0.113682376600363</v>
      </c>
      <c r="H40" s="7" t="n">
        <f aca="false">Seg!$E$40+(glt_m365b-Seg!$E$40)*MIN(1,3/n_conv)</f>
        <v>0.102761782450272</v>
      </c>
      <c r="I40" s="7" t="n">
        <f aca="false">Seg!$E$40+(glt_m365b-Seg!$E$40)*MIN(1,4/n_conv)</f>
        <v>0.0918411883001813</v>
      </c>
      <c r="J40" s="7" t="n">
        <f aca="false">Seg!$E$40+(glt_m365b-Seg!$E$40)*MIN(1,5/n_conv)</f>
        <v>0.0809205941500906</v>
      </c>
      <c r="K40" s="7" t="n">
        <f aca="false">Seg!$E$40+(glt_m365b-Seg!$E$40)*MIN(1,6/n_conv)</f>
        <v>0.07</v>
      </c>
    </row>
    <row r="41" customFormat="false" ht="15" hidden="false" customHeight="false" outlineLevel="0" collapsed="false">
      <c r="A41" s="0" t="s">
        <v>788</v>
      </c>
      <c r="B41" s="0" t="s">
        <v>95</v>
      </c>
      <c r="D41" s="6" t="n">
        <f aca="false">Seg!D39+Seg!D38</f>
        <v>84.605</v>
      </c>
      <c r="E41" s="6" t="n">
        <f aca="false">Seg!E39+Seg!E38</f>
        <v>100.299</v>
      </c>
      <c r="F41" s="6" t="n">
        <f aca="false">Seg!F39+Seg!F38</f>
        <v>118.89238776686</v>
      </c>
      <c r="G41" s="6" t="n">
        <f aca="false">Seg!G39+Seg!G38</f>
        <v>137.044168448684</v>
      </c>
      <c r="H41" s="6" t="n">
        <f aca="false">Seg!H39+Seg!H38</f>
        <v>155.277359388781</v>
      </c>
      <c r="I41" s="6" t="n">
        <f aca="false">Seg!I39+Seg!I38</f>
        <v>171.834028071957</v>
      </c>
      <c r="J41" s="6" t="n">
        <f aca="false">Seg!J39+Seg!J38</f>
        <v>186.432702785465</v>
      </c>
      <c r="K41" s="6" t="n">
        <f aca="false">Seg!K39+Seg!K38</f>
        <v>200.277991980448</v>
      </c>
    </row>
    <row r="42" customFormat="false" ht="15" hidden="false" customHeight="false" outlineLevel="0" collapsed="false">
      <c r="A42" s="0" t="s">
        <v>789</v>
      </c>
      <c r="B42" s="0" t="s">
        <v>95</v>
      </c>
      <c r="D42" s="6" t="n">
        <f aca="false">Q!L8</f>
        <v>35.391</v>
      </c>
      <c r="E42" s="6" t="n">
        <f aca="false">Q!M8</f>
        <v>37.285</v>
      </c>
      <c r="F42" s="6" t="n">
        <f aca="false">Seg!E42*(1+Seg!F43)</f>
        <v>39.0720834331704</v>
      </c>
      <c r="G42" s="6" t="n">
        <f aca="false">Seg!F42*(1+Seg!G43)</f>
        <v>40.726562953769</v>
      </c>
      <c r="H42" s="6" t="n">
        <f aca="false">Seg!G42*(1+Seg!H43)</f>
        <v>42.2235987259198</v>
      </c>
      <c r="I42" s="6" t="n">
        <f aca="false">Seg!H42*(1+Seg!I43)</f>
        <v>43.5397988077414</v>
      </c>
      <c r="J42" s="6" t="n">
        <f aca="false">Seg!I42*(1+Seg!J43)</f>
        <v>44.653811225693</v>
      </c>
      <c r="K42" s="6" t="n">
        <f aca="false">Seg!J42*(1+Seg!K43)</f>
        <v>45.5468874502068</v>
      </c>
    </row>
    <row r="43" customFormat="false" ht="15" hidden="false" customHeight="false" outlineLevel="0" collapsed="false">
      <c r="A43" s="1" t="s">
        <v>782</v>
      </c>
      <c r="B43" s="0" t="s">
        <v>126</v>
      </c>
      <c r="E43" s="7" t="n">
        <f aca="false">Seg!E42/Seg!D42-1</f>
        <v>0.0535164307309768</v>
      </c>
      <c r="F43" s="7" t="n">
        <f aca="false">Seg!$E$43+(glt_lic-Seg!$E$43)*MIN(1,1/n_conv)</f>
        <v>0.0479303589424807</v>
      </c>
      <c r="G43" s="7" t="n">
        <f aca="false">Seg!$E$43+(glt_lic-Seg!$E$43)*MIN(1,2/n_conv)</f>
        <v>0.0423442871539845</v>
      </c>
      <c r="H43" s="7" t="n">
        <f aca="false">Seg!$E$43+(glt_lic-Seg!$E$43)*MIN(1,3/n_conv)</f>
        <v>0.0367582153654884</v>
      </c>
      <c r="I43" s="7" t="n">
        <f aca="false">Seg!$E$43+(glt_lic-Seg!$E$43)*MIN(1,4/n_conv)</f>
        <v>0.0311721435769923</v>
      </c>
      <c r="J43" s="7" t="n">
        <f aca="false">Seg!$E$43+(glt_lic-Seg!$E$43)*MIN(1,5/n_conv)</f>
        <v>0.0255860717884961</v>
      </c>
      <c r="K43" s="7" t="n">
        <f aca="false">Seg!$E$43+(glt_lic-Seg!$E$43)*MIN(1,6/n_conv)</f>
        <v>0.02</v>
      </c>
    </row>
    <row r="44" customFormat="false" ht="15" hidden="false" customHeight="false" outlineLevel="0" collapsed="false">
      <c r="A44" s="0" t="s">
        <v>790</v>
      </c>
      <c r="B44" s="0" t="s">
        <v>95</v>
      </c>
      <c r="D44" s="6" t="n">
        <f aca="false">Q!L9</f>
        <v>18.417</v>
      </c>
      <c r="E44" s="6" t="n">
        <f aca="false">Q!M9</f>
        <v>20.345</v>
      </c>
      <c r="F44" s="6" t="n">
        <f aca="false">Seg!E44*(1+Seg!F45)</f>
        <v>22.3572203267814</v>
      </c>
      <c r="G44" s="6" t="n">
        <f aca="false">Seg!F44*(1+Seg!G45)</f>
        <v>24.4392124437232</v>
      </c>
      <c r="H44" s="6" t="n">
        <f aca="false">Seg!G44*(1+Seg!H45)</f>
        <v>26.5738052080665</v>
      </c>
      <c r="I44" s="6" t="n">
        <f aca="false">Seg!H44*(1+Seg!I45)</f>
        <v>28.7412169166967</v>
      </c>
      <c r="J44" s="6" t="n">
        <f aca="false">Seg!I44*(1+Seg!J45)</f>
        <v>30.9192545395413</v>
      </c>
      <c r="K44" s="6" t="n">
        <f aca="false">Seg!J44*(1+Seg!K45)</f>
        <v>33.0836023573092</v>
      </c>
    </row>
    <row r="45" customFormat="false" ht="15" hidden="false" customHeight="false" outlineLevel="0" collapsed="false">
      <c r="A45" s="1" t="s">
        <v>782</v>
      </c>
      <c r="B45" s="0" t="s">
        <v>126</v>
      </c>
      <c r="E45" s="7" t="n">
        <f aca="false">Seg!E44/Seg!D44-1</f>
        <v>0.104685888038225</v>
      </c>
      <c r="F45" s="7" t="n">
        <f aca="false">Seg!$E$45+(glt_ind-Seg!$E$45)*MIN(1,1/n_conv)</f>
        <v>0.0989049066985211</v>
      </c>
      <c r="G45" s="7" t="n">
        <f aca="false">Seg!$E$45+(glt_ind-Seg!$E$45)*MIN(1,2/n_conv)</f>
        <v>0.0931239253588169</v>
      </c>
      <c r="H45" s="7" t="n">
        <f aca="false">Seg!$E$45+(glt_ind-Seg!$E$45)*MIN(1,3/n_conv)</f>
        <v>0.0873429440191127</v>
      </c>
      <c r="I45" s="7" t="n">
        <f aca="false">Seg!$E$45+(glt_ind-Seg!$E$45)*MIN(1,4/n_conv)</f>
        <v>0.0815619626794085</v>
      </c>
      <c r="J45" s="7" t="n">
        <f aca="false">Seg!$E$45+(glt_ind-Seg!$E$45)*MIN(1,5/n_conv)</f>
        <v>0.0757809813397042</v>
      </c>
      <c r="K45" s="7" t="n">
        <f aca="false">Seg!$E$45+(glt_ind-Seg!$E$45)*MIN(1,6/n_conv)</f>
        <v>0.07</v>
      </c>
    </row>
    <row r="46" customFormat="false" ht="15" hidden="false" customHeight="false" outlineLevel="0" collapsed="false">
      <c r="A46" s="0" t="s">
        <v>791</v>
      </c>
      <c r="B46" s="0" t="s">
        <v>95</v>
      </c>
      <c r="D46" s="6" t="n">
        <f aca="false">Q!L10</f>
        <v>7.76</v>
      </c>
      <c r="E46" s="6" t="n">
        <f aca="false">Q!M10</f>
        <v>8.26</v>
      </c>
      <c r="F46" s="6" t="n">
        <f aca="false">Seg!E46*(1+Seg!F47)</f>
        <v>8.79988041237113</v>
      </c>
      <c r="G46" s="6" t="n">
        <f aca="false">Seg!F46*(1+Seg!G47)</f>
        <v>9.38321269125306</v>
      </c>
      <c r="H46" s="6" t="n">
        <f aca="false">Seg!G46*(1+Seg!H47)</f>
        <v>10.0139193587476</v>
      </c>
      <c r="I46" s="6" t="n">
        <f aca="false">Seg!H46*(1+Seg!I47)</f>
        <v>10.6963111830911</v>
      </c>
      <c r="J46" s="6" t="n">
        <f aca="false">Seg!I46*(1+Seg!J47)</f>
        <v>11.4351285534696</v>
      </c>
      <c r="K46" s="6" t="n">
        <f aca="false">Seg!J46*(1+Seg!K47)</f>
        <v>12.2355875522124</v>
      </c>
    </row>
    <row r="47" customFormat="false" ht="15" hidden="false" customHeight="false" outlineLevel="0" collapsed="false">
      <c r="A47" s="1" t="s">
        <v>782</v>
      </c>
      <c r="B47" s="0" t="s">
        <v>126</v>
      </c>
      <c r="E47" s="7" t="n">
        <f aca="false">Seg!E46/Seg!D46-1</f>
        <v>0.0644329896907216</v>
      </c>
      <c r="F47" s="7" t="n">
        <f aca="false">Seg!$E$47+(glt_fro-Seg!$E$47)*MIN(1,1/n_conv)</f>
        <v>0.065360824742268</v>
      </c>
      <c r="G47" s="7" t="n">
        <f aca="false">Seg!$E$47+(glt_fro-Seg!$E$47)*MIN(1,2/n_conv)</f>
        <v>0.0662886597938144</v>
      </c>
      <c r="H47" s="7" t="n">
        <f aca="false">Seg!$E$47+(glt_fro-Seg!$E$47)*MIN(1,3/n_conv)</f>
        <v>0.0672164948453608</v>
      </c>
      <c r="I47" s="7" t="n">
        <f aca="false">Seg!$E$47+(glt_fro-Seg!$E$47)*MIN(1,4/n_conv)</f>
        <v>0.0681443298969072</v>
      </c>
      <c r="J47" s="7" t="n">
        <f aca="false">Seg!$E$47+(glt_fro-Seg!$E$47)*MIN(1,5/n_conv)</f>
        <v>0.0690721649484536</v>
      </c>
      <c r="K47" s="7" t="n">
        <f aca="false">Seg!$E$47+(glt_fro-Seg!$E$47)*MIN(1,6/n_conv)</f>
        <v>0.07</v>
      </c>
    </row>
    <row r="48" customFormat="false" ht="15" hidden="false" customHeight="false" outlineLevel="0" collapsed="false">
      <c r="A48" s="0" t="s">
        <v>626</v>
      </c>
      <c r="B48" s="0" t="s">
        <v>95</v>
      </c>
      <c r="D48" s="6" t="n">
        <f aca="false">Seg!D36+Seg!D41+Seg!D42+Seg!D44+Seg!D46</f>
        <v>218.783</v>
      </c>
      <c r="E48" s="6" t="n">
        <f aca="false">Seg!E36+Seg!E41+Seg!E42+Seg!E44+Seg!E46</f>
        <v>268.127</v>
      </c>
      <c r="F48" s="6" t="n">
        <f aca="false">Seg!F36+Seg!F41+Seg!F42+Seg!F44+Seg!F46</f>
        <v>334.265528251508</v>
      </c>
      <c r="G48" s="6" t="n">
        <f aca="false">Seg!G36+Seg!G41+Seg!G42+Seg!G44+Seg!G46</f>
        <v>408.072123059793</v>
      </c>
      <c r="H48" s="6" t="n">
        <f aca="false">Seg!H36+Seg!H41+Seg!H42+Seg!H44+Seg!H46</f>
        <v>483.196296004025</v>
      </c>
      <c r="I48" s="6" t="n">
        <f aca="false">Seg!I36+Seg!I41+Seg!I42+Seg!I44+Seg!I46</f>
        <v>556.129573436949</v>
      </c>
      <c r="J48" s="6" t="n">
        <f aca="false">Seg!J36+Seg!J41+Seg!J42+Seg!J44+Seg!J46</f>
        <v>625.478790083482</v>
      </c>
      <c r="K48" s="6" t="n">
        <f aca="false">Seg!K36+Seg!K41+Seg!K42+Seg!K44+Seg!K46</f>
        <v>691.348349922667</v>
      </c>
    </row>
    <row r="49" customFormat="false" ht="15" hidden="false" customHeight="false" outlineLevel="0" collapsed="false">
      <c r="A49" s="0" t="s">
        <v>792</v>
      </c>
      <c r="B49" s="0" t="s">
        <v>95</v>
      </c>
      <c r="D49" s="6" t="n">
        <f aca="false">Q!L13</f>
        <v>22.171</v>
      </c>
      <c r="E49" s="6" t="n">
        <f aca="false">Q!M13</f>
        <v>24.835</v>
      </c>
      <c r="F49" s="6" t="n">
        <f aca="false">Seg!E49*(1+Seg!F50)</f>
        <v>27.6114901218559</v>
      </c>
      <c r="G49" s="6" t="n">
        <f aca="false">Seg!F49*(1+Seg!G50)</f>
        <v>30.4675667338515</v>
      </c>
      <c r="H49" s="6" t="n">
        <f aca="false">Seg!G49*(1+Seg!H50)</f>
        <v>33.3643766955789</v>
      </c>
      <c r="I49" s="6" t="n">
        <f aca="false">Seg!H49*(1+Seg!I50)</f>
        <v>36.2577016533691</v>
      </c>
      <c r="J49" s="6" t="n">
        <f aca="false">Seg!I49*(1+Seg!J50)</f>
        <v>39.0988367952171</v>
      </c>
      <c r="K49" s="6" t="n">
        <f aca="false">Seg!J49*(1+Seg!K50)</f>
        <v>41.8357553708823</v>
      </c>
    </row>
    <row r="50" customFormat="false" ht="15" hidden="false" customHeight="false" outlineLevel="0" collapsed="false">
      <c r="A50" s="1" t="s">
        <v>782</v>
      </c>
      <c r="B50" s="0" t="s">
        <v>126</v>
      </c>
      <c r="E50" s="7" t="n">
        <f aca="false">Seg!E49/Seg!D49-1</f>
        <v>0.120156961796942</v>
      </c>
      <c r="F50" s="7" t="n">
        <f aca="false">Seg!$E$50+(glt_srch-Seg!$E$50)*MIN(1,1/n_conv)</f>
        <v>0.111797468164118</v>
      </c>
      <c r="G50" s="7" t="n">
        <f aca="false">Seg!$E$50+(glt_srch-Seg!$E$50)*MIN(1,2/n_conv)</f>
        <v>0.103437974531295</v>
      </c>
      <c r="H50" s="7" t="n">
        <f aca="false">Seg!$E$50+(glt_srch-Seg!$E$50)*MIN(1,3/n_conv)</f>
        <v>0.095078480898471</v>
      </c>
      <c r="I50" s="7" t="n">
        <f aca="false">Seg!$E$50+(glt_srch-Seg!$E$50)*MIN(1,4/n_conv)</f>
        <v>0.0867189872656474</v>
      </c>
      <c r="J50" s="7" t="n">
        <f aca="false">Seg!$E$50+(glt_srch-Seg!$E$50)*MIN(1,5/n_conv)</f>
        <v>0.0783594936328237</v>
      </c>
      <c r="K50" s="7" t="n">
        <f aca="false">Seg!$E$50+(glt_srch-Seg!$E$50)*MIN(1,6/n_conv)</f>
        <v>0.07</v>
      </c>
    </row>
    <row r="51" customFormat="false" ht="15" hidden="false" customHeight="false" outlineLevel="0" collapsed="false">
      <c r="A51" s="0" t="s">
        <v>793</v>
      </c>
      <c r="B51" s="0" t="s">
        <v>95</v>
      </c>
      <c r="D51" s="6" t="n">
        <f aca="false">Q!L14</f>
        <v>23.455</v>
      </c>
      <c r="E51" s="6" t="n">
        <f aca="false">Q!M14</f>
        <v>21.79</v>
      </c>
      <c r="F51" s="6" t="n">
        <f aca="false">Seg!E51*(1+Seg!F52)</f>
        <v>20.5736277908051</v>
      </c>
      <c r="G51" s="6" t="n">
        <f aca="false">Seg!F51*(1+Seg!G52)</f>
        <v>19.7371452817919</v>
      </c>
      <c r="H51" s="6" t="n">
        <f aca="false">Seg!G51*(1+Seg!H52)</f>
        <v>19.2339764043138</v>
      </c>
      <c r="I51" s="6" t="n">
        <f aca="false">Seg!H51*(1+Seg!I52)</f>
        <v>19.0353086852681</v>
      </c>
      <c r="J51" s="6" t="n">
        <f aca="false">Seg!I51*(1+Seg!J52)</f>
        <v>19.1273539319129</v>
      </c>
      <c r="K51" s="6" t="n">
        <f aca="false">Seg!J51*(1+Seg!K52)</f>
        <v>19.5099010105511</v>
      </c>
    </row>
    <row r="52" customFormat="false" ht="15" hidden="false" customHeight="false" outlineLevel="0" collapsed="false">
      <c r="A52" s="1" t="s">
        <v>782</v>
      </c>
      <c r="B52" s="0" t="s">
        <v>126</v>
      </c>
      <c r="E52" s="7" t="n">
        <f aca="false">Seg!E51/Seg!D51-1</f>
        <v>-0.0709869963760392</v>
      </c>
      <c r="F52" s="7" t="n">
        <f aca="false">Seg!$E$52+(glt_xbox-Seg!$E$52)*MIN(1,1/n_conv)</f>
        <v>-0.0558224969800327</v>
      </c>
      <c r="G52" s="7" t="n">
        <f aca="false">Seg!$E$52+(glt_xbox-Seg!$E$52)*MIN(1,2/n_conv)</f>
        <v>-0.0406579975840262</v>
      </c>
      <c r="H52" s="7" t="n">
        <f aca="false">Seg!$E$52+(glt_xbox-Seg!$E$52)*MIN(1,3/n_conv)</f>
        <v>-0.0254934981880196</v>
      </c>
      <c r="I52" s="7" t="n">
        <f aca="false">Seg!$E$52+(glt_xbox-Seg!$E$52)*MIN(1,4/n_conv)</f>
        <v>-0.0103289987920131</v>
      </c>
      <c r="J52" s="7" t="n">
        <f aca="false">Seg!$E$52+(glt_xbox-Seg!$E$52)*MIN(1,5/n_conv)</f>
        <v>0.00483550060399347</v>
      </c>
      <c r="K52" s="7" t="n">
        <f aca="false">Seg!$E$52+(glt_xbox-Seg!$E$52)*MIN(1,6/n_conv)</f>
        <v>0.02</v>
      </c>
    </row>
    <row r="53" customFormat="false" ht="15" hidden="false" customHeight="false" outlineLevel="0" collapsed="false">
      <c r="A53" s="0" t="s">
        <v>794</v>
      </c>
      <c r="B53" s="0" t="s">
        <v>95</v>
      </c>
      <c r="D53" s="6" t="n">
        <f aca="false">Q!L15</f>
        <v>17.315</v>
      </c>
      <c r="E53" s="6" t="n">
        <f aca="false">Q!M15</f>
        <v>17.087</v>
      </c>
      <c r="F53" s="6" t="n">
        <f aca="false">Seg!E53*(1+Seg!F54)</f>
        <v>16.9564585436519</v>
      </c>
      <c r="G53" s="6" t="n">
        <f aca="false">Seg!F53*(1+Seg!G54)</f>
        <v>16.9206490624268</v>
      </c>
      <c r="H53" s="6" t="n">
        <f aca="false">Seg!G53*(1+Seg!H54)</f>
        <v>16.9784519149849</v>
      </c>
      <c r="I53" s="6" t="n">
        <f aca="false">Seg!H53*(1+Seg!I54)</f>
        <v>17.1303084701817</v>
      </c>
      <c r="J53" s="6" t="n">
        <f aca="false">Seg!I53*(1+Seg!J54)</f>
        <v>17.3782189407267</v>
      </c>
      <c r="K53" s="6" t="n">
        <f aca="false">Seg!J53*(1+Seg!K54)</f>
        <v>17.7257833195413</v>
      </c>
    </row>
    <row r="54" customFormat="false" ht="15" hidden="false" customHeight="false" outlineLevel="0" collapsed="false">
      <c r="A54" s="1" t="s">
        <v>782</v>
      </c>
      <c r="B54" s="0" t="s">
        <v>126</v>
      </c>
      <c r="E54" s="7" t="n">
        <f aca="false">Seg!E53/Seg!D53-1</f>
        <v>-0.0131677736066995</v>
      </c>
      <c r="F54" s="7" t="n">
        <f aca="false">Seg!$E$54+(glt_win-Seg!$E$54)*MIN(1,1/n_conv)</f>
        <v>-0.00763981133891627</v>
      </c>
      <c r="G54" s="7" t="n">
        <f aca="false">Seg!$E$54+(glt_win-Seg!$E$54)*MIN(1,2/n_conv)</f>
        <v>-0.00211184907113301</v>
      </c>
      <c r="H54" s="7" t="n">
        <f aca="false">Seg!$E$54+(glt_win-Seg!$E$54)*MIN(1,3/n_conv)</f>
        <v>0.00341611319665024</v>
      </c>
      <c r="I54" s="7" t="n">
        <f aca="false">Seg!$E$54+(glt_win-Seg!$E$54)*MIN(1,4/n_conv)</f>
        <v>0.00894407546443349</v>
      </c>
      <c r="J54" s="7" t="n">
        <f aca="false">Seg!$E$54+(glt_win-Seg!$E$54)*MIN(1,5/n_conv)</f>
        <v>0.0144720377322168</v>
      </c>
      <c r="K54" s="7" t="n">
        <f aca="false">Seg!$E$54+(glt_win-Seg!$E$54)*MIN(1,6/n_conv)</f>
        <v>0.02</v>
      </c>
    </row>
    <row r="55" customFormat="false" ht="15" hidden="false" customHeight="false" outlineLevel="0" collapsed="false">
      <c r="A55" s="0" t="s">
        <v>640</v>
      </c>
      <c r="B55" s="0" t="s">
        <v>95</v>
      </c>
      <c r="D55" s="6" t="n">
        <f aca="false">Seg!D49+Seg!D51+Seg!D53</f>
        <v>62.941</v>
      </c>
      <c r="E55" s="6" t="n">
        <f aca="false">Seg!E49+Seg!E51+Seg!E53</f>
        <v>63.712</v>
      </c>
      <c r="F55" s="6" t="n">
        <f aca="false">Seg!F49+Seg!F51+Seg!F53</f>
        <v>65.1415764563129</v>
      </c>
      <c r="G55" s="6" t="n">
        <f aca="false">Seg!G49+Seg!G51+Seg!G53</f>
        <v>67.1253610780702</v>
      </c>
      <c r="H55" s="6" t="n">
        <f aca="false">Seg!H49+Seg!H51+Seg!H53</f>
        <v>69.5768050148776</v>
      </c>
      <c r="I55" s="6" t="n">
        <f aca="false">Seg!I49+Seg!I51+Seg!I53</f>
        <v>72.4233188088189</v>
      </c>
      <c r="J55" s="6" t="n">
        <f aca="false">Seg!J49+Seg!J51+Seg!J53</f>
        <v>75.6044096678567</v>
      </c>
      <c r="K55" s="6" t="n">
        <f aca="false">Seg!K49+Seg!K51+Seg!K53</f>
        <v>79.0714397009747</v>
      </c>
    </row>
    <row r="56" customFormat="false" ht="15" hidden="false" customHeight="false" outlineLevel="0" collapsed="false">
      <c r="A56" s="1" t="s">
        <v>795</v>
      </c>
      <c r="B56" s="0" t="s">
        <v>95</v>
      </c>
      <c r="D56" s="6" t="n">
        <f aca="false">Seg!D48+Seg!D55</f>
        <v>281.724</v>
      </c>
      <c r="E56" s="6" t="n">
        <f aca="false">Seg!E48+Seg!E55</f>
        <v>331.839</v>
      </c>
      <c r="F56" s="6" t="n">
        <f aca="false">Seg!F48+Seg!F55</f>
        <v>399.407104707821</v>
      </c>
      <c r="G56" s="6" t="n">
        <f aca="false">Seg!G48+Seg!G55</f>
        <v>475.197484137863</v>
      </c>
      <c r="H56" s="6" t="n">
        <f aca="false">Seg!H48+Seg!H55</f>
        <v>552.773101018903</v>
      </c>
      <c r="I56" s="6" t="n">
        <f aca="false">Seg!I48+Seg!I55</f>
        <v>628.552892245768</v>
      </c>
      <c r="J56" s="6" t="n">
        <f aca="false">Seg!J48+Seg!J55</f>
        <v>701.083199751338</v>
      </c>
      <c r="K56" s="6" t="n">
        <f aca="false">Seg!K48+Seg!K55</f>
        <v>770.419789623641</v>
      </c>
    </row>
    <row r="57" customFormat="false" ht="15" hidden="false" customHeight="false" outlineLevel="0" collapsed="false">
      <c r="A57" s="22" t="s">
        <v>796</v>
      </c>
      <c r="B57" s="28" t="s">
        <v>95</v>
      </c>
      <c r="C57" s="28"/>
      <c r="D57" s="23" t="n">
        <f aca="false">(Seg!D36+Seg!D41+Seg!D42+Seg!D44+Seg!D46-Seg!D48)+(Seg!D49+Seg!D51+Seg!D53-Seg!D55)+(Seg!D48-Q!L5)+(Seg!D55-Q!L12)+(Seg!D36-Q!L6)+(Seg!D41-Q!L7)</f>
        <v>0</v>
      </c>
      <c r="E57" s="23" t="n">
        <f aca="false">(Seg!E36+Seg!E41+Seg!E42+Seg!E44+Seg!E46-Seg!E48)+(Seg!E49+Seg!E51+Seg!E53-Seg!E55)+(Seg!E48-Q!M5)+(Seg!E55-Q!M12)+(Seg!E36-Q!M6)+(Seg!E41-Q!M7)</f>
        <v>0</v>
      </c>
      <c r="F57" s="23" t="n">
        <f aca="false">(Seg!F36+Seg!F41+Seg!F42+Seg!F44+Seg!F46-Seg!F48)+(Seg!F49+Seg!F51+Seg!F53-Seg!F55)</f>
        <v>0</v>
      </c>
      <c r="G57" s="23" t="n">
        <f aca="false">(Seg!G36+Seg!G41+Seg!G42+Seg!G44+Seg!G46-Seg!G48)+(Seg!G49+Seg!G51+Seg!G53-Seg!G55)</f>
        <v>0</v>
      </c>
      <c r="H57" s="23" t="n">
        <f aca="false">(Seg!H36+Seg!H41+Seg!H42+Seg!H44+Seg!H46-Seg!H48)+(Seg!H49+Seg!H51+Seg!H53-Seg!H55)</f>
        <v>0</v>
      </c>
      <c r="I57" s="23" t="n">
        <f aca="false">(Seg!I36+Seg!I41+Seg!I42+Seg!I44+Seg!I46-Seg!I48)+(Seg!I49+Seg!I51+Seg!I53-Seg!I55)</f>
        <v>0</v>
      </c>
      <c r="J57" s="23" t="n">
        <f aca="false">(Seg!J36+Seg!J41+Seg!J42+Seg!J44+Seg!J46-Seg!J48)+(Seg!J49+Seg!J51+Seg!J53-Seg!J55)</f>
        <v>0</v>
      </c>
      <c r="K57" s="23" t="n">
        <f aca="false">(Seg!K36+Seg!K41+Seg!K42+Seg!K44+Seg!K46-Seg!K48)+(Seg!K49+Seg!K51+Seg!K53-Seg!K55)</f>
        <v>0</v>
      </c>
    </row>
    <row r="58" customFormat="false" ht="17.15" hidden="false" customHeight="false" outlineLevel="0" collapsed="false">
      <c r="A58" s="3" t="s">
        <v>798</v>
      </c>
    </row>
    <row r="59" customFormat="false" ht="15" hidden="false" customHeight="false" outlineLevel="0" collapsed="false">
      <c r="A59" s="4" t="s">
        <v>43</v>
      </c>
      <c r="B59" s="4" t="s">
        <v>63</v>
      </c>
      <c r="C59" s="19" t="s">
        <v>710</v>
      </c>
      <c r="D59" s="19" t="s">
        <v>711</v>
      </c>
      <c r="E59" s="19" t="s">
        <v>712</v>
      </c>
      <c r="F59" s="19" t="s">
        <v>713</v>
      </c>
      <c r="G59" s="19" t="s">
        <v>714</v>
      </c>
      <c r="H59" s="19" t="s">
        <v>715</v>
      </c>
      <c r="I59" s="19" t="s">
        <v>716</v>
      </c>
      <c r="J59" s="19" t="s">
        <v>717</v>
      </c>
      <c r="K59" s="19" t="s">
        <v>718</v>
      </c>
      <c r="L59" s="4" t="s">
        <v>47</v>
      </c>
    </row>
    <row r="60" customFormat="false" ht="17.15" hidden="false" customHeight="false" outlineLevel="0" collapsed="false">
      <c r="A60" s="0" t="s">
        <v>780</v>
      </c>
      <c r="B60" s="0" t="s">
        <v>95</v>
      </c>
      <c r="D60" s="6" t="n">
        <f aca="false">Thesis!D108</f>
        <v>12.9359794422418</v>
      </c>
      <c r="E60" s="6" t="n">
        <f aca="false">Thesis!E108</f>
        <v>27.8095064661409</v>
      </c>
      <c r="F60" s="6" t="n">
        <f aca="false">Thesis!F108</f>
        <v>50.6619113883066</v>
      </c>
      <c r="G60" s="6" t="n">
        <f aca="false">Thesis!G108</f>
        <v>75.1482839325348</v>
      </c>
      <c r="H60" s="6" t="n">
        <f aca="false">Thesis!H108</f>
        <v>94.895655604042</v>
      </c>
      <c r="I60" s="6" t="n">
        <f aca="false">Thesis!I108</f>
        <v>121.918667866643</v>
      </c>
      <c r="J60" s="6" t="n">
        <f aca="false">Thesis!J108</f>
        <v>149.006768672892</v>
      </c>
      <c r="K60" s="6" t="n">
        <f aca="false">Thesis!K108</f>
        <v>176.133157939015</v>
      </c>
    </row>
    <row r="61" customFormat="false" ht="17.15" hidden="false" customHeight="false" outlineLevel="0" collapsed="false">
      <c r="A61" s="0" t="s">
        <v>781</v>
      </c>
      <c r="B61" s="0" t="s">
        <v>95</v>
      </c>
      <c r="D61" s="6" t="n">
        <f aca="false">Q!L6-Seg!D60</f>
        <v>59.6740205577583</v>
      </c>
      <c r="E61" s="6" t="n">
        <f aca="false">Q!M6-Seg!E60</f>
        <v>74.1284935338591</v>
      </c>
      <c r="F61" s="6" t="n">
        <f aca="false">Seg!E61*(1+Seg!F62)</f>
        <v>90.0799497373663</v>
      </c>
      <c r="G61" s="6" t="n">
        <f aca="false">Seg!F61*(1+Seg!G62)</f>
        <v>107.02842520331</v>
      </c>
      <c r="H61" s="6" t="n">
        <f aca="false">Seg!G61*(1+Seg!H62)</f>
        <v>124.271982585636</v>
      </c>
      <c r="I61" s="6" t="n">
        <f aca="false">Seg!H61*(1+Seg!I62)</f>
        <v>140.933702381855</v>
      </c>
      <c r="J61" s="6" t="n">
        <f aca="false">Seg!I61*(1+Seg!J62)</f>
        <v>156.018867314332</v>
      </c>
      <c r="K61" s="6" t="n">
        <f aca="false">Seg!J61*(1+Seg!K62)</f>
        <v>168.500376699478</v>
      </c>
    </row>
    <row r="62" customFormat="false" ht="15" hidden="false" customHeight="false" outlineLevel="0" collapsed="false">
      <c r="A62" s="1" t="s">
        <v>782</v>
      </c>
      <c r="B62" s="0" t="s">
        <v>126</v>
      </c>
      <c r="E62" s="7" t="n">
        <f aca="false">Seg!E61/Seg!D61-1</f>
        <v>0.242223883039864</v>
      </c>
      <c r="F62" s="7" t="n">
        <f aca="false">Seg!$E$62+(glt_azo-Seg!$E$62)*MIN(1,1/n_conv)</f>
        <v>0.215186569199887</v>
      </c>
      <c r="G62" s="7" t="n">
        <f aca="false">Seg!$E$62+(glt_azo-Seg!$E$62)*MIN(1,2/n_conv)</f>
        <v>0.18814925535991</v>
      </c>
      <c r="H62" s="7" t="n">
        <f aca="false">Seg!$E$62+(glt_azo-Seg!$E$62)*MIN(1,3/n_conv)</f>
        <v>0.161111941519932</v>
      </c>
      <c r="I62" s="7" t="n">
        <f aca="false">Seg!$E$62+(glt_azo-Seg!$E$62)*MIN(1,4/n_conv)</f>
        <v>0.134074627679955</v>
      </c>
      <c r="J62" s="7" t="n">
        <f aca="false">Seg!$E$62+(glt_azo-Seg!$E$62)*MIN(1,5/n_conv)</f>
        <v>0.107037313839977</v>
      </c>
      <c r="K62" s="7" t="n">
        <f aca="false">Seg!$E$62+(glt_azo-Seg!$E$62)*MIN(1,6/n_conv)</f>
        <v>0.08</v>
      </c>
    </row>
    <row r="63" customFormat="false" ht="15" hidden="false" customHeight="false" outlineLevel="0" collapsed="false">
      <c r="A63" s="0" t="s">
        <v>783</v>
      </c>
      <c r="B63" s="0" t="s">
        <v>95</v>
      </c>
      <c r="D63" s="6" t="n">
        <f aca="false">Seg!D60+Seg!D61</f>
        <v>72.61</v>
      </c>
      <c r="E63" s="6" t="n">
        <f aca="false">Seg!E60+Seg!E61</f>
        <v>101.938</v>
      </c>
      <c r="F63" s="6" t="n">
        <f aca="false">Seg!F60+Seg!F61</f>
        <v>140.741861125673</v>
      </c>
      <c r="G63" s="6" t="n">
        <f aca="false">Seg!G60+Seg!G61</f>
        <v>182.176709135845</v>
      </c>
      <c r="H63" s="6" t="n">
        <f aca="false">Seg!H60+Seg!H61</f>
        <v>219.167638189678</v>
      </c>
      <c r="I63" s="6" t="n">
        <f aca="false">Seg!I60+Seg!I61</f>
        <v>262.852370248498</v>
      </c>
      <c r="J63" s="6" t="n">
        <f aca="false">Seg!J60+Seg!J61</f>
        <v>305.025635987223</v>
      </c>
      <c r="K63" s="6" t="n">
        <f aca="false">Seg!K60+Seg!K61</f>
        <v>344.633534638493</v>
      </c>
    </row>
    <row r="64" customFormat="false" ht="17.15" hidden="false" customHeight="false" outlineLevel="0" collapsed="false">
      <c r="A64" s="0" t="s">
        <v>784</v>
      </c>
      <c r="B64" s="1" t="s">
        <v>451</v>
      </c>
      <c r="C64" s="27" t="n">
        <f aca="false">cop_s24</f>
        <v>1</v>
      </c>
      <c r="D64" s="27" t="n">
        <f aca="false">cop_s25</f>
        <v>5</v>
      </c>
      <c r="E64" s="27" t="n">
        <f aca="false">cop_s26</f>
        <v>30</v>
      </c>
      <c r="F64" s="27" t="n">
        <f aca="false">Seg!E64+IF(2027&lt;=2029,cop_add_C,cop_add_C*cop_tail)</f>
        <v>40</v>
      </c>
      <c r="G64" s="27" t="n">
        <f aca="false">Seg!F64+IF(2028&lt;=2029,cop_add_C,cop_add_C*cop_tail)</f>
        <v>50</v>
      </c>
      <c r="H64" s="27" t="n">
        <f aca="false">Seg!G64+IF(2029&lt;=2029,cop_add_C,cop_add_C*cop_tail)</f>
        <v>60</v>
      </c>
      <c r="I64" s="27" t="n">
        <f aca="false">Seg!H64+IF(2030&lt;=2029,cop_add_C,cop_add_C*cop_tail)</f>
        <v>65</v>
      </c>
      <c r="J64" s="27" t="n">
        <f aca="false">Seg!I64+IF(2031&lt;=2029,cop_add_C,cop_add_C*cop_tail)</f>
        <v>70</v>
      </c>
      <c r="K64" s="27" t="n">
        <f aca="false">Seg!J64+IF(2032&lt;=2029,cop_add_C,cop_add_C*cop_tail)</f>
        <v>75</v>
      </c>
    </row>
    <row r="65" customFormat="false" ht="17.15" hidden="false" customHeight="false" outlineLevel="0" collapsed="false">
      <c r="A65" s="0" t="s">
        <v>785</v>
      </c>
      <c r="B65" s="0" t="s">
        <v>95</v>
      </c>
      <c r="D65" s="6" t="n">
        <f aca="false">(Seg!C64+Seg!D64)/2*cop_px*12/1000</f>
        <v>0.9</v>
      </c>
      <c r="E65" s="6" t="n">
        <f aca="false">(Seg!D64+Seg!E64)/2*cop_px*12/1000</f>
        <v>5.25</v>
      </c>
      <c r="F65" s="6" t="n">
        <f aca="false">(Seg!E64+Seg!F64)/2*cop_px*12/1000</f>
        <v>10.5</v>
      </c>
      <c r="G65" s="6" t="n">
        <f aca="false">(Seg!F64+Seg!G64)/2*cop_px*12/1000</f>
        <v>13.5</v>
      </c>
      <c r="H65" s="6" t="n">
        <f aca="false">(Seg!G64+Seg!H64)/2*cop_px*12/1000</f>
        <v>16.5</v>
      </c>
      <c r="I65" s="6" t="n">
        <f aca="false">(Seg!H64+Seg!I64)/2*cop_px*12/1000</f>
        <v>18.75</v>
      </c>
      <c r="J65" s="6" t="n">
        <f aca="false">(Seg!I64+Seg!J64)/2*cop_px*12/1000</f>
        <v>20.25</v>
      </c>
      <c r="K65" s="6" t="n">
        <f aca="false">(Seg!J64+Seg!K64)/2*cop_px*12/1000</f>
        <v>21.75</v>
      </c>
      <c r="L65" s="1" t="s">
        <v>786</v>
      </c>
    </row>
    <row r="66" customFormat="false" ht="17.15" hidden="false" customHeight="false" outlineLevel="0" collapsed="false">
      <c r="A66" s="0" t="s">
        <v>787</v>
      </c>
      <c r="B66" s="0" t="s">
        <v>95</v>
      </c>
      <c r="D66" s="6" t="n">
        <f aca="false">Q!L7-Seg!D65</f>
        <v>83.705</v>
      </c>
      <c r="E66" s="6" t="n">
        <f aca="false">Q!M7-Seg!E65</f>
        <v>95.049</v>
      </c>
      <c r="F66" s="6" t="n">
        <f aca="false">Seg!E66*(1+Seg!F67)</f>
        <v>106.89238776686</v>
      </c>
      <c r="G66" s="6" t="n">
        <f aca="false">Seg!F66*(1+Seg!G67)</f>
        <v>119.044168448684</v>
      </c>
      <c r="H66" s="6" t="n">
        <f aca="false">Seg!G66*(1+Seg!H67)</f>
        <v>131.277359388781</v>
      </c>
      <c r="I66" s="6" t="n">
        <f aca="false">Seg!H66*(1+Seg!I67)</f>
        <v>143.334028071957</v>
      </c>
      <c r="J66" s="6" t="n">
        <f aca="false">Seg!I66*(1+Seg!J67)</f>
        <v>154.932702785465</v>
      </c>
      <c r="K66" s="6" t="n">
        <f aca="false">Seg!J66*(1+Seg!K67)</f>
        <v>165.777991980448</v>
      </c>
    </row>
    <row r="67" customFormat="false" ht="15" hidden="false" customHeight="false" outlineLevel="0" collapsed="false">
      <c r="A67" s="1" t="s">
        <v>782</v>
      </c>
      <c r="B67" s="0" t="s">
        <v>126</v>
      </c>
      <c r="E67" s="7" t="n">
        <f aca="false">Seg!E66/Seg!D66-1</f>
        <v>0.135523564900544</v>
      </c>
      <c r="F67" s="7" t="n">
        <f aca="false">Seg!$E$67+(glt_m365b-Seg!$E$67)*MIN(1,1/n_conv)</f>
        <v>0.124602970750453</v>
      </c>
      <c r="G67" s="7" t="n">
        <f aca="false">Seg!$E$67+(glt_m365b-Seg!$E$67)*MIN(1,2/n_conv)</f>
        <v>0.113682376600363</v>
      </c>
      <c r="H67" s="7" t="n">
        <f aca="false">Seg!$E$67+(glt_m365b-Seg!$E$67)*MIN(1,3/n_conv)</f>
        <v>0.102761782450272</v>
      </c>
      <c r="I67" s="7" t="n">
        <f aca="false">Seg!$E$67+(glt_m365b-Seg!$E$67)*MIN(1,4/n_conv)</f>
        <v>0.0918411883001813</v>
      </c>
      <c r="J67" s="7" t="n">
        <f aca="false">Seg!$E$67+(glt_m365b-Seg!$E$67)*MIN(1,5/n_conv)</f>
        <v>0.0809205941500906</v>
      </c>
      <c r="K67" s="7" t="n">
        <f aca="false">Seg!$E$67+(glt_m365b-Seg!$E$67)*MIN(1,6/n_conv)</f>
        <v>0.07</v>
      </c>
    </row>
    <row r="68" customFormat="false" ht="15" hidden="false" customHeight="false" outlineLevel="0" collapsed="false">
      <c r="A68" s="0" t="s">
        <v>788</v>
      </c>
      <c r="B68" s="0" t="s">
        <v>95</v>
      </c>
      <c r="D68" s="6" t="n">
        <f aca="false">Seg!D66+Seg!D65</f>
        <v>84.605</v>
      </c>
      <c r="E68" s="6" t="n">
        <f aca="false">Seg!E66+Seg!E65</f>
        <v>100.299</v>
      </c>
      <c r="F68" s="6" t="n">
        <f aca="false">Seg!F66+Seg!F65</f>
        <v>117.39238776686</v>
      </c>
      <c r="G68" s="6" t="n">
        <f aca="false">Seg!G66+Seg!G65</f>
        <v>132.544168448684</v>
      </c>
      <c r="H68" s="6" t="n">
        <f aca="false">Seg!H66+Seg!H65</f>
        <v>147.777359388781</v>
      </c>
      <c r="I68" s="6" t="n">
        <f aca="false">Seg!I66+Seg!I65</f>
        <v>162.084028071957</v>
      </c>
      <c r="J68" s="6" t="n">
        <f aca="false">Seg!J66+Seg!J65</f>
        <v>175.182702785465</v>
      </c>
      <c r="K68" s="6" t="n">
        <f aca="false">Seg!K66+Seg!K65</f>
        <v>187.527991980448</v>
      </c>
    </row>
    <row r="69" customFormat="false" ht="15" hidden="false" customHeight="false" outlineLevel="0" collapsed="false">
      <c r="A69" s="0" t="s">
        <v>789</v>
      </c>
      <c r="B69" s="0" t="s">
        <v>95</v>
      </c>
      <c r="D69" s="6" t="n">
        <f aca="false">Q!L8</f>
        <v>35.391</v>
      </c>
      <c r="E69" s="6" t="n">
        <f aca="false">Q!M8</f>
        <v>37.285</v>
      </c>
      <c r="F69" s="6" t="n">
        <f aca="false">Seg!E69*(1+Seg!F70)</f>
        <v>39.0720834331704</v>
      </c>
      <c r="G69" s="6" t="n">
        <f aca="false">Seg!F69*(1+Seg!G70)</f>
        <v>40.726562953769</v>
      </c>
      <c r="H69" s="6" t="n">
        <f aca="false">Seg!G69*(1+Seg!H70)</f>
        <v>42.2235987259198</v>
      </c>
      <c r="I69" s="6" t="n">
        <f aca="false">Seg!H69*(1+Seg!I70)</f>
        <v>43.5397988077414</v>
      </c>
      <c r="J69" s="6" t="n">
        <f aca="false">Seg!I69*(1+Seg!J70)</f>
        <v>44.653811225693</v>
      </c>
      <c r="K69" s="6" t="n">
        <f aca="false">Seg!J69*(1+Seg!K70)</f>
        <v>45.5468874502068</v>
      </c>
    </row>
    <row r="70" customFormat="false" ht="15" hidden="false" customHeight="false" outlineLevel="0" collapsed="false">
      <c r="A70" s="1" t="s">
        <v>782</v>
      </c>
      <c r="B70" s="0" t="s">
        <v>126</v>
      </c>
      <c r="E70" s="7" t="n">
        <f aca="false">Seg!E69/Seg!D69-1</f>
        <v>0.0535164307309768</v>
      </c>
      <c r="F70" s="7" t="n">
        <f aca="false">Seg!$E$70+(glt_lic-Seg!$E$70)*MIN(1,1/n_conv)</f>
        <v>0.0479303589424807</v>
      </c>
      <c r="G70" s="7" t="n">
        <f aca="false">Seg!$E$70+(glt_lic-Seg!$E$70)*MIN(1,2/n_conv)</f>
        <v>0.0423442871539845</v>
      </c>
      <c r="H70" s="7" t="n">
        <f aca="false">Seg!$E$70+(glt_lic-Seg!$E$70)*MIN(1,3/n_conv)</f>
        <v>0.0367582153654884</v>
      </c>
      <c r="I70" s="7" t="n">
        <f aca="false">Seg!$E$70+(glt_lic-Seg!$E$70)*MIN(1,4/n_conv)</f>
        <v>0.0311721435769923</v>
      </c>
      <c r="J70" s="7" t="n">
        <f aca="false">Seg!$E$70+(glt_lic-Seg!$E$70)*MIN(1,5/n_conv)</f>
        <v>0.0255860717884961</v>
      </c>
      <c r="K70" s="7" t="n">
        <f aca="false">Seg!$E$70+(glt_lic-Seg!$E$70)*MIN(1,6/n_conv)</f>
        <v>0.02</v>
      </c>
    </row>
    <row r="71" customFormat="false" ht="15" hidden="false" customHeight="false" outlineLevel="0" collapsed="false">
      <c r="A71" s="0" t="s">
        <v>790</v>
      </c>
      <c r="B71" s="0" t="s">
        <v>95</v>
      </c>
      <c r="D71" s="6" t="n">
        <f aca="false">Q!L9</f>
        <v>18.417</v>
      </c>
      <c r="E71" s="6" t="n">
        <f aca="false">Q!M9</f>
        <v>20.345</v>
      </c>
      <c r="F71" s="6" t="n">
        <f aca="false">Seg!E71*(1+Seg!F72)</f>
        <v>22.3572203267814</v>
      </c>
      <c r="G71" s="6" t="n">
        <f aca="false">Seg!F71*(1+Seg!G72)</f>
        <v>24.4392124437232</v>
      </c>
      <c r="H71" s="6" t="n">
        <f aca="false">Seg!G71*(1+Seg!H72)</f>
        <v>26.5738052080665</v>
      </c>
      <c r="I71" s="6" t="n">
        <f aca="false">Seg!H71*(1+Seg!I72)</f>
        <v>28.7412169166967</v>
      </c>
      <c r="J71" s="6" t="n">
        <f aca="false">Seg!I71*(1+Seg!J72)</f>
        <v>30.9192545395413</v>
      </c>
      <c r="K71" s="6" t="n">
        <f aca="false">Seg!J71*(1+Seg!K72)</f>
        <v>33.0836023573092</v>
      </c>
    </row>
    <row r="72" customFormat="false" ht="15" hidden="false" customHeight="false" outlineLevel="0" collapsed="false">
      <c r="A72" s="1" t="s">
        <v>782</v>
      </c>
      <c r="B72" s="0" t="s">
        <v>126</v>
      </c>
      <c r="E72" s="7" t="n">
        <f aca="false">Seg!E71/Seg!D71-1</f>
        <v>0.104685888038225</v>
      </c>
      <c r="F72" s="7" t="n">
        <f aca="false">Seg!$E$72+(glt_ind-Seg!$E$72)*MIN(1,1/n_conv)</f>
        <v>0.0989049066985211</v>
      </c>
      <c r="G72" s="7" t="n">
        <f aca="false">Seg!$E$72+(glt_ind-Seg!$E$72)*MIN(1,2/n_conv)</f>
        <v>0.0931239253588169</v>
      </c>
      <c r="H72" s="7" t="n">
        <f aca="false">Seg!$E$72+(glt_ind-Seg!$E$72)*MIN(1,3/n_conv)</f>
        <v>0.0873429440191127</v>
      </c>
      <c r="I72" s="7" t="n">
        <f aca="false">Seg!$E$72+(glt_ind-Seg!$E$72)*MIN(1,4/n_conv)</f>
        <v>0.0815619626794085</v>
      </c>
      <c r="J72" s="7" t="n">
        <f aca="false">Seg!$E$72+(glt_ind-Seg!$E$72)*MIN(1,5/n_conv)</f>
        <v>0.0757809813397042</v>
      </c>
      <c r="K72" s="7" t="n">
        <f aca="false">Seg!$E$72+(glt_ind-Seg!$E$72)*MIN(1,6/n_conv)</f>
        <v>0.07</v>
      </c>
    </row>
    <row r="73" customFormat="false" ht="15" hidden="false" customHeight="false" outlineLevel="0" collapsed="false">
      <c r="A73" s="0" t="s">
        <v>791</v>
      </c>
      <c r="B73" s="0" t="s">
        <v>95</v>
      </c>
      <c r="D73" s="6" t="n">
        <f aca="false">Q!L10</f>
        <v>7.76</v>
      </c>
      <c r="E73" s="6" t="n">
        <f aca="false">Q!M10</f>
        <v>8.26</v>
      </c>
      <c r="F73" s="6" t="n">
        <f aca="false">Seg!E73*(1+Seg!F74)</f>
        <v>8.79988041237113</v>
      </c>
      <c r="G73" s="6" t="n">
        <f aca="false">Seg!F73*(1+Seg!G74)</f>
        <v>9.38321269125306</v>
      </c>
      <c r="H73" s="6" t="n">
        <f aca="false">Seg!G73*(1+Seg!H74)</f>
        <v>10.0139193587476</v>
      </c>
      <c r="I73" s="6" t="n">
        <f aca="false">Seg!H73*(1+Seg!I74)</f>
        <v>10.6963111830911</v>
      </c>
      <c r="J73" s="6" t="n">
        <f aca="false">Seg!I73*(1+Seg!J74)</f>
        <v>11.4351285534696</v>
      </c>
      <c r="K73" s="6" t="n">
        <f aca="false">Seg!J73*(1+Seg!K74)</f>
        <v>12.2355875522124</v>
      </c>
    </row>
    <row r="74" customFormat="false" ht="15" hidden="false" customHeight="false" outlineLevel="0" collapsed="false">
      <c r="A74" s="1" t="s">
        <v>782</v>
      </c>
      <c r="B74" s="0" t="s">
        <v>126</v>
      </c>
      <c r="E74" s="7" t="n">
        <f aca="false">Seg!E73/Seg!D73-1</f>
        <v>0.0644329896907216</v>
      </c>
      <c r="F74" s="7" t="n">
        <f aca="false">Seg!$E$74+(glt_fro-Seg!$E$74)*MIN(1,1/n_conv)</f>
        <v>0.065360824742268</v>
      </c>
      <c r="G74" s="7" t="n">
        <f aca="false">Seg!$E$74+(glt_fro-Seg!$E$74)*MIN(1,2/n_conv)</f>
        <v>0.0662886597938144</v>
      </c>
      <c r="H74" s="7" t="n">
        <f aca="false">Seg!$E$74+(glt_fro-Seg!$E$74)*MIN(1,3/n_conv)</f>
        <v>0.0672164948453608</v>
      </c>
      <c r="I74" s="7" t="n">
        <f aca="false">Seg!$E$74+(glt_fro-Seg!$E$74)*MIN(1,4/n_conv)</f>
        <v>0.0681443298969072</v>
      </c>
      <c r="J74" s="7" t="n">
        <f aca="false">Seg!$E$74+(glt_fro-Seg!$E$74)*MIN(1,5/n_conv)</f>
        <v>0.0690721649484536</v>
      </c>
      <c r="K74" s="7" t="n">
        <f aca="false">Seg!$E$74+(glt_fro-Seg!$E$74)*MIN(1,6/n_conv)</f>
        <v>0.07</v>
      </c>
    </row>
    <row r="75" customFormat="false" ht="15" hidden="false" customHeight="false" outlineLevel="0" collapsed="false">
      <c r="A75" s="0" t="s">
        <v>626</v>
      </c>
      <c r="B75" s="0" t="s">
        <v>95</v>
      </c>
      <c r="D75" s="6" t="n">
        <f aca="false">Seg!D63+Seg!D68+Seg!D69+Seg!D71+Seg!D73</f>
        <v>218.783</v>
      </c>
      <c r="E75" s="6" t="n">
        <f aca="false">Seg!E63+Seg!E68+Seg!E69+Seg!E71+Seg!E73</f>
        <v>268.127</v>
      </c>
      <c r="F75" s="6" t="n">
        <f aca="false">Seg!F63+Seg!F68+Seg!F69+Seg!F71+Seg!F73</f>
        <v>328.363433064856</v>
      </c>
      <c r="G75" s="6" t="n">
        <f aca="false">Seg!G63+Seg!G68+Seg!G69+Seg!G71+Seg!G73</f>
        <v>389.269865673274</v>
      </c>
      <c r="H75" s="6" t="n">
        <f aca="false">Seg!H63+Seg!H68+Seg!H69+Seg!H71+Seg!H73</f>
        <v>445.756320871193</v>
      </c>
      <c r="I75" s="6" t="n">
        <f aca="false">Seg!I63+Seg!I68+Seg!I69+Seg!I71+Seg!I73</f>
        <v>507.913725227984</v>
      </c>
      <c r="J75" s="6" t="n">
        <f aca="false">Seg!J63+Seg!J68+Seg!J69+Seg!J71+Seg!J73</f>
        <v>567.216533091392</v>
      </c>
      <c r="K75" s="6" t="n">
        <f aca="false">Seg!K63+Seg!K68+Seg!K69+Seg!K71+Seg!K73</f>
        <v>623.027603978669</v>
      </c>
    </row>
    <row r="76" customFormat="false" ht="15" hidden="false" customHeight="false" outlineLevel="0" collapsed="false">
      <c r="A76" s="0" t="s">
        <v>792</v>
      </c>
      <c r="B76" s="0" t="s">
        <v>95</v>
      </c>
      <c r="D76" s="6" t="n">
        <f aca="false">Q!L13</f>
        <v>22.171</v>
      </c>
      <c r="E76" s="6" t="n">
        <f aca="false">Q!M13</f>
        <v>24.835</v>
      </c>
      <c r="F76" s="6" t="n">
        <f aca="false">Seg!E76*(1+Seg!F77)</f>
        <v>27.6114901218559</v>
      </c>
      <c r="G76" s="6" t="n">
        <f aca="false">Seg!F76*(1+Seg!G77)</f>
        <v>30.4675667338515</v>
      </c>
      <c r="H76" s="6" t="n">
        <f aca="false">Seg!G76*(1+Seg!H77)</f>
        <v>33.3643766955789</v>
      </c>
      <c r="I76" s="6" t="n">
        <f aca="false">Seg!H76*(1+Seg!I77)</f>
        <v>36.2577016533691</v>
      </c>
      <c r="J76" s="6" t="n">
        <f aca="false">Seg!I76*(1+Seg!J77)</f>
        <v>39.0988367952171</v>
      </c>
      <c r="K76" s="6" t="n">
        <f aca="false">Seg!J76*(1+Seg!K77)</f>
        <v>41.8357553708823</v>
      </c>
    </row>
    <row r="77" customFormat="false" ht="15" hidden="false" customHeight="false" outlineLevel="0" collapsed="false">
      <c r="A77" s="1" t="s">
        <v>782</v>
      </c>
      <c r="B77" s="0" t="s">
        <v>126</v>
      </c>
      <c r="E77" s="7" t="n">
        <f aca="false">Seg!E76/Seg!D76-1</f>
        <v>0.120156961796942</v>
      </c>
      <c r="F77" s="7" t="n">
        <f aca="false">Seg!$E$77+(glt_srch-Seg!$E$77)*MIN(1,1/n_conv)</f>
        <v>0.111797468164118</v>
      </c>
      <c r="G77" s="7" t="n">
        <f aca="false">Seg!$E$77+(glt_srch-Seg!$E$77)*MIN(1,2/n_conv)</f>
        <v>0.103437974531295</v>
      </c>
      <c r="H77" s="7" t="n">
        <f aca="false">Seg!$E$77+(glt_srch-Seg!$E$77)*MIN(1,3/n_conv)</f>
        <v>0.095078480898471</v>
      </c>
      <c r="I77" s="7" t="n">
        <f aca="false">Seg!$E$77+(glt_srch-Seg!$E$77)*MIN(1,4/n_conv)</f>
        <v>0.0867189872656474</v>
      </c>
      <c r="J77" s="7" t="n">
        <f aca="false">Seg!$E$77+(glt_srch-Seg!$E$77)*MIN(1,5/n_conv)</f>
        <v>0.0783594936328237</v>
      </c>
      <c r="K77" s="7" t="n">
        <f aca="false">Seg!$E$77+(glt_srch-Seg!$E$77)*MIN(1,6/n_conv)</f>
        <v>0.07</v>
      </c>
    </row>
    <row r="78" customFormat="false" ht="15" hidden="false" customHeight="false" outlineLevel="0" collapsed="false">
      <c r="A78" s="0" t="s">
        <v>793</v>
      </c>
      <c r="B78" s="0" t="s">
        <v>95</v>
      </c>
      <c r="D78" s="6" t="n">
        <f aca="false">Q!L14</f>
        <v>23.455</v>
      </c>
      <c r="E78" s="6" t="n">
        <f aca="false">Q!M14</f>
        <v>21.79</v>
      </c>
      <c r="F78" s="6" t="n">
        <f aca="false">Seg!E78*(1+Seg!F79)</f>
        <v>20.5736277908051</v>
      </c>
      <c r="G78" s="6" t="n">
        <f aca="false">Seg!F78*(1+Seg!G79)</f>
        <v>19.7371452817919</v>
      </c>
      <c r="H78" s="6" t="n">
        <f aca="false">Seg!G78*(1+Seg!H79)</f>
        <v>19.2339764043138</v>
      </c>
      <c r="I78" s="6" t="n">
        <f aca="false">Seg!H78*(1+Seg!I79)</f>
        <v>19.0353086852681</v>
      </c>
      <c r="J78" s="6" t="n">
        <f aca="false">Seg!I78*(1+Seg!J79)</f>
        <v>19.1273539319129</v>
      </c>
      <c r="K78" s="6" t="n">
        <f aca="false">Seg!J78*(1+Seg!K79)</f>
        <v>19.5099010105511</v>
      </c>
    </row>
    <row r="79" customFormat="false" ht="15" hidden="false" customHeight="false" outlineLevel="0" collapsed="false">
      <c r="A79" s="1" t="s">
        <v>782</v>
      </c>
      <c r="B79" s="0" t="s">
        <v>126</v>
      </c>
      <c r="E79" s="7" t="n">
        <f aca="false">Seg!E78/Seg!D78-1</f>
        <v>-0.0709869963760392</v>
      </c>
      <c r="F79" s="7" t="n">
        <f aca="false">Seg!$E$79+(glt_xbox-Seg!$E$79)*MIN(1,1/n_conv)</f>
        <v>-0.0558224969800327</v>
      </c>
      <c r="G79" s="7" t="n">
        <f aca="false">Seg!$E$79+(glt_xbox-Seg!$E$79)*MIN(1,2/n_conv)</f>
        <v>-0.0406579975840262</v>
      </c>
      <c r="H79" s="7" t="n">
        <f aca="false">Seg!$E$79+(glt_xbox-Seg!$E$79)*MIN(1,3/n_conv)</f>
        <v>-0.0254934981880196</v>
      </c>
      <c r="I79" s="7" t="n">
        <f aca="false">Seg!$E$79+(glt_xbox-Seg!$E$79)*MIN(1,4/n_conv)</f>
        <v>-0.0103289987920131</v>
      </c>
      <c r="J79" s="7" t="n">
        <f aca="false">Seg!$E$79+(glt_xbox-Seg!$E$79)*MIN(1,5/n_conv)</f>
        <v>0.00483550060399347</v>
      </c>
      <c r="K79" s="7" t="n">
        <f aca="false">Seg!$E$79+(glt_xbox-Seg!$E$79)*MIN(1,6/n_conv)</f>
        <v>0.02</v>
      </c>
    </row>
    <row r="80" customFormat="false" ht="15" hidden="false" customHeight="false" outlineLevel="0" collapsed="false">
      <c r="A80" s="0" t="s">
        <v>794</v>
      </c>
      <c r="B80" s="0" t="s">
        <v>95</v>
      </c>
      <c r="D80" s="6" t="n">
        <f aca="false">Q!L15</f>
        <v>17.315</v>
      </c>
      <c r="E80" s="6" t="n">
        <f aca="false">Q!M15</f>
        <v>17.087</v>
      </c>
      <c r="F80" s="6" t="n">
        <f aca="false">Seg!E80*(1+Seg!F81)</f>
        <v>16.9564585436519</v>
      </c>
      <c r="G80" s="6" t="n">
        <f aca="false">Seg!F80*(1+Seg!G81)</f>
        <v>16.9206490624268</v>
      </c>
      <c r="H80" s="6" t="n">
        <f aca="false">Seg!G80*(1+Seg!H81)</f>
        <v>16.9784519149849</v>
      </c>
      <c r="I80" s="6" t="n">
        <f aca="false">Seg!H80*(1+Seg!I81)</f>
        <v>17.1303084701817</v>
      </c>
      <c r="J80" s="6" t="n">
        <f aca="false">Seg!I80*(1+Seg!J81)</f>
        <v>17.3782189407267</v>
      </c>
      <c r="K80" s="6" t="n">
        <f aca="false">Seg!J80*(1+Seg!K81)</f>
        <v>17.7257833195413</v>
      </c>
    </row>
    <row r="81" customFormat="false" ht="15" hidden="false" customHeight="false" outlineLevel="0" collapsed="false">
      <c r="A81" s="1" t="s">
        <v>782</v>
      </c>
      <c r="B81" s="0" t="s">
        <v>126</v>
      </c>
      <c r="E81" s="7" t="n">
        <f aca="false">Seg!E80/Seg!D80-1</f>
        <v>-0.0131677736066995</v>
      </c>
      <c r="F81" s="7" t="n">
        <f aca="false">Seg!$E$81+(glt_win-Seg!$E$81)*MIN(1,1/n_conv)</f>
        <v>-0.00763981133891627</v>
      </c>
      <c r="G81" s="7" t="n">
        <f aca="false">Seg!$E$81+(glt_win-Seg!$E$81)*MIN(1,2/n_conv)</f>
        <v>-0.00211184907113301</v>
      </c>
      <c r="H81" s="7" t="n">
        <f aca="false">Seg!$E$81+(glt_win-Seg!$E$81)*MIN(1,3/n_conv)</f>
        <v>0.00341611319665024</v>
      </c>
      <c r="I81" s="7" t="n">
        <f aca="false">Seg!$E$81+(glt_win-Seg!$E$81)*MIN(1,4/n_conv)</f>
        <v>0.00894407546443349</v>
      </c>
      <c r="J81" s="7" t="n">
        <f aca="false">Seg!$E$81+(glt_win-Seg!$E$81)*MIN(1,5/n_conv)</f>
        <v>0.0144720377322168</v>
      </c>
      <c r="K81" s="7" t="n">
        <f aca="false">Seg!$E$81+(glt_win-Seg!$E$81)*MIN(1,6/n_conv)</f>
        <v>0.02</v>
      </c>
    </row>
    <row r="82" customFormat="false" ht="15" hidden="false" customHeight="false" outlineLevel="0" collapsed="false">
      <c r="A82" s="0" t="s">
        <v>640</v>
      </c>
      <c r="B82" s="0" t="s">
        <v>95</v>
      </c>
      <c r="D82" s="6" t="n">
        <f aca="false">Seg!D76+Seg!D78+Seg!D80</f>
        <v>62.941</v>
      </c>
      <c r="E82" s="6" t="n">
        <f aca="false">Seg!E76+Seg!E78+Seg!E80</f>
        <v>63.712</v>
      </c>
      <c r="F82" s="6" t="n">
        <f aca="false">Seg!F76+Seg!F78+Seg!F80</f>
        <v>65.1415764563129</v>
      </c>
      <c r="G82" s="6" t="n">
        <f aca="false">Seg!G76+Seg!G78+Seg!G80</f>
        <v>67.1253610780702</v>
      </c>
      <c r="H82" s="6" t="n">
        <f aca="false">Seg!H76+Seg!H78+Seg!H80</f>
        <v>69.5768050148776</v>
      </c>
      <c r="I82" s="6" t="n">
        <f aca="false">Seg!I76+Seg!I78+Seg!I80</f>
        <v>72.4233188088189</v>
      </c>
      <c r="J82" s="6" t="n">
        <f aca="false">Seg!J76+Seg!J78+Seg!J80</f>
        <v>75.6044096678567</v>
      </c>
      <c r="K82" s="6" t="n">
        <f aca="false">Seg!K76+Seg!K78+Seg!K80</f>
        <v>79.0714397009747</v>
      </c>
    </row>
    <row r="83" customFormat="false" ht="15" hidden="false" customHeight="false" outlineLevel="0" collapsed="false">
      <c r="A83" s="1" t="s">
        <v>795</v>
      </c>
      <c r="B83" s="0" t="s">
        <v>95</v>
      </c>
      <c r="D83" s="6" t="n">
        <f aca="false">Seg!D75+Seg!D82</f>
        <v>281.724</v>
      </c>
      <c r="E83" s="6" t="n">
        <f aca="false">Seg!E75+Seg!E82</f>
        <v>331.839</v>
      </c>
      <c r="F83" s="6" t="n">
        <f aca="false">Seg!F75+Seg!F82</f>
        <v>393.505009521169</v>
      </c>
      <c r="G83" s="6" t="n">
        <f aca="false">Seg!G75+Seg!G82</f>
        <v>456.395226751344</v>
      </c>
      <c r="H83" s="6" t="n">
        <f aca="false">Seg!H75+Seg!H82</f>
        <v>515.333125886071</v>
      </c>
      <c r="I83" s="6" t="n">
        <f aca="false">Seg!I75+Seg!I82</f>
        <v>580.337044036803</v>
      </c>
      <c r="J83" s="6" t="n">
        <f aca="false">Seg!J75+Seg!J82</f>
        <v>642.820942759249</v>
      </c>
      <c r="K83" s="6" t="n">
        <f aca="false">Seg!K75+Seg!K82</f>
        <v>702.099043679644</v>
      </c>
    </row>
    <row r="84" customFormat="false" ht="15" hidden="false" customHeight="false" outlineLevel="0" collapsed="false">
      <c r="A84" s="22" t="s">
        <v>796</v>
      </c>
      <c r="B84" s="28" t="s">
        <v>95</v>
      </c>
      <c r="C84" s="28"/>
      <c r="D84" s="23" t="n">
        <f aca="false">(Seg!D63+Seg!D68+Seg!D69+Seg!D71+Seg!D73-Seg!D75)+(Seg!D76+Seg!D78+Seg!D80-Seg!D82)+(Seg!D75-Q!L5)+(Seg!D82-Q!L12)+(Seg!D63-Q!L6)+(Seg!D68-Q!L7)</f>
        <v>0</v>
      </c>
      <c r="E84" s="23" t="n">
        <f aca="false">(Seg!E63+Seg!E68+Seg!E69+Seg!E71+Seg!E73-Seg!E75)+(Seg!E76+Seg!E78+Seg!E80-Seg!E82)+(Seg!E75-Q!M5)+(Seg!E82-Q!M12)+(Seg!E63-Q!M6)+(Seg!E68-Q!M7)</f>
        <v>0</v>
      </c>
      <c r="F84" s="23" t="n">
        <f aca="false">(Seg!F63+Seg!F68+Seg!F69+Seg!F71+Seg!F73-Seg!F75)+(Seg!F76+Seg!F78+Seg!F80-Seg!F82)</f>
        <v>0</v>
      </c>
      <c r="G84" s="23" t="n">
        <f aca="false">(Seg!G63+Seg!G68+Seg!G69+Seg!G71+Seg!G73-Seg!G75)+(Seg!G76+Seg!G78+Seg!G80-Seg!G82)</f>
        <v>0</v>
      </c>
      <c r="H84" s="23" t="n">
        <f aca="false">(Seg!H63+Seg!H68+Seg!H69+Seg!H71+Seg!H73-Seg!H75)+(Seg!H76+Seg!H78+Seg!H80-Seg!H82)</f>
        <v>0</v>
      </c>
      <c r="I84" s="23" t="n">
        <f aca="false">(Seg!I63+Seg!I68+Seg!I69+Seg!I71+Seg!I73-Seg!I75)+(Seg!I76+Seg!I78+Seg!I80-Seg!I82)</f>
        <v>0</v>
      </c>
      <c r="J84" s="23" t="n">
        <f aca="false">(Seg!J63+Seg!J68+Seg!J69+Seg!J71+Seg!J73-Seg!J75)+(Seg!J76+Seg!J78+Seg!J80-Seg!J82)</f>
        <v>0</v>
      </c>
      <c r="K84" s="23" t="n">
        <f aca="false">(Seg!K63+Seg!K68+Seg!K69+Seg!K71+Seg!K73-Seg!K75)+(Seg!K76+Seg!K78+Seg!K80-Seg!K82)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11" min="3" style="0" width="11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799</v>
      </c>
    </row>
    <row r="2" customFormat="false" ht="17.15" hidden="false" customHeight="false" outlineLevel="0" collapsed="false">
      <c r="A2" s="1" t="s">
        <v>800</v>
      </c>
    </row>
    <row r="3" customFormat="false" ht="15" hidden="false" customHeight="false" outlineLevel="0" collapsed="false">
      <c r="A3" s="4" t="s">
        <v>43</v>
      </c>
      <c r="B3" s="4" t="s">
        <v>63</v>
      </c>
      <c r="C3" s="19" t="s">
        <v>710</v>
      </c>
      <c r="D3" s="19" t="s">
        <v>711</v>
      </c>
      <c r="E3" s="19" t="s">
        <v>712</v>
      </c>
      <c r="F3" s="19" t="s">
        <v>713</v>
      </c>
      <c r="G3" s="19" t="s">
        <v>714</v>
      </c>
      <c r="H3" s="19" t="s">
        <v>715</v>
      </c>
      <c r="I3" s="19" t="s">
        <v>716</v>
      </c>
      <c r="J3" s="19" t="s">
        <v>717</v>
      </c>
      <c r="K3" s="19" t="s">
        <v>718</v>
      </c>
      <c r="L3" s="4" t="s">
        <v>47</v>
      </c>
    </row>
    <row r="4" customFormat="false" ht="15" hidden="false" customHeight="false" outlineLevel="0" collapsed="false">
      <c r="A4" s="22" t="s">
        <v>801</v>
      </c>
      <c r="B4" s="28" t="s">
        <v>95</v>
      </c>
      <c r="C4" s="28"/>
      <c r="D4" s="23" t="n">
        <f aca="false">ABS(PL!D23+PL!D27-PL!D28)+ABS(PL!D28-Q!L18)+ABS(PL!D58+PL!D62-PL!D63)+ABS(PL!D63-Q!L18)+ABS(PL!D93+PL!D97-PL!D98)+ABS(PL!D98-Q!L18)</f>
        <v>0</v>
      </c>
      <c r="E4" s="23" t="n">
        <f aca="false">ABS(PL!E23+PL!E27-PL!E28)+ABS(PL!E28-Q!M18)+ABS(PL!E58+PL!E62-PL!E63)+ABS(PL!E63-Q!M18)+ABS(PL!E93+PL!E97-PL!E98)+ABS(PL!E98-Q!M18)</f>
        <v>0</v>
      </c>
      <c r="F4" s="23" t="n">
        <f aca="false">ABS(PL!F23+PL!F27-PL!F28)+ABS(PL!F58+PL!F62-PL!F63)+ABS(PL!F93+PL!F97-PL!F98)</f>
        <v>0</v>
      </c>
      <c r="G4" s="23" t="n">
        <f aca="false">ABS(PL!G23+PL!G27-PL!G28)+ABS(PL!G58+PL!G62-PL!G63)+ABS(PL!G93+PL!G97-PL!G98)</f>
        <v>0</v>
      </c>
      <c r="H4" s="23" t="n">
        <f aca="false">ABS(PL!H23+PL!H27-PL!H28)+ABS(PL!H58+PL!H62-PL!H63)+ABS(PL!H93+PL!H97-PL!H98)</f>
        <v>0</v>
      </c>
      <c r="I4" s="23" t="n">
        <f aca="false">ABS(PL!I23+PL!I27-PL!I28)+ABS(PL!I58+PL!I62-PL!I63)+ABS(PL!I93+PL!I97-PL!I98)</f>
        <v>0</v>
      </c>
      <c r="J4" s="23" t="n">
        <f aca="false">ABS(PL!J23+PL!J27-PL!J28)+ABS(PL!J58+PL!J62-PL!J63)+ABS(PL!J93+PL!J97-PL!J98)</f>
        <v>0</v>
      </c>
      <c r="K4" s="23" t="n">
        <f aca="false">ABS(PL!K23+PL!K27-PL!K28)+ABS(PL!K58+PL!K62-PL!K63)+ABS(PL!K93+PL!K97-PL!K98)</f>
        <v>0</v>
      </c>
    </row>
    <row r="5" customFormat="false" ht="15" hidden="false" customHeight="false" outlineLevel="0" collapsed="false">
      <c r="A5" s="22" t="s">
        <v>802</v>
      </c>
      <c r="B5" s="28" t="s">
        <v>95</v>
      </c>
      <c r="C5" s="28"/>
      <c r="D5" s="23" t="n">
        <f aca="false">ABS(Seg!D30)+ABS(Seg!D57)+ABS(Seg!D84)</f>
        <v>0</v>
      </c>
      <c r="E5" s="23" t="n">
        <f aca="false">ABS(Seg!E30)+ABS(Seg!E57)+ABS(Seg!E84)</f>
        <v>0</v>
      </c>
      <c r="F5" s="23" t="n">
        <f aca="false">ABS(Seg!F30)+ABS(Seg!F57)+ABS(Seg!F84)</f>
        <v>0</v>
      </c>
      <c r="G5" s="23" t="n">
        <f aca="false">ABS(Seg!G30)+ABS(Seg!G57)+ABS(Seg!G84)</f>
        <v>0</v>
      </c>
      <c r="H5" s="23" t="n">
        <f aca="false">ABS(Seg!H30)+ABS(Seg!H57)+ABS(Seg!H84)</f>
        <v>0</v>
      </c>
      <c r="I5" s="23" t="n">
        <f aca="false">ABS(Seg!I30)+ABS(Seg!I57)+ABS(Seg!I84)</f>
        <v>0</v>
      </c>
      <c r="J5" s="23" t="n">
        <f aca="false">ABS(Seg!J30)+ABS(Seg!J57)+ABS(Seg!J84)</f>
        <v>0</v>
      </c>
      <c r="K5" s="23" t="n">
        <f aca="false">ABS(Seg!K30)+ABS(Seg!K57)+ABS(Seg!K84)</f>
        <v>0</v>
      </c>
    </row>
    <row r="6" customFormat="false" ht="17.15" hidden="false" customHeight="false" outlineLevel="0" collapsed="false">
      <c r="A6" s="22" t="s">
        <v>803</v>
      </c>
      <c r="B6" s="28" t="s">
        <v>95</v>
      </c>
      <c r="C6" s="28"/>
      <c r="D6" s="23" t="n">
        <f aca="false">ABS(PL!D15+PL!D16-PL!D14)+ABS(PL!D18+PL!D19-PL!D17)+ABS(PL!D50+PL!D51-PL!D49)+ABS(PL!D53+PL!D54-PL!D52)+ABS(PL!D85+PL!D86-PL!D84)+ABS(PL!D88+PL!D89-PL!D87)</f>
        <v>0</v>
      </c>
      <c r="E6" s="23" t="n">
        <f aca="false">ABS(PL!E15+PL!E16-PL!E14)+ABS(PL!E18+PL!E19-PL!E17)+ABS(PL!E50+PL!E51-PL!E49)+ABS(PL!E53+PL!E54-PL!E52)+ABS(PL!E85+PL!E86-PL!E84)+ABS(PL!E88+PL!E89-PL!E87)</f>
        <v>0</v>
      </c>
      <c r="F6" s="23" t="n">
        <f aca="false">ABS(PL!F15+PL!F16-PL!F14)+ABS(PL!F18+PL!F19-PL!F17)+ABS(PL!F50+PL!F51-PL!F49)+ABS(PL!F53+PL!F54-PL!F52)+ABS(PL!F85+PL!F86-PL!F84)+ABS(PL!F88+PL!F89-PL!F87)</f>
        <v>0</v>
      </c>
      <c r="G6" s="23" t="n">
        <f aca="false">ABS(PL!G15+PL!G16-PL!G14)+ABS(PL!G18+PL!G19-PL!G17)+ABS(PL!G50+PL!G51-PL!G49)+ABS(PL!G53+PL!G54-PL!G52)+ABS(PL!G85+PL!G86-PL!G84)+ABS(PL!G88+PL!G89-PL!G87)</f>
        <v>0</v>
      </c>
      <c r="H6" s="23" t="n">
        <f aca="false">ABS(PL!H15+PL!H16-PL!H14)+ABS(PL!H18+PL!H19-PL!H17)+ABS(PL!H50+PL!H51-PL!H49)+ABS(PL!H53+PL!H54-PL!H52)+ABS(PL!H85+PL!H86-PL!H84)+ABS(PL!H88+PL!H89-PL!H87)</f>
        <v>0</v>
      </c>
      <c r="I6" s="23" t="n">
        <f aca="false">ABS(PL!I15+PL!I16-PL!I14)+ABS(PL!I18+PL!I19-PL!I17)+ABS(PL!I50+PL!I51-PL!I49)+ABS(PL!I53+PL!I54-PL!I52)+ABS(PL!I85+PL!I86-PL!I84)+ABS(PL!I88+PL!I89-PL!I87)</f>
        <v>0</v>
      </c>
      <c r="J6" s="23" t="n">
        <f aca="false">ABS(PL!J15+PL!J16-PL!J14)+ABS(PL!J18+PL!J19-PL!J17)+ABS(PL!J50+PL!J51-PL!J49)+ABS(PL!J53+PL!J54-PL!J52)+ABS(PL!J85+PL!J86-PL!J84)+ABS(PL!J88+PL!J89-PL!J87)</f>
        <v>0</v>
      </c>
      <c r="K6" s="23" t="n">
        <f aca="false">ABS(PL!K15+PL!K16-PL!K14)+ABS(PL!K18+PL!K19-PL!K17)+ABS(PL!K50+PL!K51-PL!K49)+ABS(PL!K53+PL!K54-PL!K52)+ABS(PL!K85+PL!K86-PL!K84)+ABS(PL!K88+PL!K89-PL!K87)</f>
        <v>0</v>
      </c>
    </row>
    <row r="7" customFormat="false" ht="15" hidden="false" customHeight="false" outlineLevel="0" collapsed="false">
      <c r="A7" s="22" t="s">
        <v>804</v>
      </c>
      <c r="B7" s="28" t="s">
        <v>95</v>
      </c>
      <c r="C7" s="28"/>
      <c r="D7" s="23" t="n">
        <f aca="false">ABS(PL!D32+PL!D34-PL!D35)+ABS(PL!D36)+ABS(PL!D67+PL!D69-PL!D70)+ABS(PL!D71)+ABS(PL!D102+PL!D104-PL!D105)+ABS(PL!D106)</f>
        <v>0</v>
      </c>
      <c r="E7" s="23" t="n">
        <f aca="false">ABS(PL!E32+PL!E34-PL!E35)+ABS(PL!E36)+ABS(PL!E67+PL!E69-PL!E70)+ABS(PL!E71)+ABS(PL!E102+PL!E104-PL!E105)+ABS(PL!E106)</f>
        <v>0</v>
      </c>
      <c r="F7" s="23" t="n">
        <f aca="false">ABS(PL!F32+PL!F34-PL!F35)+ABS(PL!F67+PL!F69-PL!F70)+ABS(PL!F102+PL!F104-PL!F105)</f>
        <v>0</v>
      </c>
      <c r="G7" s="23" t="n">
        <f aca="false">ABS(PL!G32+PL!G34-PL!G35)+ABS(PL!G67+PL!G69-PL!G70)+ABS(PL!G102+PL!G104-PL!G105)</f>
        <v>0</v>
      </c>
      <c r="H7" s="23" t="n">
        <f aca="false">ABS(PL!H32+PL!H34-PL!H35)+ABS(PL!H67+PL!H69-PL!H70)+ABS(PL!H102+PL!H104-PL!H105)</f>
        <v>0</v>
      </c>
      <c r="I7" s="23" t="n">
        <f aca="false">ABS(PL!I32+PL!I34-PL!I35)+ABS(PL!I67+PL!I69-PL!I70)+ABS(PL!I102+PL!I104-PL!I105)</f>
        <v>0</v>
      </c>
      <c r="J7" s="23" t="n">
        <f aca="false">ABS(PL!J32+PL!J34-PL!J35)+ABS(PL!J67+PL!J69-PL!J70)+ABS(PL!J102+PL!J104-PL!J105)</f>
        <v>0</v>
      </c>
      <c r="K7" s="23" t="n">
        <f aca="false">ABS(PL!K32+PL!K34-PL!K35)+ABS(PL!K67+PL!K69-PL!K70)+ABS(PL!K102+PL!K104-PL!K105)</f>
        <v>0</v>
      </c>
    </row>
    <row r="9" customFormat="false" ht="17.15" hidden="false" customHeight="false" outlineLevel="0" collapsed="false">
      <c r="A9" s="1" t="s">
        <v>805</v>
      </c>
    </row>
    <row r="12" customFormat="false" ht="17.15" hidden="false" customHeight="false" outlineLevel="0" collapsed="false">
      <c r="A12" s="3" t="s">
        <v>806</v>
      </c>
    </row>
    <row r="13" customFormat="false" ht="15" hidden="false" customHeight="false" outlineLevel="0" collapsed="false">
      <c r="A13" s="4" t="s">
        <v>43</v>
      </c>
      <c r="B13" s="4" t="s">
        <v>63</v>
      </c>
      <c r="C13" s="19" t="s">
        <v>710</v>
      </c>
      <c r="D13" s="19" t="s">
        <v>711</v>
      </c>
      <c r="E13" s="19" t="s">
        <v>712</v>
      </c>
      <c r="F13" s="19" t="s">
        <v>713</v>
      </c>
      <c r="G13" s="19" t="s">
        <v>714</v>
      </c>
      <c r="H13" s="19" t="s">
        <v>715</v>
      </c>
      <c r="I13" s="19" t="s">
        <v>716</v>
      </c>
      <c r="J13" s="19" t="s">
        <v>717</v>
      </c>
      <c r="K13" s="19" t="s">
        <v>718</v>
      </c>
      <c r="L13" s="4" t="s">
        <v>47</v>
      </c>
    </row>
    <row r="14" customFormat="false" ht="15" hidden="false" customHeight="false" outlineLevel="0" collapsed="false">
      <c r="A14" s="0" t="s">
        <v>783</v>
      </c>
      <c r="B14" s="0" t="s">
        <v>95</v>
      </c>
      <c r="D14" s="6" t="n">
        <f aca="false">Seg!D9</f>
        <v>72.61</v>
      </c>
      <c r="E14" s="6" t="n">
        <f aca="false">Seg!E9</f>
        <v>101.938</v>
      </c>
      <c r="F14" s="6" t="n">
        <f aca="false">Seg!F9</f>
        <v>148.812368967868</v>
      </c>
      <c r="G14" s="6" t="n">
        <f aca="false">Seg!G9</f>
        <v>208.397514344463</v>
      </c>
      <c r="H14" s="6" t="n">
        <f aca="false">Seg!H9</f>
        <v>274.05759259987</v>
      </c>
      <c r="I14" s="6" t="n">
        <f aca="false">Seg!I9</f>
        <v>333.373091964934</v>
      </c>
      <c r="J14" s="6" t="n">
        <f aca="false">Seg!J9</f>
        <v>391.214773806054</v>
      </c>
      <c r="K14" s="6" t="n">
        <f aca="false">Seg!K9</f>
        <v>446.513235535821</v>
      </c>
    </row>
    <row r="15" customFormat="false" ht="17.15" hidden="false" customHeight="false" outlineLevel="0" collapsed="false">
      <c r="A15" s="0" t="s">
        <v>780</v>
      </c>
      <c r="B15" s="0" t="s">
        <v>95</v>
      </c>
      <c r="D15" s="6" t="n">
        <f aca="false">Seg!D6</f>
        <v>12.9359794422418</v>
      </c>
      <c r="E15" s="6" t="n">
        <f aca="false">Seg!E6</f>
        <v>27.8095064661409</v>
      </c>
      <c r="F15" s="6" t="n">
        <f aca="false">Seg!F6</f>
        <v>58.7324192305018</v>
      </c>
      <c r="G15" s="6" t="n">
        <f aca="false">Seg!G6</f>
        <v>101.369089141153</v>
      </c>
      <c r="H15" s="6" t="n">
        <f aca="false">Seg!H6</f>
        <v>149.785610014234</v>
      </c>
      <c r="I15" s="6" t="n">
        <f aca="false">Seg!I6</f>
        <v>192.439389583079</v>
      </c>
      <c r="J15" s="6" t="n">
        <f aca="false">Seg!J6</f>
        <v>235.195906491722</v>
      </c>
      <c r="K15" s="6" t="n">
        <f aca="false">Seg!K6</f>
        <v>278.012858836343</v>
      </c>
    </row>
    <row r="16" customFormat="false" ht="17.15" hidden="false" customHeight="false" outlineLevel="0" collapsed="false">
      <c r="A16" s="0" t="s">
        <v>807</v>
      </c>
      <c r="B16" s="0" t="s">
        <v>95</v>
      </c>
      <c r="D16" s="6" t="n">
        <f aca="false">Seg!D7</f>
        <v>59.6740205577583</v>
      </c>
      <c r="E16" s="6" t="n">
        <f aca="false">Seg!E7</f>
        <v>74.1284935338591</v>
      </c>
      <c r="F16" s="6" t="n">
        <f aca="false">Seg!F7</f>
        <v>90.0799497373663</v>
      </c>
      <c r="G16" s="6" t="n">
        <f aca="false">Seg!G7</f>
        <v>107.02842520331</v>
      </c>
      <c r="H16" s="6" t="n">
        <f aca="false">Seg!H7</f>
        <v>124.271982585636</v>
      </c>
      <c r="I16" s="6" t="n">
        <f aca="false">Seg!I7</f>
        <v>140.933702381855</v>
      </c>
      <c r="J16" s="6" t="n">
        <f aca="false">Seg!J7</f>
        <v>156.018867314332</v>
      </c>
      <c r="K16" s="6" t="n">
        <f aca="false">Seg!K7</f>
        <v>168.500376699478</v>
      </c>
    </row>
    <row r="17" customFormat="false" ht="15" hidden="false" customHeight="false" outlineLevel="0" collapsed="false">
      <c r="A17" s="0" t="s">
        <v>788</v>
      </c>
      <c r="B17" s="0" t="s">
        <v>95</v>
      </c>
      <c r="D17" s="6" t="n">
        <f aca="false">Seg!D14</f>
        <v>84.605</v>
      </c>
      <c r="E17" s="6" t="n">
        <f aca="false">Seg!E14</f>
        <v>100.299</v>
      </c>
      <c r="F17" s="6" t="n">
        <f aca="false">Seg!F14</f>
        <v>120.39238776686</v>
      </c>
      <c r="G17" s="6" t="n">
        <f aca="false">Seg!G14</f>
        <v>141.544168448684</v>
      </c>
      <c r="H17" s="6" t="n">
        <f aca="false">Seg!H14</f>
        <v>162.777359388781</v>
      </c>
      <c r="I17" s="6" t="n">
        <f aca="false">Seg!I14</f>
        <v>181.584028071957</v>
      </c>
      <c r="J17" s="6" t="n">
        <f aca="false">Seg!J14</f>
        <v>197.682702785465</v>
      </c>
      <c r="K17" s="6" t="n">
        <f aca="false">Seg!K14</f>
        <v>213.027991980448</v>
      </c>
    </row>
    <row r="18" customFormat="false" ht="17.15" hidden="false" customHeight="false" outlineLevel="0" collapsed="false">
      <c r="A18" s="0" t="s">
        <v>808</v>
      </c>
      <c r="B18" s="0" t="s">
        <v>95</v>
      </c>
      <c r="D18" s="6" t="n">
        <f aca="false">Seg!D12</f>
        <v>83.705</v>
      </c>
      <c r="E18" s="6" t="n">
        <f aca="false">Seg!E12</f>
        <v>95.049</v>
      </c>
      <c r="F18" s="6" t="n">
        <f aca="false">Seg!F12</f>
        <v>106.89238776686</v>
      </c>
      <c r="G18" s="6" t="n">
        <f aca="false">Seg!G12</f>
        <v>119.044168448684</v>
      </c>
      <c r="H18" s="6" t="n">
        <f aca="false">Seg!H12</f>
        <v>131.277359388781</v>
      </c>
      <c r="I18" s="6" t="n">
        <f aca="false">Seg!I12</f>
        <v>143.334028071957</v>
      </c>
      <c r="J18" s="6" t="n">
        <f aca="false">Seg!J12</f>
        <v>154.932702785465</v>
      </c>
      <c r="K18" s="6" t="n">
        <f aca="false">Seg!K12</f>
        <v>165.777991980448</v>
      </c>
    </row>
    <row r="19" customFormat="false" ht="17.15" hidden="false" customHeight="false" outlineLevel="0" collapsed="false">
      <c r="A19" s="0" t="s">
        <v>809</v>
      </c>
      <c r="B19" s="0" t="s">
        <v>95</v>
      </c>
      <c r="D19" s="6" t="n">
        <f aca="false">Seg!D11</f>
        <v>0.9</v>
      </c>
      <c r="E19" s="6" t="n">
        <f aca="false">Seg!E11</f>
        <v>5.25</v>
      </c>
      <c r="F19" s="6" t="n">
        <f aca="false">Seg!F11</f>
        <v>13.5</v>
      </c>
      <c r="G19" s="6" t="n">
        <f aca="false">Seg!G11</f>
        <v>22.5</v>
      </c>
      <c r="H19" s="6" t="n">
        <f aca="false">Seg!H11</f>
        <v>31.5</v>
      </c>
      <c r="I19" s="6" t="n">
        <f aca="false">Seg!I11</f>
        <v>38.25</v>
      </c>
      <c r="J19" s="6" t="n">
        <f aca="false">Seg!J11</f>
        <v>42.75</v>
      </c>
      <c r="K19" s="6" t="n">
        <f aca="false">Seg!K11</f>
        <v>47.25</v>
      </c>
    </row>
    <row r="20" customFormat="false" ht="15" hidden="false" customHeight="false" outlineLevel="0" collapsed="false">
      <c r="A20" s="0" t="s">
        <v>789</v>
      </c>
      <c r="B20" s="0" t="s">
        <v>95</v>
      </c>
      <c r="D20" s="6" t="n">
        <f aca="false">Seg!D15</f>
        <v>35.391</v>
      </c>
      <c r="E20" s="6" t="n">
        <f aca="false">Seg!E15</f>
        <v>37.285</v>
      </c>
      <c r="F20" s="6" t="n">
        <f aca="false">Seg!F15</f>
        <v>39.0720834331704</v>
      </c>
      <c r="G20" s="6" t="n">
        <f aca="false">Seg!G15</f>
        <v>40.726562953769</v>
      </c>
      <c r="H20" s="6" t="n">
        <f aca="false">Seg!H15</f>
        <v>42.2235987259198</v>
      </c>
      <c r="I20" s="6" t="n">
        <f aca="false">Seg!I15</f>
        <v>43.5397988077414</v>
      </c>
      <c r="J20" s="6" t="n">
        <f aca="false">Seg!J15</f>
        <v>44.653811225693</v>
      </c>
      <c r="K20" s="6" t="n">
        <f aca="false">Seg!K15</f>
        <v>45.5468874502068</v>
      </c>
    </row>
    <row r="21" customFormat="false" ht="15" hidden="false" customHeight="false" outlineLevel="0" collapsed="false">
      <c r="A21" s="0" t="s">
        <v>790</v>
      </c>
      <c r="B21" s="0" t="s">
        <v>95</v>
      </c>
      <c r="D21" s="6" t="n">
        <f aca="false">Seg!D17</f>
        <v>18.417</v>
      </c>
      <c r="E21" s="6" t="n">
        <f aca="false">Seg!E17</f>
        <v>20.345</v>
      </c>
      <c r="F21" s="6" t="n">
        <f aca="false">Seg!F17</f>
        <v>22.3572203267814</v>
      </c>
      <c r="G21" s="6" t="n">
        <f aca="false">Seg!G17</f>
        <v>24.4392124437232</v>
      </c>
      <c r="H21" s="6" t="n">
        <f aca="false">Seg!H17</f>
        <v>26.5738052080665</v>
      </c>
      <c r="I21" s="6" t="n">
        <f aca="false">Seg!I17</f>
        <v>28.7412169166967</v>
      </c>
      <c r="J21" s="6" t="n">
        <f aca="false">Seg!J17</f>
        <v>30.9192545395413</v>
      </c>
      <c r="K21" s="6" t="n">
        <f aca="false">Seg!K17</f>
        <v>33.0836023573092</v>
      </c>
    </row>
    <row r="22" customFormat="false" ht="15" hidden="false" customHeight="false" outlineLevel="0" collapsed="false">
      <c r="A22" s="0" t="s">
        <v>791</v>
      </c>
      <c r="B22" s="0" t="s">
        <v>95</v>
      </c>
      <c r="D22" s="6" t="n">
        <f aca="false">Seg!D19</f>
        <v>7.76</v>
      </c>
      <c r="E22" s="6" t="n">
        <f aca="false">Seg!E19</f>
        <v>8.26</v>
      </c>
      <c r="F22" s="6" t="n">
        <f aca="false">Seg!F19</f>
        <v>8.79988041237113</v>
      </c>
      <c r="G22" s="6" t="n">
        <f aca="false">Seg!G19</f>
        <v>9.38321269125306</v>
      </c>
      <c r="H22" s="6" t="n">
        <f aca="false">Seg!H19</f>
        <v>10.0139193587476</v>
      </c>
      <c r="I22" s="6" t="n">
        <f aca="false">Seg!I19</f>
        <v>10.6963111830911</v>
      </c>
      <c r="J22" s="6" t="n">
        <f aca="false">Seg!J19</f>
        <v>11.4351285534696</v>
      </c>
      <c r="K22" s="6" t="n">
        <f aca="false">Seg!K19</f>
        <v>12.2355875522124</v>
      </c>
    </row>
    <row r="23" customFormat="false" ht="15" hidden="false" customHeight="false" outlineLevel="0" collapsed="false">
      <c r="A23" s="0" t="s">
        <v>626</v>
      </c>
      <c r="B23" s="0" t="s">
        <v>95</v>
      </c>
      <c r="D23" s="6" t="n">
        <f aca="false">Seg!D21</f>
        <v>218.783</v>
      </c>
      <c r="E23" s="6" t="n">
        <f aca="false">Seg!E21</f>
        <v>268.127</v>
      </c>
      <c r="F23" s="6" t="n">
        <f aca="false">Seg!F21</f>
        <v>339.433940907051</v>
      </c>
      <c r="G23" s="6" t="n">
        <f aca="false">Seg!G21</f>
        <v>424.490670881892</v>
      </c>
      <c r="H23" s="6" t="n">
        <f aca="false">Seg!H21</f>
        <v>515.646275281385</v>
      </c>
      <c r="I23" s="6" t="n">
        <f aca="false">Seg!I21</f>
        <v>597.93444694442</v>
      </c>
      <c r="J23" s="6" t="n">
        <f aca="false">Seg!J21</f>
        <v>675.905670910223</v>
      </c>
      <c r="K23" s="6" t="n">
        <f aca="false">Seg!K21</f>
        <v>750.407304875998</v>
      </c>
    </row>
    <row r="24" customFormat="false" ht="15" hidden="false" customHeight="false" outlineLevel="0" collapsed="false">
      <c r="A24" s="0" t="s">
        <v>792</v>
      </c>
      <c r="B24" s="0" t="s">
        <v>95</v>
      </c>
      <c r="D24" s="6" t="n">
        <f aca="false">Seg!D22</f>
        <v>22.171</v>
      </c>
      <c r="E24" s="6" t="n">
        <f aca="false">Seg!E22</f>
        <v>24.835</v>
      </c>
      <c r="F24" s="6" t="n">
        <f aca="false">Seg!F22</f>
        <v>27.6114901218559</v>
      </c>
      <c r="G24" s="6" t="n">
        <f aca="false">Seg!G22</f>
        <v>30.4675667338515</v>
      </c>
      <c r="H24" s="6" t="n">
        <f aca="false">Seg!H22</f>
        <v>33.3643766955789</v>
      </c>
      <c r="I24" s="6" t="n">
        <f aca="false">Seg!I22</f>
        <v>36.2577016533691</v>
      </c>
      <c r="J24" s="6" t="n">
        <f aca="false">Seg!J22</f>
        <v>39.0988367952171</v>
      </c>
      <c r="K24" s="6" t="n">
        <f aca="false">Seg!K22</f>
        <v>41.8357553708823</v>
      </c>
    </row>
    <row r="25" customFormat="false" ht="15" hidden="false" customHeight="false" outlineLevel="0" collapsed="false">
      <c r="A25" s="0" t="s">
        <v>793</v>
      </c>
      <c r="B25" s="0" t="s">
        <v>95</v>
      </c>
      <c r="D25" s="6" t="n">
        <f aca="false">Seg!D24</f>
        <v>23.455</v>
      </c>
      <c r="E25" s="6" t="n">
        <f aca="false">Seg!E24</f>
        <v>21.79</v>
      </c>
      <c r="F25" s="6" t="n">
        <f aca="false">Seg!F24</f>
        <v>20.5736277908051</v>
      </c>
      <c r="G25" s="6" t="n">
        <f aca="false">Seg!G24</f>
        <v>19.7371452817919</v>
      </c>
      <c r="H25" s="6" t="n">
        <f aca="false">Seg!H24</f>
        <v>19.2339764043138</v>
      </c>
      <c r="I25" s="6" t="n">
        <f aca="false">Seg!I24</f>
        <v>19.0353086852681</v>
      </c>
      <c r="J25" s="6" t="n">
        <f aca="false">Seg!J24</f>
        <v>19.1273539319129</v>
      </c>
      <c r="K25" s="6" t="n">
        <f aca="false">Seg!K24</f>
        <v>19.5099010105511</v>
      </c>
    </row>
    <row r="26" customFormat="false" ht="15" hidden="false" customHeight="false" outlineLevel="0" collapsed="false">
      <c r="A26" s="0" t="s">
        <v>794</v>
      </c>
      <c r="B26" s="0" t="s">
        <v>95</v>
      </c>
      <c r="D26" s="6" t="n">
        <f aca="false">Seg!D26</f>
        <v>17.315</v>
      </c>
      <c r="E26" s="6" t="n">
        <f aca="false">Seg!E26</f>
        <v>17.087</v>
      </c>
      <c r="F26" s="6" t="n">
        <f aca="false">Seg!F26</f>
        <v>16.9564585436519</v>
      </c>
      <c r="G26" s="6" t="n">
        <f aca="false">Seg!G26</f>
        <v>16.9206490624268</v>
      </c>
      <c r="H26" s="6" t="n">
        <f aca="false">Seg!H26</f>
        <v>16.9784519149849</v>
      </c>
      <c r="I26" s="6" t="n">
        <f aca="false">Seg!I26</f>
        <v>17.1303084701817</v>
      </c>
      <c r="J26" s="6" t="n">
        <f aca="false">Seg!J26</f>
        <v>17.3782189407267</v>
      </c>
      <c r="K26" s="6" t="n">
        <f aca="false">Seg!K26</f>
        <v>17.7257833195413</v>
      </c>
    </row>
    <row r="27" customFormat="false" ht="15" hidden="false" customHeight="false" outlineLevel="0" collapsed="false">
      <c r="A27" s="0" t="s">
        <v>640</v>
      </c>
      <c r="B27" s="0" t="s">
        <v>95</v>
      </c>
      <c r="D27" s="6" t="n">
        <f aca="false">Seg!D28</f>
        <v>62.941</v>
      </c>
      <c r="E27" s="6" t="n">
        <f aca="false">Seg!E28</f>
        <v>63.712</v>
      </c>
      <c r="F27" s="6" t="n">
        <f aca="false">Seg!F28</f>
        <v>65.1415764563129</v>
      </c>
      <c r="G27" s="6" t="n">
        <f aca="false">Seg!G28</f>
        <v>67.1253610780702</v>
      </c>
      <c r="H27" s="6" t="n">
        <f aca="false">Seg!H28</f>
        <v>69.5768050148776</v>
      </c>
      <c r="I27" s="6" t="n">
        <f aca="false">Seg!I28</f>
        <v>72.4233188088189</v>
      </c>
      <c r="J27" s="6" t="n">
        <f aca="false">Seg!J28</f>
        <v>75.6044096678567</v>
      </c>
      <c r="K27" s="6" t="n">
        <f aca="false">Seg!K28</f>
        <v>79.0714397009747</v>
      </c>
    </row>
    <row r="28" customFormat="false" ht="15" hidden="false" customHeight="false" outlineLevel="0" collapsed="false">
      <c r="A28" s="1" t="s">
        <v>810</v>
      </c>
      <c r="B28" s="0" t="s">
        <v>95</v>
      </c>
      <c r="D28" s="6" t="n">
        <f aca="false">Seg!D29</f>
        <v>281.724</v>
      </c>
      <c r="E28" s="6" t="n">
        <f aca="false">Seg!E29</f>
        <v>331.839</v>
      </c>
      <c r="F28" s="6" t="n">
        <f aca="false">Seg!F29</f>
        <v>404.575517363364</v>
      </c>
      <c r="G28" s="6" t="n">
        <f aca="false">Seg!G29</f>
        <v>491.616031959962</v>
      </c>
      <c r="H28" s="6" t="n">
        <f aca="false">Seg!H29</f>
        <v>585.223080296262</v>
      </c>
      <c r="I28" s="6" t="n">
        <f aca="false">Seg!I29</f>
        <v>670.357765753239</v>
      </c>
      <c r="J28" s="6" t="n">
        <f aca="false">Seg!J29</f>
        <v>751.510080578079</v>
      </c>
      <c r="K28" s="6" t="n">
        <f aca="false">Seg!K29</f>
        <v>829.478744576972</v>
      </c>
    </row>
    <row r="29" customFormat="false" ht="15" hidden="false" customHeight="false" outlineLevel="0" collapsed="false">
      <c r="A29" s="1" t="s">
        <v>811</v>
      </c>
      <c r="B29" s="0" t="s">
        <v>126</v>
      </c>
      <c r="E29" s="7" t="n">
        <f aca="false">PL!E28/PL!D28-1</f>
        <v>0.177886867998467</v>
      </c>
      <c r="F29" s="7" t="n">
        <f aca="false">PL!F28/PL!E28-1</f>
        <v>0.219192190680914</v>
      </c>
      <c r="G29" s="7" t="n">
        <f aca="false">PL!G28/PL!F28-1</f>
        <v>0.215140340581766</v>
      </c>
      <c r="H29" s="7" t="n">
        <f aca="false">PL!H28/PL!G28-1</f>
        <v>0.19040682616291</v>
      </c>
      <c r="I29" s="7" t="n">
        <f aca="false">PL!I28/PL!H28-1</f>
        <v>0.14547390272762</v>
      </c>
      <c r="J29" s="7" t="n">
        <f aca="false">PL!J28/PL!I28-1</f>
        <v>0.121058215434641</v>
      </c>
      <c r="K29" s="7" t="n">
        <f aca="false">PL!K28/PL!J28-1</f>
        <v>0.103749325543202</v>
      </c>
    </row>
    <row r="30" customFormat="false" ht="17.15" hidden="false" customHeight="false" outlineLevel="0" collapsed="false">
      <c r="A30" s="22" t="s">
        <v>812</v>
      </c>
      <c r="B30" s="28" t="s">
        <v>95</v>
      </c>
      <c r="C30" s="28"/>
      <c r="D30" s="23" t="n">
        <f aca="false">(PL!D23+PL!D27-PL!D28)+(PL!D15+PL!D16-PL!D14)+(PL!D18+PL!D19-PL!D17)+(PL!D28-Q!L18)</f>
        <v>0</v>
      </c>
      <c r="E30" s="23" t="n">
        <f aca="false">(PL!E23+PL!E27-PL!E28)+(PL!E15+PL!E16-PL!E14)+(PL!E18+PL!E19-PL!E17)+(PL!E28-Q!M18)</f>
        <v>0</v>
      </c>
      <c r="F30" s="23" t="n">
        <f aca="false">(PL!F23+PL!F27-PL!F28)+(PL!F15+PL!F16-PL!F14)+(PL!F18+PL!F19-PL!F17)</f>
        <v>0</v>
      </c>
      <c r="G30" s="23" t="n">
        <f aca="false">(PL!G23+PL!G27-PL!G28)+(PL!G15+PL!G16-PL!G14)+(PL!G18+PL!G19-PL!G17)</f>
        <v>0</v>
      </c>
      <c r="H30" s="23" t="n">
        <f aca="false">(PL!H23+PL!H27-PL!H28)+(PL!H15+PL!H16-PL!H14)+(PL!H18+PL!H19-PL!H17)</f>
        <v>0</v>
      </c>
      <c r="I30" s="23" t="n">
        <f aca="false">(PL!I23+PL!I27-PL!I28)+(PL!I15+PL!I16-PL!I14)+(PL!I18+PL!I19-PL!I17)</f>
        <v>0</v>
      </c>
      <c r="J30" s="23" t="n">
        <f aca="false">(PL!J23+PL!J27-PL!J28)+(PL!J15+PL!J16-PL!J14)+(PL!J18+PL!J19-PL!J17)</f>
        <v>0</v>
      </c>
      <c r="K30" s="23" t="n">
        <f aca="false">(PL!K23+PL!K27-PL!K28)+(PL!K15+PL!K16-PL!K14)+(PL!K18+PL!K19-PL!K17)</f>
        <v>0</v>
      </c>
    </row>
    <row r="31" customFormat="false" ht="17.15" hidden="false" customHeight="false" outlineLevel="0" collapsed="false">
      <c r="A31" s="0" t="s">
        <v>813</v>
      </c>
      <c r="B31" s="0" t="s">
        <v>126</v>
      </c>
      <c r="E31" s="7" t="n">
        <f aca="false">(Q!M21+Thesis!E22+Thesis!E23+Thesis!E24+Thesis!E37-Thesis!E20)/(Q!M5-Thesis!E20)</f>
        <v>0.570957350878296</v>
      </c>
      <c r="F31" s="7" t="n">
        <f aca="false">PL!$E$31+dm_seg</f>
        <v>0.570957350878296</v>
      </c>
      <c r="G31" s="7" t="n">
        <f aca="false">PL!$E$31+dm_seg</f>
        <v>0.570957350878296</v>
      </c>
      <c r="H31" s="7" t="n">
        <f aca="false">PL!$E$31+dm_seg</f>
        <v>0.570957350878296</v>
      </c>
      <c r="I31" s="7" t="n">
        <f aca="false">PL!$E$31+dm_seg</f>
        <v>0.570957350878296</v>
      </c>
      <c r="J31" s="7" t="n">
        <f aca="false">PL!$E$31+dm_seg</f>
        <v>0.570957350878296</v>
      </c>
      <c r="K31" s="7" t="n">
        <f aca="false">PL!$E$31+dm_seg</f>
        <v>0.570957350878296</v>
      </c>
      <c r="L31" s="11" t="s">
        <v>814</v>
      </c>
    </row>
    <row r="32" customFormat="false" ht="17.15" hidden="false" customHeight="false" outlineLevel="0" collapsed="false">
      <c r="A32" s="0" t="s">
        <v>654</v>
      </c>
      <c r="B32" s="0" t="s">
        <v>95</v>
      </c>
      <c r="D32" s="6" t="n">
        <f aca="false">Q!L21</f>
        <v>110.814</v>
      </c>
      <c r="E32" s="6" t="n">
        <f aca="false">Q!M21</f>
        <v>136.365</v>
      </c>
      <c r="F32" s="6" t="n">
        <f aca="false">PL!F31*(Seg!F21-Thesis!F20)+Thesis!F20-(Thesis!F22+Thesis!F23+Thesis!F24)-Thesis!F37</f>
        <v>162.135484602307</v>
      </c>
      <c r="G32" s="6" t="n">
        <f aca="false">PL!G31*(Seg!G21-Thesis!G20)+Thesis!G20-(Thesis!G22+Thesis!G23+Thesis!G24)-Thesis!G37</f>
        <v>191.693580267698</v>
      </c>
      <c r="H32" s="6" t="n">
        <f aca="false">PL!H31*(Seg!H21-Thesis!H20)+Thesis!H20-(Thesis!H22+Thesis!H23+Thesis!H24)-Thesis!H37</f>
        <v>226.079713997573</v>
      </c>
      <c r="I32" s="6" t="n">
        <f aca="false">PL!I31*(Seg!I21-Thesis!I20)+Thesis!I20-(Thesis!I22+Thesis!I23+Thesis!I24)-Thesis!I37</f>
        <v>251.880358898704</v>
      </c>
      <c r="J32" s="6" t="n">
        <f aca="false">PL!J31*(Seg!J21-Thesis!J20)+Thesis!J20-(Thesis!J22+Thesis!J23+Thesis!J24)-Thesis!J37</f>
        <v>274.271948853581</v>
      </c>
      <c r="K32" s="6" t="n">
        <f aca="false">PL!K31*(Seg!K21-Thesis!K20)+Thesis!K20-(Thesis!K22+Thesis!K23+Thesis!K24)-Thesis!K37</f>
        <v>293.411454983568</v>
      </c>
      <c r="L32" s="1" t="s">
        <v>815</v>
      </c>
    </row>
    <row r="33" customFormat="false" ht="17.15" hidden="false" customHeight="false" outlineLevel="0" collapsed="false">
      <c r="A33" s="0" t="s">
        <v>816</v>
      </c>
      <c r="B33" s="0" t="s">
        <v>126</v>
      </c>
      <c r="E33" s="7" t="n">
        <f aca="false">Q!M22/Q!M12</f>
        <v>0.296207935710698</v>
      </c>
      <c r="F33" s="7" t="n">
        <f aca="false">PL!$E$33+dm_seg</f>
        <v>0.296207935710698</v>
      </c>
      <c r="G33" s="7" t="n">
        <f aca="false">PL!$E$33+dm_seg</f>
        <v>0.296207935710698</v>
      </c>
      <c r="H33" s="7" t="n">
        <f aca="false">PL!$E$33+dm_seg</f>
        <v>0.296207935710698</v>
      </c>
      <c r="I33" s="7" t="n">
        <f aca="false">PL!$E$33+dm_seg</f>
        <v>0.296207935710698</v>
      </c>
      <c r="J33" s="7" t="n">
        <f aca="false">PL!$E$33+dm_seg</f>
        <v>0.296207935710698</v>
      </c>
      <c r="K33" s="7" t="n">
        <f aca="false">PL!$E$33+dm_seg</f>
        <v>0.296207935710698</v>
      </c>
      <c r="L33" s="11" t="s">
        <v>817</v>
      </c>
    </row>
    <row r="34" customFormat="false" ht="17.15" hidden="false" customHeight="false" outlineLevel="0" collapsed="false">
      <c r="A34" s="0" t="s">
        <v>656</v>
      </c>
      <c r="B34" s="0" t="s">
        <v>95</v>
      </c>
      <c r="D34" s="6" t="n">
        <f aca="false">Q!L22</f>
        <v>17.714</v>
      </c>
      <c r="E34" s="6" t="n">
        <f aca="false">Q!M22</f>
        <v>18.872</v>
      </c>
      <c r="F34" s="6" t="n">
        <f aca="false">Seg!F28*PL!F33</f>
        <v>19.2954518910651</v>
      </c>
      <c r="G34" s="6" t="n">
        <f aca="false">Seg!G28*PL!G33</f>
        <v>19.8830646387704</v>
      </c>
      <c r="H34" s="6" t="n">
        <f aca="false">Seg!H28*PL!H33</f>
        <v>20.6092017868026</v>
      </c>
      <c r="I34" s="6" t="n">
        <f aca="false">Seg!I28*PL!I33</f>
        <v>21.452361761678</v>
      </c>
      <c r="J34" s="6" t="n">
        <f aca="false">Seg!J28*PL!J33</f>
        <v>22.3946261183418</v>
      </c>
      <c r="K34" s="6" t="n">
        <f aca="false">Seg!K28*PL!K33</f>
        <v>23.4215879274986</v>
      </c>
    </row>
    <row r="35" customFormat="false" ht="15" hidden="false" customHeight="false" outlineLevel="0" collapsed="false">
      <c r="A35" s="1" t="s">
        <v>818</v>
      </c>
      <c r="B35" s="0" t="s">
        <v>95</v>
      </c>
      <c r="D35" s="6" t="n">
        <f aca="false">PL!D32+PL!D34</f>
        <v>128.528</v>
      </c>
      <c r="E35" s="6" t="n">
        <f aca="false">PL!E32+PL!E34</f>
        <v>155.237</v>
      </c>
      <c r="F35" s="6" t="n">
        <f aca="false">PL!F32+PL!F34</f>
        <v>181.430936493372</v>
      </c>
      <c r="G35" s="6" t="n">
        <f aca="false">PL!G32+PL!G34</f>
        <v>211.576644906468</v>
      </c>
      <c r="H35" s="6" t="n">
        <f aca="false">PL!H32+PL!H34</f>
        <v>246.688915784375</v>
      </c>
      <c r="I35" s="6" t="n">
        <f aca="false">PL!I32+PL!I34</f>
        <v>273.332720660382</v>
      </c>
      <c r="J35" s="6" t="n">
        <f aca="false">PL!J32+PL!J34</f>
        <v>296.666574971923</v>
      </c>
      <c r="K35" s="6" t="n">
        <f aca="false">PL!K32+PL!K34</f>
        <v>316.833042911067</v>
      </c>
    </row>
    <row r="36" customFormat="false" ht="15" hidden="false" customHeight="false" outlineLevel="0" collapsed="false">
      <c r="A36" s="22" t="s">
        <v>819</v>
      </c>
      <c r="B36" s="28" t="s">
        <v>95</v>
      </c>
      <c r="C36" s="28"/>
      <c r="D36" s="23" t="n">
        <f aca="false">PL!D35-Q!L23</f>
        <v>0</v>
      </c>
      <c r="E36" s="23" t="n">
        <f aca="false">PL!E35-Q!M23</f>
        <v>0</v>
      </c>
      <c r="F36" s="28"/>
      <c r="G36" s="28"/>
      <c r="H36" s="28"/>
      <c r="I36" s="28"/>
      <c r="J36" s="28"/>
      <c r="K36" s="28"/>
    </row>
    <row r="37" customFormat="false" ht="15" hidden="false" customHeight="false" outlineLevel="0" collapsed="false">
      <c r="A37" s="1" t="s">
        <v>820</v>
      </c>
      <c r="B37" s="0" t="s">
        <v>126</v>
      </c>
      <c r="D37" s="7" t="n">
        <f aca="false">PL!D35/PL!D28</f>
        <v>0.456219562408598</v>
      </c>
      <c r="E37" s="7" t="n">
        <f aca="false">PL!E35/PL!E28</f>
        <v>0.467808184089272</v>
      </c>
      <c r="F37" s="7" t="n">
        <f aca="false">PL!F35/PL!F28</f>
        <v>0.448447641309996</v>
      </c>
      <c r="G37" s="7" t="n">
        <f aca="false">PL!G35/PL!G28</f>
        <v>0.430369701457782</v>
      </c>
      <c r="H37" s="7" t="n">
        <f aca="false">PL!H35/PL!H28</f>
        <v>0.421529710789076</v>
      </c>
      <c r="I37" s="7" t="n">
        <f aca="false">PL!I35/PL!I28</f>
        <v>0.407741559245242</v>
      </c>
      <c r="J37" s="7" t="n">
        <f aca="false">PL!J35/PL!J28</f>
        <v>0.394760606196686</v>
      </c>
      <c r="K37" s="7" t="n">
        <f aca="false">PL!K35/PL!K28</f>
        <v>0.381966439746023</v>
      </c>
    </row>
    <row r="38" customFormat="false" ht="17.15" hidden="false" customHeight="false" outlineLevel="0" collapsed="false">
      <c r="A38" s="1" t="s">
        <v>821</v>
      </c>
      <c r="B38" s="0" t="s">
        <v>95</v>
      </c>
      <c r="E38" s="6" t="n">
        <f aca="false">Thesis!E37</f>
        <v>16.3054059770833</v>
      </c>
      <c r="F38" s="6" t="n">
        <f aca="false">Thesis!F37</f>
        <v>34.7280354558698</v>
      </c>
      <c r="G38" s="6" t="n">
        <f aca="false">Thesis!G37</f>
        <v>60.4817332603396</v>
      </c>
      <c r="H38" s="6" t="n">
        <f aca="false">Thesis!H37</f>
        <v>87.7173159931396</v>
      </c>
      <c r="I38" s="6" t="n">
        <f aca="false">Thesis!I37</f>
        <v>115.972181741123</v>
      </c>
      <c r="J38" s="6" t="n">
        <f aca="false">Thesis!J37</f>
        <v>145.199277958273</v>
      </c>
      <c r="K38" s="6" t="n">
        <f aca="false">Thesis!K37</f>
        <v>175.71392263459</v>
      </c>
    </row>
    <row r="39" customFormat="false" ht="17.15" hidden="false" customHeight="false" outlineLevel="0" collapsed="false">
      <c r="A39" s="1" t="s">
        <v>822</v>
      </c>
      <c r="B39" s="0" t="s">
        <v>95</v>
      </c>
      <c r="E39" s="6" t="n">
        <f aca="false">CF!E17</f>
        <v>22.2285940229167</v>
      </c>
      <c r="F39" s="6" t="n">
        <f aca="false">CF!F17</f>
        <v>23.5786693435813</v>
      </c>
      <c r="G39" s="6" t="n">
        <f aca="false">CF!G17</f>
        <v>25.3810917662621</v>
      </c>
      <c r="H39" s="6" t="n">
        <f aca="false">CF!H17</f>
        <v>27.5991339540448</v>
      </c>
      <c r="I39" s="6" t="n">
        <f aca="false">CF!I17</f>
        <v>30.1565605898047</v>
      </c>
      <c r="J39" s="6" t="n">
        <f aca="false">CF!J17</f>
        <v>32.9614958558616</v>
      </c>
      <c r="K39" s="6" t="n">
        <f aca="false">CF!K17</f>
        <v>35.9297165444749</v>
      </c>
    </row>
    <row r="40" customFormat="false" ht="17.15" hidden="false" customHeight="false" outlineLevel="0" collapsed="false">
      <c r="A40" s="1" t="s">
        <v>823</v>
      </c>
      <c r="B40" s="0" t="s">
        <v>95</v>
      </c>
      <c r="D40" s="6" t="n">
        <f aca="false">Q!L27</f>
        <v>-4.901</v>
      </c>
      <c r="E40" s="6" t="n">
        <f aca="false">Q!M27</f>
        <v>10.697</v>
      </c>
      <c r="F40" s="6" t="n">
        <f aca="false">oie_f</f>
        <v>-0.4</v>
      </c>
      <c r="G40" s="6" t="n">
        <f aca="false">oie_f</f>
        <v>-0.4</v>
      </c>
      <c r="H40" s="6" t="n">
        <f aca="false">oie_f</f>
        <v>-0.4</v>
      </c>
      <c r="I40" s="6" t="n">
        <f aca="false">oie_f</f>
        <v>-0.4</v>
      </c>
      <c r="J40" s="6" t="n">
        <f aca="false">oie_f</f>
        <v>-0.4</v>
      </c>
      <c r="K40" s="6" t="n">
        <f aca="false">oie_f</f>
        <v>-0.4</v>
      </c>
      <c r="L40" s="11" t="s">
        <v>824</v>
      </c>
    </row>
    <row r="41" customFormat="false" ht="15" hidden="false" customHeight="false" outlineLevel="0" collapsed="false">
      <c r="A41" s="1" t="s">
        <v>666</v>
      </c>
      <c r="B41" s="0" t="s">
        <v>95</v>
      </c>
      <c r="D41" s="6" t="n">
        <f aca="false">PL!D35+PL!D40</f>
        <v>123.627</v>
      </c>
      <c r="E41" s="6" t="n">
        <f aca="false">PL!E35+PL!E40</f>
        <v>165.934</v>
      </c>
      <c r="F41" s="6" t="n">
        <f aca="false">PL!F35+PL!F40</f>
        <v>181.030936493372</v>
      </c>
      <c r="G41" s="6" t="n">
        <f aca="false">PL!G35+PL!G40</f>
        <v>211.176644906468</v>
      </c>
      <c r="H41" s="6" t="n">
        <f aca="false">PL!H35+PL!H40</f>
        <v>246.288915784375</v>
      </c>
      <c r="I41" s="6" t="n">
        <f aca="false">PL!I35+PL!I40</f>
        <v>272.932720660382</v>
      </c>
      <c r="J41" s="6" t="n">
        <f aca="false">PL!J35+PL!J40</f>
        <v>296.266574971923</v>
      </c>
      <c r="K41" s="6" t="n">
        <f aca="false">PL!K35+PL!K40</f>
        <v>316.433042911067</v>
      </c>
    </row>
    <row r="42" customFormat="false" ht="15" hidden="false" customHeight="false" outlineLevel="0" collapsed="false">
      <c r="A42" s="1" t="s">
        <v>668</v>
      </c>
      <c r="B42" s="0" t="s">
        <v>95</v>
      </c>
      <c r="D42" s="6" t="n">
        <f aca="false">Q!L29</f>
        <v>21.795</v>
      </c>
      <c r="E42" s="6" t="n">
        <f aca="false">Q!M29</f>
        <v>32.185</v>
      </c>
      <c r="F42" s="6" t="n">
        <f aca="false">PL!F41*tax_f</f>
        <v>36.2061872986743</v>
      </c>
      <c r="G42" s="6" t="n">
        <f aca="false">PL!G41*tax_f</f>
        <v>42.2353289812936</v>
      </c>
      <c r="H42" s="6" t="n">
        <f aca="false">PL!H41*tax_f</f>
        <v>49.2577831568751</v>
      </c>
      <c r="I42" s="6" t="n">
        <f aca="false">PL!I41*tax_f</f>
        <v>54.5865441320764</v>
      </c>
      <c r="J42" s="6" t="n">
        <f aca="false">PL!J41*tax_f</f>
        <v>59.2533149943846</v>
      </c>
      <c r="K42" s="6" t="n">
        <f aca="false">PL!K41*tax_f</f>
        <v>63.2866085822134</v>
      </c>
    </row>
    <row r="43" customFormat="false" ht="15" hidden="false" customHeight="false" outlineLevel="0" collapsed="false">
      <c r="A43" s="1" t="s">
        <v>825</v>
      </c>
      <c r="B43" s="0" t="s">
        <v>95</v>
      </c>
      <c r="D43" s="6" t="n">
        <f aca="false">PL!D41-PL!D42</f>
        <v>101.832</v>
      </c>
      <c r="E43" s="6" t="n">
        <f aca="false">PL!E41-PL!E42</f>
        <v>133.749</v>
      </c>
      <c r="F43" s="6" t="n">
        <f aca="false">PL!F41-PL!F42</f>
        <v>144.824749194697</v>
      </c>
      <c r="G43" s="6" t="n">
        <f aca="false">PL!G41-PL!G42</f>
        <v>168.941315925174</v>
      </c>
      <c r="H43" s="6" t="n">
        <f aca="false">PL!H41-PL!H42</f>
        <v>197.0311326275</v>
      </c>
      <c r="I43" s="6" t="n">
        <f aca="false">PL!I41-PL!I42</f>
        <v>218.346176528306</v>
      </c>
      <c r="J43" s="6" t="n">
        <f aca="false">PL!J41-PL!J42</f>
        <v>237.013259977539</v>
      </c>
      <c r="K43" s="6" t="n">
        <f aca="false">PL!K41-PL!K42</f>
        <v>253.146434328853</v>
      </c>
    </row>
    <row r="44" customFormat="false" ht="17.15" hidden="false" customHeight="false" outlineLevel="0" collapsed="false">
      <c r="A44" s="1" t="s">
        <v>826</v>
      </c>
      <c r="B44" s="1" t="s">
        <v>79</v>
      </c>
      <c r="D44" s="18" t="n">
        <f aca="false">Q!L31</f>
        <v>7.465</v>
      </c>
      <c r="E44" s="18" t="n">
        <f aca="false">Q!M31</f>
        <v>7.453</v>
      </c>
      <c r="F44" s="18" t="n">
        <f aca="false">CF!F39</f>
        <v>7.4735</v>
      </c>
      <c r="G44" s="18" t="n">
        <f aca="false">CF!G39</f>
        <v>7.50808342626474</v>
      </c>
      <c r="H44" s="18" t="n">
        <f aca="false">CF!H39</f>
        <v>7.52541843837942</v>
      </c>
      <c r="I44" s="18" t="n">
        <f aca="false">CF!I39</f>
        <v>7.53719927038673</v>
      </c>
      <c r="J44" s="18" t="n">
        <f aca="false">CF!J39</f>
        <v>7.55144078150462</v>
      </c>
      <c r="K44" s="18" t="n">
        <f aca="false">CF!K39</f>
        <v>7.56796069920636</v>
      </c>
    </row>
    <row r="45" customFormat="false" ht="17.15" hidden="false" customHeight="false" outlineLevel="0" collapsed="false">
      <c r="A45" s="0" t="s">
        <v>827</v>
      </c>
      <c r="B45" s="0" t="s">
        <v>73</v>
      </c>
      <c r="D45" s="8" t="n">
        <f aca="false">PL!D43/PL!D44</f>
        <v>13.641259209645</v>
      </c>
      <c r="E45" s="8" t="n">
        <f aca="false">PL!E43/PL!E44</f>
        <v>17.9456594659869</v>
      </c>
      <c r="F45" s="8" t="n">
        <f aca="false">PL!F43/PL!F44</f>
        <v>19.3784370368231</v>
      </c>
      <c r="G45" s="8" t="n">
        <f aca="false">PL!G43/PL!G44</f>
        <v>22.5012571562784</v>
      </c>
      <c r="H45" s="8" t="n">
        <f aca="false">PL!H43/PL!H44</f>
        <v>26.1820833274396</v>
      </c>
      <c r="I45" s="8" t="n">
        <f aca="false">PL!I43/PL!I44</f>
        <v>28.9691394237348</v>
      </c>
      <c r="J45" s="8" t="n">
        <f aca="false">PL!J43/PL!J44</f>
        <v>31.386495217978</v>
      </c>
      <c r="K45" s="8" t="n">
        <f aca="false">PL!K43/PL!K44</f>
        <v>33.4497554084022</v>
      </c>
      <c r="L45" s="1" t="s">
        <v>828</v>
      </c>
    </row>
    <row r="46" customFormat="false" ht="17.15" hidden="false" customHeight="false" outlineLevel="0" collapsed="false">
      <c r="A46" s="0" t="s">
        <v>829</v>
      </c>
      <c r="B46" s="0" t="s">
        <v>126</v>
      </c>
      <c r="E46" s="7" t="n">
        <f aca="false">PL!E45/PL!D45-1</f>
        <v>0.315542736208578</v>
      </c>
      <c r="F46" s="7" t="n">
        <f aca="false">PL!F45/PL!E45-1</f>
        <v>0.0798397837400089</v>
      </c>
      <c r="G46" s="7" t="n">
        <f aca="false">PL!G45/PL!F45-1</f>
        <v>0.161149225477849</v>
      </c>
      <c r="H46" s="7" t="n">
        <f aca="false">PL!H45/PL!G45-1</f>
        <v>0.163583134293196</v>
      </c>
      <c r="I46" s="7" t="n">
        <f aca="false">PL!I45/PL!H45-1</f>
        <v>0.106448981215116</v>
      </c>
      <c r="J46" s="7" t="n">
        <f aca="false">PL!J45/PL!I45-1</f>
        <v>0.0834458959544577</v>
      </c>
      <c r="K46" s="7" t="n">
        <f aca="false">PL!K45/PL!J45-1</f>
        <v>0.0657371960805113</v>
      </c>
    </row>
    <row r="47" customFormat="false" ht="17.15" hidden="false" customHeight="false" outlineLevel="0" collapsed="false">
      <c r="A47" s="3" t="s">
        <v>830</v>
      </c>
    </row>
    <row r="48" customFormat="false" ht="15" hidden="false" customHeight="false" outlineLevel="0" collapsed="false">
      <c r="A48" s="4" t="s">
        <v>43</v>
      </c>
      <c r="B48" s="4" t="s">
        <v>63</v>
      </c>
      <c r="C48" s="19" t="s">
        <v>710</v>
      </c>
      <c r="D48" s="19" t="s">
        <v>711</v>
      </c>
      <c r="E48" s="19" t="s">
        <v>712</v>
      </c>
      <c r="F48" s="19" t="s">
        <v>713</v>
      </c>
      <c r="G48" s="19" t="s">
        <v>714</v>
      </c>
      <c r="H48" s="19" t="s">
        <v>715</v>
      </c>
      <c r="I48" s="19" t="s">
        <v>716</v>
      </c>
      <c r="J48" s="19" t="s">
        <v>717</v>
      </c>
      <c r="K48" s="19" t="s">
        <v>718</v>
      </c>
      <c r="L48" s="4" t="s">
        <v>47</v>
      </c>
    </row>
    <row r="49" customFormat="false" ht="15" hidden="false" customHeight="false" outlineLevel="0" collapsed="false">
      <c r="A49" s="0" t="s">
        <v>783</v>
      </c>
      <c r="B49" s="0" t="s">
        <v>95</v>
      </c>
      <c r="D49" s="6" t="n">
        <f aca="false">Seg!D36</f>
        <v>72.61</v>
      </c>
      <c r="E49" s="6" t="n">
        <f aca="false">Seg!E36</f>
        <v>101.938</v>
      </c>
      <c r="F49" s="6" t="n">
        <f aca="false">Seg!F36</f>
        <v>145.143956312325</v>
      </c>
      <c r="G49" s="6" t="n">
        <f aca="false">Seg!G36</f>
        <v>196.478966522364</v>
      </c>
      <c r="H49" s="6" t="n">
        <f aca="false">Seg!H36</f>
        <v>249.10761332251</v>
      </c>
      <c r="I49" s="6" t="n">
        <f aca="false">Seg!I36</f>
        <v>301.318218457463</v>
      </c>
      <c r="J49" s="6" t="n">
        <f aca="false">Seg!J36</f>
        <v>352.037892979313</v>
      </c>
      <c r="K49" s="6" t="n">
        <f aca="false">Seg!K36</f>
        <v>400.20428058249</v>
      </c>
    </row>
    <row r="50" customFormat="false" ht="17.15" hidden="false" customHeight="false" outlineLevel="0" collapsed="false">
      <c r="A50" s="0" t="s">
        <v>780</v>
      </c>
      <c r="B50" s="0" t="s">
        <v>95</v>
      </c>
      <c r="D50" s="6" t="n">
        <f aca="false">Seg!D33</f>
        <v>12.9359794422418</v>
      </c>
      <c r="E50" s="6" t="n">
        <f aca="false">Seg!E33</f>
        <v>27.8095064661409</v>
      </c>
      <c r="F50" s="6" t="n">
        <f aca="false">Seg!F33</f>
        <v>55.0640065749585</v>
      </c>
      <c r="G50" s="6" t="n">
        <f aca="false">Seg!G33</f>
        <v>89.4505413190538</v>
      </c>
      <c r="H50" s="6" t="n">
        <f aca="false">Seg!H33</f>
        <v>124.835630736874</v>
      </c>
      <c r="I50" s="6" t="n">
        <f aca="false">Seg!I33</f>
        <v>160.384516075608</v>
      </c>
      <c r="J50" s="6" t="n">
        <f aca="false">Seg!J33</f>
        <v>196.019025664981</v>
      </c>
      <c r="K50" s="6" t="n">
        <f aca="false">Seg!K33</f>
        <v>231.703903883012</v>
      </c>
    </row>
    <row r="51" customFormat="false" ht="17.15" hidden="false" customHeight="false" outlineLevel="0" collapsed="false">
      <c r="A51" s="0" t="s">
        <v>807</v>
      </c>
      <c r="B51" s="0" t="s">
        <v>95</v>
      </c>
      <c r="D51" s="6" t="n">
        <f aca="false">Seg!D34</f>
        <v>59.6740205577583</v>
      </c>
      <c r="E51" s="6" t="n">
        <f aca="false">Seg!E34</f>
        <v>74.1284935338591</v>
      </c>
      <c r="F51" s="6" t="n">
        <f aca="false">Seg!F34</f>
        <v>90.0799497373663</v>
      </c>
      <c r="G51" s="6" t="n">
        <f aca="false">Seg!G34</f>
        <v>107.02842520331</v>
      </c>
      <c r="H51" s="6" t="n">
        <f aca="false">Seg!H34</f>
        <v>124.271982585636</v>
      </c>
      <c r="I51" s="6" t="n">
        <f aca="false">Seg!I34</f>
        <v>140.933702381855</v>
      </c>
      <c r="J51" s="6" t="n">
        <f aca="false">Seg!J34</f>
        <v>156.018867314332</v>
      </c>
      <c r="K51" s="6" t="n">
        <f aca="false">Seg!K34</f>
        <v>168.500376699478</v>
      </c>
    </row>
    <row r="52" customFormat="false" ht="15" hidden="false" customHeight="false" outlineLevel="0" collapsed="false">
      <c r="A52" s="0" t="s">
        <v>788</v>
      </c>
      <c r="B52" s="0" t="s">
        <v>95</v>
      </c>
      <c r="D52" s="6" t="n">
        <f aca="false">Seg!D41</f>
        <v>84.605</v>
      </c>
      <c r="E52" s="6" t="n">
        <f aca="false">Seg!E41</f>
        <v>100.299</v>
      </c>
      <c r="F52" s="6" t="n">
        <f aca="false">Seg!F41</f>
        <v>118.89238776686</v>
      </c>
      <c r="G52" s="6" t="n">
        <f aca="false">Seg!G41</f>
        <v>137.044168448684</v>
      </c>
      <c r="H52" s="6" t="n">
        <f aca="false">Seg!H41</f>
        <v>155.277359388781</v>
      </c>
      <c r="I52" s="6" t="n">
        <f aca="false">Seg!I41</f>
        <v>171.834028071957</v>
      </c>
      <c r="J52" s="6" t="n">
        <f aca="false">Seg!J41</f>
        <v>186.432702785465</v>
      </c>
      <c r="K52" s="6" t="n">
        <f aca="false">Seg!K41</f>
        <v>200.277991980448</v>
      </c>
    </row>
    <row r="53" customFormat="false" ht="17.15" hidden="false" customHeight="false" outlineLevel="0" collapsed="false">
      <c r="A53" s="0" t="s">
        <v>808</v>
      </c>
      <c r="B53" s="0" t="s">
        <v>95</v>
      </c>
      <c r="D53" s="6" t="n">
        <f aca="false">Seg!D39</f>
        <v>83.705</v>
      </c>
      <c r="E53" s="6" t="n">
        <f aca="false">Seg!E39</f>
        <v>95.049</v>
      </c>
      <c r="F53" s="6" t="n">
        <f aca="false">Seg!F39</f>
        <v>106.89238776686</v>
      </c>
      <c r="G53" s="6" t="n">
        <f aca="false">Seg!G39</f>
        <v>119.044168448684</v>
      </c>
      <c r="H53" s="6" t="n">
        <f aca="false">Seg!H39</f>
        <v>131.277359388781</v>
      </c>
      <c r="I53" s="6" t="n">
        <f aca="false">Seg!I39</f>
        <v>143.334028071957</v>
      </c>
      <c r="J53" s="6" t="n">
        <f aca="false">Seg!J39</f>
        <v>154.932702785465</v>
      </c>
      <c r="K53" s="6" t="n">
        <f aca="false">Seg!K39</f>
        <v>165.777991980448</v>
      </c>
    </row>
    <row r="54" customFormat="false" ht="17.15" hidden="false" customHeight="false" outlineLevel="0" collapsed="false">
      <c r="A54" s="0" t="s">
        <v>809</v>
      </c>
      <c r="B54" s="0" t="s">
        <v>95</v>
      </c>
      <c r="D54" s="6" t="n">
        <f aca="false">Seg!D38</f>
        <v>0.9</v>
      </c>
      <c r="E54" s="6" t="n">
        <f aca="false">Seg!E38</f>
        <v>5.25</v>
      </c>
      <c r="F54" s="6" t="n">
        <f aca="false">Seg!F38</f>
        <v>12</v>
      </c>
      <c r="G54" s="6" t="n">
        <f aca="false">Seg!G38</f>
        <v>18</v>
      </c>
      <c r="H54" s="6" t="n">
        <f aca="false">Seg!H38</f>
        <v>24</v>
      </c>
      <c r="I54" s="6" t="n">
        <f aca="false">Seg!I38</f>
        <v>28.5</v>
      </c>
      <c r="J54" s="6" t="n">
        <f aca="false">Seg!J38</f>
        <v>31.5</v>
      </c>
      <c r="K54" s="6" t="n">
        <f aca="false">Seg!K38</f>
        <v>34.5</v>
      </c>
    </row>
    <row r="55" customFormat="false" ht="15" hidden="false" customHeight="false" outlineLevel="0" collapsed="false">
      <c r="A55" s="0" t="s">
        <v>789</v>
      </c>
      <c r="B55" s="0" t="s">
        <v>95</v>
      </c>
      <c r="D55" s="6" t="n">
        <f aca="false">Seg!D42</f>
        <v>35.391</v>
      </c>
      <c r="E55" s="6" t="n">
        <f aca="false">Seg!E42</f>
        <v>37.285</v>
      </c>
      <c r="F55" s="6" t="n">
        <f aca="false">Seg!F42</f>
        <v>39.0720834331704</v>
      </c>
      <c r="G55" s="6" t="n">
        <f aca="false">Seg!G42</f>
        <v>40.726562953769</v>
      </c>
      <c r="H55" s="6" t="n">
        <f aca="false">Seg!H42</f>
        <v>42.2235987259198</v>
      </c>
      <c r="I55" s="6" t="n">
        <f aca="false">Seg!I42</f>
        <v>43.5397988077414</v>
      </c>
      <c r="J55" s="6" t="n">
        <f aca="false">Seg!J42</f>
        <v>44.653811225693</v>
      </c>
      <c r="K55" s="6" t="n">
        <f aca="false">Seg!K42</f>
        <v>45.5468874502068</v>
      </c>
    </row>
    <row r="56" customFormat="false" ht="15" hidden="false" customHeight="false" outlineLevel="0" collapsed="false">
      <c r="A56" s="0" t="s">
        <v>790</v>
      </c>
      <c r="B56" s="0" t="s">
        <v>95</v>
      </c>
      <c r="D56" s="6" t="n">
        <f aca="false">Seg!D44</f>
        <v>18.417</v>
      </c>
      <c r="E56" s="6" t="n">
        <f aca="false">Seg!E44</f>
        <v>20.345</v>
      </c>
      <c r="F56" s="6" t="n">
        <f aca="false">Seg!F44</f>
        <v>22.3572203267814</v>
      </c>
      <c r="G56" s="6" t="n">
        <f aca="false">Seg!G44</f>
        <v>24.4392124437232</v>
      </c>
      <c r="H56" s="6" t="n">
        <f aca="false">Seg!H44</f>
        <v>26.5738052080665</v>
      </c>
      <c r="I56" s="6" t="n">
        <f aca="false">Seg!I44</f>
        <v>28.7412169166967</v>
      </c>
      <c r="J56" s="6" t="n">
        <f aca="false">Seg!J44</f>
        <v>30.9192545395413</v>
      </c>
      <c r="K56" s="6" t="n">
        <f aca="false">Seg!K44</f>
        <v>33.0836023573092</v>
      </c>
    </row>
    <row r="57" customFormat="false" ht="15" hidden="false" customHeight="false" outlineLevel="0" collapsed="false">
      <c r="A57" s="0" t="s">
        <v>791</v>
      </c>
      <c r="B57" s="0" t="s">
        <v>95</v>
      </c>
      <c r="D57" s="6" t="n">
        <f aca="false">Seg!D46</f>
        <v>7.76</v>
      </c>
      <c r="E57" s="6" t="n">
        <f aca="false">Seg!E46</f>
        <v>8.26</v>
      </c>
      <c r="F57" s="6" t="n">
        <f aca="false">Seg!F46</f>
        <v>8.79988041237113</v>
      </c>
      <c r="G57" s="6" t="n">
        <f aca="false">Seg!G46</f>
        <v>9.38321269125306</v>
      </c>
      <c r="H57" s="6" t="n">
        <f aca="false">Seg!H46</f>
        <v>10.0139193587476</v>
      </c>
      <c r="I57" s="6" t="n">
        <f aca="false">Seg!I46</f>
        <v>10.6963111830911</v>
      </c>
      <c r="J57" s="6" t="n">
        <f aca="false">Seg!J46</f>
        <v>11.4351285534696</v>
      </c>
      <c r="K57" s="6" t="n">
        <f aca="false">Seg!K46</f>
        <v>12.2355875522124</v>
      </c>
    </row>
    <row r="58" customFormat="false" ht="15" hidden="false" customHeight="false" outlineLevel="0" collapsed="false">
      <c r="A58" s="0" t="s">
        <v>626</v>
      </c>
      <c r="B58" s="0" t="s">
        <v>95</v>
      </c>
      <c r="D58" s="6" t="n">
        <f aca="false">Seg!D48</f>
        <v>218.783</v>
      </c>
      <c r="E58" s="6" t="n">
        <f aca="false">Seg!E48</f>
        <v>268.127</v>
      </c>
      <c r="F58" s="6" t="n">
        <f aca="false">Seg!F48</f>
        <v>334.265528251508</v>
      </c>
      <c r="G58" s="6" t="n">
        <f aca="false">Seg!G48</f>
        <v>408.072123059793</v>
      </c>
      <c r="H58" s="6" t="n">
        <f aca="false">Seg!H48</f>
        <v>483.196296004025</v>
      </c>
      <c r="I58" s="6" t="n">
        <f aca="false">Seg!I48</f>
        <v>556.129573436949</v>
      </c>
      <c r="J58" s="6" t="n">
        <f aca="false">Seg!J48</f>
        <v>625.478790083482</v>
      </c>
      <c r="K58" s="6" t="n">
        <f aca="false">Seg!K48</f>
        <v>691.348349922667</v>
      </c>
    </row>
    <row r="59" customFormat="false" ht="15" hidden="false" customHeight="false" outlineLevel="0" collapsed="false">
      <c r="A59" s="0" t="s">
        <v>792</v>
      </c>
      <c r="B59" s="0" t="s">
        <v>95</v>
      </c>
      <c r="D59" s="6" t="n">
        <f aca="false">Seg!D49</f>
        <v>22.171</v>
      </c>
      <c r="E59" s="6" t="n">
        <f aca="false">Seg!E49</f>
        <v>24.835</v>
      </c>
      <c r="F59" s="6" t="n">
        <f aca="false">Seg!F49</f>
        <v>27.6114901218559</v>
      </c>
      <c r="G59" s="6" t="n">
        <f aca="false">Seg!G49</f>
        <v>30.4675667338515</v>
      </c>
      <c r="H59" s="6" t="n">
        <f aca="false">Seg!H49</f>
        <v>33.3643766955789</v>
      </c>
      <c r="I59" s="6" t="n">
        <f aca="false">Seg!I49</f>
        <v>36.2577016533691</v>
      </c>
      <c r="J59" s="6" t="n">
        <f aca="false">Seg!J49</f>
        <v>39.0988367952171</v>
      </c>
      <c r="K59" s="6" t="n">
        <f aca="false">Seg!K49</f>
        <v>41.8357553708823</v>
      </c>
    </row>
    <row r="60" customFormat="false" ht="15" hidden="false" customHeight="false" outlineLevel="0" collapsed="false">
      <c r="A60" s="0" t="s">
        <v>793</v>
      </c>
      <c r="B60" s="0" t="s">
        <v>95</v>
      </c>
      <c r="D60" s="6" t="n">
        <f aca="false">Seg!D51</f>
        <v>23.455</v>
      </c>
      <c r="E60" s="6" t="n">
        <f aca="false">Seg!E51</f>
        <v>21.79</v>
      </c>
      <c r="F60" s="6" t="n">
        <f aca="false">Seg!F51</f>
        <v>20.5736277908051</v>
      </c>
      <c r="G60" s="6" t="n">
        <f aca="false">Seg!G51</f>
        <v>19.7371452817919</v>
      </c>
      <c r="H60" s="6" t="n">
        <f aca="false">Seg!H51</f>
        <v>19.2339764043138</v>
      </c>
      <c r="I60" s="6" t="n">
        <f aca="false">Seg!I51</f>
        <v>19.0353086852681</v>
      </c>
      <c r="J60" s="6" t="n">
        <f aca="false">Seg!J51</f>
        <v>19.1273539319129</v>
      </c>
      <c r="K60" s="6" t="n">
        <f aca="false">Seg!K51</f>
        <v>19.5099010105511</v>
      </c>
    </row>
    <row r="61" customFormat="false" ht="15" hidden="false" customHeight="false" outlineLevel="0" collapsed="false">
      <c r="A61" s="0" t="s">
        <v>794</v>
      </c>
      <c r="B61" s="0" t="s">
        <v>95</v>
      </c>
      <c r="D61" s="6" t="n">
        <f aca="false">Seg!D53</f>
        <v>17.315</v>
      </c>
      <c r="E61" s="6" t="n">
        <f aca="false">Seg!E53</f>
        <v>17.087</v>
      </c>
      <c r="F61" s="6" t="n">
        <f aca="false">Seg!F53</f>
        <v>16.9564585436519</v>
      </c>
      <c r="G61" s="6" t="n">
        <f aca="false">Seg!G53</f>
        <v>16.9206490624268</v>
      </c>
      <c r="H61" s="6" t="n">
        <f aca="false">Seg!H53</f>
        <v>16.9784519149849</v>
      </c>
      <c r="I61" s="6" t="n">
        <f aca="false">Seg!I53</f>
        <v>17.1303084701817</v>
      </c>
      <c r="J61" s="6" t="n">
        <f aca="false">Seg!J53</f>
        <v>17.3782189407267</v>
      </c>
      <c r="K61" s="6" t="n">
        <f aca="false">Seg!K53</f>
        <v>17.7257833195413</v>
      </c>
    </row>
    <row r="62" customFormat="false" ht="15" hidden="false" customHeight="false" outlineLevel="0" collapsed="false">
      <c r="A62" s="0" t="s">
        <v>640</v>
      </c>
      <c r="B62" s="0" t="s">
        <v>95</v>
      </c>
      <c r="D62" s="6" t="n">
        <f aca="false">Seg!D55</f>
        <v>62.941</v>
      </c>
      <c r="E62" s="6" t="n">
        <f aca="false">Seg!E55</f>
        <v>63.712</v>
      </c>
      <c r="F62" s="6" t="n">
        <f aca="false">Seg!F55</f>
        <v>65.1415764563129</v>
      </c>
      <c r="G62" s="6" t="n">
        <f aca="false">Seg!G55</f>
        <v>67.1253610780702</v>
      </c>
      <c r="H62" s="6" t="n">
        <f aca="false">Seg!H55</f>
        <v>69.5768050148776</v>
      </c>
      <c r="I62" s="6" t="n">
        <f aca="false">Seg!I55</f>
        <v>72.4233188088189</v>
      </c>
      <c r="J62" s="6" t="n">
        <f aca="false">Seg!J55</f>
        <v>75.6044096678567</v>
      </c>
      <c r="K62" s="6" t="n">
        <f aca="false">Seg!K55</f>
        <v>79.0714397009747</v>
      </c>
    </row>
    <row r="63" customFormat="false" ht="15" hidden="false" customHeight="false" outlineLevel="0" collapsed="false">
      <c r="A63" s="1" t="s">
        <v>810</v>
      </c>
      <c r="B63" s="0" t="s">
        <v>95</v>
      </c>
      <c r="D63" s="6" t="n">
        <f aca="false">Seg!D56</f>
        <v>281.724</v>
      </c>
      <c r="E63" s="6" t="n">
        <f aca="false">Seg!E56</f>
        <v>331.839</v>
      </c>
      <c r="F63" s="6" t="n">
        <f aca="false">Seg!F56</f>
        <v>399.407104707821</v>
      </c>
      <c r="G63" s="6" t="n">
        <f aca="false">Seg!G56</f>
        <v>475.197484137863</v>
      </c>
      <c r="H63" s="6" t="n">
        <f aca="false">Seg!H56</f>
        <v>552.773101018903</v>
      </c>
      <c r="I63" s="6" t="n">
        <f aca="false">Seg!I56</f>
        <v>628.552892245768</v>
      </c>
      <c r="J63" s="6" t="n">
        <f aca="false">Seg!J56</f>
        <v>701.083199751338</v>
      </c>
      <c r="K63" s="6" t="n">
        <f aca="false">Seg!K56</f>
        <v>770.419789623641</v>
      </c>
    </row>
    <row r="64" customFormat="false" ht="15" hidden="false" customHeight="false" outlineLevel="0" collapsed="false">
      <c r="A64" s="1" t="s">
        <v>811</v>
      </c>
      <c r="B64" s="0" t="s">
        <v>126</v>
      </c>
      <c r="E64" s="7" t="n">
        <f aca="false">PL!E63/PL!D63-1</f>
        <v>0.177886867998467</v>
      </c>
      <c r="F64" s="7" t="n">
        <f aca="false">PL!F63/PL!E63-1</f>
        <v>0.203617129715978</v>
      </c>
      <c r="G64" s="7" t="n">
        <f aca="false">PL!G63/PL!F63-1</f>
        <v>0.189757213972159</v>
      </c>
      <c r="H64" s="7" t="n">
        <f aca="false">PL!H63/PL!G63-1</f>
        <v>0.163249216316418</v>
      </c>
      <c r="I64" s="7" t="n">
        <f aca="false">PL!I63/PL!H63-1</f>
        <v>0.137090229403682</v>
      </c>
      <c r="J64" s="7" t="n">
        <f aca="false">PL!J63/PL!I63-1</f>
        <v>0.11539252845759</v>
      </c>
      <c r="K64" s="7" t="n">
        <f aca="false">PL!K63/PL!J63-1</f>
        <v>0.098899231784324</v>
      </c>
    </row>
    <row r="65" customFormat="false" ht="17.15" hidden="false" customHeight="false" outlineLevel="0" collapsed="false">
      <c r="A65" s="22" t="s">
        <v>812</v>
      </c>
      <c r="B65" s="28" t="s">
        <v>95</v>
      </c>
      <c r="C65" s="28"/>
      <c r="D65" s="23" t="n">
        <f aca="false">(PL!D58+PL!D62-PL!D63)+(PL!D50+PL!D51-PL!D49)+(PL!D53+PL!D54-PL!D52)+(PL!D63-Q!L18)</f>
        <v>0</v>
      </c>
      <c r="E65" s="23" t="n">
        <f aca="false">(PL!E58+PL!E62-PL!E63)+(PL!E50+PL!E51-PL!E49)+(PL!E53+PL!E54-PL!E52)+(PL!E63-Q!M18)</f>
        <v>0</v>
      </c>
      <c r="F65" s="23" t="n">
        <f aca="false">(PL!F58+PL!F62-PL!F63)+(PL!F50+PL!F51-PL!F49)+(PL!F53+PL!F54-PL!F52)</f>
        <v>0</v>
      </c>
      <c r="G65" s="23" t="n">
        <f aca="false">(PL!G58+PL!G62-PL!G63)+(PL!G50+PL!G51-PL!G49)+(PL!G53+PL!G54-PL!G52)</f>
        <v>0</v>
      </c>
      <c r="H65" s="23" t="n">
        <f aca="false">(PL!H58+PL!H62-PL!H63)+(PL!H50+PL!H51-PL!H49)+(PL!H53+PL!H54-PL!H52)</f>
        <v>0</v>
      </c>
      <c r="I65" s="23" t="n">
        <f aca="false">(PL!I58+PL!I62-PL!I63)+(PL!I50+PL!I51-PL!I49)+(PL!I53+PL!I54-PL!I52)</f>
        <v>0</v>
      </c>
      <c r="J65" s="23" t="n">
        <f aca="false">(PL!J58+PL!J62-PL!J63)+(PL!J50+PL!J51-PL!J49)+(PL!J53+PL!J54-PL!J52)</f>
        <v>0</v>
      </c>
      <c r="K65" s="23" t="n">
        <f aca="false">(PL!K58+PL!K62-PL!K63)+(PL!K50+PL!K51-PL!K49)+(PL!K53+PL!K54-PL!K52)</f>
        <v>0</v>
      </c>
    </row>
    <row r="66" customFormat="false" ht="17.15" hidden="false" customHeight="false" outlineLevel="0" collapsed="false">
      <c r="A66" s="0" t="s">
        <v>813</v>
      </c>
      <c r="B66" s="0" t="s">
        <v>126</v>
      </c>
      <c r="E66" s="7" t="n">
        <f aca="false">(Q!M21+Thesis!E66+Thesis!E67+Thesis!E68+Thesis!E81-Thesis!E64)/(Q!M5-Thesis!E64)</f>
        <v>0.570957350878296</v>
      </c>
      <c r="F66" s="7" t="n">
        <f aca="false">PL!$E$66+dm_seg</f>
        <v>0.570957350878296</v>
      </c>
      <c r="G66" s="7" t="n">
        <f aca="false">PL!$E$66+dm_seg</f>
        <v>0.570957350878296</v>
      </c>
      <c r="H66" s="7" t="n">
        <f aca="false">PL!$E$66+dm_seg</f>
        <v>0.570957350878296</v>
      </c>
      <c r="I66" s="7" t="n">
        <f aca="false">PL!$E$66+dm_seg</f>
        <v>0.570957350878296</v>
      </c>
      <c r="J66" s="7" t="n">
        <f aca="false">PL!$E$66+dm_seg</f>
        <v>0.570957350878296</v>
      </c>
      <c r="K66" s="7" t="n">
        <f aca="false">PL!$E$66+dm_seg</f>
        <v>0.570957350878296</v>
      </c>
      <c r="L66" s="11" t="s">
        <v>814</v>
      </c>
    </row>
    <row r="67" customFormat="false" ht="17.15" hidden="false" customHeight="false" outlineLevel="0" collapsed="false">
      <c r="A67" s="0" t="s">
        <v>654</v>
      </c>
      <c r="B67" s="0" t="s">
        <v>95</v>
      </c>
      <c r="D67" s="6" t="n">
        <f aca="false">Q!L21</f>
        <v>110.814</v>
      </c>
      <c r="E67" s="6" t="n">
        <f aca="false">Q!M21</f>
        <v>136.365</v>
      </c>
      <c r="F67" s="6" t="n">
        <f aca="false">PL!F66*(Seg!F48-Thesis!F64)+Thesis!F64-(Thesis!F66+Thesis!F67+Thesis!F68)-Thesis!F81</f>
        <v>157.598135920446</v>
      </c>
      <c r="G67" s="6" t="n">
        <f aca="false">PL!G66*(Seg!G48-Thesis!G64)+Thesis!G64-(Thesis!G66+Thesis!G67+Thesis!G68)-Thesis!G81</f>
        <v>177.180724366646</v>
      </c>
      <c r="H67" s="6" t="n">
        <f aca="false">PL!H66*(Seg!H48-Thesis!H64)+Thesis!H64-(Thesis!H66+Thesis!H67+Thesis!H68)-Thesis!H81</f>
        <v>196.822554588626</v>
      </c>
      <c r="I67" s="6" t="n">
        <f aca="false">PL!I66*(Seg!I48-Thesis!I64)+Thesis!I64-(Thesis!I66+Thesis!I67+Thesis!I68)-Thesis!I81</f>
        <v>214.23365122017</v>
      </c>
      <c r="J67" s="6" t="n">
        <f aca="false">PL!J66*(Seg!J48-Thesis!J64)+Thesis!J64-(Thesis!J66+Thesis!J67+Thesis!J68)-Thesis!J81</f>
        <v>228.64679782946</v>
      </c>
      <c r="K67" s="6" t="n">
        <f aca="false">PL!K66*(Seg!K48-Thesis!K64)+Thesis!K64-(Thesis!K66+Thesis!K67+Thesis!K68)-Thesis!K81</f>
        <v>239.797793806539</v>
      </c>
      <c r="L67" s="1" t="s">
        <v>815</v>
      </c>
    </row>
    <row r="68" customFormat="false" ht="17.15" hidden="false" customHeight="false" outlineLevel="0" collapsed="false">
      <c r="A68" s="0" t="s">
        <v>816</v>
      </c>
      <c r="B68" s="0" t="s">
        <v>126</v>
      </c>
      <c r="E68" s="7" t="n">
        <f aca="false">Q!M22/Q!M12</f>
        <v>0.296207935710698</v>
      </c>
      <c r="F68" s="7" t="n">
        <f aca="false">PL!$E$68+dm_seg</f>
        <v>0.296207935710698</v>
      </c>
      <c r="G68" s="7" t="n">
        <f aca="false">PL!$E$68+dm_seg</f>
        <v>0.296207935710698</v>
      </c>
      <c r="H68" s="7" t="n">
        <f aca="false">PL!$E$68+dm_seg</f>
        <v>0.296207935710698</v>
      </c>
      <c r="I68" s="7" t="n">
        <f aca="false">PL!$E$68+dm_seg</f>
        <v>0.296207935710698</v>
      </c>
      <c r="J68" s="7" t="n">
        <f aca="false">PL!$E$68+dm_seg</f>
        <v>0.296207935710698</v>
      </c>
      <c r="K68" s="7" t="n">
        <f aca="false">PL!$E$68+dm_seg</f>
        <v>0.296207935710698</v>
      </c>
      <c r="L68" s="11" t="s">
        <v>817</v>
      </c>
    </row>
    <row r="69" customFormat="false" ht="17.15" hidden="false" customHeight="false" outlineLevel="0" collapsed="false">
      <c r="A69" s="0" t="s">
        <v>656</v>
      </c>
      <c r="B69" s="0" t="s">
        <v>95</v>
      </c>
      <c r="D69" s="6" t="n">
        <f aca="false">Q!L22</f>
        <v>17.714</v>
      </c>
      <c r="E69" s="6" t="n">
        <f aca="false">Q!M22</f>
        <v>18.872</v>
      </c>
      <c r="F69" s="6" t="n">
        <f aca="false">Seg!F55*PL!F68</f>
        <v>19.2954518910651</v>
      </c>
      <c r="G69" s="6" t="n">
        <f aca="false">Seg!G55*PL!G68</f>
        <v>19.8830646387704</v>
      </c>
      <c r="H69" s="6" t="n">
        <f aca="false">Seg!H55*PL!H68</f>
        <v>20.6092017868026</v>
      </c>
      <c r="I69" s="6" t="n">
        <f aca="false">Seg!I55*PL!I68</f>
        <v>21.452361761678</v>
      </c>
      <c r="J69" s="6" t="n">
        <f aca="false">Seg!J55*PL!J68</f>
        <v>22.3946261183418</v>
      </c>
      <c r="K69" s="6" t="n">
        <f aca="false">Seg!K55*PL!K68</f>
        <v>23.4215879274986</v>
      </c>
    </row>
    <row r="70" customFormat="false" ht="15" hidden="false" customHeight="false" outlineLevel="0" collapsed="false">
      <c r="A70" s="1" t="s">
        <v>818</v>
      </c>
      <c r="B70" s="0" t="s">
        <v>95</v>
      </c>
      <c r="D70" s="6" t="n">
        <f aca="false">PL!D67+PL!D69</f>
        <v>128.528</v>
      </c>
      <c r="E70" s="6" t="n">
        <f aca="false">PL!E67+PL!E69</f>
        <v>155.237</v>
      </c>
      <c r="F70" s="6" t="n">
        <f aca="false">PL!F67+PL!F69</f>
        <v>176.893587811511</v>
      </c>
      <c r="G70" s="6" t="n">
        <f aca="false">PL!G67+PL!G69</f>
        <v>197.063789005417</v>
      </c>
      <c r="H70" s="6" t="n">
        <f aca="false">PL!H67+PL!H69</f>
        <v>217.431756375428</v>
      </c>
      <c r="I70" s="6" t="n">
        <f aca="false">PL!I67+PL!I69</f>
        <v>235.686012981848</v>
      </c>
      <c r="J70" s="6" t="n">
        <f aca="false">PL!J67+PL!J69</f>
        <v>251.041423947801</v>
      </c>
      <c r="K70" s="6" t="n">
        <f aca="false">PL!K67+PL!K69</f>
        <v>263.219381734038</v>
      </c>
    </row>
    <row r="71" customFormat="false" ht="15" hidden="false" customHeight="false" outlineLevel="0" collapsed="false">
      <c r="A71" s="22" t="s">
        <v>819</v>
      </c>
      <c r="B71" s="28" t="s">
        <v>95</v>
      </c>
      <c r="C71" s="28"/>
      <c r="D71" s="23" t="n">
        <f aca="false">PL!D70-Q!L23</f>
        <v>0</v>
      </c>
      <c r="E71" s="23" t="n">
        <f aca="false">PL!E70-Q!M23</f>
        <v>0</v>
      </c>
      <c r="F71" s="28"/>
      <c r="G71" s="28"/>
      <c r="H71" s="28"/>
      <c r="I71" s="28"/>
      <c r="J71" s="28"/>
      <c r="K71" s="28"/>
    </row>
    <row r="72" customFormat="false" ht="15" hidden="false" customHeight="false" outlineLevel="0" collapsed="false">
      <c r="A72" s="1" t="s">
        <v>820</v>
      </c>
      <c r="B72" s="0" t="s">
        <v>126</v>
      </c>
      <c r="D72" s="7" t="n">
        <f aca="false">PL!D70/PL!D63</f>
        <v>0.456219562408598</v>
      </c>
      <c r="E72" s="7" t="n">
        <f aca="false">PL!E70/PL!E63</f>
        <v>0.467808184089272</v>
      </c>
      <c r="F72" s="7" t="n">
        <f aca="false">PL!F70/PL!F63</f>
        <v>0.442890438668873</v>
      </c>
      <c r="G72" s="7" t="n">
        <f aca="false">PL!G70/PL!G63</f>
        <v>0.414698721233644</v>
      </c>
      <c r="H72" s="7" t="n">
        <f aca="false">PL!H70/PL!H63</f>
        <v>0.393347208781769</v>
      </c>
      <c r="I72" s="7" t="n">
        <f aca="false">PL!I70/PL!I63</f>
        <v>0.374966078255978</v>
      </c>
      <c r="J72" s="7" t="n">
        <f aca="false">PL!J70/PL!J63</f>
        <v>0.35807650794776</v>
      </c>
      <c r="K72" s="7" t="n">
        <f aca="false">PL!K70/PL!K63</f>
        <v>0.341657087836001</v>
      </c>
    </row>
    <row r="73" customFormat="false" ht="17.15" hidden="false" customHeight="false" outlineLevel="0" collapsed="false">
      <c r="A73" s="1" t="s">
        <v>821</v>
      </c>
      <c r="B73" s="0" t="s">
        <v>95</v>
      </c>
      <c r="E73" s="6" t="n">
        <f aca="false">Thesis!E81</f>
        <v>16.3054059770833</v>
      </c>
      <c r="F73" s="6" t="n">
        <f aca="false">Thesis!F81</f>
        <v>34.7405354558698</v>
      </c>
      <c r="G73" s="6" t="n">
        <f aca="false">Thesis!G81</f>
        <v>60.5067332603396</v>
      </c>
      <c r="H73" s="6" t="n">
        <f aca="false">Thesis!H81</f>
        <v>87.7423159931396</v>
      </c>
      <c r="I73" s="6" t="n">
        <f aca="false">Thesis!I81</f>
        <v>115.997181741123</v>
      </c>
      <c r="J73" s="6" t="n">
        <f aca="false">Thesis!J81</f>
        <v>145.224277958273</v>
      </c>
      <c r="K73" s="6" t="n">
        <f aca="false">Thesis!K81</f>
        <v>175.73892263459</v>
      </c>
    </row>
    <row r="74" customFormat="false" ht="17.15" hidden="false" customHeight="false" outlineLevel="0" collapsed="false">
      <c r="A74" s="1" t="s">
        <v>822</v>
      </c>
      <c r="B74" s="0" t="s">
        <v>95</v>
      </c>
      <c r="E74" s="6" t="n">
        <f aca="false">CF!E45</f>
        <v>22.2285940229167</v>
      </c>
      <c r="F74" s="6" t="n">
        <f aca="false">CF!F45</f>
        <v>23.5636693435813</v>
      </c>
      <c r="G74" s="6" t="n">
        <f aca="false">CF!G45</f>
        <v>25.3225917662621</v>
      </c>
      <c r="H74" s="6" t="n">
        <f aca="false">CF!H45</f>
        <v>27.4714839540448</v>
      </c>
      <c r="I74" s="6" t="n">
        <f aca="false">CF!I45</f>
        <v>29.9441755898047</v>
      </c>
      <c r="J74" s="6" t="n">
        <f aca="false">CF!J45</f>
        <v>32.6578493558616</v>
      </c>
      <c r="K74" s="6" t="n">
        <f aca="false">CF!K45</f>
        <v>35.5289346944749</v>
      </c>
    </row>
    <row r="75" customFormat="false" ht="17.15" hidden="false" customHeight="false" outlineLevel="0" collapsed="false">
      <c r="A75" s="1" t="s">
        <v>823</v>
      </c>
      <c r="B75" s="0" t="s">
        <v>95</v>
      </c>
      <c r="D75" s="6" t="n">
        <f aca="false">Q!L27</f>
        <v>-4.901</v>
      </c>
      <c r="E75" s="6" t="n">
        <f aca="false">Q!M27</f>
        <v>10.697</v>
      </c>
      <c r="F75" s="6" t="n">
        <f aca="false">oie_f</f>
        <v>-0.4</v>
      </c>
      <c r="G75" s="6" t="n">
        <f aca="false">oie_f</f>
        <v>-0.4</v>
      </c>
      <c r="H75" s="6" t="n">
        <f aca="false">oie_f</f>
        <v>-0.4</v>
      </c>
      <c r="I75" s="6" t="n">
        <f aca="false">oie_f</f>
        <v>-0.4</v>
      </c>
      <c r="J75" s="6" t="n">
        <f aca="false">oie_f</f>
        <v>-0.4</v>
      </c>
      <c r="K75" s="6" t="n">
        <f aca="false">oie_f</f>
        <v>-0.4</v>
      </c>
      <c r="L75" s="11" t="s">
        <v>824</v>
      </c>
    </row>
    <row r="76" customFormat="false" ht="15" hidden="false" customHeight="false" outlineLevel="0" collapsed="false">
      <c r="A76" s="1" t="s">
        <v>666</v>
      </c>
      <c r="B76" s="0" t="s">
        <v>95</v>
      </c>
      <c r="D76" s="6" t="n">
        <f aca="false">PL!D70+PL!D75</f>
        <v>123.627</v>
      </c>
      <c r="E76" s="6" t="n">
        <f aca="false">PL!E70+PL!E75</f>
        <v>165.934</v>
      </c>
      <c r="F76" s="6" t="n">
        <f aca="false">PL!F70+PL!F75</f>
        <v>176.493587811511</v>
      </c>
      <c r="G76" s="6" t="n">
        <f aca="false">PL!G70+PL!G75</f>
        <v>196.663789005417</v>
      </c>
      <c r="H76" s="6" t="n">
        <f aca="false">PL!H70+PL!H75</f>
        <v>217.031756375428</v>
      </c>
      <c r="I76" s="6" t="n">
        <f aca="false">PL!I70+PL!I75</f>
        <v>235.286012981848</v>
      </c>
      <c r="J76" s="6" t="n">
        <f aca="false">PL!J70+PL!J75</f>
        <v>250.641423947801</v>
      </c>
      <c r="K76" s="6" t="n">
        <f aca="false">PL!K70+PL!K75</f>
        <v>262.819381734038</v>
      </c>
    </row>
    <row r="77" customFormat="false" ht="15" hidden="false" customHeight="false" outlineLevel="0" collapsed="false">
      <c r="A77" s="1" t="s">
        <v>668</v>
      </c>
      <c r="B77" s="0" t="s">
        <v>95</v>
      </c>
      <c r="D77" s="6" t="n">
        <f aca="false">Q!L29</f>
        <v>21.795</v>
      </c>
      <c r="E77" s="6" t="n">
        <f aca="false">Q!M29</f>
        <v>32.185</v>
      </c>
      <c r="F77" s="6" t="n">
        <f aca="false">PL!F76*tax_f</f>
        <v>35.2987175623022</v>
      </c>
      <c r="G77" s="6" t="n">
        <f aca="false">PL!G76*tax_f</f>
        <v>39.3327578010833</v>
      </c>
      <c r="H77" s="6" t="n">
        <f aca="false">PL!H76*tax_f</f>
        <v>43.4063512750857</v>
      </c>
      <c r="I77" s="6" t="n">
        <f aca="false">PL!I76*tax_f</f>
        <v>47.0572025963696</v>
      </c>
      <c r="J77" s="6" t="n">
        <f aca="false">PL!J76*tax_f</f>
        <v>50.1282847895603</v>
      </c>
      <c r="K77" s="6" t="n">
        <f aca="false">PL!K76*tax_f</f>
        <v>52.5638763468075</v>
      </c>
    </row>
    <row r="78" customFormat="false" ht="15" hidden="false" customHeight="false" outlineLevel="0" collapsed="false">
      <c r="A78" s="1" t="s">
        <v>825</v>
      </c>
      <c r="B78" s="0" t="s">
        <v>95</v>
      </c>
      <c r="D78" s="6" t="n">
        <f aca="false">PL!D76-PL!D77</f>
        <v>101.832</v>
      </c>
      <c r="E78" s="6" t="n">
        <f aca="false">PL!E76-PL!E77</f>
        <v>133.749</v>
      </c>
      <c r="F78" s="6" t="n">
        <f aca="false">PL!F76-PL!F77</f>
        <v>141.194870249209</v>
      </c>
      <c r="G78" s="6" t="n">
        <f aca="false">PL!G76-PL!G77</f>
        <v>157.331031204333</v>
      </c>
      <c r="H78" s="6" t="n">
        <f aca="false">PL!H76-PL!H77</f>
        <v>173.625405100343</v>
      </c>
      <c r="I78" s="6" t="n">
        <f aca="false">PL!I76-PL!I77</f>
        <v>188.228810385478</v>
      </c>
      <c r="J78" s="6" t="n">
        <f aca="false">PL!J76-PL!J77</f>
        <v>200.513139158241</v>
      </c>
      <c r="K78" s="6" t="n">
        <f aca="false">PL!K76-PL!K77</f>
        <v>210.25550538723</v>
      </c>
    </row>
    <row r="79" customFormat="false" ht="17.15" hidden="false" customHeight="false" outlineLevel="0" collapsed="false">
      <c r="A79" s="1" t="s">
        <v>826</v>
      </c>
      <c r="B79" s="1" t="s">
        <v>79</v>
      </c>
      <c r="D79" s="18" t="n">
        <f aca="false">Q!L31</f>
        <v>7.465</v>
      </c>
      <c r="E79" s="18" t="n">
        <f aca="false">Q!M31</f>
        <v>7.453</v>
      </c>
      <c r="F79" s="18" t="n">
        <f aca="false">CF!F67</f>
        <v>7.4735</v>
      </c>
      <c r="G79" s="18" t="n">
        <f aca="false">CF!G67</f>
        <v>7.51795969944731</v>
      </c>
      <c r="H79" s="18" t="n">
        <f aca="false">CF!H67</f>
        <v>7.54517098474457</v>
      </c>
      <c r="I79" s="18" t="n">
        <f aca="false">CF!I67</f>
        <v>7.55695181675188</v>
      </c>
      <c r="J79" s="18" t="n">
        <f aca="false">CF!J67</f>
        <v>7.57119332786977</v>
      </c>
      <c r="K79" s="18" t="n">
        <f aca="false">CF!K67</f>
        <v>7.58771324557151</v>
      </c>
    </row>
    <row r="80" customFormat="false" ht="17.15" hidden="false" customHeight="false" outlineLevel="0" collapsed="false">
      <c r="A80" s="0" t="s">
        <v>827</v>
      </c>
      <c r="B80" s="0" t="s">
        <v>73</v>
      </c>
      <c r="D80" s="8" t="n">
        <f aca="false">PL!D78/PL!D79</f>
        <v>13.641259209645</v>
      </c>
      <c r="E80" s="8" t="n">
        <f aca="false">PL!E78/PL!E79</f>
        <v>17.9456594659869</v>
      </c>
      <c r="F80" s="8" t="n">
        <f aca="false">PL!F78/PL!F79</f>
        <v>18.8927370374267</v>
      </c>
      <c r="G80" s="8" t="n">
        <f aca="false">PL!G78/PL!G79</f>
        <v>20.9273576201665</v>
      </c>
      <c r="H80" s="8" t="n">
        <f aca="false">PL!H78/PL!H79</f>
        <v>23.0114606350727</v>
      </c>
      <c r="I80" s="8" t="n">
        <f aca="false">PL!I78/PL!I79</f>
        <v>24.9080336820756</v>
      </c>
      <c r="J80" s="8" t="n">
        <f aca="false">PL!J78/PL!J79</f>
        <v>26.4836902817085</v>
      </c>
      <c r="K80" s="8" t="n">
        <f aca="false">PL!K78/PL!K79</f>
        <v>27.7099962244809</v>
      </c>
      <c r="L80" s="1" t="s">
        <v>828</v>
      </c>
    </row>
    <row r="81" customFormat="false" ht="17.15" hidden="false" customHeight="false" outlineLevel="0" collapsed="false">
      <c r="A81" s="0" t="s">
        <v>829</v>
      </c>
      <c r="B81" s="0" t="s">
        <v>126</v>
      </c>
      <c r="E81" s="7" t="n">
        <f aca="false">PL!E80/PL!D80-1</f>
        <v>0.315542736208578</v>
      </c>
      <c r="F81" s="7" t="n">
        <f aca="false">PL!F80/PL!E80-1</f>
        <v>0.0527747432873629</v>
      </c>
      <c r="G81" s="7" t="n">
        <f aca="false">PL!G80/PL!F80-1</f>
        <v>0.107693267455591</v>
      </c>
      <c r="H81" s="7" t="n">
        <f aca="false">PL!H80/PL!G80-1</f>
        <v>0.0995874898653189</v>
      </c>
      <c r="I81" s="7" t="n">
        <f aca="false">PL!I80/PL!H80-1</f>
        <v>0.0824186294420717</v>
      </c>
      <c r="J81" s="7" t="n">
        <f aca="false">PL!J80/PL!I80-1</f>
        <v>0.0632589717737055</v>
      </c>
      <c r="K81" s="7" t="n">
        <f aca="false">PL!K80/PL!J80-1</f>
        <v>0.0463041943825819</v>
      </c>
    </row>
    <row r="82" customFormat="false" ht="17.15" hidden="false" customHeight="false" outlineLevel="0" collapsed="false">
      <c r="A82" s="3" t="s">
        <v>831</v>
      </c>
    </row>
    <row r="83" customFormat="false" ht="15" hidden="false" customHeight="false" outlineLevel="0" collapsed="false">
      <c r="A83" s="4" t="s">
        <v>43</v>
      </c>
      <c r="B83" s="4" t="s">
        <v>63</v>
      </c>
      <c r="C83" s="19" t="s">
        <v>710</v>
      </c>
      <c r="D83" s="19" t="s">
        <v>711</v>
      </c>
      <c r="E83" s="19" t="s">
        <v>712</v>
      </c>
      <c r="F83" s="19" t="s">
        <v>713</v>
      </c>
      <c r="G83" s="19" t="s">
        <v>714</v>
      </c>
      <c r="H83" s="19" t="s">
        <v>715</v>
      </c>
      <c r="I83" s="19" t="s">
        <v>716</v>
      </c>
      <c r="J83" s="19" t="s">
        <v>717</v>
      </c>
      <c r="K83" s="19" t="s">
        <v>718</v>
      </c>
      <c r="L83" s="4" t="s">
        <v>47</v>
      </c>
    </row>
    <row r="84" customFormat="false" ht="15" hidden="false" customHeight="false" outlineLevel="0" collapsed="false">
      <c r="A84" s="0" t="s">
        <v>783</v>
      </c>
      <c r="B84" s="0" t="s">
        <v>95</v>
      </c>
      <c r="D84" s="6" t="n">
        <f aca="false">Seg!D63</f>
        <v>72.61</v>
      </c>
      <c r="E84" s="6" t="n">
        <f aca="false">Seg!E63</f>
        <v>101.938</v>
      </c>
      <c r="F84" s="6" t="n">
        <f aca="false">Seg!F63</f>
        <v>140.741861125673</v>
      </c>
      <c r="G84" s="6" t="n">
        <f aca="false">Seg!G63</f>
        <v>182.176709135845</v>
      </c>
      <c r="H84" s="6" t="n">
        <f aca="false">Seg!H63</f>
        <v>219.167638189678</v>
      </c>
      <c r="I84" s="6" t="n">
        <f aca="false">Seg!I63</f>
        <v>262.852370248498</v>
      </c>
      <c r="J84" s="6" t="n">
        <f aca="false">Seg!J63</f>
        <v>305.025635987223</v>
      </c>
      <c r="K84" s="6" t="n">
        <f aca="false">Seg!K63</f>
        <v>344.633534638493</v>
      </c>
    </row>
    <row r="85" customFormat="false" ht="17.15" hidden="false" customHeight="false" outlineLevel="0" collapsed="false">
      <c r="A85" s="0" t="s">
        <v>780</v>
      </c>
      <c r="B85" s="0" t="s">
        <v>95</v>
      </c>
      <c r="D85" s="6" t="n">
        <f aca="false">Seg!D60</f>
        <v>12.9359794422418</v>
      </c>
      <c r="E85" s="6" t="n">
        <f aca="false">Seg!E60</f>
        <v>27.8095064661409</v>
      </c>
      <c r="F85" s="6" t="n">
        <f aca="false">Seg!F60</f>
        <v>50.6619113883066</v>
      </c>
      <c r="G85" s="6" t="n">
        <f aca="false">Seg!G60</f>
        <v>75.1482839325348</v>
      </c>
      <c r="H85" s="6" t="n">
        <f aca="false">Seg!H60</f>
        <v>94.895655604042</v>
      </c>
      <c r="I85" s="6" t="n">
        <f aca="false">Seg!I60</f>
        <v>121.918667866643</v>
      </c>
      <c r="J85" s="6" t="n">
        <f aca="false">Seg!J60</f>
        <v>149.006768672892</v>
      </c>
      <c r="K85" s="6" t="n">
        <f aca="false">Seg!K60</f>
        <v>176.133157939015</v>
      </c>
    </row>
    <row r="86" customFormat="false" ht="17.15" hidden="false" customHeight="false" outlineLevel="0" collapsed="false">
      <c r="A86" s="0" t="s">
        <v>807</v>
      </c>
      <c r="B86" s="0" t="s">
        <v>95</v>
      </c>
      <c r="D86" s="6" t="n">
        <f aca="false">Seg!D61</f>
        <v>59.6740205577583</v>
      </c>
      <c r="E86" s="6" t="n">
        <f aca="false">Seg!E61</f>
        <v>74.1284935338591</v>
      </c>
      <c r="F86" s="6" t="n">
        <f aca="false">Seg!F61</f>
        <v>90.0799497373663</v>
      </c>
      <c r="G86" s="6" t="n">
        <f aca="false">Seg!G61</f>
        <v>107.02842520331</v>
      </c>
      <c r="H86" s="6" t="n">
        <f aca="false">Seg!H61</f>
        <v>124.271982585636</v>
      </c>
      <c r="I86" s="6" t="n">
        <f aca="false">Seg!I61</f>
        <v>140.933702381855</v>
      </c>
      <c r="J86" s="6" t="n">
        <f aca="false">Seg!J61</f>
        <v>156.018867314332</v>
      </c>
      <c r="K86" s="6" t="n">
        <f aca="false">Seg!K61</f>
        <v>168.500376699478</v>
      </c>
    </row>
    <row r="87" customFormat="false" ht="15" hidden="false" customHeight="false" outlineLevel="0" collapsed="false">
      <c r="A87" s="0" t="s">
        <v>788</v>
      </c>
      <c r="B87" s="0" t="s">
        <v>95</v>
      </c>
      <c r="D87" s="6" t="n">
        <f aca="false">Seg!D68</f>
        <v>84.605</v>
      </c>
      <c r="E87" s="6" t="n">
        <f aca="false">Seg!E68</f>
        <v>100.299</v>
      </c>
      <c r="F87" s="6" t="n">
        <f aca="false">Seg!F68</f>
        <v>117.39238776686</v>
      </c>
      <c r="G87" s="6" t="n">
        <f aca="false">Seg!G68</f>
        <v>132.544168448684</v>
      </c>
      <c r="H87" s="6" t="n">
        <f aca="false">Seg!H68</f>
        <v>147.777359388781</v>
      </c>
      <c r="I87" s="6" t="n">
        <f aca="false">Seg!I68</f>
        <v>162.084028071957</v>
      </c>
      <c r="J87" s="6" t="n">
        <f aca="false">Seg!J68</f>
        <v>175.182702785465</v>
      </c>
      <c r="K87" s="6" t="n">
        <f aca="false">Seg!K68</f>
        <v>187.527991980448</v>
      </c>
    </row>
    <row r="88" customFormat="false" ht="17.15" hidden="false" customHeight="false" outlineLevel="0" collapsed="false">
      <c r="A88" s="0" t="s">
        <v>808</v>
      </c>
      <c r="B88" s="0" t="s">
        <v>95</v>
      </c>
      <c r="D88" s="6" t="n">
        <f aca="false">Seg!D66</f>
        <v>83.705</v>
      </c>
      <c r="E88" s="6" t="n">
        <f aca="false">Seg!E66</f>
        <v>95.049</v>
      </c>
      <c r="F88" s="6" t="n">
        <f aca="false">Seg!F66</f>
        <v>106.89238776686</v>
      </c>
      <c r="G88" s="6" t="n">
        <f aca="false">Seg!G66</f>
        <v>119.044168448684</v>
      </c>
      <c r="H88" s="6" t="n">
        <f aca="false">Seg!H66</f>
        <v>131.277359388781</v>
      </c>
      <c r="I88" s="6" t="n">
        <f aca="false">Seg!I66</f>
        <v>143.334028071957</v>
      </c>
      <c r="J88" s="6" t="n">
        <f aca="false">Seg!J66</f>
        <v>154.932702785465</v>
      </c>
      <c r="K88" s="6" t="n">
        <f aca="false">Seg!K66</f>
        <v>165.777991980448</v>
      </c>
    </row>
    <row r="89" customFormat="false" ht="17.15" hidden="false" customHeight="false" outlineLevel="0" collapsed="false">
      <c r="A89" s="0" t="s">
        <v>809</v>
      </c>
      <c r="B89" s="0" t="s">
        <v>95</v>
      </c>
      <c r="D89" s="6" t="n">
        <f aca="false">Seg!D65</f>
        <v>0.9</v>
      </c>
      <c r="E89" s="6" t="n">
        <f aca="false">Seg!E65</f>
        <v>5.25</v>
      </c>
      <c r="F89" s="6" t="n">
        <f aca="false">Seg!F65</f>
        <v>10.5</v>
      </c>
      <c r="G89" s="6" t="n">
        <f aca="false">Seg!G65</f>
        <v>13.5</v>
      </c>
      <c r="H89" s="6" t="n">
        <f aca="false">Seg!H65</f>
        <v>16.5</v>
      </c>
      <c r="I89" s="6" t="n">
        <f aca="false">Seg!I65</f>
        <v>18.75</v>
      </c>
      <c r="J89" s="6" t="n">
        <f aca="false">Seg!J65</f>
        <v>20.25</v>
      </c>
      <c r="K89" s="6" t="n">
        <f aca="false">Seg!K65</f>
        <v>21.75</v>
      </c>
    </row>
    <row r="90" customFormat="false" ht="15" hidden="false" customHeight="false" outlineLevel="0" collapsed="false">
      <c r="A90" s="0" t="s">
        <v>789</v>
      </c>
      <c r="B90" s="0" t="s">
        <v>95</v>
      </c>
      <c r="D90" s="6" t="n">
        <f aca="false">Seg!D69</f>
        <v>35.391</v>
      </c>
      <c r="E90" s="6" t="n">
        <f aca="false">Seg!E69</f>
        <v>37.285</v>
      </c>
      <c r="F90" s="6" t="n">
        <f aca="false">Seg!F69</f>
        <v>39.0720834331704</v>
      </c>
      <c r="G90" s="6" t="n">
        <f aca="false">Seg!G69</f>
        <v>40.726562953769</v>
      </c>
      <c r="H90" s="6" t="n">
        <f aca="false">Seg!H69</f>
        <v>42.2235987259198</v>
      </c>
      <c r="I90" s="6" t="n">
        <f aca="false">Seg!I69</f>
        <v>43.5397988077414</v>
      </c>
      <c r="J90" s="6" t="n">
        <f aca="false">Seg!J69</f>
        <v>44.653811225693</v>
      </c>
      <c r="K90" s="6" t="n">
        <f aca="false">Seg!K69</f>
        <v>45.5468874502068</v>
      </c>
    </row>
    <row r="91" customFormat="false" ht="15" hidden="false" customHeight="false" outlineLevel="0" collapsed="false">
      <c r="A91" s="0" t="s">
        <v>790</v>
      </c>
      <c r="B91" s="0" t="s">
        <v>95</v>
      </c>
      <c r="D91" s="6" t="n">
        <f aca="false">Seg!D71</f>
        <v>18.417</v>
      </c>
      <c r="E91" s="6" t="n">
        <f aca="false">Seg!E71</f>
        <v>20.345</v>
      </c>
      <c r="F91" s="6" t="n">
        <f aca="false">Seg!F71</f>
        <v>22.3572203267814</v>
      </c>
      <c r="G91" s="6" t="n">
        <f aca="false">Seg!G71</f>
        <v>24.4392124437232</v>
      </c>
      <c r="H91" s="6" t="n">
        <f aca="false">Seg!H71</f>
        <v>26.5738052080665</v>
      </c>
      <c r="I91" s="6" t="n">
        <f aca="false">Seg!I71</f>
        <v>28.7412169166967</v>
      </c>
      <c r="J91" s="6" t="n">
        <f aca="false">Seg!J71</f>
        <v>30.9192545395413</v>
      </c>
      <c r="K91" s="6" t="n">
        <f aca="false">Seg!K71</f>
        <v>33.0836023573092</v>
      </c>
    </row>
    <row r="92" customFormat="false" ht="15" hidden="false" customHeight="false" outlineLevel="0" collapsed="false">
      <c r="A92" s="0" t="s">
        <v>791</v>
      </c>
      <c r="B92" s="0" t="s">
        <v>95</v>
      </c>
      <c r="D92" s="6" t="n">
        <f aca="false">Seg!D73</f>
        <v>7.76</v>
      </c>
      <c r="E92" s="6" t="n">
        <f aca="false">Seg!E73</f>
        <v>8.26</v>
      </c>
      <c r="F92" s="6" t="n">
        <f aca="false">Seg!F73</f>
        <v>8.79988041237113</v>
      </c>
      <c r="G92" s="6" t="n">
        <f aca="false">Seg!G73</f>
        <v>9.38321269125306</v>
      </c>
      <c r="H92" s="6" t="n">
        <f aca="false">Seg!H73</f>
        <v>10.0139193587476</v>
      </c>
      <c r="I92" s="6" t="n">
        <f aca="false">Seg!I73</f>
        <v>10.6963111830911</v>
      </c>
      <c r="J92" s="6" t="n">
        <f aca="false">Seg!J73</f>
        <v>11.4351285534696</v>
      </c>
      <c r="K92" s="6" t="n">
        <f aca="false">Seg!K73</f>
        <v>12.2355875522124</v>
      </c>
    </row>
    <row r="93" customFormat="false" ht="15" hidden="false" customHeight="false" outlineLevel="0" collapsed="false">
      <c r="A93" s="0" t="s">
        <v>626</v>
      </c>
      <c r="B93" s="0" t="s">
        <v>95</v>
      </c>
      <c r="D93" s="6" t="n">
        <f aca="false">Seg!D75</f>
        <v>218.783</v>
      </c>
      <c r="E93" s="6" t="n">
        <f aca="false">Seg!E75</f>
        <v>268.127</v>
      </c>
      <c r="F93" s="6" t="n">
        <f aca="false">Seg!F75</f>
        <v>328.363433064856</v>
      </c>
      <c r="G93" s="6" t="n">
        <f aca="false">Seg!G75</f>
        <v>389.269865673274</v>
      </c>
      <c r="H93" s="6" t="n">
        <f aca="false">Seg!H75</f>
        <v>445.756320871193</v>
      </c>
      <c r="I93" s="6" t="n">
        <f aca="false">Seg!I75</f>
        <v>507.913725227984</v>
      </c>
      <c r="J93" s="6" t="n">
        <f aca="false">Seg!J75</f>
        <v>567.216533091392</v>
      </c>
      <c r="K93" s="6" t="n">
        <f aca="false">Seg!K75</f>
        <v>623.027603978669</v>
      </c>
    </row>
    <row r="94" customFormat="false" ht="15" hidden="false" customHeight="false" outlineLevel="0" collapsed="false">
      <c r="A94" s="0" t="s">
        <v>792</v>
      </c>
      <c r="B94" s="0" t="s">
        <v>95</v>
      </c>
      <c r="D94" s="6" t="n">
        <f aca="false">Seg!D76</f>
        <v>22.171</v>
      </c>
      <c r="E94" s="6" t="n">
        <f aca="false">Seg!E76</f>
        <v>24.835</v>
      </c>
      <c r="F94" s="6" t="n">
        <f aca="false">Seg!F76</f>
        <v>27.6114901218559</v>
      </c>
      <c r="G94" s="6" t="n">
        <f aca="false">Seg!G76</f>
        <v>30.4675667338515</v>
      </c>
      <c r="H94" s="6" t="n">
        <f aca="false">Seg!H76</f>
        <v>33.3643766955789</v>
      </c>
      <c r="I94" s="6" t="n">
        <f aca="false">Seg!I76</f>
        <v>36.2577016533691</v>
      </c>
      <c r="J94" s="6" t="n">
        <f aca="false">Seg!J76</f>
        <v>39.0988367952171</v>
      </c>
      <c r="K94" s="6" t="n">
        <f aca="false">Seg!K76</f>
        <v>41.8357553708823</v>
      </c>
    </row>
    <row r="95" customFormat="false" ht="15" hidden="false" customHeight="false" outlineLevel="0" collapsed="false">
      <c r="A95" s="0" t="s">
        <v>793</v>
      </c>
      <c r="B95" s="0" t="s">
        <v>95</v>
      </c>
      <c r="D95" s="6" t="n">
        <f aca="false">Seg!D78</f>
        <v>23.455</v>
      </c>
      <c r="E95" s="6" t="n">
        <f aca="false">Seg!E78</f>
        <v>21.79</v>
      </c>
      <c r="F95" s="6" t="n">
        <f aca="false">Seg!F78</f>
        <v>20.5736277908051</v>
      </c>
      <c r="G95" s="6" t="n">
        <f aca="false">Seg!G78</f>
        <v>19.7371452817919</v>
      </c>
      <c r="H95" s="6" t="n">
        <f aca="false">Seg!H78</f>
        <v>19.2339764043138</v>
      </c>
      <c r="I95" s="6" t="n">
        <f aca="false">Seg!I78</f>
        <v>19.0353086852681</v>
      </c>
      <c r="J95" s="6" t="n">
        <f aca="false">Seg!J78</f>
        <v>19.1273539319129</v>
      </c>
      <c r="K95" s="6" t="n">
        <f aca="false">Seg!K78</f>
        <v>19.5099010105511</v>
      </c>
    </row>
    <row r="96" customFormat="false" ht="15" hidden="false" customHeight="false" outlineLevel="0" collapsed="false">
      <c r="A96" s="0" t="s">
        <v>794</v>
      </c>
      <c r="B96" s="0" t="s">
        <v>95</v>
      </c>
      <c r="D96" s="6" t="n">
        <f aca="false">Seg!D80</f>
        <v>17.315</v>
      </c>
      <c r="E96" s="6" t="n">
        <f aca="false">Seg!E80</f>
        <v>17.087</v>
      </c>
      <c r="F96" s="6" t="n">
        <f aca="false">Seg!F80</f>
        <v>16.9564585436519</v>
      </c>
      <c r="G96" s="6" t="n">
        <f aca="false">Seg!G80</f>
        <v>16.9206490624268</v>
      </c>
      <c r="H96" s="6" t="n">
        <f aca="false">Seg!H80</f>
        <v>16.9784519149849</v>
      </c>
      <c r="I96" s="6" t="n">
        <f aca="false">Seg!I80</f>
        <v>17.1303084701817</v>
      </c>
      <c r="J96" s="6" t="n">
        <f aca="false">Seg!J80</f>
        <v>17.3782189407267</v>
      </c>
      <c r="K96" s="6" t="n">
        <f aca="false">Seg!K80</f>
        <v>17.7257833195413</v>
      </c>
    </row>
    <row r="97" customFormat="false" ht="15" hidden="false" customHeight="false" outlineLevel="0" collapsed="false">
      <c r="A97" s="0" t="s">
        <v>640</v>
      </c>
      <c r="B97" s="0" t="s">
        <v>95</v>
      </c>
      <c r="D97" s="6" t="n">
        <f aca="false">Seg!D82</f>
        <v>62.941</v>
      </c>
      <c r="E97" s="6" t="n">
        <f aca="false">Seg!E82</f>
        <v>63.712</v>
      </c>
      <c r="F97" s="6" t="n">
        <f aca="false">Seg!F82</f>
        <v>65.1415764563129</v>
      </c>
      <c r="G97" s="6" t="n">
        <f aca="false">Seg!G82</f>
        <v>67.1253610780702</v>
      </c>
      <c r="H97" s="6" t="n">
        <f aca="false">Seg!H82</f>
        <v>69.5768050148776</v>
      </c>
      <c r="I97" s="6" t="n">
        <f aca="false">Seg!I82</f>
        <v>72.4233188088189</v>
      </c>
      <c r="J97" s="6" t="n">
        <f aca="false">Seg!J82</f>
        <v>75.6044096678567</v>
      </c>
      <c r="K97" s="6" t="n">
        <f aca="false">Seg!K82</f>
        <v>79.0714397009747</v>
      </c>
    </row>
    <row r="98" customFormat="false" ht="15" hidden="false" customHeight="false" outlineLevel="0" collapsed="false">
      <c r="A98" s="1" t="s">
        <v>810</v>
      </c>
      <c r="B98" s="0" t="s">
        <v>95</v>
      </c>
      <c r="D98" s="6" t="n">
        <f aca="false">Seg!D83</f>
        <v>281.724</v>
      </c>
      <c r="E98" s="6" t="n">
        <f aca="false">Seg!E83</f>
        <v>331.839</v>
      </c>
      <c r="F98" s="6" t="n">
        <f aca="false">Seg!F83</f>
        <v>393.505009521169</v>
      </c>
      <c r="G98" s="6" t="n">
        <f aca="false">Seg!G83</f>
        <v>456.395226751344</v>
      </c>
      <c r="H98" s="6" t="n">
        <f aca="false">Seg!H83</f>
        <v>515.333125886071</v>
      </c>
      <c r="I98" s="6" t="n">
        <f aca="false">Seg!I83</f>
        <v>580.337044036803</v>
      </c>
      <c r="J98" s="6" t="n">
        <f aca="false">Seg!J83</f>
        <v>642.820942759249</v>
      </c>
      <c r="K98" s="6" t="n">
        <f aca="false">Seg!K83</f>
        <v>702.099043679644</v>
      </c>
    </row>
    <row r="99" customFormat="false" ht="15" hidden="false" customHeight="false" outlineLevel="0" collapsed="false">
      <c r="A99" s="1" t="s">
        <v>811</v>
      </c>
      <c r="B99" s="0" t="s">
        <v>126</v>
      </c>
      <c r="E99" s="7" t="n">
        <f aca="false">PL!E98/PL!D98-1</f>
        <v>0.177886867998467</v>
      </c>
      <c r="F99" s="7" t="n">
        <f aca="false">PL!F98/PL!E98-1</f>
        <v>0.185831109427067</v>
      </c>
      <c r="G99" s="7" t="n">
        <f aca="false">PL!G98/PL!F98-1</f>
        <v>0.159820626697237</v>
      </c>
      <c r="H99" s="7" t="n">
        <f aca="false">PL!H98/PL!G98-1</f>
        <v>0.129137851756801</v>
      </c>
      <c r="I99" s="7" t="n">
        <f aca="false">PL!I98/PL!H98-1</f>
        <v>0.126139607344208</v>
      </c>
      <c r="J99" s="7" t="n">
        <f aca="false">PL!J98/PL!I98-1</f>
        <v>0.107668292700756</v>
      </c>
      <c r="K99" s="7" t="n">
        <f aca="false">PL!K98/PL!J98-1</f>
        <v>0.0922155719848661</v>
      </c>
    </row>
    <row r="100" customFormat="false" ht="17.15" hidden="false" customHeight="false" outlineLevel="0" collapsed="false">
      <c r="A100" s="22" t="s">
        <v>812</v>
      </c>
      <c r="B100" s="28" t="s">
        <v>95</v>
      </c>
      <c r="C100" s="28"/>
      <c r="D100" s="23" t="n">
        <f aca="false">(PL!D93+PL!D97-PL!D98)+(PL!D85+PL!D86-PL!D84)+(PL!D88+PL!D89-PL!D87)+(PL!D98-Q!L18)</f>
        <v>0</v>
      </c>
      <c r="E100" s="23" t="n">
        <f aca="false">(PL!E93+PL!E97-PL!E98)+(PL!E85+PL!E86-PL!E84)+(PL!E88+PL!E89-PL!E87)+(PL!E98-Q!M18)</f>
        <v>0</v>
      </c>
      <c r="F100" s="23" t="n">
        <f aca="false">(PL!F93+PL!F97-PL!F98)+(PL!F85+PL!F86-PL!F84)+(PL!F88+PL!F89-PL!F87)</f>
        <v>0</v>
      </c>
      <c r="G100" s="23" t="n">
        <f aca="false">(PL!G93+PL!G97-PL!G98)+(PL!G85+PL!G86-PL!G84)+(PL!G88+PL!G89-PL!G87)</f>
        <v>0</v>
      </c>
      <c r="H100" s="23" t="n">
        <f aca="false">(PL!H93+PL!H97-PL!H98)+(PL!H85+PL!H86-PL!H84)+(PL!H88+PL!H89-PL!H87)</f>
        <v>0</v>
      </c>
      <c r="I100" s="23" t="n">
        <f aca="false">(PL!I93+PL!I97-PL!I98)+(PL!I85+PL!I86-PL!I84)+(PL!I88+PL!I89-PL!I87)</f>
        <v>0</v>
      </c>
      <c r="J100" s="23" t="n">
        <f aca="false">(PL!J93+PL!J97-PL!J98)+(PL!J85+PL!J86-PL!J84)+(PL!J88+PL!J89-PL!J87)</f>
        <v>0</v>
      </c>
      <c r="K100" s="23" t="n">
        <f aca="false">(PL!K93+PL!K97-PL!K98)+(PL!K85+PL!K86-PL!K84)+(PL!K88+PL!K89-PL!K87)</f>
        <v>0</v>
      </c>
    </row>
    <row r="101" customFormat="false" ht="17.15" hidden="false" customHeight="false" outlineLevel="0" collapsed="false">
      <c r="A101" s="0" t="s">
        <v>813</v>
      </c>
      <c r="B101" s="0" t="s">
        <v>126</v>
      </c>
      <c r="E101" s="7" t="n">
        <f aca="false">(Q!M21+Thesis!E110+Thesis!E111+Thesis!E112+Thesis!E125-Thesis!E108)/(Q!M5-Thesis!E108)</f>
        <v>0.570957350878296</v>
      </c>
      <c r="F101" s="7" t="n">
        <f aca="false">PL!$E$101+dm_seg</f>
        <v>0.570957350878296</v>
      </c>
      <c r="G101" s="7" t="n">
        <f aca="false">PL!$E$101+dm_seg</f>
        <v>0.570957350878296</v>
      </c>
      <c r="H101" s="7" t="n">
        <f aca="false">PL!$E$101+dm_seg</f>
        <v>0.570957350878296</v>
      </c>
      <c r="I101" s="7" t="n">
        <f aca="false">PL!$E$101+dm_seg</f>
        <v>0.570957350878296</v>
      </c>
      <c r="J101" s="7" t="n">
        <f aca="false">PL!$E$101+dm_seg</f>
        <v>0.570957350878296</v>
      </c>
      <c r="K101" s="7" t="n">
        <f aca="false">PL!$E$101+dm_seg</f>
        <v>0.570957350878296</v>
      </c>
      <c r="L101" s="11" t="s">
        <v>814</v>
      </c>
    </row>
    <row r="102" customFormat="false" ht="17.15" hidden="false" customHeight="false" outlineLevel="0" collapsed="false">
      <c r="A102" s="0" t="s">
        <v>654</v>
      </c>
      <c r="B102" s="0" t="s">
        <v>95</v>
      </c>
      <c r="D102" s="6" t="n">
        <f aca="false">Q!L21</f>
        <v>110.814</v>
      </c>
      <c r="E102" s="6" t="n">
        <f aca="false">Q!M21</f>
        <v>136.365</v>
      </c>
      <c r="F102" s="6" t="n">
        <f aca="false">PL!F101*(Seg!F75-Thesis!F108)+Thesis!F108-(Thesis!F110+Thesis!F111+Thesis!F112)-Thesis!F125</f>
        <v>152.327104707477</v>
      </c>
      <c r="G102" s="6" t="n">
        <f aca="false">PL!G101*(Seg!G75-Thesis!G108)+Thesis!G108-(Thesis!G110+Thesis!G111+Thesis!G112)-Thesis!G125</f>
        <v>160.284158901175</v>
      </c>
      <c r="H102" s="6" t="n">
        <f aca="false">PL!H101*(Seg!H75-Thesis!H108)+Thesis!H108-(Thesis!H110+Thesis!H111+Thesis!H112)-Thesis!H125</f>
        <v>162.575399324207</v>
      </c>
      <c r="I102" s="6" t="n">
        <f aca="false">PL!I101*(Seg!I75-Thesis!I108)+Thesis!I108-(Thesis!I110+Thesis!I111+Thesis!I112)-Thesis!I125</f>
        <v>170.175968840142</v>
      </c>
      <c r="J102" s="6" t="n">
        <f aca="false">PL!J101*(Seg!J75-Thesis!J108)+Thesis!J108-(Thesis!J110+Thesis!J111+Thesis!J112)-Thesis!J125</f>
        <v>175.18627063999</v>
      </c>
      <c r="K102" s="6" t="n">
        <f aca="false">PL!K101*(Seg!K75-Thesis!K108)+Thesis!K108-(Thesis!K110+Thesis!K111+Thesis!K112)-Thesis!K125</f>
        <v>176.922341638843</v>
      </c>
      <c r="L102" s="1" t="s">
        <v>815</v>
      </c>
    </row>
    <row r="103" customFormat="false" ht="17.15" hidden="false" customHeight="false" outlineLevel="0" collapsed="false">
      <c r="A103" s="0" t="s">
        <v>816</v>
      </c>
      <c r="B103" s="0" t="s">
        <v>126</v>
      </c>
      <c r="E103" s="7" t="n">
        <f aca="false">Q!M22/Q!M12</f>
        <v>0.296207935710698</v>
      </c>
      <c r="F103" s="7" t="n">
        <f aca="false">PL!$E$103+dm_seg</f>
        <v>0.296207935710698</v>
      </c>
      <c r="G103" s="7" t="n">
        <f aca="false">PL!$E$103+dm_seg</f>
        <v>0.296207935710698</v>
      </c>
      <c r="H103" s="7" t="n">
        <f aca="false">PL!$E$103+dm_seg</f>
        <v>0.296207935710698</v>
      </c>
      <c r="I103" s="7" t="n">
        <f aca="false">PL!$E$103+dm_seg</f>
        <v>0.296207935710698</v>
      </c>
      <c r="J103" s="7" t="n">
        <f aca="false">PL!$E$103+dm_seg</f>
        <v>0.296207935710698</v>
      </c>
      <c r="K103" s="7" t="n">
        <f aca="false">PL!$E$103+dm_seg</f>
        <v>0.296207935710698</v>
      </c>
      <c r="L103" s="11" t="s">
        <v>817</v>
      </c>
    </row>
    <row r="104" customFormat="false" ht="17.15" hidden="false" customHeight="false" outlineLevel="0" collapsed="false">
      <c r="A104" s="0" t="s">
        <v>656</v>
      </c>
      <c r="B104" s="0" t="s">
        <v>95</v>
      </c>
      <c r="D104" s="6" t="n">
        <f aca="false">Q!L22</f>
        <v>17.714</v>
      </c>
      <c r="E104" s="6" t="n">
        <f aca="false">Q!M22</f>
        <v>18.872</v>
      </c>
      <c r="F104" s="6" t="n">
        <f aca="false">Seg!F82*PL!F103</f>
        <v>19.2954518910651</v>
      </c>
      <c r="G104" s="6" t="n">
        <f aca="false">Seg!G82*PL!G103</f>
        <v>19.8830646387704</v>
      </c>
      <c r="H104" s="6" t="n">
        <f aca="false">Seg!H82*PL!H103</f>
        <v>20.6092017868026</v>
      </c>
      <c r="I104" s="6" t="n">
        <f aca="false">Seg!I82*PL!I103</f>
        <v>21.452361761678</v>
      </c>
      <c r="J104" s="6" t="n">
        <f aca="false">Seg!J82*PL!J103</f>
        <v>22.3946261183418</v>
      </c>
      <c r="K104" s="6" t="n">
        <f aca="false">Seg!K82*PL!K103</f>
        <v>23.4215879274986</v>
      </c>
    </row>
    <row r="105" customFormat="false" ht="15" hidden="false" customHeight="false" outlineLevel="0" collapsed="false">
      <c r="A105" s="1" t="s">
        <v>818</v>
      </c>
      <c r="B105" s="0" t="s">
        <v>95</v>
      </c>
      <c r="D105" s="6" t="n">
        <f aca="false">PL!D102+PL!D104</f>
        <v>128.528</v>
      </c>
      <c r="E105" s="6" t="n">
        <f aca="false">PL!E102+PL!E104</f>
        <v>155.237</v>
      </c>
      <c r="F105" s="6" t="n">
        <f aca="false">PL!F102+PL!F104</f>
        <v>171.622556598542</v>
      </c>
      <c r="G105" s="6" t="n">
        <f aca="false">PL!G102+PL!G104</f>
        <v>180.167223539945</v>
      </c>
      <c r="H105" s="6" t="n">
        <f aca="false">PL!H102+PL!H104</f>
        <v>183.184601111009</v>
      </c>
      <c r="I105" s="6" t="n">
        <f aca="false">PL!I102+PL!I104</f>
        <v>191.62833060182</v>
      </c>
      <c r="J105" s="6" t="n">
        <f aca="false">PL!J102+PL!J104</f>
        <v>197.580896758331</v>
      </c>
      <c r="K105" s="6" t="n">
        <f aca="false">PL!K102+PL!K104</f>
        <v>200.343929566342</v>
      </c>
    </row>
    <row r="106" customFormat="false" ht="15" hidden="false" customHeight="false" outlineLevel="0" collapsed="false">
      <c r="A106" s="22" t="s">
        <v>819</v>
      </c>
      <c r="B106" s="28" t="s">
        <v>95</v>
      </c>
      <c r="C106" s="28"/>
      <c r="D106" s="23" t="n">
        <f aca="false">PL!D105-Q!L23</f>
        <v>0</v>
      </c>
      <c r="E106" s="23" t="n">
        <f aca="false">PL!E105-Q!M23</f>
        <v>0</v>
      </c>
      <c r="F106" s="28"/>
      <c r="G106" s="28"/>
      <c r="H106" s="28"/>
      <c r="I106" s="28"/>
      <c r="J106" s="28"/>
      <c r="K106" s="28"/>
    </row>
    <row r="107" customFormat="false" ht="15" hidden="false" customHeight="false" outlineLevel="0" collapsed="false">
      <c r="A107" s="1" t="s">
        <v>820</v>
      </c>
      <c r="B107" s="0" t="s">
        <v>126</v>
      </c>
      <c r="D107" s="7" t="n">
        <f aca="false">PL!D105/PL!D98</f>
        <v>0.456219562408598</v>
      </c>
      <c r="E107" s="7" t="n">
        <f aca="false">PL!E105/PL!E98</f>
        <v>0.467808184089272</v>
      </c>
      <c r="F107" s="7" t="n">
        <f aca="false">PL!F105/PL!F98</f>
        <v>0.436138174727123</v>
      </c>
      <c r="G107" s="7" t="n">
        <f aca="false">PL!G105/PL!G98</f>
        <v>0.394761410679926</v>
      </c>
      <c r="H107" s="7" t="n">
        <f aca="false">PL!H105/PL!H98</f>
        <v>0.355468321187464</v>
      </c>
      <c r="I107" s="7" t="n">
        <f aca="false">PL!I105/PL!I98</f>
        <v>0.330201789754554</v>
      </c>
      <c r="J107" s="7" t="n">
        <f aca="false">PL!J105/PL!J98</f>
        <v>0.307365369756364</v>
      </c>
      <c r="K107" s="7" t="n">
        <f aca="false">PL!K105/PL!K98</f>
        <v>0.285349953642375</v>
      </c>
    </row>
    <row r="108" customFormat="false" ht="17.15" hidden="false" customHeight="false" outlineLevel="0" collapsed="false">
      <c r="A108" s="1" t="s">
        <v>821</v>
      </c>
      <c r="B108" s="0" t="s">
        <v>95</v>
      </c>
      <c r="E108" s="6" t="n">
        <f aca="false">Thesis!E125</f>
        <v>16.3054059770833</v>
      </c>
      <c r="F108" s="6" t="n">
        <f aca="false">Thesis!F125</f>
        <v>34.7530354558698</v>
      </c>
      <c r="G108" s="6" t="n">
        <f aca="false">Thesis!G125</f>
        <v>60.5317332603396</v>
      </c>
      <c r="H108" s="6" t="n">
        <f aca="false">Thesis!H125</f>
        <v>87.7673159931396</v>
      </c>
      <c r="I108" s="6" t="n">
        <f aca="false">Thesis!I125</f>
        <v>116.022181741123</v>
      </c>
      <c r="J108" s="6" t="n">
        <f aca="false">Thesis!J125</f>
        <v>145.249277958273</v>
      </c>
      <c r="K108" s="6" t="n">
        <f aca="false">Thesis!K125</f>
        <v>175.76392263459</v>
      </c>
    </row>
    <row r="109" customFormat="false" ht="17.15" hidden="false" customHeight="false" outlineLevel="0" collapsed="false">
      <c r="A109" s="1" t="s">
        <v>822</v>
      </c>
      <c r="B109" s="0" t="s">
        <v>95</v>
      </c>
      <c r="E109" s="6" t="n">
        <f aca="false">CF!E73</f>
        <v>22.2285940229167</v>
      </c>
      <c r="F109" s="6" t="n">
        <f aca="false">CF!F73</f>
        <v>23.5486693435813</v>
      </c>
      <c r="G109" s="6" t="n">
        <f aca="false">CF!G73</f>
        <v>25.264091766262</v>
      </c>
      <c r="H109" s="6" t="n">
        <f aca="false">CF!H73</f>
        <v>27.3438339540448</v>
      </c>
      <c r="I109" s="6" t="n">
        <f aca="false">CF!I73</f>
        <v>29.7317905898047</v>
      </c>
      <c r="J109" s="6" t="n">
        <f aca="false">CF!J73</f>
        <v>32.3542028558616</v>
      </c>
      <c r="K109" s="6" t="n">
        <f aca="false">CF!K73</f>
        <v>35.1281528444749</v>
      </c>
    </row>
    <row r="110" customFormat="false" ht="17.15" hidden="false" customHeight="false" outlineLevel="0" collapsed="false">
      <c r="A110" s="1" t="s">
        <v>823</v>
      </c>
      <c r="B110" s="0" t="s">
        <v>95</v>
      </c>
      <c r="D110" s="6" t="n">
        <f aca="false">Q!L27</f>
        <v>-4.901</v>
      </c>
      <c r="E110" s="6" t="n">
        <f aca="false">Q!M27</f>
        <v>10.697</v>
      </c>
      <c r="F110" s="6" t="n">
        <f aca="false">oie_f</f>
        <v>-0.4</v>
      </c>
      <c r="G110" s="6" t="n">
        <f aca="false">oie_f</f>
        <v>-0.4</v>
      </c>
      <c r="H110" s="6" t="n">
        <f aca="false">oie_f</f>
        <v>-0.4</v>
      </c>
      <c r="I110" s="6" t="n">
        <f aca="false">oie_f</f>
        <v>-0.4</v>
      </c>
      <c r="J110" s="6" t="n">
        <f aca="false">oie_f</f>
        <v>-0.4</v>
      </c>
      <c r="K110" s="6" t="n">
        <f aca="false">oie_f</f>
        <v>-0.4</v>
      </c>
      <c r="L110" s="11" t="s">
        <v>824</v>
      </c>
    </row>
    <row r="111" customFormat="false" ht="15" hidden="false" customHeight="false" outlineLevel="0" collapsed="false">
      <c r="A111" s="1" t="s">
        <v>666</v>
      </c>
      <c r="B111" s="0" t="s">
        <v>95</v>
      </c>
      <c r="D111" s="6" t="n">
        <f aca="false">PL!D105+PL!D110</f>
        <v>123.627</v>
      </c>
      <c r="E111" s="6" t="n">
        <f aca="false">PL!E105+PL!E110</f>
        <v>165.934</v>
      </c>
      <c r="F111" s="6" t="n">
        <f aca="false">PL!F105+PL!F110</f>
        <v>171.222556598542</v>
      </c>
      <c r="G111" s="6" t="n">
        <f aca="false">PL!G105+PL!G110</f>
        <v>179.767223539945</v>
      </c>
      <c r="H111" s="6" t="n">
        <f aca="false">PL!H105+PL!H110</f>
        <v>182.784601111009</v>
      </c>
      <c r="I111" s="6" t="n">
        <f aca="false">PL!I105+PL!I110</f>
        <v>191.22833060182</v>
      </c>
      <c r="J111" s="6" t="n">
        <f aca="false">PL!J105+PL!J110</f>
        <v>197.180896758331</v>
      </c>
      <c r="K111" s="6" t="n">
        <f aca="false">PL!K105+PL!K110</f>
        <v>199.943929566342</v>
      </c>
    </row>
    <row r="112" customFormat="false" ht="15" hidden="false" customHeight="false" outlineLevel="0" collapsed="false">
      <c r="A112" s="1" t="s">
        <v>668</v>
      </c>
      <c r="B112" s="0" t="s">
        <v>95</v>
      </c>
      <c r="D112" s="6" t="n">
        <f aca="false">Q!L29</f>
        <v>21.795</v>
      </c>
      <c r="E112" s="6" t="n">
        <f aca="false">Q!M29</f>
        <v>32.185</v>
      </c>
      <c r="F112" s="6" t="n">
        <f aca="false">PL!F111*tax_f</f>
        <v>34.2445113197083</v>
      </c>
      <c r="G112" s="6" t="n">
        <f aca="false">PL!G111*tax_f</f>
        <v>35.9534447079891</v>
      </c>
      <c r="H112" s="6" t="n">
        <f aca="false">PL!H111*tax_f</f>
        <v>36.5569202222019</v>
      </c>
      <c r="I112" s="6" t="n">
        <f aca="false">PL!I111*tax_f</f>
        <v>38.2456661203639</v>
      </c>
      <c r="J112" s="6" t="n">
        <f aca="false">PL!J111*tax_f</f>
        <v>39.4361793516663</v>
      </c>
      <c r="K112" s="6" t="n">
        <f aca="false">PL!K111*tax_f</f>
        <v>39.9887859132684</v>
      </c>
    </row>
    <row r="113" customFormat="false" ht="15" hidden="false" customHeight="false" outlineLevel="0" collapsed="false">
      <c r="A113" s="1" t="s">
        <v>825</v>
      </c>
      <c r="B113" s="0" t="s">
        <v>95</v>
      </c>
      <c r="D113" s="6" t="n">
        <f aca="false">PL!D111-PL!D112</f>
        <v>101.832</v>
      </c>
      <c r="E113" s="6" t="n">
        <f aca="false">PL!E111-PL!E112</f>
        <v>133.749</v>
      </c>
      <c r="F113" s="6" t="n">
        <f aca="false">PL!F111-PL!F112</f>
        <v>136.978045278833</v>
      </c>
      <c r="G113" s="6" t="n">
        <f aca="false">PL!G111-PL!G112</f>
        <v>143.813778831956</v>
      </c>
      <c r="H113" s="6" t="n">
        <f aca="false">PL!H111-PL!H112</f>
        <v>146.227680888807</v>
      </c>
      <c r="I113" s="6" t="n">
        <f aca="false">PL!I111-PL!I112</f>
        <v>152.982664481456</v>
      </c>
      <c r="J113" s="6" t="n">
        <f aca="false">PL!J111-PL!J112</f>
        <v>157.744717406665</v>
      </c>
      <c r="K113" s="6" t="n">
        <f aca="false">PL!K111-PL!K112</f>
        <v>159.955143653074</v>
      </c>
    </row>
    <row r="114" customFormat="false" ht="17.15" hidden="false" customHeight="false" outlineLevel="0" collapsed="false">
      <c r="A114" s="1" t="s">
        <v>826</v>
      </c>
      <c r="B114" s="1" t="s">
        <v>79</v>
      </c>
      <c r="D114" s="18" t="n">
        <f aca="false">Q!L31</f>
        <v>7.465</v>
      </c>
      <c r="E114" s="18" t="n">
        <f aca="false">Q!M31</f>
        <v>7.453</v>
      </c>
      <c r="F114" s="18" t="n">
        <f aca="false">CF!F95</f>
        <v>7.4735</v>
      </c>
      <c r="G114" s="18" t="n">
        <f aca="false">CF!G95</f>
        <v>7.5185</v>
      </c>
      <c r="H114" s="18" t="n">
        <f aca="false">CF!H95</f>
        <v>7.55835298181311</v>
      </c>
      <c r="I114" s="18" t="n">
        <f aca="false">CF!I95</f>
        <v>7.59096272733345</v>
      </c>
      <c r="J114" s="18" t="n">
        <f aca="false">CF!J95</f>
        <v>7.6139317560012</v>
      </c>
      <c r="K114" s="18" t="n">
        <f aca="false">CF!K95</f>
        <v>7.6358287292488</v>
      </c>
    </row>
    <row r="115" customFormat="false" ht="17.15" hidden="false" customHeight="false" outlineLevel="0" collapsed="false">
      <c r="A115" s="0" t="s">
        <v>827</v>
      </c>
      <c r="B115" s="0" t="s">
        <v>73</v>
      </c>
      <c r="D115" s="8" t="n">
        <f aca="false">PL!D113/PL!D114</f>
        <v>13.641259209645</v>
      </c>
      <c r="E115" s="8" t="n">
        <f aca="false">PL!E113/PL!E114</f>
        <v>17.9456594659869</v>
      </c>
      <c r="F115" s="8" t="n">
        <f aca="false">PL!F113/PL!F114</f>
        <v>18.3285000707611</v>
      </c>
      <c r="G115" s="8" t="n">
        <f aca="false">PL!G113/PL!G114</f>
        <v>19.1279881401817</v>
      </c>
      <c r="H115" s="8" t="n">
        <f aca="false">PL!H113/PL!H114</f>
        <v>19.3465006517505</v>
      </c>
      <c r="I115" s="8" t="n">
        <f aca="false">PL!I113/PL!I114</f>
        <v>20.1532625012895</v>
      </c>
      <c r="J115" s="8" t="n">
        <f aca="false">PL!J113/PL!J114</f>
        <v>20.7179053427072</v>
      </c>
      <c r="K115" s="8" t="n">
        <f aca="false">PL!K113/PL!K114</f>
        <v>20.94797425725</v>
      </c>
      <c r="L115" s="1" t="s">
        <v>828</v>
      </c>
    </row>
    <row r="116" customFormat="false" ht="17.15" hidden="false" customHeight="false" outlineLevel="0" collapsed="false">
      <c r="A116" s="0" t="s">
        <v>829</v>
      </c>
      <c r="B116" s="0" t="s">
        <v>126</v>
      </c>
      <c r="E116" s="7" t="n">
        <f aca="false">PL!E115/PL!D115-1</f>
        <v>0.315542736208578</v>
      </c>
      <c r="F116" s="7" t="n">
        <f aca="false">PL!F115/PL!E115-1</f>
        <v>0.0213333260613735</v>
      </c>
      <c r="G116" s="7" t="n">
        <f aca="false">PL!G115/PL!F115-1</f>
        <v>0.0436199397841612</v>
      </c>
      <c r="H116" s="7" t="n">
        <f aca="false">PL!H115/PL!G115-1</f>
        <v>0.0114237059311919</v>
      </c>
      <c r="I116" s="7" t="n">
        <f aca="false">PL!I115/PL!H115-1</f>
        <v>0.0417006601897305</v>
      </c>
      <c r="J116" s="7" t="n">
        <f aca="false">PL!J115/PL!I115-1</f>
        <v>0.0280174409171476</v>
      </c>
      <c r="K116" s="7" t="n">
        <f aca="false">PL!K115/PL!J115-1</f>
        <v>0.0111048347184277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11" min="3" style="0" width="11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832</v>
      </c>
    </row>
    <row r="2" customFormat="false" ht="17.15" hidden="false" customHeight="false" outlineLevel="0" collapsed="false">
      <c r="A2" s="1" t="s">
        <v>833</v>
      </c>
    </row>
    <row r="4" customFormat="false" ht="17.15" hidden="false" customHeight="false" outlineLevel="0" collapsed="false">
      <c r="A4" s="4" t="s">
        <v>43</v>
      </c>
      <c r="B4" s="4" t="s">
        <v>44</v>
      </c>
      <c r="C4" s="4" t="s">
        <v>45</v>
      </c>
      <c r="D4" s="4" t="s">
        <v>46</v>
      </c>
      <c r="E4" s="4" t="s">
        <v>47</v>
      </c>
    </row>
    <row r="5" customFormat="false" ht="17.15" hidden="false" customHeight="false" outlineLevel="0" collapsed="false">
      <c r="A5" s="15" t="s">
        <v>834</v>
      </c>
      <c r="B5" s="29" t="n">
        <f aca="false">CF!$C$40</f>
        <v>342.000525085999</v>
      </c>
      <c r="C5" s="29" t="n">
        <f aca="false">CF!$C$68</f>
        <v>189.365376882146</v>
      </c>
      <c r="D5" s="29" t="n">
        <f aca="false">CF!$C$96</f>
        <v>10.0625330616059</v>
      </c>
      <c r="E5" s="14" t="s">
        <v>835</v>
      </c>
    </row>
    <row r="6" customFormat="false" ht="17.15" hidden="false" customHeight="false" outlineLevel="0" collapsed="false">
      <c r="A6" s="1" t="s">
        <v>836</v>
      </c>
      <c r="B6" s="0" t="str">
        <f aca="false">CF!$C$41</f>
        <v>需要舉債 6.0 十億美元；回購較每年 22.3 的目標少 9.8 十億美元（2 年減少）</v>
      </c>
      <c r="C6" s="0" t="str">
        <f aca="false">CF!$C$69</f>
        <v>需要舉債 9.8 十億美元；回購較每年 22.3 的目標少 21.6 十億美元（2 年減少）</v>
      </c>
      <c r="D6" s="0" t="str">
        <f aca="false">CF!$C$97</f>
        <v>需要舉債 27.4 十億美元；回購較每年 22.3 的目標少 58.8 十億美元（5 年減少）</v>
      </c>
    </row>
    <row r="7" customFormat="false" ht="17.15" hidden="false" customHeight="false" outlineLevel="0" collapsed="false">
      <c r="A7" s="1" t="s">
        <v>837</v>
      </c>
      <c r="B7" s="6" t="n">
        <f aca="false">CF!F27</f>
        <v>5.03626311954508</v>
      </c>
      <c r="C7" s="6" t="n">
        <f aca="false">CF!F55</f>
        <v>1.2106755427865</v>
      </c>
      <c r="D7" s="6" t="n">
        <f aca="false">CF!F83</f>
        <v>-3.22928500927296</v>
      </c>
    </row>
    <row r="8" customFormat="false" ht="17.15" hidden="false" customHeight="false" outlineLevel="0" collapsed="false">
      <c r="A8" s="1" t="s">
        <v>838</v>
      </c>
      <c r="B8" s="6" t="n">
        <f aca="false">CF!H27</f>
        <v>94.5243442800126</v>
      </c>
      <c r="C8" s="6" t="n">
        <f aca="false">CF!H55</f>
        <v>70.5529026074843</v>
      </c>
      <c r="D8" s="6" t="n">
        <f aca="false">CF!H83</f>
        <v>42.4029253007048</v>
      </c>
    </row>
    <row r="9" customFormat="false" ht="17.15" hidden="false" customHeight="false" outlineLevel="0" collapsed="false">
      <c r="A9" s="1" t="s">
        <v>839</v>
      </c>
      <c r="B9" s="6" t="n">
        <f aca="false">CF!F24</f>
        <v>204.2</v>
      </c>
      <c r="C9" s="6" t="n">
        <f aca="false">CF!F52</f>
        <v>204.2</v>
      </c>
      <c r="D9" s="6" t="n">
        <f aca="false">CF!F80</f>
        <v>204.2</v>
      </c>
    </row>
    <row r="10" customFormat="false" ht="17.15" hidden="false" customHeight="false" outlineLevel="0" collapsed="false">
      <c r="A10" s="1" t="s">
        <v>840</v>
      </c>
      <c r="B10" s="6" t="n">
        <f aca="false">SUM(CF!F32:CF32)</f>
        <v>101.537507407607</v>
      </c>
      <c r="C10" s="6" t="n">
        <f aca="false">SUM(CF!F60:CF60)</f>
        <v>89.7299549086171</v>
      </c>
      <c r="D10" s="6" t="n">
        <f aca="false">SUM(CF!F88:CF88)</f>
        <v>52.5424425408973</v>
      </c>
    </row>
    <row r="11" customFormat="false" ht="17.15" hidden="false" customHeight="false" outlineLevel="0" collapsed="false">
      <c r="A11" s="1" t="s">
        <v>841</v>
      </c>
      <c r="B11" s="6" t="n">
        <f aca="false">SUM(CF!F33:CF33)</f>
        <v>5.96468688045492</v>
      </c>
      <c r="C11" s="6" t="n">
        <f aca="false">SUM(CF!F61:CF61)</f>
        <v>9.7902744572135</v>
      </c>
      <c r="D11" s="6" t="n">
        <f aca="false">SUM(CF!F89:CF89)</f>
        <v>27.3879094792913</v>
      </c>
    </row>
    <row r="14" customFormat="false" ht="17.15" hidden="false" customHeight="false" outlineLevel="0" collapsed="false">
      <c r="A14" s="3" t="s">
        <v>842</v>
      </c>
    </row>
    <row r="15" customFormat="false" ht="15" hidden="false" customHeight="false" outlineLevel="0" collapsed="false">
      <c r="A15" s="4" t="s">
        <v>43</v>
      </c>
      <c r="B15" s="4" t="s">
        <v>63</v>
      </c>
      <c r="C15" s="19" t="s">
        <v>710</v>
      </c>
      <c r="D15" s="19" t="s">
        <v>711</v>
      </c>
      <c r="E15" s="19" t="s">
        <v>712</v>
      </c>
      <c r="F15" s="19" t="s">
        <v>713</v>
      </c>
      <c r="G15" s="19" t="s">
        <v>714</v>
      </c>
      <c r="H15" s="19" t="s">
        <v>715</v>
      </c>
      <c r="I15" s="19" t="s">
        <v>716</v>
      </c>
      <c r="J15" s="19" t="s">
        <v>717</v>
      </c>
      <c r="K15" s="19" t="s">
        <v>718</v>
      </c>
      <c r="L15" s="4" t="s">
        <v>47</v>
      </c>
    </row>
    <row r="16" customFormat="false" ht="15" hidden="false" customHeight="false" outlineLevel="0" collapsed="false">
      <c r="A16" s="1" t="s">
        <v>825</v>
      </c>
      <c r="B16" s="0" t="s">
        <v>95</v>
      </c>
      <c r="F16" s="6" t="n">
        <f aca="false">PL!F43</f>
        <v>144.824749194697</v>
      </c>
      <c r="G16" s="6" t="n">
        <f aca="false">PL!G43</f>
        <v>168.941315925174</v>
      </c>
      <c r="H16" s="6" t="n">
        <f aca="false">PL!H43</f>
        <v>197.0311326275</v>
      </c>
      <c r="I16" s="6" t="n">
        <f aca="false">PL!I43</f>
        <v>218.346176528306</v>
      </c>
      <c r="J16" s="6" t="n">
        <f aca="false">PL!J43</f>
        <v>237.013259977539</v>
      </c>
      <c r="K16" s="6" t="n">
        <f aca="false">PL!K43</f>
        <v>253.146434328853</v>
      </c>
    </row>
    <row r="17" customFormat="false" ht="17.15" hidden="false" customHeight="false" outlineLevel="0" collapsed="false">
      <c r="A17" s="1" t="s">
        <v>843</v>
      </c>
      <c r="B17" s="0" t="s">
        <v>95</v>
      </c>
      <c r="E17" s="6" t="n">
        <f aca="false">Q!M38-Thesis!E37</f>
        <v>22.2285940229167</v>
      </c>
      <c r="F17" s="6" t="n">
        <f aca="false">CF!E17*(1-1/life_nonai)+CF!F23/life_nonai</f>
        <v>23.5786693435813</v>
      </c>
      <c r="G17" s="6" t="n">
        <f aca="false">CF!F17*(1-1/life_nonai)+CF!G23/life_nonai</f>
        <v>25.3810917662621</v>
      </c>
      <c r="H17" s="6" t="n">
        <f aca="false">CF!G17*(1-1/life_nonai)+CF!H23/life_nonai</f>
        <v>27.5991339540448</v>
      </c>
      <c r="I17" s="6" t="n">
        <f aca="false">CF!H17*(1-1/life_nonai)+CF!I23/life_nonai</f>
        <v>30.1565605898047</v>
      </c>
      <c r="J17" s="6" t="n">
        <f aca="false">CF!I17*(1-1/life_nonai)+CF!J23/life_nonai</f>
        <v>32.9614958558616</v>
      </c>
      <c r="K17" s="6" t="n">
        <f aca="false">CF!J17*(1-1/life_nonai)+CF!K23/life_nonai</f>
        <v>35.9297165444749</v>
      </c>
      <c r="L17" s="11" t="s">
        <v>844</v>
      </c>
    </row>
    <row r="18" customFormat="false" ht="17.15" hidden="false" customHeight="false" outlineLevel="0" collapsed="false">
      <c r="A18" s="1" t="s">
        <v>845</v>
      </c>
      <c r="B18" s="0" t="s">
        <v>95</v>
      </c>
      <c r="E18" s="6" t="n">
        <f aca="false">Thesis!E37+CF!E17</f>
        <v>38.534</v>
      </c>
      <c r="F18" s="6" t="n">
        <f aca="false">Thesis!F37+CF!F17</f>
        <v>58.306704799451</v>
      </c>
      <c r="G18" s="6" t="n">
        <f aca="false">Thesis!G37+CF!G17</f>
        <v>85.8628250266016</v>
      </c>
      <c r="H18" s="6" t="n">
        <f aca="false">Thesis!H37+CF!H17</f>
        <v>115.316449947184</v>
      </c>
      <c r="I18" s="6" t="n">
        <f aca="false">Thesis!I37+CF!I17</f>
        <v>146.128742330928</v>
      </c>
      <c r="J18" s="6" t="n">
        <f aca="false">Thesis!J37+CF!J17</f>
        <v>178.160773814135</v>
      </c>
      <c r="K18" s="6" t="n">
        <f aca="false">Thesis!K37+CF!K17</f>
        <v>211.643639179064</v>
      </c>
    </row>
    <row r="19" customFormat="false" ht="15" hidden="false" customHeight="false" outlineLevel="0" collapsed="false">
      <c r="A19" s="1" t="s">
        <v>685</v>
      </c>
      <c r="B19" s="0" t="s">
        <v>95</v>
      </c>
      <c r="F19" s="6" t="n">
        <f aca="false">Seg!F29*sbc_r</f>
        <v>15.1240791253967</v>
      </c>
      <c r="G19" s="6" t="n">
        <f aca="false">Seg!G29*sbc_r</f>
        <v>18.3778786594202</v>
      </c>
      <c r="H19" s="6" t="n">
        <f aca="false">Seg!H29*sbc_r</f>
        <v>21.8771522065674</v>
      </c>
      <c r="I19" s="6" t="n">
        <f aca="false">Seg!I29*sbc_r</f>
        <v>25.059706918623</v>
      </c>
      <c r="J19" s="6" t="n">
        <f aca="false">Seg!J29*sbc_r</f>
        <v>28.0933903175066</v>
      </c>
      <c r="K19" s="6" t="n">
        <f aca="false">Seg!K29*sbc_r</f>
        <v>31.0080606151698</v>
      </c>
    </row>
    <row r="20" customFormat="false" ht="17.15" hidden="false" customHeight="false" outlineLevel="0" collapsed="false">
      <c r="A20" s="1" t="s">
        <v>846</v>
      </c>
      <c r="B20" s="0" t="s">
        <v>95</v>
      </c>
      <c r="F20" s="6" t="n">
        <f aca="false">wc27</f>
        <v>-4.895</v>
      </c>
      <c r="G20" s="6" t="n">
        <f aca="false">0</f>
        <v>0</v>
      </c>
      <c r="H20" s="6" t="n">
        <f aca="false">0</f>
        <v>0</v>
      </c>
      <c r="I20" s="6" t="n">
        <f aca="false">0</f>
        <v>0</v>
      </c>
      <c r="J20" s="6" t="n">
        <f aca="false">0</f>
        <v>0</v>
      </c>
      <c r="K20" s="6" t="n">
        <f aca="false">0</f>
        <v>0</v>
      </c>
      <c r="L20" s="11" t="s">
        <v>847</v>
      </c>
    </row>
    <row r="21" customFormat="false" ht="15" hidden="false" customHeight="false" outlineLevel="0" collapsed="false">
      <c r="A21" s="1" t="s">
        <v>678</v>
      </c>
      <c r="B21" s="0" t="s">
        <v>95</v>
      </c>
      <c r="E21" s="6" t="n">
        <f aca="false">Q!M35</f>
        <v>182.935</v>
      </c>
      <c r="F21" s="6" t="n">
        <f aca="false">CF!F16+CF!F18+CF!F19+CF!F20</f>
        <v>213.360533119545</v>
      </c>
      <c r="G21" s="6" t="n">
        <f aca="false">CF!G16+CF!G18+CF!G19+CF!G20</f>
        <v>273.182019611196</v>
      </c>
      <c r="H21" s="6" t="n">
        <f aca="false">CF!H16+CF!H18+CF!H19+CF!H20</f>
        <v>334.224734781252</v>
      </c>
      <c r="I21" s="6" t="n">
        <f aca="false">CF!I16+CF!I18+CF!I19+CF!I20</f>
        <v>389.534625777856</v>
      </c>
      <c r="J21" s="6" t="n">
        <f aca="false">CF!J16+CF!J18+CF!J19+CF!J20</f>
        <v>443.26742410918</v>
      </c>
      <c r="K21" s="6" t="n">
        <f aca="false">CF!K16+CF!K18+CF!K19+CF!K20</f>
        <v>495.798134123088</v>
      </c>
    </row>
    <row r="22" customFormat="false" ht="17.15" hidden="false" customHeight="false" outlineLevel="0" collapsed="false">
      <c r="A22" s="0" t="s">
        <v>848</v>
      </c>
      <c r="B22" s="0" t="s">
        <v>95</v>
      </c>
      <c r="F22" s="6" t="n">
        <f aca="false">Thesis!F34</f>
        <v>168.470652770438</v>
      </c>
      <c r="G22" s="6" t="n">
        <f aca="false">Thesis!G34</f>
        <v>183.5741804832</v>
      </c>
      <c r="H22" s="6" t="n">
        <f aca="false">Thesis!H34</f>
        <v>188.0802859104</v>
      </c>
      <c r="I22" s="6" t="n">
        <f aca="false">Thesis!I34</f>
        <v>218.338961257067</v>
      </c>
      <c r="J22" s="6" t="n">
        <f aca="false">Thesis!J34</f>
        <v>233.777060923733</v>
      </c>
      <c r="K22" s="6" t="n">
        <f aca="false">Thesis!K34</f>
        <v>278.8563119504</v>
      </c>
    </row>
    <row r="23" customFormat="false" ht="17.15" hidden="false" customHeight="false" outlineLevel="0" collapsed="false">
      <c r="A23" s="1" t="s">
        <v>849</v>
      </c>
      <c r="B23" s="0" t="s">
        <v>95</v>
      </c>
      <c r="E23" s="6" t="n">
        <f aca="false">Seg!E7*cx_azo+Seg!E14*cx_m365+Seg!E15*cx_lic+(Seg!E17+Seg!E19)*cx_ind+Seg!E22*cx_srch+(Seg!E24+Seg!E26)*cx_dev</f>
        <v>30.1846587067718</v>
      </c>
      <c r="F23" s="6" t="n">
        <f aca="false">Seg!F7*cx_azo+Seg!F14*cx_m365+Seg!F15*cx_lic+(Seg!F17+Seg!F19)*cx_ind+Seg!F22*cx_srch+(Seg!F24+Seg!F26)*cx_dev</f>
        <v>35.7293472295625</v>
      </c>
      <c r="G23" s="6" t="n">
        <f aca="false">Seg!G7*cx_azo+Seg!G14*cx_m365+Seg!G15*cx_lic+(Seg!G17+Seg!G19)*cx_ind+Seg!G22*cx_srch+(Seg!G24+Seg!G26)*cx_dev</f>
        <v>41.6028935703892</v>
      </c>
      <c r="H23" s="6" t="n">
        <f aca="false">Seg!H7*cx_azo+Seg!H14*cx_m365+Seg!H15*cx_lic+(Seg!H17+Seg!H19)*cx_ind+Seg!H22*cx_srch+(Seg!H24+Seg!H26)*cx_dev</f>
        <v>47.5615136440897</v>
      </c>
      <c r="I23" s="6" t="n">
        <f aca="false">Seg!I7*cx_azo+Seg!I14*cx_m365+Seg!I15*cx_lic+(Seg!I17+Seg!I19)*cx_ind+Seg!I22*cx_srch+(Seg!I24+Seg!I26)*cx_dev</f>
        <v>53.1734003116439</v>
      </c>
      <c r="J23" s="6" t="n">
        <f aca="false">Seg!J7*cx_azo+Seg!J14*cx_m365+Seg!J15*cx_lic+(Seg!J17+Seg!J19)*cx_ind+Seg!J22*cx_srch+(Seg!J24+Seg!J26)*cx_dev</f>
        <v>58.2059132503738</v>
      </c>
      <c r="K23" s="6" t="n">
        <f aca="false">Seg!K7*cx_azo+Seg!K14*cx_m365+Seg!K15*cx_lic+(Seg!K17+Seg!K19)*cx_ind+Seg!K22*cx_srch+(Seg!K24+Seg!K26)*cx_dev</f>
        <v>62.643702741994</v>
      </c>
    </row>
    <row r="24" customFormat="false" ht="17.15" hidden="false" customHeight="false" outlineLevel="0" collapsed="false">
      <c r="A24" s="1" t="s">
        <v>850</v>
      </c>
      <c r="B24" s="0" t="s">
        <v>95</v>
      </c>
      <c r="E24" s="6" t="n">
        <f aca="false">Q!M42</f>
        <v>145.3</v>
      </c>
      <c r="F24" s="6" t="n">
        <f aca="false">CF!F22+CF!F23</f>
        <v>204.2</v>
      </c>
      <c r="G24" s="6" t="n">
        <f aca="false">CF!G22+CF!G23</f>
        <v>225.177074053589</v>
      </c>
      <c r="H24" s="6" t="n">
        <f aca="false">CF!H22+CF!H23</f>
        <v>235.64179955449</v>
      </c>
      <c r="I24" s="6" t="n">
        <f aca="false">CF!I22+CF!I23</f>
        <v>271.512361568711</v>
      </c>
      <c r="J24" s="6" t="n">
        <f aca="false">CF!J22+CF!J23</f>
        <v>291.982974174107</v>
      </c>
      <c r="K24" s="6" t="n">
        <f aca="false">CF!K22+CF!K23</f>
        <v>341.500014692394</v>
      </c>
      <c r="L24" s="1" t="s">
        <v>851</v>
      </c>
    </row>
    <row r="25" customFormat="false" ht="15" hidden="false" customHeight="false" outlineLevel="0" collapsed="false">
      <c r="A25" s="1" t="s">
        <v>852</v>
      </c>
      <c r="B25" s="0" t="s">
        <v>95</v>
      </c>
      <c r="E25" s="6" t="n">
        <f aca="false">fl_liab</f>
        <v>66.594</v>
      </c>
      <c r="F25" s="6" t="n">
        <f aca="false">CF!E25-CF!F26</f>
        <v>62.46973</v>
      </c>
      <c r="G25" s="6" t="n">
        <f aca="false">CF!F25-CF!G26</f>
        <v>57.98686785</v>
      </c>
      <c r="H25" s="6" t="n">
        <f aca="false">CF!G25-CF!H26</f>
        <v>53.92827690325</v>
      </c>
      <c r="I25" s="6" t="n">
        <f aca="false">CF!H25-CF!I26</f>
        <v>49.7850493638962</v>
      </c>
      <c r="J25" s="6" t="n">
        <f aca="false">CF!I25-CF!J26</f>
        <v>45.4823765852716</v>
      </c>
      <c r="K25" s="6" t="n">
        <f aca="false">CF!J25-CF!K26</f>
        <v>40.9860835316088</v>
      </c>
    </row>
    <row r="26" customFormat="false" ht="15" hidden="false" customHeight="false" outlineLevel="0" collapsed="false">
      <c r="A26" s="1" t="s">
        <v>853</v>
      </c>
      <c r="B26" s="0" t="s">
        <v>95</v>
      </c>
      <c r="F26" s="6" t="n">
        <f aca="false">fl_pay_27-CF!E25*fl_rate</f>
        <v>4.12427</v>
      </c>
      <c r="G26" s="6" t="n">
        <f aca="false">fl_pay_28-CF!F25*fl_rate</f>
        <v>4.48286215</v>
      </c>
      <c r="H26" s="6" t="n">
        <f aca="false">fl_pay_29-CF!G25*fl_rate</f>
        <v>4.05859094675</v>
      </c>
      <c r="I26" s="6" t="n">
        <f aca="false">fl_pay_30-CF!H25*fl_rate</f>
        <v>4.14322753935375</v>
      </c>
      <c r="J26" s="6" t="n">
        <f aca="false">fl_pay_31-CF!I25*fl_rate</f>
        <v>4.30267277862467</v>
      </c>
      <c r="K26" s="6" t="n">
        <f aca="false">fl_pay_32-CF!J25*fl_rate</f>
        <v>4.49629305366278</v>
      </c>
    </row>
    <row r="27" customFormat="false" ht="17.15" hidden="false" customHeight="false" outlineLevel="0" collapsed="false">
      <c r="A27" s="1" t="s">
        <v>854</v>
      </c>
      <c r="B27" s="0" t="s">
        <v>95</v>
      </c>
      <c r="E27" s="6" t="n">
        <f aca="false">Q!M35-Q!M36-Q!M43</f>
        <v>63.886</v>
      </c>
      <c r="F27" s="6" t="n">
        <f aca="false">CF!F21-CF!F24-CF!F26</f>
        <v>5.03626311954508</v>
      </c>
      <c r="G27" s="6" t="n">
        <f aca="false">CF!G21-CF!G24-CF!G26</f>
        <v>43.522083407607</v>
      </c>
      <c r="H27" s="6" t="n">
        <f aca="false">CF!H21-CF!H24-CF!H26</f>
        <v>94.5243442800126</v>
      </c>
      <c r="I27" s="6" t="n">
        <f aca="false">CF!I21-CF!I24-CF!I26</f>
        <v>113.879036669792</v>
      </c>
      <c r="J27" s="6" t="n">
        <f aca="false">CF!J21-CF!J24-CF!J26</f>
        <v>146.981777156448</v>
      </c>
      <c r="K27" s="6" t="n">
        <f aca="false">CF!K21-CF!K24-CF!K26</f>
        <v>149.801826377031</v>
      </c>
      <c r="L27" s="11" t="s">
        <v>855</v>
      </c>
    </row>
    <row r="28" customFormat="false" ht="15" hidden="false" customHeight="false" outlineLevel="0" collapsed="false">
      <c r="A28" s="1" t="s">
        <v>856</v>
      </c>
      <c r="B28" s="0" t="s">
        <v>73</v>
      </c>
      <c r="F28" s="8" t="n">
        <f aca="false">dps_27</f>
        <v>3.85</v>
      </c>
      <c r="G28" s="8" t="n">
        <f aca="false">CF!F28*(1+dps_g)</f>
        <v>4.158</v>
      </c>
      <c r="H28" s="8" t="n">
        <f aca="false">CF!G28*(1+dps_g)</f>
        <v>4.49064</v>
      </c>
      <c r="I28" s="8" t="n">
        <f aca="false">CF!H28*(1+dps_g)</f>
        <v>4.8498912</v>
      </c>
      <c r="J28" s="8" t="n">
        <f aca="false">CF!I28*(1+dps_g)</f>
        <v>5.237882496</v>
      </c>
      <c r="K28" s="8" t="n">
        <f aca="false">CF!J28*(1+dps_g)</f>
        <v>5.65691309568</v>
      </c>
    </row>
    <row r="29" customFormat="false" ht="17.15" hidden="false" customHeight="false" outlineLevel="0" collapsed="false">
      <c r="A29" s="1" t="s">
        <v>857</v>
      </c>
      <c r="B29" s="0" t="s">
        <v>95</v>
      </c>
      <c r="E29" s="6" t="n">
        <f aca="false">Q!M41</f>
        <v>26.445</v>
      </c>
      <c r="F29" s="6" t="n">
        <f aca="false">CF!F28*CF!E38</f>
        <v>28.59395</v>
      </c>
      <c r="G29" s="6" t="n">
        <f aca="false">CF!G28*CF!F38</f>
        <v>31.068576</v>
      </c>
      <c r="H29" s="6" t="n">
        <f aca="false">CF!H28*CF!G38</f>
        <v>33.6625867146429</v>
      </c>
      <c r="I29" s="6" t="n">
        <f aca="false">CF!I28*CF!H38</f>
        <v>36.4065328918138</v>
      </c>
      <c r="J29" s="6" t="n">
        <f aca="false">CF!J28*CF!I38</f>
        <v>39.3874543714784</v>
      </c>
      <c r="K29" s="6" t="n">
        <f aca="false">CF!K28*CF!J38</f>
        <v>42.6257059465017</v>
      </c>
      <c r="L29" s="1" t="s">
        <v>858</v>
      </c>
    </row>
    <row r="30" customFormat="false" ht="15" hidden="false" customHeight="false" outlineLevel="0" collapsed="false">
      <c r="A30" s="1" t="s">
        <v>859</v>
      </c>
      <c r="B30" s="0" t="s">
        <v>95</v>
      </c>
      <c r="E30" s="6" t="n">
        <f aca="false">CF!E27-CF!E29</f>
        <v>37.441</v>
      </c>
      <c r="F30" s="6" t="n">
        <f aca="false">CF!F27-CF!F29</f>
        <v>-23.5576868804549</v>
      </c>
      <c r="G30" s="6" t="n">
        <f aca="false">CF!G27-CF!G29</f>
        <v>12.453507407607</v>
      </c>
      <c r="H30" s="6" t="n">
        <f aca="false">CF!H27-CF!H29</f>
        <v>60.8617575653697</v>
      </c>
      <c r="I30" s="6" t="n">
        <f aca="false">CF!I27-CF!I29</f>
        <v>77.472503777978</v>
      </c>
      <c r="J30" s="6" t="n">
        <f aca="false">CF!J27-CF!J29</f>
        <v>107.59432278497</v>
      </c>
      <c r="K30" s="6" t="n">
        <f aca="false">CF!K27-CF!K29</f>
        <v>107.176120430529</v>
      </c>
    </row>
    <row r="31" customFormat="false" ht="15" hidden="false" customHeight="false" outlineLevel="0" collapsed="false">
      <c r="A31" s="1" t="s">
        <v>860</v>
      </c>
      <c r="B31" s="0" t="s">
        <v>95</v>
      </c>
      <c r="F31" s="6" t="n">
        <f aca="false">debt_mat_27</f>
        <v>9.25</v>
      </c>
      <c r="G31" s="6" t="n">
        <f aca="false">debt_mat_28</f>
        <v>0</v>
      </c>
      <c r="H31" s="6" t="n">
        <f aca="false">debt_mat_29</f>
        <v>2.001</v>
      </c>
      <c r="I31" s="6" t="n">
        <f aca="false">debt_mat_30</f>
        <v>0</v>
      </c>
      <c r="J31" s="6" t="n">
        <f aca="false">debt_mat_31</f>
        <v>0.5</v>
      </c>
      <c r="K31" s="6" t="n">
        <f aca="false">debt_mat_32</f>
        <v>0</v>
      </c>
    </row>
    <row r="32" customFormat="false" ht="15" hidden="false" customHeight="false" outlineLevel="0" collapsed="false">
      <c r="A32" s="1" t="s">
        <v>861</v>
      </c>
      <c r="B32" s="0" t="s">
        <v>95</v>
      </c>
      <c r="E32" s="6" t="n">
        <f aca="false">Q!M40</f>
        <v>22.271</v>
      </c>
      <c r="F32" s="6" t="n">
        <f aca="false">MAX(0,MIN(bb_target,CF!E34+CF!F30-CF!F31-min_cash))</f>
        <v>0</v>
      </c>
      <c r="G32" s="6" t="n">
        <f aca="false">MAX(0,MIN(bb_target,CF!F34+CF!G30-CF!G31-min_cash))</f>
        <v>12.453507407607</v>
      </c>
      <c r="H32" s="6" t="n">
        <f aca="false">MAX(0,MIN(bb_target,CF!G34+CF!H30-CF!H31-min_cash))</f>
        <v>22.271</v>
      </c>
      <c r="I32" s="6" t="n">
        <f aca="false">MAX(0,MIN(bb_target,CF!H34+CF!I30-CF!I31-min_cash))</f>
        <v>22.271</v>
      </c>
      <c r="J32" s="6" t="n">
        <f aca="false">MAX(0,MIN(bb_target,CF!I34+CF!J30-CF!J31-min_cash))</f>
        <v>22.271</v>
      </c>
      <c r="K32" s="6" t="n">
        <f aca="false">MAX(0,MIN(bb_target,CF!J34+CF!K30-CF!K31-min_cash))</f>
        <v>22.271</v>
      </c>
    </row>
    <row r="33" customFormat="false" ht="15" hidden="false" customHeight="false" outlineLevel="0" collapsed="false">
      <c r="A33" s="1" t="s">
        <v>862</v>
      </c>
      <c r="B33" s="0" t="s">
        <v>95</v>
      </c>
      <c r="F33" s="6" t="n">
        <f aca="false">MAX(0,min_cash-(CF!E34+CF!F30-CF!F31-CF!F32))</f>
        <v>5.96468688045492</v>
      </c>
      <c r="G33" s="6" t="n">
        <f aca="false">MAX(0,min_cash-(CF!F34+CF!G30-CF!G31-CF!G32))</f>
        <v>0</v>
      </c>
      <c r="H33" s="6" t="n">
        <f aca="false">MAX(0,min_cash-(CF!G34+CF!H30-CF!H31-CF!H32))</f>
        <v>0</v>
      </c>
      <c r="I33" s="6" t="n">
        <f aca="false">MAX(0,min_cash-(CF!H34+CF!I30-CF!I31-CF!I32))</f>
        <v>0</v>
      </c>
      <c r="J33" s="6" t="n">
        <f aca="false">MAX(0,min_cash-(CF!I34+CF!J30-CF!J31-CF!J32))</f>
        <v>0</v>
      </c>
      <c r="K33" s="6" t="n">
        <f aca="false">MAX(0,min_cash-(CF!J34+CF!K30-CF!K31-CF!K32))</f>
        <v>0</v>
      </c>
    </row>
    <row r="34" customFormat="false" ht="15" hidden="false" customHeight="false" outlineLevel="0" collapsed="false">
      <c r="A34" s="1" t="s">
        <v>863</v>
      </c>
      <c r="B34" s="0" t="s">
        <v>95</v>
      </c>
      <c r="E34" s="6" t="n">
        <f aca="false">cash_open</f>
        <v>76.843</v>
      </c>
      <c r="F34" s="6" t="n">
        <f aca="false">CF!E34+CF!F30-CF!F31-CF!F32+CF!F33</f>
        <v>50</v>
      </c>
      <c r="G34" s="6" t="n">
        <f aca="false">CF!F34+CF!G30-CF!G31-CF!G32+CF!G33</f>
        <v>50</v>
      </c>
      <c r="H34" s="6" t="n">
        <f aca="false">CF!G34+CF!H30-CF!H31-CF!H32+CF!H33</f>
        <v>86.5897575653697</v>
      </c>
      <c r="I34" s="6" t="n">
        <f aca="false">CF!H34+CF!I30-CF!I31-CF!I32+CF!I33</f>
        <v>141.791261343348</v>
      </c>
      <c r="J34" s="6" t="n">
        <f aca="false">CF!I34+CF!J30-CF!J31-CF!J32+CF!J33</f>
        <v>226.614584128317</v>
      </c>
      <c r="K34" s="6" t="n">
        <f aca="false">CF!J34+CF!K30-CF!K31-CF!K32+CF!K33</f>
        <v>311.519704558846</v>
      </c>
    </row>
    <row r="35" customFormat="false" ht="15" hidden="false" customHeight="false" outlineLevel="0" collapsed="false">
      <c r="A35" s="1" t="s">
        <v>864</v>
      </c>
      <c r="B35" s="0" t="s">
        <v>95</v>
      </c>
      <c r="E35" s="6" t="n">
        <f aca="false">debt_face</f>
        <v>46.136</v>
      </c>
      <c r="F35" s="6" t="n">
        <f aca="false">CF!E35-CF!F31+CF!F33</f>
        <v>42.8506868804549</v>
      </c>
      <c r="G35" s="6" t="n">
        <f aca="false">CF!F35-CF!G31+CF!G33</f>
        <v>42.8506868804549</v>
      </c>
      <c r="H35" s="6" t="n">
        <f aca="false">CF!G35-CF!H31+CF!H33</f>
        <v>40.8496868804549</v>
      </c>
      <c r="I35" s="6" t="n">
        <f aca="false">CF!H35-CF!I31+CF!I33</f>
        <v>40.8496868804549</v>
      </c>
      <c r="J35" s="6" t="n">
        <f aca="false">CF!I35-CF!J31+CF!J33</f>
        <v>40.3496868804549</v>
      </c>
      <c r="K35" s="6" t="n">
        <f aca="false">CF!J35-CF!K31+CF!K33</f>
        <v>40.3496868804549</v>
      </c>
    </row>
    <row r="36" customFormat="false" ht="15" hidden="false" customHeight="false" outlineLevel="0" collapsed="false">
      <c r="A36" s="1" t="s">
        <v>865</v>
      </c>
      <c r="B36" s="0" t="s">
        <v>95</v>
      </c>
      <c r="E36" s="6" t="n">
        <f aca="false">CF!E34-CF!E35</f>
        <v>30.707</v>
      </c>
      <c r="F36" s="6" t="n">
        <f aca="false">CF!F34-CF!F35</f>
        <v>7.14931311954508</v>
      </c>
      <c r="G36" s="6" t="n">
        <f aca="false">CF!G34-CF!G35</f>
        <v>7.14931311954508</v>
      </c>
      <c r="H36" s="6" t="n">
        <f aca="false">CF!H34-CF!H35</f>
        <v>45.7400706849148</v>
      </c>
      <c r="I36" s="6" t="n">
        <f aca="false">CF!I34-CF!I35</f>
        <v>100.941574462893</v>
      </c>
      <c r="J36" s="6" t="n">
        <f aca="false">CF!J34-CF!J35</f>
        <v>186.264897247862</v>
      </c>
      <c r="K36" s="6" t="n">
        <f aca="false">CF!K34-CF!K35</f>
        <v>271.170017678392</v>
      </c>
    </row>
    <row r="37" customFormat="false" ht="15" hidden="false" customHeight="false" outlineLevel="0" collapsed="false">
      <c r="A37" s="1" t="s">
        <v>866</v>
      </c>
      <c r="B37" s="0" t="s">
        <v>73</v>
      </c>
      <c r="F37" s="27" t="n">
        <f aca="false">px*(1+bb_g)^(1-0.5)</f>
        <v>553.494156066711</v>
      </c>
      <c r="G37" s="27" t="n">
        <f aca="false">px*(1+bb_g)^(2-0.5)</f>
        <v>597.773688552047</v>
      </c>
      <c r="H37" s="27" t="n">
        <f aca="false">px*(1+bb_g)^(3-0.5)</f>
        <v>645.595583636211</v>
      </c>
      <c r="I37" s="27" t="n">
        <f aca="false">px*(1+bb_g)^(4-0.5)</f>
        <v>697.243230327108</v>
      </c>
      <c r="J37" s="27" t="n">
        <f aca="false">px*(1+bb_g)^(5-0.5)</f>
        <v>753.022688753277</v>
      </c>
      <c r="K37" s="27" t="n">
        <f aca="false">px*(1+bb_g)^(6-0.5)</f>
        <v>813.264503853539</v>
      </c>
    </row>
    <row r="38" customFormat="false" ht="15" hidden="false" customHeight="false" outlineLevel="0" collapsed="false">
      <c r="A38" s="1" t="s">
        <v>867</v>
      </c>
      <c r="B38" s="1" t="s">
        <v>79</v>
      </c>
      <c r="E38" s="18" t="n">
        <f aca="false">sh_out26</f>
        <v>7.427</v>
      </c>
      <c r="F38" s="18" t="n">
        <f aca="false">CF!E38+sh_iss-CF!F32/CF!F37</f>
        <v>7.472</v>
      </c>
      <c r="G38" s="18" t="n">
        <f aca="false">CF!F38+sh_iss-CF!G32/CF!G37</f>
        <v>7.49616685252947</v>
      </c>
      <c r="H38" s="18" t="n">
        <f aca="false">CF!G38+sh_iss-CF!H32/CF!H37</f>
        <v>7.50667002422937</v>
      </c>
      <c r="I38" s="18" t="n">
        <f aca="false">CF!H38+sh_iss-CF!I32/CF!I37</f>
        <v>7.5197285165441</v>
      </c>
      <c r="J38" s="18" t="n">
        <f aca="false">CF!I38+sh_iss-CF!J32/CF!J37</f>
        <v>7.53515304646514</v>
      </c>
      <c r="K38" s="18" t="n">
        <f aca="false">CF!J38+sh_iss-CF!K32/CF!K37</f>
        <v>7.55276835194758</v>
      </c>
    </row>
    <row r="39" customFormat="false" ht="15" hidden="false" customHeight="false" outlineLevel="0" collapsed="false">
      <c r="A39" s="1" t="s">
        <v>868</v>
      </c>
      <c r="B39" s="1" t="s">
        <v>79</v>
      </c>
      <c r="E39" s="18" t="n">
        <f aca="false">sh_dil26</f>
        <v>7.453</v>
      </c>
      <c r="F39" s="18" t="n">
        <f aca="false">(CF!E38+CF!F38)/2+dil_gap</f>
        <v>7.4735</v>
      </c>
      <c r="G39" s="18" t="n">
        <f aca="false">(CF!F38+CF!G38)/2+dil_gap</f>
        <v>7.50808342626474</v>
      </c>
      <c r="H39" s="18" t="n">
        <f aca="false">(CF!G38+CF!H38)/2+dil_gap</f>
        <v>7.52541843837942</v>
      </c>
      <c r="I39" s="18" t="n">
        <f aca="false">(CF!H38+CF!I38)/2+dil_gap</f>
        <v>7.53719927038673</v>
      </c>
      <c r="J39" s="18" t="n">
        <f aca="false">(CF!I38+CF!J38)/2+dil_gap</f>
        <v>7.55144078150462</v>
      </c>
      <c r="K39" s="18" t="n">
        <f aca="false">(CF!J38+CF!K38)/2+dil_gap</f>
        <v>7.56796069920636</v>
      </c>
    </row>
    <row r="40" customFormat="false" ht="17.15" hidden="false" customHeight="false" outlineLevel="0" collapsed="false">
      <c r="A40" s="1" t="s">
        <v>869</v>
      </c>
      <c r="B40" s="0" t="s">
        <v>95</v>
      </c>
      <c r="C40" s="6" t="n">
        <f aca="false">SUM(CF!F30:CF30)</f>
        <v>342.000525085999</v>
      </c>
    </row>
    <row r="41" customFormat="false" ht="17.15" hidden="false" customHeight="false" outlineLevel="0" collapsed="false">
      <c r="A41" s="1" t="s">
        <v>836</v>
      </c>
      <c r="B41" s="1" t="s">
        <v>870</v>
      </c>
      <c r="C41" s="30" t="str">
        <f aca="false">IF(SUM(CF!F33:CF33)&gt;0.05,"需要舉債 "&amp;TEXT(SUM(CF!F33:CF33),"0.0")&amp;" 十億美元","不需舉債")&amp;"；"&amp;IF(SUM(CF!F32:CF32)&lt;5*bb_target-0.05,"回購較每年 "&amp;TEXT(bb_target,"0.0")&amp;" 的目標少 "&amp;TEXT(5*bb_target-SUM(CF!F32:CF32),"0.0")&amp;" 十億美元（"&amp;TEXT(COUNTIF(CF!F32:CF32,"&lt;"&amp;(bb_target-0.05)),"0")&amp;" 年減少）","回購不減")</f>
        <v>需要舉債 6.0 十億美元；回購較每年 22.3 的目標少 9.8 十億美元（2 年減少）</v>
      </c>
    </row>
    <row r="42" customFormat="false" ht="17.15" hidden="false" customHeight="false" outlineLevel="0" collapsed="false">
      <c r="A42" s="3" t="s">
        <v>871</v>
      </c>
    </row>
    <row r="43" customFormat="false" ht="15" hidden="false" customHeight="false" outlineLevel="0" collapsed="false">
      <c r="A43" s="4" t="s">
        <v>43</v>
      </c>
      <c r="B43" s="4" t="s">
        <v>63</v>
      </c>
      <c r="C43" s="19" t="s">
        <v>710</v>
      </c>
      <c r="D43" s="19" t="s">
        <v>711</v>
      </c>
      <c r="E43" s="19" t="s">
        <v>712</v>
      </c>
      <c r="F43" s="19" t="s">
        <v>713</v>
      </c>
      <c r="G43" s="19" t="s">
        <v>714</v>
      </c>
      <c r="H43" s="19" t="s">
        <v>715</v>
      </c>
      <c r="I43" s="19" t="s">
        <v>716</v>
      </c>
      <c r="J43" s="19" t="s">
        <v>717</v>
      </c>
      <c r="K43" s="19" t="s">
        <v>718</v>
      </c>
      <c r="L43" s="4" t="s">
        <v>47</v>
      </c>
    </row>
    <row r="44" customFormat="false" ht="15" hidden="false" customHeight="false" outlineLevel="0" collapsed="false">
      <c r="A44" s="1" t="s">
        <v>825</v>
      </c>
      <c r="B44" s="0" t="s">
        <v>95</v>
      </c>
      <c r="F44" s="6" t="n">
        <f aca="false">PL!F78</f>
        <v>141.194870249209</v>
      </c>
      <c r="G44" s="6" t="n">
        <f aca="false">PL!G78</f>
        <v>157.331031204333</v>
      </c>
      <c r="H44" s="6" t="n">
        <f aca="false">PL!H78</f>
        <v>173.625405100343</v>
      </c>
      <c r="I44" s="6" t="n">
        <f aca="false">PL!I78</f>
        <v>188.228810385478</v>
      </c>
      <c r="J44" s="6" t="n">
        <f aca="false">PL!J78</f>
        <v>200.513139158241</v>
      </c>
      <c r="K44" s="6" t="n">
        <f aca="false">PL!K78</f>
        <v>210.25550538723</v>
      </c>
    </row>
    <row r="45" customFormat="false" ht="17.15" hidden="false" customHeight="false" outlineLevel="0" collapsed="false">
      <c r="A45" s="1" t="s">
        <v>843</v>
      </c>
      <c r="B45" s="0" t="s">
        <v>95</v>
      </c>
      <c r="E45" s="6" t="n">
        <f aca="false">Q!M38-Thesis!E81</f>
        <v>22.2285940229167</v>
      </c>
      <c r="F45" s="6" t="n">
        <f aca="false">CF!E45*(1-1/life_nonai)+CF!F51/life_nonai</f>
        <v>23.5636693435813</v>
      </c>
      <c r="G45" s="6" t="n">
        <f aca="false">CF!F45*(1-1/life_nonai)+CF!G51/life_nonai</f>
        <v>25.3225917662621</v>
      </c>
      <c r="H45" s="6" t="n">
        <f aca="false">CF!G45*(1-1/life_nonai)+CF!H51/life_nonai</f>
        <v>27.4714839540448</v>
      </c>
      <c r="I45" s="6" t="n">
        <f aca="false">CF!H45*(1-1/life_nonai)+CF!I51/life_nonai</f>
        <v>29.9441755898047</v>
      </c>
      <c r="J45" s="6" t="n">
        <f aca="false">CF!I45*(1-1/life_nonai)+CF!J51/life_nonai</f>
        <v>32.6578493558616</v>
      </c>
      <c r="K45" s="6" t="n">
        <f aca="false">CF!J45*(1-1/life_nonai)+CF!K51/life_nonai</f>
        <v>35.5289346944749</v>
      </c>
      <c r="L45" s="11" t="s">
        <v>844</v>
      </c>
    </row>
    <row r="46" customFormat="false" ht="17.15" hidden="false" customHeight="false" outlineLevel="0" collapsed="false">
      <c r="A46" s="1" t="s">
        <v>845</v>
      </c>
      <c r="B46" s="0" t="s">
        <v>95</v>
      </c>
      <c r="E46" s="6" t="n">
        <f aca="false">Thesis!E81+CF!E45</f>
        <v>38.534</v>
      </c>
      <c r="F46" s="6" t="n">
        <f aca="false">Thesis!F81+CF!F45</f>
        <v>58.304204799451</v>
      </c>
      <c r="G46" s="6" t="n">
        <f aca="false">Thesis!G81+CF!G45</f>
        <v>85.8293250266017</v>
      </c>
      <c r="H46" s="6" t="n">
        <f aca="false">Thesis!H81+CF!H45</f>
        <v>115.213799947184</v>
      </c>
      <c r="I46" s="6" t="n">
        <f aca="false">Thesis!I81+CF!I45</f>
        <v>145.941357330928</v>
      </c>
      <c r="J46" s="6" t="n">
        <f aca="false">Thesis!J81+CF!J45</f>
        <v>177.882127314135</v>
      </c>
      <c r="K46" s="6" t="n">
        <f aca="false">Thesis!K81+CF!K45</f>
        <v>211.267857329064</v>
      </c>
    </row>
    <row r="47" customFormat="false" ht="15" hidden="false" customHeight="false" outlineLevel="0" collapsed="false">
      <c r="A47" s="1" t="s">
        <v>685</v>
      </c>
      <c r="B47" s="0" t="s">
        <v>95</v>
      </c>
      <c r="F47" s="6" t="n">
        <f aca="false">Seg!F56*sbc_r</f>
        <v>14.9308704941267</v>
      </c>
      <c r="G47" s="6" t="n">
        <f aca="false">Seg!G56*sbc_r</f>
        <v>17.7641108812713</v>
      </c>
      <c r="H47" s="6" t="n">
        <f aca="false">Seg!H56*sbc_r</f>
        <v>20.6640880611968</v>
      </c>
      <c r="I47" s="6" t="n">
        <f aca="false">Seg!I56*sbc_r</f>
        <v>23.4969326339241</v>
      </c>
      <c r="J47" s="6" t="n">
        <f aca="false">Seg!J56*sbc_r</f>
        <v>26.2083031015503</v>
      </c>
      <c r="K47" s="6" t="n">
        <f aca="false">Seg!K56*sbc_r</f>
        <v>28.8002841446643</v>
      </c>
    </row>
    <row r="48" customFormat="false" ht="17.15" hidden="false" customHeight="false" outlineLevel="0" collapsed="false">
      <c r="A48" s="1" t="s">
        <v>846</v>
      </c>
      <c r="B48" s="0" t="s">
        <v>95</v>
      </c>
      <c r="F48" s="6" t="n">
        <f aca="false">wc27</f>
        <v>-4.895</v>
      </c>
      <c r="G48" s="6" t="n">
        <f aca="false">0</f>
        <v>0</v>
      </c>
      <c r="H48" s="6" t="n">
        <f aca="false">0</f>
        <v>0</v>
      </c>
      <c r="I48" s="6" t="n">
        <f aca="false">0</f>
        <v>0</v>
      </c>
      <c r="J48" s="6" t="n">
        <f aca="false">0</f>
        <v>0</v>
      </c>
      <c r="K48" s="6" t="n">
        <f aca="false">0</f>
        <v>0</v>
      </c>
      <c r="L48" s="11" t="s">
        <v>847</v>
      </c>
    </row>
    <row r="49" customFormat="false" ht="15" hidden="false" customHeight="false" outlineLevel="0" collapsed="false">
      <c r="A49" s="1" t="s">
        <v>678</v>
      </c>
      <c r="B49" s="0" t="s">
        <v>95</v>
      </c>
      <c r="E49" s="6" t="n">
        <f aca="false">Q!M35</f>
        <v>182.935</v>
      </c>
      <c r="F49" s="6" t="n">
        <f aca="false">CF!F44+CF!F46+CF!F47+CF!F48</f>
        <v>209.534945542787</v>
      </c>
      <c r="G49" s="6" t="n">
        <f aca="false">CF!G44+CF!G46+CF!G47+CF!G48</f>
        <v>260.924467112206</v>
      </c>
      <c r="H49" s="6" t="n">
        <f aca="false">CF!H44+CF!H46+CF!H47+CF!H48</f>
        <v>309.503293108724</v>
      </c>
      <c r="I49" s="6" t="n">
        <f aca="false">CF!I44+CF!I46+CF!I47+CF!I48</f>
        <v>357.66710035033</v>
      </c>
      <c r="J49" s="6" t="n">
        <f aca="false">CF!J44+CF!J46+CF!J47+CF!J48</f>
        <v>404.603569573926</v>
      </c>
      <c r="K49" s="6" t="n">
        <f aca="false">CF!K44+CF!K46+CF!K47+CF!K48</f>
        <v>450.323646860959</v>
      </c>
    </row>
    <row r="50" customFormat="false" ht="17.15" hidden="false" customHeight="false" outlineLevel="0" collapsed="false">
      <c r="A50" s="0" t="s">
        <v>848</v>
      </c>
      <c r="B50" s="0" t="s">
        <v>95</v>
      </c>
      <c r="F50" s="6" t="n">
        <f aca="false">Thesis!F78</f>
        <v>168.620652770438</v>
      </c>
      <c r="G50" s="6" t="n">
        <f aca="false">Thesis!G78</f>
        <v>183.5741804832</v>
      </c>
      <c r="H50" s="6" t="n">
        <f aca="false">Thesis!H78</f>
        <v>188.0802859104</v>
      </c>
      <c r="I50" s="6" t="n">
        <f aca="false">Thesis!I78</f>
        <v>218.338961257067</v>
      </c>
      <c r="J50" s="6" t="n">
        <f aca="false">Thesis!J78</f>
        <v>233.777060923733</v>
      </c>
      <c r="K50" s="6" t="n">
        <f aca="false">Thesis!K78</f>
        <v>278.8563119504</v>
      </c>
    </row>
    <row r="51" customFormat="false" ht="17.15" hidden="false" customHeight="false" outlineLevel="0" collapsed="false">
      <c r="A51" s="1" t="s">
        <v>849</v>
      </c>
      <c r="B51" s="0" t="s">
        <v>95</v>
      </c>
      <c r="E51" s="6" t="n">
        <f aca="false">Seg!E34*cx_azo+Seg!E41*cx_m365+Seg!E42*cx_lic+(Seg!E44+Seg!E46)*cx_ind+Seg!E49*cx_srch+(Seg!E51+Seg!E53)*cx_dev</f>
        <v>30.1846587067718</v>
      </c>
      <c r="F51" s="6" t="n">
        <f aca="false">Seg!F34*cx_azo+Seg!F41*cx_m365+Seg!F42*cx_lic+(Seg!F44+Seg!F46)*cx_ind+Seg!F49*cx_srch+(Seg!F51+Seg!F53)*cx_dev</f>
        <v>35.5793472295625</v>
      </c>
      <c r="G51" s="6" t="n">
        <f aca="false">Seg!G34*cx_azo+Seg!G41*cx_m365+Seg!G42*cx_lic+(Seg!G44+Seg!G46)*cx_ind+Seg!G49*cx_srch+(Seg!G51+Seg!G53)*cx_dev</f>
        <v>41.1528935703892</v>
      </c>
      <c r="H51" s="6" t="n">
        <f aca="false">Seg!H34*cx_azo+Seg!H41*cx_m365+Seg!H42*cx_lic+(Seg!H44+Seg!H46)*cx_ind+Seg!H49*cx_srch+(Seg!H51+Seg!H53)*cx_dev</f>
        <v>46.8115136440897</v>
      </c>
      <c r="I51" s="6" t="n">
        <f aca="false">Seg!I34*cx_azo+Seg!I41*cx_m365+Seg!I42*cx_lic+(Seg!I44+Seg!I46)*cx_ind+Seg!I49*cx_srch+(Seg!I51+Seg!I53)*cx_dev</f>
        <v>52.1984003116439</v>
      </c>
      <c r="J51" s="6" t="n">
        <f aca="false">Seg!J34*cx_azo+Seg!J41*cx_m365+Seg!J42*cx_lic+(Seg!J44+Seg!J46)*cx_ind+Seg!J49*cx_srch+(Seg!J51+Seg!J53)*cx_dev</f>
        <v>57.0809132503738</v>
      </c>
      <c r="K51" s="6" t="n">
        <f aca="false">Seg!K34*cx_azo+Seg!K41*cx_m365+Seg!K42*cx_lic+(Seg!K44+Seg!K46)*cx_ind+Seg!K49*cx_srch+(Seg!K51+Seg!K53)*cx_dev</f>
        <v>61.368702741994</v>
      </c>
    </row>
    <row r="52" customFormat="false" ht="17.15" hidden="false" customHeight="false" outlineLevel="0" collapsed="false">
      <c r="A52" s="1" t="s">
        <v>850</v>
      </c>
      <c r="B52" s="0" t="s">
        <v>95</v>
      </c>
      <c r="E52" s="6" t="n">
        <f aca="false">Q!M42</f>
        <v>145.3</v>
      </c>
      <c r="F52" s="6" t="n">
        <f aca="false">CF!F50+CF!F51</f>
        <v>204.2</v>
      </c>
      <c r="G52" s="6" t="n">
        <f aca="false">CF!G50+CF!G51</f>
        <v>224.727074053589</v>
      </c>
      <c r="H52" s="6" t="n">
        <f aca="false">CF!H50+CF!H51</f>
        <v>234.89179955449</v>
      </c>
      <c r="I52" s="6" t="n">
        <f aca="false">CF!I50+CF!I51</f>
        <v>270.537361568711</v>
      </c>
      <c r="J52" s="6" t="n">
        <f aca="false">CF!J50+CF!J51</f>
        <v>290.857974174107</v>
      </c>
      <c r="K52" s="6" t="n">
        <f aca="false">CF!K50+CF!K51</f>
        <v>340.225014692394</v>
      </c>
      <c r="L52" s="1" t="s">
        <v>851</v>
      </c>
    </row>
    <row r="53" customFormat="false" ht="15" hidden="false" customHeight="false" outlineLevel="0" collapsed="false">
      <c r="A53" s="1" t="s">
        <v>852</v>
      </c>
      <c r="B53" s="0" t="s">
        <v>95</v>
      </c>
      <c r="E53" s="6" t="n">
        <f aca="false">fl_liab</f>
        <v>66.594</v>
      </c>
      <c r="F53" s="6" t="n">
        <f aca="false">CF!E53-CF!F54</f>
        <v>62.46973</v>
      </c>
      <c r="G53" s="6" t="n">
        <f aca="false">CF!F53-CF!G54</f>
        <v>57.98686785</v>
      </c>
      <c r="H53" s="6" t="n">
        <f aca="false">CF!G53-CF!H54</f>
        <v>53.92827690325</v>
      </c>
      <c r="I53" s="6" t="n">
        <f aca="false">CF!H53-CF!I54</f>
        <v>49.7850493638962</v>
      </c>
      <c r="J53" s="6" t="n">
        <f aca="false">CF!I53-CF!J54</f>
        <v>45.4823765852716</v>
      </c>
      <c r="K53" s="6" t="n">
        <f aca="false">CF!J53-CF!K54</f>
        <v>40.9860835316088</v>
      </c>
    </row>
    <row r="54" customFormat="false" ht="15" hidden="false" customHeight="false" outlineLevel="0" collapsed="false">
      <c r="A54" s="1" t="s">
        <v>853</v>
      </c>
      <c r="B54" s="0" t="s">
        <v>95</v>
      </c>
      <c r="F54" s="6" t="n">
        <f aca="false">fl_pay_27-CF!E53*fl_rate</f>
        <v>4.12427</v>
      </c>
      <c r="G54" s="6" t="n">
        <f aca="false">fl_pay_28-CF!F53*fl_rate</f>
        <v>4.48286215</v>
      </c>
      <c r="H54" s="6" t="n">
        <f aca="false">fl_pay_29-CF!G53*fl_rate</f>
        <v>4.05859094675</v>
      </c>
      <c r="I54" s="6" t="n">
        <f aca="false">fl_pay_30-CF!H53*fl_rate</f>
        <v>4.14322753935375</v>
      </c>
      <c r="J54" s="6" t="n">
        <f aca="false">fl_pay_31-CF!I53*fl_rate</f>
        <v>4.30267277862467</v>
      </c>
      <c r="K54" s="6" t="n">
        <f aca="false">fl_pay_32-CF!J53*fl_rate</f>
        <v>4.49629305366278</v>
      </c>
    </row>
    <row r="55" customFormat="false" ht="17.15" hidden="false" customHeight="false" outlineLevel="0" collapsed="false">
      <c r="A55" s="1" t="s">
        <v>854</v>
      </c>
      <c r="B55" s="0" t="s">
        <v>95</v>
      </c>
      <c r="E55" s="6" t="n">
        <f aca="false">Q!M35-Q!M36-Q!M43</f>
        <v>63.886</v>
      </c>
      <c r="F55" s="6" t="n">
        <f aca="false">CF!F49-CF!F52-CF!F54</f>
        <v>1.2106755427865</v>
      </c>
      <c r="G55" s="6" t="n">
        <f aca="false">CF!G49-CF!G52-CF!G54</f>
        <v>31.7145309086171</v>
      </c>
      <c r="H55" s="6" t="n">
        <f aca="false">CF!H49-CF!H52-CF!H54</f>
        <v>70.5529026074843</v>
      </c>
      <c r="I55" s="6" t="n">
        <f aca="false">CF!I49-CF!I52-CF!I54</f>
        <v>82.9865112422658</v>
      </c>
      <c r="J55" s="6" t="n">
        <f aca="false">CF!J49-CF!J52-CF!J54</f>
        <v>109.442922621194</v>
      </c>
      <c r="K55" s="6" t="n">
        <f aca="false">CF!K49-CF!K52-CF!K54</f>
        <v>105.602339114902</v>
      </c>
      <c r="L55" s="11" t="s">
        <v>855</v>
      </c>
    </row>
    <row r="56" customFormat="false" ht="15" hidden="false" customHeight="false" outlineLevel="0" collapsed="false">
      <c r="A56" s="1" t="s">
        <v>856</v>
      </c>
      <c r="B56" s="0" t="s">
        <v>73</v>
      </c>
      <c r="F56" s="8" t="n">
        <f aca="false">dps_27</f>
        <v>3.85</v>
      </c>
      <c r="G56" s="8" t="n">
        <f aca="false">CF!F56*(1+dps_g)</f>
        <v>4.158</v>
      </c>
      <c r="H56" s="8" t="n">
        <f aca="false">CF!G56*(1+dps_g)</f>
        <v>4.49064</v>
      </c>
      <c r="I56" s="8" t="n">
        <f aca="false">CF!H56*(1+dps_g)</f>
        <v>4.8498912</v>
      </c>
      <c r="J56" s="8" t="n">
        <f aca="false">CF!I56*(1+dps_g)</f>
        <v>5.237882496</v>
      </c>
      <c r="K56" s="8" t="n">
        <f aca="false">CF!J56*(1+dps_g)</f>
        <v>5.65691309568</v>
      </c>
    </row>
    <row r="57" customFormat="false" ht="17.15" hidden="false" customHeight="false" outlineLevel="0" collapsed="false">
      <c r="A57" s="1" t="s">
        <v>857</v>
      </c>
      <c r="B57" s="0" t="s">
        <v>95</v>
      </c>
      <c r="E57" s="6" t="n">
        <f aca="false">Q!M41</f>
        <v>26.445</v>
      </c>
      <c r="F57" s="6" t="n">
        <f aca="false">CF!F56*CF!E66</f>
        <v>28.59395</v>
      </c>
      <c r="G57" s="6" t="n">
        <f aca="false">CF!G56*CF!F66</f>
        <v>31.068576</v>
      </c>
      <c r="H57" s="6" t="n">
        <f aca="false">CF!H56*CF!G66</f>
        <v>33.7512882894521</v>
      </c>
      <c r="I57" s="6" t="n">
        <f aca="false">CF!I56*CF!H66</f>
        <v>36.5023305926078</v>
      </c>
      <c r="J57" s="6" t="n">
        <f aca="false">CF!J56*CF!I66</f>
        <v>39.4909158883358</v>
      </c>
      <c r="K57" s="6" t="n">
        <f aca="false">CF!K56*CF!J66</f>
        <v>42.7374443847077</v>
      </c>
      <c r="L57" s="1" t="s">
        <v>858</v>
      </c>
    </row>
    <row r="58" customFormat="false" ht="15" hidden="false" customHeight="false" outlineLevel="0" collapsed="false">
      <c r="A58" s="1" t="s">
        <v>859</v>
      </c>
      <c r="B58" s="0" t="s">
        <v>95</v>
      </c>
      <c r="E58" s="6" t="n">
        <f aca="false">CF!E55-CF!E57</f>
        <v>37.441</v>
      </c>
      <c r="F58" s="6" t="n">
        <f aca="false">CF!F55-CF!F57</f>
        <v>-27.3832744572135</v>
      </c>
      <c r="G58" s="6" t="n">
        <f aca="false">CF!G55-CF!G57</f>
        <v>0.645954908617053</v>
      </c>
      <c r="H58" s="6" t="n">
        <f aca="false">CF!H55-CF!H57</f>
        <v>36.8016143180322</v>
      </c>
      <c r="I58" s="6" t="n">
        <f aca="false">CF!I55-CF!I57</f>
        <v>46.484180649658</v>
      </c>
      <c r="J58" s="6" t="n">
        <f aca="false">CF!J55-CF!J57</f>
        <v>69.9520067328584</v>
      </c>
      <c r="K58" s="6" t="n">
        <f aca="false">CF!K55-CF!K57</f>
        <v>62.8648947301943</v>
      </c>
    </row>
    <row r="59" customFormat="false" ht="15" hidden="false" customHeight="false" outlineLevel="0" collapsed="false">
      <c r="A59" s="1" t="s">
        <v>860</v>
      </c>
      <c r="B59" s="0" t="s">
        <v>95</v>
      </c>
      <c r="F59" s="6" t="n">
        <f aca="false">debt_mat_27</f>
        <v>9.25</v>
      </c>
      <c r="G59" s="6" t="n">
        <f aca="false">debt_mat_28</f>
        <v>0</v>
      </c>
      <c r="H59" s="6" t="n">
        <f aca="false">debt_mat_29</f>
        <v>2.001</v>
      </c>
      <c r="I59" s="6" t="n">
        <f aca="false">debt_mat_30</f>
        <v>0</v>
      </c>
      <c r="J59" s="6" t="n">
        <f aca="false">debt_mat_31</f>
        <v>0.5</v>
      </c>
      <c r="K59" s="6" t="n">
        <f aca="false">debt_mat_32</f>
        <v>0</v>
      </c>
    </row>
    <row r="60" customFormat="false" ht="15" hidden="false" customHeight="false" outlineLevel="0" collapsed="false">
      <c r="A60" s="1" t="s">
        <v>861</v>
      </c>
      <c r="B60" s="0" t="s">
        <v>95</v>
      </c>
      <c r="E60" s="6" t="n">
        <f aca="false">Q!M40</f>
        <v>22.271</v>
      </c>
      <c r="F60" s="6" t="n">
        <f aca="false">MAX(0,MIN(bb_target,CF!E62+CF!F58-CF!F59-min_cash))</f>
        <v>0</v>
      </c>
      <c r="G60" s="6" t="n">
        <f aca="false">MAX(0,MIN(bb_target,CF!F62+CF!G58-CF!G59-min_cash))</f>
        <v>0.645954908617057</v>
      </c>
      <c r="H60" s="6" t="n">
        <f aca="false">MAX(0,MIN(bb_target,CF!G62+CF!H58-CF!H59-min_cash))</f>
        <v>22.271</v>
      </c>
      <c r="I60" s="6" t="n">
        <f aca="false">MAX(0,MIN(bb_target,CF!H62+CF!I58-CF!I59-min_cash))</f>
        <v>22.271</v>
      </c>
      <c r="J60" s="6" t="n">
        <f aca="false">MAX(0,MIN(bb_target,CF!I62+CF!J58-CF!J59-min_cash))</f>
        <v>22.271</v>
      </c>
      <c r="K60" s="6" t="n">
        <f aca="false">MAX(0,MIN(bb_target,CF!J62+CF!K58-CF!K59-min_cash))</f>
        <v>22.271</v>
      </c>
    </row>
    <row r="61" customFormat="false" ht="15" hidden="false" customHeight="false" outlineLevel="0" collapsed="false">
      <c r="A61" s="1" t="s">
        <v>862</v>
      </c>
      <c r="B61" s="0" t="s">
        <v>95</v>
      </c>
      <c r="F61" s="6" t="n">
        <f aca="false">MAX(0,min_cash-(CF!E62+CF!F58-CF!F59-CF!F60))</f>
        <v>9.7902744572135</v>
      </c>
      <c r="G61" s="6" t="n">
        <f aca="false">MAX(0,min_cash-(CF!F62+CF!G58-CF!G59-CF!G60))</f>
        <v>0</v>
      </c>
      <c r="H61" s="6" t="n">
        <f aca="false">MAX(0,min_cash-(CF!G62+CF!H58-CF!H59-CF!H60))</f>
        <v>0</v>
      </c>
      <c r="I61" s="6" t="n">
        <f aca="false">MAX(0,min_cash-(CF!H62+CF!I58-CF!I59-CF!I60))</f>
        <v>0</v>
      </c>
      <c r="J61" s="6" t="n">
        <f aca="false">MAX(0,min_cash-(CF!I62+CF!J58-CF!J59-CF!J60))</f>
        <v>0</v>
      </c>
      <c r="K61" s="6" t="n">
        <f aca="false">MAX(0,min_cash-(CF!J62+CF!K58-CF!K59-CF!K60))</f>
        <v>0</v>
      </c>
    </row>
    <row r="62" customFormat="false" ht="15" hidden="false" customHeight="false" outlineLevel="0" collapsed="false">
      <c r="A62" s="1" t="s">
        <v>863</v>
      </c>
      <c r="B62" s="0" t="s">
        <v>95</v>
      </c>
      <c r="E62" s="6" t="n">
        <f aca="false">cash_open</f>
        <v>76.843</v>
      </c>
      <c r="F62" s="6" t="n">
        <f aca="false">CF!E62+CF!F58-CF!F59-CF!F60+CF!F61</f>
        <v>50</v>
      </c>
      <c r="G62" s="6" t="n">
        <f aca="false">CF!F62+CF!G58-CF!G59-CF!G60+CF!G61</f>
        <v>50</v>
      </c>
      <c r="H62" s="6" t="n">
        <f aca="false">CF!G62+CF!H58-CF!H59-CF!H60+CF!H61</f>
        <v>62.5296143180322</v>
      </c>
      <c r="I62" s="6" t="n">
        <f aca="false">CF!H62+CF!I58-CF!I59-CF!I60+CF!I61</f>
        <v>86.7427949676902</v>
      </c>
      <c r="J62" s="6" t="n">
        <f aca="false">CF!I62+CF!J58-CF!J59-CF!J60+CF!J61</f>
        <v>133.923801700549</v>
      </c>
      <c r="K62" s="6" t="n">
        <f aca="false">CF!J62+CF!K58-CF!K59-CF!K60+CF!K61</f>
        <v>174.517696430743</v>
      </c>
    </row>
    <row r="63" customFormat="false" ht="15" hidden="false" customHeight="false" outlineLevel="0" collapsed="false">
      <c r="A63" s="1" t="s">
        <v>864</v>
      </c>
      <c r="B63" s="0" t="s">
        <v>95</v>
      </c>
      <c r="E63" s="6" t="n">
        <f aca="false">debt_face</f>
        <v>46.136</v>
      </c>
      <c r="F63" s="6" t="n">
        <f aca="false">CF!E63-CF!F59+CF!F61</f>
        <v>46.6762744572135</v>
      </c>
      <c r="G63" s="6" t="n">
        <f aca="false">CF!F63-CF!G59+CF!G61</f>
        <v>46.6762744572135</v>
      </c>
      <c r="H63" s="6" t="n">
        <f aca="false">CF!G63-CF!H59+CF!H61</f>
        <v>44.6752744572135</v>
      </c>
      <c r="I63" s="6" t="n">
        <f aca="false">CF!H63-CF!I59+CF!I61</f>
        <v>44.6752744572135</v>
      </c>
      <c r="J63" s="6" t="n">
        <f aca="false">CF!I63-CF!J59+CF!J61</f>
        <v>44.1752744572135</v>
      </c>
      <c r="K63" s="6" t="n">
        <f aca="false">CF!J63-CF!K59+CF!K61</f>
        <v>44.1752744572135</v>
      </c>
    </row>
    <row r="64" customFormat="false" ht="15" hidden="false" customHeight="false" outlineLevel="0" collapsed="false">
      <c r="A64" s="1" t="s">
        <v>865</v>
      </c>
      <c r="B64" s="0" t="s">
        <v>95</v>
      </c>
      <c r="E64" s="6" t="n">
        <f aca="false">CF!E62-CF!E63</f>
        <v>30.707</v>
      </c>
      <c r="F64" s="6" t="n">
        <f aca="false">CF!F62-CF!F63</f>
        <v>3.3237255427865</v>
      </c>
      <c r="G64" s="6" t="n">
        <f aca="false">CF!G62-CF!G63</f>
        <v>3.3237255427865</v>
      </c>
      <c r="H64" s="6" t="n">
        <f aca="false">CF!H62-CF!H63</f>
        <v>17.8543398608187</v>
      </c>
      <c r="I64" s="6" t="n">
        <f aca="false">CF!I62-CF!I63</f>
        <v>42.0675205104767</v>
      </c>
      <c r="J64" s="6" t="n">
        <f aca="false">CF!J62-CF!J63</f>
        <v>89.748527243335</v>
      </c>
      <c r="K64" s="6" t="n">
        <f aca="false">CF!K62-CF!K63</f>
        <v>130.342421973529</v>
      </c>
    </row>
    <row r="65" customFormat="false" ht="15" hidden="false" customHeight="false" outlineLevel="0" collapsed="false">
      <c r="A65" s="1" t="s">
        <v>866</v>
      </c>
      <c r="B65" s="0" t="s">
        <v>73</v>
      </c>
      <c r="F65" s="27" t="n">
        <f aca="false">px*(1+bb_g)^(1-0.5)</f>
        <v>553.494156066711</v>
      </c>
      <c r="G65" s="27" t="n">
        <f aca="false">px*(1+bb_g)^(2-0.5)</f>
        <v>597.773688552047</v>
      </c>
      <c r="H65" s="27" t="n">
        <f aca="false">px*(1+bb_g)^(3-0.5)</f>
        <v>645.595583636211</v>
      </c>
      <c r="I65" s="27" t="n">
        <f aca="false">px*(1+bb_g)^(4-0.5)</f>
        <v>697.243230327108</v>
      </c>
      <c r="J65" s="27" t="n">
        <f aca="false">px*(1+bb_g)^(5-0.5)</f>
        <v>753.022688753277</v>
      </c>
      <c r="K65" s="27" t="n">
        <f aca="false">px*(1+bb_g)^(6-0.5)</f>
        <v>813.264503853539</v>
      </c>
    </row>
    <row r="66" customFormat="false" ht="15" hidden="false" customHeight="false" outlineLevel="0" collapsed="false">
      <c r="A66" s="1" t="s">
        <v>867</v>
      </c>
      <c r="B66" s="1" t="s">
        <v>79</v>
      </c>
      <c r="E66" s="18" t="n">
        <f aca="false">sh_out26</f>
        <v>7.427</v>
      </c>
      <c r="F66" s="18" t="n">
        <f aca="false">CF!E66+sh_iss-CF!F60/CF!F65</f>
        <v>7.472</v>
      </c>
      <c r="G66" s="18" t="n">
        <f aca="false">CF!F66+sh_iss-CF!G60/CF!G65</f>
        <v>7.51591939889462</v>
      </c>
      <c r="H66" s="18" t="n">
        <f aca="false">CF!G66+sh_iss-CF!H60/CF!H65</f>
        <v>7.52642257059452</v>
      </c>
      <c r="I66" s="18" t="n">
        <f aca="false">CF!H66+sh_iss-CF!I60/CF!I65</f>
        <v>7.53948106290924</v>
      </c>
      <c r="J66" s="18" t="n">
        <f aca="false">CF!I66+sh_iss-CF!J60/CF!J65</f>
        <v>7.55490559283029</v>
      </c>
      <c r="K66" s="18" t="n">
        <f aca="false">CF!J66+sh_iss-CF!K60/CF!K65</f>
        <v>7.57252089831273</v>
      </c>
    </row>
    <row r="67" customFormat="false" ht="15" hidden="false" customHeight="false" outlineLevel="0" collapsed="false">
      <c r="A67" s="1" t="s">
        <v>868</v>
      </c>
      <c r="B67" s="1" t="s">
        <v>79</v>
      </c>
      <c r="E67" s="18" t="n">
        <f aca="false">sh_dil26</f>
        <v>7.453</v>
      </c>
      <c r="F67" s="18" t="n">
        <f aca="false">(CF!E66+CF!F66)/2+dil_gap</f>
        <v>7.4735</v>
      </c>
      <c r="G67" s="18" t="n">
        <f aca="false">(CF!F66+CF!G66)/2+dil_gap</f>
        <v>7.51795969944731</v>
      </c>
      <c r="H67" s="18" t="n">
        <f aca="false">(CF!G66+CF!H66)/2+dil_gap</f>
        <v>7.54517098474457</v>
      </c>
      <c r="I67" s="18" t="n">
        <f aca="false">(CF!H66+CF!I66)/2+dil_gap</f>
        <v>7.55695181675188</v>
      </c>
      <c r="J67" s="18" t="n">
        <f aca="false">(CF!I66+CF!J66)/2+dil_gap</f>
        <v>7.57119332786977</v>
      </c>
      <c r="K67" s="18" t="n">
        <f aca="false">(CF!J66+CF!K66)/2+dil_gap</f>
        <v>7.58771324557151</v>
      </c>
    </row>
    <row r="68" customFormat="false" ht="17.15" hidden="false" customHeight="false" outlineLevel="0" collapsed="false">
      <c r="A68" s="1" t="s">
        <v>869</v>
      </c>
      <c r="B68" s="0" t="s">
        <v>95</v>
      </c>
      <c r="C68" s="6" t="n">
        <f aca="false">SUM(CF!F58:CF58)</f>
        <v>189.365376882146</v>
      </c>
    </row>
    <row r="69" customFormat="false" ht="17.15" hidden="false" customHeight="false" outlineLevel="0" collapsed="false">
      <c r="A69" s="1" t="s">
        <v>836</v>
      </c>
      <c r="B69" s="1" t="s">
        <v>870</v>
      </c>
      <c r="C69" s="30" t="str">
        <f aca="false">IF(SUM(CF!F61:CF61)&gt;0.05,"需要舉債 "&amp;TEXT(SUM(CF!F61:CF61),"0.0")&amp;" 十億美元","不需舉債")&amp;"；"&amp;IF(SUM(CF!F60:CF60)&lt;5*bb_target-0.05,"回購較每年 "&amp;TEXT(bb_target,"0.0")&amp;" 的目標少 "&amp;TEXT(5*bb_target-SUM(CF!F60:CF60),"0.0")&amp;" 十億美元（"&amp;TEXT(COUNTIF(CF!F60:CF60,"&lt;"&amp;(bb_target-0.05)),"0")&amp;" 年減少）","回購不減")</f>
        <v>需要舉債 9.8 十億美元；回購較每年 22.3 的目標少 21.6 十億美元（2 年減少）</v>
      </c>
    </row>
    <row r="70" customFormat="false" ht="17.15" hidden="false" customHeight="false" outlineLevel="0" collapsed="false">
      <c r="A70" s="3" t="s">
        <v>872</v>
      </c>
    </row>
    <row r="71" customFormat="false" ht="15" hidden="false" customHeight="false" outlineLevel="0" collapsed="false">
      <c r="A71" s="4" t="s">
        <v>43</v>
      </c>
      <c r="B71" s="4" t="s">
        <v>63</v>
      </c>
      <c r="C71" s="19" t="s">
        <v>710</v>
      </c>
      <c r="D71" s="19" t="s">
        <v>711</v>
      </c>
      <c r="E71" s="19" t="s">
        <v>712</v>
      </c>
      <c r="F71" s="19" t="s">
        <v>713</v>
      </c>
      <c r="G71" s="19" t="s">
        <v>714</v>
      </c>
      <c r="H71" s="19" t="s">
        <v>715</v>
      </c>
      <c r="I71" s="19" t="s">
        <v>716</v>
      </c>
      <c r="J71" s="19" t="s">
        <v>717</v>
      </c>
      <c r="K71" s="19" t="s">
        <v>718</v>
      </c>
      <c r="L71" s="4" t="s">
        <v>47</v>
      </c>
    </row>
    <row r="72" customFormat="false" ht="15" hidden="false" customHeight="false" outlineLevel="0" collapsed="false">
      <c r="A72" s="1" t="s">
        <v>825</v>
      </c>
      <c r="B72" s="0" t="s">
        <v>95</v>
      </c>
      <c r="F72" s="6" t="n">
        <f aca="false">PL!F113</f>
        <v>136.978045278833</v>
      </c>
      <c r="G72" s="6" t="n">
        <f aca="false">PL!G113</f>
        <v>143.813778831956</v>
      </c>
      <c r="H72" s="6" t="n">
        <f aca="false">PL!H113</f>
        <v>146.227680888807</v>
      </c>
      <c r="I72" s="6" t="n">
        <f aca="false">PL!I113</f>
        <v>152.982664481456</v>
      </c>
      <c r="J72" s="6" t="n">
        <f aca="false">PL!J113</f>
        <v>157.744717406665</v>
      </c>
      <c r="K72" s="6" t="n">
        <f aca="false">PL!K113</f>
        <v>159.955143653074</v>
      </c>
    </row>
    <row r="73" customFormat="false" ht="17.15" hidden="false" customHeight="false" outlineLevel="0" collapsed="false">
      <c r="A73" s="1" t="s">
        <v>843</v>
      </c>
      <c r="B73" s="0" t="s">
        <v>95</v>
      </c>
      <c r="E73" s="6" t="n">
        <f aca="false">Q!M38-Thesis!E125</f>
        <v>22.2285940229167</v>
      </c>
      <c r="F73" s="6" t="n">
        <f aca="false">CF!E73*(1-1/life_nonai)+CF!F79/life_nonai</f>
        <v>23.5486693435813</v>
      </c>
      <c r="G73" s="6" t="n">
        <f aca="false">CF!F73*(1-1/life_nonai)+CF!G79/life_nonai</f>
        <v>25.264091766262</v>
      </c>
      <c r="H73" s="6" t="n">
        <f aca="false">CF!G73*(1-1/life_nonai)+CF!H79/life_nonai</f>
        <v>27.3438339540448</v>
      </c>
      <c r="I73" s="6" t="n">
        <f aca="false">CF!H73*(1-1/life_nonai)+CF!I79/life_nonai</f>
        <v>29.7317905898047</v>
      </c>
      <c r="J73" s="6" t="n">
        <f aca="false">CF!I73*(1-1/life_nonai)+CF!J79/life_nonai</f>
        <v>32.3542028558616</v>
      </c>
      <c r="K73" s="6" t="n">
        <f aca="false">CF!J73*(1-1/life_nonai)+CF!K79/life_nonai</f>
        <v>35.1281528444749</v>
      </c>
      <c r="L73" s="11" t="s">
        <v>844</v>
      </c>
    </row>
    <row r="74" customFormat="false" ht="17.15" hidden="false" customHeight="false" outlineLevel="0" collapsed="false">
      <c r="A74" s="1" t="s">
        <v>845</v>
      </c>
      <c r="B74" s="0" t="s">
        <v>95</v>
      </c>
      <c r="E74" s="6" t="n">
        <f aca="false">Thesis!E125+CF!E73</f>
        <v>38.534</v>
      </c>
      <c r="F74" s="6" t="n">
        <f aca="false">Thesis!F125+CF!F73</f>
        <v>58.301704799451</v>
      </c>
      <c r="G74" s="6" t="n">
        <f aca="false">Thesis!G125+CF!G73</f>
        <v>85.7958250266017</v>
      </c>
      <c r="H74" s="6" t="n">
        <f aca="false">Thesis!H125+CF!H73</f>
        <v>115.111149947184</v>
      </c>
      <c r="I74" s="6" t="n">
        <f aca="false">Thesis!I125+CF!I73</f>
        <v>145.753972330928</v>
      </c>
      <c r="J74" s="6" t="n">
        <f aca="false">Thesis!J125+CF!J73</f>
        <v>177.603480814135</v>
      </c>
      <c r="K74" s="6" t="n">
        <f aca="false">Thesis!K125+CF!K73</f>
        <v>210.892075479064</v>
      </c>
    </row>
    <row r="75" customFormat="false" ht="15" hidden="false" customHeight="false" outlineLevel="0" collapsed="false">
      <c r="A75" s="1" t="s">
        <v>685</v>
      </c>
      <c r="B75" s="0" t="s">
        <v>95</v>
      </c>
      <c r="F75" s="6" t="n">
        <f aca="false">Seg!F83*sbc_r</f>
        <v>14.7102349124428</v>
      </c>
      <c r="G75" s="6" t="n">
        <f aca="false">Seg!G83*sbc_r</f>
        <v>17.061233875013</v>
      </c>
      <c r="H75" s="6" t="n">
        <f aca="false">Seg!H83*sbc_r</f>
        <v>19.2644849659525</v>
      </c>
      <c r="I75" s="6" t="n">
        <f aca="false">Seg!I83*sbc_r</f>
        <v>21.6944995352461</v>
      </c>
      <c r="J75" s="6" t="n">
        <f aca="false">Seg!J83*sbc_r</f>
        <v>24.0303092612034</v>
      </c>
      <c r="K75" s="6" t="n">
        <f aca="false">Seg!K83*sbc_r</f>
        <v>26.2462779746985</v>
      </c>
    </row>
    <row r="76" customFormat="false" ht="17.15" hidden="false" customHeight="false" outlineLevel="0" collapsed="false">
      <c r="A76" s="1" t="s">
        <v>846</v>
      </c>
      <c r="B76" s="0" t="s">
        <v>95</v>
      </c>
      <c r="F76" s="6" t="n">
        <f aca="false">wc27</f>
        <v>-4.895</v>
      </c>
      <c r="G76" s="6" t="n">
        <f aca="false">0</f>
        <v>0</v>
      </c>
      <c r="H76" s="6" t="n">
        <f aca="false">0</f>
        <v>0</v>
      </c>
      <c r="I76" s="6" t="n">
        <f aca="false">0</f>
        <v>0</v>
      </c>
      <c r="J76" s="6" t="n">
        <f aca="false">0</f>
        <v>0</v>
      </c>
      <c r="K76" s="6" t="n">
        <f aca="false">0</f>
        <v>0</v>
      </c>
      <c r="L76" s="11" t="s">
        <v>847</v>
      </c>
    </row>
    <row r="77" customFormat="false" ht="15" hidden="false" customHeight="false" outlineLevel="0" collapsed="false">
      <c r="A77" s="1" t="s">
        <v>678</v>
      </c>
      <c r="B77" s="0" t="s">
        <v>95</v>
      </c>
      <c r="E77" s="6" t="n">
        <f aca="false">Q!M35</f>
        <v>182.935</v>
      </c>
      <c r="F77" s="6" t="n">
        <f aca="false">CF!F72+CF!F74+CF!F75+CF!F76</f>
        <v>205.094984990727</v>
      </c>
      <c r="G77" s="6" t="n">
        <f aca="false">CF!G72+CF!G74+CF!G75+CF!G76</f>
        <v>246.670837733571</v>
      </c>
      <c r="H77" s="6" t="n">
        <f aca="false">CF!H72+CF!H74+CF!H75+CF!H76</f>
        <v>280.603315801944</v>
      </c>
      <c r="I77" s="6" t="n">
        <f aca="false">CF!I72+CF!I74+CF!I75+CF!I76</f>
        <v>320.431136347629</v>
      </c>
      <c r="J77" s="6" t="n">
        <f aca="false">CF!J72+CF!J74+CF!J75+CF!J76</f>
        <v>359.378507482003</v>
      </c>
      <c r="K77" s="6" t="n">
        <f aca="false">CF!K72+CF!K74+CF!K75+CF!K76</f>
        <v>397.093497106837</v>
      </c>
    </row>
    <row r="78" customFormat="false" ht="17.15" hidden="false" customHeight="false" outlineLevel="0" collapsed="false">
      <c r="A78" s="0" t="s">
        <v>848</v>
      </c>
      <c r="B78" s="0" t="s">
        <v>95</v>
      </c>
      <c r="F78" s="6" t="n">
        <f aca="false">Thesis!F122</f>
        <v>168.770652770438</v>
      </c>
      <c r="G78" s="6" t="n">
        <f aca="false">Thesis!G122</f>
        <v>183.5741804832</v>
      </c>
      <c r="H78" s="6" t="n">
        <f aca="false">Thesis!H122</f>
        <v>188.0802859104</v>
      </c>
      <c r="I78" s="6" t="n">
        <f aca="false">Thesis!I122</f>
        <v>218.338961257067</v>
      </c>
      <c r="J78" s="6" t="n">
        <f aca="false">Thesis!J122</f>
        <v>233.777060923733</v>
      </c>
      <c r="K78" s="6" t="n">
        <f aca="false">Thesis!K122</f>
        <v>278.8563119504</v>
      </c>
    </row>
    <row r="79" customFormat="false" ht="17.15" hidden="false" customHeight="false" outlineLevel="0" collapsed="false">
      <c r="A79" s="1" t="s">
        <v>849</v>
      </c>
      <c r="B79" s="0" t="s">
        <v>95</v>
      </c>
      <c r="E79" s="6" t="n">
        <f aca="false">Seg!E61*cx_azo+Seg!E68*cx_m365+Seg!E69*cx_lic+(Seg!E71+Seg!E73)*cx_ind+Seg!E76*cx_srch+(Seg!E78+Seg!E80)*cx_dev</f>
        <v>30.1846587067718</v>
      </c>
      <c r="F79" s="6" t="n">
        <f aca="false">Seg!F61*cx_azo+Seg!F68*cx_m365+Seg!F69*cx_lic+(Seg!F71+Seg!F73)*cx_ind+Seg!F76*cx_srch+(Seg!F78+Seg!F80)*cx_dev</f>
        <v>35.4293472295625</v>
      </c>
      <c r="G79" s="6" t="n">
        <f aca="false">Seg!G61*cx_azo+Seg!G68*cx_m365+Seg!G69*cx_lic+(Seg!G71+Seg!G73)*cx_ind+Seg!G76*cx_srch+(Seg!G78+Seg!G80)*cx_dev</f>
        <v>40.7028935703892</v>
      </c>
      <c r="H79" s="6" t="n">
        <f aca="false">Seg!H61*cx_azo+Seg!H68*cx_m365+Seg!H69*cx_lic+(Seg!H71+Seg!H73)*cx_ind+Seg!H76*cx_srch+(Seg!H78+Seg!H80)*cx_dev</f>
        <v>46.0615136440897</v>
      </c>
      <c r="I79" s="6" t="n">
        <f aca="false">Seg!I61*cx_azo+Seg!I68*cx_m365+Seg!I69*cx_lic+(Seg!I71+Seg!I73)*cx_ind+Seg!I76*cx_srch+(Seg!I78+Seg!I80)*cx_dev</f>
        <v>51.2234003116439</v>
      </c>
      <c r="J79" s="6" t="n">
        <f aca="false">Seg!J61*cx_azo+Seg!J68*cx_m365+Seg!J69*cx_lic+(Seg!J71+Seg!J73)*cx_ind+Seg!J76*cx_srch+(Seg!J78+Seg!J80)*cx_dev</f>
        <v>55.9559132503738</v>
      </c>
      <c r="K79" s="6" t="n">
        <f aca="false">Seg!K61*cx_azo+Seg!K68*cx_m365+Seg!K69*cx_lic+(Seg!K71+Seg!K73)*cx_ind+Seg!K76*cx_srch+(Seg!K78+Seg!K80)*cx_dev</f>
        <v>60.093702741994</v>
      </c>
    </row>
    <row r="80" customFormat="false" ht="17.15" hidden="false" customHeight="false" outlineLevel="0" collapsed="false">
      <c r="A80" s="1" t="s">
        <v>850</v>
      </c>
      <c r="B80" s="0" t="s">
        <v>95</v>
      </c>
      <c r="E80" s="6" t="n">
        <f aca="false">Q!M42</f>
        <v>145.3</v>
      </c>
      <c r="F80" s="6" t="n">
        <f aca="false">CF!F78+CF!F79</f>
        <v>204.2</v>
      </c>
      <c r="G80" s="6" t="n">
        <f aca="false">CF!G78+CF!G79</f>
        <v>224.277074053589</v>
      </c>
      <c r="H80" s="6" t="n">
        <f aca="false">CF!H78+CF!H79</f>
        <v>234.14179955449</v>
      </c>
      <c r="I80" s="6" t="n">
        <f aca="false">CF!I78+CF!I79</f>
        <v>269.562361568711</v>
      </c>
      <c r="J80" s="6" t="n">
        <f aca="false">CF!J78+CF!J79</f>
        <v>289.732974174107</v>
      </c>
      <c r="K80" s="6" t="n">
        <f aca="false">CF!K78+CF!K79</f>
        <v>338.950014692394</v>
      </c>
      <c r="L80" s="1" t="s">
        <v>851</v>
      </c>
    </row>
    <row r="81" customFormat="false" ht="15" hidden="false" customHeight="false" outlineLevel="0" collapsed="false">
      <c r="A81" s="1" t="s">
        <v>852</v>
      </c>
      <c r="B81" s="0" t="s">
        <v>95</v>
      </c>
      <c r="E81" s="6" t="n">
        <f aca="false">fl_liab</f>
        <v>66.594</v>
      </c>
      <c r="F81" s="6" t="n">
        <f aca="false">CF!E81-CF!F82</f>
        <v>62.46973</v>
      </c>
      <c r="G81" s="6" t="n">
        <f aca="false">CF!F81-CF!G82</f>
        <v>57.98686785</v>
      </c>
      <c r="H81" s="6" t="n">
        <f aca="false">CF!G81-CF!H82</f>
        <v>53.92827690325</v>
      </c>
      <c r="I81" s="6" t="n">
        <f aca="false">CF!H81-CF!I82</f>
        <v>49.7850493638962</v>
      </c>
      <c r="J81" s="6" t="n">
        <f aca="false">CF!I81-CF!J82</f>
        <v>45.4823765852716</v>
      </c>
      <c r="K81" s="6" t="n">
        <f aca="false">CF!J81-CF!K82</f>
        <v>40.9860835316088</v>
      </c>
    </row>
    <row r="82" customFormat="false" ht="15" hidden="false" customHeight="false" outlineLevel="0" collapsed="false">
      <c r="A82" s="1" t="s">
        <v>853</v>
      </c>
      <c r="B82" s="0" t="s">
        <v>95</v>
      </c>
      <c r="F82" s="6" t="n">
        <f aca="false">fl_pay_27-CF!E81*fl_rate</f>
        <v>4.12427</v>
      </c>
      <c r="G82" s="6" t="n">
        <f aca="false">fl_pay_28-CF!F81*fl_rate</f>
        <v>4.48286215</v>
      </c>
      <c r="H82" s="6" t="n">
        <f aca="false">fl_pay_29-CF!G81*fl_rate</f>
        <v>4.05859094675</v>
      </c>
      <c r="I82" s="6" t="n">
        <f aca="false">fl_pay_30-CF!H81*fl_rate</f>
        <v>4.14322753935375</v>
      </c>
      <c r="J82" s="6" t="n">
        <f aca="false">fl_pay_31-CF!I81*fl_rate</f>
        <v>4.30267277862467</v>
      </c>
      <c r="K82" s="6" t="n">
        <f aca="false">fl_pay_32-CF!J81*fl_rate</f>
        <v>4.49629305366278</v>
      </c>
    </row>
    <row r="83" customFormat="false" ht="17.15" hidden="false" customHeight="false" outlineLevel="0" collapsed="false">
      <c r="A83" s="1" t="s">
        <v>854</v>
      </c>
      <c r="B83" s="0" t="s">
        <v>95</v>
      </c>
      <c r="E83" s="6" t="n">
        <f aca="false">Q!M35-Q!M36-Q!M43</f>
        <v>63.886</v>
      </c>
      <c r="F83" s="6" t="n">
        <f aca="false">CF!F77-CF!F80-CF!F82</f>
        <v>-3.22928500927296</v>
      </c>
      <c r="G83" s="6" t="n">
        <f aca="false">CF!G77-CF!G80-CF!G82</f>
        <v>17.9109015299816</v>
      </c>
      <c r="H83" s="6" t="n">
        <f aca="false">CF!H77-CF!H80-CF!H82</f>
        <v>42.4029253007048</v>
      </c>
      <c r="I83" s="6" t="n">
        <f aca="false">CF!I77-CF!I80-CF!I82</f>
        <v>46.7255472395649</v>
      </c>
      <c r="J83" s="6" t="n">
        <f aca="false">CF!J77-CF!J80-CF!J82</f>
        <v>65.3428605292714</v>
      </c>
      <c r="K83" s="6" t="n">
        <f aca="false">CF!K77-CF!K80-CF!K82</f>
        <v>53.6471893607798</v>
      </c>
      <c r="L83" s="11" t="s">
        <v>855</v>
      </c>
    </row>
    <row r="84" customFormat="false" ht="15" hidden="false" customHeight="false" outlineLevel="0" collapsed="false">
      <c r="A84" s="1" t="s">
        <v>856</v>
      </c>
      <c r="B84" s="0" t="s">
        <v>73</v>
      </c>
      <c r="F84" s="8" t="n">
        <f aca="false">dps_27</f>
        <v>3.85</v>
      </c>
      <c r="G84" s="8" t="n">
        <f aca="false">CF!F84*(1+dps_g)</f>
        <v>4.158</v>
      </c>
      <c r="H84" s="8" t="n">
        <f aca="false">CF!G84*(1+dps_g)</f>
        <v>4.49064</v>
      </c>
      <c r="I84" s="8" t="n">
        <f aca="false">CF!H84*(1+dps_g)</f>
        <v>4.8498912</v>
      </c>
      <c r="J84" s="8" t="n">
        <f aca="false">CF!I84*(1+dps_g)</f>
        <v>5.237882496</v>
      </c>
      <c r="K84" s="8" t="n">
        <f aca="false">CF!J84*(1+dps_g)</f>
        <v>5.65691309568</v>
      </c>
    </row>
    <row r="85" customFormat="false" ht="17.15" hidden="false" customHeight="false" outlineLevel="0" collapsed="false">
      <c r="A85" s="1" t="s">
        <v>857</v>
      </c>
      <c r="B85" s="0" t="s">
        <v>95</v>
      </c>
      <c r="E85" s="6" t="n">
        <f aca="false">Q!M41</f>
        <v>26.445</v>
      </c>
      <c r="F85" s="6" t="n">
        <f aca="false">CF!F84*CF!E94</f>
        <v>28.59395</v>
      </c>
      <c r="G85" s="6" t="n">
        <f aca="false">CF!G84*CF!F94</f>
        <v>31.068576</v>
      </c>
      <c r="H85" s="6" t="n">
        <f aca="false">CF!H84*CF!G94</f>
        <v>33.75614088</v>
      </c>
      <c r="I85" s="6" t="n">
        <f aca="false">CF!I84*CF!H94</f>
        <v>36.6249522979783</v>
      </c>
      <c r="J85" s="6" t="n">
        <f aca="false">CF!J84*CF!I94</f>
        <v>39.714774752952</v>
      </c>
      <c r="K85" s="6" t="n">
        <f aca="false">CF!K84*CF!J94</f>
        <v>42.9792119584932</v>
      </c>
      <c r="L85" s="1" t="s">
        <v>858</v>
      </c>
    </row>
    <row r="86" customFormat="false" ht="15" hidden="false" customHeight="false" outlineLevel="0" collapsed="false">
      <c r="A86" s="1" t="s">
        <v>859</v>
      </c>
      <c r="B86" s="0" t="s">
        <v>95</v>
      </c>
      <c r="E86" s="6" t="n">
        <f aca="false">CF!E83-CF!E85</f>
        <v>37.441</v>
      </c>
      <c r="F86" s="6" t="n">
        <f aca="false">CF!F83-CF!F85</f>
        <v>-31.823235009273</v>
      </c>
      <c r="G86" s="6" t="n">
        <f aca="false">CF!G83-CF!G85</f>
        <v>-13.1576744700184</v>
      </c>
      <c r="H86" s="6" t="n">
        <f aca="false">CF!H83-CF!H85</f>
        <v>8.64678442070476</v>
      </c>
      <c r="I86" s="6" t="n">
        <f aca="false">CF!I83-CF!I85</f>
        <v>10.1005949415866</v>
      </c>
      <c r="J86" s="6" t="n">
        <f aca="false">CF!J83-CF!J85</f>
        <v>25.6280857763194</v>
      </c>
      <c r="K86" s="6" t="n">
        <f aca="false">CF!K83-CF!K85</f>
        <v>10.6679774022866</v>
      </c>
    </row>
    <row r="87" customFormat="false" ht="15" hidden="false" customHeight="false" outlineLevel="0" collapsed="false">
      <c r="A87" s="1" t="s">
        <v>860</v>
      </c>
      <c r="B87" s="0" t="s">
        <v>95</v>
      </c>
      <c r="F87" s="6" t="n">
        <f aca="false">debt_mat_27</f>
        <v>9.25</v>
      </c>
      <c r="G87" s="6" t="n">
        <f aca="false">debt_mat_28</f>
        <v>0</v>
      </c>
      <c r="H87" s="6" t="n">
        <f aca="false">debt_mat_29</f>
        <v>2.001</v>
      </c>
      <c r="I87" s="6" t="n">
        <f aca="false">debt_mat_30</f>
        <v>0</v>
      </c>
      <c r="J87" s="6" t="n">
        <f aca="false">debt_mat_31</f>
        <v>0.5</v>
      </c>
      <c r="K87" s="6" t="n">
        <f aca="false">debt_mat_32</f>
        <v>0</v>
      </c>
    </row>
    <row r="88" customFormat="false" ht="15" hidden="false" customHeight="false" outlineLevel="0" collapsed="false">
      <c r="A88" s="1" t="s">
        <v>861</v>
      </c>
      <c r="B88" s="0" t="s">
        <v>95</v>
      </c>
      <c r="E88" s="6" t="n">
        <f aca="false">Q!M40</f>
        <v>22.271</v>
      </c>
      <c r="F88" s="6" t="n">
        <f aca="false">MAX(0,MIN(bb_target,CF!E90+CF!F86-CF!F87-min_cash))</f>
        <v>0</v>
      </c>
      <c r="G88" s="6" t="n">
        <f aca="false">MAX(0,MIN(bb_target,CF!F90+CF!G86-CF!G87-min_cash))</f>
        <v>0</v>
      </c>
      <c r="H88" s="6" t="n">
        <f aca="false">MAX(0,MIN(bb_target,CF!G90+CF!H86-CF!H87-min_cash))</f>
        <v>6.64578442070476</v>
      </c>
      <c r="I88" s="6" t="n">
        <f aca="false">MAX(0,MIN(bb_target,CF!H90+CF!I86-CF!I87-min_cash))</f>
        <v>10.1005949415866</v>
      </c>
      <c r="J88" s="6" t="n">
        <f aca="false">MAX(0,MIN(bb_target,CF!I90+CF!J86-CF!J87-min_cash))</f>
        <v>22.271</v>
      </c>
      <c r="K88" s="6" t="n">
        <f aca="false">MAX(0,MIN(bb_target,CF!J90+CF!K86-CF!K87-min_cash))</f>
        <v>13.525063178606</v>
      </c>
    </row>
    <row r="89" customFormat="false" ht="15" hidden="false" customHeight="false" outlineLevel="0" collapsed="false">
      <c r="A89" s="1" t="s">
        <v>862</v>
      </c>
      <c r="B89" s="0" t="s">
        <v>95</v>
      </c>
      <c r="F89" s="6" t="n">
        <f aca="false">MAX(0,min_cash-(CF!E90+CF!F86-CF!F87-CF!F88))</f>
        <v>14.230235009273</v>
      </c>
      <c r="G89" s="6" t="n">
        <f aca="false">MAX(0,min_cash-(CF!F90+CF!G86-CF!G87-CF!G88))</f>
        <v>13.1576744700184</v>
      </c>
      <c r="H89" s="6" t="n">
        <f aca="false">MAX(0,min_cash-(CF!G90+CF!H86-CF!H87-CF!H88))</f>
        <v>0</v>
      </c>
      <c r="I89" s="6" t="n">
        <f aca="false">MAX(0,min_cash-(CF!H90+CF!I86-CF!I87-CF!I88))</f>
        <v>0</v>
      </c>
      <c r="J89" s="6" t="n">
        <f aca="false">MAX(0,min_cash-(CF!I90+CF!J86-CF!J87-CF!J88))</f>
        <v>0</v>
      </c>
      <c r="K89" s="6" t="n">
        <f aca="false">MAX(0,min_cash-(CF!J90+CF!K86-CF!K87-CF!K88))</f>
        <v>0</v>
      </c>
    </row>
    <row r="90" customFormat="false" ht="15" hidden="false" customHeight="false" outlineLevel="0" collapsed="false">
      <c r="A90" s="1" t="s">
        <v>863</v>
      </c>
      <c r="B90" s="0" t="s">
        <v>95</v>
      </c>
      <c r="E90" s="6" t="n">
        <f aca="false">cash_open</f>
        <v>76.843</v>
      </c>
      <c r="F90" s="6" t="n">
        <f aca="false">CF!E90+CF!F86-CF!F87-CF!F88+CF!F89</f>
        <v>50</v>
      </c>
      <c r="G90" s="6" t="n">
        <f aca="false">CF!F90+CF!G86-CF!G87-CF!G88+CF!G89</f>
        <v>50</v>
      </c>
      <c r="H90" s="6" t="n">
        <f aca="false">CF!G90+CF!H86-CF!H87-CF!H88+CF!H89</f>
        <v>50</v>
      </c>
      <c r="I90" s="6" t="n">
        <f aca="false">CF!H90+CF!I86-CF!I87-CF!I88+CF!I89</f>
        <v>50</v>
      </c>
      <c r="J90" s="6" t="n">
        <f aca="false">CF!I90+CF!J86-CF!J87-CF!J88+CF!J89</f>
        <v>52.8570857763194</v>
      </c>
      <c r="K90" s="6" t="n">
        <f aca="false">CF!J90+CF!K86-CF!K87-CF!K88+CF!K89</f>
        <v>50</v>
      </c>
    </row>
    <row r="91" customFormat="false" ht="15" hidden="false" customHeight="false" outlineLevel="0" collapsed="false">
      <c r="A91" s="1" t="s">
        <v>864</v>
      </c>
      <c r="B91" s="0" t="s">
        <v>95</v>
      </c>
      <c r="E91" s="6" t="n">
        <f aca="false">debt_face</f>
        <v>46.136</v>
      </c>
      <c r="F91" s="6" t="n">
        <f aca="false">CF!E91-CF!F87+CF!F89</f>
        <v>51.116235009273</v>
      </c>
      <c r="G91" s="6" t="n">
        <f aca="false">CF!F91-CF!G87+CF!G89</f>
        <v>64.2739094792914</v>
      </c>
      <c r="H91" s="6" t="n">
        <f aca="false">CF!G91-CF!H87+CF!H89</f>
        <v>62.2729094792914</v>
      </c>
      <c r="I91" s="6" t="n">
        <f aca="false">CF!H91-CF!I87+CF!I89</f>
        <v>62.2729094792914</v>
      </c>
      <c r="J91" s="6" t="n">
        <f aca="false">CF!I91-CF!J87+CF!J89</f>
        <v>61.7729094792914</v>
      </c>
      <c r="K91" s="6" t="n">
        <f aca="false">CF!J91-CF!K87+CF!K89</f>
        <v>61.7729094792914</v>
      </c>
    </row>
    <row r="92" customFormat="false" ht="15" hidden="false" customHeight="false" outlineLevel="0" collapsed="false">
      <c r="A92" s="1" t="s">
        <v>865</v>
      </c>
      <c r="B92" s="0" t="s">
        <v>95</v>
      </c>
      <c r="E92" s="6" t="n">
        <f aca="false">CF!E90-CF!E91</f>
        <v>30.707</v>
      </c>
      <c r="F92" s="6" t="n">
        <f aca="false">CF!F90-CF!F91</f>
        <v>-1.11623500927296</v>
      </c>
      <c r="G92" s="6" t="n">
        <f aca="false">CF!G90-CF!G91</f>
        <v>-14.2739094792913</v>
      </c>
      <c r="H92" s="6" t="n">
        <f aca="false">CF!H90-CF!H91</f>
        <v>-12.2729094792914</v>
      </c>
      <c r="I92" s="6" t="n">
        <f aca="false">CF!I90-CF!I91</f>
        <v>-12.2729094792914</v>
      </c>
      <c r="J92" s="6" t="n">
        <f aca="false">CF!J90-CF!J91</f>
        <v>-8.915823702972</v>
      </c>
      <c r="K92" s="6" t="n">
        <f aca="false">CF!K90-CF!K91</f>
        <v>-11.7729094792914</v>
      </c>
    </row>
    <row r="93" customFormat="false" ht="15" hidden="false" customHeight="false" outlineLevel="0" collapsed="false">
      <c r="A93" s="1" t="s">
        <v>866</v>
      </c>
      <c r="B93" s="0" t="s">
        <v>73</v>
      </c>
      <c r="F93" s="27" t="n">
        <f aca="false">px*(1+bb_g)^(1-0.5)</f>
        <v>553.494156066711</v>
      </c>
      <c r="G93" s="27" t="n">
        <f aca="false">px*(1+bb_g)^(2-0.5)</f>
        <v>597.773688552047</v>
      </c>
      <c r="H93" s="27" t="n">
        <f aca="false">px*(1+bb_g)^(3-0.5)</f>
        <v>645.595583636211</v>
      </c>
      <c r="I93" s="27" t="n">
        <f aca="false">px*(1+bb_g)^(4-0.5)</f>
        <v>697.243230327108</v>
      </c>
      <c r="J93" s="27" t="n">
        <f aca="false">px*(1+bb_g)^(5-0.5)</f>
        <v>753.022688753277</v>
      </c>
      <c r="K93" s="27" t="n">
        <f aca="false">px*(1+bb_g)^(6-0.5)</f>
        <v>813.264503853539</v>
      </c>
    </row>
    <row r="94" customFormat="false" ht="15" hidden="false" customHeight="false" outlineLevel="0" collapsed="false">
      <c r="A94" s="1" t="s">
        <v>867</v>
      </c>
      <c r="B94" s="1" t="s">
        <v>79</v>
      </c>
      <c r="E94" s="18" t="n">
        <f aca="false">sh_out26</f>
        <v>7.427</v>
      </c>
      <c r="F94" s="18" t="n">
        <f aca="false">CF!E94+sh_iss-CF!F88/CF!F93</f>
        <v>7.472</v>
      </c>
      <c r="G94" s="18" t="n">
        <f aca="false">CF!F94+sh_iss-CF!G88/CF!G93</f>
        <v>7.517</v>
      </c>
      <c r="H94" s="18" t="n">
        <f aca="false">CF!G94+sh_iss-CF!H88/CF!H93</f>
        <v>7.55170596362622</v>
      </c>
      <c r="I94" s="18" t="n">
        <f aca="false">CF!H94+sh_iss-CF!I88/CF!I93</f>
        <v>7.58221949104068</v>
      </c>
      <c r="J94" s="18" t="n">
        <f aca="false">CF!I94+sh_iss-CF!J88/CF!J93</f>
        <v>7.59764402096172</v>
      </c>
      <c r="K94" s="18" t="n">
        <f aca="false">CF!J94+sh_iss-CF!K88/CF!K93</f>
        <v>7.62601343753588</v>
      </c>
    </row>
    <row r="95" customFormat="false" ht="15" hidden="false" customHeight="false" outlineLevel="0" collapsed="false">
      <c r="A95" s="1" t="s">
        <v>868</v>
      </c>
      <c r="B95" s="1" t="s">
        <v>79</v>
      </c>
      <c r="E95" s="18" t="n">
        <f aca="false">sh_dil26</f>
        <v>7.453</v>
      </c>
      <c r="F95" s="18" t="n">
        <f aca="false">(CF!E94+CF!F94)/2+dil_gap</f>
        <v>7.4735</v>
      </c>
      <c r="G95" s="18" t="n">
        <f aca="false">(CF!F94+CF!G94)/2+dil_gap</f>
        <v>7.5185</v>
      </c>
      <c r="H95" s="18" t="n">
        <f aca="false">(CF!G94+CF!H94)/2+dil_gap</f>
        <v>7.55835298181311</v>
      </c>
      <c r="I95" s="18" t="n">
        <f aca="false">(CF!H94+CF!I94)/2+dil_gap</f>
        <v>7.59096272733345</v>
      </c>
      <c r="J95" s="18" t="n">
        <f aca="false">(CF!I94+CF!J94)/2+dil_gap</f>
        <v>7.6139317560012</v>
      </c>
      <c r="K95" s="18" t="n">
        <f aca="false">(CF!J94+CF!K94)/2+dil_gap</f>
        <v>7.6358287292488</v>
      </c>
    </row>
    <row r="96" customFormat="false" ht="17.15" hidden="false" customHeight="false" outlineLevel="0" collapsed="false">
      <c r="A96" s="1" t="s">
        <v>869</v>
      </c>
      <c r="B96" s="0" t="s">
        <v>95</v>
      </c>
      <c r="C96" s="6" t="n">
        <f aca="false">SUM(CF!F86:CF86)</f>
        <v>10.0625330616059</v>
      </c>
    </row>
    <row r="97" customFormat="false" ht="17.15" hidden="false" customHeight="false" outlineLevel="0" collapsed="false">
      <c r="A97" s="1" t="s">
        <v>836</v>
      </c>
      <c r="B97" s="1" t="s">
        <v>870</v>
      </c>
      <c r="C97" s="30" t="str">
        <f aca="false">IF(SUM(CF!F89:CF89)&gt;0.05,"需要舉債 "&amp;TEXT(SUM(CF!F89:CF89),"0.0")&amp;" 十億美元","不需舉債")&amp;"；"&amp;IF(SUM(CF!F88:CF88)&lt;5*bb_target-0.05,"回購較每年 "&amp;TEXT(bb_target,"0.0")&amp;" 的目標少 "&amp;TEXT(5*bb_target-SUM(CF!F88:CF88),"0.0")&amp;" 十億美元（"&amp;TEXT(COUNTIF(CF!F88:CF88,"&lt;"&amp;(bb_target-0.05)),"0")&amp;" 年減少）","回購不減")</f>
        <v>需要舉債 27.4 十億美元；回購較每年 22.3 的目標少 58.8 十億美元（5 年減少）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5"/>
    <col collapsed="false" customWidth="true" hidden="false" outlineLevel="0" max="5" min="5" style="0" width="70"/>
    <col collapsed="false" customWidth="true" hidden="false" outlineLevel="0" max="11" min="6" style="0" width="11"/>
    <col collapsed="false" customWidth="true" hidden="false" outlineLevel="0" max="12" min="12" style="0" width="60"/>
  </cols>
  <sheetData>
    <row r="1" customFormat="false" ht="17.15" hidden="false" customHeight="false" outlineLevel="0" collapsed="false">
      <c r="A1" s="0" t="s">
        <v>873</v>
      </c>
    </row>
    <row r="2" customFormat="false" ht="17.15" hidden="false" customHeight="false" outlineLevel="0" collapsed="false">
      <c r="A2" s="0" t="s">
        <v>874</v>
      </c>
    </row>
    <row r="4" customFormat="false" ht="17.15" hidden="false" customHeight="false" outlineLevel="0" collapsed="false">
      <c r="A4" s="9" t="s">
        <v>875</v>
      </c>
    </row>
    <row r="5" customFormat="false" ht="17.15" hidden="false" customHeight="false" outlineLevel="0" collapsed="false">
      <c r="A5" s="9" t="s">
        <v>876</v>
      </c>
    </row>
    <row r="6" customFormat="false" ht="17.15" hidden="false" customHeight="false" outlineLevel="0" collapsed="false">
      <c r="A6" s="4" t="s">
        <v>43</v>
      </c>
      <c r="B6" s="4" t="s">
        <v>44</v>
      </c>
      <c r="C6" s="4" t="s">
        <v>45</v>
      </c>
      <c r="D6" s="4" t="s">
        <v>46</v>
      </c>
      <c r="E6" s="4" t="s">
        <v>47</v>
      </c>
    </row>
    <row r="7" customFormat="false" ht="17.15" hidden="false" customHeight="false" outlineLevel="0" collapsed="false">
      <c r="A7" s="0" t="s">
        <v>877</v>
      </c>
      <c r="B7" s="6" t="n">
        <f aca="false">Val!$C$80</f>
        <v>1659.60716719001</v>
      </c>
      <c r="C7" s="6" t="n">
        <f aca="false">Val!$C$120</f>
        <v>1339.26743478815</v>
      </c>
      <c r="D7" s="6" t="n">
        <f aca="false">Val!$C$160</f>
        <v>963.503393200227</v>
      </c>
      <c r="E7" s="11" t="s">
        <v>95</v>
      </c>
    </row>
    <row r="8" customFormat="false" ht="17.15" hidden="false" customHeight="false" outlineLevel="0" collapsed="false">
      <c r="A8" s="1" t="s">
        <v>878</v>
      </c>
      <c r="B8" s="7" t="n">
        <f aca="false">Val!$C$81</f>
        <v>0.776192759484908</v>
      </c>
      <c r="C8" s="7" t="n">
        <f aca="false">Val!$C$121</f>
        <v>0.799088676319991</v>
      </c>
      <c r="D8" s="7" t="n">
        <f aca="false">Val!$C$161</f>
        <v>0.845409959668082</v>
      </c>
      <c r="E8" s="1" t="s">
        <v>879</v>
      </c>
    </row>
    <row r="9" customFormat="false" ht="17.15" hidden="false" customHeight="false" outlineLevel="0" collapsed="false">
      <c r="A9" s="1" t="s">
        <v>880</v>
      </c>
      <c r="B9" s="6" t="n">
        <f aca="false">CF!E36</f>
        <v>30.707</v>
      </c>
      <c r="C9" s="6" t="n">
        <f aca="false">CF!E64</f>
        <v>30.707</v>
      </c>
      <c r="D9" s="6" t="n">
        <f aca="false">CF!E92</f>
        <v>30.707</v>
      </c>
    </row>
    <row r="10" customFormat="false" ht="17.15" hidden="false" customHeight="false" outlineLevel="0" collapsed="false">
      <c r="A10" s="1" t="s">
        <v>881</v>
      </c>
      <c r="B10" s="6" t="n">
        <f aca="false">oai_v</f>
        <v>170.4</v>
      </c>
      <c r="C10" s="6" t="n">
        <f aca="false">oai_v</f>
        <v>170.4</v>
      </c>
      <c r="D10" s="6" t="n">
        <f aca="false">oai_v</f>
        <v>170.4</v>
      </c>
      <c r="E10" s="11" t="s">
        <v>882</v>
      </c>
    </row>
    <row r="11" customFormat="false" ht="17.15" hidden="false" customHeight="false" outlineLevel="0" collapsed="false">
      <c r="A11" s="0" t="s">
        <v>883</v>
      </c>
      <c r="B11" s="5" t="n">
        <f aca="false">Val!$C$83</f>
        <v>249.659756767745</v>
      </c>
      <c r="C11" s="5" t="n">
        <f aca="false">Val!$C$123</f>
        <v>206.678442880471</v>
      </c>
      <c r="D11" s="5" t="n">
        <f aca="false">Val!$C$163</f>
        <v>156.260618972256</v>
      </c>
      <c r="E11" s="11" t="s">
        <v>884</v>
      </c>
    </row>
    <row r="12" customFormat="false" ht="17.15" hidden="false" customHeight="false" outlineLevel="0" collapsed="false">
      <c r="A12" s="0" t="s">
        <v>885</v>
      </c>
      <c r="B12" s="5" t="n">
        <f aca="false">Val!$C$84</f>
        <v>286.358385550236</v>
      </c>
      <c r="C12" s="5" t="n">
        <f aca="false">Val!$C$124</f>
        <v>237.059051877336</v>
      </c>
      <c r="D12" s="5" t="n">
        <f aca="false">Val!$C$164</f>
        <v>179.230081585006</v>
      </c>
      <c r="E12" s="11" t="s">
        <v>886</v>
      </c>
    </row>
    <row r="13" customFormat="false" ht="17.15" hidden="false" customHeight="false" outlineLevel="0" collapsed="false">
      <c r="A13" s="0" t="s">
        <v>887</v>
      </c>
      <c r="B13" s="31" t="n">
        <f aca="false">w_A*B12+w_B*C12+w_C*D12</f>
        <v>234.926642722479</v>
      </c>
      <c r="E13" s="11" t="s">
        <v>888</v>
      </c>
    </row>
    <row r="14" customFormat="false" ht="17.15" hidden="false" customHeight="false" outlineLevel="0" collapsed="false">
      <c r="A14" s="0" t="s">
        <v>889</v>
      </c>
      <c r="B14" s="32" t="n">
        <f aca="false">wacc</f>
        <v>0.108963221150254</v>
      </c>
      <c r="C14" s="32" t="n">
        <f aca="false">g_tv</f>
        <v>0.03</v>
      </c>
      <c r="E14" s="11" t="s">
        <v>890</v>
      </c>
    </row>
    <row r="16" customFormat="false" ht="17.15" hidden="false" customHeight="false" outlineLevel="0" collapsed="false">
      <c r="A16" s="9" t="s">
        <v>891</v>
      </c>
    </row>
    <row r="17" customFormat="false" ht="17.15" hidden="false" customHeight="false" outlineLevel="0" collapsed="false">
      <c r="A17" s="4" t="s">
        <v>43</v>
      </c>
      <c r="B17" s="4" t="s">
        <v>44</v>
      </c>
      <c r="C17" s="4" t="s">
        <v>45</v>
      </c>
      <c r="D17" s="4" t="s">
        <v>46</v>
      </c>
      <c r="E17" s="4" t="s">
        <v>892</v>
      </c>
    </row>
    <row r="18" customFormat="false" ht="17.15" hidden="false" customHeight="false" outlineLevel="0" collapsed="false">
      <c r="A18" s="0" t="s">
        <v>893</v>
      </c>
      <c r="B18" s="6" t="n">
        <f aca="false">Val!$C$97</f>
        <v>551.711134531404</v>
      </c>
      <c r="C18" s="6" t="n">
        <f aca="false">Val!$C$137</f>
        <v>454.922440830797</v>
      </c>
      <c r="D18" s="6" t="n">
        <f aca="false">Val!$C$177</f>
        <v>338.776008390068</v>
      </c>
      <c r="E18" s="8" t="n">
        <f aca="false">m_ai</f>
        <v>6</v>
      </c>
    </row>
    <row r="19" customFormat="false" ht="17.15" hidden="false" customHeight="false" outlineLevel="0" collapsed="false">
      <c r="A19" s="0" t="s">
        <v>894</v>
      </c>
      <c r="B19" s="6" t="n">
        <f aca="false">Val!$C$98</f>
        <v>788.2101899926</v>
      </c>
      <c r="C19" s="6" t="n">
        <f aca="false">Val!$C$138</f>
        <v>791.46441330217</v>
      </c>
      <c r="D19" s="6" t="n">
        <f aca="false">Val!$C$178</f>
        <v>794.749076664173</v>
      </c>
      <c r="E19" s="8" t="n">
        <f aca="false">m_cloud</f>
        <v>13.82</v>
      </c>
    </row>
    <row r="20" customFormat="false" ht="17.15" hidden="false" customHeight="false" outlineLevel="0" collapsed="false">
      <c r="A20" s="0" t="s">
        <v>895</v>
      </c>
      <c r="B20" s="6" t="n">
        <f aca="false">Val!$C$99</f>
        <v>1064.99115242739</v>
      </c>
      <c r="C20" s="6" t="n">
        <f aca="false">Val!$C$139</f>
        <v>1026.79623553955</v>
      </c>
      <c r="D20" s="6" t="n">
        <f aca="false">Val!$C$179</f>
        <v>988.547672652094</v>
      </c>
      <c r="E20" s="8" t="n">
        <f aca="false">m_sw</f>
        <v>10.8</v>
      </c>
    </row>
    <row r="21" customFormat="false" ht="17.15" hidden="false" customHeight="false" outlineLevel="0" collapsed="false">
      <c r="A21" s="0" t="s">
        <v>896</v>
      </c>
      <c r="B21" s="6" t="n">
        <f aca="false">Val!$C$100</f>
        <v>362.508158970174</v>
      </c>
      <c r="C21" s="6" t="n">
        <f aca="false">Val!$C$140</f>
        <v>362.808640557625</v>
      </c>
      <c r="D21" s="6" t="n">
        <f aca="false">Val!$C$180</f>
        <v>363.117661434282</v>
      </c>
      <c r="E21" s="8" t="n">
        <f aca="false">m_sw</f>
        <v>10.8</v>
      </c>
    </row>
    <row r="22" customFormat="false" ht="17.15" hidden="false" customHeight="false" outlineLevel="0" collapsed="false">
      <c r="A22" s="0" t="s">
        <v>897</v>
      </c>
      <c r="B22" s="6" t="n">
        <f aca="false">Val!$C$101</f>
        <v>98.9165124641147</v>
      </c>
      <c r="C22" s="6" t="n">
        <f aca="false">Val!$C$141</f>
        <v>99.1003328352541</v>
      </c>
      <c r="D22" s="6" t="n">
        <f aca="false">Val!$C$181</f>
        <v>99.2894025954118</v>
      </c>
      <c r="E22" s="8" t="n">
        <f aca="false">m_sw</f>
        <v>10.8</v>
      </c>
    </row>
    <row r="23" customFormat="false" ht="17.15" hidden="false" customHeight="false" outlineLevel="0" collapsed="false">
      <c r="A23" s="0" t="s">
        <v>898</v>
      </c>
      <c r="B23" s="6" t="n">
        <f aca="false">Val!$C$102</f>
        <v>37.7384877854002</v>
      </c>
      <c r="C23" s="6" t="n">
        <f aca="false">Val!$C$142</f>
        <v>37.8085281683974</v>
      </c>
      <c r="D23" s="6" t="n">
        <f aca="false">Val!$C$182</f>
        <v>37.8805648916295</v>
      </c>
      <c r="E23" s="8" t="n">
        <f aca="false">m_sw</f>
        <v>10.8</v>
      </c>
    </row>
    <row r="24" customFormat="false" ht="17.15" hidden="false" customHeight="false" outlineLevel="0" collapsed="false">
      <c r="A24" s="0" t="s">
        <v>899</v>
      </c>
      <c r="B24" s="6" t="n">
        <f aca="false">Val!$C$103</f>
        <v>104.271544945195</v>
      </c>
      <c r="C24" s="6" t="n">
        <f aca="false">Val!$C$143</f>
        <v>104.465412054013</v>
      </c>
      <c r="D24" s="6" t="n">
        <f aca="false">Val!$C$183</f>
        <v>104.664819473916</v>
      </c>
      <c r="E24" s="8" t="n">
        <f aca="false">m_ads</f>
        <v>9.11</v>
      </c>
    </row>
    <row r="25" customFormat="false" ht="17.15" hidden="false" customHeight="false" outlineLevel="0" collapsed="false">
      <c r="A25" s="0" t="s">
        <v>900</v>
      </c>
      <c r="B25" s="6" t="n">
        <f aca="false">Val!$C$104</f>
        <v>88.3732871625547</v>
      </c>
      <c r="C25" s="6" t="n">
        <f aca="false">Val!$C$144</f>
        <v>88.5395066063557</v>
      </c>
      <c r="D25" s="6" t="n">
        <f aca="false">Val!$C$184</f>
        <v>88.7104201985522</v>
      </c>
      <c r="E25" s="8" t="n">
        <f aca="false">m_game</f>
        <v>12.63</v>
      </c>
    </row>
    <row r="26" customFormat="false" ht="17.15" hidden="false" customHeight="false" outlineLevel="0" collapsed="false">
      <c r="A26" s="0" t="s">
        <v>901</v>
      </c>
      <c r="B26" s="6" t="n">
        <f aca="false">Val!$C$105</f>
        <v>87.614692598008</v>
      </c>
      <c r="C26" s="6" t="n">
        <f aca="false">Val!$C$145</f>
        <v>87.7798119250428</v>
      </c>
      <c r="D26" s="6" t="n">
        <f aca="false">Val!$C$185</f>
        <v>87.9496081595385</v>
      </c>
      <c r="E26" s="8" t="n">
        <f aca="false">m_pc</f>
        <v>14.47</v>
      </c>
    </row>
    <row r="27" customFormat="false" ht="17.15" hidden="false" customHeight="false" outlineLevel="0" collapsed="false">
      <c r="A27" s="1" t="s">
        <v>902</v>
      </c>
      <c r="B27" s="6" t="n">
        <f aca="false">Val!$C$106</f>
        <v>3184.33516087684</v>
      </c>
      <c r="C27" s="6" t="n">
        <f aca="false">Val!$C$146</f>
        <v>3053.68532181921</v>
      </c>
      <c r="D27" s="6" t="n">
        <f aca="false">Val!$C$186</f>
        <v>2903.68523445966</v>
      </c>
      <c r="E27" s="11" t="s">
        <v>95</v>
      </c>
    </row>
    <row r="28" customFormat="false" ht="17.15" hidden="false" customHeight="false" outlineLevel="0" collapsed="false">
      <c r="A28" s="1" t="s">
        <v>903</v>
      </c>
      <c r="B28" s="6" t="n">
        <f aca="false">Val!$C$107</f>
        <v>115.079583119545</v>
      </c>
      <c r="C28" s="6" t="n">
        <f aca="false">Val!$C$147</f>
        <v>111.253995542787</v>
      </c>
      <c r="D28" s="6" t="n">
        <f aca="false">Val!$C$187</f>
        <v>106.814034990727</v>
      </c>
    </row>
    <row r="29" customFormat="false" ht="17.15" hidden="false" customHeight="false" outlineLevel="0" collapsed="false">
      <c r="A29" s="1" t="s">
        <v>904</v>
      </c>
      <c r="B29" s="5" t="n">
        <f aca="false">Val!$C$108</f>
        <v>441.570495716861</v>
      </c>
      <c r="C29" s="5" t="n">
        <f aca="false">Val!$C$148</f>
        <v>423.573249111616</v>
      </c>
      <c r="D29" s="5" t="n">
        <f aca="false">Val!$C$188</f>
        <v>402.904077817237</v>
      </c>
      <c r="E29" s="11" t="s">
        <v>905</v>
      </c>
    </row>
    <row r="30" customFormat="false" ht="17.15" hidden="false" customHeight="false" outlineLevel="0" collapsed="false">
      <c r="A30" s="0" t="s">
        <v>906</v>
      </c>
      <c r="B30" s="31" t="n">
        <f aca="false">w_A*B29+w_B*C29+w_C*D29</f>
        <v>422.905267939332</v>
      </c>
      <c r="E30" s="1" t="s">
        <v>907</v>
      </c>
    </row>
    <row r="32" customFormat="false" ht="17.15" hidden="false" customHeight="false" outlineLevel="0" collapsed="false">
      <c r="A32" s="9" t="s">
        <v>908</v>
      </c>
    </row>
    <row r="33" customFormat="false" ht="15" hidden="false" customHeight="false" outlineLevel="0" collapsed="false">
      <c r="A33" s="4" t="s">
        <v>43</v>
      </c>
      <c r="B33" s="4" t="s">
        <v>909</v>
      </c>
      <c r="C33" s="4" t="s">
        <v>910</v>
      </c>
      <c r="D33" s="4" t="s">
        <v>910</v>
      </c>
      <c r="E33" s="4" t="s">
        <v>47</v>
      </c>
    </row>
    <row r="34" customFormat="false" ht="17.15" hidden="false" customHeight="false" outlineLevel="0" collapsed="false">
      <c r="A34" s="1" t="s">
        <v>911</v>
      </c>
      <c r="B34" s="31" t="n">
        <f aca="false">w_dcf*B13+(1-w_dcf)*B30</f>
        <v>328.915955330906</v>
      </c>
      <c r="E34" s="11" t="s">
        <v>912</v>
      </c>
    </row>
    <row r="35" customFormat="false" ht="17.15" hidden="false" customHeight="false" outlineLevel="0" collapsed="false">
      <c r="A35" s="0" t="s">
        <v>887</v>
      </c>
      <c r="B35" s="5" t="n">
        <f aca="false">B13</f>
        <v>234.926642722479</v>
      </c>
    </row>
    <row r="36" customFormat="false" ht="17.15" hidden="false" customHeight="false" outlineLevel="0" collapsed="false">
      <c r="A36" s="1" t="s">
        <v>913</v>
      </c>
      <c r="B36" s="5" t="n">
        <f aca="false">cons_tp</f>
        <v>603.43</v>
      </c>
      <c r="C36" s="5" t="n">
        <f aca="false">cons_tp_lo</f>
        <v>440</v>
      </c>
      <c r="D36" s="5" t="n">
        <f aca="false">cons_tp_hi</f>
        <v>870</v>
      </c>
      <c r="E36" s="11" t="s">
        <v>914</v>
      </c>
    </row>
    <row r="37" customFormat="false" ht="17.15" hidden="false" customHeight="false" outlineLevel="0" collapsed="false">
      <c r="A37" s="1" t="s">
        <v>72</v>
      </c>
      <c r="B37" s="5" t="n">
        <f aca="false">px</f>
        <v>532.6</v>
      </c>
      <c r="E37" s="11" t="s">
        <v>915</v>
      </c>
    </row>
    <row r="38" customFormat="false" ht="17.15" hidden="false" customHeight="false" outlineLevel="0" collapsed="false">
      <c r="A38" s="1" t="s">
        <v>916</v>
      </c>
      <c r="B38" s="7" t="n">
        <f aca="false">B34/px-1</f>
        <v>-0.382433429720418</v>
      </c>
      <c r="E38" s="1" t="s">
        <v>917</v>
      </c>
    </row>
    <row r="39" customFormat="false" ht="17.15" hidden="false" customHeight="false" outlineLevel="0" collapsed="false">
      <c r="A39" s="1" t="s">
        <v>918</v>
      </c>
      <c r="B39" s="7" t="n">
        <f aca="false">B30/px-1</f>
        <v>-0.205960818739519</v>
      </c>
    </row>
    <row r="40" customFormat="false" ht="17.15" hidden="false" customHeight="false" outlineLevel="0" collapsed="false">
      <c r="A40" s="1" t="s">
        <v>919</v>
      </c>
      <c r="B40" s="30" t="str">
        <f aca="false">IF(B38&gt;0.5,"大於 50%",IF(B38&gt;0.25,"25%–50%",IF(B38&gt;=0,"0%–25%",IF(B38&gt;=-0.25,"0%～−25%",IF(B38&gt;=-0.5,"−25%～−50%","小於 −50%")))))</f>
        <v>−25%～−50%</v>
      </c>
      <c r="E40" s="1" t="s">
        <v>920</v>
      </c>
    </row>
    <row r="41" customFormat="false" ht="17.15" hidden="false" customHeight="false" outlineLevel="0" collapsed="false">
      <c r="A41" s="15" t="s">
        <v>921</v>
      </c>
      <c r="B41" s="33" t="str">
        <f aca="false">IF(B38&gt;=0.5,"強力買進",IF(B38&gt;=0.25,"買進",IF(B38&gt;-0.25,"中立",IF(B38&gt;-0.5,"放空","強力放空"))))</f>
        <v>放空</v>
      </c>
      <c r="C41" s="14"/>
      <c r="D41" s="14"/>
      <c r="E41" s="15" t="s">
        <v>922</v>
      </c>
    </row>
    <row r="42" customFormat="false" ht="17.15" hidden="false" customHeight="false" outlineLevel="0" collapsed="false">
      <c r="A42" s="1" t="s">
        <v>923</v>
      </c>
      <c r="B42" s="5" t="n">
        <f aca="false">Val!$C$109</f>
        <v>363.964440633548</v>
      </c>
      <c r="C42" s="5" t="n">
        <f aca="false">Val!$C$149</f>
        <v>330.316150494476</v>
      </c>
      <c r="D42" s="5" t="n">
        <f aca="false">Val!$C$189</f>
        <v>291.067079701122</v>
      </c>
      <c r="E42" s="11" t="s">
        <v>924</v>
      </c>
    </row>
    <row r="43" customFormat="false" ht="15" hidden="false" customHeight="false" outlineLevel="0" collapsed="false">
      <c r="A43" s="1" t="s">
        <v>925</v>
      </c>
      <c r="B43" s="7" t="n">
        <f aca="false">B42/px-1</f>
        <v>-0.316627035986579</v>
      </c>
      <c r="C43" s="7" t="n">
        <f aca="false">C42/px-1</f>
        <v>-0.37980444894015</v>
      </c>
      <c r="D43" s="7" t="n">
        <f aca="false">D42/px-1</f>
        <v>-0.453497785014793</v>
      </c>
    </row>
    <row r="44" customFormat="false" ht="17.15" hidden="false" customHeight="false" outlineLevel="0" collapsed="false">
      <c r="A44" s="1" t="s">
        <v>926</v>
      </c>
      <c r="C44" s="30" t="str">
        <f aca="false">IF(C43&gt;=0.5,"強力買進",IF(C43&gt;=0.25,"買進",IF(C43&gt;-0.25,"中立",IF(C43&gt;-0.5,"放空","強力放空"))))</f>
        <v>放空</v>
      </c>
      <c r="E44" s="1" t="s">
        <v>927</v>
      </c>
    </row>
    <row r="45" customFormat="false" ht="17.15" hidden="false" customHeight="false" outlineLevel="0" collapsed="false">
      <c r="A45" s="1" t="s">
        <v>928</v>
      </c>
      <c r="B45" s="5" t="n">
        <f aca="false">D12</f>
        <v>179.230081585006</v>
      </c>
      <c r="E45" s="1" t="s">
        <v>929</v>
      </c>
    </row>
    <row r="46" customFormat="false" ht="17.15" hidden="false" customHeight="false" outlineLevel="0" collapsed="false">
      <c r="A46" s="1" t="s">
        <v>930</v>
      </c>
      <c r="B46" s="5" t="n">
        <f aca="false">D12</f>
        <v>179.230081585006</v>
      </c>
      <c r="C46" s="5" t="n">
        <f aca="false">B12</f>
        <v>286.358385550236</v>
      </c>
      <c r="E46" s="11" t="s">
        <v>931</v>
      </c>
    </row>
    <row r="47" customFormat="false" ht="17.15" hidden="false" customHeight="false" outlineLevel="0" collapsed="false">
      <c r="A47" s="1" t="s">
        <v>932</v>
      </c>
      <c r="B47" s="34" t="n">
        <f aca="false">px/PL!G45</f>
        <v>23.6697885945182</v>
      </c>
      <c r="C47" s="34" t="n">
        <f aca="false">px/PL!G80</f>
        <v>25.449940201087</v>
      </c>
      <c r="D47" s="34" t="n">
        <f aca="false">px/PL!G115</f>
        <v>27.8440155910166</v>
      </c>
      <c r="E47" s="11" t="s">
        <v>924</v>
      </c>
    </row>
    <row r="48" customFormat="false" ht="17.15" hidden="false" customHeight="false" outlineLevel="0" collapsed="false">
      <c r="A48" s="1" t="s">
        <v>933</v>
      </c>
      <c r="B48" s="34" t="n">
        <f aca="false">B34/PL!G80</f>
        <v>15.7170322838058</v>
      </c>
    </row>
    <row r="49" customFormat="false" ht="17.15" hidden="false" customHeight="false" outlineLevel="0" collapsed="false">
      <c r="A49" s="1" t="s">
        <v>934</v>
      </c>
      <c r="B49" s="0" t="s">
        <v>935</v>
      </c>
    </row>
    <row r="52" customFormat="false" ht="17.15" hidden="false" customHeight="false" outlineLevel="0" collapsed="false">
      <c r="A52" s="9" t="s">
        <v>936</v>
      </c>
    </row>
    <row r="70" customFormat="false" ht="17.15" hidden="false" customHeight="false" outlineLevel="0" collapsed="false">
      <c r="A70" s="3" t="s">
        <v>937</v>
      </c>
    </row>
    <row r="71" customFormat="false" ht="15" hidden="false" customHeight="false" outlineLevel="0" collapsed="false">
      <c r="A71" s="4" t="s">
        <v>43</v>
      </c>
      <c r="B71" s="4" t="s">
        <v>63</v>
      </c>
      <c r="C71" s="19" t="s">
        <v>710</v>
      </c>
      <c r="D71" s="19" t="s">
        <v>711</v>
      </c>
      <c r="E71" s="19" t="s">
        <v>712</v>
      </c>
      <c r="F71" s="19" t="s">
        <v>713</v>
      </c>
      <c r="G71" s="19" t="s">
        <v>714</v>
      </c>
      <c r="H71" s="19" t="s">
        <v>715</v>
      </c>
      <c r="I71" s="19" t="s">
        <v>716</v>
      </c>
      <c r="J71" s="19" t="s">
        <v>717</v>
      </c>
      <c r="K71" s="19" t="s">
        <v>718</v>
      </c>
      <c r="L71" s="4" t="s">
        <v>47</v>
      </c>
    </row>
    <row r="72" customFormat="false" ht="17.15" hidden="false" customHeight="false" outlineLevel="0" collapsed="false">
      <c r="A72" s="1" t="s">
        <v>938</v>
      </c>
      <c r="B72" s="1" t="s">
        <v>213</v>
      </c>
      <c r="F72" s="34" t="n">
        <f aca="false">1-0.5</f>
        <v>0.5</v>
      </c>
      <c r="G72" s="34" t="n">
        <f aca="false">2-0.5</f>
        <v>1.5</v>
      </c>
      <c r="H72" s="34" t="n">
        <f aca="false">3-0.5</f>
        <v>2.5</v>
      </c>
      <c r="I72" s="34" t="n">
        <f aca="false">4-0.5</f>
        <v>3.5</v>
      </c>
      <c r="J72" s="34" t="n">
        <f aca="false">5-0.5</f>
        <v>4.5</v>
      </c>
      <c r="K72" s="34" t="n">
        <f aca="false">6-0.5</f>
        <v>5.5</v>
      </c>
    </row>
    <row r="73" customFormat="false" ht="15" hidden="false" customHeight="false" outlineLevel="0" collapsed="false">
      <c r="A73" s="1" t="s">
        <v>939</v>
      </c>
      <c r="B73" s="0" t="s">
        <v>182</v>
      </c>
      <c r="F73" s="18" t="n">
        <f aca="false">1/(1+wacc)^Val!F72</f>
        <v>0.949601579913219</v>
      </c>
      <c r="G73" s="18" t="n">
        <f aca="false">1/(1+wacc)^Val!G72</f>
        <v>0.856296729956707</v>
      </c>
      <c r="H73" s="18" t="n">
        <f aca="false">1/(1+wacc)^Val!H72</f>
        <v>0.772159719660069</v>
      </c>
      <c r="I73" s="18" t="n">
        <f aca="false">1/(1+wacc)^Val!I72</f>
        <v>0.696289746073958</v>
      </c>
      <c r="J73" s="18" t="n">
        <f aca="false">1/(1+wacc)^Val!J72</f>
        <v>0.627874516299776</v>
      </c>
      <c r="K73" s="18" t="n">
        <f aca="false">1/(1+wacc)^Val!K72</f>
        <v>0.566181550771831</v>
      </c>
    </row>
    <row r="74" customFormat="false" ht="15" hidden="false" customHeight="false" outlineLevel="0" collapsed="false">
      <c r="A74" s="1" t="s">
        <v>940</v>
      </c>
      <c r="B74" s="0" t="s">
        <v>95</v>
      </c>
      <c r="F74" s="6" t="n">
        <f aca="false">CF!F27*Val!F73</f>
        <v>4.78244341517868</v>
      </c>
      <c r="G74" s="6" t="n">
        <f aca="false">CF!G27*Val!G73</f>
        <v>37.2678177028369</v>
      </c>
      <c r="H74" s="6" t="n">
        <f aca="false">CF!H27*Val!H73</f>
        <v>72.9878911803064</v>
      </c>
      <c r="I74" s="6" t="n">
        <f aca="false">CF!I27*Val!I73</f>
        <v>79.2928055259562</v>
      </c>
      <c r="J74" s="6" t="n">
        <f aca="false">CF!J27*Val!J73</f>
        <v>92.2861122369862</v>
      </c>
      <c r="K74" s="6" t="n">
        <f aca="false">CF!K27*Val!K73</f>
        <v>84.8150303666</v>
      </c>
    </row>
    <row r="75" customFormat="false" ht="17.15" hidden="false" customHeight="false" outlineLevel="0" collapsed="false">
      <c r="A75" s="1" t="s">
        <v>941</v>
      </c>
      <c r="B75" s="0" t="s">
        <v>95</v>
      </c>
      <c r="C75" s="6" t="n">
        <f aca="false">SUM(Val!F74:VAL74)</f>
        <v>371.432100427865</v>
      </c>
    </row>
    <row r="76" customFormat="false" ht="17.15" hidden="false" customHeight="false" outlineLevel="0" collapsed="false">
      <c r="A76" s="1" t="s">
        <v>942</v>
      </c>
      <c r="B76" s="0" t="s">
        <v>95</v>
      </c>
      <c r="C76" s="6" t="n">
        <f aca="false">PL!K35*(1+g_tv)*(1-tax_f)</f>
        <v>261.070427358719</v>
      </c>
    </row>
    <row r="77" customFormat="false" ht="17.15" hidden="false" customHeight="false" outlineLevel="0" collapsed="false">
      <c r="A77" s="1" t="s">
        <v>943</v>
      </c>
      <c r="B77" s="0" t="s">
        <v>95</v>
      </c>
      <c r="C77" s="6" t="n">
        <f aca="false">Val!$C$76*(1-g_tv/(wacc+ronic_prem))</f>
        <v>189.191928007442</v>
      </c>
    </row>
    <row r="78" customFormat="false" ht="17.15" hidden="false" customHeight="false" outlineLevel="0" collapsed="false">
      <c r="A78" s="1" t="s">
        <v>944</v>
      </c>
      <c r="B78" s="0" t="s">
        <v>95</v>
      </c>
      <c r="C78" s="6" t="n">
        <f aca="false">Val!$C$77/(wacc-g_tv)</f>
        <v>2395.9499783759</v>
      </c>
    </row>
    <row r="79" customFormat="false" ht="15" hidden="false" customHeight="false" outlineLevel="0" collapsed="false">
      <c r="A79" s="1" t="s">
        <v>945</v>
      </c>
      <c r="B79" s="0" t="s">
        <v>95</v>
      </c>
      <c r="C79" s="6" t="n">
        <f aca="false">Val!$C$78/(1+wacc)^6</f>
        <v>1288.17506676214</v>
      </c>
    </row>
    <row r="80" customFormat="false" ht="17.15" hidden="false" customHeight="false" outlineLevel="0" collapsed="false">
      <c r="A80" s="0" t="s">
        <v>877</v>
      </c>
      <c r="B80" s="0" t="s">
        <v>95</v>
      </c>
      <c r="C80" s="6" t="n">
        <f aca="false">Val!$C$75+Val!$C$79</f>
        <v>1659.60716719001</v>
      </c>
    </row>
    <row r="81" customFormat="false" ht="15" hidden="false" customHeight="false" outlineLevel="0" collapsed="false">
      <c r="A81" s="1" t="s">
        <v>878</v>
      </c>
      <c r="B81" s="0" t="s">
        <v>126</v>
      </c>
      <c r="C81" s="7" t="n">
        <f aca="false">Val!$C$79/Val!$C$80</f>
        <v>0.776192759484908</v>
      </c>
    </row>
    <row r="82" customFormat="false" ht="17.15" hidden="false" customHeight="false" outlineLevel="0" collapsed="false">
      <c r="A82" s="1" t="s">
        <v>946</v>
      </c>
      <c r="B82" s="0" t="s">
        <v>95</v>
      </c>
      <c r="C82" s="6" t="n">
        <f aca="false">Val!$C$80+CF!E36+oai_v</f>
        <v>1860.71416719001</v>
      </c>
    </row>
    <row r="83" customFormat="false" ht="17.15" hidden="false" customHeight="false" outlineLevel="0" collapsed="false">
      <c r="A83" s="0" t="s">
        <v>883</v>
      </c>
      <c r="B83" s="0" t="s">
        <v>73</v>
      </c>
      <c r="C83" s="5" t="n">
        <f aca="false">Val!$C$82/sh_dil26</f>
        <v>249.659756767745</v>
      </c>
    </row>
    <row r="84" customFormat="false" ht="17.15" hidden="false" customHeight="false" outlineLevel="0" collapsed="false">
      <c r="A84" s="0" t="s">
        <v>947</v>
      </c>
      <c r="B84" s="0" t="s">
        <v>73</v>
      </c>
      <c r="C84" s="5" t="n">
        <f aca="false">Val!$C$83*(1+wacc)^t_roll</f>
        <v>286.358385550236</v>
      </c>
    </row>
    <row r="85" customFormat="false" ht="17.15" hidden="false" customHeight="false" outlineLevel="0" collapsed="false">
      <c r="A85" s="1" t="s">
        <v>948</v>
      </c>
      <c r="B85" s="0" t="s">
        <v>126</v>
      </c>
      <c r="F85" s="7" t="n">
        <f aca="false">CF!F17/(Seg!F29-Thesis!F20)</f>
        <v>0.0681773598226415</v>
      </c>
      <c r="G85" s="7" t="n">
        <f aca="false">CF!G17/(Seg!G29-Thesis!G20)</f>
        <v>0.0650385409375172</v>
      </c>
      <c r="H85" s="7" t="n">
        <f aca="false">CF!H17/(Seg!H29-Thesis!H20)</f>
        <v>0.063382542471986</v>
      </c>
      <c r="I85" s="7" t="n">
        <f aca="false">CF!I17/(Seg!I29-Thesis!I20)</f>
        <v>0.0630998138876076</v>
      </c>
      <c r="J85" s="7" t="n">
        <f aca="false">CF!J17/(Seg!J29-Thesis!J20)</f>
        <v>0.0638399980286975</v>
      </c>
      <c r="K85" s="7" t="n">
        <f aca="false">CF!K17/(Seg!K29-Thesis!K20)</f>
        <v>0.0651531082402687</v>
      </c>
    </row>
    <row r="86" customFormat="false" ht="17.15" hidden="false" customHeight="false" outlineLevel="0" collapsed="false">
      <c r="A86" s="0" t="s">
        <v>949</v>
      </c>
      <c r="B86" s="0" t="s">
        <v>95</v>
      </c>
      <c r="F86" s="6" t="n">
        <f aca="false">Seg!F14*(al_m365+Val!F85)</f>
        <v>80.4434678008041</v>
      </c>
      <c r="G86" s="6" t="n">
        <f aca="false">Seg!G14*(al_m365+Val!G85)</f>
        <v>94.1323272633269</v>
      </c>
      <c r="H86" s="6" t="n">
        <f aca="false">Seg!H14*(al_m365+Val!H85)</f>
        <v>107.983658528206</v>
      </c>
      <c r="I86" s="6" t="n">
        <f aca="false">Seg!I14*(al_m365+Val!I85)</f>
        <v>120.408335219477</v>
      </c>
      <c r="J86" s="6" t="n">
        <f aca="false">Seg!J14*(al_m365+Val!J85)</f>
        <v>131.229685027411</v>
      </c>
      <c r="K86" s="6" t="n">
        <f aca="false">Seg!K14*(al_m365+Val!K85)</f>
        <v>141.696231007978</v>
      </c>
    </row>
    <row r="87" customFormat="false" ht="17.15" hidden="false" customHeight="false" outlineLevel="0" collapsed="false">
      <c r="A87" s="0" t="s">
        <v>950</v>
      </c>
      <c r="B87" s="0" t="s">
        <v>95</v>
      </c>
      <c r="F87" s="6" t="n">
        <f aca="false">Seg!F15*(al_lic+Val!F85)</f>
        <v>31.9678940661213</v>
      </c>
      <c r="G87" s="6" t="n">
        <f aca="false">Seg!G15*(al_lic+Val!G85)</f>
        <v>33.1937184472398</v>
      </c>
      <c r="H87" s="6" t="n">
        <f aca="false">Seg!H15*(al_lic+Val!H85)</f>
        <v>34.3439380840055</v>
      </c>
      <c r="I87" s="6" t="n">
        <f aca="false">Seg!I15*(al_lic+Val!I85)</f>
        <v>35.4022023072784</v>
      </c>
      <c r="J87" s="6" t="n">
        <f aca="false">Seg!J15*(al_lic+Val!J85)</f>
        <v>36.3410576398918</v>
      </c>
      <c r="K87" s="6" t="n">
        <f aca="false">Seg!K15*(al_lic+Val!K85)</f>
        <v>37.1276868757058</v>
      </c>
    </row>
    <row r="88" customFormat="false" ht="17.15" hidden="false" customHeight="false" outlineLevel="0" collapsed="false">
      <c r="A88" s="0" t="s">
        <v>951</v>
      </c>
      <c r="B88" s="0" t="s">
        <v>95</v>
      </c>
      <c r="F88" s="6" t="n">
        <f aca="false">Seg!F17*(al_ind+Val!F85)</f>
        <v>8.23142235288747</v>
      </c>
      <c r="G88" s="6" t="n">
        <f aca="false">Seg!G17*(al_ind+Val!G85)</f>
        <v>8.92125445211874</v>
      </c>
      <c r="H88" s="6" t="n">
        <f aca="false">Seg!H17*(al_ind+Val!H85)</f>
        <v>9.65645689966252</v>
      </c>
      <c r="I88" s="6" t="n">
        <f aca="false">Seg!I17*(al_ind+Val!I85)</f>
        <v>10.4359305133559</v>
      </c>
      <c r="J88" s="6" t="n">
        <f aca="false">Seg!J17*(al_ind+Val!J85)</f>
        <v>11.2496615107155</v>
      </c>
      <c r="K88" s="6" t="n">
        <f aca="false">Seg!K17*(al_ind+Val!K85)</f>
        <v>12.0805802325565</v>
      </c>
    </row>
    <row r="89" customFormat="false" ht="17.15" hidden="false" customHeight="false" outlineLevel="0" collapsed="false">
      <c r="A89" s="0" t="s">
        <v>952</v>
      </c>
      <c r="B89" s="0" t="s">
        <v>95</v>
      </c>
      <c r="F89" s="6" t="n">
        <f aca="false">Seg!F19*(al_fro+Val!F85)</f>
        <v>3.23991673698178</v>
      </c>
      <c r="G89" s="6" t="n">
        <f aca="false">Seg!G19*(al_fro+Val!G85)</f>
        <v>3.42523427012141</v>
      </c>
      <c r="H89" s="6" t="n">
        <f aca="false">Seg!H19*(al_fro+Val!H85)</f>
        <v>3.63888347669114</v>
      </c>
      <c r="I89" s="6" t="n">
        <f aca="false">Seg!I19*(al_fro+Val!I85)</f>
        <v>3.88382859986432</v>
      </c>
      <c r="J89" s="6" t="n">
        <f aca="false">Seg!J19*(al_fro+Val!J85)</f>
        <v>4.16055715035227</v>
      </c>
      <c r="K89" s="6" t="n">
        <f aca="false">Seg!K19*(al_fro+Val!K85)</f>
        <v>4.46786282583631</v>
      </c>
    </row>
    <row r="90" customFormat="false" ht="17.15" hidden="false" customHeight="false" outlineLevel="0" collapsed="false">
      <c r="A90" s="0" t="s">
        <v>953</v>
      </c>
      <c r="B90" s="0" t="s">
        <v>95</v>
      </c>
      <c r="F90" s="6" t="n">
        <f aca="false">Seg!F22*(al_srch+Val!F85)</f>
        <v>10.1659255338338</v>
      </c>
      <c r="G90" s="6" t="n">
        <f aca="false">Seg!G22*(al_srch+Val!G85)</f>
        <v>11.1218361064416</v>
      </c>
      <c r="H90" s="6" t="n">
        <f aca="false">Seg!H22*(al_srch+Val!H85)</f>
        <v>12.1240320316325</v>
      </c>
      <c r="I90" s="6" t="n">
        <f aca="false">Seg!I22*(al_srch+Val!I85)</f>
        <v>13.1651647223307</v>
      </c>
      <c r="J90" s="6" t="n">
        <f aca="false">Seg!J22*(al_srch+Val!J85)</f>
        <v>14.2257207024961</v>
      </c>
      <c r="K90" s="6" t="n">
        <f aca="false">Seg!K22*(al_srch+Val!K85)</f>
        <v>15.2764561092572</v>
      </c>
    </row>
    <row r="91" customFormat="false" ht="17.15" hidden="false" customHeight="false" outlineLevel="0" collapsed="false">
      <c r="A91" s="0" t="s">
        <v>954</v>
      </c>
      <c r="B91" s="0" t="s">
        <v>95</v>
      </c>
      <c r="F91" s="6" t="n">
        <f aca="false">Thesis!F26</f>
        <v>43.1278534047371</v>
      </c>
      <c r="G91" s="6" t="n">
        <f aca="false">Thesis!G26</f>
        <v>78.4713023799053</v>
      </c>
      <c r="H91" s="6" t="n">
        <f aca="false">Thesis!H26</f>
        <v>120.169624261219</v>
      </c>
      <c r="I91" s="6" t="n">
        <f aca="false">Thesis!I26</f>
        <v>156.086713969963</v>
      </c>
      <c r="J91" s="6" t="n">
        <f aca="false">Thesis!J26</f>
        <v>192.09687492465</v>
      </c>
      <c r="K91" s="6" t="n">
        <f aca="false">Thesis!K26</f>
        <v>228.161785217179</v>
      </c>
    </row>
    <row r="92" customFormat="false" ht="17.15" hidden="false" customHeight="false" outlineLevel="0" collapsed="false">
      <c r="A92" s="0" t="s">
        <v>955</v>
      </c>
      <c r="B92" s="0" t="s">
        <v>95</v>
      </c>
      <c r="F92" s="6" t="n">
        <f aca="false">PL!F32+Thesis!F37+Val!F85*(Seg!F21-Thesis!F20)</f>
        <v>216.001008704281</v>
      </c>
      <c r="G92" s="6" t="n">
        <f aca="false">PL!G32+Thesis!G37+Val!G85*(Seg!G21-Thesis!G20)</f>
        <v>273.190669749878</v>
      </c>
      <c r="H92" s="6" t="n">
        <f aca="false">PL!H32+Thesis!H37+Val!H85*(Seg!H21-Thesis!H20)</f>
        <v>336.986209145837</v>
      </c>
      <c r="I92" s="6" t="n">
        <f aca="false">PL!I32+Thesis!I37+Val!I85*(Seg!I21-Thesis!I20)</f>
        <v>393.439203291672</v>
      </c>
      <c r="J92" s="6" t="n">
        <f aca="false">PL!J32+Thesis!J37+Val!J85*(Seg!J21-Thesis!J20)</f>
        <v>447.606137303559</v>
      </c>
      <c r="K92" s="6" t="n">
        <f aca="false">PL!K32+Thesis!K37+Val!K85*(Seg!K21-Thesis!K20)</f>
        <v>499.903344093081</v>
      </c>
    </row>
    <row r="93" customFormat="false" ht="17.15" hidden="false" customHeight="false" outlineLevel="0" collapsed="false">
      <c r="A93" s="0" t="s">
        <v>956</v>
      </c>
      <c r="B93" s="0" t="s">
        <v>95</v>
      </c>
      <c r="F93" s="6" t="n">
        <f aca="false">Val!F92-Val!F86-Val!F87-Val!F88-Val!F89-Val!F91</f>
        <v>48.9904543427497</v>
      </c>
      <c r="G93" s="6" t="n">
        <f aca="false">Val!G92-Val!G86-Val!G87-Val!G88-Val!G89-Val!G91</f>
        <v>55.0468329371655</v>
      </c>
      <c r="H93" s="6" t="n">
        <f aca="false">Val!H92-Val!H86-Val!H87-Val!H88-Val!H89-Val!H91</f>
        <v>61.1936478960528</v>
      </c>
      <c r="I93" s="6" t="n">
        <f aca="false">Val!I92-Val!I86-Val!I87-Val!I88-Val!I89-Val!I91</f>
        <v>67.2221926817336</v>
      </c>
      <c r="J93" s="6" t="n">
        <f aca="false">Val!J92-Val!J86-Val!J87-Val!J88-Val!J89-Val!J91</f>
        <v>72.5283010505383</v>
      </c>
      <c r="K93" s="6" t="n">
        <f aca="false">Val!K92-Val!K86-Val!K87-Val!K88-Val!K89-Val!K91</f>
        <v>76.3691979338254</v>
      </c>
    </row>
    <row r="94" customFormat="false" ht="17.15" hidden="false" customHeight="false" outlineLevel="0" collapsed="false">
      <c r="A94" s="0" t="s">
        <v>957</v>
      </c>
      <c r="B94" s="0" t="s">
        <v>95</v>
      </c>
      <c r="F94" s="6" t="n">
        <f aca="false">PL!F34+Val!F85*Seg!F28</f>
        <v>23.7366325885412</v>
      </c>
      <c r="G94" s="6" t="n">
        <f aca="false">PL!G34+Val!G85*Seg!G28</f>
        <v>24.2488001831921</v>
      </c>
      <c r="H94" s="6" t="n">
        <f aca="false">PL!H34+Val!H85*Seg!H28</f>
        <v>25.0191565857232</v>
      </c>
      <c r="I94" s="6" t="n">
        <f aca="false">PL!I34+Val!I85*Seg!I28</f>
        <v>26.0222596996374</v>
      </c>
      <c r="J94" s="6" t="n">
        <f aca="false">PL!J34+Val!J85*Seg!J28</f>
        <v>27.2212114824986</v>
      </c>
      <c r="K94" s="6" t="n">
        <f aca="false">PL!K34+Val!K85*Seg!K28</f>
        <v>28.5733379970501</v>
      </c>
    </row>
    <row r="95" customFormat="false" ht="17.15" hidden="false" customHeight="false" outlineLevel="0" collapsed="false">
      <c r="A95" s="0" t="s">
        <v>958</v>
      </c>
      <c r="B95" s="0" t="s">
        <v>95</v>
      </c>
      <c r="F95" s="6" t="n">
        <f aca="false">(Val!F94-Val!F90)*Seg!F24/(Seg!F24+Seg!F26)</f>
        <v>7.43932943061911</v>
      </c>
      <c r="G95" s="6" t="n">
        <f aca="false">(Val!G94-Val!G90)*Seg!G24/(Seg!G24+Seg!G26)</f>
        <v>7.06776830757547</v>
      </c>
      <c r="H95" s="6" t="n">
        <f aca="false">(Val!H94-Val!H90)*Seg!H24/(Seg!H24+Seg!H26)</f>
        <v>6.84915463876495</v>
      </c>
      <c r="I95" s="6" t="n">
        <f aca="false">(Val!I94-Val!I90)*Seg!I24/(Seg!I24+Seg!I26)</f>
        <v>6.76716702045722</v>
      </c>
      <c r="J95" s="6" t="n">
        <f aca="false">(Val!J94-Val!J90)*Seg!J24/(Seg!J24+Seg!J26)</f>
        <v>6.80907960368748</v>
      </c>
      <c r="K95" s="6" t="n">
        <f aca="false">(Val!K94-Val!K90)*Seg!K24/(Seg!K24+Seg!K26)</f>
        <v>6.96699561313494</v>
      </c>
    </row>
    <row r="96" customFormat="false" ht="17.15" hidden="false" customHeight="false" outlineLevel="0" collapsed="false">
      <c r="A96" s="0" t="s">
        <v>959</v>
      </c>
      <c r="B96" s="0" t="s">
        <v>95</v>
      </c>
      <c r="F96" s="6" t="n">
        <f aca="false">Val!F94-Val!F90-Val!F95</f>
        <v>6.13137762408826</v>
      </c>
      <c r="G96" s="6" t="n">
        <f aca="false">Val!G94-Val!G90-Val!G95</f>
        <v>6.05919576917506</v>
      </c>
      <c r="H96" s="6" t="n">
        <f aca="false">Val!H94-Val!H90-Val!H95</f>
        <v>6.04596991532572</v>
      </c>
      <c r="I96" s="6" t="n">
        <f aca="false">Val!I94-Val!I90-Val!I95</f>
        <v>6.08992795684943</v>
      </c>
      <c r="J96" s="6" t="n">
        <f aca="false">Val!J94-Val!J90-Val!J95</f>
        <v>6.18641117631496</v>
      </c>
      <c r="K96" s="6" t="n">
        <f aca="false">Val!K94-Val!K90-Val!K95</f>
        <v>6.32988627465802</v>
      </c>
    </row>
    <row r="97" customFormat="false" ht="17.15" hidden="false" customHeight="false" outlineLevel="0" collapsed="false">
      <c r="A97" s="1" t="s">
        <v>960</v>
      </c>
      <c r="B97" s="0" t="s">
        <v>95</v>
      </c>
      <c r="C97" s="6" t="n">
        <f aca="false">(w_ntm28*Val!G91+(1-w_ntm28)*Val!H91)*m_ai*1</f>
        <v>551.711134531404</v>
      </c>
    </row>
    <row r="98" customFormat="false" ht="17.15" hidden="false" customHeight="false" outlineLevel="0" collapsed="false">
      <c r="A98" s="1" t="s">
        <v>961</v>
      </c>
      <c r="B98" s="0" t="s">
        <v>95</v>
      </c>
      <c r="C98" s="6" t="n">
        <f aca="false">(w_ntm28*Val!G93+(1-w_ntm28)*Val!H93)*m_cloud*1</f>
        <v>788.2101899926</v>
      </c>
    </row>
    <row r="99" customFormat="false" ht="17.15" hidden="false" customHeight="false" outlineLevel="0" collapsed="false">
      <c r="A99" s="1" t="s">
        <v>962</v>
      </c>
      <c r="B99" s="0" t="s">
        <v>95</v>
      </c>
      <c r="C99" s="6" t="n">
        <f aca="false">(w_ntm28*Val!G86+(1-w_ntm28)*Val!H86)*m_sw*1</f>
        <v>1064.99115242739</v>
      </c>
    </row>
    <row r="100" customFormat="false" ht="17.15" hidden="false" customHeight="false" outlineLevel="0" collapsed="false">
      <c r="A100" s="1" t="s">
        <v>963</v>
      </c>
      <c r="B100" s="0" t="s">
        <v>95</v>
      </c>
      <c r="C100" s="6" t="n">
        <f aca="false">(w_ntm28*Val!G87+(1-w_ntm28)*Val!H87)*m_sw*1</f>
        <v>362.508158970174</v>
      </c>
    </row>
    <row r="101" customFormat="false" ht="17.15" hidden="false" customHeight="false" outlineLevel="0" collapsed="false">
      <c r="A101" s="1" t="s">
        <v>964</v>
      </c>
      <c r="B101" s="0" t="s">
        <v>95</v>
      </c>
      <c r="C101" s="6" t="n">
        <f aca="false">(w_ntm28*Val!G88+(1-w_ntm28)*Val!H88)*m_sw*1</f>
        <v>98.9165124641147</v>
      </c>
    </row>
    <row r="102" customFormat="false" ht="17.15" hidden="false" customHeight="false" outlineLevel="0" collapsed="false">
      <c r="A102" s="1" t="s">
        <v>965</v>
      </c>
      <c r="B102" s="0" t="s">
        <v>95</v>
      </c>
      <c r="C102" s="6" t="n">
        <f aca="false">(w_ntm28*Val!G89+(1-w_ntm28)*Val!H89)*m_sw*1</f>
        <v>37.7384877854002</v>
      </c>
    </row>
    <row r="103" customFormat="false" ht="17.15" hidden="false" customHeight="false" outlineLevel="0" collapsed="false">
      <c r="A103" s="1" t="s">
        <v>966</v>
      </c>
      <c r="B103" s="0" t="s">
        <v>95</v>
      </c>
      <c r="C103" s="6" t="n">
        <f aca="false">(w_ntm28*Val!G90+(1-w_ntm28)*Val!H90)*m_ads*1</f>
        <v>104.271544945195</v>
      </c>
    </row>
    <row r="104" customFormat="false" ht="17.15" hidden="false" customHeight="false" outlineLevel="0" collapsed="false">
      <c r="A104" s="1" t="s">
        <v>967</v>
      </c>
      <c r="B104" s="0" t="s">
        <v>95</v>
      </c>
      <c r="C104" s="6" t="n">
        <f aca="false">(w_ntm28*Val!G95+(1-w_ntm28)*Val!H95)*m_game*1</f>
        <v>88.3732871625547</v>
      </c>
    </row>
    <row r="105" customFormat="false" ht="17.15" hidden="false" customHeight="false" outlineLevel="0" collapsed="false">
      <c r="A105" s="1" t="s">
        <v>968</v>
      </c>
      <c r="B105" s="0" t="s">
        <v>95</v>
      </c>
      <c r="C105" s="6" t="n">
        <f aca="false">(w_ntm28*Val!G96+(1-w_ntm28)*Val!H96)*m_pc*1</f>
        <v>87.614692598008</v>
      </c>
    </row>
    <row r="106" customFormat="false" ht="17.15" hidden="false" customHeight="false" outlineLevel="0" collapsed="false">
      <c r="A106" s="1" t="s">
        <v>969</v>
      </c>
      <c r="B106" s="0" t="s">
        <v>95</v>
      </c>
      <c r="C106" s="6" t="n">
        <f aca="false">Val!$C$97+Val!$C$98+Val!$C$99+Val!$C$100+Val!$C$101+Val!$C$102+Val!$C$103+Val!$C$104+Val!$C$105</f>
        <v>3184.33516087684</v>
      </c>
    </row>
    <row r="107" customFormat="false" ht="17.15" hidden="false" customHeight="false" outlineLevel="0" collapsed="false">
      <c r="A107" s="1" t="s">
        <v>903</v>
      </c>
      <c r="B107" s="0" t="s">
        <v>95</v>
      </c>
      <c r="C107" s="6" t="n">
        <f aca="false">CF!F36+oai_v-CF!F25</f>
        <v>115.079583119545</v>
      </c>
      <c r="L107" s="1" t="s">
        <v>970</v>
      </c>
    </row>
    <row r="108" customFormat="false" ht="15" hidden="false" customHeight="false" outlineLevel="0" collapsed="false">
      <c r="A108" s="1" t="s">
        <v>904</v>
      </c>
      <c r="B108" s="0" t="s">
        <v>73</v>
      </c>
      <c r="C108" s="5" t="n">
        <f aca="false">(Val!$C$106+Val!$C$107)/CF!F38</f>
        <v>441.570495716861</v>
      </c>
    </row>
    <row r="109" customFormat="false" ht="17.15" hidden="false" customHeight="false" outlineLevel="0" collapsed="false">
      <c r="A109" s="1" t="s">
        <v>971</v>
      </c>
      <c r="B109" s="0" t="s">
        <v>73</v>
      </c>
      <c r="C109" s="5" t="n">
        <f aca="false">w_dcf*Val!$C$84+(1-w_dcf)*Val!$C$108</f>
        <v>363.964440633548</v>
      </c>
    </row>
    <row r="110" customFormat="false" ht="17.15" hidden="false" customHeight="false" outlineLevel="0" collapsed="false">
      <c r="A110" s="3" t="s">
        <v>972</v>
      </c>
    </row>
    <row r="111" customFormat="false" ht="15" hidden="false" customHeight="false" outlineLevel="0" collapsed="false">
      <c r="A111" s="4" t="s">
        <v>43</v>
      </c>
      <c r="B111" s="4" t="s">
        <v>63</v>
      </c>
      <c r="C111" s="19" t="s">
        <v>710</v>
      </c>
      <c r="D111" s="19" t="s">
        <v>711</v>
      </c>
      <c r="E111" s="19" t="s">
        <v>712</v>
      </c>
      <c r="F111" s="19" t="s">
        <v>713</v>
      </c>
      <c r="G111" s="19" t="s">
        <v>714</v>
      </c>
      <c r="H111" s="19" t="s">
        <v>715</v>
      </c>
      <c r="I111" s="19" t="s">
        <v>716</v>
      </c>
      <c r="J111" s="19" t="s">
        <v>717</v>
      </c>
      <c r="K111" s="19" t="s">
        <v>718</v>
      </c>
      <c r="L111" s="4" t="s">
        <v>47</v>
      </c>
    </row>
    <row r="112" customFormat="false" ht="17.15" hidden="false" customHeight="false" outlineLevel="0" collapsed="false">
      <c r="A112" s="1" t="s">
        <v>938</v>
      </c>
      <c r="B112" s="1" t="s">
        <v>213</v>
      </c>
      <c r="F112" s="34" t="n">
        <f aca="false">1-0.5</f>
        <v>0.5</v>
      </c>
      <c r="G112" s="34" t="n">
        <f aca="false">2-0.5</f>
        <v>1.5</v>
      </c>
      <c r="H112" s="34" t="n">
        <f aca="false">3-0.5</f>
        <v>2.5</v>
      </c>
      <c r="I112" s="34" t="n">
        <f aca="false">4-0.5</f>
        <v>3.5</v>
      </c>
      <c r="J112" s="34" t="n">
        <f aca="false">5-0.5</f>
        <v>4.5</v>
      </c>
      <c r="K112" s="34" t="n">
        <f aca="false">6-0.5</f>
        <v>5.5</v>
      </c>
    </row>
    <row r="113" customFormat="false" ht="15" hidden="false" customHeight="false" outlineLevel="0" collapsed="false">
      <c r="A113" s="1" t="s">
        <v>939</v>
      </c>
      <c r="B113" s="0" t="s">
        <v>182</v>
      </c>
      <c r="F113" s="18" t="n">
        <f aca="false">1/(1+wacc)^Val!F112</f>
        <v>0.949601579913219</v>
      </c>
      <c r="G113" s="18" t="n">
        <f aca="false">1/(1+wacc)^Val!G112</f>
        <v>0.856296729956707</v>
      </c>
      <c r="H113" s="18" t="n">
        <f aca="false">1/(1+wacc)^Val!H112</f>
        <v>0.772159719660069</v>
      </c>
      <c r="I113" s="18" t="n">
        <f aca="false">1/(1+wacc)^Val!I112</f>
        <v>0.696289746073958</v>
      </c>
      <c r="J113" s="18" t="n">
        <f aca="false">1/(1+wacc)^Val!J112</f>
        <v>0.627874516299776</v>
      </c>
      <c r="K113" s="18" t="n">
        <f aca="false">1/(1+wacc)^Val!K112</f>
        <v>0.566181550771831</v>
      </c>
    </row>
    <row r="114" customFormat="false" ht="15" hidden="false" customHeight="false" outlineLevel="0" collapsed="false">
      <c r="A114" s="1" t="s">
        <v>940</v>
      </c>
      <c r="B114" s="0" t="s">
        <v>95</v>
      </c>
      <c r="F114" s="6" t="n">
        <f aca="false">CF!F55*Val!F113</f>
        <v>1.14965940819235</v>
      </c>
      <c r="G114" s="6" t="n">
        <f aca="false">CF!G55*Val!G113</f>
        <v>27.1570491091597</v>
      </c>
      <c r="H114" s="6" t="n">
        <f aca="false">CF!H55*Val!H113</f>
        <v>54.4781094985992</v>
      </c>
      <c r="I114" s="6" t="n">
        <f aca="false">CF!I55*Val!I113</f>
        <v>57.7826568404409</v>
      </c>
      <c r="J114" s="6" t="n">
        <f aca="false">CF!J55*Val!J113</f>
        <v>68.7164221032162</v>
      </c>
      <c r="K114" s="6" t="n">
        <f aca="false">CF!K55*Val!K113</f>
        <v>59.7900961252081</v>
      </c>
    </row>
    <row r="115" customFormat="false" ht="17.15" hidden="false" customHeight="false" outlineLevel="0" collapsed="false">
      <c r="A115" s="1" t="s">
        <v>941</v>
      </c>
      <c r="B115" s="0" t="s">
        <v>95</v>
      </c>
      <c r="C115" s="6" t="n">
        <f aca="false">SUM(Val!F114:VAL114)</f>
        <v>269.073993084816</v>
      </c>
    </row>
    <row r="116" customFormat="false" ht="17.15" hidden="false" customHeight="false" outlineLevel="0" collapsed="false">
      <c r="A116" s="1" t="s">
        <v>942</v>
      </c>
      <c r="B116" s="0" t="s">
        <v>95</v>
      </c>
      <c r="C116" s="6" t="n">
        <f aca="false">PL!K70*(1+g_tv)*(1-tax_f)</f>
        <v>216.892770548847</v>
      </c>
    </row>
    <row r="117" customFormat="false" ht="17.15" hidden="false" customHeight="false" outlineLevel="0" collapsed="false">
      <c r="A117" s="1" t="s">
        <v>943</v>
      </c>
      <c r="B117" s="0" t="s">
        <v>95</v>
      </c>
      <c r="C117" s="6" t="n">
        <f aca="false">Val!$C$116*(1-g_tv/(wacc+ronic_prem))</f>
        <v>157.177363388729</v>
      </c>
    </row>
    <row r="118" customFormat="false" ht="17.15" hidden="false" customHeight="false" outlineLevel="0" collapsed="false">
      <c r="A118" s="1" t="s">
        <v>944</v>
      </c>
      <c r="B118" s="0" t="s">
        <v>95</v>
      </c>
      <c r="C118" s="6" t="n">
        <f aca="false">Val!$C$117/(wacc-g_tv)</f>
        <v>1990.51357200394</v>
      </c>
    </row>
    <row r="119" customFormat="false" ht="15" hidden="false" customHeight="false" outlineLevel="0" collapsed="false">
      <c r="A119" s="1" t="s">
        <v>945</v>
      </c>
      <c r="B119" s="0" t="s">
        <v>95</v>
      </c>
      <c r="C119" s="6" t="n">
        <f aca="false">Val!$C$118/(1+wacc)^6</f>
        <v>1070.19344170333</v>
      </c>
    </row>
    <row r="120" customFormat="false" ht="17.15" hidden="false" customHeight="false" outlineLevel="0" collapsed="false">
      <c r="A120" s="0" t="s">
        <v>877</v>
      </c>
      <c r="B120" s="0" t="s">
        <v>95</v>
      </c>
      <c r="C120" s="6" t="n">
        <f aca="false">Val!$C$115+Val!$C$119</f>
        <v>1339.26743478815</v>
      </c>
    </row>
    <row r="121" customFormat="false" ht="15" hidden="false" customHeight="false" outlineLevel="0" collapsed="false">
      <c r="A121" s="1" t="s">
        <v>878</v>
      </c>
      <c r="B121" s="0" t="s">
        <v>126</v>
      </c>
      <c r="C121" s="7" t="n">
        <f aca="false">Val!$C$119/Val!$C$120</f>
        <v>0.799088676319991</v>
      </c>
    </row>
    <row r="122" customFormat="false" ht="17.15" hidden="false" customHeight="false" outlineLevel="0" collapsed="false">
      <c r="A122" s="1" t="s">
        <v>946</v>
      </c>
      <c r="B122" s="0" t="s">
        <v>95</v>
      </c>
      <c r="C122" s="6" t="n">
        <f aca="false">Val!$C$120+CF!E64+oai_v</f>
        <v>1540.37443478815</v>
      </c>
    </row>
    <row r="123" customFormat="false" ht="17.15" hidden="false" customHeight="false" outlineLevel="0" collapsed="false">
      <c r="A123" s="0" t="s">
        <v>883</v>
      </c>
      <c r="B123" s="0" t="s">
        <v>73</v>
      </c>
      <c r="C123" s="5" t="n">
        <f aca="false">Val!$C$122/sh_dil26</f>
        <v>206.678442880471</v>
      </c>
    </row>
    <row r="124" customFormat="false" ht="17.15" hidden="false" customHeight="false" outlineLevel="0" collapsed="false">
      <c r="A124" s="0" t="s">
        <v>947</v>
      </c>
      <c r="B124" s="0" t="s">
        <v>73</v>
      </c>
      <c r="C124" s="5" t="n">
        <f aca="false">Val!$C$123*(1+wacc)^t_roll</f>
        <v>237.059051877336</v>
      </c>
    </row>
    <row r="125" customFormat="false" ht="17.15" hidden="false" customHeight="false" outlineLevel="0" collapsed="false">
      <c r="A125" s="1" t="s">
        <v>948</v>
      </c>
      <c r="B125" s="0" t="s">
        <v>126</v>
      </c>
      <c r="F125" s="7" t="n">
        <f aca="false">CF!F45/(Seg!F56-Thesis!F64)</f>
        <v>0.0684307874075333</v>
      </c>
      <c r="G125" s="7" t="n">
        <f aca="false">CF!G45/(Seg!G56-Thesis!G64)</f>
        <v>0.0656456058503526</v>
      </c>
      <c r="H125" s="7" t="n">
        <f aca="false">CF!H45/(Seg!H56-Thesis!H64)</f>
        <v>0.0641950889132003</v>
      </c>
      <c r="I125" s="7" t="n">
        <f aca="false">CF!I45/(Seg!I56-Thesis!I64)</f>
        <v>0.063960269667854</v>
      </c>
      <c r="J125" s="7" t="n">
        <f aca="false">CF!J45/(Seg!J56-Thesis!J64)</f>
        <v>0.0646607917002597</v>
      </c>
      <c r="K125" s="7" t="n">
        <f aca="false">CF!K45/(Seg!K56-Thesis!K64)</f>
        <v>0.0659511546529383</v>
      </c>
    </row>
    <row r="126" customFormat="false" ht="17.15" hidden="false" customHeight="false" outlineLevel="0" collapsed="false">
      <c r="A126" s="0" t="s">
        <v>949</v>
      </c>
      <c r="B126" s="0" t="s">
        <v>95</v>
      </c>
      <c r="F126" s="6" t="n">
        <f aca="false">Seg!F41*(al_m365+Val!F125)</f>
        <v>79.4713323717639</v>
      </c>
      <c r="G126" s="6" t="n">
        <f aca="false">Seg!G41*(al_m365+Val!G125)</f>
        <v>91.222848535282</v>
      </c>
      <c r="H126" s="6" t="n">
        <f aca="false">Seg!H41*(al_m365+Val!H125)</f>
        <v>103.134459525438</v>
      </c>
      <c r="I126" s="6" t="n">
        <f aca="false">Seg!I41*(al_m365+Val!I125)</f>
        <v>114.09096761677</v>
      </c>
      <c r="J126" s="6" t="n">
        <f aca="false">Seg!J41*(al_m365+Val!J125)</f>
        <v>123.914507832207</v>
      </c>
      <c r="K126" s="6" t="n">
        <f aca="false">Seg!K41*(al_m365+Val!K125)</f>
        <v>133.375360010951</v>
      </c>
    </row>
    <row r="127" customFormat="false" ht="17.15" hidden="false" customHeight="false" outlineLevel="0" collapsed="false">
      <c r="A127" s="0" t="s">
        <v>950</v>
      </c>
      <c r="B127" s="0" t="s">
        <v>95</v>
      </c>
      <c r="F127" s="6" t="n">
        <f aca="false">Seg!F42*(al_lic+Val!F125)</f>
        <v>31.9777960098625</v>
      </c>
      <c r="G127" s="6" t="n">
        <f aca="false">Seg!G42*(al_lic+Val!G125)</f>
        <v>33.2184421146294</v>
      </c>
      <c r="H127" s="6" t="n">
        <f aca="false">Seg!H42*(al_lic+Val!H125)</f>
        <v>34.3782467188855</v>
      </c>
      <c r="I127" s="6" t="n">
        <f aca="false">Seg!I42*(al_lic+Val!I125)</f>
        <v>35.4396663788333</v>
      </c>
      <c r="J127" s="6" t="n">
        <f aca="false">Seg!J42*(al_lic+Val!J125)</f>
        <v>36.377709205557</v>
      </c>
      <c r="K127" s="6" t="n">
        <f aca="false">Seg!K42*(al_lic+Val!K125)</f>
        <v>37.1640354058437</v>
      </c>
    </row>
    <row r="128" customFormat="false" ht="17.15" hidden="false" customHeight="false" outlineLevel="0" collapsed="false">
      <c r="A128" s="0" t="s">
        <v>951</v>
      </c>
      <c r="B128" s="0" t="s">
        <v>95</v>
      </c>
      <c r="F128" s="6" t="n">
        <f aca="false">Seg!F44*(al_ind+Val!F125)</f>
        <v>8.23708828923978</v>
      </c>
      <c r="G128" s="6" t="n">
        <f aca="false">Seg!G44*(al_ind+Val!G125)</f>
        <v>8.93609064049065</v>
      </c>
      <c r="H128" s="6" t="n">
        <f aca="false">Seg!H44*(al_ind+Val!H125)</f>
        <v>9.67804935051386</v>
      </c>
      <c r="I128" s="6" t="n">
        <f aca="false">Seg!I44*(al_ind+Val!I125)</f>
        <v>10.4606610595832</v>
      </c>
      <c r="J128" s="6" t="n">
        <f aca="false">Seg!J44*(al_ind+Val!J125)</f>
        <v>11.275039839171</v>
      </c>
      <c r="K128" s="6" t="n">
        <f aca="false">Seg!K44*(al_ind+Val!K125)</f>
        <v>12.106982482736</v>
      </c>
    </row>
    <row r="129" customFormat="false" ht="17.15" hidden="false" customHeight="false" outlineLevel="0" collapsed="false">
      <c r="A129" s="0" t="s">
        <v>952</v>
      </c>
      <c r="B129" s="0" t="s">
        <v>95</v>
      </c>
      <c r="F129" s="6" t="n">
        <f aca="false">Seg!F46*(al_fro+Val!F125)</f>
        <v>3.24214686942203</v>
      </c>
      <c r="G129" s="6" t="n">
        <f aca="false">Seg!G46*(al_fro+Val!G125)</f>
        <v>3.43093048931594</v>
      </c>
      <c r="H129" s="6" t="n">
        <f aca="false">Seg!H46*(al_fro+Val!H125)</f>
        <v>3.6470202512287</v>
      </c>
      <c r="I129" s="6" t="n">
        <f aca="false">Seg!I46*(al_fro+Val!I125)</f>
        <v>3.89303230264912</v>
      </c>
      <c r="J129" s="6" t="n">
        <f aca="false">Seg!J46*(al_fro+Val!J125)</f>
        <v>4.16994303150246</v>
      </c>
      <c r="K129" s="6" t="n">
        <f aca="false">Seg!K46*(al_fro+Val!K125)</f>
        <v>4.47762739258926</v>
      </c>
    </row>
    <row r="130" customFormat="false" ht="17.15" hidden="false" customHeight="false" outlineLevel="0" collapsed="false">
      <c r="A130" s="0" t="s">
        <v>953</v>
      </c>
      <c r="B130" s="0" t="s">
        <v>95</v>
      </c>
      <c r="F130" s="6" t="n">
        <f aca="false">Seg!F49*(al_srch+Val!F125)</f>
        <v>10.1729230470907</v>
      </c>
      <c r="G130" s="6" t="n">
        <f aca="false">Seg!G49*(al_srch+Val!G125)</f>
        <v>11.1403318971852</v>
      </c>
      <c r="H130" s="6" t="n">
        <f aca="false">Seg!H49*(al_srch+Val!H125)</f>
        <v>12.1511421371799</v>
      </c>
      <c r="I130" s="6" t="n">
        <f aca="false">Seg!I49*(al_srch+Val!I125)</f>
        <v>13.1963628712968</v>
      </c>
      <c r="J130" s="6" t="n">
        <f aca="false">Seg!J49*(al_srch+Val!J125)</f>
        <v>14.2578127803031</v>
      </c>
      <c r="K130" s="6" t="n">
        <f aca="false">Seg!K49*(al_srch+Val!K125)</f>
        <v>15.3098429837522</v>
      </c>
    </row>
    <row r="131" customFormat="false" ht="17.15" hidden="false" customHeight="false" outlineLevel="0" collapsed="false">
      <c r="A131" s="0" t="s">
        <v>954</v>
      </c>
      <c r="B131" s="0" t="s">
        <v>95</v>
      </c>
      <c r="F131" s="6" t="n">
        <f aca="false">Thesis!F70</f>
        <v>39.4594407491938</v>
      </c>
      <c r="G131" s="6" t="n">
        <f aca="false">Thesis!G70</f>
        <v>66.5527545578061</v>
      </c>
      <c r="H131" s="6" t="n">
        <f aca="false">Thesis!H70</f>
        <v>95.219644983859</v>
      </c>
      <c r="I131" s="6" t="n">
        <f aca="false">Thesis!I70</f>
        <v>124.031840462493</v>
      </c>
      <c r="J131" s="6" t="n">
        <f aca="false">Thesis!J70</f>
        <v>152.919994097909</v>
      </c>
      <c r="K131" s="6" t="n">
        <f aca="false">Thesis!K70</f>
        <v>181.852830263848</v>
      </c>
    </row>
    <row r="132" customFormat="false" ht="17.15" hidden="false" customHeight="false" outlineLevel="0" collapsed="false">
      <c r="A132" s="0" t="s">
        <v>955</v>
      </c>
      <c r="B132" s="0" t="s">
        <v>95</v>
      </c>
      <c r="F132" s="6" t="n">
        <f aca="false">PL!F67+Thesis!F81+Val!F125*(Seg!F48-Thesis!F64)</f>
        <v>211.444651350023</v>
      </c>
      <c r="G132" s="6" t="n">
        <f aca="false">PL!G67+Thesis!G81+Val!G125*(Seg!G48-Thesis!G64)</f>
        <v>258.603564397354</v>
      </c>
      <c r="H132" s="6" t="n">
        <f aca="false">PL!H67+Thesis!H81+Val!H125*(Seg!H48-Thesis!H64)</f>
        <v>307.569865351584</v>
      </c>
      <c r="I132" s="6" t="n">
        <f aca="false">PL!I67+Thesis!I81+Val!I125*(Seg!I48-Thesis!I64)</f>
        <v>355.542793549845</v>
      </c>
      <c r="J132" s="6" t="n">
        <f aca="false">PL!J67+Thesis!J81+Val!J125*(Seg!J48-Thesis!J64)</f>
        <v>401.64028415844</v>
      </c>
      <c r="K132" s="6" t="n">
        <f aca="false">PL!K67+Thesis!K81+Val!K125*(Seg!K48-Thesis!K64)</f>
        <v>445.850798387254</v>
      </c>
    </row>
    <row r="133" customFormat="false" ht="17.15" hidden="false" customHeight="false" outlineLevel="0" collapsed="false">
      <c r="A133" s="0" t="s">
        <v>956</v>
      </c>
      <c r="B133" s="0" t="s">
        <v>95</v>
      </c>
      <c r="F133" s="6" t="n">
        <f aca="false">Val!F132-Val!F126-Val!F127-Val!F128-Val!F129-Val!F131</f>
        <v>49.0568470605414</v>
      </c>
      <c r="G133" s="6" t="n">
        <f aca="false">Val!G132-Val!G126-Val!G127-Val!G128-Val!G129-Val!G131</f>
        <v>55.2424980598302</v>
      </c>
      <c r="H133" s="6" t="n">
        <f aca="false">Val!H132-Val!H126-Val!H127-Val!H128-Val!H129-Val!H131</f>
        <v>61.5124445216581</v>
      </c>
      <c r="I133" s="6" t="n">
        <f aca="false">Val!I132-Val!I126-Val!I127-Val!I128-Val!I129-Val!I131</f>
        <v>67.6266257295162</v>
      </c>
      <c r="J133" s="6" t="n">
        <f aca="false">Val!J132-Val!J126-Val!J127-Val!J128-Val!J129-Val!J131</f>
        <v>72.9830901520934</v>
      </c>
      <c r="K133" s="6" t="n">
        <f aca="false">Val!K132-Val!K126-Val!K127-Val!K128-Val!K129-Val!K131</f>
        <v>76.8739628312856</v>
      </c>
    </row>
    <row r="134" customFormat="false" ht="17.15" hidden="false" customHeight="false" outlineLevel="0" collapsed="false">
      <c r="A134" s="0" t="s">
        <v>957</v>
      </c>
      <c r="B134" s="0" t="s">
        <v>95</v>
      </c>
      <c r="F134" s="6" t="n">
        <f aca="false">PL!F69+Val!F125*Seg!F55</f>
        <v>23.7531412609386</v>
      </c>
      <c r="G134" s="6" t="n">
        <f aca="false">PL!G69+Val!G125*Seg!G55</f>
        <v>24.289549634664</v>
      </c>
      <c r="H134" s="6" t="n">
        <f aca="false">PL!H69+Val!H125*Seg!H55</f>
        <v>25.0756909710291</v>
      </c>
      <c r="I134" s="6" t="n">
        <f aca="false">PL!I69+Val!I125*Seg!I55</f>
        <v>26.084576762931</v>
      </c>
      <c r="J134" s="6" t="n">
        <f aca="false">PL!J69+Val!J125*Seg!J55</f>
        <v>27.2832671034962</v>
      </c>
      <c r="K134" s="6" t="n">
        <f aca="false">PL!K69+Val!K125*Seg!K55</f>
        <v>28.6364406758481</v>
      </c>
    </row>
    <row r="135" customFormat="false" ht="17.15" hidden="false" customHeight="false" outlineLevel="0" collapsed="false">
      <c r="A135" s="0" t="s">
        <v>958</v>
      </c>
      <c r="B135" s="0" t="s">
        <v>95</v>
      </c>
      <c r="F135" s="6" t="n">
        <f aca="false">(Val!F134-Val!F130)*Seg!F51/(Seg!F51+Seg!F53)</f>
        <v>7.4445433554226</v>
      </c>
      <c r="G135" s="6" t="n">
        <f aca="false">(Val!G134-Val!G130)*Seg!G51/(Seg!G51+Seg!G53)</f>
        <v>7.07975003595558</v>
      </c>
      <c r="H135" s="6" t="n">
        <f aca="false">(Val!H134-Val!H130)*Seg!H51/(Seg!H51+Seg!H53)</f>
        <v>6.86478313784268</v>
      </c>
      <c r="I135" s="6" t="n">
        <f aca="false">(Val!I134-Val!I130)*Seg!I51/(Seg!I51+Seg!I53)</f>
        <v>6.78354606184423</v>
      </c>
      <c r="J135" s="6" t="n">
        <f aca="false">(Val!J134-Val!J130)*Seg!J51/(Seg!J51+Seg!J53)</f>
        <v>6.82477921474853</v>
      </c>
      <c r="K135" s="6" t="n">
        <f aca="false">(Val!K134-Val!K130)*Seg!K51/(Seg!K51+Seg!K53)</f>
        <v>6.98256541964795</v>
      </c>
    </row>
    <row r="136" customFormat="false" ht="17.15" hidden="false" customHeight="false" outlineLevel="0" collapsed="false">
      <c r="A136" s="0" t="s">
        <v>959</v>
      </c>
      <c r="B136" s="0" t="s">
        <v>95</v>
      </c>
      <c r="F136" s="6" t="n">
        <f aca="false">Val!F134-Val!F130-Val!F135</f>
        <v>6.1356748584253</v>
      </c>
      <c r="G136" s="6" t="n">
        <f aca="false">Val!G134-Val!G130-Val!G135</f>
        <v>6.06946770152326</v>
      </c>
      <c r="H136" s="6" t="n">
        <f aca="false">Val!H134-Val!H130-Val!H135</f>
        <v>6.05976569600657</v>
      </c>
      <c r="I136" s="6" t="n">
        <f aca="false">Val!I134-Val!I130-Val!I135</f>
        <v>6.10466782979</v>
      </c>
      <c r="J136" s="6" t="n">
        <f aca="false">Val!J134-Val!J130-Val!J135</f>
        <v>6.20067510844453</v>
      </c>
      <c r="K136" s="6" t="n">
        <f aca="false">Val!K134-Val!K130-Val!K135</f>
        <v>6.34403227244794</v>
      </c>
    </row>
    <row r="137" customFormat="false" ht="17.15" hidden="false" customHeight="false" outlineLevel="0" collapsed="false">
      <c r="A137" s="1" t="s">
        <v>960</v>
      </c>
      <c r="B137" s="0" t="s">
        <v>95</v>
      </c>
      <c r="C137" s="6" t="n">
        <f aca="false">(w_ntm28*Val!G131+(1-w_ntm28)*Val!H131)*m_ai*1</f>
        <v>454.922440830797</v>
      </c>
    </row>
    <row r="138" customFormat="false" ht="17.15" hidden="false" customHeight="false" outlineLevel="0" collapsed="false">
      <c r="A138" s="1" t="s">
        <v>961</v>
      </c>
      <c r="B138" s="0" t="s">
        <v>95</v>
      </c>
      <c r="C138" s="6" t="n">
        <f aca="false">(w_ntm28*Val!G133+(1-w_ntm28)*Val!H133)*m_cloud*1</f>
        <v>791.46441330217</v>
      </c>
    </row>
    <row r="139" customFormat="false" ht="17.15" hidden="false" customHeight="false" outlineLevel="0" collapsed="false">
      <c r="A139" s="1" t="s">
        <v>962</v>
      </c>
      <c r="B139" s="0" t="s">
        <v>95</v>
      </c>
      <c r="C139" s="6" t="n">
        <f aca="false">(w_ntm28*Val!G126+(1-w_ntm28)*Val!H126)*m_sw*1</f>
        <v>1026.79623553955</v>
      </c>
    </row>
    <row r="140" customFormat="false" ht="17.15" hidden="false" customHeight="false" outlineLevel="0" collapsed="false">
      <c r="A140" s="1" t="s">
        <v>963</v>
      </c>
      <c r="B140" s="0" t="s">
        <v>95</v>
      </c>
      <c r="C140" s="6" t="n">
        <f aca="false">(w_ntm28*Val!G127+(1-w_ntm28)*Val!H127)*m_sw*1</f>
        <v>362.808640557625</v>
      </c>
    </row>
    <row r="141" customFormat="false" ht="17.15" hidden="false" customHeight="false" outlineLevel="0" collapsed="false">
      <c r="A141" s="1" t="s">
        <v>964</v>
      </c>
      <c r="B141" s="0" t="s">
        <v>95</v>
      </c>
      <c r="C141" s="6" t="n">
        <f aca="false">(w_ntm28*Val!G128+(1-w_ntm28)*Val!H128)*m_sw*1</f>
        <v>99.1003328352541</v>
      </c>
    </row>
    <row r="142" customFormat="false" ht="17.15" hidden="false" customHeight="false" outlineLevel="0" collapsed="false">
      <c r="A142" s="1" t="s">
        <v>965</v>
      </c>
      <c r="B142" s="0" t="s">
        <v>95</v>
      </c>
      <c r="C142" s="6" t="n">
        <f aca="false">(w_ntm28*Val!G129+(1-w_ntm28)*Val!H129)*m_sw*1</f>
        <v>37.8085281683974</v>
      </c>
    </row>
    <row r="143" customFormat="false" ht="17.15" hidden="false" customHeight="false" outlineLevel="0" collapsed="false">
      <c r="A143" s="1" t="s">
        <v>966</v>
      </c>
      <c r="B143" s="0" t="s">
        <v>95</v>
      </c>
      <c r="C143" s="6" t="n">
        <f aca="false">(w_ntm28*Val!G130+(1-w_ntm28)*Val!H130)*m_ads*1</f>
        <v>104.465412054013</v>
      </c>
    </row>
    <row r="144" customFormat="false" ht="17.15" hidden="false" customHeight="false" outlineLevel="0" collapsed="false">
      <c r="A144" s="1" t="s">
        <v>967</v>
      </c>
      <c r="B144" s="0" t="s">
        <v>95</v>
      </c>
      <c r="C144" s="6" t="n">
        <f aca="false">(w_ntm28*Val!G135+(1-w_ntm28)*Val!H135)*m_game*1</f>
        <v>88.5395066063557</v>
      </c>
    </row>
    <row r="145" customFormat="false" ht="17.15" hidden="false" customHeight="false" outlineLevel="0" collapsed="false">
      <c r="A145" s="1" t="s">
        <v>968</v>
      </c>
      <c r="B145" s="0" t="s">
        <v>95</v>
      </c>
      <c r="C145" s="6" t="n">
        <f aca="false">(w_ntm28*Val!G136+(1-w_ntm28)*Val!H136)*m_pc*1</f>
        <v>87.7798119250428</v>
      </c>
    </row>
    <row r="146" customFormat="false" ht="17.15" hidden="false" customHeight="false" outlineLevel="0" collapsed="false">
      <c r="A146" s="1" t="s">
        <v>969</v>
      </c>
      <c r="B146" s="0" t="s">
        <v>95</v>
      </c>
      <c r="C146" s="6" t="n">
        <f aca="false">Val!$C$137+Val!$C$138+Val!$C$139+Val!$C$140+Val!$C$141+Val!$C$142+Val!$C$143+Val!$C$144+Val!$C$145</f>
        <v>3053.68532181921</v>
      </c>
    </row>
    <row r="147" customFormat="false" ht="17.15" hidden="false" customHeight="false" outlineLevel="0" collapsed="false">
      <c r="A147" s="1" t="s">
        <v>903</v>
      </c>
      <c r="B147" s="0" t="s">
        <v>95</v>
      </c>
      <c r="C147" s="6" t="n">
        <f aca="false">CF!F64+oai_v-CF!F53</f>
        <v>111.253995542787</v>
      </c>
      <c r="L147" s="1" t="s">
        <v>970</v>
      </c>
    </row>
    <row r="148" customFormat="false" ht="15" hidden="false" customHeight="false" outlineLevel="0" collapsed="false">
      <c r="A148" s="1" t="s">
        <v>904</v>
      </c>
      <c r="B148" s="0" t="s">
        <v>73</v>
      </c>
      <c r="C148" s="5" t="n">
        <f aca="false">(Val!$C$146+Val!$C$147)/CF!F66</f>
        <v>423.573249111616</v>
      </c>
    </row>
    <row r="149" customFormat="false" ht="17.15" hidden="false" customHeight="false" outlineLevel="0" collapsed="false">
      <c r="A149" s="1" t="s">
        <v>971</v>
      </c>
      <c r="B149" s="0" t="s">
        <v>73</v>
      </c>
      <c r="C149" s="5" t="n">
        <f aca="false">w_dcf*Val!$C$124+(1-w_dcf)*Val!$C$148</f>
        <v>330.316150494476</v>
      </c>
    </row>
    <row r="150" customFormat="false" ht="17.15" hidden="false" customHeight="false" outlineLevel="0" collapsed="false">
      <c r="A150" s="3" t="s">
        <v>973</v>
      </c>
    </row>
    <row r="151" customFormat="false" ht="15" hidden="false" customHeight="false" outlineLevel="0" collapsed="false">
      <c r="A151" s="4" t="s">
        <v>43</v>
      </c>
      <c r="B151" s="4" t="s">
        <v>63</v>
      </c>
      <c r="C151" s="19" t="s">
        <v>710</v>
      </c>
      <c r="D151" s="19" t="s">
        <v>711</v>
      </c>
      <c r="E151" s="19" t="s">
        <v>712</v>
      </c>
      <c r="F151" s="19" t="s">
        <v>713</v>
      </c>
      <c r="G151" s="19" t="s">
        <v>714</v>
      </c>
      <c r="H151" s="19" t="s">
        <v>715</v>
      </c>
      <c r="I151" s="19" t="s">
        <v>716</v>
      </c>
      <c r="J151" s="19" t="s">
        <v>717</v>
      </c>
      <c r="K151" s="19" t="s">
        <v>718</v>
      </c>
      <c r="L151" s="4" t="s">
        <v>47</v>
      </c>
    </row>
    <row r="152" customFormat="false" ht="17.15" hidden="false" customHeight="false" outlineLevel="0" collapsed="false">
      <c r="A152" s="1" t="s">
        <v>938</v>
      </c>
      <c r="B152" s="1" t="s">
        <v>213</v>
      </c>
      <c r="F152" s="34" t="n">
        <f aca="false">1-0.5</f>
        <v>0.5</v>
      </c>
      <c r="G152" s="34" t="n">
        <f aca="false">2-0.5</f>
        <v>1.5</v>
      </c>
      <c r="H152" s="34" t="n">
        <f aca="false">3-0.5</f>
        <v>2.5</v>
      </c>
      <c r="I152" s="34" t="n">
        <f aca="false">4-0.5</f>
        <v>3.5</v>
      </c>
      <c r="J152" s="34" t="n">
        <f aca="false">5-0.5</f>
        <v>4.5</v>
      </c>
      <c r="K152" s="34" t="n">
        <f aca="false">6-0.5</f>
        <v>5.5</v>
      </c>
    </row>
    <row r="153" customFormat="false" ht="15" hidden="false" customHeight="false" outlineLevel="0" collapsed="false">
      <c r="A153" s="1" t="s">
        <v>939</v>
      </c>
      <c r="B153" s="0" t="s">
        <v>182</v>
      </c>
      <c r="F153" s="18" t="n">
        <f aca="false">1/(1+wacc)^Val!F152</f>
        <v>0.949601579913219</v>
      </c>
      <c r="G153" s="18" t="n">
        <f aca="false">1/(1+wacc)^Val!G152</f>
        <v>0.856296729956707</v>
      </c>
      <c r="H153" s="18" t="n">
        <f aca="false">1/(1+wacc)^Val!H152</f>
        <v>0.772159719660069</v>
      </c>
      <c r="I153" s="18" t="n">
        <f aca="false">1/(1+wacc)^Val!I152</f>
        <v>0.696289746073958</v>
      </c>
      <c r="J153" s="18" t="n">
        <f aca="false">1/(1+wacc)^Val!J152</f>
        <v>0.627874516299776</v>
      </c>
      <c r="K153" s="18" t="n">
        <f aca="false">1/(1+wacc)^Val!K152</f>
        <v>0.566181550771831</v>
      </c>
    </row>
    <row r="154" customFormat="false" ht="15" hidden="false" customHeight="false" outlineLevel="0" collapsed="false">
      <c r="A154" s="1" t="s">
        <v>940</v>
      </c>
      <c r="B154" s="0" t="s">
        <v>95</v>
      </c>
      <c r="F154" s="6" t="n">
        <f aca="false">CF!F83*Val!F153</f>
        <v>-3.06653414679568</v>
      </c>
      <c r="G154" s="6" t="n">
        <f aca="false">CF!G83*Val!G153</f>
        <v>15.3370464106998</v>
      </c>
      <c r="H154" s="6" t="n">
        <f aca="false">CF!H83*Val!H153</f>
        <v>32.741830912959</v>
      </c>
      <c r="I154" s="6" t="n">
        <f aca="false">CF!I83*Val!I153</f>
        <v>32.5345194226033</v>
      </c>
      <c r="J154" s="6" t="n">
        <f aca="false">CF!J83*Val!J153</f>
        <v>41.02711694846</v>
      </c>
      <c r="K154" s="6" t="n">
        <f aca="false">CF!K83*Val!K153</f>
        <v>30.3740488668364</v>
      </c>
    </row>
    <row r="155" customFormat="false" ht="17.15" hidden="false" customHeight="false" outlineLevel="0" collapsed="false">
      <c r="A155" s="1" t="s">
        <v>941</v>
      </c>
      <c r="B155" s="0" t="s">
        <v>95</v>
      </c>
      <c r="C155" s="6" t="n">
        <f aca="false">SUM(Val!F154:VAL154)</f>
        <v>148.948028414763</v>
      </c>
    </row>
    <row r="156" customFormat="false" ht="17.15" hidden="false" customHeight="false" outlineLevel="0" collapsed="false">
      <c r="A156" s="1" t="s">
        <v>942</v>
      </c>
      <c r="B156" s="0" t="s">
        <v>95</v>
      </c>
      <c r="C156" s="6" t="n">
        <f aca="false">PL!K105*(1+g_tv)*(1-tax_f)</f>
        <v>165.083397962666</v>
      </c>
    </row>
    <row r="157" customFormat="false" ht="17.15" hidden="false" customHeight="false" outlineLevel="0" collapsed="false">
      <c r="A157" s="1" t="s">
        <v>943</v>
      </c>
      <c r="B157" s="0" t="s">
        <v>95</v>
      </c>
      <c r="C157" s="6" t="n">
        <f aca="false">Val!$C$156*(1-g_tv/(wacc+ronic_prem))</f>
        <v>119.632264207628</v>
      </c>
    </row>
    <row r="158" customFormat="false" ht="17.15" hidden="false" customHeight="false" outlineLevel="0" collapsed="false">
      <c r="A158" s="1" t="s">
        <v>944</v>
      </c>
      <c r="B158" s="0" t="s">
        <v>95</v>
      </c>
      <c r="C158" s="6" t="n">
        <f aca="false">Val!$C$157/(wacc-g_tv)</f>
        <v>1515.0377918346</v>
      </c>
    </row>
    <row r="159" customFormat="false" ht="15" hidden="false" customHeight="false" outlineLevel="0" collapsed="false">
      <c r="A159" s="1" t="s">
        <v>945</v>
      </c>
      <c r="B159" s="0" t="s">
        <v>95</v>
      </c>
      <c r="C159" s="6" t="n">
        <f aca="false">Val!$C$158/(1+wacc)^6</f>
        <v>814.555364785464</v>
      </c>
    </row>
    <row r="160" customFormat="false" ht="17.15" hidden="false" customHeight="false" outlineLevel="0" collapsed="false">
      <c r="A160" s="0" t="s">
        <v>877</v>
      </c>
      <c r="B160" s="0" t="s">
        <v>95</v>
      </c>
      <c r="C160" s="6" t="n">
        <f aca="false">Val!$C$155+Val!$C$159</f>
        <v>963.503393200227</v>
      </c>
    </row>
    <row r="161" customFormat="false" ht="15" hidden="false" customHeight="false" outlineLevel="0" collapsed="false">
      <c r="A161" s="1" t="s">
        <v>878</v>
      </c>
      <c r="B161" s="0" t="s">
        <v>126</v>
      </c>
      <c r="C161" s="7" t="n">
        <f aca="false">Val!$C$159/Val!$C$160</f>
        <v>0.845409959668082</v>
      </c>
    </row>
    <row r="162" customFormat="false" ht="17.15" hidden="false" customHeight="false" outlineLevel="0" collapsed="false">
      <c r="A162" s="1" t="s">
        <v>946</v>
      </c>
      <c r="B162" s="0" t="s">
        <v>95</v>
      </c>
      <c r="C162" s="6" t="n">
        <f aca="false">Val!$C$160+CF!E92+oai_v</f>
        <v>1164.61039320023</v>
      </c>
    </row>
    <row r="163" customFormat="false" ht="17.15" hidden="false" customHeight="false" outlineLevel="0" collapsed="false">
      <c r="A163" s="0" t="s">
        <v>883</v>
      </c>
      <c r="B163" s="0" t="s">
        <v>73</v>
      </c>
      <c r="C163" s="5" t="n">
        <f aca="false">Val!$C$162/sh_dil26</f>
        <v>156.260618972256</v>
      </c>
    </row>
    <row r="164" customFormat="false" ht="17.15" hidden="false" customHeight="false" outlineLevel="0" collapsed="false">
      <c r="A164" s="0" t="s">
        <v>947</v>
      </c>
      <c r="B164" s="0" t="s">
        <v>73</v>
      </c>
      <c r="C164" s="5" t="n">
        <f aca="false">Val!$C$163*(1+wacc)^t_roll</f>
        <v>179.230081585006</v>
      </c>
    </row>
    <row r="165" customFormat="false" ht="17.15" hidden="false" customHeight="false" outlineLevel="0" collapsed="false">
      <c r="A165" s="1" t="s">
        <v>948</v>
      </c>
      <c r="B165" s="0" t="s">
        <v>126</v>
      </c>
      <c r="F165" s="7" t="n">
        <f aca="false">CF!F73/(Seg!F83-Thesis!F108)</f>
        <v>0.0686864325746334</v>
      </c>
      <c r="G165" s="7" t="n">
        <f aca="false">CF!G73/(Seg!G83-Thesis!G108)</f>
        <v>0.066267001590801</v>
      </c>
      <c r="H165" s="7" t="n">
        <f aca="false">CF!H73/(Seg!H83-Thesis!H108)</f>
        <v>0.0650366246750144</v>
      </c>
      <c r="I165" s="7" t="n">
        <f aca="false">CF!I73/(Seg!I83-Thesis!I108)</f>
        <v>0.0648573271390164</v>
      </c>
      <c r="J165" s="7" t="n">
        <f aca="false">CF!J73/(Seg!J83-Thesis!J108)</f>
        <v>0.0655189837669657</v>
      </c>
      <c r="K165" s="7" t="n">
        <f aca="false">CF!K73/(Seg!K83-Thesis!K108)</f>
        <v>0.0667878921367872</v>
      </c>
    </row>
    <row r="166" customFormat="false" ht="17.15" hidden="false" customHeight="false" outlineLevel="0" collapsed="false">
      <c r="A166" s="0" t="s">
        <v>949</v>
      </c>
      <c r="B166" s="0" t="s">
        <v>95</v>
      </c>
      <c r="F166" s="6" t="n">
        <f aca="false">Seg!F68*(al_m365+Val!F165)</f>
        <v>78.4986969872395</v>
      </c>
      <c r="G166" s="6" t="n">
        <f aca="false">Seg!G68*(al_m365+Val!G165)</f>
        <v>88.3098056906507</v>
      </c>
      <c r="H166" s="6" t="n">
        <f aca="false">Seg!H68*(al_m365+Val!H165)</f>
        <v>98.2773562913015</v>
      </c>
      <c r="I166" s="6" t="n">
        <f aca="false">Seg!I68*(al_m365+Val!I165)</f>
        <v>107.762753675846</v>
      </c>
      <c r="J166" s="6" t="n">
        <f aca="false">Seg!J68*(al_m365+Val!J165)</f>
        <v>116.587414331333</v>
      </c>
      <c r="K166" s="6" t="n">
        <f aca="false">Seg!K68*(al_m365+Val!K165)</f>
        <v>125.041394489287</v>
      </c>
    </row>
    <row r="167" customFormat="false" ht="17.15" hidden="false" customHeight="false" outlineLevel="0" collapsed="false">
      <c r="A167" s="0" t="s">
        <v>950</v>
      </c>
      <c r="B167" s="0" t="s">
        <v>95</v>
      </c>
      <c r="F167" s="6" t="n">
        <f aca="false">Seg!F69*(al_lic+Val!F165)</f>
        <v>31.9877845991607</v>
      </c>
      <c r="G167" s="6" t="n">
        <f aca="false">Seg!G69*(al_lic+Val!G165)</f>
        <v>33.243749427372</v>
      </c>
      <c r="H167" s="6" t="n">
        <f aca="false">Seg!H69*(al_lic+Val!H165)</f>
        <v>34.4137793872059</v>
      </c>
      <c r="I167" s="6" t="n">
        <f aca="false">Seg!I69*(al_lic+Val!I165)</f>
        <v>35.4787240806467</v>
      </c>
      <c r="J167" s="6" t="n">
        <f aca="false">Seg!J69*(al_lic+Val!J165)</f>
        <v>36.4160307520991</v>
      </c>
      <c r="K167" s="6" t="n">
        <f aca="false">Seg!K69*(al_lic+Val!K165)</f>
        <v>37.2021461938459</v>
      </c>
    </row>
    <row r="168" customFormat="false" ht="17.15" hidden="false" customHeight="false" outlineLevel="0" collapsed="false">
      <c r="A168" s="0" t="s">
        <v>951</v>
      </c>
      <c r="B168" s="0" t="s">
        <v>95</v>
      </c>
      <c r="F168" s="6" t="n">
        <f aca="false">Seg!F71*(al_ind+Val!F165)</f>
        <v>8.24280380456612</v>
      </c>
      <c r="G168" s="6" t="n">
        <f aca="false">Seg!G71*(al_ind+Val!G165)</f>
        <v>8.9512770630031</v>
      </c>
      <c r="H168" s="6" t="n">
        <f aca="false">Seg!H71*(al_ind+Val!H165)</f>
        <v>9.70041215792393</v>
      </c>
      <c r="I168" s="6" t="n">
        <f aca="false">Seg!I71*(al_ind+Val!I165)</f>
        <v>10.4864435829487</v>
      </c>
      <c r="J168" s="6" t="n">
        <f aca="false">Seg!J71*(al_ind+Val!J165)</f>
        <v>11.3015744981253</v>
      </c>
      <c r="K168" s="6" t="n">
        <f aca="false">Seg!K71*(al_ind+Val!K165)</f>
        <v>12.1346647729291</v>
      </c>
    </row>
    <row r="169" customFormat="false" ht="17.15" hidden="false" customHeight="false" outlineLevel="0" collapsed="false">
      <c r="A169" s="0" t="s">
        <v>952</v>
      </c>
      <c r="B169" s="0" t="s">
        <v>95</v>
      </c>
      <c r="F169" s="6" t="n">
        <f aca="false">Seg!F73*(al_fro+Val!F165)</f>
        <v>3.24439651632051</v>
      </c>
      <c r="G169" s="6" t="n">
        <f aca="false">Seg!G73*(al_fro+Val!G165)</f>
        <v>3.43676117771401</v>
      </c>
      <c r="H169" s="6" t="n">
        <f aca="false">Seg!H73*(al_fro+Val!H165)</f>
        <v>3.65544732248501</v>
      </c>
      <c r="I169" s="6" t="n">
        <f aca="false">Seg!I73*(al_fro+Val!I165)</f>
        <v>3.90262750850979</v>
      </c>
      <c r="J169" s="6" t="n">
        <f aca="false">Seg!J73*(al_fro+Val!J165)</f>
        <v>4.17975656810881</v>
      </c>
      <c r="K169" s="6" t="n">
        <f aca="false">Seg!K73*(al_fro+Val!K165)</f>
        <v>4.48786536733111</v>
      </c>
    </row>
    <row r="170" customFormat="false" ht="17.15" hidden="false" customHeight="false" outlineLevel="0" collapsed="false">
      <c r="A170" s="0" t="s">
        <v>953</v>
      </c>
      <c r="B170" s="0" t="s">
        <v>95</v>
      </c>
      <c r="F170" s="6" t="n">
        <f aca="false">Seg!F76*(al_srch+Val!F165)</f>
        <v>10.1799817910968</v>
      </c>
      <c r="G170" s="6" t="n">
        <f aca="false">Seg!G76*(al_srch+Val!G165)</f>
        <v>11.1592643133754</v>
      </c>
      <c r="H170" s="6" t="n">
        <f aca="false">Seg!H76*(al_srch+Val!H165)</f>
        <v>12.1792194533398</v>
      </c>
      <c r="I170" s="6" t="n">
        <f aca="false">Seg!I76*(al_srch+Val!I165)</f>
        <v>13.2288881134521</v>
      </c>
      <c r="J170" s="6" t="n">
        <f aca="false">Seg!J76*(al_srch+Val!J165)</f>
        <v>14.2913670918582</v>
      </c>
      <c r="K170" s="6" t="n">
        <f aca="false">Seg!K76*(al_srch+Val!K165)</f>
        <v>15.3448485284362</v>
      </c>
    </row>
    <row r="171" customFormat="false" ht="17.15" hidden="false" customHeight="false" outlineLevel="0" collapsed="false">
      <c r="A171" s="0" t="s">
        <v>954</v>
      </c>
      <c r="B171" s="0" t="s">
        <v>95</v>
      </c>
      <c r="F171" s="6" t="n">
        <f aca="false">Thesis!F114</f>
        <v>35.0573455625419</v>
      </c>
      <c r="G171" s="6" t="n">
        <f aca="false">Thesis!G114</f>
        <v>52.2504971712871</v>
      </c>
      <c r="H171" s="6" t="n">
        <f aca="false">Thesis!H114</f>
        <v>65.2796698510271</v>
      </c>
      <c r="I171" s="6" t="n">
        <f aca="false">Thesis!I114</f>
        <v>85.5659922535278</v>
      </c>
      <c r="J171" s="6" t="n">
        <f aca="false">Thesis!J114</f>
        <v>105.90773710582</v>
      </c>
      <c r="K171" s="6" t="n">
        <f aca="false">Thesis!K114</f>
        <v>126.282084319851</v>
      </c>
    </row>
    <row r="172" customFormat="false" ht="17.15" hidden="false" customHeight="false" outlineLevel="0" collapsed="false">
      <c r="A172" s="0" t="s">
        <v>955</v>
      </c>
      <c r="B172" s="0" t="s">
        <v>95</v>
      </c>
      <c r="F172" s="6" t="n">
        <f aca="false">PL!F102+Thesis!F125+Val!F165*(Seg!F75-Thesis!F108)</f>
        <v>206.154467007856</v>
      </c>
      <c r="G172" s="6" t="n">
        <f aca="false">PL!G102+Thesis!G125+Val!G165*(Seg!G75-Thesis!G108)</f>
        <v>241.631787518433</v>
      </c>
      <c r="H172" s="6" t="n">
        <f aca="false">PL!H102+Thesis!H125+Val!H165*(Seg!H75-Thesis!H108)</f>
        <v>273.161508717552</v>
      </c>
      <c r="I172" s="6" t="n">
        <f aca="false">PL!I102+Thesis!I125+Val!I165*(Seg!I75-Thesis!I108)</f>
        <v>311.232758290592</v>
      </c>
      <c r="J172" s="6" t="n">
        <f aca="false">PL!J102+Thesis!J125+Val!J165*(Seg!J75-Thesis!J108)</f>
        <v>347.836227364385</v>
      </c>
      <c r="K172" s="6" t="n">
        <f aca="false">PL!K102+Thesis!K125+Val!K165*(Seg!K75-Thesis!K108)</f>
        <v>382.533402332059</v>
      </c>
    </row>
    <row r="173" customFormat="false" ht="17.15" hidden="false" customHeight="false" outlineLevel="0" collapsed="false">
      <c r="A173" s="0" t="s">
        <v>956</v>
      </c>
      <c r="B173" s="0" t="s">
        <v>95</v>
      </c>
      <c r="F173" s="6" t="n">
        <f aca="false">Val!F172-Val!F166-Val!F167-Val!F168-Val!F169-Val!F171</f>
        <v>49.123439538027</v>
      </c>
      <c r="G173" s="6" t="n">
        <f aca="false">Val!G172-Val!G166-Val!G167-Val!G168-Val!G169-Val!G171</f>
        <v>55.4396969884061</v>
      </c>
      <c r="H173" s="6" t="n">
        <f aca="false">Val!H172-Val!H166-Val!H167-Val!H168-Val!H169-Val!H171</f>
        <v>61.8348437076084</v>
      </c>
      <c r="I173" s="6" t="n">
        <f aca="false">Val!I172-Val!I166-Val!I167-Val!I168-Val!I169-Val!I171</f>
        <v>68.0362171891129</v>
      </c>
      <c r="J173" s="6" t="n">
        <f aca="false">Val!J172-Val!J166-Val!J167-Val!J168-Val!J169-Val!J171</f>
        <v>73.4437141088982</v>
      </c>
      <c r="K173" s="6" t="n">
        <f aca="false">Val!K172-Val!K166-Val!K167-Val!K168-Val!K169-Val!K171</f>
        <v>77.3852471888144</v>
      </c>
    </row>
    <row r="174" customFormat="false" ht="17.15" hidden="false" customHeight="false" outlineLevel="0" collapsed="false">
      <c r="A174" s="0" t="s">
        <v>957</v>
      </c>
      <c r="B174" s="0" t="s">
        <v>95</v>
      </c>
      <c r="F174" s="6" t="n">
        <f aca="false">PL!F104+Val!F165*Seg!F82</f>
        <v>23.7697943901369</v>
      </c>
      <c r="G174" s="6" t="n">
        <f aca="false">PL!G104+Val!G165*Seg!G82</f>
        <v>24.331261048114</v>
      </c>
      <c r="H174" s="6" t="n">
        <f aca="false">PL!H104+Val!H165*Seg!H82</f>
        <v>25.1342423406419</v>
      </c>
      <c r="I174" s="6" t="n">
        <f aca="false">PL!I104+Val!I165*Seg!I82</f>
        <v>26.1495446421549</v>
      </c>
      <c r="J174" s="6" t="n">
        <f aca="false">PL!J104+Val!J165*Seg!J82</f>
        <v>27.3481502080811</v>
      </c>
      <c r="K174" s="6" t="n">
        <f aca="false">PL!K104+Val!K165*Seg!K82</f>
        <v>28.7026027133478</v>
      </c>
    </row>
    <row r="175" customFormat="false" ht="17.15" hidden="false" customHeight="false" outlineLevel="0" collapsed="false">
      <c r="A175" s="0" t="s">
        <v>958</v>
      </c>
      <c r="B175" s="0" t="s">
        <v>95</v>
      </c>
      <c r="F175" s="6" t="n">
        <f aca="false">(Val!F174-Val!F170)*Seg!F78/(Seg!F78+Seg!F80)</f>
        <v>7.44980290393703</v>
      </c>
      <c r="G175" s="6" t="n">
        <f aca="false">(Val!G174-Val!G170)*Seg!G78/(Seg!G78+Seg!G80)</f>
        <v>7.09201461396229</v>
      </c>
      <c r="H175" s="6" t="n">
        <f aca="false">(Val!H174-Val!H170)*Seg!H78/(Seg!H78+Seg!H80)</f>
        <v>6.8809692168288</v>
      </c>
      <c r="I175" s="6" t="n">
        <f aca="false">(Val!I174-Val!I170)*Seg!I78/(Seg!I78+Seg!I80)</f>
        <v>6.80062182771623</v>
      </c>
      <c r="J175" s="6" t="n">
        <f aca="false">(Val!J174-Val!J170)*Seg!J78/(Seg!J78+Seg!J80)</f>
        <v>6.84119415814997</v>
      </c>
      <c r="K175" s="6" t="n">
        <f aca="false">(Val!K174-Val!K170)*Seg!K78/(Seg!K78+Seg!K80)</f>
        <v>6.99889008512966</v>
      </c>
    </row>
    <row r="176" customFormat="false" ht="17.15" hidden="false" customHeight="false" outlineLevel="0" collapsed="false">
      <c r="A176" s="0" t="s">
        <v>959</v>
      </c>
      <c r="B176" s="0" t="s">
        <v>95</v>
      </c>
      <c r="F176" s="6" t="n">
        <f aca="false">Val!F174-Val!F170-Val!F175</f>
        <v>6.14000969510312</v>
      </c>
      <c r="G176" s="6" t="n">
        <f aca="false">Val!G174-Val!G170-Val!G175</f>
        <v>6.07998212077627</v>
      </c>
      <c r="H176" s="6" t="n">
        <f aca="false">Val!H174-Val!H170-Val!H175</f>
        <v>6.07405367047327</v>
      </c>
      <c r="I176" s="6" t="n">
        <f aca="false">Val!I174-Val!I170-Val!I175</f>
        <v>6.12003470098649</v>
      </c>
      <c r="J176" s="6" t="n">
        <f aca="false">Val!J174-Val!J170-Val!J175</f>
        <v>6.21558895807294</v>
      </c>
      <c r="K176" s="6" t="n">
        <f aca="false">Val!K174-Val!K170-Val!K175</f>
        <v>6.35886409978198</v>
      </c>
    </row>
    <row r="177" customFormat="false" ht="17.15" hidden="false" customHeight="false" outlineLevel="0" collapsed="false">
      <c r="A177" s="1" t="s">
        <v>960</v>
      </c>
      <c r="B177" s="0" t="s">
        <v>95</v>
      </c>
      <c r="C177" s="6" t="n">
        <f aca="false">(w_ntm28*Val!G171+(1-w_ntm28)*Val!H171)*m_ai*1</f>
        <v>338.776008390068</v>
      </c>
    </row>
    <row r="178" customFormat="false" ht="17.15" hidden="false" customHeight="false" outlineLevel="0" collapsed="false">
      <c r="A178" s="1" t="s">
        <v>961</v>
      </c>
      <c r="B178" s="0" t="s">
        <v>95</v>
      </c>
      <c r="C178" s="6" t="n">
        <f aca="false">(w_ntm28*Val!G173+(1-w_ntm28)*Val!H173)*m_cloud*1</f>
        <v>794.749076664173</v>
      </c>
    </row>
    <row r="179" customFormat="false" ht="17.15" hidden="false" customHeight="false" outlineLevel="0" collapsed="false">
      <c r="A179" s="1" t="s">
        <v>962</v>
      </c>
      <c r="B179" s="0" t="s">
        <v>95</v>
      </c>
      <c r="C179" s="6" t="n">
        <f aca="false">(w_ntm28*Val!G166+(1-w_ntm28)*Val!H166)*m_sw*1</f>
        <v>988.547672652094</v>
      </c>
    </row>
    <row r="180" customFormat="false" ht="17.15" hidden="false" customHeight="false" outlineLevel="0" collapsed="false">
      <c r="A180" s="1" t="s">
        <v>963</v>
      </c>
      <c r="B180" s="0" t="s">
        <v>95</v>
      </c>
      <c r="C180" s="6" t="n">
        <f aca="false">(w_ntm28*Val!G167+(1-w_ntm28)*Val!H167)*m_sw*1</f>
        <v>363.117661434282</v>
      </c>
    </row>
    <row r="181" customFormat="false" ht="17.15" hidden="false" customHeight="false" outlineLevel="0" collapsed="false">
      <c r="A181" s="1" t="s">
        <v>964</v>
      </c>
      <c r="B181" s="0" t="s">
        <v>95</v>
      </c>
      <c r="C181" s="6" t="n">
        <f aca="false">(w_ntm28*Val!G168+(1-w_ntm28)*Val!H168)*m_sw*1</f>
        <v>99.2894025954118</v>
      </c>
    </row>
    <row r="182" customFormat="false" ht="17.15" hidden="false" customHeight="false" outlineLevel="0" collapsed="false">
      <c r="A182" s="1" t="s">
        <v>965</v>
      </c>
      <c r="B182" s="0" t="s">
        <v>95</v>
      </c>
      <c r="C182" s="6" t="n">
        <f aca="false">(w_ntm28*Val!G169+(1-w_ntm28)*Val!H169)*m_sw*1</f>
        <v>37.8805648916295</v>
      </c>
    </row>
    <row r="183" customFormat="false" ht="17.15" hidden="false" customHeight="false" outlineLevel="0" collapsed="false">
      <c r="A183" s="1" t="s">
        <v>966</v>
      </c>
      <c r="B183" s="0" t="s">
        <v>95</v>
      </c>
      <c r="C183" s="6" t="n">
        <f aca="false">(w_ntm28*Val!G170+(1-w_ntm28)*Val!H170)*m_ads*1</f>
        <v>104.664819473916</v>
      </c>
    </row>
    <row r="184" customFormat="false" ht="17.15" hidden="false" customHeight="false" outlineLevel="0" collapsed="false">
      <c r="A184" s="1" t="s">
        <v>967</v>
      </c>
      <c r="B184" s="0" t="s">
        <v>95</v>
      </c>
      <c r="C184" s="6" t="n">
        <f aca="false">(w_ntm28*Val!G175+(1-w_ntm28)*Val!H175)*m_game*1</f>
        <v>88.7104201985522</v>
      </c>
    </row>
    <row r="185" customFormat="false" ht="17.15" hidden="false" customHeight="false" outlineLevel="0" collapsed="false">
      <c r="A185" s="1" t="s">
        <v>968</v>
      </c>
      <c r="B185" s="0" t="s">
        <v>95</v>
      </c>
      <c r="C185" s="6" t="n">
        <f aca="false">(w_ntm28*Val!G176+(1-w_ntm28)*Val!H176)*m_pc*1</f>
        <v>87.9496081595385</v>
      </c>
    </row>
    <row r="186" customFormat="false" ht="17.15" hidden="false" customHeight="false" outlineLevel="0" collapsed="false">
      <c r="A186" s="1" t="s">
        <v>969</v>
      </c>
      <c r="B186" s="0" t="s">
        <v>95</v>
      </c>
      <c r="C186" s="6" t="n">
        <f aca="false">Val!$C$177+Val!$C$178+Val!$C$179+Val!$C$180+Val!$C$181+Val!$C$182+Val!$C$183+Val!$C$184+Val!$C$185</f>
        <v>2903.68523445966</v>
      </c>
    </row>
    <row r="187" customFormat="false" ht="17.15" hidden="false" customHeight="false" outlineLevel="0" collapsed="false">
      <c r="A187" s="1" t="s">
        <v>903</v>
      </c>
      <c r="B187" s="0" t="s">
        <v>95</v>
      </c>
      <c r="C187" s="6" t="n">
        <f aca="false">CF!F92+oai_v-CF!F81</f>
        <v>106.814034990727</v>
      </c>
      <c r="L187" s="1" t="s">
        <v>970</v>
      </c>
    </row>
    <row r="188" customFormat="false" ht="15" hidden="false" customHeight="false" outlineLevel="0" collapsed="false">
      <c r="A188" s="1" t="s">
        <v>904</v>
      </c>
      <c r="B188" s="0" t="s">
        <v>73</v>
      </c>
      <c r="C188" s="5" t="n">
        <f aca="false">(Val!$C$186+Val!$C$187)/CF!F94</f>
        <v>402.904077817237</v>
      </c>
    </row>
    <row r="189" customFormat="false" ht="17.15" hidden="false" customHeight="false" outlineLevel="0" collapsed="false">
      <c r="A189" s="1" t="s">
        <v>971</v>
      </c>
      <c r="B189" s="0" t="s">
        <v>73</v>
      </c>
      <c r="C189" s="5" t="n">
        <f aca="false">w_dcf*Val!$C$164+(1-w_dcf)*Val!$C$188</f>
        <v>291.067079701122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5" min="2" style="0" width="13"/>
    <col collapsed="false" customWidth="true" hidden="false" outlineLevel="0" max="6" min="6" style="0" width="80"/>
  </cols>
  <sheetData>
    <row r="1" customFormat="false" ht="17.15" hidden="false" customHeight="false" outlineLevel="0" collapsed="false">
      <c r="A1" s="0" t="s">
        <v>974</v>
      </c>
    </row>
    <row r="3" customFormat="false" ht="17.15" hidden="false" customHeight="false" outlineLevel="0" collapsed="false">
      <c r="A3" s="4" t="s">
        <v>43</v>
      </c>
      <c r="B3" s="4" t="s">
        <v>975</v>
      </c>
      <c r="C3" s="4" t="s">
        <v>976</v>
      </c>
      <c r="D3" s="4" t="s">
        <v>977</v>
      </c>
      <c r="E3" s="4" t="s">
        <v>978</v>
      </c>
      <c r="F3" s="4" t="s">
        <v>47</v>
      </c>
    </row>
    <row r="4" customFormat="false" ht="17.15" hidden="false" customHeight="false" outlineLevel="0" collapsed="false">
      <c r="A4" s="9" t="s">
        <v>979</v>
      </c>
    </row>
    <row r="5" customFormat="false" ht="17.15" hidden="false" customHeight="false" outlineLevel="0" collapsed="false">
      <c r="A5" s="1" t="s">
        <v>980</v>
      </c>
      <c r="B5" s="6" t="n">
        <f aca="false">Seg!F56</f>
        <v>399.407104707821</v>
      </c>
      <c r="C5" s="6" t="n">
        <f aca="false">cons_rev27</f>
        <v>391.6</v>
      </c>
      <c r="D5" s="6" t="n">
        <f aca="false">B5-C5</f>
        <v>7.80710470782049</v>
      </c>
      <c r="E5" s="35" t="n">
        <f aca="false">B5/C5-1</f>
        <v>0.0199364267309001</v>
      </c>
      <c r="F5" s="1" t="s">
        <v>981</v>
      </c>
    </row>
    <row r="6" customFormat="false" ht="17.15" hidden="false" customHeight="false" outlineLevel="0" collapsed="false">
      <c r="A6" s="1" t="s">
        <v>982</v>
      </c>
      <c r="B6" s="6" t="n">
        <f aca="false">Seg!G56</f>
        <v>475.197484137863</v>
      </c>
      <c r="C6" s="6" t="n">
        <f aca="false">cons_rev28</f>
        <v>467.955</v>
      </c>
      <c r="D6" s="6" t="n">
        <f aca="false">B6-C6</f>
        <v>7.24248413786307</v>
      </c>
      <c r="E6" s="35" t="n">
        <f aca="false">B6/C6-1</f>
        <v>0.0154768816186666</v>
      </c>
      <c r="F6" s="11" t="s">
        <v>33</v>
      </c>
    </row>
    <row r="7" customFormat="false" ht="17.15" hidden="false" customHeight="false" outlineLevel="0" collapsed="false">
      <c r="A7" s="1" t="s">
        <v>983</v>
      </c>
      <c r="B7" s="6" t="n">
        <f aca="false">Seg!H56</f>
        <v>552.773101018903</v>
      </c>
      <c r="C7" s="6" t="n">
        <f aca="false">cons_rev29</f>
        <v>569.502</v>
      </c>
      <c r="D7" s="6" t="n">
        <f aca="false">B7-C7</f>
        <v>-16.7288989810975</v>
      </c>
      <c r="E7" s="35" t="n">
        <f aca="false">B7/C7-1</f>
        <v>-0.0293746097135699</v>
      </c>
      <c r="F7" s="11" t="s">
        <v>33</v>
      </c>
    </row>
    <row r="8" customFormat="false" ht="17.15" hidden="false" customHeight="false" outlineLevel="0" collapsed="false">
      <c r="A8" s="1" t="s">
        <v>984</v>
      </c>
      <c r="B8" s="6" t="n">
        <f aca="false">PL!F70</f>
        <v>176.893587811511</v>
      </c>
      <c r="C8" s="6" t="n">
        <f aca="false">cons_ebit27</f>
        <v>182.305</v>
      </c>
      <c r="D8" s="6" t="n">
        <f aca="false">B8-C8</f>
        <v>-5.41141218848904</v>
      </c>
      <c r="E8" s="35" t="n">
        <f aca="false">B8/C8-1</f>
        <v>-0.0296832900276407</v>
      </c>
      <c r="F8" s="1" t="s">
        <v>985</v>
      </c>
    </row>
    <row r="9" customFormat="false" ht="17.15" hidden="false" customHeight="false" outlineLevel="0" collapsed="false">
      <c r="A9" s="1" t="s">
        <v>986</v>
      </c>
      <c r="B9" s="6" t="n">
        <f aca="false">PL!G70</f>
        <v>197.063789005417</v>
      </c>
      <c r="C9" s="6" t="n">
        <f aca="false">cons_ebit28</f>
        <v>217.245</v>
      </c>
      <c r="D9" s="6" t="n">
        <f aca="false">B9-C9</f>
        <v>-20.1812109945833</v>
      </c>
      <c r="E9" s="35" t="n">
        <f aca="false">B9/C9-1</f>
        <v>-0.0928960896434133</v>
      </c>
      <c r="F9" s="1" t="s">
        <v>987</v>
      </c>
    </row>
    <row r="10" customFormat="false" ht="17.15" hidden="false" customHeight="false" outlineLevel="0" collapsed="false">
      <c r="A10" s="1" t="s">
        <v>988</v>
      </c>
      <c r="B10" s="6" t="n">
        <f aca="false">PL!H70</f>
        <v>217.431756375428</v>
      </c>
      <c r="C10" s="6" t="n">
        <f aca="false">cons_ebit29</f>
        <v>262.608</v>
      </c>
      <c r="D10" s="6" t="n">
        <f aca="false">B10-C10</f>
        <v>-45.1762436245717</v>
      </c>
      <c r="E10" s="35" t="n">
        <f aca="false">B10/C10-1</f>
        <v>-0.172029197985483</v>
      </c>
      <c r="F10" s="1" t="s">
        <v>987</v>
      </c>
    </row>
    <row r="11" customFormat="false" ht="17.15" hidden="false" customHeight="false" outlineLevel="0" collapsed="false">
      <c r="A11" s="0" t="s">
        <v>989</v>
      </c>
      <c r="B11" s="8" t="n">
        <f aca="false">PL!F80</f>
        <v>18.8927370374267</v>
      </c>
      <c r="C11" s="8" t="n">
        <f aca="false">cons_eps27</f>
        <v>19.76</v>
      </c>
      <c r="D11" s="8" t="n">
        <f aca="false">B11-C11</f>
        <v>-0.867262962573257</v>
      </c>
      <c r="E11" s="35" t="n">
        <f aca="false">B11/C11-1</f>
        <v>-0.0438898260411568</v>
      </c>
      <c r="F11" s="1" t="s">
        <v>990</v>
      </c>
    </row>
    <row r="12" customFormat="false" ht="17.15" hidden="false" customHeight="false" outlineLevel="0" collapsed="false">
      <c r="A12" s="0" t="s">
        <v>991</v>
      </c>
      <c r="B12" s="8" t="n">
        <f aca="false">PL!G80</f>
        <v>20.9273576201665</v>
      </c>
      <c r="C12" s="8" t="n">
        <f aca="false">cons_eps28</f>
        <v>23.6</v>
      </c>
      <c r="D12" s="8" t="n">
        <f aca="false">B12-C12</f>
        <v>-2.6726423798335</v>
      </c>
      <c r="E12" s="35" t="n">
        <f aca="false">B12/C12-1</f>
        <v>-0.113247558467521</v>
      </c>
      <c r="F12" s="11" t="s">
        <v>33</v>
      </c>
    </row>
    <row r="13" customFormat="false" ht="15" hidden="false" customHeight="false" outlineLevel="0" collapsed="false">
      <c r="A13" s="0" t="s">
        <v>992</v>
      </c>
      <c r="B13" s="8" t="n">
        <f aca="false">PL!H80</f>
        <v>23.0114606350727</v>
      </c>
      <c r="C13" s="8" t="n">
        <f aca="false">cons_eps29</f>
        <v>29.03</v>
      </c>
      <c r="D13" s="8" t="n">
        <f aca="false">B13-C13</f>
        <v>-6.01853936492726</v>
      </c>
      <c r="E13" s="35" t="n">
        <f aca="false">B13/C13-1</f>
        <v>-0.207321369787367</v>
      </c>
      <c r="F13" s="11" t="s">
        <v>33</v>
      </c>
    </row>
    <row r="14" customFormat="false" ht="17.15" hidden="false" customHeight="false" outlineLevel="0" collapsed="false">
      <c r="A14" s="1" t="s">
        <v>993</v>
      </c>
      <c r="B14" s="6" t="n">
        <f aca="false">CF!F52</f>
        <v>204.2</v>
      </c>
      <c r="C14" s="6" t="n">
        <f aca="false">cons_cx27</f>
        <v>192.827</v>
      </c>
      <c r="D14" s="6" t="n">
        <f aca="false">B14-C14</f>
        <v>11.373</v>
      </c>
      <c r="E14" s="35" t="n">
        <f aca="false">B14/C14-1</f>
        <v>0.0589803295181692</v>
      </c>
      <c r="F14" s="1" t="s">
        <v>994</v>
      </c>
    </row>
    <row r="15" customFormat="false" ht="17.15" hidden="false" customHeight="false" outlineLevel="0" collapsed="false">
      <c r="A15" s="1" t="s">
        <v>995</v>
      </c>
      <c r="B15" s="6" t="n">
        <f aca="false">CF!G52</f>
        <v>224.727074053589</v>
      </c>
      <c r="C15" s="6" t="n">
        <f aca="false">cons_cx28</f>
        <v>216.787</v>
      </c>
      <c r="D15" s="6" t="n">
        <f aca="false">B15-C15</f>
        <v>7.94007405358923</v>
      </c>
      <c r="E15" s="35" t="n">
        <f aca="false">B15/C15-1</f>
        <v>0.0366261540294817</v>
      </c>
      <c r="F15" s="1" t="s">
        <v>996</v>
      </c>
    </row>
    <row r="16" customFormat="false" ht="17.15" hidden="false" customHeight="false" outlineLevel="0" collapsed="false">
      <c r="A16" s="1" t="s">
        <v>997</v>
      </c>
      <c r="B16" s="6" t="n">
        <f aca="false">CF!H52</f>
        <v>234.89179955449</v>
      </c>
      <c r="C16" s="6" t="n">
        <f aca="false">cons_cx29</f>
        <v>251.173</v>
      </c>
      <c r="D16" s="6" t="n">
        <f aca="false">B16-C16</f>
        <v>-16.2812004455104</v>
      </c>
      <c r="E16" s="35" t="n">
        <f aca="false">B16/C16-1</f>
        <v>-0.0648206632301658</v>
      </c>
      <c r="F16" s="1" t="s">
        <v>996</v>
      </c>
    </row>
    <row r="17" customFormat="false" ht="17.15" hidden="false" customHeight="false" outlineLevel="0" collapsed="false">
      <c r="A17" s="9" t="s">
        <v>998</v>
      </c>
    </row>
    <row r="18" customFormat="false" ht="17.15" hidden="false" customHeight="false" outlineLevel="0" collapsed="false">
      <c r="A18" s="0" t="s">
        <v>999</v>
      </c>
      <c r="B18" s="6" t="n">
        <f aca="false">Seg!F48/4</f>
        <v>83.5663820628769</v>
      </c>
      <c r="C18" s="6" t="n">
        <f aca="false">g_q1_ai</f>
        <v>75.45</v>
      </c>
      <c r="D18" s="6" t="n">
        <f aca="false">B18-C18</f>
        <v>8.1163820628769</v>
      </c>
      <c r="E18" s="35" t="n">
        <f aca="false">B18/C18-1</f>
        <v>0.10757298956762</v>
      </c>
      <c r="F18" s="1" t="s">
        <v>1000</v>
      </c>
    </row>
    <row r="19" customFormat="false" ht="17.15" hidden="false" customHeight="false" outlineLevel="0" collapsed="false">
      <c r="A19" s="0" t="s">
        <v>1001</v>
      </c>
      <c r="B19" s="6" t="n">
        <f aca="false">Seg!F55/4</f>
        <v>16.2853941140782</v>
      </c>
      <c r="C19" s="6" t="n">
        <f aca="false">g_q1_dc</f>
        <v>14.95</v>
      </c>
      <c r="D19" s="6" t="n">
        <f aca="false">B19-C19</f>
        <v>1.33539411407823</v>
      </c>
      <c r="E19" s="35" t="n">
        <f aca="false">B19/C19-1</f>
        <v>0.0893240210085771</v>
      </c>
      <c r="F19" s="11" t="s">
        <v>1002</v>
      </c>
    </row>
    <row r="20" customFormat="false" ht="17.15" hidden="false" customHeight="false" outlineLevel="0" collapsed="false">
      <c r="A20" s="1" t="s">
        <v>1003</v>
      </c>
      <c r="B20" s="6" t="n">
        <f aca="false">Seg!F56/4</f>
        <v>99.8517761769551</v>
      </c>
      <c r="C20" s="6" t="n">
        <f aca="false">g_q1_rev</f>
        <v>90.4</v>
      </c>
      <c r="D20" s="6" t="n">
        <f aca="false">B20-C20</f>
        <v>9.45177617695512</v>
      </c>
      <c r="E20" s="35" t="n">
        <f aca="false">B20/C20-1</f>
        <v>0.104555046205256</v>
      </c>
      <c r="F20" s="11" t="s">
        <v>33</v>
      </c>
    </row>
    <row r="21" customFormat="false" ht="17.15" hidden="false" customHeight="false" outlineLevel="0" collapsed="false">
      <c r="A21" s="0" t="s">
        <v>1004</v>
      </c>
      <c r="B21" s="7" t="n">
        <f aca="false">Seg!F36/Seg!E36-1</f>
        <v>0.42384543852464</v>
      </c>
      <c r="C21" s="7" t="n">
        <f aca="false">g_q1_az</f>
        <v>0.445</v>
      </c>
      <c r="D21" s="7" t="n">
        <f aca="false">B21-C21</f>
        <v>-0.0211545614753596</v>
      </c>
      <c r="F21" s="1" t="s">
        <v>1005</v>
      </c>
    </row>
    <row r="22" customFormat="false" ht="17.15" hidden="false" customHeight="false" outlineLevel="0" collapsed="false">
      <c r="A22" s="1" t="s">
        <v>1006</v>
      </c>
      <c r="B22" s="7" t="n">
        <f aca="false">PL!F72-PL!E72</f>
        <v>-0.0249177454203997</v>
      </c>
      <c r="C22" s="7" t="n">
        <f aca="false">g_fy27_opm</f>
        <v>-0.01</v>
      </c>
      <c r="D22" s="7" t="n">
        <f aca="false">B22-C22</f>
        <v>-0.0149177454203997</v>
      </c>
      <c r="F22" s="1" t="s">
        <v>1007</v>
      </c>
    </row>
    <row r="23" customFormat="false" ht="17.15" hidden="false" customHeight="false" outlineLevel="0" collapsed="false">
      <c r="A23" s="1" t="s">
        <v>1008</v>
      </c>
      <c r="B23" s="6" t="n">
        <f aca="false">CF!F52/4</f>
        <v>51.05</v>
      </c>
      <c r="C23" s="6" t="n">
        <f aca="false">g_q1_cx</f>
        <v>50</v>
      </c>
      <c r="D23" s="6" t="n">
        <f aca="false">B23-C23</f>
        <v>1.05</v>
      </c>
      <c r="E23" s="35" t="n">
        <f aca="false">B23/C23-1</f>
        <v>0.0210000000000001</v>
      </c>
      <c r="F23" s="11" t="s">
        <v>33</v>
      </c>
    </row>
    <row r="24" customFormat="false" ht="17.15" hidden="false" customHeight="false" outlineLevel="0" collapsed="false">
      <c r="A24" s="9" t="s">
        <v>1009</v>
      </c>
    </row>
    <row r="25" customFormat="false" ht="17.15" hidden="false" customHeight="false" outlineLevel="0" collapsed="false">
      <c r="A25" s="0" t="s">
        <v>1010</v>
      </c>
      <c r="B25" s="6" t="n">
        <f aca="false">Thesis!E64+Seg!E38</f>
        <v>33.0595064661409</v>
      </c>
      <c r="C25" s="6" t="n">
        <f aca="false">ai_runrate</f>
        <v>37</v>
      </c>
      <c r="D25" s="6" t="n">
        <f aca="false">B25-C25</f>
        <v>-3.94049353385914</v>
      </c>
      <c r="E25" s="35" t="n">
        <f aca="false">B25/C25-1</f>
        <v>-0.106499825239436</v>
      </c>
      <c r="F25" s="1" t="s">
        <v>1011</v>
      </c>
    </row>
    <row r="26" customFormat="false" ht="17.15" hidden="false" customHeight="false" outlineLevel="0" collapsed="false">
      <c r="A26" s="0" t="s">
        <v>1012</v>
      </c>
      <c r="B26" s="7" t="n">
        <f aca="false">Thesis!E64/Seg!E36</f>
        <v>0.272808044754075</v>
      </c>
      <c r="F26" s="1" t="s">
        <v>1013</v>
      </c>
    </row>
    <row r="27" customFormat="false" ht="17.15" hidden="false" customHeight="false" outlineLevel="0" collapsed="false">
      <c r="A27" s="0" t="s">
        <v>1014</v>
      </c>
      <c r="B27" s="6" t="n">
        <f aca="false">Seg!E38</f>
        <v>5.25</v>
      </c>
      <c r="F27" s="1" t="s">
        <v>1015</v>
      </c>
    </row>
    <row r="28" customFormat="false" ht="17.15" hidden="false" customHeight="false" outlineLevel="0" collapsed="false">
      <c r="A28" s="9" t="s">
        <v>1016</v>
      </c>
    </row>
    <row r="29" customFormat="false" ht="17.15" hidden="false" customHeight="false" outlineLevel="0" collapsed="false">
      <c r="A29" s="0" t="s">
        <v>1017</v>
      </c>
      <c r="B29" s="6" t="n">
        <f aca="false">Seg!F36</f>
        <v>145.143956312325</v>
      </c>
      <c r="F29" s="1" t="s">
        <v>1018</v>
      </c>
    </row>
    <row r="30" customFormat="false" ht="17.15" hidden="false" customHeight="false" outlineLevel="0" collapsed="false">
      <c r="A30" s="0" t="s">
        <v>1019</v>
      </c>
      <c r="B30" s="6" t="n">
        <f aca="false">Seg!F41</f>
        <v>118.89238776686</v>
      </c>
      <c r="F30" s="1" t="s">
        <v>1018</v>
      </c>
    </row>
    <row r="31" customFormat="false" ht="17.15" hidden="false" customHeight="false" outlineLevel="0" collapsed="false">
      <c r="A31" s="0" t="s">
        <v>1020</v>
      </c>
      <c r="B31" s="6" t="n">
        <f aca="false">Seg!F42</f>
        <v>39.0720834331704</v>
      </c>
      <c r="F31" s="1" t="s">
        <v>1018</v>
      </c>
    </row>
    <row r="32" customFormat="false" ht="17.15" hidden="false" customHeight="false" outlineLevel="0" collapsed="false">
      <c r="A32" s="0" t="s">
        <v>1021</v>
      </c>
      <c r="B32" s="6" t="n">
        <f aca="false">Seg!F44</f>
        <v>22.3572203267814</v>
      </c>
      <c r="F32" s="1" t="s">
        <v>1018</v>
      </c>
    </row>
    <row r="33" customFormat="false" ht="17.15" hidden="false" customHeight="false" outlineLevel="0" collapsed="false">
      <c r="A33" s="0" t="s">
        <v>1022</v>
      </c>
      <c r="B33" s="6" t="n">
        <f aca="false">Seg!F46</f>
        <v>8.79988041237113</v>
      </c>
      <c r="F33" s="1" t="s">
        <v>1018</v>
      </c>
    </row>
    <row r="34" customFormat="false" ht="17.15" hidden="false" customHeight="false" outlineLevel="0" collapsed="false">
      <c r="A34" s="0" t="s">
        <v>1023</v>
      </c>
      <c r="B34" s="6" t="n">
        <f aca="false">Seg!F49</f>
        <v>27.6114901218559</v>
      </c>
      <c r="F34" s="1" t="s">
        <v>1018</v>
      </c>
    </row>
    <row r="35" customFormat="false" ht="17.15" hidden="false" customHeight="false" outlineLevel="0" collapsed="false">
      <c r="A35" s="0" t="s">
        <v>1024</v>
      </c>
      <c r="B35" s="6" t="n">
        <f aca="false">Seg!F51</f>
        <v>20.5736277908051</v>
      </c>
      <c r="F35" s="1" t="s">
        <v>1018</v>
      </c>
    </row>
    <row r="36" customFormat="false" ht="17.15" hidden="false" customHeight="false" outlineLevel="0" collapsed="false">
      <c r="A36" s="0" t="s">
        <v>1025</v>
      </c>
      <c r="B36" s="6" t="n">
        <f aca="false">Seg!F53</f>
        <v>16.9564585436519</v>
      </c>
      <c r="F36" s="1" t="s">
        <v>1018</v>
      </c>
    </row>
    <row r="37" customFormat="false" ht="17.15" hidden="false" customHeight="false" outlineLevel="0" collapsed="false">
      <c r="A37" s="9" t="s">
        <v>1026</v>
      </c>
    </row>
    <row r="38" customFormat="false" ht="17.15" hidden="false" customHeight="false" outlineLevel="0" collapsed="false">
      <c r="A38" s="0" t="s">
        <v>1027</v>
      </c>
      <c r="B38" s="6" t="n">
        <f aca="false">old_tp</f>
        <v>359.06</v>
      </c>
      <c r="F38" s="11" t="s">
        <v>604</v>
      </c>
    </row>
    <row r="39" customFormat="false" ht="17.15" hidden="false" customHeight="false" outlineLevel="0" collapsed="false">
      <c r="A39" s="1" t="s">
        <v>1028</v>
      </c>
      <c r="B39" s="6" t="n">
        <f aca="false">0.5*old_dcf+0.5*old_ev-old_tp</f>
        <v>-3.17500000000001</v>
      </c>
      <c r="F39" s="1" t="s">
        <v>1029</v>
      </c>
    </row>
    <row r="40" customFormat="false" ht="17.15" hidden="false" customHeight="false" outlineLevel="0" collapsed="false">
      <c r="A40" s="0" t="s">
        <v>1030</v>
      </c>
      <c r="B40" s="6" t="n">
        <f aca="false">0.5*(Val!$C$12-old_dcf)</f>
        <v>-43.5354740613318</v>
      </c>
      <c r="F40" s="1" t="s">
        <v>1031</v>
      </c>
    </row>
    <row r="41" customFormat="false" ht="17.15" hidden="false" customHeight="false" outlineLevel="0" collapsed="false">
      <c r="A41" s="1" t="s">
        <v>1032</v>
      </c>
      <c r="B41" s="6" t="n">
        <f aca="false">0.5*(Val!$C$29-old_ev)</f>
        <v>17.966624555808</v>
      </c>
      <c r="F41" s="1" t="s">
        <v>1033</v>
      </c>
    </row>
    <row r="42" customFormat="false" ht="17.15" hidden="false" customHeight="false" outlineLevel="0" collapsed="false">
      <c r="A42" s="1" t="s">
        <v>1034</v>
      </c>
      <c r="B42" s="6" t="n">
        <f aca="false">Val!$B$34-Val!$C$42</f>
        <v>-1.40019516357074</v>
      </c>
      <c r="F42" s="11" t="s">
        <v>1035</v>
      </c>
    </row>
    <row r="43" customFormat="false" ht="17.15" hidden="false" customHeight="false" outlineLevel="0" collapsed="false">
      <c r="A43" s="0" t="s">
        <v>1036</v>
      </c>
      <c r="B43" s="6" t="n">
        <f aca="false">Val!$B$34</f>
        <v>328.915955330906</v>
      </c>
      <c r="F43" s="11" t="s">
        <v>33</v>
      </c>
    </row>
    <row r="44" customFormat="false" ht="17.15" hidden="false" customHeight="false" outlineLevel="0" collapsed="false">
      <c r="A44" s="22" t="s">
        <v>1037</v>
      </c>
      <c r="B44" s="23" t="n">
        <f aca="false">B38+B39+B40+B41+B42-B43</f>
        <v>0</v>
      </c>
      <c r="C44" s="28"/>
      <c r="D44" s="28"/>
      <c r="E44" s="28"/>
      <c r="F44" s="28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9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4"/>
    <col collapsed="false" customWidth="true" hidden="false" outlineLevel="0" max="5" min="3" style="0" width="14"/>
    <col collapsed="false" customWidth="true" hidden="false" outlineLevel="0" max="6" min="6" style="0" width="50"/>
    <col collapsed="false" customWidth="true" hidden="false" outlineLevel="0" max="11" min="7" style="0" width="11"/>
    <col collapsed="false" customWidth="true" hidden="false" outlineLevel="0" max="12" min="12" style="0" width="50"/>
  </cols>
  <sheetData>
    <row r="1" customFormat="false" ht="17.15" hidden="false" customHeight="false" outlineLevel="0" collapsed="false">
      <c r="A1" s="0" t="s">
        <v>1038</v>
      </c>
    </row>
    <row r="3" customFormat="false" ht="17.15" hidden="false" customHeight="false" outlineLevel="0" collapsed="false">
      <c r="A3" s="4" t="s">
        <v>1039</v>
      </c>
      <c r="B3" s="4" t="s">
        <v>1040</v>
      </c>
      <c r="C3" s="4" t="s">
        <v>1041</v>
      </c>
      <c r="D3" s="4" t="s">
        <v>1042</v>
      </c>
      <c r="E3" s="4" t="s">
        <v>1043</v>
      </c>
      <c r="F3" s="4" t="s">
        <v>47</v>
      </c>
    </row>
    <row r="4" customFormat="false" ht="17.15" hidden="false" customHeight="false" outlineLevel="0" collapsed="false">
      <c r="A4" s="0" t="s">
        <v>1044</v>
      </c>
      <c r="B4" s="1" t="s">
        <v>1045</v>
      </c>
      <c r="C4" s="5" t="n">
        <f aca="false">w_dcf*(w_A*Sens!$C$218+w_B*Sens!$C$392+w_C*Sens!$C$566)+(1-w_dcf)*(w_A*Sens!$C$242+w_B*Sens!$C$416+w_C*Sens!$C$590)</f>
        <v>305.999328600041</v>
      </c>
      <c r="D4" s="36" t="n">
        <f aca="false">C4-Val!$B$34</f>
        <v>-22.916626730865</v>
      </c>
      <c r="E4" s="35" t="n">
        <f aca="false">C4/Val!$B$34-1</f>
        <v>-0.0696731987592689</v>
      </c>
      <c r="F4" s="1" t="s">
        <v>1046</v>
      </c>
    </row>
    <row r="5" customFormat="false" ht="17.15" hidden="false" customHeight="false" outlineLevel="0" collapsed="false">
      <c r="A5" s="0" t="s">
        <v>1047</v>
      </c>
      <c r="B5" s="1" t="s">
        <v>1045</v>
      </c>
      <c r="C5" s="5" t="n">
        <f aca="false">w_dcf*(w_A*Sens!$C$740+w_B*Sens!$C$914+w_C*Sens!$C$1088)+(1-w_dcf)*(w_A*Sens!$C$764+w_B*Sens!$C$938+w_C*Sens!$C$1112)</f>
        <v>351.828446173922</v>
      </c>
      <c r="D5" s="36" t="n">
        <f aca="false">C5-Val!$B$34</f>
        <v>22.9124908430165</v>
      </c>
      <c r="E5" s="35" t="n">
        <f aca="false">C5/Val!$B$34-1</f>
        <v>0.0696606244594167</v>
      </c>
      <c r="F5" s="1" t="s">
        <v>1048</v>
      </c>
    </row>
    <row r="6" customFormat="false" ht="17.15" hidden="false" customHeight="false" outlineLevel="0" collapsed="false">
      <c r="A6" s="1" t="s">
        <v>1049</v>
      </c>
      <c r="B6" s="1" t="s">
        <v>1050</v>
      </c>
      <c r="C6" s="5" t="n">
        <f aca="false">w_dcf*(w_A*Sens!$C$1262+w_B*Sens!$C$1436+w_C*Sens!$C$1610)+(1-w_dcf)*(w_A*Sens!$C$1286+w_B*Sens!$C$1460+w_C*Sens!$C$1634)</f>
        <v>300.619660581304</v>
      </c>
      <c r="D6" s="36" t="n">
        <f aca="false">C6-Val!$B$34</f>
        <v>-28.2962947496015</v>
      </c>
      <c r="E6" s="35" t="n">
        <f aca="false">C6/Val!$B$34-1</f>
        <v>-0.0860289514418177</v>
      </c>
      <c r="F6" s="1" t="s">
        <v>1051</v>
      </c>
    </row>
    <row r="7" customFormat="false" ht="17.15" hidden="false" customHeight="false" outlineLevel="0" collapsed="false">
      <c r="A7" s="1" t="s">
        <v>1052</v>
      </c>
      <c r="B7" s="1" t="s">
        <v>1050</v>
      </c>
      <c r="C7" s="5" t="n">
        <f aca="false">w_dcf*(w_A*Sens!$C$1784+w_B*Sens!$C$1958+w_C*Sens!$C$2132)+(1-w_dcf)*(w_A*Sens!$C$1808+w_B*Sens!$C$1982+w_C*Sens!$C$2156)</f>
        <v>352.913734387951</v>
      </c>
      <c r="D7" s="36" t="n">
        <f aca="false">C7-Val!$B$34</f>
        <v>23.9977790570451</v>
      </c>
      <c r="E7" s="35" t="n">
        <f aca="false">C7/Val!$B$34-1</f>
        <v>0.0729602157271518</v>
      </c>
      <c r="F7" s="11" t="s">
        <v>1053</v>
      </c>
    </row>
    <row r="8" customFormat="false" ht="17.15" hidden="false" customHeight="false" outlineLevel="0" collapsed="false">
      <c r="A8" s="0" t="s">
        <v>1054</v>
      </c>
      <c r="B8" s="1" t="s">
        <v>1055</v>
      </c>
      <c r="C8" s="5" t="n">
        <f aca="false">w_dcf*(w_A*Sens!$C$2306+w_B*Sens!$C$2480+w_C*Sens!$C$2654)+(1-w_dcf)*(w_A*Sens!$C$2330+w_B*Sens!$C$2504+w_C*Sens!$C$2678)</f>
        <v>345.360229259281</v>
      </c>
      <c r="D8" s="36" t="n">
        <f aca="false">C8-Val!$B$34</f>
        <v>16.4442739283753</v>
      </c>
      <c r="E8" s="35" t="n">
        <f aca="false">C8/Val!$B$34-1</f>
        <v>0.0499953670895399</v>
      </c>
      <c r="F8" s="1" t="s">
        <v>1056</v>
      </c>
    </row>
    <row r="9" customFormat="false" ht="17.15" hidden="false" customHeight="false" outlineLevel="0" collapsed="false">
      <c r="A9" s="0" t="s">
        <v>1057</v>
      </c>
      <c r="B9" s="1" t="s">
        <v>1055</v>
      </c>
      <c r="C9" s="5" t="n">
        <f aca="false">w_dcf*(w_A*Sens!$C$2828+w_B*Sens!$C$3002+w_C*Sens!$C$3176)+(1-w_dcf)*(w_A*Sens!$C$2852+w_B*Sens!$C$3026+w_C*Sens!$C$3200)</f>
        <v>321.710054222321</v>
      </c>
      <c r="D9" s="36" t="n">
        <f aca="false">C9-Val!$B$34</f>
        <v>-7.20590110858473</v>
      </c>
      <c r="E9" s="35" t="n">
        <f aca="false">C9/Val!$B$34-1</f>
        <v>-0.0219080314949612</v>
      </c>
      <c r="F9" s="1" t="s">
        <v>1058</v>
      </c>
    </row>
    <row r="10" customFormat="false" ht="17.15" hidden="false" customHeight="false" outlineLevel="0" collapsed="false">
      <c r="A10" s="0" t="s">
        <v>1059</v>
      </c>
      <c r="B10" s="1" t="s">
        <v>1060</v>
      </c>
      <c r="C10" s="5" t="n">
        <f aca="false">w_dcf*(w_A*Sens!$C$3350+w_B*Sens!$C$3524+w_C*Sens!$C$3698)+(1-w_dcf)*(w_A*Sens!$C$3374+w_B*Sens!$C$3548+w_C*Sens!$C$3722)</f>
        <v>316.311048411852</v>
      </c>
      <c r="D10" s="36" t="n">
        <f aca="false">C10-Val!$B$34</f>
        <v>-12.6049069190534</v>
      </c>
      <c r="E10" s="35" t="n">
        <f aca="false">C10/Val!$B$34-1</f>
        <v>-0.0383225766788122</v>
      </c>
      <c r="F10" s="1" t="s">
        <v>1061</v>
      </c>
    </row>
    <row r="11" customFormat="false" ht="17.15" hidden="false" customHeight="false" outlineLevel="0" collapsed="false">
      <c r="A11" s="0" t="s">
        <v>1062</v>
      </c>
      <c r="B11" s="1" t="s">
        <v>1060</v>
      </c>
      <c r="C11" s="5" t="n">
        <f aca="false">w_dcf*(w_A*Sens!$C$3872+w_B*Sens!$C$4046+w_C*Sens!$C$4220)+(1-w_dcf)*(w_A*Sens!$C$3896+w_B*Sens!$C$4070+w_C*Sens!$C$4244)</f>
        <v>337.373990549828</v>
      </c>
      <c r="D11" s="36" t="n">
        <f aca="false">C11-Val!$B$34</f>
        <v>8.45803521892253</v>
      </c>
      <c r="E11" s="35" t="n">
        <f aca="false">C11/Val!$B$34-1</f>
        <v>0.0257148827286695</v>
      </c>
      <c r="F11" s="11" t="s">
        <v>33</v>
      </c>
    </row>
    <row r="12" customFormat="false" ht="17.15" hidden="false" customHeight="false" outlineLevel="0" collapsed="false">
      <c r="A12" s="0" t="s">
        <v>1063</v>
      </c>
      <c r="B12" s="1" t="s">
        <v>1064</v>
      </c>
      <c r="C12" s="5" t="n">
        <f aca="false">w_dcf*(w_A*Sens!$C$4394+w_B*Sens!$C$4568+w_C*Sens!$C$4742)+(1-w_dcf)*(w_A*Sens!$C$4418+w_B*Sens!$C$4592+w_C*Sens!$C$4766)</f>
        <v>323.274483306123</v>
      </c>
      <c r="D12" s="36" t="n">
        <f aca="false">C12-Val!$B$34</f>
        <v>-5.6414720247821</v>
      </c>
      <c r="E12" s="35" t="n">
        <f aca="false">C12/Val!$B$34-1</f>
        <v>-0.0171517128717775</v>
      </c>
      <c r="F12" s="1" t="s">
        <v>1065</v>
      </c>
    </row>
    <row r="13" customFormat="false" ht="17.15" hidden="false" customHeight="false" outlineLevel="0" collapsed="false">
      <c r="A13" s="0" t="s">
        <v>1066</v>
      </c>
      <c r="B13" s="1" t="s">
        <v>1064</v>
      </c>
      <c r="C13" s="5" t="n">
        <f aca="false">w_dcf*(w_A*Sens!$C$4916+w_B*Sens!$C$5090+w_C*Sens!$C$5264)+(1-w_dcf)*(w_A*Sens!$C$4940+w_B*Sens!$C$5114+w_C*Sens!$C$5288)</f>
        <v>334.557980657972</v>
      </c>
      <c r="D13" s="36" t="n">
        <f aca="false">C13-Val!$B$34</f>
        <v>5.64202532706668</v>
      </c>
      <c r="E13" s="35" t="n">
        <f aca="false">C13/Val!$B$34-1</f>
        <v>0.0171533950713656</v>
      </c>
      <c r="F13" s="11" t="s">
        <v>33</v>
      </c>
    </row>
    <row r="14" customFormat="false" ht="17.15" hidden="false" customHeight="false" outlineLevel="0" collapsed="false">
      <c r="A14" s="0" t="s">
        <v>1067</v>
      </c>
      <c r="B14" s="1" t="s">
        <v>1068</v>
      </c>
      <c r="C14" s="5" t="n">
        <f aca="false">w_dcf*(w_A*Sens!$C$5438+w_B*Sens!$C$5612+w_C*Sens!$C$5786)+(1-w_dcf)*(w_A*Sens!$C$5462+w_B*Sens!$C$5636+w_C*Sens!$C$5810)</f>
        <v>323.770297187394</v>
      </c>
      <c r="D14" s="36" t="n">
        <f aca="false">C14-Val!$B$34</f>
        <v>-5.1456581435117</v>
      </c>
      <c r="E14" s="35" t="n">
        <f aca="false">C14/Val!$B$34-1</f>
        <v>-0.0156442947206222</v>
      </c>
      <c r="F14" s="1" t="s">
        <v>1069</v>
      </c>
    </row>
    <row r="15" customFormat="false" ht="17.15" hidden="false" customHeight="false" outlineLevel="0" collapsed="false">
      <c r="A15" s="0" t="s">
        <v>1070</v>
      </c>
      <c r="B15" s="1" t="s">
        <v>1068</v>
      </c>
      <c r="C15" s="5" t="n">
        <f aca="false">w_dcf*(w_A*Sens!$C$5960+w_B*Sens!$C$6134+w_C*Sens!$C$6308)+(1-w_dcf)*(w_A*Sens!$C$5984+w_B*Sens!$C$6158+w_C*Sens!$C$6332)</f>
        <v>332.591727269443</v>
      </c>
      <c r="D15" s="36" t="n">
        <f aca="false">C15-Val!$B$34</f>
        <v>3.67577193853754</v>
      </c>
      <c r="E15" s="35" t="n">
        <f aca="false">C15/Val!$B$34-1</f>
        <v>0.0111754138981781</v>
      </c>
      <c r="F15" s="11" t="s">
        <v>33</v>
      </c>
    </row>
    <row r="16" customFormat="false" ht="17.15" hidden="false" customHeight="false" outlineLevel="0" collapsed="false">
      <c r="A16" s="0" t="s">
        <v>1071</v>
      </c>
      <c r="B16" s="1" t="s">
        <v>1072</v>
      </c>
      <c r="C16" s="5" t="n">
        <f aca="false">w_dcf*(w_A*Sens!$C$6482+w_B*Sens!$C$6656+w_C*Sens!$C$6830)+(1-w_dcf)*(w_A*Sens!$C$6506+w_B*Sens!$C$6680+w_C*Sens!$C$6854)</f>
        <v>324.526233898249</v>
      </c>
      <c r="D16" s="36" t="n">
        <f aca="false">C16-Val!$B$34</f>
        <v>-4.38972143265642</v>
      </c>
      <c r="E16" s="35" t="n">
        <f aca="false">C16/Val!$B$34-1</f>
        <v>-0.0133460276447828</v>
      </c>
      <c r="F16" s="1" t="s">
        <v>1073</v>
      </c>
    </row>
    <row r="17" customFormat="false" ht="17.15" hidden="false" customHeight="false" outlineLevel="0" collapsed="false">
      <c r="A17" s="0" t="s">
        <v>1074</v>
      </c>
      <c r="B17" s="1" t="s">
        <v>1072</v>
      </c>
      <c r="C17" s="5" t="n">
        <f aca="false">w_dcf*(w_A*Sens!$C$7004+w_B*Sens!$C$7178+w_C*Sens!$C$7352)+(1-w_dcf)*(w_A*Sens!$C$7028+w_B*Sens!$C$7202+w_C*Sens!$C$7376)</f>
        <v>335.155652721556</v>
      </c>
      <c r="D17" s="36" t="n">
        <f aca="false">C17-Val!$B$34</f>
        <v>6.23969739065024</v>
      </c>
      <c r="E17" s="35" t="n">
        <f aca="false">C17/Val!$B$34-1</f>
        <v>0.0189704916697422</v>
      </c>
      <c r="F17" s="11" t="s">
        <v>33</v>
      </c>
    </row>
    <row r="18" customFormat="false" ht="17.15" hidden="false" customHeight="false" outlineLevel="0" collapsed="false">
      <c r="A18" s="1" t="s">
        <v>1075</v>
      </c>
      <c r="B18" s="1" t="s">
        <v>1076</v>
      </c>
      <c r="C18" s="5" t="n">
        <f aca="false">w_dcf*(w_A*Sens!$C$7526+w_B*Sens!$C$7700+w_C*Sens!$C$7874)+(1-w_dcf)*(w_A*Sens!$C$7550+w_B*Sens!$C$7724+w_C*Sens!$C$7898)</f>
        <v>328.350916271304</v>
      </c>
      <c r="D18" s="36" t="n">
        <f aca="false">C18-Val!$B$34</f>
        <v>-0.565039059601133</v>
      </c>
      <c r="E18" s="35" t="n">
        <f aca="false">C18/Val!$B$34-1</f>
        <v>-0.00171788279176877</v>
      </c>
      <c r="F18" s="1" t="s">
        <v>1077</v>
      </c>
    </row>
    <row r="19" customFormat="false" ht="17.15" hidden="false" customHeight="false" outlineLevel="0" collapsed="false">
      <c r="A19" s="1" t="s">
        <v>1078</v>
      </c>
      <c r="B19" s="1" t="s">
        <v>1076</v>
      </c>
      <c r="C19" s="5" t="n">
        <f aca="false">w_dcf*(w_A*Sens!$C$8048+w_B*Sens!$C$8222+w_C*Sens!$C$8396)+(1-w_dcf)*(w_A*Sens!$C$8072+w_B*Sens!$C$8246+w_C*Sens!$C$8420)</f>
        <v>329.515977488675</v>
      </c>
      <c r="D19" s="36" t="n">
        <f aca="false">C19-Val!$B$34</f>
        <v>0.600022157769331</v>
      </c>
      <c r="E19" s="35" t="n">
        <f aca="false">C19/Val!$B$34-1</f>
        <v>0.00182424156701577</v>
      </c>
      <c r="F19" s="11" t="s">
        <v>33</v>
      </c>
    </row>
    <row r="20" customFormat="false" ht="17.15" hidden="false" customHeight="false" outlineLevel="0" collapsed="false">
      <c r="A20" s="0" t="s">
        <v>1079</v>
      </c>
      <c r="B20" s="1" t="s">
        <v>1080</v>
      </c>
      <c r="C20" s="5" t="n">
        <f aca="false">w_dcf*(w_A*Sens!$C$8570+w_B*Sens!$C$8744+w_C*Sens!$C$8918)+(1-w_dcf)*(w_A*Sens!$C$8594+w_B*Sens!$C$8768+w_C*Sens!$C$8942)</f>
        <v>328.44540647353</v>
      </c>
      <c r="D20" s="36" t="n">
        <f aca="false">C20-Val!$B$34</f>
        <v>-0.470548857375832</v>
      </c>
      <c r="E20" s="35" t="n">
        <f aca="false">C20/Val!$B$34-1</f>
        <v>-0.0014306051431966</v>
      </c>
      <c r="F20" s="1" t="s">
        <v>1081</v>
      </c>
    </row>
    <row r="21" customFormat="false" ht="17.15" hidden="false" customHeight="false" outlineLevel="0" collapsed="false">
      <c r="A21" s="0" t="s">
        <v>1082</v>
      </c>
      <c r="B21" s="1" t="s">
        <v>1080</v>
      </c>
      <c r="C21" s="5" t="n">
        <f aca="false">w_dcf*(w_A*Sens!$C$9092+w_B*Sens!$C$9266+w_C*Sens!$C$9440)+(1-w_dcf)*(w_A*Sens!$C$9116+w_B*Sens!$C$9290+w_C*Sens!$C$9464)</f>
        <v>329.293173490571</v>
      </c>
      <c r="D21" s="36" t="n">
        <f aca="false">C21-Val!$B$34</f>
        <v>0.377218159665404</v>
      </c>
      <c r="E21" s="35" t="n">
        <f aca="false">C21/Val!$B$34-1</f>
        <v>0.00114685272499448</v>
      </c>
      <c r="F21" s="11" t="s">
        <v>33</v>
      </c>
    </row>
    <row r="22" customFormat="false" ht="17.15" hidden="false" customHeight="false" outlineLevel="0" collapsed="false">
      <c r="A22" s="1" t="s">
        <v>1083</v>
      </c>
      <c r="B22" s="1" t="s">
        <v>1084</v>
      </c>
      <c r="C22" s="5" t="n">
        <f aca="false">w_dcf*(w_A*Sens!$C$9614+w_B*Sens!$C$9788+w_C*Sens!$C$9962)+(1-w_dcf)*(w_A*Sens!$C$9638+w_B*Sens!$C$9812+w_C*Sens!$C$9986)</f>
        <v>315.43672117512</v>
      </c>
      <c r="D22" s="36" t="n">
        <f aca="false">C22-Val!$B$34</f>
        <v>-13.4792341557855</v>
      </c>
      <c r="E22" s="35" t="n">
        <f aca="false">C22/Val!$B$34-1</f>
        <v>-0.0409807853262233</v>
      </c>
      <c r="F22" s="11" t="s">
        <v>1085</v>
      </c>
    </row>
    <row r="23" customFormat="false" ht="17.15" hidden="false" customHeight="false" outlineLevel="0" collapsed="false">
      <c r="A23" s="1" t="s">
        <v>1086</v>
      </c>
      <c r="B23" s="1" t="s">
        <v>1084</v>
      </c>
      <c r="C23" s="5" t="n">
        <f aca="false">w_dcf*(w_A*Sens!$C$10136+w_B*Sens!$C$10310+w_C*Sens!$C$10484)+(1-w_dcf)*(w_A*Sens!$C$10160+w_B*Sens!$C$10334+w_C*Sens!$C$10508)</f>
        <v>342.395189486691</v>
      </c>
      <c r="D23" s="36" t="n">
        <f aca="false">C23-Val!$B$34</f>
        <v>13.4792341557855</v>
      </c>
      <c r="E23" s="35" t="n">
        <f aca="false">C23/Val!$B$34-1</f>
        <v>0.0409807853262234</v>
      </c>
      <c r="F23" s="11" t="s">
        <v>33</v>
      </c>
    </row>
    <row r="24" customFormat="false" ht="17.15" hidden="false" customHeight="false" outlineLevel="0" collapsed="false">
      <c r="A24" s="0" t="s">
        <v>1087</v>
      </c>
      <c r="B24" s="1" t="s">
        <v>1088</v>
      </c>
      <c r="C24" s="5" t="n">
        <f aca="false">w_dcf*(w_A*Sens!$C$10524+w_B*Sens!$C$10564+w_C*Sens!$C$10604)+(1-w_dcf)*(w_A*Sens!$C$10548+w_B*Sens!$C$10588+w_C*Sens!$C$10628)</f>
        <v>341.325804575818</v>
      </c>
      <c r="D24" s="36" t="n">
        <f aca="false">C24-Val!$B$34</f>
        <v>12.4098492449128</v>
      </c>
      <c r="E24" s="35" t="n">
        <f aca="false">C24/Val!$B$34-1</f>
        <v>0.0377295447173667</v>
      </c>
      <c r="F24" s="1" t="s">
        <v>1089</v>
      </c>
    </row>
    <row r="25" customFormat="false" ht="17.15" hidden="false" customHeight="false" outlineLevel="0" collapsed="false">
      <c r="A25" s="0" t="s">
        <v>1090</v>
      </c>
      <c r="B25" s="1" t="s">
        <v>1088</v>
      </c>
      <c r="C25" s="5" t="n">
        <f aca="false">w_dcf*(w_A*Sens!$C$10644+w_B*Sens!$C$10684+w_C*Sens!$C$10724)+(1-w_dcf)*(w_A*Sens!$C$10668+w_B*Sens!$C$10708+w_C*Sens!$C$10748)</f>
        <v>318.724922601839</v>
      </c>
      <c r="D25" s="36" t="n">
        <f aca="false">C25-Val!$B$34</f>
        <v>-10.1910327290667</v>
      </c>
      <c r="E25" s="35" t="n">
        <f aca="false">C25/Val!$B$34-1</f>
        <v>-0.0309836983092353</v>
      </c>
      <c r="F25" s="11" t="s">
        <v>33</v>
      </c>
    </row>
    <row r="26" customFormat="false" ht="15" hidden="false" customHeight="false" outlineLevel="0" collapsed="false">
      <c r="A26" s="0" t="s">
        <v>1091</v>
      </c>
      <c r="B26" s="1" t="s">
        <v>1092</v>
      </c>
      <c r="C26" s="5" t="n">
        <f aca="false">w_dcf*(w_A*Sens!$C$10764+w_B*Sens!$C$10804+w_C*Sens!$C$10844)+(1-w_dcf)*(w_A*Sens!$C$10788+w_B*Sens!$C$10828+w_C*Sens!$C$10868)</f>
        <v>328.123475772378</v>
      </c>
      <c r="D26" s="36" t="n">
        <f aca="false">C26-Val!$B$34</f>
        <v>-0.792479558527361</v>
      </c>
      <c r="E26" s="35" t="n">
        <f aca="false">C26/Val!$B$34-1</f>
        <v>-0.00240936794242796</v>
      </c>
      <c r="F26" s="11" t="s">
        <v>33</v>
      </c>
    </row>
    <row r="27" customFormat="false" ht="15" hidden="false" customHeight="false" outlineLevel="0" collapsed="false">
      <c r="A27" s="0" t="s">
        <v>1093</v>
      </c>
      <c r="B27" s="1" t="s">
        <v>1092</v>
      </c>
      <c r="C27" s="5" t="n">
        <f aca="false">w_dcf*(w_A*Sens!$C$10884+w_B*Sens!$C$10924+w_C*Sens!$C$10964)+(1-w_dcf)*(w_A*Sens!$C$10908+w_B*Sens!$C$10948+w_C*Sens!$C$10988)</f>
        <v>329.708434889433</v>
      </c>
      <c r="D27" s="36" t="n">
        <f aca="false">C27-Val!$B$34</f>
        <v>0.792479558527418</v>
      </c>
      <c r="E27" s="35" t="n">
        <f aca="false">C27/Val!$B$34-1</f>
        <v>0.00240936794242819</v>
      </c>
      <c r="F27" s="11" t="s">
        <v>33</v>
      </c>
    </row>
    <row r="28" customFormat="false" ht="17.15" hidden="false" customHeight="false" outlineLevel="0" collapsed="false">
      <c r="A28" s="0" t="s">
        <v>1094</v>
      </c>
      <c r="B28" s="1" t="s">
        <v>1095</v>
      </c>
      <c r="C28" s="5" t="n">
        <f aca="false">w_dcf*(w_A*Sens!$C$11004+w_B*Sens!$C$11044+w_C*Sens!$C$11084)+(1-w_dcf)*(w_A*Sens!$C$11028+w_B*Sens!$C$11068+w_C*Sens!$C$11108)</f>
        <v>288.112318289367</v>
      </c>
      <c r="D28" s="36" t="n">
        <f aca="false">C28-Val!$B$34</f>
        <v>-40.8036370415381</v>
      </c>
      <c r="E28" s="35" t="n">
        <f aca="false">C28/Val!$B$34-1</f>
        <v>-0.124054903327774</v>
      </c>
      <c r="F28" s="1" t="s">
        <v>1096</v>
      </c>
    </row>
    <row r="29" customFormat="false" ht="17.15" hidden="false" customHeight="false" outlineLevel="0" collapsed="false">
      <c r="A29" s="0" t="s">
        <v>1097</v>
      </c>
      <c r="B29" s="1" t="s">
        <v>1095</v>
      </c>
      <c r="C29" s="5" t="n">
        <f aca="false">w_dcf*(w_A*Sens!$C$11124+w_B*Sens!$C$11164+w_C*Sens!$C$11204)+(1-w_dcf)*(w_A*Sens!$C$11148+w_B*Sens!$C$11188+w_C*Sens!$C$11228)</f>
        <v>369.719592372444</v>
      </c>
      <c r="D29" s="36" t="n">
        <f aca="false">C29-Val!$B$34</f>
        <v>40.8036370415382</v>
      </c>
      <c r="E29" s="35" t="n">
        <f aca="false">C29/Val!$B$34-1</f>
        <v>0.124054903327775</v>
      </c>
      <c r="F29" s="11" t="s">
        <v>33</v>
      </c>
    </row>
    <row r="31" customFormat="false" ht="17.15" hidden="false" customHeight="false" outlineLevel="0" collapsed="false">
      <c r="A31" s="3" t="s">
        <v>1098</v>
      </c>
    </row>
    <row r="32" customFormat="false" ht="17.15" hidden="false" customHeight="false" outlineLevel="0" collapsed="false">
      <c r="A32" s="4" t="s">
        <v>1099</v>
      </c>
      <c r="B32" s="4" t="s">
        <v>1100</v>
      </c>
      <c r="C32" s="4" t="s">
        <v>1041</v>
      </c>
      <c r="D32" s="4" t="s">
        <v>1042</v>
      </c>
      <c r="E32" s="4" t="s">
        <v>1043</v>
      </c>
      <c r="F32" s="4" t="s">
        <v>47</v>
      </c>
    </row>
    <row r="33" customFormat="false" ht="17.15" hidden="false" customHeight="false" outlineLevel="0" collapsed="false">
      <c r="A33" s="0" t="s">
        <v>1101</v>
      </c>
      <c r="B33" s="0" t="s">
        <v>1102</v>
      </c>
      <c r="C33" s="5" t="n">
        <f aca="false">w_dcf*(w_A*Val!$C$84+w_B*Val!$C$124+w_C*Sens!$C$11378)+(1-w_dcf)*(w_A*Val!$C$108+w_B*Val!$C$148+w_C*Sens!$C$11402)</f>
        <v>338.516865841582</v>
      </c>
      <c r="D33" s="36" t="n">
        <f aca="false">C33-Val!$B$34</f>
        <v>9.60091051067673</v>
      </c>
      <c r="E33" s="35" t="n">
        <f aca="false">C33/Val!$B$34-1</f>
        <v>0.0291895554322312</v>
      </c>
    </row>
    <row r="34" customFormat="false" ht="17.15" hidden="false" customHeight="false" outlineLevel="0" collapsed="false">
      <c r="A34" s="0" t="s">
        <v>1103</v>
      </c>
      <c r="B34" s="0" t="s">
        <v>1102</v>
      </c>
      <c r="C34" s="5" t="n">
        <f aca="false">w_dcf*(w_A*Val!$C$84+w_B*Val!$C$124+w_C*Sens!$C$11552)+(1-w_dcf)*(w_A*Val!$C$108+w_B*Val!$C$148+w_C*Sens!$C$11576)</f>
        <v>314.673182269671</v>
      </c>
      <c r="D34" s="36" t="n">
        <f aca="false">C34-Val!$B$34</f>
        <v>-14.2427730612342</v>
      </c>
      <c r="E34" s="35" t="n">
        <f aca="false">C34/Val!$B$34-1</f>
        <v>-0.0433021652808093</v>
      </c>
    </row>
    <row r="35" customFormat="false" ht="17.15" hidden="false" customHeight="false" outlineLevel="0" collapsed="false">
      <c r="A35" s="1" t="s">
        <v>1104</v>
      </c>
      <c r="B35" s="1" t="s">
        <v>1105</v>
      </c>
      <c r="C35" s="5" t="n">
        <f aca="false">w_dcf*(w_A*Sens!$C$11592+w_B*Sens!$C$11632+w_C*Sens!$C$11672)+(1-w_dcf)*(w_A*Sens!$C$11616+w_B*Sens!$C$11656+w_C*Sens!$C$11696)</f>
        <v>303.232214862343</v>
      </c>
      <c r="D35" s="36" t="n">
        <f aca="false">C35-Val!$B$34</f>
        <v>-25.6837404685624</v>
      </c>
      <c r="E35" s="35" t="n">
        <f aca="false">C35/Val!$B$34-1</f>
        <v>-0.078086027911669</v>
      </c>
    </row>
    <row r="36" customFormat="false" ht="17.15" hidden="false" customHeight="false" outlineLevel="0" collapsed="false">
      <c r="A36" s="1" t="s">
        <v>1106</v>
      </c>
      <c r="B36" s="1" t="s">
        <v>1105</v>
      </c>
      <c r="C36" s="5" t="n">
        <f aca="false">w_dcf*(w_A*Sens!$C$11712+w_B*Sens!$C$11752+w_C*Sens!$C$11792)+(1-w_dcf)*(w_A*Sens!$C$11736+w_B*Sens!$C$11776+w_C*Sens!$C$11816)</f>
        <v>389.014078460566</v>
      </c>
      <c r="D36" s="36" t="n">
        <f aca="false">C36-Val!$B$34</f>
        <v>60.0981231296609</v>
      </c>
      <c r="E36" s="35" t="n">
        <f aca="false">C36/Val!$B$34-1</f>
        <v>0.182715742899122</v>
      </c>
    </row>
    <row r="37" customFormat="false" ht="17.15" hidden="false" customHeight="false" outlineLevel="0" collapsed="false">
      <c r="A37" s="0" t="s">
        <v>1107</v>
      </c>
      <c r="B37" s="1" t="s">
        <v>1105</v>
      </c>
      <c r="C37" s="5" t="n">
        <f aca="false">w_dcf*(w_A*Sens!$C$11832+w_B*Sens!$C$11872+w_C*Sens!$C$11912)+(1-w_dcf)*(w_A*Sens!$C$11856+w_B*Sens!$C$11896+w_C*Sens!$C$11936)</f>
        <v>337.4960641478</v>
      </c>
      <c r="D37" s="36" t="n">
        <f aca="false">C37-Val!$B$34</f>
        <v>8.58010881689427</v>
      </c>
      <c r="E37" s="35" t="n">
        <f aca="false">C37/Val!$B$34-1</f>
        <v>0.0260860219087342</v>
      </c>
    </row>
    <row r="38" customFormat="false" ht="17.15" hidden="false" customHeight="false" outlineLevel="0" collapsed="false">
      <c r="A38" s="0" t="s">
        <v>1108</v>
      </c>
      <c r="B38" s="1" t="s">
        <v>1109</v>
      </c>
      <c r="C38" s="5" t="n">
        <f aca="false">0.3*Val!$B$13+0.7*Val!$B$30</f>
        <v>366.511680374276</v>
      </c>
      <c r="D38" s="36" t="n">
        <f aca="false">C38-Val!$B$34</f>
        <v>37.5957250433707</v>
      </c>
      <c r="E38" s="35" t="n">
        <f aca="false">C38/Val!$B$34-1</f>
        <v>0.114301919484409</v>
      </c>
    </row>
    <row r="39" customFormat="false" ht="17.15" hidden="false" customHeight="false" outlineLevel="0" collapsed="false">
      <c r="A39" s="0" t="s">
        <v>1110</v>
      </c>
      <c r="B39" s="1" t="s">
        <v>1109</v>
      </c>
      <c r="C39" s="5" t="n">
        <f aca="false">0.7*Val!$B$13+0.3*Val!$B$30</f>
        <v>291.320230287535</v>
      </c>
      <c r="D39" s="36" t="n">
        <f aca="false">C39-Val!$B$34</f>
        <v>-37.5957250433707</v>
      </c>
      <c r="E39" s="35" t="n">
        <f aca="false">C39/Val!$B$34-1</f>
        <v>-0.114301919484409</v>
      </c>
    </row>
    <row r="40" customFormat="false" ht="17.15" hidden="false" customHeight="false" outlineLevel="0" collapsed="false">
      <c r="A40" s="1" t="s">
        <v>1111</v>
      </c>
      <c r="B40" s="1" t="s">
        <v>1109</v>
      </c>
      <c r="C40" s="5" t="n">
        <f aca="false">w_dcf*(0.3*Val!$B$12+0.5*Val!$C$12+0.2*Val!$D$12)+(1-w_dcf)*(0.3*Val!$B$29+0.5*Val!$C$29+0.2*Val!$D$29)</f>
        <v>332.560823377527</v>
      </c>
      <c r="D40" s="36" t="n">
        <f aca="false">C40-Val!$B$34</f>
        <v>3.64486804662135</v>
      </c>
      <c r="E40" s="35" t="n">
        <f aca="false">C40/Val!$B$34-1</f>
        <v>0.0110814570942734</v>
      </c>
    </row>
    <row r="41" customFormat="false" ht="17.15" hidden="false" customHeight="false" outlineLevel="0" collapsed="false">
      <c r="A41" s="1" t="s">
        <v>1112</v>
      </c>
      <c r="B41" s="1" t="s">
        <v>1109</v>
      </c>
      <c r="C41" s="5" t="n">
        <f aca="false">Val!$C$42</f>
        <v>330.316150494476</v>
      </c>
      <c r="D41" s="36" t="n">
        <f aca="false">C41-Val!$B$34</f>
        <v>1.40019516357074</v>
      </c>
      <c r="E41" s="35" t="n">
        <f aca="false">C41/Val!$B$34-1</f>
        <v>0.00425699982283345</v>
      </c>
    </row>
    <row r="43" customFormat="false" ht="17.15" hidden="false" customHeight="false" outlineLevel="0" collapsed="false">
      <c r="A43" s="3" t="s">
        <v>1113</v>
      </c>
    </row>
    <row r="70" customFormat="false" ht="17.15" hidden="false" customHeight="false" outlineLevel="0" collapsed="false">
      <c r="A70" s="3" t="s">
        <v>1114</v>
      </c>
    </row>
    <row r="71" customFormat="false" ht="15" hidden="false" customHeight="false" outlineLevel="0" collapsed="false">
      <c r="A71" s="4" t="s">
        <v>43</v>
      </c>
      <c r="B71" s="4" t="s">
        <v>63</v>
      </c>
      <c r="C71" s="19" t="s">
        <v>710</v>
      </c>
      <c r="D71" s="19" t="s">
        <v>711</v>
      </c>
      <c r="E71" s="19" t="s">
        <v>712</v>
      </c>
      <c r="F71" s="19" t="s">
        <v>713</v>
      </c>
      <c r="G71" s="19" t="s">
        <v>714</v>
      </c>
      <c r="H71" s="19" t="s">
        <v>715</v>
      </c>
      <c r="I71" s="19" t="s">
        <v>716</v>
      </c>
      <c r="J71" s="19" t="s">
        <v>717</v>
      </c>
      <c r="K71" s="19" t="s">
        <v>718</v>
      </c>
      <c r="L71" s="4" t="s">
        <v>47</v>
      </c>
    </row>
    <row r="72" customFormat="false" ht="17.15" hidden="false" customHeight="false" outlineLevel="0" collapsed="false">
      <c r="A72" s="1" t="s">
        <v>719</v>
      </c>
      <c r="B72" s="0" t="s">
        <v>340</v>
      </c>
      <c r="C72" s="27" t="n">
        <f aca="false">mw_ext_24</f>
        <v>640</v>
      </c>
      <c r="D72" s="27" t="n">
        <f aca="false">mw_ext_25</f>
        <v>1630</v>
      </c>
      <c r="E72" s="27" t="n">
        <f aca="false">mw_ext_26</f>
        <v>3250</v>
      </c>
      <c r="F72" s="27" t="n">
        <f aca="false">MIN(1000000000,Sens!E72+pace)</f>
        <v>5777.2</v>
      </c>
      <c r="G72" s="27" t="n">
        <f aca="false">MIN(1000000000,Sens!F72+pace)</f>
        <v>8304.4</v>
      </c>
      <c r="H72" s="27" t="n">
        <f aca="false">MIN(1000000000,Sens!G72+pace)</f>
        <v>10831.6</v>
      </c>
      <c r="I72" s="27" t="n">
        <f aca="false">MIN(1000000000,Sens!H72+pace)</f>
        <v>13358.8</v>
      </c>
      <c r="J72" s="27" t="n">
        <f aca="false">MIN(1000000000,Sens!I72+pace)</f>
        <v>15886</v>
      </c>
      <c r="K72" s="27" t="n">
        <f aca="false">MIN(1000000000,Sens!J72+pace)</f>
        <v>18413.2</v>
      </c>
      <c r="L72" s="11" t="s">
        <v>720</v>
      </c>
    </row>
    <row r="73" customFormat="false" ht="17.15" hidden="false" customHeight="false" outlineLevel="0" collapsed="false">
      <c r="A73" s="1" t="s">
        <v>721</v>
      </c>
      <c r="B73" s="0" t="s">
        <v>340</v>
      </c>
      <c r="C73" s="27" t="n">
        <f aca="false">rent_ext_24</f>
        <v>150</v>
      </c>
      <c r="D73" s="27" t="n">
        <f aca="false">rent_ext_25</f>
        <v>400</v>
      </c>
      <c r="E73" s="27" t="n">
        <f aca="false">rent_ext_26</f>
        <v>550</v>
      </c>
      <c r="F73" s="27" t="n">
        <f aca="false">rent_ext_f</f>
        <v>756</v>
      </c>
      <c r="G73" s="27" t="n">
        <f aca="false">rent_ext_f</f>
        <v>756</v>
      </c>
      <c r="H73" s="27" t="n">
        <f aca="false">rent_ext_f</f>
        <v>756</v>
      </c>
      <c r="I73" s="27" t="n">
        <f aca="false">rent_ext_f</f>
        <v>756</v>
      </c>
      <c r="J73" s="27" t="n">
        <f aca="false">rent_ext_f</f>
        <v>756</v>
      </c>
      <c r="K73" s="27" t="n">
        <f aca="false">rent_ext_f</f>
        <v>756</v>
      </c>
      <c r="L73" s="1" t="s">
        <v>722</v>
      </c>
    </row>
    <row r="74" customFormat="false" ht="17.15" hidden="false" customHeight="false" outlineLevel="0" collapsed="false">
      <c r="A74" s="1" t="s">
        <v>723</v>
      </c>
      <c r="B74" s="0" t="s">
        <v>340</v>
      </c>
      <c r="C74" s="27" t="n">
        <f aca="false">Sens!C72-Sens!C73</f>
        <v>490</v>
      </c>
      <c r="D74" s="27" t="n">
        <f aca="false">Sens!D72-Sens!D73</f>
        <v>1230</v>
      </c>
      <c r="E74" s="27" t="n">
        <f aca="false">Sens!E72-Sens!E73</f>
        <v>2700</v>
      </c>
      <c r="F74" s="27" t="n">
        <f aca="false">Sens!F72-Sens!F73</f>
        <v>5021.2</v>
      </c>
      <c r="G74" s="27" t="n">
        <f aca="false">Sens!G72-Sens!G73</f>
        <v>7548.4</v>
      </c>
      <c r="H74" s="27" t="n">
        <f aca="false">Sens!H72-Sens!H73</f>
        <v>10075.6</v>
      </c>
      <c r="I74" s="27" t="n">
        <f aca="false">Sens!I72-Sens!I73</f>
        <v>12602.8</v>
      </c>
      <c r="J74" s="27" t="n">
        <f aca="false">Sens!J72-Sens!J73</f>
        <v>15130</v>
      </c>
      <c r="K74" s="27" t="n">
        <f aca="false">Sens!K72-Sens!K73</f>
        <v>17657.2</v>
      </c>
    </row>
    <row r="75" customFormat="false" ht="17.15" hidden="false" customHeight="false" outlineLevel="0" collapsed="false">
      <c r="A75" s="1" t="s">
        <v>724</v>
      </c>
      <c r="B75" s="0" t="s">
        <v>340</v>
      </c>
      <c r="C75" s="27" t="n">
        <f aca="false">Sens!C74/ext_sh</f>
        <v>816.666666666667</v>
      </c>
      <c r="D75" s="27" t="n">
        <f aca="false">Sens!D74/ext_sh</f>
        <v>2050</v>
      </c>
      <c r="E75" s="27" t="n">
        <f aca="false">Sens!E74/ext_sh</f>
        <v>4500</v>
      </c>
      <c r="F75" s="27" t="n">
        <f aca="false">Sens!F74/ext_sh</f>
        <v>8368.66666666667</v>
      </c>
      <c r="G75" s="27" t="n">
        <f aca="false">Sens!G74/ext_sh</f>
        <v>12580.6666666667</v>
      </c>
      <c r="H75" s="27" t="n">
        <f aca="false">Sens!H74/ext_sh</f>
        <v>16792.6666666667</v>
      </c>
      <c r="I75" s="27" t="n">
        <f aca="false">Sens!I74/ext_sh</f>
        <v>21004.6666666667</v>
      </c>
      <c r="J75" s="27" t="n">
        <f aca="false">Sens!J74/ext_sh</f>
        <v>25216.6666666667</v>
      </c>
      <c r="K75" s="27" t="n">
        <f aca="false">Sens!K74/ext_sh</f>
        <v>29428.6666666667</v>
      </c>
      <c r="L75" s="1" t="s">
        <v>725</v>
      </c>
    </row>
    <row r="76" customFormat="false" ht="17.15" hidden="false" customHeight="false" outlineLevel="0" collapsed="false">
      <c r="A76" s="1" t="s">
        <v>726</v>
      </c>
      <c r="B76" s="0" t="s">
        <v>340</v>
      </c>
      <c r="C76" s="27" t="n">
        <f aca="false">Sens!C75-Sens!C74</f>
        <v>326.666666666667</v>
      </c>
      <c r="D76" s="27" t="n">
        <f aca="false">Sens!D75-Sens!D74</f>
        <v>820</v>
      </c>
      <c r="E76" s="27" t="n">
        <f aca="false">Sens!E75-Sens!E74</f>
        <v>1800</v>
      </c>
      <c r="F76" s="27" t="n">
        <f aca="false">Sens!F75-Sens!F74</f>
        <v>3347.46666666667</v>
      </c>
      <c r="G76" s="27" t="n">
        <f aca="false">Sens!G75-Sens!G74</f>
        <v>5032.26666666667</v>
      </c>
      <c r="H76" s="27" t="n">
        <f aca="false">Sens!H75-Sens!H74</f>
        <v>6717.06666666667</v>
      </c>
      <c r="I76" s="27" t="n">
        <f aca="false">Sens!I75-Sens!I74</f>
        <v>8401.86666666667</v>
      </c>
      <c r="J76" s="27" t="n">
        <f aca="false">Sens!J75-Sens!J74</f>
        <v>10086.6666666667</v>
      </c>
      <c r="K76" s="27" t="n">
        <f aca="false">Sens!K75-Sens!K74</f>
        <v>11771.4666666667</v>
      </c>
    </row>
    <row r="77" customFormat="false" ht="17.15" hidden="false" customHeight="false" outlineLevel="0" collapsed="false">
      <c r="A77" s="1" t="s">
        <v>727</v>
      </c>
      <c r="B77" s="0" t="s">
        <v>340</v>
      </c>
      <c r="C77" s="27" t="n">
        <f aca="false">Sens!C75</f>
        <v>816.666666666667</v>
      </c>
      <c r="D77" s="27" t="n">
        <f aca="false">Sens!D75-Sens!C75</f>
        <v>1233.33333333333</v>
      </c>
      <c r="E77" s="27" t="n">
        <f aca="false">Sens!E75-Sens!D75</f>
        <v>2450</v>
      </c>
      <c r="F77" s="27" t="n">
        <f aca="false">Sens!F75-Sens!E75</f>
        <v>3868.66666666667</v>
      </c>
      <c r="G77" s="27" t="n">
        <f aca="false">Sens!G75-Sens!F75</f>
        <v>4212</v>
      </c>
      <c r="H77" s="27" t="n">
        <f aca="false">Sens!H75-Sens!G75</f>
        <v>4212</v>
      </c>
      <c r="I77" s="27" t="n">
        <f aca="false">Sens!I75-Sens!H75</f>
        <v>4212</v>
      </c>
      <c r="J77" s="27" t="n">
        <f aca="false">Sens!J75-Sens!I75</f>
        <v>4212</v>
      </c>
      <c r="K77" s="27" t="n">
        <f aca="false">Sens!K75-Sens!J75</f>
        <v>4212</v>
      </c>
    </row>
    <row r="78" customFormat="false" ht="17.15" hidden="false" customHeight="false" outlineLevel="0" collapsed="false">
      <c r="A78" s="1" t="s">
        <v>728</v>
      </c>
      <c r="B78" s="0" t="s">
        <v>340</v>
      </c>
      <c r="D78" s="27" t="n">
        <f aca="false">Sens!D72-Sens!C72</f>
        <v>990</v>
      </c>
      <c r="E78" s="27" t="n">
        <f aca="false">Sens!E72-Sens!D72</f>
        <v>1620</v>
      </c>
      <c r="F78" s="27" t="n">
        <f aca="false">Sens!F72-Sens!E72</f>
        <v>2527.2</v>
      </c>
      <c r="G78" s="27" t="n">
        <f aca="false">Sens!G72-Sens!F72</f>
        <v>2527.2</v>
      </c>
      <c r="H78" s="27" t="n">
        <f aca="false">Sens!H72-Sens!G72</f>
        <v>2527.2</v>
      </c>
      <c r="I78" s="27" t="n">
        <f aca="false">Sens!I72-Sens!H72</f>
        <v>2527.2</v>
      </c>
      <c r="J78" s="27" t="n">
        <f aca="false">Sens!J72-Sens!I72</f>
        <v>2527.2</v>
      </c>
      <c r="K78" s="27" t="n">
        <f aca="false">Sens!K72-Sens!J72</f>
        <v>2527.2</v>
      </c>
    </row>
    <row r="79" customFormat="false" ht="17.15" hidden="false" customHeight="false" outlineLevel="0" collapsed="false">
      <c r="A79" s="1" t="s">
        <v>729</v>
      </c>
      <c r="B79" s="0" t="s">
        <v>340</v>
      </c>
      <c r="C79" s="27" t="n">
        <f aca="false">mix_h*Sens!C72</f>
        <v>128</v>
      </c>
      <c r="D79" s="27" t="n">
        <f aca="false">mix_h*Sens!D72</f>
        <v>326</v>
      </c>
      <c r="E79" s="27" t="n">
        <f aca="false">mix_h*Sens!E72</f>
        <v>650</v>
      </c>
      <c r="F79" s="27" t="n">
        <f aca="false">Sens!E79</f>
        <v>650</v>
      </c>
      <c r="G79" s="27" t="n">
        <f aca="false">Sens!F79</f>
        <v>650</v>
      </c>
      <c r="H79" s="27" t="n">
        <f aca="false">Sens!G79</f>
        <v>650</v>
      </c>
      <c r="I79" s="27" t="n">
        <f aca="false">Sens!H79</f>
        <v>650</v>
      </c>
      <c r="J79" s="27" t="n">
        <f aca="false">Sens!I79</f>
        <v>650</v>
      </c>
      <c r="K79" s="27" t="n">
        <f aca="false">Sens!J79</f>
        <v>650</v>
      </c>
    </row>
    <row r="80" customFormat="false" ht="17.15" hidden="false" customHeight="false" outlineLevel="0" collapsed="false">
      <c r="A80" s="1" t="s">
        <v>730</v>
      </c>
      <c r="B80" s="0" t="s">
        <v>340</v>
      </c>
      <c r="C80" s="27" t="n">
        <f aca="false">mix_g2*Sens!C72</f>
        <v>288</v>
      </c>
      <c r="D80" s="27" t="n">
        <f aca="false">mix_g2*Sens!D72</f>
        <v>733.5</v>
      </c>
      <c r="E80" s="27" t="n">
        <f aca="false">mix_g2*Sens!E72</f>
        <v>1462.5</v>
      </c>
      <c r="F80" s="27" t="n">
        <f aca="false">Sens!E80</f>
        <v>1462.5</v>
      </c>
      <c r="G80" s="27" t="n">
        <f aca="false">Sens!F80</f>
        <v>1462.5</v>
      </c>
      <c r="H80" s="27" t="n">
        <f aca="false">Sens!G80</f>
        <v>1462.5</v>
      </c>
      <c r="I80" s="27" t="n">
        <f aca="false">Sens!H80</f>
        <v>1462.5</v>
      </c>
      <c r="J80" s="27" t="n">
        <f aca="false">Sens!I80</f>
        <v>1462.5</v>
      </c>
      <c r="K80" s="27" t="n">
        <f aca="false">Sens!J80</f>
        <v>1462.5</v>
      </c>
    </row>
    <row r="81" customFormat="false" ht="17.15" hidden="false" customHeight="false" outlineLevel="0" collapsed="false">
      <c r="A81" s="1" t="s">
        <v>731</v>
      </c>
      <c r="B81" s="0" t="s">
        <v>340</v>
      </c>
      <c r="C81" s="27" t="n">
        <f aca="false">mix_g3*Sens!C72</f>
        <v>224</v>
      </c>
      <c r="D81" s="27" t="n">
        <f aca="false">mix_g3*Sens!D72</f>
        <v>570.5</v>
      </c>
      <c r="E81" s="27" t="n">
        <f aca="false">mix_g3*Sens!E72</f>
        <v>1137.5</v>
      </c>
      <c r="F81" s="27" t="n">
        <f aca="false">Sens!E81+Sens!F78*a_g3_27</f>
        <v>2906.54</v>
      </c>
      <c r="G81" s="27" t="n">
        <f aca="false">Sens!F81+Sens!G78*a_g3_28</f>
        <v>3664.7</v>
      </c>
      <c r="H81" s="27" t="n">
        <f aca="false">Sens!G81+Sens!H78*a_g3_29</f>
        <v>3917.42</v>
      </c>
      <c r="I81" s="27" t="n">
        <f aca="false">Sens!H81+Sens!I78*a_g3_29</f>
        <v>4170.14</v>
      </c>
      <c r="J81" s="27" t="n">
        <f aca="false">Sens!I81+Sens!J78*a_g3_29</f>
        <v>4422.86</v>
      </c>
      <c r="K81" s="27" t="n">
        <f aca="false">Sens!J81+Sens!K78*a_g3_29</f>
        <v>4675.58</v>
      </c>
    </row>
    <row r="82" customFormat="false" ht="17.15" hidden="false" customHeight="false" outlineLevel="0" collapsed="false">
      <c r="A82" s="1" t="s">
        <v>732</v>
      </c>
      <c r="B82" s="0" t="s">
        <v>340</v>
      </c>
      <c r="C82" s="27" t="n">
        <f aca="false">0</f>
        <v>0</v>
      </c>
      <c r="D82" s="27" t="n">
        <f aca="false">0</f>
        <v>0</v>
      </c>
      <c r="E82" s="27" t="n">
        <f aca="false">0</f>
        <v>0</v>
      </c>
      <c r="F82" s="27" t="n">
        <f aca="false">Sens!E82+Sens!F78*(1-a_g3_27)</f>
        <v>758.16</v>
      </c>
      <c r="G82" s="27" t="n">
        <f aca="false">Sens!F82+Sens!G78*(1-a_g3_28)</f>
        <v>2527.2</v>
      </c>
      <c r="H82" s="27" t="n">
        <f aca="false">Sens!G82+Sens!H78*(1-a_g3_29)</f>
        <v>4801.68</v>
      </c>
      <c r="I82" s="27" t="n">
        <f aca="false">Sens!H82+Sens!I78*(1-a_g3_29)</f>
        <v>7076.16</v>
      </c>
      <c r="J82" s="27" t="n">
        <f aca="false">Sens!I82+Sens!J78*(1-a_g3_29)</f>
        <v>9350.64</v>
      </c>
      <c r="K82" s="27" t="n">
        <f aca="false">Sens!J82+Sens!K78*(1-a_g3_29)</f>
        <v>11625.12</v>
      </c>
    </row>
    <row r="83" customFormat="false" ht="17.15" hidden="false" customHeight="false" outlineLevel="0" collapsed="false">
      <c r="A83" s="1" t="s">
        <v>733</v>
      </c>
      <c r="B83" s="0" t="s">
        <v>291</v>
      </c>
      <c r="C83" s="18" t="n">
        <f aca="false">(Sens!C79*tk_hold_h100+Sens!C80*tk_hold_gb200+Sens!C81*tk_hold_gb300+Sens!C82*tk_hold_vr200)/Sens!C72</f>
        <v>9.7235358126469</v>
      </c>
      <c r="D83" s="18" t="n">
        <f aca="false">(Sens!D79*tk_hold_h100+Sens!D80*tk_hold_gb200+Sens!D81*tk_hold_gb300+Sens!D82*tk_hold_vr200)/Sens!D72</f>
        <v>9.7235358126469</v>
      </c>
      <c r="E83" s="18" t="n">
        <f aca="false">(Sens!E79*tk_hold_h100+Sens!E80*tk_hold_gb200+Sens!E81*tk_hold_gb300+Sens!E82*tk_hold_vr200)/Sens!E72</f>
        <v>9.7235358126469</v>
      </c>
      <c r="F83" s="18" t="n">
        <f aca="false">(Sens!F79*tk_hold_h100+Sens!F80*tk_hold_gb200+Sens!F81*tk_hold_gb300+Sens!F82*tk_hold_vr200)/Sens!F72</f>
        <v>10.4079573161931</v>
      </c>
      <c r="G83" s="18" t="n">
        <f aca="false">(Sens!G79*tk_hold_h100+Sens!G80*tk_hold_gb200+Sens!G81*tk_hold_gb300+Sens!G82*tk_hold_vr200)/Sens!G72</f>
        <v>10.8388131109316</v>
      </c>
      <c r="H83" s="18" t="n">
        <f aca="false">(Sens!H79*tk_hold_h100+Sens!H80*tk_hold_gb200+Sens!H81*tk_hold_gb300+Sens!H82*tk_hold_vr200)/Sens!H72</f>
        <v>11.1311018388216</v>
      </c>
      <c r="I83" s="18" t="n">
        <f aca="false">(Sens!I79*tk_hold_h100+Sens!I80*tk_hold_gb200+Sens!I81*tk_hold_gb300+Sens!I82*tk_hold_vr200)/Sens!I72</f>
        <v>11.3128009818501</v>
      </c>
      <c r="J83" s="18" t="n">
        <f aca="false">(Sens!J79*tk_hold_h100+Sens!J80*tk_hold_gb200+Sens!J81*tk_hold_gb300+Sens!J82*tk_hold_vr200)/Sens!J72</f>
        <v>11.4366894646418</v>
      </c>
      <c r="K83" s="18" t="n">
        <f aca="false">(Sens!K79*tk_hold_h100+Sens!K80*tk_hold_gb200+Sens!K81*tk_hold_gb300+Sens!K82*tk_hold_vr200)/Sens!K72</f>
        <v>11.526570716348</v>
      </c>
    </row>
    <row r="84" customFormat="false" ht="17.15" hidden="false" customHeight="false" outlineLevel="0" collapsed="false">
      <c r="A84" s="0" t="s">
        <v>734</v>
      </c>
      <c r="B84" s="0" t="s">
        <v>182</v>
      </c>
      <c r="C84" s="18" t="n">
        <f aca="false">k_B</f>
        <v>1.17213932619116</v>
      </c>
      <c r="D84" s="18" t="n">
        <f aca="false">k_B</f>
        <v>1.17213932619116</v>
      </c>
      <c r="E84" s="18" t="n">
        <f aca="false">k_B</f>
        <v>1.17213932619116</v>
      </c>
      <c r="F84" s="18" t="n">
        <f aca="false">(k_B+((ls_A*k_long+(1-ls_A)*k_spot)-k_B)*MIN(1,1/3))*0.85</f>
        <v>1.06269403911603</v>
      </c>
      <c r="G84" s="18" t="n">
        <f aca="false">(k_B+((ls_A*k_long+(1-ls_A)*k_spot)-k_B)*MIN(1,2/3))*0.85</f>
        <v>1.12906965096958</v>
      </c>
      <c r="H84" s="18" t="n">
        <f aca="false">(k_B+((ls_A*k_long+(1-ls_A)*k_spot)-k_B)*MIN(1,3/3))*0.85</f>
        <v>1.19544526282313</v>
      </c>
      <c r="I84" s="18" t="n">
        <f aca="false">(k_B+((ls_A*k_long+(1-ls_A)*k_spot)-k_B)*MIN(1,4/3))*0.85</f>
        <v>1.19544526282313</v>
      </c>
      <c r="J84" s="18" t="n">
        <f aca="false">(k_B+((ls_A*k_long+(1-ls_A)*k_spot)-k_B)*MIN(1,5/3))*0.85</f>
        <v>1.19544526282313</v>
      </c>
      <c r="K84" s="18" t="n">
        <f aca="false">(k_B+((ls_A*k_long+(1-ls_A)*k_spot)-k_B)*MIN(1,6/3))*0.85</f>
        <v>1.19544526282313</v>
      </c>
      <c r="L84" s="1" t="s">
        <v>735</v>
      </c>
    </row>
    <row r="85" customFormat="false" ht="17.15" hidden="false" customHeight="false" outlineLevel="0" collapsed="false">
      <c r="A85" s="1" t="s">
        <v>736</v>
      </c>
      <c r="B85" s="0" t="s">
        <v>291</v>
      </c>
      <c r="C85" s="18" t="n">
        <f aca="false">Sens!C83*Sens!C84*chip_f</f>
        <v>11.3973387156315</v>
      </c>
      <c r="D85" s="18" t="n">
        <f aca="false">Sens!D83*Sens!D84*chip_f</f>
        <v>11.3973387156315</v>
      </c>
      <c r="E85" s="18" t="n">
        <f aca="false">Sens!E83*Sens!E84*chip_f</f>
        <v>11.3973387156315</v>
      </c>
      <c r="F85" s="18" t="n">
        <f aca="false">Sens!F83*Sens!F84*chip_f</f>
        <v>11.0604741992925</v>
      </c>
      <c r="G85" s="18" t="n">
        <f aca="false">Sens!G83*Sens!G84*chip_f</f>
        <v>12.237774936084</v>
      </c>
      <c r="H85" s="18" t="n">
        <f aca="false">Sens!H83*Sens!H84*chip_f</f>
        <v>13.306622963221</v>
      </c>
      <c r="I85" s="18" t="n">
        <f aca="false">Sens!I83*Sens!I84*chip_f</f>
        <v>13.5238343430135</v>
      </c>
      <c r="J85" s="18" t="n">
        <f aca="false">Sens!J83*Sens!J84*chip_f</f>
        <v>13.6719362428851</v>
      </c>
      <c r="K85" s="18" t="n">
        <f aca="false">Sens!K83*Sens!K84*chip_f</f>
        <v>13.779384359454</v>
      </c>
      <c r="L85" s="1" t="s">
        <v>737</v>
      </c>
    </row>
    <row r="86" customFormat="false" ht="17.15" hidden="false" customHeight="false" outlineLevel="0" collapsed="false">
      <c r="A86" s="0" t="s">
        <v>738</v>
      </c>
      <c r="B86" s="0" t="s">
        <v>95</v>
      </c>
      <c r="D86" s="6" t="n">
        <f aca="false">(Sens!C72+Sens!D72)/2*Sens!D85/1000</f>
        <v>12.9359794422418</v>
      </c>
      <c r="E86" s="6" t="n">
        <f aca="false">(Sens!D72+Sens!E72)/2*Sens!E85/1000</f>
        <v>27.8095064661409</v>
      </c>
      <c r="F86" s="6" t="n">
        <f aca="false">(Sens!E72+Sens!F72)/2*Sens!F85/1000</f>
        <v>49.9225563459265</v>
      </c>
      <c r="G86" s="6" t="n">
        <f aca="false">(Sens!F72+Sens!G72)/2*Sens!G85/1000</f>
        <v>86.16372576998</v>
      </c>
      <c r="H86" s="6" t="n">
        <f aca="false">(Sens!G72+Sens!H72)/2*Sens!H85/1000</f>
        <v>127.317768512099</v>
      </c>
      <c r="I86" s="6" t="n">
        <f aca="false">(Sens!H72+Sens!I72)/2*Sens!I85/1000</f>
        <v>163.573481145617</v>
      </c>
      <c r="J86" s="6" t="n">
        <f aca="false">(Sens!I72+Sens!J72)/2*Sens!J85/1000</f>
        <v>199.916520517964</v>
      </c>
      <c r="K86" s="6" t="n">
        <f aca="false">(Sens!J72+Sens!K72)/2*Sens!K85/1000</f>
        <v>236.310930010892</v>
      </c>
      <c r="L86" s="11" t="s">
        <v>739</v>
      </c>
    </row>
    <row r="87" customFormat="false" ht="17.15" hidden="false" customHeight="false" outlineLevel="0" collapsed="false">
      <c r="A87" s="1" t="s">
        <v>740</v>
      </c>
      <c r="B87" s="0" t="s">
        <v>291</v>
      </c>
      <c r="C87" s="18" t="n">
        <f aca="false">(Sens!C79*tk_opex_h100+Sens!C80*tk_opex_gb200+Sens!C81*tk_opex_gb300+Sens!C82*tk_opex_vr200)/Sens!C72</f>
        <v>1.88636041306092</v>
      </c>
      <c r="D87" s="18" t="n">
        <f aca="false">(Sens!D79*tk_opex_h100+Sens!D80*tk_opex_gb200+Sens!D81*tk_opex_gb300+Sens!D82*tk_opex_vr200)/Sens!D72</f>
        <v>1.88636041306092</v>
      </c>
      <c r="E87" s="18" t="n">
        <f aca="false">(Sens!E79*tk_opex_h100+Sens!E80*tk_opex_gb200+Sens!E81*tk_opex_gb300+Sens!E82*tk_opex_vr200)/Sens!E72</f>
        <v>1.88636041306092</v>
      </c>
      <c r="F87" s="18" t="n">
        <f aca="false">(Sens!F79*tk_opex_h100+Sens!F80*tk_opex_gb200+Sens!F81*tk_opex_gb300+Sens!F82*tk_opex_vr200)/Sens!F72</f>
        <v>1.9430236476499</v>
      </c>
      <c r="G87" s="18" t="n">
        <f aca="false">(Sens!G79*tk_opex_h100+Sens!G80*tk_opex_gb200+Sens!G81*tk_opex_gb300+Sens!G82*tk_opex_vr200)/Sens!G72</f>
        <v>1.9786941852423</v>
      </c>
      <c r="H87" s="18" t="n">
        <f aca="false">(Sens!H79*tk_opex_h100+Sens!H80*tk_opex_gb200+Sens!H81*tk_opex_gb300+Sens!H82*tk_opex_vr200)/Sens!H72</f>
        <v>2.00289275976156</v>
      </c>
      <c r="I87" s="18" t="n">
        <f aca="false">(Sens!I79*tk_opex_h100+Sens!I80*tk_opex_gb200+Sens!I81*tk_opex_gb300+Sens!I82*tk_opex_vr200)/Sens!I72</f>
        <v>2.01793562605478</v>
      </c>
      <c r="J87" s="18" t="n">
        <f aca="false">(Sens!J79*tk_opex_h100+Sens!J80*tk_opex_gb200+Sens!J81*tk_opex_gb300+Sens!J82*tk_opex_vr200)/Sens!J72</f>
        <v>2.02819234961902</v>
      </c>
      <c r="K87" s="18" t="n">
        <f aca="false">(Sens!K79*tk_opex_h100+Sens!K80*tk_opex_gb200+Sens!K81*tk_opex_gb300+Sens!K82*tk_opex_vr200)/Sens!K72</f>
        <v>2.0356336155994</v>
      </c>
    </row>
    <row r="88" customFormat="false" ht="17.15" hidden="false" customHeight="false" outlineLevel="0" collapsed="false">
      <c r="A88" s="0" t="s">
        <v>741</v>
      </c>
      <c r="B88" s="0" t="s">
        <v>95</v>
      </c>
      <c r="D88" s="6" t="n">
        <f aca="false">(Sens!C75+Sens!D75)/2*Sens!D87/1000</f>
        <v>2.70378325872065</v>
      </c>
      <c r="E88" s="6" t="n">
        <f aca="false">(Sens!D75+Sens!E75)/2*Sens!E87/1000</f>
        <v>6.17783035277451</v>
      </c>
      <c r="F88" s="6" t="n">
        <f aca="false">(Sens!E75+Sens!F75)/2*Sens!F87/1000</f>
        <v>12.5020618235287</v>
      </c>
      <c r="G88" s="6" t="n">
        <f aca="false">(Sens!F75+Sens!G75)/2*Sens!G87/1000</f>
        <v>20.7261620256847</v>
      </c>
      <c r="H88" s="6" t="n">
        <f aca="false">(Sens!G75+Sens!H75)/2*Sens!H87/1000</f>
        <v>29.4158183316982</v>
      </c>
      <c r="I88" s="6" t="n">
        <f aca="false">(Sens!H75+Sens!I75)/2*Sens!I87/1000</f>
        <v>38.1362927516005</v>
      </c>
      <c r="J88" s="6" t="n">
        <f aca="false">(Sens!I75+Sens!J75)/2*Sens!J87/1000</f>
        <v>46.8728773279286</v>
      </c>
      <c r="K88" s="6" t="n">
        <f aca="false">(Sens!J75+Sens!K75)/2*Sens!K87/1000</f>
        <v>55.618938734484</v>
      </c>
    </row>
    <row r="89" customFormat="false" ht="17.15" hidden="false" customHeight="false" outlineLevel="0" collapsed="false">
      <c r="A89" s="0" t="s">
        <v>742</v>
      </c>
      <c r="B89" s="0" t="s">
        <v>95</v>
      </c>
      <c r="D89" s="6" t="n">
        <f aca="false">(Sens!C73+Sens!D73)/2*rent_mw/1000</f>
        <v>2.44475</v>
      </c>
      <c r="E89" s="6" t="n">
        <f aca="false">(Sens!D73+Sens!E73)/2*rent_mw/1000</f>
        <v>4.22275</v>
      </c>
      <c r="F89" s="6" t="n">
        <f aca="false">(Sens!E73+Sens!F73)/2*rent_mw/1000</f>
        <v>5.80517</v>
      </c>
      <c r="G89" s="6" t="n">
        <f aca="false">(Sens!F73+Sens!G73)/2*rent_mw/1000</f>
        <v>6.72084</v>
      </c>
      <c r="H89" s="6" t="n">
        <f aca="false">(Sens!G73+Sens!H73)/2*rent_mw/1000</f>
        <v>6.72084</v>
      </c>
      <c r="I89" s="6" t="n">
        <f aca="false">(Sens!H73+Sens!I73)/2*rent_mw/1000</f>
        <v>6.72084</v>
      </c>
      <c r="J89" s="6" t="n">
        <f aca="false">(Sens!I73+Sens!J73)/2*rent_mw/1000</f>
        <v>6.72084</v>
      </c>
      <c r="K89" s="6" t="n">
        <f aca="false">(Sens!J73+Sens!K73)/2*rent_mw/1000</f>
        <v>6.72084</v>
      </c>
    </row>
    <row r="90" customFormat="false" ht="17.15" hidden="false" customHeight="false" outlineLevel="0" collapsed="false">
      <c r="A90" s="0" t="s">
        <v>743</v>
      </c>
      <c r="B90" s="0" t="s">
        <v>95</v>
      </c>
      <c r="D90" s="6" t="n">
        <f aca="false">(Sens!C75+Sens!D75)/2*(1-self_build)*fac_rent/1000</f>
        <v>0.853242375631075</v>
      </c>
      <c r="E90" s="6" t="n">
        <f aca="false">(Sens!D75+Sens!E75)/2*(1-self_build)*fac_rent/1000</f>
        <v>1.94955961408728</v>
      </c>
      <c r="F90" s="6" t="n">
        <f aca="false">(Sens!E75+Sens!F75)/2*(1-self_build)*fac_rent/1000</f>
        <v>3.83026455274573</v>
      </c>
      <c r="G90" s="6" t="n">
        <f aca="false">(Sens!F75+Sens!G75)/2*(1-self_build)*fac_rent/1000</f>
        <v>6.23541590972812</v>
      </c>
      <c r="H90" s="6" t="n">
        <f aca="false">(Sens!G75+Sens!H75)/2*(1-self_build)*fac_rent/1000</f>
        <v>8.74275792332679</v>
      </c>
      <c r="I90" s="6" t="n">
        <f aca="false">(Sens!H75+Sens!I75)/2*(1-self_build)*fac_rent/1000</f>
        <v>11.2500999369255</v>
      </c>
      <c r="J90" s="6" t="n">
        <f aca="false">(Sens!I75+Sens!J75)/2*(1-self_build)*fac_rent/1000</f>
        <v>13.7574419505241</v>
      </c>
      <c r="K90" s="6" t="n">
        <f aca="false">(Sens!J75+Sens!K75)/2*(1-self_build)*fac_rent/1000</f>
        <v>16.2647839641228</v>
      </c>
      <c r="L90" s="11" t="s">
        <v>744</v>
      </c>
    </row>
    <row r="91" customFormat="false" ht="17.15" hidden="false" customHeight="false" outlineLevel="0" collapsed="false">
      <c r="A91" s="1" t="s">
        <v>745</v>
      </c>
      <c r="B91" s="0" t="s">
        <v>126</v>
      </c>
      <c r="D91" s="7" t="n">
        <f aca="false">(Sens!C74+Sens!D74)/(Sens!C75+Sens!D75)</f>
        <v>0.6</v>
      </c>
      <c r="E91" s="7" t="n">
        <f aca="false">(Sens!D74+Sens!E74)/(Sens!D75+Sens!E75)</f>
        <v>0.6</v>
      </c>
      <c r="F91" s="7" t="n">
        <f aca="false">(Sens!E74+Sens!F74)/(Sens!E75+Sens!F75)</f>
        <v>0.6</v>
      </c>
      <c r="G91" s="7" t="n">
        <f aca="false">(Sens!F74+Sens!G74)/(Sens!F75+Sens!G75)</f>
        <v>0.6</v>
      </c>
      <c r="H91" s="7" t="n">
        <f aca="false">(Sens!G74+Sens!H74)/(Sens!G75+Sens!H75)</f>
        <v>0.6</v>
      </c>
      <c r="I91" s="7" t="n">
        <f aca="false">(Sens!H74+Sens!I74)/(Sens!H75+Sens!I75)</f>
        <v>0.6</v>
      </c>
      <c r="J91" s="7" t="n">
        <f aca="false">(Sens!I74+Sens!J74)/(Sens!I75+Sens!J75)</f>
        <v>0.6</v>
      </c>
      <c r="K91" s="7" t="n">
        <f aca="false">(Sens!J74+Sens!K74)/(Sens!J75+Sens!K75)</f>
        <v>0.6</v>
      </c>
    </row>
    <row r="92" customFormat="false" ht="17.15" hidden="false" customHeight="false" outlineLevel="0" collapsed="false">
      <c r="A92" s="0" t="s">
        <v>746</v>
      </c>
      <c r="B92" s="0" t="s">
        <v>95</v>
      </c>
      <c r="D92" s="6" t="n">
        <f aca="false">Sens!D86-Sens!D91*(Sens!D88+Sens!D90)-Sens!D89</f>
        <v>8.35701406163072</v>
      </c>
      <c r="E92" s="6" t="n">
        <f aca="false">Sens!E86-Sens!E91*(Sens!E88+Sens!E90)-Sens!E89</f>
        <v>18.7103224860238</v>
      </c>
      <c r="F92" s="6" t="n">
        <f aca="false">Sens!F86-Sens!F91*(Sens!F88+Sens!F90)-Sens!F89</f>
        <v>34.3179905201618</v>
      </c>
      <c r="G92" s="6" t="n">
        <f aca="false">Sens!G86-Sens!G91*(Sens!G88+Sens!G90)-Sens!G89</f>
        <v>63.2659390087323</v>
      </c>
      <c r="H92" s="6" t="n">
        <f aca="false">Sens!H86-Sens!H91*(Sens!H88+Sens!H90)-Sens!H89</f>
        <v>97.7017827590837</v>
      </c>
      <c r="I92" s="6" t="n">
        <f aca="false">Sens!I86-Sens!I91*(Sens!I88+Sens!I90)-Sens!I89</f>
        <v>127.220805532502</v>
      </c>
      <c r="J92" s="6" t="n">
        <f aca="false">Sens!J86-Sens!J91*(Sens!J88+Sens!J90)-Sens!J89</f>
        <v>156.817488950892</v>
      </c>
      <c r="K92" s="6" t="n">
        <f aca="false">Sens!K86-Sens!K91*(Sens!K88+Sens!K90)-Sens!K89</f>
        <v>186.459856391728</v>
      </c>
    </row>
    <row r="93" customFormat="false" ht="17.15" hidden="false" customHeight="false" outlineLevel="0" collapsed="false">
      <c r="A93" s="1" t="s">
        <v>747</v>
      </c>
      <c r="B93" s="0" t="s">
        <v>95</v>
      </c>
      <c r="D93" s="6" t="n">
        <f aca="false">(1-Sens!D91)*(Sens!D88+Sens!D90)</f>
        <v>1.42281025374069</v>
      </c>
      <c r="E93" s="6" t="n">
        <f aca="false">(1-Sens!E91)*(Sens!E88+Sens!E90)</f>
        <v>3.25095598674472</v>
      </c>
      <c r="F93" s="6" t="n">
        <f aca="false">(1-Sens!F91)*(Sens!F88+Sens!F90)</f>
        <v>6.53293055050977</v>
      </c>
      <c r="G93" s="6" t="n">
        <f aca="false">(1-Sens!G91)*(Sens!G88+Sens!G90)</f>
        <v>10.7846311741651</v>
      </c>
      <c r="H93" s="6" t="n">
        <f aca="false">(1-Sens!H91)*(Sens!H88+Sens!H90)</f>
        <v>15.26343050201</v>
      </c>
      <c r="I93" s="6" t="n">
        <f aca="false">(1-Sens!I91)*(Sens!I88+Sens!I90)</f>
        <v>19.7545570754104</v>
      </c>
      <c r="J93" s="6" t="n">
        <f aca="false">(1-Sens!J91)*(Sens!J88+Sens!J90)</f>
        <v>24.2521277113811</v>
      </c>
      <c r="K93" s="6" t="n">
        <f aca="false">(1-Sens!K91)*(Sens!K88+Sens!K90)</f>
        <v>28.7534890794427</v>
      </c>
    </row>
    <row r="94" customFormat="false" ht="17.15" hidden="false" customHeight="false" outlineLevel="0" collapsed="false">
      <c r="A94" s="1" t="s">
        <v>748</v>
      </c>
      <c r="B94" s="0" t="s">
        <v>302</v>
      </c>
      <c r="C94" s="8" t="n">
        <f aca="false">cxit_open</f>
        <v>27.5918995</v>
      </c>
      <c r="D94" s="8" t="n">
        <f aca="false">cxit_open</f>
        <v>27.5918995</v>
      </c>
      <c r="E94" s="8" t="n">
        <f aca="false">cxit_open</f>
        <v>27.5918995</v>
      </c>
      <c r="F94" s="8" t="n">
        <f aca="false">(a_g3_27*tk_cxit_gb300+(1-a_g3_27)*tk_cxit_vr200)</f>
        <v>33.8419624</v>
      </c>
      <c r="G94" s="8" t="n">
        <f aca="false">(a_g3_28*tk_cxit_gb300+(1-a_g3_28)*tk_cxit_vr200)</f>
        <v>35.9816136</v>
      </c>
      <c r="H94" s="8" t="n">
        <f aca="false">(a_g3_29*tk_cxit_gb300+(1-a_g3_29)*tk_cxit_vr200)</f>
        <v>37.0514392</v>
      </c>
      <c r="I94" s="8" t="n">
        <f aca="false">(a_g3_29*tk_cxit_gb300+(1-a_g3_29)*tk_cxit_vr200)</f>
        <v>37.0514392</v>
      </c>
      <c r="J94" s="8" t="n">
        <f aca="false">(a_g3_29*tk_cxit_gb300+(1-a_g3_29)*tk_cxit_vr200)</f>
        <v>37.0514392</v>
      </c>
      <c r="K94" s="8" t="n">
        <f aca="false">(a_g3_29*tk_cxit_gb300+(1-a_g3_29)*tk_cxit_vr200)</f>
        <v>37.0514392</v>
      </c>
      <c r="L94" s="11" t="s">
        <v>749</v>
      </c>
    </row>
    <row r="95" customFormat="false" ht="17.15" hidden="false" customHeight="false" outlineLevel="0" collapsed="false">
      <c r="A95" s="0" t="s">
        <v>750</v>
      </c>
      <c r="B95" s="0" t="s">
        <v>340</v>
      </c>
      <c r="F95" s="27" t="n">
        <f aca="false">Sens!C77*IF(3=life_it,1,0)+Sens!D77*IF(2=life_it,1,0)+Sens!E77*IF(1=life_it,1,0)</f>
        <v>0</v>
      </c>
      <c r="G95" s="27" t="n">
        <f aca="false">Sens!C77*IF(4=life_it,1,0)+Sens!D77*IF(3=life_it,1,0)+Sens!E77*IF(2=life_it,1,0)+Sens!F77*IF(1=life_it,1,0)</f>
        <v>0</v>
      </c>
      <c r="H95" s="27" t="n">
        <f aca="false">Sens!C77*IF(5=life_it,1,0)+Sens!D77*IF(4=life_it,1,0)+Sens!E77*IF(3=life_it,1,0)+Sens!F77*IF(2=life_it,1,0)+Sens!G77*IF(1=life_it,1,0)</f>
        <v>0</v>
      </c>
      <c r="I95" s="27" t="n">
        <f aca="false">Sens!C77*IF(6=life_it,1,0)+Sens!D77*IF(5=life_it,1,0)+Sens!E77*IF(4=life_it,1,0)+Sens!F77*IF(3=life_it,1,0)+Sens!G77*IF(2=life_it,1,0)+Sens!H77*IF(1=life_it,1,0)</f>
        <v>816.666666666667</v>
      </c>
      <c r="J95" s="27" t="n">
        <f aca="false">Sens!C77*IF(7=life_it,1,0)+Sens!D77*IF(6=life_it,1,0)+Sens!E77*IF(5=life_it,1,0)+Sens!F77*IF(4=life_it,1,0)+Sens!G77*IF(3=life_it,1,0)+Sens!H77*IF(2=life_it,1,0)+Sens!I77*IF(1=life_it,1,0)</f>
        <v>1233.33333333333</v>
      </c>
      <c r="K95" s="27" t="n">
        <f aca="false">Sens!C77*IF(8=life_it,1,0)+Sens!D77*IF(7=life_it,1,0)+Sens!E77*IF(6=life_it,1,0)+Sens!F77*IF(5=life_it,1,0)+Sens!G77*IF(4=life_it,1,0)+Sens!H77*IF(3=life_it,1,0)+Sens!I77*IF(2=life_it,1,0)+Sens!J77*IF(1=life_it,1,0)</f>
        <v>2450</v>
      </c>
      <c r="L95" s="1" t="s">
        <v>751</v>
      </c>
    </row>
    <row r="96" customFormat="false" ht="17.15" hidden="false" customHeight="false" outlineLevel="0" collapsed="false">
      <c r="A96" s="0" t="s">
        <v>752</v>
      </c>
      <c r="B96" s="0" t="s">
        <v>95</v>
      </c>
      <c r="C96" s="6" t="n">
        <f aca="false">Sens!C77*Sens!C94/1000</f>
        <v>22.5333845916667</v>
      </c>
      <c r="D96" s="6" t="n">
        <f aca="false">Sens!D77*Sens!D94/1000</f>
        <v>34.0300093833333</v>
      </c>
      <c r="E96" s="6" t="n">
        <f aca="false">Sens!E77*Sens!E94/1000</f>
        <v>67.600153775</v>
      </c>
      <c r="F96" s="6" t="n">
        <f aca="false">(Sens!F77+Sens!F95)*Sens!F94/1000</f>
        <v>130.923271871467</v>
      </c>
      <c r="G96" s="6" t="n">
        <f aca="false">(Sens!G77+Sens!G95)*Sens!G94/1000</f>
        <v>151.5545564832</v>
      </c>
      <c r="H96" s="6" t="n">
        <f aca="false">(Sens!H77+Sens!H95)*Sens!H94/1000</f>
        <v>156.0606619104</v>
      </c>
      <c r="I96" s="6" t="n">
        <f aca="false">(Sens!I77+Sens!I95)*Sens!I94/1000</f>
        <v>186.319337257067</v>
      </c>
      <c r="J96" s="6" t="n">
        <f aca="false">(Sens!J77+Sens!J95)*Sens!J94/1000</f>
        <v>201.757436923733</v>
      </c>
      <c r="K96" s="6" t="n">
        <f aca="false">(Sens!K77+Sens!K95)*Sens!K94/1000</f>
        <v>246.8366879504</v>
      </c>
    </row>
    <row r="97" customFormat="false" ht="17.15" hidden="false" customHeight="false" outlineLevel="0" collapsed="false">
      <c r="A97" s="0" t="s">
        <v>753</v>
      </c>
      <c r="B97" s="0" t="s">
        <v>95</v>
      </c>
      <c r="C97" s="6" t="n">
        <f aca="false">Sens!C77*self_build*tk_cxfac/1000</f>
        <v>6.2083</v>
      </c>
      <c r="D97" s="6" t="n">
        <f aca="false">Sens!D77*self_build*tk_cxfac/1000</f>
        <v>9.3758</v>
      </c>
      <c r="E97" s="6" t="n">
        <f aca="false">Sens!E77*self_build*tk_cxfac/1000</f>
        <v>18.6249</v>
      </c>
      <c r="F97" s="6" t="n">
        <f aca="false">Sens!F77*self_build*tk_cxfac/1000</f>
        <v>29.409604</v>
      </c>
      <c r="G97" s="6" t="n">
        <f aca="false">Sens!G77*self_build*tk_cxfac/1000</f>
        <v>32.019624</v>
      </c>
      <c r="H97" s="6" t="n">
        <f aca="false">Sens!H77*self_build*tk_cxfac/1000</f>
        <v>32.019624</v>
      </c>
      <c r="I97" s="6" t="n">
        <f aca="false">Sens!I77*self_build*tk_cxfac/1000</f>
        <v>32.019624</v>
      </c>
      <c r="J97" s="6" t="n">
        <f aca="false">Sens!J77*self_build*tk_cxfac/1000</f>
        <v>32.019624</v>
      </c>
      <c r="K97" s="6" t="n">
        <f aca="false">Sens!K77*self_build*tk_cxfac/1000</f>
        <v>32.019624</v>
      </c>
    </row>
    <row r="98" customFormat="false" ht="17.15" hidden="false" customHeight="false" outlineLevel="0" collapsed="false">
      <c r="A98" s="0" t="s">
        <v>754</v>
      </c>
      <c r="B98" s="0" t="s">
        <v>95</v>
      </c>
      <c r="F98" s="6" t="n">
        <f aca="false">MAX(0,capex_floor27-Sens!F96-Sens!F97-Sens!F185)</f>
        <v>8.13777689897088</v>
      </c>
      <c r="G98" s="6" t="n">
        <f aca="false">0</f>
        <v>0</v>
      </c>
      <c r="H98" s="6" t="n">
        <f aca="false">0</f>
        <v>0</v>
      </c>
      <c r="I98" s="6" t="n">
        <f aca="false">0</f>
        <v>0</v>
      </c>
      <c r="J98" s="6" t="n">
        <f aca="false">0</f>
        <v>0</v>
      </c>
      <c r="K98" s="6" t="n">
        <f aca="false">0</f>
        <v>0</v>
      </c>
      <c r="L98" s="1" t="s">
        <v>755</v>
      </c>
    </row>
    <row r="99" customFormat="false" ht="17.15" hidden="false" customHeight="false" outlineLevel="0" collapsed="false">
      <c r="A99" s="0" t="s">
        <v>756</v>
      </c>
      <c r="B99" s="0" t="s">
        <v>95</v>
      </c>
      <c r="C99" s="6" t="n">
        <f aca="false">Sens!C96</f>
        <v>22.5333845916667</v>
      </c>
      <c r="D99" s="6" t="n">
        <f aca="false">Sens!D96</f>
        <v>34.0300093833333</v>
      </c>
      <c r="E99" s="6" t="n">
        <f aca="false">Sens!E96</f>
        <v>67.600153775</v>
      </c>
      <c r="F99" s="6" t="n">
        <f aca="false">Sens!F96+Sens!F98</f>
        <v>139.061048770438</v>
      </c>
      <c r="G99" s="6" t="n">
        <f aca="false">Sens!G96+Sens!G98</f>
        <v>151.5545564832</v>
      </c>
      <c r="H99" s="6" t="n">
        <f aca="false">Sens!H96+Sens!H98</f>
        <v>156.0606619104</v>
      </c>
      <c r="I99" s="6" t="n">
        <f aca="false">Sens!I96+Sens!I98</f>
        <v>186.319337257067</v>
      </c>
      <c r="J99" s="6" t="n">
        <f aca="false">Sens!J96+Sens!J98</f>
        <v>201.757436923733</v>
      </c>
      <c r="K99" s="6" t="n">
        <f aca="false">Sens!K96+Sens!K98</f>
        <v>246.8366879504</v>
      </c>
    </row>
    <row r="100" customFormat="false" ht="17.15" hidden="false" customHeight="false" outlineLevel="0" collapsed="false">
      <c r="A100" s="0" t="s">
        <v>757</v>
      </c>
      <c r="B100" s="0" t="s">
        <v>95</v>
      </c>
      <c r="C100" s="6" t="n">
        <f aca="false">Sens!C99+Sens!C97</f>
        <v>28.7416845916667</v>
      </c>
      <c r="D100" s="6" t="n">
        <f aca="false">Sens!D99+Sens!D97</f>
        <v>43.4058093833333</v>
      </c>
      <c r="E100" s="6" t="n">
        <f aca="false">Sens!E99+Sens!E97</f>
        <v>86.225053775</v>
      </c>
      <c r="F100" s="6" t="n">
        <f aca="false">Sens!F99+Sens!F97</f>
        <v>168.470652770438</v>
      </c>
      <c r="G100" s="6" t="n">
        <f aca="false">Sens!G99+Sens!G97</f>
        <v>183.5741804832</v>
      </c>
      <c r="H100" s="6" t="n">
        <f aca="false">Sens!H99+Sens!H97</f>
        <v>188.0802859104</v>
      </c>
      <c r="I100" s="6" t="n">
        <f aca="false">Sens!I99+Sens!I97</f>
        <v>218.338961257067</v>
      </c>
      <c r="J100" s="6" t="n">
        <f aca="false">Sens!J99+Sens!J97</f>
        <v>233.777060923733</v>
      </c>
      <c r="K100" s="6" t="n">
        <f aca="false">Sens!K99+Sens!K97</f>
        <v>278.8563119504</v>
      </c>
      <c r="L100" s="11" t="s">
        <v>758</v>
      </c>
    </row>
    <row r="101" customFormat="false" ht="17.15" hidden="false" customHeight="false" outlineLevel="0" collapsed="false">
      <c r="A101" s="0" t="s">
        <v>759</v>
      </c>
      <c r="B101" s="0" t="s">
        <v>95</v>
      </c>
      <c r="E101" s="6" t="n">
        <f aca="false">(Sens!C99*IF(2&lt;life_it,1,IF(2=life_it,0.5,0))+Sens!D99*IF(1&lt;life_it,1,IF(1=life_it,0.5,0))+Sens!E99*0.5)/life_it</f>
        <v>15.0605784770833</v>
      </c>
      <c r="F101" s="6" t="n">
        <f aca="false">(Sens!C99*IF(3&lt;life_it,1,IF(3=life_it,0.5,0))+Sens!D99*IF(2&lt;life_it,1,IF(2=life_it,0.5,0))+Sens!E99*IF(1&lt;life_it,1,IF(1=life_it,0.5,0))+Sens!F99*0.5)/life_it</f>
        <v>32.2823453558698</v>
      </c>
      <c r="G101" s="6" t="n">
        <f aca="false">(Sens!C99*IF(4&lt;life_it,1,IF(4=life_it,0.5,0))+Sens!D99*IF(3&lt;life_it,1,IF(3=life_it,0.5,0))+Sens!E99*IF(2&lt;life_it,1,IF(2=life_it,0.5,0))+Sens!F99*IF(1&lt;life_it,1,IF(1=life_it,0.5,0))+Sens!G99*0.5)/life_it</f>
        <v>56.5003124603396</v>
      </c>
      <c r="H101" s="6" t="n">
        <f aca="false">(Sens!C99*IF(5&lt;life_it,1,IF(5=life_it,0.5,0))+Sens!D99*IF(4&lt;life_it,1,IF(4=life_it,0.5,0))+Sens!E99*IF(3&lt;life_it,1,IF(3=life_it,0.5,0))+Sens!F99*IF(2&lt;life_it,1,IF(2=life_it,0.5,0))+Sens!G99*IF(1&lt;life_it,1,IF(1=life_it,0.5,0))+Sens!H99*0.5)/life_it</f>
        <v>82.1349139931396</v>
      </c>
      <c r="I101" s="6" t="n">
        <f aca="false">(Sens!C99*IF(6&lt;life_it,1,IF(6=life_it,0.5,0))+Sens!D99*IF(5&lt;life_it,1,IF(5=life_it,0.5,0))+Sens!E99*IF(4&lt;life_it,1,IF(4=life_it,0.5,0))+Sens!F99*IF(3&lt;life_it,1,IF(3=life_it,0.5,0))+Sens!G99*IF(2&lt;life_it,1,IF(2=life_it,0.5,0))+Sens!H99*IF(1&lt;life_it,1,IF(1=life_it,0.5,0))+Sens!I99*0.5)/life_it</f>
        <v>108.788798541123</v>
      </c>
      <c r="J101" s="6" t="n">
        <f aca="false">(Sens!C99*IF(7&lt;life_it,1,IF(7=life_it,0.5,0))+Sens!D99*IF(6&lt;life_it,1,IF(6=life_it,0.5,0))+Sens!E99*IF(5&lt;life_it,1,IF(5=life_it,0.5,0))+Sens!F99*IF(4&lt;life_it,1,IF(4=life_it,0.5,0))+Sens!G99*IF(3&lt;life_it,1,IF(3=life_it,0.5,0))+Sens!H99*IF(2&lt;life_it,1,IF(2=life_it,0.5,0))+Sens!I99*IF(1&lt;life_it,1,IF(1=life_it,0.5,0))+Sens!J99*0.5)/life_it</f>
        <v>136.414913558273</v>
      </c>
      <c r="K101" s="6" t="n">
        <f aca="false">(Sens!C99*IF(8&lt;life_it,1,IF(8=life_it,0.5,0))+Sens!D99*IF(7&lt;life_it,1,IF(7=life_it,0.5,0))+Sens!E99*IF(6&lt;life_it,1,IF(6=life_it,0.5,0))+Sens!F99*IF(5&lt;life_it,1,IF(5=life_it,0.5,0))+Sens!G99*IF(4&lt;life_it,1,IF(4=life_it,0.5,0))+Sens!H99*IF(3&lt;life_it,1,IF(3=life_it,0.5,0))+Sens!I99*IF(2&lt;life_it,1,IF(2=life_it,0.5,0))+Sens!J99*IF(1&lt;life_it,1,IF(1=life_it,0.5,0))+Sens!K99*0.5)/life_it</f>
        <v>165.32857703459</v>
      </c>
    </row>
    <row r="102" customFormat="false" ht="17.15" hidden="false" customHeight="false" outlineLevel="0" collapsed="false">
      <c r="A102" s="0" t="s">
        <v>760</v>
      </c>
      <c r="B102" s="0" t="s">
        <v>95</v>
      </c>
      <c r="E102" s="6" t="n">
        <f aca="false">(Sens!C97*IF(2&lt;life_fac,1,IF(2=life_fac,0.5,0))+Sens!D97*IF(1&lt;life_fac,1,IF(1=life_fac,0.5,0))+Sens!E97*0.5)/life_fac</f>
        <v>1.2448275</v>
      </c>
      <c r="F102" s="6" t="n">
        <f aca="false">(Sens!C97*IF(3&lt;life_fac,1,IF(3=life_fac,0.5,0))+Sens!D97*IF(2&lt;life_fac,1,IF(2=life_fac,0.5,0))+Sens!E97*IF(1&lt;life_fac,1,IF(1=life_fac,0.5,0))+Sens!F97*0.5)/life_fac</f>
        <v>2.4456901</v>
      </c>
      <c r="G102" s="6" t="n">
        <f aca="false">(Sens!C97*IF(4&lt;life_fac,1,IF(4=life_fac,0.5,0))+Sens!D97*IF(3&lt;life_fac,1,IF(3=life_fac,0.5,0))+Sens!E97*IF(2&lt;life_fac,1,IF(2=life_fac,0.5,0))+Sens!F97*IF(1&lt;life_fac,1,IF(1=life_fac,0.5,0))+Sens!G97*0.5)/life_fac</f>
        <v>3.9814208</v>
      </c>
      <c r="H102" s="6" t="n">
        <f aca="false">(Sens!C97*IF(5&lt;life_fac,1,IF(5=life_fac,0.5,0))+Sens!D97*IF(4&lt;life_fac,1,IF(4=life_fac,0.5,0))+Sens!E97*IF(3&lt;life_fac,1,IF(3=life_fac,0.5,0))+Sens!F97*IF(2&lt;life_fac,1,IF(2=life_fac,0.5,0))+Sens!G97*IF(1&lt;life_fac,1,IF(1=life_fac,0.5,0))+Sens!H97*0.5)/life_fac</f>
        <v>5.582402</v>
      </c>
      <c r="I102" s="6" t="n">
        <f aca="false">(Sens!C97*IF(6&lt;life_fac,1,IF(6=life_fac,0.5,0))+Sens!D97*IF(5&lt;life_fac,1,IF(5=life_fac,0.5,0))+Sens!E97*IF(4&lt;life_fac,1,IF(4=life_fac,0.5,0))+Sens!F97*IF(3&lt;life_fac,1,IF(3=life_fac,0.5,0))+Sens!G97*IF(2&lt;life_fac,1,IF(2=life_fac,0.5,0))+Sens!H97*IF(1&lt;life_fac,1,IF(1=life_fac,0.5,0))+Sens!I97*0.5)/life_fac</f>
        <v>7.1833832</v>
      </c>
      <c r="J102" s="6" t="n">
        <f aca="false">(Sens!C97*IF(7&lt;life_fac,1,IF(7=life_fac,0.5,0))+Sens!D97*IF(6&lt;life_fac,1,IF(6=life_fac,0.5,0))+Sens!E97*IF(5&lt;life_fac,1,IF(5=life_fac,0.5,0))+Sens!F97*IF(4&lt;life_fac,1,IF(4=life_fac,0.5,0))+Sens!G97*IF(3&lt;life_fac,1,IF(3=life_fac,0.5,0))+Sens!H97*IF(2&lt;life_fac,1,IF(2=life_fac,0.5,0))+Sens!I97*IF(1&lt;life_fac,1,IF(1=life_fac,0.5,0))+Sens!J97*0.5)/life_fac</f>
        <v>8.7843644</v>
      </c>
      <c r="K102" s="6" t="n">
        <f aca="false">(Sens!C97*IF(8&lt;life_fac,1,IF(8=life_fac,0.5,0))+Sens!D97*IF(7&lt;life_fac,1,IF(7=life_fac,0.5,0))+Sens!E97*IF(6&lt;life_fac,1,IF(6=life_fac,0.5,0))+Sens!F97*IF(5&lt;life_fac,1,IF(5=life_fac,0.5,0))+Sens!G97*IF(4&lt;life_fac,1,IF(4=life_fac,0.5,0))+Sens!H97*IF(3&lt;life_fac,1,IF(3=life_fac,0.5,0))+Sens!I97*IF(2&lt;life_fac,1,IF(2=life_fac,0.5,0))+Sens!J97*IF(1&lt;life_fac,1,IF(1=life_fac,0.5,0))+Sens!K97*0.5)/life_fac</f>
        <v>10.3853456</v>
      </c>
    </row>
    <row r="103" customFormat="false" ht="17.15" hidden="false" customHeight="false" outlineLevel="0" collapsed="false">
      <c r="A103" s="0" t="s">
        <v>761</v>
      </c>
      <c r="B103" s="0" t="s">
        <v>95</v>
      </c>
      <c r="E103" s="6" t="n">
        <f aca="false">Sens!E101+Sens!E102</f>
        <v>16.3054059770833</v>
      </c>
      <c r="F103" s="6" t="n">
        <f aca="false">Sens!F101+Sens!F102</f>
        <v>34.7280354558698</v>
      </c>
      <c r="G103" s="6" t="n">
        <f aca="false">Sens!G101+Sens!G102</f>
        <v>60.4817332603396</v>
      </c>
      <c r="H103" s="6" t="n">
        <f aca="false">Sens!H101+Sens!H102</f>
        <v>87.7173159931396</v>
      </c>
      <c r="I103" s="6" t="n">
        <f aca="false">Sens!I101+Sens!I102</f>
        <v>115.972181741123</v>
      </c>
      <c r="J103" s="6" t="n">
        <f aca="false">Sens!J101+Sens!J102</f>
        <v>145.199277958273</v>
      </c>
      <c r="K103" s="6" t="n">
        <f aca="false">Sens!K101+Sens!K102</f>
        <v>175.71392263459</v>
      </c>
    </row>
    <row r="104" customFormat="false" ht="17.15" hidden="false" customHeight="false" outlineLevel="0" collapsed="false">
      <c r="A104" s="0" t="s">
        <v>762</v>
      </c>
      <c r="B104" s="0" t="s">
        <v>95</v>
      </c>
      <c r="E104" s="6" t="n">
        <f aca="false">Sens!E92-Sens!E91*Sens!E103</f>
        <v>8.92707889977379</v>
      </c>
      <c r="F104" s="6" t="n">
        <f aca="false">Sens!F92-Sens!F91*Sens!F103</f>
        <v>13.48116924664</v>
      </c>
      <c r="G104" s="6" t="n">
        <f aca="false">Sens!G92-Sens!G91*Sens!G103</f>
        <v>26.9768990525286</v>
      </c>
      <c r="H104" s="6" t="n">
        <f aca="false">Sens!H92-Sens!H91*Sens!H103</f>
        <v>45.0713931632</v>
      </c>
      <c r="I104" s="6" t="n">
        <f aca="false">Sens!I92-Sens!I91*Sens!I103</f>
        <v>57.6374964878279</v>
      </c>
      <c r="J104" s="6" t="n">
        <f aca="false">Sens!J92-Sens!J91*Sens!J103</f>
        <v>69.6979221759284</v>
      </c>
      <c r="K104" s="6" t="n">
        <f aca="false">Sens!K92-Sens!K91*Sens!K103</f>
        <v>81.0315028109739</v>
      </c>
    </row>
    <row r="105" customFormat="false" ht="17.15" hidden="false" customHeight="false" outlineLevel="0" collapsed="false">
      <c r="A105" s="3" t="s">
        <v>1115</v>
      </c>
    </row>
    <row r="106" customFormat="false" ht="15" hidden="false" customHeight="false" outlineLevel="0" collapsed="false">
      <c r="A106" s="4" t="s">
        <v>43</v>
      </c>
      <c r="B106" s="4" t="s">
        <v>63</v>
      </c>
      <c r="C106" s="19" t="s">
        <v>710</v>
      </c>
      <c r="D106" s="19" t="s">
        <v>711</v>
      </c>
      <c r="E106" s="19" t="s">
        <v>712</v>
      </c>
      <c r="F106" s="19" t="s">
        <v>713</v>
      </c>
      <c r="G106" s="19" t="s">
        <v>714</v>
      </c>
      <c r="H106" s="19" t="s">
        <v>715</v>
      </c>
      <c r="I106" s="19" t="s">
        <v>716</v>
      </c>
      <c r="J106" s="19" t="s">
        <v>717</v>
      </c>
      <c r="K106" s="19" t="s">
        <v>718</v>
      </c>
      <c r="L106" s="4" t="s">
        <v>47</v>
      </c>
    </row>
    <row r="107" customFormat="false" ht="17.15" hidden="false" customHeight="false" outlineLevel="0" collapsed="false">
      <c r="A107" s="0" t="s">
        <v>780</v>
      </c>
      <c r="B107" s="0" t="s">
        <v>95</v>
      </c>
      <c r="D107" s="6" t="n">
        <f aca="false">Sens!D86</f>
        <v>12.9359794422418</v>
      </c>
      <c r="E107" s="6" t="n">
        <f aca="false">Sens!E86</f>
        <v>27.8095064661409</v>
      </c>
      <c r="F107" s="6" t="n">
        <f aca="false">Sens!F86</f>
        <v>49.9225563459265</v>
      </c>
      <c r="G107" s="6" t="n">
        <f aca="false">Sens!G86</f>
        <v>86.16372576998</v>
      </c>
      <c r="H107" s="6" t="n">
        <f aca="false">Sens!H86</f>
        <v>127.317768512099</v>
      </c>
      <c r="I107" s="6" t="n">
        <f aca="false">Sens!I86</f>
        <v>163.573481145617</v>
      </c>
      <c r="J107" s="6" t="n">
        <f aca="false">Sens!J86</f>
        <v>199.916520517964</v>
      </c>
      <c r="K107" s="6" t="n">
        <f aca="false">Sens!K86</f>
        <v>236.310930010892</v>
      </c>
    </row>
    <row r="108" customFormat="false" ht="17.15" hidden="false" customHeight="false" outlineLevel="0" collapsed="false">
      <c r="A108" s="0" t="s">
        <v>781</v>
      </c>
      <c r="B108" s="0" t="s">
        <v>95</v>
      </c>
      <c r="D108" s="6" t="n">
        <f aca="false">Q!L6-Sens!D107</f>
        <v>59.6740205577583</v>
      </c>
      <c r="E108" s="6" t="n">
        <f aca="false">Q!M6-Sens!E107</f>
        <v>74.1284935338591</v>
      </c>
      <c r="F108" s="6" t="n">
        <f aca="false">Sens!E108*(1+Sens!F109)</f>
        <v>90.0799497373663</v>
      </c>
      <c r="G108" s="6" t="n">
        <f aca="false">Sens!F108*(1+Sens!G109)</f>
        <v>107.02842520331</v>
      </c>
      <c r="H108" s="6" t="n">
        <f aca="false">Sens!G108*(1+Sens!H109)</f>
        <v>124.271982585636</v>
      </c>
      <c r="I108" s="6" t="n">
        <f aca="false">Sens!H108*(1+Sens!I109)</f>
        <v>140.933702381855</v>
      </c>
      <c r="J108" s="6" t="n">
        <f aca="false">Sens!I108*(1+Sens!J109)</f>
        <v>156.018867314332</v>
      </c>
      <c r="K108" s="6" t="n">
        <f aca="false">Sens!J108*(1+Sens!K109)</f>
        <v>168.500376699478</v>
      </c>
    </row>
    <row r="109" customFormat="false" ht="15" hidden="false" customHeight="false" outlineLevel="0" collapsed="false">
      <c r="A109" s="1" t="s">
        <v>782</v>
      </c>
      <c r="B109" s="0" t="s">
        <v>126</v>
      </c>
      <c r="E109" s="7" t="n">
        <f aca="false">Sens!E108/Sens!D108-1</f>
        <v>0.242223883039864</v>
      </c>
      <c r="F109" s="7" t="n">
        <f aca="false">Sens!$E$109+(glt_azo-Sens!$E$109)*MIN(1,1/n_conv)</f>
        <v>0.215186569199887</v>
      </c>
      <c r="G109" s="7" t="n">
        <f aca="false">Sens!$E$109+(glt_azo-Sens!$E$109)*MIN(1,2/n_conv)</f>
        <v>0.18814925535991</v>
      </c>
      <c r="H109" s="7" t="n">
        <f aca="false">Sens!$E$109+(glt_azo-Sens!$E$109)*MIN(1,3/n_conv)</f>
        <v>0.161111941519932</v>
      </c>
      <c r="I109" s="7" t="n">
        <f aca="false">Sens!$E$109+(glt_azo-Sens!$E$109)*MIN(1,4/n_conv)</f>
        <v>0.134074627679955</v>
      </c>
      <c r="J109" s="7" t="n">
        <f aca="false">Sens!$E$109+(glt_azo-Sens!$E$109)*MIN(1,5/n_conv)</f>
        <v>0.107037313839977</v>
      </c>
      <c r="K109" s="7" t="n">
        <f aca="false">Sens!$E$109+(glt_azo-Sens!$E$109)*MIN(1,6/n_conv)</f>
        <v>0.08</v>
      </c>
    </row>
    <row r="110" customFormat="false" ht="15" hidden="false" customHeight="false" outlineLevel="0" collapsed="false">
      <c r="A110" s="0" t="s">
        <v>783</v>
      </c>
      <c r="B110" s="0" t="s">
        <v>95</v>
      </c>
      <c r="D110" s="6" t="n">
        <f aca="false">Sens!D107+Sens!D108</f>
        <v>72.61</v>
      </c>
      <c r="E110" s="6" t="n">
        <f aca="false">Sens!E107+Sens!E108</f>
        <v>101.938</v>
      </c>
      <c r="F110" s="6" t="n">
        <f aca="false">Sens!F107+Sens!F108</f>
        <v>140.002506083293</v>
      </c>
      <c r="G110" s="6" t="n">
        <f aca="false">Sens!G107+Sens!G108</f>
        <v>193.19215097329</v>
      </c>
      <c r="H110" s="6" t="n">
        <f aca="false">Sens!H107+Sens!H108</f>
        <v>251.589751097735</v>
      </c>
      <c r="I110" s="6" t="n">
        <f aca="false">Sens!I107+Sens!I108</f>
        <v>304.507183527472</v>
      </c>
      <c r="J110" s="6" t="n">
        <f aca="false">Sens!J107+Sens!J108</f>
        <v>355.935387832295</v>
      </c>
      <c r="K110" s="6" t="n">
        <f aca="false">Sens!K107+Sens!K108</f>
        <v>404.81130671037</v>
      </c>
    </row>
    <row r="111" customFormat="false" ht="17.15" hidden="false" customHeight="false" outlineLevel="0" collapsed="false">
      <c r="A111" s="0" t="s">
        <v>784</v>
      </c>
      <c r="B111" s="1" t="s">
        <v>451</v>
      </c>
      <c r="C111" s="27" t="n">
        <f aca="false">cop_s24</f>
        <v>1</v>
      </c>
      <c r="D111" s="27" t="n">
        <f aca="false">cop_s25</f>
        <v>5</v>
      </c>
      <c r="E111" s="27" t="n">
        <f aca="false">cop_s26</f>
        <v>30</v>
      </c>
      <c r="F111" s="27" t="n">
        <f aca="false">Sens!E111+IF(2027&lt;=2029,cop_add_A,cop_add_A*cop_tail)</f>
        <v>60</v>
      </c>
      <c r="G111" s="27" t="n">
        <f aca="false">Sens!F111+IF(2028&lt;=2029,cop_add_A,cop_add_A*cop_tail)</f>
        <v>90</v>
      </c>
      <c r="H111" s="27" t="n">
        <f aca="false">Sens!G111+IF(2029&lt;=2029,cop_add_A,cop_add_A*cop_tail)</f>
        <v>120</v>
      </c>
      <c r="I111" s="27" t="n">
        <f aca="false">Sens!H111+IF(2030&lt;=2029,cop_add_A,cop_add_A*cop_tail)</f>
        <v>135</v>
      </c>
      <c r="J111" s="27" t="n">
        <f aca="false">Sens!I111+IF(2031&lt;=2029,cop_add_A,cop_add_A*cop_tail)</f>
        <v>150</v>
      </c>
      <c r="K111" s="27" t="n">
        <f aca="false">Sens!J111+IF(2032&lt;=2029,cop_add_A,cop_add_A*cop_tail)</f>
        <v>165</v>
      </c>
    </row>
    <row r="112" customFormat="false" ht="17.15" hidden="false" customHeight="false" outlineLevel="0" collapsed="false">
      <c r="A112" s="0" t="s">
        <v>785</v>
      </c>
      <c r="B112" s="0" t="s">
        <v>95</v>
      </c>
      <c r="D112" s="6" t="n">
        <f aca="false">(Sens!C111+Sens!D111)/2*cop_px*12/1000</f>
        <v>0.9</v>
      </c>
      <c r="E112" s="6" t="n">
        <f aca="false">(Sens!D111+Sens!E111)/2*cop_px*12/1000</f>
        <v>5.25</v>
      </c>
      <c r="F112" s="6" t="n">
        <f aca="false">(Sens!E111+Sens!F111)/2*cop_px*12/1000</f>
        <v>13.5</v>
      </c>
      <c r="G112" s="6" t="n">
        <f aca="false">(Sens!F111+Sens!G111)/2*cop_px*12/1000</f>
        <v>22.5</v>
      </c>
      <c r="H112" s="6" t="n">
        <f aca="false">(Sens!G111+Sens!H111)/2*cop_px*12/1000</f>
        <v>31.5</v>
      </c>
      <c r="I112" s="6" t="n">
        <f aca="false">(Sens!H111+Sens!I111)/2*cop_px*12/1000</f>
        <v>38.25</v>
      </c>
      <c r="J112" s="6" t="n">
        <f aca="false">(Sens!I111+Sens!J111)/2*cop_px*12/1000</f>
        <v>42.75</v>
      </c>
      <c r="K112" s="6" t="n">
        <f aca="false">(Sens!J111+Sens!K111)/2*cop_px*12/1000</f>
        <v>47.25</v>
      </c>
      <c r="L112" s="1" t="s">
        <v>786</v>
      </c>
    </row>
    <row r="113" customFormat="false" ht="17.15" hidden="false" customHeight="false" outlineLevel="0" collapsed="false">
      <c r="A113" s="0" t="s">
        <v>787</v>
      </c>
      <c r="B113" s="0" t="s">
        <v>95</v>
      </c>
      <c r="D113" s="6" t="n">
        <f aca="false">Q!L7-Sens!D112</f>
        <v>83.705</v>
      </c>
      <c r="E113" s="6" t="n">
        <f aca="false">Q!M7-Sens!E112</f>
        <v>95.049</v>
      </c>
      <c r="F113" s="6" t="n">
        <f aca="false">Sens!E113*(1+Sens!F114)</f>
        <v>106.89238776686</v>
      </c>
      <c r="G113" s="6" t="n">
        <f aca="false">Sens!F113*(1+Sens!G114)</f>
        <v>119.044168448684</v>
      </c>
      <c r="H113" s="6" t="n">
        <f aca="false">Sens!G113*(1+Sens!H114)</f>
        <v>131.277359388781</v>
      </c>
      <c r="I113" s="6" t="n">
        <f aca="false">Sens!H113*(1+Sens!I114)</f>
        <v>143.334028071957</v>
      </c>
      <c r="J113" s="6" t="n">
        <f aca="false">Sens!I113*(1+Sens!J114)</f>
        <v>154.932702785465</v>
      </c>
      <c r="K113" s="6" t="n">
        <f aca="false">Sens!J113*(1+Sens!K114)</f>
        <v>165.777991980448</v>
      </c>
    </row>
    <row r="114" customFormat="false" ht="15" hidden="false" customHeight="false" outlineLevel="0" collapsed="false">
      <c r="A114" s="1" t="s">
        <v>782</v>
      </c>
      <c r="B114" s="0" t="s">
        <v>126</v>
      </c>
      <c r="E114" s="7" t="n">
        <f aca="false">Sens!E113/Sens!D113-1</f>
        <v>0.135523564900544</v>
      </c>
      <c r="F114" s="7" t="n">
        <f aca="false">Sens!$E$114+(glt_m365b-Sens!$E$114)*MIN(1,1/n_conv)</f>
        <v>0.124602970750453</v>
      </c>
      <c r="G114" s="7" t="n">
        <f aca="false">Sens!$E$114+(glt_m365b-Sens!$E$114)*MIN(1,2/n_conv)</f>
        <v>0.113682376600363</v>
      </c>
      <c r="H114" s="7" t="n">
        <f aca="false">Sens!$E$114+(glt_m365b-Sens!$E$114)*MIN(1,3/n_conv)</f>
        <v>0.102761782450272</v>
      </c>
      <c r="I114" s="7" t="n">
        <f aca="false">Sens!$E$114+(glt_m365b-Sens!$E$114)*MIN(1,4/n_conv)</f>
        <v>0.0918411883001813</v>
      </c>
      <c r="J114" s="7" t="n">
        <f aca="false">Sens!$E$114+(glt_m365b-Sens!$E$114)*MIN(1,5/n_conv)</f>
        <v>0.0809205941500906</v>
      </c>
      <c r="K114" s="7" t="n">
        <f aca="false">Sens!$E$114+(glt_m365b-Sens!$E$114)*MIN(1,6/n_conv)</f>
        <v>0.07</v>
      </c>
    </row>
    <row r="115" customFormat="false" ht="15" hidden="false" customHeight="false" outlineLevel="0" collapsed="false">
      <c r="A115" s="0" t="s">
        <v>788</v>
      </c>
      <c r="B115" s="0" t="s">
        <v>95</v>
      </c>
      <c r="D115" s="6" t="n">
        <f aca="false">Sens!D113+Sens!D112</f>
        <v>84.605</v>
      </c>
      <c r="E115" s="6" t="n">
        <f aca="false">Sens!E113+Sens!E112</f>
        <v>100.299</v>
      </c>
      <c r="F115" s="6" t="n">
        <f aca="false">Sens!F113+Sens!F112</f>
        <v>120.39238776686</v>
      </c>
      <c r="G115" s="6" t="n">
        <f aca="false">Sens!G113+Sens!G112</f>
        <v>141.544168448684</v>
      </c>
      <c r="H115" s="6" t="n">
        <f aca="false">Sens!H113+Sens!H112</f>
        <v>162.777359388781</v>
      </c>
      <c r="I115" s="6" t="n">
        <f aca="false">Sens!I113+Sens!I112</f>
        <v>181.584028071957</v>
      </c>
      <c r="J115" s="6" t="n">
        <f aca="false">Sens!J113+Sens!J112</f>
        <v>197.682702785465</v>
      </c>
      <c r="K115" s="6" t="n">
        <f aca="false">Sens!K113+Sens!K112</f>
        <v>213.027991980448</v>
      </c>
    </row>
    <row r="116" customFormat="false" ht="15" hidden="false" customHeight="false" outlineLevel="0" collapsed="false">
      <c r="A116" s="0" t="s">
        <v>789</v>
      </c>
      <c r="B116" s="0" t="s">
        <v>95</v>
      </c>
      <c r="D116" s="6" t="n">
        <f aca="false">Q!L8</f>
        <v>35.391</v>
      </c>
      <c r="E116" s="6" t="n">
        <f aca="false">Q!M8</f>
        <v>37.285</v>
      </c>
      <c r="F116" s="6" t="n">
        <f aca="false">Sens!E116*(1+Sens!F117)</f>
        <v>39.0720834331704</v>
      </c>
      <c r="G116" s="6" t="n">
        <f aca="false">Sens!F116*(1+Sens!G117)</f>
        <v>40.726562953769</v>
      </c>
      <c r="H116" s="6" t="n">
        <f aca="false">Sens!G116*(1+Sens!H117)</f>
        <v>42.2235987259198</v>
      </c>
      <c r="I116" s="6" t="n">
        <f aca="false">Sens!H116*(1+Sens!I117)</f>
        <v>43.5397988077414</v>
      </c>
      <c r="J116" s="6" t="n">
        <f aca="false">Sens!I116*(1+Sens!J117)</f>
        <v>44.653811225693</v>
      </c>
      <c r="K116" s="6" t="n">
        <f aca="false">Sens!J116*(1+Sens!K117)</f>
        <v>45.5468874502068</v>
      </c>
    </row>
    <row r="117" customFormat="false" ht="15" hidden="false" customHeight="false" outlineLevel="0" collapsed="false">
      <c r="A117" s="1" t="s">
        <v>782</v>
      </c>
      <c r="B117" s="0" t="s">
        <v>126</v>
      </c>
      <c r="E117" s="7" t="n">
        <f aca="false">Sens!E116/Sens!D116-1</f>
        <v>0.0535164307309768</v>
      </c>
      <c r="F117" s="7" t="n">
        <f aca="false">Sens!$E$117+(glt_lic-Sens!$E$117)*MIN(1,1/n_conv)</f>
        <v>0.0479303589424807</v>
      </c>
      <c r="G117" s="7" t="n">
        <f aca="false">Sens!$E$117+(glt_lic-Sens!$E$117)*MIN(1,2/n_conv)</f>
        <v>0.0423442871539845</v>
      </c>
      <c r="H117" s="7" t="n">
        <f aca="false">Sens!$E$117+(glt_lic-Sens!$E$117)*MIN(1,3/n_conv)</f>
        <v>0.0367582153654884</v>
      </c>
      <c r="I117" s="7" t="n">
        <f aca="false">Sens!$E$117+(glt_lic-Sens!$E$117)*MIN(1,4/n_conv)</f>
        <v>0.0311721435769923</v>
      </c>
      <c r="J117" s="7" t="n">
        <f aca="false">Sens!$E$117+(glt_lic-Sens!$E$117)*MIN(1,5/n_conv)</f>
        <v>0.0255860717884961</v>
      </c>
      <c r="K117" s="7" t="n">
        <f aca="false">Sens!$E$117+(glt_lic-Sens!$E$117)*MIN(1,6/n_conv)</f>
        <v>0.02</v>
      </c>
    </row>
    <row r="118" customFormat="false" ht="15" hidden="false" customHeight="false" outlineLevel="0" collapsed="false">
      <c r="A118" s="0" t="s">
        <v>790</v>
      </c>
      <c r="B118" s="0" t="s">
        <v>95</v>
      </c>
      <c r="D118" s="6" t="n">
        <f aca="false">Q!L9</f>
        <v>18.417</v>
      </c>
      <c r="E118" s="6" t="n">
        <f aca="false">Q!M9</f>
        <v>20.345</v>
      </c>
      <c r="F118" s="6" t="n">
        <f aca="false">Sens!E118*(1+Sens!F119)</f>
        <v>22.3572203267814</v>
      </c>
      <c r="G118" s="6" t="n">
        <f aca="false">Sens!F118*(1+Sens!G119)</f>
        <v>24.4392124437232</v>
      </c>
      <c r="H118" s="6" t="n">
        <f aca="false">Sens!G118*(1+Sens!H119)</f>
        <v>26.5738052080665</v>
      </c>
      <c r="I118" s="6" t="n">
        <f aca="false">Sens!H118*(1+Sens!I119)</f>
        <v>28.7412169166967</v>
      </c>
      <c r="J118" s="6" t="n">
        <f aca="false">Sens!I118*(1+Sens!J119)</f>
        <v>30.9192545395413</v>
      </c>
      <c r="K118" s="6" t="n">
        <f aca="false">Sens!J118*(1+Sens!K119)</f>
        <v>33.0836023573092</v>
      </c>
    </row>
    <row r="119" customFormat="false" ht="15" hidden="false" customHeight="false" outlineLevel="0" collapsed="false">
      <c r="A119" s="1" t="s">
        <v>782</v>
      </c>
      <c r="B119" s="0" t="s">
        <v>126</v>
      </c>
      <c r="E119" s="7" t="n">
        <f aca="false">Sens!E118/Sens!D118-1</f>
        <v>0.104685888038225</v>
      </c>
      <c r="F119" s="7" t="n">
        <f aca="false">Sens!$E$119+(glt_ind-Sens!$E$119)*MIN(1,1/n_conv)</f>
        <v>0.0989049066985211</v>
      </c>
      <c r="G119" s="7" t="n">
        <f aca="false">Sens!$E$119+(glt_ind-Sens!$E$119)*MIN(1,2/n_conv)</f>
        <v>0.0931239253588169</v>
      </c>
      <c r="H119" s="7" t="n">
        <f aca="false">Sens!$E$119+(glt_ind-Sens!$E$119)*MIN(1,3/n_conv)</f>
        <v>0.0873429440191127</v>
      </c>
      <c r="I119" s="7" t="n">
        <f aca="false">Sens!$E$119+(glt_ind-Sens!$E$119)*MIN(1,4/n_conv)</f>
        <v>0.0815619626794085</v>
      </c>
      <c r="J119" s="7" t="n">
        <f aca="false">Sens!$E$119+(glt_ind-Sens!$E$119)*MIN(1,5/n_conv)</f>
        <v>0.0757809813397042</v>
      </c>
      <c r="K119" s="7" t="n">
        <f aca="false">Sens!$E$119+(glt_ind-Sens!$E$119)*MIN(1,6/n_conv)</f>
        <v>0.07</v>
      </c>
    </row>
    <row r="120" customFormat="false" ht="15" hidden="false" customHeight="false" outlineLevel="0" collapsed="false">
      <c r="A120" s="0" t="s">
        <v>791</v>
      </c>
      <c r="B120" s="0" t="s">
        <v>95</v>
      </c>
      <c r="D120" s="6" t="n">
        <f aca="false">Q!L10</f>
        <v>7.76</v>
      </c>
      <c r="E120" s="6" t="n">
        <f aca="false">Q!M10</f>
        <v>8.26</v>
      </c>
      <c r="F120" s="6" t="n">
        <f aca="false">Sens!E120*(1+Sens!F121)</f>
        <v>8.79988041237113</v>
      </c>
      <c r="G120" s="6" t="n">
        <f aca="false">Sens!F120*(1+Sens!G121)</f>
        <v>9.38321269125306</v>
      </c>
      <c r="H120" s="6" t="n">
        <f aca="false">Sens!G120*(1+Sens!H121)</f>
        <v>10.0139193587476</v>
      </c>
      <c r="I120" s="6" t="n">
        <f aca="false">Sens!H120*(1+Sens!I121)</f>
        <v>10.6963111830911</v>
      </c>
      <c r="J120" s="6" t="n">
        <f aca="false">Sens!I120*(1+Sens!J121)</f>
        <v>11.4351285534696</v>
      </c>
      <c r="K120" s="6" t="n">
        <f aca="false">Sens!J120*(1+Sens!K121)</f>
        <v>12.2355875522124</v>
      </c>
    </row>
    <row r="121" customFormat="false" ht="15" hidden="false" customHeight="false" outlineLevel="0" collapsed="false">
      <c r="A121" s="1" t="s">
        <v>782</v>
      </c>
      <c r="B121" s="0" t="s">
        <v>126</v>
      </c>
      <c r="E121" s="7" t="n">
        <f aca="false">Sens!E120/Sens!D120-1</f>
        <v>0.0644329896907216</v>
      </c>
      <c r="F121" s="7" t="n">
        <f aca="false">Sens!$E$121+(glt_fro-Sens!$E$121)*MIN(1,1/n_conv)</f>
        <v>0.065360824742268</v>
      </c>
      <c r="G121" s="7" t="n">
        <f aca="false">Sens!$E$121+(glt_fro-Sens!$E$121)*MIN(1,2/n_conv)</f>
        <v>0.0662886597938144</v>
      </c>
      <c r="H121" s="7" t="n">
        <f aca="false">Sens!$E$121+(glt_fro-Sens!$E$121)*MIN(1,3/n_conv)</f>
        <v>0.0672164948453608</v>
      </c>
      <c r="I121" s="7" t="n">
        <f aca="false">Sens!$E$121+(glt_fro-Sens!$E$121)*MIN(1,4/n_conv)</f>
        <v>0.0681443298969072</v>
      </c>
      <c r="J121" s="7" t="n">
        <f aca="false">Sens!$E$121+(glt_fro-Sens!$E$121)*MIN(1,5/n_conv)</f>
        <v>0.0690721649484536</v>
      </c>
      <c r="K121" s="7" t="n">
        <f aca="false">Sens!$E$121+(glt_fro-Sens!$E$121)*MIN(1,6/n_conv)</f>
        <v>0.07</v>
      </c>
    </row>
    <row r="122" customFormat="false" ht="15" hidden="false" customHeight="false" outlineLevel="0" collapsed="false">
      <c r="A122" s="0" t="s">
        <v>626</v>
      </c>
      <c r="B122" s="0" t="s">
        <v>95</v>
      </c>
      <c r="D122" s="6" t="n">
        <f aca="false">Sens!D110+Sens!D115+Sens!D116+Sens!D118+Sens!D120</f>
        <v>218.783</v>
      </c>
      <c r="E122" s="6" t="n">
        <f aca="false">Sens!E110+Sens!E115+Sens!E116+Sens!E118+Sens!E120</f>
        <v>268.127</v>
      </c>
      <c r="F122" s="6" t="n">
        <f aca="false">Sens!F110+Sens!F115+Sens!F116+Sens!F118+Sens!F120</f>
        <v>330.624078022476</v>
      </c>
      <c r="G122" s="6" t="n">
        <f aca="false">Sens!G110+Sens!G115+Sens!G116+Sens!G118+Sens!G120</f>
        <v>409.285307510719</v>
      </c>
      <c r="H122" s="6" t="n">
        <f aca="false">Sens!H110+Sens!H115+Sens!H116+Sens!H118+Sens!H120</f>
        <v>493.17843377925</v>
      </c>
      <c r="I122" s="6" t="n">
        <f aca="false">Sens!I110+Sens!I115+Sens!I116+Sens!I118+Sens!I120</f>
        <v>569.068538506958</v>
      </c>
      <c r="J122" s="6" t="n">
        <f aca="false">Sens!J110+Sens!J115+Sens!J116+Sens!J118+Sens!J120</f>
        <v>640.626284936464</v>
      </c>
      <c r="K122" s="6" t="n">
        <f aca="false">Sens!K110+Sens!K115+Sens!K116+Sens!K118+Sens!K120</f>
        <v>708.705376050546</v>
      </c>
    </row>
    <row r="123" customFormat="false" ht="15" hidden="false" customHeight="false" outlineLevel="0" collapsed="false">
      <c r="A123" s="0" t="s">
        <v>792</v>
      </c>
      <c r="B123" s="0" t="s">
        <v>95</v>
      </c>
      <c r="D123" s="6" t="n">
        <f aca="false">Q!L13</f>
        <v>22.171</v>
      </c>
      <c r="E123" s="6" t="n">
        <f aca="false">Q!M13</f>
        <v>24.835</v>
      </c>
      <c r="F123" s="6" t="n">
        <f aca="false">Sens!E123*(1+Sens!F124)</f>
        <v>27.6114901218559</v>
      </c>
      <c r="G123" s="6" t="n">
        <f aca="false">Sens!F123*(1+Sens!G124)</f>
        <v>30.4675667338515</v>
      </c>
      <c r="H123" s="6" t="n">
        <f aca="false">Sens!G123*(1+Sens!H124)</f>
        <v>33.3643766955789</v>
      </c>
      <c r="I123" s="6" t="n">
        <f aca="false">Sens!H123*(1+Sens!I124)</f>
        <v>36.2577016533691</v>
      </c>
      <c r="J123" s="6" t="n">
        <f aca="false">Sens!I123*(1+Sens!J124)</f>
        <v>39.0988367952171</v>
      </c>
      <c r="K123" s="6" t="n">
        <f aca="false">Sens!J123*(1+Sens!K124)</f>
        <v>41.8357553708823</v>
      </c>
    </row>
    <row r="124" customFormat="false" ht="15" hidden="false" customHeight="false" outlineLevel="0" collapsed="false">
      <c r="A124" s="1" t="s">
        <v>782</v>
      </c>
      <c r="B124" s="0" t="s">
        <v>126</v>
      </c>
      <c r="E124" s="7" t="n">
        <f aca="false">Sens!E123/Sens!D123-1</f>
        <v>0.120156961796942</v>
      </c>
      <c r="F124" s="7" t="n">
        <f aca="false">Sens!$E$124+(glt_srch-Sens!$E$124)*MIN(1,1/n_conv)</f>
        <v>0.111797468164118</v>
      </c>
      <c r="G124" s="7" t="n">
        <f aca="false">Sens!$E$124+(glt_srch-Sens!$E$124)*MIN(1,2/n_conv)</f>
        <v>0.103437974531295</v>
      </c>
      <c r="H124" s="7" t="n">
        <f aca="false">Sens!$E$124+(glt_srch-Sens!$E$124)*MIN(1,3/n_conv)</f>
        <v>0.095078480898471</v>
      </c>
      <c r="I124" s="7" t="n">
        <f aca="false">Sens!$E$124+(glt_srch-Sens!$E$124)*MIN(1,4/n_conv)</f>
        <v>0.0867189872656474</v>
      </c>
      <c r="J124" s="7" t="n">
        <f aca="false">Sens!$E$124+(glt_srch-Sens!$E$124)*MIN(1,5/n_conv)</f>
        <v>0.0783594936328237</v>
      </c>
      <c r="K124" s="7" t="n">
        <f aca="false">Sens!$E$124+(glt_srch-Sens!$E$124)*MIN(1,6/n_conv)</f>
        <v>0.07</v>
      </c>
    </row>
    <row r="125" customFormat="false" ht="15" hidden="false" customHeight="false" outlineLevel="0" collapsed="false">
      <c r="A125" s="0" t="s">
        <v>793</v>
      </c>
      <c r="B125" s="0" t="s">
        <v>95</v>
      </c>
      <c r="D125" s="6" t="n">
        <f aca="false">Q!L14</f>
        <v>23.455</v>
      </c>
      <c r="E125" s="6" t="n">
        <f aca="false">Q!M14</f>
        <v>21.79</v>
      </c>
      <c r="F125" s="6" t="n">
        <f aca="false">Sens!E125*(1+Sens!F126)</f>
        <v>20.5736277908051</v>
      </c>
      <c r="G125" s="6" t="n">
        <f aca="false">Sens!F125*(1+Sens!G126)</f>
        <v>19.7371452817919</v>
      </c>
      <c r="H125" s="6" t="n">
        <f aca="false">Sens!G125*(1+Sens!H126)</f>
        <v>19.2339764043138</v>
      </c>
      <c r="I125" s="6" t="n">
        <f aca="false">Sens!H125*(1+Sens!I126)</f>
        <v>19.0353086852681</v>
      </c>
      <c r="J125" s="6" t="n">
        <f aca="false">Sens!I125*(1+Sens!J126)</f>
        <v>19.1273539319129</v>
      </c>
      <c r="K125" s="6" t="n">
        <f aca="false">Sens!J125*(1+Sens!K126)</f>
        <v>19.5099010105511</v>
      </c>
    </row>
    <row r="126" customFormat="false" ht="15" hidden="false" customHeight="false" outlineLevel="0" collapsed="false">
      <c r="A126" s="1" t="s">
        <v>782</v>
      </c>
      <c r="B126" s="0" t="s">
        <v>126</v>
      </c>
      <c r="E126" s="7" t="n">
        <f aca="false">Sens!E125/Sens!D125-1</f>
        <v>-0.0709869963760392</v>
      </c>
      <c r="F126" s="7" t="n">
        <f aca="false">Sens!$E$126+(glt_xbox-Sens!$E$126)*MIN(1,1/n_conv)</f>
        <v>-0.0558224969800327</v>
      </c>
      <c r="G126" s="7" t="n">
        <f aca="false">Sens!$E$126+(glt_xbox-Sens!$E$126)*MIN(1,2/n_conv)</f>
        <v>-0.0406579975840262</v>
      </c>
      <c r="H126" s="7" t="n">
        <f aca="false">Sens!$E$126+(glt_xbox-Sens!$E$126)*MIN(1,3/n_conv)</f>
        <v>-0.0254934981880196</v>
      </c>
      <c r="I126" s="7" t="n">
        <f aca="false">Sens!$E$126+(glt_xbox-Sens!$E$126)*MIN(1,4/n_conv)</f>
        <v>-0.0103289987920131</v>
      </c>
      <c r="J126" s="7" t="n">
        <f aca="false">Sens!$E$126+(glt_xbox-Sens!$E$126)*MIN(1,5/n_conv)</f>
        <v>0.00483550060399347</v>
      </c>
      <c r="K126" s="7" t="n">
        <f aca="false">Sens!$E$126+(glt_xbox-Sens!$E$126)*MIN(1,6/n_conv)</f>
        <v>0.02</v>
      </c>
    </row>
    <row r="127" customFormat="false" ht="15" hidden="false" customHeight="false" outlineLevel="0" collapsed="false">
      <c r="A127" s="0" t="s">
        <v>794</v>
      </c>
      <c r="B127" s="0" t="s">
        <v>95</v>
      </c>
      <c r="D127" s="6" t="n">
        <f aca="false">Q!L15</f>
        <v>17.315</v>
      </c>
      <c r="E127" s="6" t="n">
        <f aca="false">Q!M15</f>
        <v>17.087</v>
      </c>
      <c r="F127" s="6" t="n">
        <f aca="false">Sens!E127*(1+Sens!F128)</f>
        <v>16.9564585436519</v>
      </c>
      <c r="G127" s="6" t="n">
        <f aca="false">Sens!F127*(1+Sens!G128)</f>
        <v>16.9206490624268</v>
      </c>
      <c r="H127" s="6" t="n">
        <f aca="false">Sens!G127*(1+Sens!H128)</f>
        <v>16.9784519149849</v>
      </c>
      <c r="I127" s="6" t="n">
        <f aca="false">Sens!H127*(1+Sens!I128)</f>
        <v>17.1303084701817</v>
      </c>
      <c r="J127" s="6" t="n">
        <f aca="false">Sens!I127*(1+Sens!J128)</f>
        <v>17.3782189407267</v>
      </c>
      <c r="K127" s="6" t="n">
        <f aca="false">Sens!J127*(1+Sens!K128)</f>
        <v>17.7257833195413</v>
      </c>
    </row>
    <row r="128" customFormat="false" ht="15" hidden="false" customHeight="false" outlineLevel="0" collapsed="false">
      <c r="A128" s="1" t="s">
        <v>782</v>
      </c>
      <c r="B128" s="0" t="s">
        <v>126</v>
      </c>
      <c r="E128" s="7" t="n">
        <f aca="false">Sens!E127/Sens!D127-1</f>
        <v>-0.0131677736066995</v>
      </c>
      <c r="F128" s="7" t="n">
        <f aca="false">Sens!$E$128+(glt_win-Sens!$E$128)*MIN(1,1/n_conv)</f>
        <v>-0.00763981133891627</v>
      </c>
      <c r="G128" s="7" t="n">
        <f aca="false">Sens!$E$128+(glt_win-Sens!$E$128)*MIN(1,2/n_conv)</f>
        <v>-0.00211184907113301</v>
      </c>
      <c r="H128" s="7" t="n">
        <f aca="false">Sens!$E$128+(glt_win-Sens!$E$128)*MIN(1,3/n_conv)</f>
        <v>0.00341611319665024</v>
      </c>
      <c r="I128" s="7" t="n">
        <f aca="false">Sens!$E$128+(glt_win-Sens!$E$128)*MIN(1,4/n_conv)</f>
        <v>0.00894407546443349</v>
      </c>
      <c r="J128" s="7" t="n">
        <f aca="false">Sens!$E$128+(glt_win-Sens!$E$128)*MIN(1,5/n_conv)</f>
        <v>0.0144720377322168</v>
      </c>
      <c r="K128" s="7" t="n">
        <f aca="false">Sens!$E$128+(glt_win-Sens!$E$128)*MIN(1,6/n_conv)</f>
        <v>0.02</v>
      </c>
    </row>
    <row r="129" customFormat="false" ht="15" hidden="false" customHeight="false" outlineLevel="0" collapsed="false">
      <c r="A129" s="0" t="s">
        <v>640</v>
      </c>
      <c r="B129" s="0" t="s">
        <v>95</v>
      </c>
      <c r="D129" s="6" t="n">
        <f aca="false">Sens!D123+Sens!D125+Sens!D127</f>
        <v>62.941</v>
      </c>
      <c r="E129" s="6" t="n">
        <f aca="false">Sens!E123+Sens!E125+Sens!E127</f>
        <v>63.712</v>
      </c>
      <c r="F129" s="6" t="n">
        <f aca="false">Sens!F123+Sens!F125+Sens!F127</f>
        <v>65.1415764563129</v>
      </c>
      <c r="G129" s="6" t="n">
        <f aca="false">Sens!G123+Sens!G125+Sens!G127</f>
        <v>67.1253610780702</v>
      </c>
      <c r="H129" s="6" t="n">
        <f aca="false">Sens!H123+Sens!H125+Sens!H127</f>
        <v>69.5768050148776</v>
      </c>
      <c r="I129" s="6" t="n">
        <f aca="false">Sens!I123+Sens!I125+Sens!I127</f>
        <v>72.4233188088189</v>
      </c>
      <c r="J129" s="6" t="n">
        <f aca="false">Sens!J123+Sens!J125+Sens!J127</f>
        <v>75.6044096678567</v>
      </c>
      <c r="K129" s="6" t="n">
        <f aca="false">Sens!K123+Sens!K125+Sens!K127</f>
        <v>79.0714397009747</v>
      </c>
    </row>
    <row r="130" customFormat="false" ht="15" hidden="false" customHeight="false" outlineLevel="0" collapsed="false">
      <c r="A130" s="1" t="s">
        <v>795</v>
      </c>
      <c r="B130" s="0" t="s">
        <v>95</v>
      </c>
      <c r="D130" s="6" t="n">
        <f aca="false">Sens!D122+Sens!D129</f>
        <v>281.724</v>
      </c>
      <c r="E130" s="6" t="n">
        <f aca="false">Sens!E122+Sens!E129</f>
        <v>331.839</v>
      </c>
      <c r="F130" s="6" t="n">
        <f aca="false">Sens!F122+Sens!F129</f>
        <v>395.765654478789</v>
      </c>
      <c r="G130" s="6" t="n">
        <f aca="false">Sens!G122+Sens!G129</f>
        <v>476.410668588789</v>
      </c>
      <c r="H130" s="6" t="n">
        <f aca="false">Sens!H122+Sens!H129</f>
        <v>562.755238794127</v>
      </c>
      <c r="I130" s="6" t="n">
        <f aca="false">Sens!I122+Sens!I129</f>
        <v>641.491857315777</v>
      </c>
      <c r="J130" s="6" t="n">
        <f aca="false">Sens!J122+Sens!J129</f>
        <v>716.230694604321</v>
      </c>
      <c r="K130" s="6" t="n">
        <f aca="false">Sens!K122+Sens!K129</f>
        <v>787.776815751521</v>
      </c>
    </row>
    <row r="131" customFormat="false" ht="15" hidden="false" customHeight="false" outlineLevel="0" collapsed="false">
      <c r="A131" s="22" t="s">
        <v>796</v>
      </c>
      <c r="B131" s="28" t="s">
        <v>95</v>
      </c>
      <c r="C131" s="28"/>
      <c r="D131" s="23" t="n">
        <f aca="false">(Sens!D110+Sens!D115+Sens!D116+Sens!D118+Sens!D120-Sens!D122)+(Sens!D123+Sens!D125+Sens!D127-Sens!D129)+(Sens!D122-Q!L5)+(Sens!D129-Q!L12)+(Sens!D110-Q!L6)+(Sens!D115-Q!L7)</f>
        <v>0</v>
      </c>
      <c r="E131" s="23" t="n">
        <f aca="false">(Sens!E110+Sens!E115+Sens!E116+Sens!E118+Sens!E120-Sens!E122)+(Sens!E123+Sens!E125+Sens!E127-Sens!E129)+(Sens!E122-Q!M5)+(Sens!E129-Q!M12)+(Sens!E110-Q!M6)+(Sens!E115-Q!M7)</f>
        <v>0</v>
      </c>
      <c r="F131" s="23" t="n">
        <f aca="false">(Sens!F110+Sens!F115+Sens!F116+Sens!F118+Sens!F120-Sens!F122)+(Sens!F123+Sens!F125+Sens!F127-Sens!F129)</f>
        <v>0</v>
      </c>
      <c r="G131" s="23" t="n">
        <f aca="false">(Sens!G110+Sens!G115+Sens!G116+Sens!G118+Sens!G120-Sens!G122)+(Sens!G123+Sens!G125+Sens!G127-Sens!G129)</f>
        <v>0</v>
      </c>
      <c r="H131" s="23" t="n">
        <f aca="false">(Sens!H110+Sens!H115+Sens!H116+Sens!H118+Sens!H120-Sens!H122)+(Sens!H123+Sens!H125+Sens!H127-Sens!H129)</f>
        <v>0</v>
      </c>
      <c r="I131" s="23" t="n">
        <f aca="false">(Sens!I110+Sens!I115+Sens!I116+Sens!I118+Sens!I120-Sens!I122)+(Sens!I123+Sens!I125+Sens!I127-Sens!I129)</f>
        <v>0</v>
      </c>
      <c r="J131" s="23" t="n">
        <f aca="false">(Sens!J110+Sens!J115+Sens!J116+Sens!J118+Sens!J120-Sens!J122)+(Sens!J123+Sens!J125+Sens!J127-Sens!J129)</f>
        <v>0</v>
      </c>
      <c r="K131" s="23" t="n">
        <f aca="false">(Sens!K110+Sens!K115+Sens!K116+Sens!K118+Sens!K120-Sens!K122)+(Sens!K123+Sens!K125+Sens!K127-Sens!K129)</f>
        <v>0</v>
      </c>
    </row>
    <row r="132" customFormat="false" ht="17.15" hidden="false" customHeight="false" outlineLevel="0" collapsed="false">
      <c r="A132" s="3" t="s">
        <v>1116</v>
      </c>
    </row>
    <row r="133" customFormat="false" ht="15" hidden="false" customHeight="false" outlineLevel="0" collapsed="false">
      <c r="A133" s="4" t="s">
        <v>43</v>
      </c>
      <c r="B133" s="4" t="s">
        <v>63</v>
      </c>
      <c r="C133" s="19" t="s">
        <v>710</v>
      </c>
      <c r="D133" s="19" t="s">
        <v>711</v>
      </c>
      <c r="E133" s="19" t="s">
        <v>712</v>
      </c>
      <c r="F133" s="19" t="s">
        <v>713</v>
      </c>
      <c r="G133" s="19" t="s">
        <v>714</v>
      </c>
      <c r="H133" s="19" t="s">
        <v>715</v>
      </c>
      <c r="I133" s="19" t="s">
        <v>716</v>
      </c>
      <c r="J133" s="19" t="s">
        <v>717</v>
      </c>
      <c r="K133" s="19" t="s">
        <v>718</v>
      </c>
      <c r="L133" s="4" t="s">
        <v>47</v>
      </c>
    </row>
    <row r="134" customFormat="false" ht="15" hidden="false" customHeight="false" outlineLevel="0" collapsed="false">
      <c r="A134" s="0" t="s">
        <v>783</v>
      </c>
      <c r="B134" s="0" t="s">
        <v>95</v>
      </c>
      <c r="D134" s="6" t="n">
        <f aca="false">Sens!D110</f>
        <v>72.61</v>
      </c>
      <c r="E134" s="6" t="n">
        <f aca="false">Sens!E110</f>
        <v>101.938</v>
      </c>
      <c r="F134" s="6" t="n">
        <f aca="false">Sens!F110</f>
        <v>140.002506083293</v>
      </c>
      <c r="G134" s="6" t="n">
        <f aca="false">Sens!G110</f>
        <v>193.19215097329</v>
      </c>
      <c r="H134" s="6" t="n">
        <f aca="false">Sens!H110</f>
        <v>251.589751097735</v>
      </c>
      <c r="I134" s="6" t="n">
        <f aca="false">Sens!I110</f>
        <v>304.507183527472</v>
      </c>
      <c r="J134" s="6" t="n">
        <f aca="false">Sens!J110</f>
        <v>355.935387832295</v>
      </c>
      <c r="K134" s="6" t="n">
        <f aca="false">Sens!K110</f>
        <v>404.81130671037</v>
      </c>
    </row>
    <row r="135" customFormat="false" ht="17.15" hidden="false" customHeight="false" outlineLevel="0" collapsed="false">
      <c r="A135" s="0" t="s">
        <v>780</v>
      </c>
      <c r="B135" s="0" t="s">
        <v>95</v>
      </c>
      <c r="D135" s="6" t="n">
        <f aca="false">Sens!D107</f>
        <v>12.9359794422418</v>
      </c>
      <c r="E135" s="6" t="n">
        <f aca="false">Sens!E107</f>
        <v>27.8095064661409</v>
      </c>
      <c r="F135" s="6" t="n">
        <f aca="false">Sens!F107</f>
        <v>49.9225563459265</v>
      </c>
      <c r="G135" s="6" t="n">
        <f aca="false">Sens!G107</f>
        <v>86.16372576998</v>
      </c>
      <c r="H135" s="6" t="n">
        <f aca="false">Sens!H107</f>
        <v>127.317768512099</v>
      </c>
      <c r="I135" s="6" t="n">
        <f aca="false">Sens!I107</f>
        <v>163.573481145617</v>
      </c>
      <c r="J135" s="6" t="n">
        <f aca="false">Sens!J107</f>
        <v>199.916520517964</v>
      </c>
      <c r="K135" s="6" t="n">
        <f aca="false">Sens!K107</f>
        <v>236.310930010892</v>
      </c>
    </row>
    <row r="136" customFormat="false" ht="17.15" hidden="false" customHeight="false" outlineLevel="0" collapsed="false">
      <c r="A136" s="0" t="s">
        <v>807</v>
      </c>
      <c r="B136" s="0" t="s">
        <v>95</v>
      </c>
      <c r="D136" s="6" t="n">
        <f aca="false">Sens!D108</f>
        <v>59.6740205577583</v>
      </c>
      <c r="E136" s="6" t="n">
        <f aca="false">Sens!E108</f>
        <v>74.1284935338591</v>
      </c>
      <c r="F136" s="6" t="n">
        <f aca="false">Sens!F108</f>
        <v>90.0799497373663</v>
      </c>
      <c r="G136" s="6" t="n">
        <f aca="false">Sens!G108</f>
        <v>107.02842520331</v>
      </c>
      <c r="H136" s="6" t="n">
        <f aca="false">Sens!H108</f>
        <v>124.271982585636</v>
      </c>
      <c r="I136" s="6" t="n">
        <f aca="false">Sens!I108</f>
        <v>140.933702381855</v>
      </c>
      <c r="J136" s="6" t="n">
        <f aca="false">Sens!J108</f>
        <v>156.018867314332</v>
      </c>
      <c r="K136" s="6" t="n">
        <f aca="false">Sens!K108</f>
        <v>168.500376699478</v>
      </c>
    </row>
    <row r="137" customFormat="false" ht="15" hidden="false" customHeight="false" outlineLevel="0" collapsed="false">
      <c r="A137" s="0" t="s">
        <v>788</v>
      </c>
      <c r="B137" s="0" t="s">
        <v>95</v>
      </c>
      <c r="D137" s="6" t="n">
        <f aca="false">Sens!D115</f>
        <v>84.605</v>
      </c>
      <c r="E137" s="6" t="n">
        <f aca="false">Sens!E115</f>
        <v>100.299</v>
      </c>
      <c r="F137" s="6" t="n">
        <f aca="false">Sens!F115</f>
        <v>120.39238776686</v>
      </c>
      <c r="G137" s="6" t="n">
        <f aca="false">Sens!G115</f>
        <v>141.544168448684</v>
      </c>
      <c r="H137" s="6" t="n">
        <f aca="false">Sens!H115</f>
        <v>162.777359388781</v>
      </c>
      <c r="I137" s="6" t="n">
        <f aca="false">Sens!I115</f>
        <v>181.584028071957</v>
      </c>
      <c r="J137" s="6" t="n">
        <f aca="false">Sens!J115</f>
        <v>197.682702785465</v>
      </c>
      <c r="K137" s="6" t="n">
        <f aca="false">Sens!K115</f>
        <v>213.027991980448</v>
      </c>
    </row>
    <row r="138" customFormat="false" ht="17.15" hidden="false" customHeight="false" outlineLevel="0" collapsed="false">
      <c r="A138" s="0" t="s">
        <v>808</v>
      </c>
      <c r="B138" s="0" t="s">
        <v>95</v>
      </c>
      <c r="D138" s="6" t="n">
        <f aca="false">Sens!D113</f>
        <v>83.705</v>
      </c>
      <c r="E138" s="6" t="n">
        <f aca="false">Sens!E113</f>
        <v>95.049</v>
      </c>
      <c r="F138" s="6" t="n">
        <f aca="false">Sens!F113</f>
        <v>106.89238776686</v>
      </c>
      <c r="G138" s="6" t="n">
        <f aca="false">Sens!G113</f>
        <v>119.044168448684</v>
      </c>
      <c r="H138" s="6" t="n">
        <f aca="false">Sens!H113</f>
        <v>131.277359388781</v>
      </c>
      <c r="I138" s="6" t="n">
        <f aca="false">Sens!I113</f>
        <v>143.334028071957</v>
      </c>
      <c r="J138" s="6" t="n">
        <f aca="false">Sens!J113</f>
        <v>154.932702785465</v>
      </c>
      <c r="K138" s="6" t="n">
        <f aca="false">Sens!K113</f>
        <v>165.777991980448</v>
      </c>
    </row>
    <row r="139" customFormat="false" ht="17.15" hidden="false" customHeight="false" outlineLevel="0" collapsed="false">
      <c r="A139" s="0" t="s">
        <v>809</v>
      </c>
      <c r="B139" s="0" t="s">
        <v>95</v>
      </c>
      <c r="D139" s="6" t="n">
        <f aca="false">Sens!D112</f>
        <v>0.9</v>
      </c>
      <c r="E139" s="6" t="n">
        <f aca="false">Sens!E112</f>
        <v>5.25</v>
      </c>
      <c r="F139" s="6" t="n">
        <f aca="false">Sens!F112</f>
        <v>13.5</v>
      </c>
      <c r="G139" s="6" t="n">
        <f aca="false">Sens!G112</f>
        <v>22.5</v>
      </c>
      <c r="H139" s="6" t="n">
        <f aca="false">Sens!H112</f>
        <v>31.5</v>
      </c>
      <c r="I139" s="6" t="n">
        <f aca="false">Sens!I112</f>
        <v>38.25</v>
      </c>
      <c r="J139" s="6" t="n">
        <f aca="false">Sens!J112</f>
        <v>42.75</v>
      </c>
      <c r="K139" s="6" t="n">
        <f aca="false">Sens!K112</f>
        <v>47.25</v>
      </c>
    </row>
    <row r="140" customFormat="false" ht="15" hidden="false" customHeight="false" outlineLevel="0" collapsed="false">
      <c r="A140" s="0" t="s">
        <v>789</v>
      </c>
      <c r="B140" s="0" t="s">
        <v>95</v>
      </c>
      <c r="D140" s="6" t="n">
        <f aca="false">Sens!D116</f>
        <v>35.391</v>
      </c>
      <c r="E140" s="6" t="n">
        <f aca="false">Sens!E116</f>
        <v>37.285</v>
      </c>
      <c r="F140" s="6" t="n">
        <f aca="false">Sens!F116</f>
        <v>39.0720834331704</v>
      </c>
      <c r="G140" s="6" t="n">
        <f aca="false">Sens!G116</f>
        <v>40.726562953769</v>
      </c>
      <c r="H140" s="6" t="n">
        <f aca="false">Sens!H116</f>
        <v>42.2235987259198</v>
      </c>
      <c r="I140" s="6" t="n">
        <f aca="false">Sens!I116</f>
        <v>43.5397988077414</v>
      </c>
      <c r="J140" s="6" t="n">
        <f aca="false">Sens!J116</f>
        <v>44.653811225693</v>
      </c>
      <c r="K140" s="6" t="n">
        <f aca="false">Sens!K116</f>
        <v>45.5468874502068</v>
      </c>
    </row>
    <row r="141" customFormat="false" ht="15" hidden="false" customHeight="false" outlineLevel="0" collapsed="false">
      <c r="A141" s="0" t="s">
        <v>790</v>
      </c>
      <c r="B141" s="0" t="s">
        <v>95</v>
      </c>
      <c r="D141" s="6" t="n">
        <f aca="false">Sens!D118</f>
        <v>18.417</v>
      </c>
      <c r="E141" s="6" t="n">
        <f aca="false">Sens!E118</f>
        <v>20.345</v>
      </c>
      <c r="F141" s="6" t="n">
        <f aca="false">Sens!F118</f>
        <v>22.3572203267814</v>
      </c>
      <c r="G141" s="6" t="n">
        <f aca="false">Sens!G118</f>
        <v>24.4392124437232</v>
      </c>
      <c r="H141" s="6" t="n">
        <f aca="false">Sens!H118</f>
        <v>26.5738052080665</v>
      </c>
      <c r="I141" s="6" t="n">
        <f aca="false">Sens!I118</f>
        <v>28.7412169166967</v>
      </c>
      <c r="J141" s="6" t="n">
        <f aca="false">Sens!J118</f>
        <v>30.9192545395413</v>
      </c>
      <c r="K141" s="6" t="n">
        <f aca="false">Sens!K118</f>
        <v>33.0836023573092</v>
      </c>
    </row>
    <row r="142" customFormat="false" ht="15" hidden="false" customHeight="false" outlineLevel="0" collapsed="false">
      <c r="A142" s="0" t="s">
        <v>791</v>
      </c>
      <c r="B142" s="0" t="s">
        <v>95</v>
      </c>
      <c r="D142" s="6" t="n">
        <f aca="false">Sens!D120</f>
        <v>7.76</v>
      </c>
      <c r="E142" s="6" t="n">
        <f aca="false">Sens!E120</f>
        <v>8.26</v>
      </c>
      <c r="F142" s="6" t="n">
        <f aca="false">Sens!F120</f>
        <v>8.79988041237113</v>
      </c>
      <c r="G142" s="6" t="n">
        <f aca="false">Sens!G120</f>
        <v>9.38321269125306</v>
      </c>
      <c r="H142" s="6" t="n">
        <f aca="false">Sens!H120</f>
        <v>10.0139193587476</v>
      </c>
      <c r="I142" s="6" t="n">
        <f aca="false">Sens!I120</f>
        <v>10.6963111830911</v>
      </c>
      <c r="J142" s="6" t="n">
        <f aca="false">Sens!J120</f>
        <v>11.4351285534696</v>
      </c>
      <c r="K142" s="6" t="n">
        <f aca="false">Sens!K120</f>
        <v>12.2355875522124</v>
      </c>
    </row>
    <row r="143" customFormat="false" ht="15" hidden="false" customHeight="false" outlineLevel="0" collapsed="false">
      <c r="A143" s="0" t="s">
        <v>626</v>
      </c>
      <c r="B143" s="0" t="s">
        <v>95</v>
      </c>
      <c r="D143" s="6" t="n">
        <f aca="false">Sens!D122</f>
        <v>218.783</v>
      </c>
      <c r="E143" s="6" t="n">
        <f aca="false">Sens!E122</f>
        <v>268.127</v>
      </c>
      <c r="F143" s="6" t="n">
        <f aca="false">Sens!F122</f>
        <v>330.624078022476</v>
      </c>
      <c r="G143" s="6" t="n">
        <f aca="false">Sens!G122</f>
        <v>409.285307510719</v>
      </c>
      <c r="H143" s="6" t="n">
        <f aca="false">Sens!H122</f>
        <v>493.17843377925</v>
      </c>
      <c r="I143" s="6" t="n">
        <f aca="false">Sens!I122</f>
        <v>569.068538506958</v>
      </c>
      <c r="J143" s="6" t="n">
        <f aca="false">Sens!J122</f>
        <v>640.626284936464</v>
      </c>
      <c r="K143" s="6" t="n">
        <f aca="false">Sens!K122</f>
        <v>708.705376050546</v>
      </c>
    </row>
    <row r="144" customFormat="false" ht="15" hidden="false" customHeight="false" outlineLevel="0" collapsed="false">
      <c r="A144" s="0" t="s">
        <v>792</v>
      </c>
      <c r="B144" s="0" t="s">
        <v>95</v>
      </c>
      <c r="D144" s="6" t="n">
        <f aca="false">Sens!D123</f>
        <v>22.171</v>
      </c>
      <c r="E144" s="6" t="n">
        <f aca="false">Sens!E123</f>
        <v>24.835</v>
      </c>
      <c r="F144" s="6" t="n">
        <f aca="false">Sens!F123</f>
        <v>27.6114901218559</v>
      </c>
      <c r="G144" s="6" t="n">
        <f aca="false">Sens!G123</f>
        <v>30.4675667338515</v>
      </c>
      <c r="H144" s="6" t="n">
        <f aca="false">Sens!H123</f>
        <v>33.3643766955789</v>
      </c>
      <c r="I144" s="6" t="n">
        <f aca="false">Sens!I123</f>
        <v>36.2577016533691</v>
      </c>
      <c r="J144" s="6" t="n">
        <f aca="false">Sens!J123</f>
        <v>39.0988367952171</v>
      </c>
      <c r="K144" s="6" t="n">
        <f aca="false">Sens!K123</f>
        <v>41.8357553708823</v>
      </c>
    </row>
    <row r="145" customFormat="false" ht="15" hidden="false" customHeight="false" outlineLevel="0" collapsed="false">
      <c r="A145" s="0" t="s">
        <v>793</v>
      </c>
      <c r="B145" s="0" t="s">
        <v>95</v>
      </c>
      <c r="D145" s="6" t="n">
        <f aca="false">Sens!D125</f>
        <v>23.455</v>
      </c>
      <c r="E145" s="6" t="n">
        <f aca="false">Sens!E125</f>
        <v>21.79</v>
      </c>
      <c r="F145" s="6" t="n">
        <f aca="false">Sens!F125</f>
        <v>20.5736277908051</v>
      </c>
      <c r="G145" s="6" t="n">
        <f aca="false">Sens!G125</f>
        <v>19.7371452817919</v>
      </c>
      <c r="H145" s="6" t="n">
        <f aca="false">Sens!H125</f>
        <v>19.2339764043138</v>
      </c>
      <c r="I145" s="6" t="n">
        <f aca="false">Sens!I125</f>
        <v>19.0353086852681</v>
      </c>
      <c r="J145" s="6" t="n">
        <f aca="false">Sens!J125</f>
        <v>19.1273539319129</v>
      </c>
      <c r="K145" s="6" t="n">
        <f aca="false">Sens!K125</f>
        <v>19.5099010105511</v>
      </c>
    </row>
    <row r="146" customFormat="false" ht="15" hidden="false" customHeight="false" outlineLevel="0" collapsed="false">
      <c r="A146" s="0" t="s">
        <v>794</v>
      </c>
      <c r="B146" s="0" t="s">
        <v>95</v>
      </c>
      <c r="D146" s="6" t="n">
        <f aca="false">Sens!D127</f>
        <v>17.315</v>
      </c>
      <c r="E146" s="6" t="n">
        <f aca="false">Sens!E127</f>
        <v>17.087</v>
      </c>
      <c r="F146" s="6" t="n">
        <f aca="false">Sens!F127</f>
        <v>16.9564585436519</v>
      </c>
      <c r="G146" s="6" t="n">
        <f aca="false">Sens!G127</f>
        <v>16.9206490624268</v>
      </c>
      <c r="H146" s="6" t="n">
        <f aca="false">Sens!H127</f>
        <v>16.9784519149849</v>
      </c>
      <c r="I146" s="6" t="n">
        <f aca="false">Sens!I127</f>
        <v>17.1303084701817</v>
      </c>
      <c r="J146" s="6" t="n">
        <f aca="false">Sens!J127</f>
        <v>17.3782189407267</v>
      </c>
      <c r="K146" s="6" t="n">
        <f aca="false">Sens!K127</f>
        <v>17.7257833195413</v>
      </c>
    </row>
    <row r="147" customFormat="false" ht="15" hidden="false" customHeight="false" outlineLevel="0" collapsed="false">
      <c r="A147" s="0" t="s">
        <v>640</v>
      </c>
      <c r="B147" s="0" t="s">
        <v>95</v>
      </c>
      <c r="D147" s="6" t="n">
        <f aca="false">Sens!D129</f>
        <v>62.941</v>
      </c>
      <c r="E147" s="6" t="n">
        <f aca="false">Sens!E129</f>
        <v>63.712</v>
      </c>
      <c r="F147" s="6" t="n">
        <f aca="false">Sens!F129</f>
        <v>65.1415764563129</v>
      </c>
      <c r="G147" s="6" t="n">
        <f aca="false">Sens!G129</f>
        <v>67.1253610780702</v>
      </c>
      <c r="H147" s="6" t="n">
        <f aca="false">Sens!H129</f>
        <v>69.5768050148776</v>
      </c>
      <c r="I147" s="6" t="n">
        <f aca="false">Sens!I129</f>
        <v>72.4233188088189</v>
      </c>
      <c r="J147" s="6" t="n">
        <f aca="false">Sens!J129</f>
        <v>75.6044096678567</v>
      </c>
      <c r="K147" s="6" t="n">
        <f aca="false">Sens!K129</f>
        <v>79.0714397009747</v>
      </c>
    </row>
    <row r="148" customFormat="false" ht="15" hidden="false" customHeight="false" outlineLevel="0" collapsed="false">
      <c r="A148" s="1" t="s">
        <v>810</v>
      </c>
      <c r="B148" s="0" t="s">
        <v>95</v>
      </c>
      <c r="D148" s="6" t="n">
        <f aca="false">Sens!D130</f>
        <v>281.724</v>
      </c>
      <c r="E148" s="6" t="n">
        <f aca="false">Sens!E130</f>
        <v>331.839</v>
      </c>
      <c r="F148" s="6" t="n">
        <f aca="false">Sens!F130</f>
        <v>395.765654478789</v>
      </c>
      <c r="G148" s="6" t="n">
        <f aca="false">Sens!G130</f>
        <v>476.410668588789</v>
      </c>
      <c r="H148" s="6" t="n">
        <f aca="false">Sens!H130</f>
        <v>562.755238794127</v>
      </c>
      <c r="I148" s="6" t="n">
        <f aca="false">Sens!I130</f>
        <v>641.491857315777</v>
      </c>
      <c r="J148" s="6" t="n">
        <f aca="false">Sens!J130</f>
        <v>716.230694604321</v>
      </c>
      <c r="K148" s="6" t="n">
        <f aca="false">Sens!K130</f>
        <v>787.776815751521</v>
      </c>
    </row>
    <row r="149" customFormat="false" ht="15" hidden="false" customHeight="false" outlineLevel="0" collapsed="false">
      <c r="A149" s="1" t="s">
        <v>811</v>
      </c>
      <c r="B149" s="0" t="s">
        <v>126</v>
      </c>
      <c r="E149" s="7" t="n">
        <f aca="false">Sens!E148/Sens!D148-1</f>
        <v>0.177886867998467</v>
      </c>
      <c r="F149" s="7" t="n">
        <f aca="false">Sens!F148/Sens!E148-1</f>
        <v>0.192643584626245</v>
      </c>
      <c r="G149" s="7" t="n">
        <f aca="false">Sens!G148/Sens!F148-1</f>
        <v>0.203769612641622</v>
      </c>
      <c r="H149" s="7" t="n">
        <f aca="false">Sens!H148/Sens!G148-1</f>
        <v>0.181239791420091</v>
      </c>
      <c r="I149" s="7" t="n">
        <f aca="false">Sens!I148/Sens!H148-1</f>
        <v>0.13991272420736</v>
      </c>
      <c r="J149" s="7" t="n">
        <f aca="false">Sens!J148/Sens!I148-1</f>
        <v>0.116507850312048</v>
      </c>
      <c r="K149" s="7" t="n">
        <f aca="false">Sens!K148/Sens!J148-1</f>
        <v>0.0998925649042803</v>
      </c>
    </row>
    <row r="150" customFormat="false" ht="17.15" hidden="false" customHeight="false" outlineLevel="0" collapsed="false">
      <c r="A150" s="22" t="s">
        <v>812</v>
      </c>
      <c r="B150" s="28" t="s">
        <v>95</v>
      </c>
      <c r="C150" s="28"/>
      <c r="D150" s="23" t="n">
        <f aca="false">(Sens!D143+Sens!D147-Sens!D148)+(Sens!D135+Sens!D136-Sens!D134)+(Sens!D138+Sens!D139-Sens!D137)+(Sens!D148-Q!L18)</f>
        <v>0</v>
      </c>
      <c r="E150" s="23" t="n">
        <f aca="false">(Sens!E143+Sens!E147-Sens!E148)+(Sens!E135+Sens!E136-Sens!E134)+(Sens!E138+Sens!E139-Sens!E137)+(Sens!E148-Q!M18)</f>
        <v>0</v>
      </c>
      <c r="F150" s="23" t="n">
        <f aca="false">(Sens!F143+Sens!F147-Sens!F148)+(Sens!F135+Sens!F136-Sens!F134)+(Sens!F138+Sens!F139-Sens!F137)</f>
        <v>0</v>
      </c>
      <c r="G150" s="23" t="n">
        <f aca="false">(Sens!G143+Sens!G147-Sens!G148)+(Sens!G135+Sens!G136-Sens!G134)+(Sens!G138+Sens!G139-Sens!G137)</f>
        <v>0</v>
      </c>
      <c r="H150" s="23" t="n">
        <f aca="false">(Sens!H143+Sens!H147-Sens!H148)+(Sens!H135+Sens!H136-Sens!H134)+(Sens!H138+Sens!H139-Sens!H137)</f>
        <v>0</v>
      </c>
      <c r="I150" s="23" t="n">
        <f aca="false">(Sens!I143+Sens!I147-Sens!I148)+(Sens!I135+Sens!I136-Sens!I134)+(Sens!I138+Sens!I139-Sens!I137)</f>
        <v>0</v>
      </c>
      <c r="J150" s="23" t="n">
        <f aca="false">(Sens!J143+Sens!J147-Sens!J148)+(Sens!J135+Sens!J136-Sens!J134)+(Sens!J138+Sens!J139-Sens!J137)</f>
        <v>0</v>
      </c>
      <c r="K150" s="23" t="n">
        <f aca="false">(Sens!K143+Sens!K147-Sens!K148)+(Sens!K135+Sens!K136-Sens!K134)+(Sens!K138+Sens!K139-Sens!K137)</f>
        <v>0</v>
      </c>
    </row>
    <row r="151" customFormat="false" ht="17.15" hidden="false" customHeight="false" outlineLevel="0" collapsed="false">
      <c r="A151" s="0" t="s">
        <v>813</v>
      </c>
      <c r="B151" s="0" t="s">
        <v>126</v>
      </c>
      <c r="E151" s="7" t="n">
        <f aca="false">(Q!M21+Sens!E88+Sens!E89+Sens!E90+Sens!E103-Sens!E86)/(Q!M5-Sens!E86)</f>
        <v>0.570957350878296</v>
      </c>
      <c r="F151" s="7" t="n">
        <f aca="false">Sens!$E$151+dm_seg</f>
        <v>0.570957350878296</v>
      </c>
      <c r="G151" s="7" t="n">
        <f aca="false">Sens!$E$151+dm_seg</f>
        <v>0.570957350878296</v>
      </c>
      <c r="H151" s="7" t="n">
        <f aca="false">Sens!$E$151+dm_seg</f>
        <v>0.570957350878296</v>
      </c>
      <c r="I151" s="7" t="n">
        <f aca="false">Sens!$E$151+dm_seg</f>
        <v>0.570957350878296</v>
      </c>
      <c r="J151" s="7" t="n">
        <f aca="false">Sens!$E$151+dm_seg</f>
        <v>0.570957350878296</v>
      </c>
      <c r="K151" s="7" t="n">
        <f aca="false">Sens!$E$151+dm_seg</f>
        <v>0.570957350878296</v>
      </c>
      <c r="L151" s="11" t="s">
        <v>814</v>
      </c>
    </row>
    <row r="152" customFormat="false" ht="17.15" hidden="false" customHeight="false" outlineLevel="0" collapsed="false">
      <c r="A152" s="0" t="s">
        <v>654</v>
      </c>
      <c r="B152" s="0" t="s">
        <v>95</v>
      </c>
      <c r="D152" s="6" t="n">
        <f aca="false">Q!L21</f>
        <v>110.814</v>
      </c>
      <c r="E152" s="6" t="n">
        <f aca="false">Q!M21</f>
        <v>136.365</v>
      </c>
      <c r="F152" s="6" t="n">
        <f aca="false">Sens!F151*(Sens!F122-Sens!F86)+Sens!F86-(Sens!F88+Sens!F89+Sens!F90)-Sens!F103</f>
        <v>153.325621717731</v>
      </c>
      <c r="G152" s="6" t="n">
        <f aca="false">Sens!G151*(Sens!G122-Sens!G86)+Sens!G86-(Sens!G88+Sens!G89+Sens!G90)-Sens!G103</f>
        <v>176.488216896525</v>
      </c>
      <c r="H152" s="6" t="n">
        <f aca="false">Sens!H151*(Sens!H122-Sens!H86)+Sens!H86-(Sens!H88+Sens!H89+Sens!H90)-Sens!H103</f>
        <v>203.611872495438</v>
      </c>
      <c r="I152" s="6" t="n">
        <f aca="false">Sens!I151*(Sens!I122-Sens!I86)+Sens!I86-(Sens!I88+Sens!I89+Sens!I90)-Sens!I103</f>
        <v>223.014450461242</v>
      </c>
      <c r="J152" s="6" t="n">
        <f aca="false">Sens!J151*(Sens!J122-Sens!J86)+Sens!J86-(Sens!J88+Sens!J89+Sens!J90)-Sens!J103</f>
        <v>238.992562879823</v>
      </c>
      <c r="K152" s="6" t="n">
        <f aca="false">Sens!K151*(Sens!K122-Sens!K86)+Sens!K86-(Sens!K88+Sens!K89+Sens!K90)-Sens!K103</f>
        <v>251.709526158117</v>
      </c>
      <c r="L152" s="1" t="s">
        <v>815</v>
      </c>
    </row>
    <row r="153" customFormat="false" ht="17.15" hidden="false" customHeight="false" outlineLevel="0" collapsed="false">
      <c r="A153" s="0" t="s">
        <v>816</v>
      </c>
      <c r="B153" s="0" t="s">
        <v>126</v>
      </c>
      <c r="E153" s="7" t="n">
        <f aca="false">Q!M22/Q!M12</f>
        <v>0.296207935710698</v>
      </c>
      <c r="F153" s="7" t="n">
        <f aca="false">Sens!$E$153+dm_seg</f>
        <v>0.296207935710698</v>
      </c>
      <c r="G153" s="7" t="n">
        <f aca="false">Sens!$E$153+dm_seg</f>
        <v>0.296207935710698</v>
      </c>
      <c r="H153" s="7" t="n">
        <f aca="false">Sens!$E$153+dm_seg</f>
        <v>0.296207935710698</v>
      </c>
      <c r="I153" s="7" t="n">
        <f aca="false">Sens!$E$153+dm_seg</f>
        <v>0.296207935710698</v>
      </c>
      <c r="J153" s="7" t="n">
        <f aca="false">Sens!$E$153+dm_seg</f>
        <v>0.296207935710698</v>
      </c>
      <c r="K153" s="7" t="n">
        <f aca="false">Sens!$E$153+dm_seg</f>
        <v>0.296207935710698</v>
      </c>
      <c r="L153" s="11" t="s">
        <v>817</v>
      </c>
    </row>
    <row r="154" customFormat="false" ht="17.15" hidden="false" customHeight="false" outlineLevel="0" collapsed="false">
      <c r="A154" s="0" t="s">
        <v>656</v>
      </c>
      <c r="B154" s="0" t="s">
        <v>95</v>
      </c>
      <c r="D154" s="6" t="n">
        <f aca="false">Q!L22</f>
        <v>17.714</v>
      </c>
      <c r="E154" s="6" t="n">
        <f aca="false">Q!M22</f>
        <v>18.872</v>
      </c>
      <c r="F154" s="6" t="n">
        <f aca="false">Sens!F129*Sens!F153</f>
        <v>19.2954518910651</v>
      </c>
      <c r="G154" s="6" t="n">
        <f aca="false">Sens!G129*Sens!G153</f>
        <v>19.8830646387704</v>
      </c>
      <c r="H154" s="6" t="n">
        <f aca="false">Sens!H129*Sens!H153</f>
        <v>20.6092017868026</v>
      </c>
      <c r="I154" s="6" t="n">
        <f aca="false">Sens!I129*Sens!I153</f>
        <v>21.452361761678</v>
      </c>
      <c r="J154" s="6" t="n">
        <f aca="false">Sens!J129*Sens!J153</f>
        <v>22.3946261183418</v>
      </c>
      <c r="K154" s="6" t="n">
        <f aca="false">Sens!K129*Sens!K153</f>
        <v>23.4215879274986</v>
      </c>
    </row>
    <row r="155" customFormat="false" ht="15" hidden="false" customHeight="false" outlineLevel="0" collapsed="false">
      <c r="A155" s="1" t="s">
        <v>818</v>
      </c>
      <c r="B155" s="0" t="s">
        <v>95</v>
      </c>
      <c r="D155" s="6" t="n">
        <f aca="false">Sens!D152+Sens!D154</f>
        <v>128.528</v>
      </c>
      <c r="E155" s="6" t="n">
        <f aca="false">Sens!E152+Sens!E154</f>
        <v>155.237</v>
      </c>
      <c r="F155" s="6" t="n">
        <f aca="false">Sens!F152+Sens!F154</f>
        <v>172.621073608796</v>
      </c>
      <c r="G155" s="6" t="n">
        <f aca="false">Sens!G152+Sens!G154</f>
        <v>196.371281535295</v>
      </c>
      <c r="H155" s="6" t="n">
        <f aca="false">Sens!H152+Sens!H154</f>
        <v>224.22107428224</v>
      </c>
      <c r="I155" s="6" t="n">
        <f aca="false">Sens!I152+Sens!I154</f>
        <v>244.46681222292</v>
      </c>
      <c r="J155" s="6" t="n">
        <f aca="false">Sens!J152+Sens!J154</f>
        <v>261.387188998165</v>
      </c>
      <c r="K155" s="6" t="n">
        <f aca="false">Sens!K152+Sens!K154</f>
        <v>275.131114085615</v>
      </c>
    </row>
    <row r="156" customFormat="false" ht="15" hidden="false" customHeight="false" outlineLevel="0" collapsed="false">
      <c r="A156" s="22" t="s">
        <v>819</v>
      </c>
      <c r="B156" s="28" t="s">
        <v>95</v>
      </c>
      <c r="C156" s="28"/>
      <c r="D156" s="23" t="n">
        <f aca="false">Sens!D155-Q!L23</f>
        <v>0</v>
      </c>
      <c r="E156" s="23" t="n">
        <f aca="false">Sens!E155-Q!M23</f>
        <v>0</v>
      </c>
      <c r="F156" s="28"/>
      <c r="G156" s="28"/>
      <c r="H156" s="28"/>
      <c r="I156" s="28"/>
      <c r="J156" s="28"/>
      <c r="K156" s="28"/>
    </row>
    <row r="157" customFormat="false" ht="15" hidden="false" customHeight="false" outlineLevel="0" collapsed="false">
      <c r="A157" s="1" t="s">
        <v>820</v>
      </c>
      <c r="B157" s="0" t="s">
        <v>126</v>
      </c>
      <c r="D157" s="7" t="n">
        <f aca="false">Sens!D155/Sens!D148</f>
        <v>0.456219562408598</v>
      </c>
      <c r="E157" s="7" t="n">
        <f aca="false">Sens!E155/Sens!E148</f>
        <v>0.467808184089272</v>
      </c>
      <c r="F157" s="7" t="n">
        <f aca="false">Sens!F155/Sens!F148</f>
        <v>0.436169919383563</v>
      </c>
      <c r="G157" s="7" t="n">
        <f aca="false">Sens!G155/Sens!G148</f>
        <v>0.412189093323583</v>
      </c>
      <c r="H157" s="7" t="n">
        <f aca="false">Sens!H155/Sens!H148</f>
        <v>0.398434450406364</v>
      </c>
      <c r="I157" s="7" t="n">
        <f aca="false">Sens!I155/Sens!I148</f>
        <v>0.381091060525466</v>
      </c>
      <c r="J157" s="7" t="n">
        <f aca="false">Sens!J155/Sens!J148</f>
        <v>0.364948320376813</v>
      </c>
      <c r="K157" s="7" t="n">
        <f aca="false">Sens!K155/Sens!K148</f>
        <v>0.349250077667171</v>
      </c>
    </row>
    <row r="158" customFormat="false" ht="17.15" hidden="false" customHeight="false" outlineLevel="0" collapsed="false">
      <c r="A158" s="1" t="s">
        <v>821</v>
      </c>
      <c r="B158" s="0" t="s">
        <v>95</v>
      </c>
      <c r="E158" s="6" t="n">
        <f aca="false">Sens!E103</f>
        <v>16.3054059770833</v>
      </c>
      <c r="F158" s="6" t="n">
        <f aca="false">Sens!F103</f>
        <v>34.7280354558698</v>
      </c>
      <c r="G158" s="6" t="n">
        <f aca="false">Sens!G103</f>
        <v>60.4817332603396</v>
      </c>
      <c r="H158" s="6" t="n">
        <f aca="false">Sens!H103</f>
        <v>87.7173159931396</v>
      </c>
      <c r="I158" s="6" t="n">
        <f aca="false">Sens!I103</f>
        <v>115.972181741123</v>
      </c>
      <c r="J158" s="6" t="n">
        <f aca="false">Sens!J103</f>
        <v>145.199277958273</v>
      </c>
      <c r="K158" s="6" t="n">
        <f aca="false">Sens!K103</f>
        <v>175.71392263459</v>
      </c>
    </row>
    <row r="159" customFormat="false" ht="17.15" hidden="false" customHeight="false" outlineLevel="0" collapsed="false">
      <c r="A159" s="1" t="s">
        <v>822</v>
      </c>
      <c r="B159" s="0" t="s">
        <v>95</v>
      </c>
      <c r="E159" s="6" t="n">
        <f aca="false">Sens!E179</f>
        <v>22.2285940229167</v>
      </c>
      <c r="F159" s="6" t="n">
        <f aca="false">Sens!F179</f>
        <v>23.5786693435813</v>
      </c>
      <c r="G159" s="6" t="n">
        <f aca="false">Sens!G179</f>
        <v>25.3810917662621</v>
      </c>
      <c r="H159" s="6" t="n">
        <f aca="false">Sens!H179</f>
        <v>27.5991339540448</v>
      </c>
      <c r="I159" s="6" t="n">
        <f aca="false">Sens!I179</f>
        <v>30.1565605898047</v>
      </c>
      <c r="J159" s="6" t="n">
        <f aca="false">Sens!J179</f>
        <v>32.9614958558616</v>
      </c>
      <c r="K159" s="6" t="n">
        <f aca="false">Sens!K179</f>
        <v>35.9297165444749</v>
      </c>
    </row>
    <row r="160" customFormat="false" ht="17.15" hidden="false" customHeight="false" outlineLevel="0" collapsed="false">
      <c r="A160" s="1" t="s">
        <v>823</v>
      </c>
      <c r="B160" s="0" t="s">
        <v>95</v>
      </c>
      <c r="D160" s="6" t="n">
        <f aca="false">Q!L27</f>
        <v>-4.901</v>
      </c>
      <c r="E160" s="6" t="n">
        <f aca="false">Q!M27</f>
        <v>10.697</v>
      </c>
      <c r="F160" s="6" t="n">
        <f aca="false">oie_f</f>
        <v>-0.4</v>
      </c>
      <c r="G160" s="6" t="n">
        <f aca="false">oie_f</f>
        <v>-0.4</v>
      </c>
      <c r="H160" s="6" t="n">
        <f aca="false">oie_f</f>
        <v>-0.4</v>
      </c>
      <c r="I160" s="6" t="n">
        <f aca="false">oie_f</f>
        <v>-0.4</v>
      </c>
      <c r="J160" s="6" t="n">
        <f aca="false">oie_f</f>
        <v>-0.4</v>
      </c>
      <c r="K160" s="6" t="n">
        <f aca="false">oie_f</f>
        <v>-0.4</v>
      </c>
      <c r="L160" s="11" t="s">
        <v>824</v>
      </c>
    </row>
    <row r="161" customFormat="false" ht="15" hidden="false" customHeight="false" outlineLevel="0" collapsed="false">
      <c r="A161" s="1" t="s">
        <v>666</v>
      </c>
      <c r="B161" s="0" t="s">
        <v>95</v>
      </c>
      <c r="D161" s="6" t="n">
        <f aca="false">Sens!D155+Sens!D160</f>
        <v>123.627</v>
      </c>
      <c r="E161" s="6" t="n">
        <f aca="false">Sens!E155+Sens!E160</f>
        <v>165.934</v>
      </c>
      <c r="F161" s="6" t="n">
        <f aca="false">Sens!F155+Sens!F160</f>
        <v>172.221073608796</v>
      </c>
      <c r="G161" s="6" t="n">
        <f aca="false">Sens!G155+Sens!G160</f>
        <v>195.971281535295</v>
      </c>
      <c r="H161" s="6" t="n">
        <f aca="false">Sens!H155+Sens!H160</f>
        <v>223.82107428224</v>
      </c>
      <c r="I161" s="6" t="n">
        <f aca="false">Sens!I155+Sens!I160</f>
        <v>244.06681222292</v>
      </c>
      <c r="J161" s="6" t="n">
        <f aca="false">Sens!J155+Sens!J160</f>
        <v>260.987188998165</v>
      </c>
      <c r="K161" s="6" t="n">
        <f aca="false">Sens!K155+Sens!K160</f>
        <v>274.731114085615</v>
      </c>
    </row>
    <row r="162" customFormat="false" ht="15" hidden="false" customHeight="false" outlineLevel="0" collapsed="false">
      <c r="A162" s="1" t="s">
        <v>668</v>
      </c>
      <c r="B162" s="0" t="s">
        <v>95</v>
      </c>
      <c r="D162" s="6" t="n">
        <f aca="false">Q!L29</f>
        <v>21.795</v>
      </c>
      <c r="E162" s="6" t="n">
        <f aca="false">Q!M29</f>
        <v>32.185</v>
      </c>
      <c r="F162" s="6" t="n">
        <f aca="false">Sens!F161*tax_f</f>
        <v>34.4442147217593</v>
      </c>
      <c r="G162" s="6" t="n">
        <f aca="false">Sens!G161*tax_f</f>
        <v>39.1942563070591</v>
      </c>
      <c r="H162" s="6" t="n">
        <f aca="false">Sens!H161*tax_f</f>
        <v>44.7642148564481</v>
      </c>
      <c r="I162" s="6" t="n">
        <f aca="false">Sens!I161*tax_f</f>
        <v>48.8133624445841</v>
      </c>
      <c r="J162" s="6" t="n">
        <f aca="false">Sens!J161*tax_f</f>
        <v>52.197437799633</v>
      </c>
      <c r="K162" s="6" t="n">
        <f aca="false">Sens!K161*tax_f</f>
        <v>54.946222817123</v>
      </c>
    </row>
    <row r="163" customFormat="false" ht="15" hidden="false" customHeight="false" outlineLevel="0" collapsed="false">
      <c r="A163" s="1" t="s">
        <v>825</v>
      </c>
      <c r="B163" s="0" t="s">
        <v>95</v>
      </c>
      <c r="D163" s="6" t="n">
        <f aca="false">Sens!D161-Sens!D162</f>
        <v>101.832</v>
      </c>
      <c r="E163" s="6" t="n">
        <f aca="false">Sens!E161-Sens!E162</f>
        <v>133.749</v>
      </c>
      <c r="F163" s="6" t="n">
        <f aca="false">Sens!F161-Sens!F162</f>
        <v>137.776858887037</v>
      </c>
      <c r="G163" s="6" t="n">
        <f aca="false">Sens!G161-Sens!G162</f>
        <v>156.777025228236</v>
      </c>
      <c r="H163" s="6" t="n">
        <f aca="false">Sens!H161-Sens!H162</f>
        <v>179.056859425792</v>
      </c>
      <c r="I163" s="6" t="n">
        <f aca="false">Sens!I161-Sens!I162</f>
        <v>195.253449778336</v>
      </c>
      <c r="J163" s="6" t="n">
        <f aca="false">Sens!J161-Sens!J162</f>
        <v>208.789751198532</v>
      </c>
      <c r="K163" s="6" t="n">
        <f aca="false">Sens!K161-Sens!K162</f>
        <v>219.784891268492</v>
      </c>
    </row>
    <row r="164" customFormat="false" ht="17.15" hidden="false" customHeight="false" outlineLevel="0" collapsed="false">
      <c r="A164" s="1" t="s">
        <v>826</v>
      </c>
      <c r="B164" s="1" t="s">
        <v>79</v>
      </c>
      <c r="D164" s="18" t="n">
        <f aca="false">Q!L31</f>
        <v>7.465</v>
      </c>
      <c r="E164" s="18" t="n">
        <f aca="false">Q!M31</f>
        <v>7.453</v>
      </c>
      <c r="F164" s="18" t="n">
        <f aca="false">Sens!F201</f>
        <v>7.4735</v>
      </c>
      <c r="G164" s="18" t="n">
        <f aca="false">Sens!G201</f>
        <v>7.5185</v>
      </c>
      <c r="H164" s="18" t="n">
        <f aca="false">Sens!H201</f>
        <v>7.54625158584995</v>
      </c>
      <c r="I164" s="18" t="n">
        <f aca="false">Sens!I201</f>
        <v>7.55803241785726</v>
      </c>
      <c r="J164" s="18" t="n">
        <f aca="false">Sens!J201</f>
        <v>7.57227392897515</v>
      </c>
      <c r="K164" s="18" t="n">
        <f aca="false">Sens!K201</f>
        <v>7.58879384667689</v>
      </c>
    </row>
    <row r="165" customFormat="false" ht="17.15" hidden="false" customHeight="false" outlineLevel="0" collapsed="false">
      <c r="A165" s="0" t="s">
        <v>827</v>
      </c>
      <c r="B165" s="0" t="s">
        <v>73</v>
      </c>
      <c r="D165" s="8" t="n">
        <f aca="false">Sens!D163/Sens!D164</f>
        <v>13.641259209645</v>
      </c>
      <c r="E165" s="8" t="n">
        <f aca="false">Sens!E163/Sens!E164</f>
        <v>17.9456594659869</v>
      </c>
      <c r="F165" s="8" t="n">
        <f aca="false">Sens!F163/Sens!F164</f>
        <v>18.4353862162357</v>
      </c>
      <c r="G165" s="8" t="n">
        <f aca="false">Sens!G163/Sens!G164</f>
        <v>20.852168015992</v>
      </c>
      <c r="H165" s="8" t="n">
        <f aca="false">Sens!H163/Sens!H164</f>
        <v>23.7279207284241</v>
      </c>
      <c r="I165" s="8" t="n">
        <f aca="false">Sens!I163/Sens!I164</f>
        <v>25.8338994838145</v>
      </c>
      <c r="J165" s="8" t="n">
        <f aca="false">Sens!J163/Sens!J164</f>
        <v>27.5729263305706</v>
      </c>
      <c r="K165" s="8" t="n">
        <f aca="false">Sens!K163/Sens!K164</f>
        <v>28.9617685905034</v>
      </c>
      <c r="L165" s="1" t="s">
        <v>828</v>
      </c>
    </row>
    <row r="166" customFormat="false" ht="17.15" hidden="false" customHeight="false" outlineLevel="0" collapsed="false">
      <c r="A166" s="0" t="s">
        <v>829</v>
      </c>
      <c r="B166" s="0" t="s">
        <v>126</v>
      </c>
      <c r="E166" s="7" t="n">
        <f aca="false">Sens!E165/Sens!D165-1</f>
        <v>0.315542736208578</v>
      </c>
      <c r="F166" s="7" t="n">
        <f aca="false">Sens!F165/Sens!E165-1</f>
        <v>0.0272894262357422</v>
      </c>
      <c r="G166" s="7" t="n">
        <f aca="false">Sens!G165/Sens!F165-1</f>
        <v>0.13109472030632</v>
      </c>
      <c r="H166" s="7" t="n">
        <f aca="false">Sens!H165/Sens!G165-1</f>
        <v>0.137911449314363</v>
      </c>
      <c r="I166" s="7" t="n">
        <f aca="false">Sens!I165/Sens!H165-1</f>
        <v>0.0887553013807756</v>
      </c>
      <c r="J166" s="7" t="n">
        <f aca="false">Sens!J165/Sens!I165-1</f>
        <v>0.0673156930042862</v>
      </c>
      <c r="K166" s="7" t="n">
        <f aca="false">Sens!K165/Sens!J165-1</f>
        <v>0.0503697809685508</v>
      </c>
    </row>
    <row r="167" customFormat="false" ht="17.15" hidden="false" customHeight="false" outlineLevel="0" collapsed="false">
      <c r="A167" s="0" t="s">
        <v>763</v>
      </c>
      <c r="B167" s="0" t="s">
        <v>95</v>
      </c>
      <c r="E167" s="6" t="n">
        <f aca="false">Sens!E112</f>
        <v>5.25</v>
      </c>
      <c r="F167" s="6" t="n">
        <f aca="false">Sens!F112</f>
        <v>13.5</v>
      </c>
      <c r="G167" s="6" t="n">
        <f aca="false">Sens!G112</f>
        <v>22.5</v>
      </c>
      <c r="H167" s="6" t="n">
        <f aca="false">Sens!H112</f>
        <v>31.5</v>
      </c>
      <c r="I167" s="6" t="n">
        <f aca="false">Sens!I112</f>
        <v>38.25</v>
      </c>
      <c r="J167" s="6" t="n">
        <f aca="false">Sens!J112</f>
        <v>42.75</v>
      </c>
      <c r="K167" s="6" t="n">
        <f aca="false">Sens!K112</f>
        <v>47.25</v>
      </c>
    </row>
    <row r="168" customFormat="false" ht="17.15" hidden="false" customHeight="false" outlineLevel="0" collapsed="false">
      <c r="A168" s="0" t="s">
        <v>764</v>
      </c>
      <c r="B168" s="0" t="s">
        <v>95</v>
      </c>
      <c r="E168" s="6" t="n">
        <f aca="false">Sens!E92+Sens!E167*Sens!E151-Sens!E93-Sens!E103</f>
        <v>2.1514866143068</v>
      </c>
      <c r="F168" s="6" t="n">
        <f aca="false">Sens!F92+Sens!F167*Sens!F151-Sens!F93-Sens!F103</f>
        <v>0.764948750639277</v>
      </c>
      <c r="G168" s="6" t="n">
        <f aca="false">Sens!G92+Sens!G167*Sens!G151-Sens!G93-Sens!G103</f>
        <v>4.84611496898926</v>
      </c>
      <c r="H168" s="6" t="n">
        <f aca="false">Sens!H92+Sens!H167*Sens!H151-Sens!H93-Sens!H103</f>
        <v>12.7061928166005</v>
      </c>
      <c r="I168" s="6" t="n">
        <f aca="false">Sens!I92+Sens!I167*Sens!I151-Sens!I93-Sens!I103</f>
        <v>13.3331853870632</v>
      </c>
      <c r="J168" s="6" t="n">
        <f aca="false">Sens!J92+Sens!J167*Sens!J151-Sens!J93-Sens!J103</f>
        <v>11.7745100312852</v>
      </c>
      <c r="K168" s="6" t="n">
        <f aca="false">Sens!K92+Sens!K167*Sens!K151-Sens!K93-Sens!K103</f>
        <v>8.97017950669479</v>
      </c>
    </row>
    <row r="169" customFormat="false" ht="17.15" hidden="false" customHeight="false" outlineLevel="0" collapsed="false">
      <c r="A169" s="0" t="s">
        <v>765</v>
      </c>
      <c r="B169" s="0" t="s">
        <v>95</v>
      </c>
      <c r="E169" s="6" t="n">
        <f aca="false">Sens!E75*(cxit_open+self_build*tk_cxfac)/1000*ai_net_open</f>
        <v>126.6980382</v>
      </c>
      <c r="F169" s="6" t="n">
        <f aca="false">Sens!E169+Sens!F100-Sens!F103</f>
        <v>260.440655514568</v>
      </c>
      <c r="G169" s="6" t="n">
        <f aca="false">Sens!F169+Sens!G100-Sens!G103</f>
        <v>383.533102737428</v>
      </c>
      <c r="H169" s="6" t="n">
        <f aca="false">Sens!G169+Sens!H100-Sens!H103</f>
        <v>483.896072654688</v>
      </c>
      <c r="I169" s="6" t="n">
        <f aca="false">Sens!H169+Sens!I100-Sens!I103</f>
        <v>586.262852170632</v>
      </c>
      <c r="J169" s="6" t="n">
        <f aca="false">Sens!I169+Sens!J100-Sens!J103</f>
        <v>674.840635136093</v>
      </c>
      <c r="K169" s="6" t="n">
        <f aca="false">Sens!J169+Sens!K100-Sens!K103</f>
        <v>777.983024451903</v>
      </c>
      <c r="L169" s="1" t="s">
        <v>766</v>
      </c>
    </row>
    <row r="170" customFormat="false" ht="17.15" hidden="false" customHeight="false" outlineLevel="0" collapsed="false">
      <c r="A170" s="0" t="s">
        <v>767</v>
      </c>
      <c r="B170" s="0" t="s">
        <v>126</v>
      </c>
      <c r="F170" s="7" t="n">
        <f aca="false">Sens!F168*(1-tax_f)/((Sens!E169+Sens!F169)/2)</f>
        <v>0.00316144580971599</v>
      </c>
      <c r="G170" s="7" t="n">
        <f aca="false">Sens!G168*(1-tax_f)/((Sens!F169+Sens!G169)/2)</f>
        <v>0.0120405278181361</v>
      </c>
      <c r="H170" s="7" t="n">
        <f aca="false">Sens!H168*(1-tax_f)/((Sens!G169+Sens!H169)/2)</f>
        <v>0.0234369664789875</v>
      </c>
      <c r="I170" s="7" t="n">
        <f aca="false">Sens!I168*(1-tax_f)/((Sens!H169+Sens!I169)/2)</f>
        <v>0.0199345126451972</v>
      </c>
      <c r="J170" s="7" t="n">
        <f aca="false">Sens!J168*(1-tax_f)/((Sens!I169+Sens!J169)/2)</f>
        <v>0.0149386757230292</v>
      </c>
      <c r="K170" s="7" t="n">
        <f aca="false">Sens!K168*(1-tax_f)/((Sens!J169+Sens!K169)/2)</f>
        <v>0.00987889143736949</v>
      </c>
    </row>
    <row r="171" customFormat="false" ht="17.15" hidden="false" customHeight="false" outlineLevel="0" collapsed="false">
      <c r="A171" s="1" t="s">
        <v>768</v>
      </c>
      <c r="B171" s="0" t="s">
        <v>126</v>
      </c>
      <c r="F171" s="7" t="n">
        <f aca="false">Sens!F104*(1-tax_f)/(Sens!F91*(Sens!E169+Sens!F169)/2)</f>
        <v>0.0928602210044442</v>
      </c>
      <c r="G171" s="7" t="n">
        <f aca="false">Sens!G104*(1-tax_f)/(Sens!G91*(Sens!F169+Sens!G169)/2)</f>
        <v>0.111710138109788</v>
      </c>
      <c r="H171" s="7" t="n">
        <f aca="false">Sens!H104*(1-tax_f)/(Sens!H91*(Sens!G169+Sens!H169)/2)</f>
        <v>0.13855930279749</v>
      </c>
      <c r="I171" s="7" t="n">
        <f aca="false">Sens!I104*(1-tax_f)/(Sens!I91*(Sens!H169+Sens!I169)/2)</f>
        <v>0.14362351896406</v>
      </c>
      <c r="J171" s="7" t="n">
        <f aca="false">Sens!J104*(1-tax_f)/(Sens!J91*(Sens!I169+Sens!J169)/2)</f>
        <v>0.147379757231034</v>
      </c>
      <c r="K171" s="7" t="n">
        <f aca="false">Sens!K104*(1-tax_f)/(Sens!K91*(Sens!J169+Sens!K169)/2)</f>
        <v>0.148733816433861</v>
      </c>
    </row>
    <row r="172" customFormat="false" ht="17.15" hidden="false" customHeight="false" outlineLevel="0" collapsed="false">
      <c r="A172" s="0" t="s">
        <v>769</v>
      </c>
      <c r="B172" s="0" t="s">
        <v>208</v>
      </c>
      <c r="F172" s="7" t="n">
        <f aca="false">Sens!F170-wacc</f>
        <v>-0.105801775340538</v>
      </c>
      <c r="G172" s="7" t="n">
        <f aca="false">Sens!G170-wacc</f>
        <v>-0.0969226933321179</v>
      </c>
      <c r="H172" s="7" t="n">
        <f aca="false">Sens!H170-wacc</f>
        <v>-0.0855262546712665</v>
      </c>
      <c r="I172" s="7" t="n">
        <f aca="false">Sens!I170-wacc</f>
        <v>-0.0890287085050567</v>
      </c>
      <c r="J172" s="7" t="n">
        <f aca="false">Sens!J170-wacc</f>
        <v>-0.0940245454272248</v>
      </c>
      <c r="K172" s="7" t="n">
        <f aca="false">Sens!K170-wacc</f>
        <v>-0.0990843297128845</v>
      </c>
    </row>
    <row r="173" customFormat="false" ht="17.15" hidden="false" customHeight="false" outlineLevel="0" collapsed="false">
      <c r="A173" s="0" t="s">
        <v>770</v>
      </c>
      <c r="B173" s="0" t="s">
        <v>95</v>
      </c>
      <c r="F173" s="6" t="n">
        <f aca="false">Sens!F168*(1-tax_f)-wacc*(Sens!E169+Sens!F169)/2</f>
        <v>-20.479980549009</v>
      </c>
      <c r="G173" s="6" t="n">
        <f aca="false">Sens!G168*(1-tax_f)-wacc*(Sens!F169+Sens!G169)/2</f>
        <v>-31.2078355424948</v>
      </c>
      <c r="H173" s="6" t="n">
        <f aca="false">Sens!H168*(1-tax_f)-wacc*(Sens!G169+Sens!H169)/2</f>
        <v>-37.0939842819364</v>
      </c>
      <c r="I173" s="6" t="n">
        <f aca="false">Sens!I168*(1-tax_f)-wacc*(Sens!H169+Sens!I169)/2</f>
        <v>-47.6374334861792</v>
      </c>
      <c r="J173" s="6" t="n">
        <f aca="false">Sens!J168*(1-tax_f)-wacc*(Sens!I169+Sens!J169)/2</f>
        <v>-59.2873410653514</v>
      </c>
      <c r="K173" s="6" t="n">
        <f aca="false">Sens!K168*(1-tax_f)-wacc*(Sens!J169+Sens!K169)/2</f>
        <v>-71.9760292506482</v>
      </c>
    </row>
    <row r="174" customFormat="false" ht="17.15" hidden="false" customHeight="false" outlineLevel="0" collapsed="false">
      <c r="A174" s="1" t="s">
        <v>771</v>
      </c>
      <c r="B174" s="0" t="s">
        <v>95</v>
      </c>
      <c r="F174" s="6" t="n">
        <f aca="false">(Sens!E76+Sens!F76)/2*Sens!F83/1000</f>
        <v>26.7873066765967</v>
      </c>
      <c r="G174" s="6" t="n">
        <f aca="false">(Sens!F76+Sens!G76)/2*Sens!G83/1000</f>
        <v>45.4131817597218</v>
      </c>
      <c r="H174" s="6" t="n">
        <f aca="false">(Sens!G76+Sens!H76)/2*Sens!H83/1000</f>
        <v>65.3915129357971</v>
      </c>
      <c r="I174" s="6" t="n">
        <f aca="false">(Sens!H76+Sens!I76)/2*Sens!I83/1000</f>
        <v>85.5187419289299</v>
      </c>
      <c r="J174" s="6" t="n">
        <f aca="false">(Sens!I76+Sens!J76)/2*Sens!J83/1000</f>
        <v>105.723807195006</v>
      </c>
      <c r="K174" s="6" t="n">
        <f aca="false">(Sens!J76+Sens!K76)/2*Sens!K83/1000</f>
        <v>125.974659797015</v>
      </c>
      <c r="L174" s="1" t="s">
        <v>772</v>
      </c>
    </row>
    <row r="175" customFormat="false" ht="17.15" hidden="false" customHeight="false" outlineLevel="0" collapsed="false">
      <c r="A175" s="1" t="s">
        <v>773</v>
      </c>
      <c r="B175" s="0" t="s">
        <v>126</v>
      </c>
      <c r="F175" s="7" t="n">
        <f aca="false">(Sens!F92+Sens!F174-Sens!F93-Sens!F103)*(1-tax_f)/((Sens!E169+Sens!F169)/2)</f>
        <v>0.0820143540805971</v>
      </c>
      <c r="G175" s="7" t="n">
        <f aca="false">(Sens!G92+Sens!G174-Sens!G93-Sens!G103)*(1-tax_f)/((Sens!F169+Sens!G169)/2)</f>
        <v>0.092954735138283</v>
      </c>
      <c r="H175" s="7" t="n">
        <f aca="false">(Sens!H92+Sens!H174-Sens!H93-Sens!H103)*(1-tax_f)/((Sens!G169+Sens!H169)/2)</f>
        <v>0.110879460188888</v>
      </c>
      <c r="I175" s="7" t="n">
        <f aca="false">(Sens!I92+Sens!I174-Sens!I93-Sens!I103)*(1-tax_f)/((Sens!H169+Sens!I169)/2)</f>
        <v>0.115142238197892</v>
      </c>
      <c r="J175" s="7" t="n">
        <f aca="false">(Sens!J92+Sens!J174-Sens!J93-Sens!J103)*(1-tax_f)/((Sens!I169+Sens!J169)/2)</f>
        <v>0.118105949480865</v>
      </c>
      <c r="K175" s="7" t="n">
        <f aca="false">(Sens!K92+Sens!K174-Sens!K93-Sens!K103)*(1-tax_f)/((Sens!J169+Sens!K169)/2)</f>
        <v>0.118904566304025</v>
      </c>
      <c r="L175" s="1" t="s">
        <v>774</v>
      </c>
    </row>
    <row r="176" customFormat="false" ht="17.15" hidden="false" customHeight="false" outlineLevel="0" collapsed="false">
      <c r="A176" s="3" t="s">
        <v>1117</v>
      </c>
    </row>
    <row r="177" customFormat="false" ht="15" hidden="false" customHeight="false" outlineLevel="0" collapsed="false">
      <c r="A177" s="4" t="s">
        <v>43</v>
      </c>
      <c r="B177" s="4" t="s">
        <v>63</v>
      </c>
      <c r="C177" s="19" t="s">
        <v>710</v>
      </c>
      <c r="D177" s="19" t="s">
        <v>711</v>
      </c>
      <c r="E177" s="19" t="s">
        <v>712</v>
      </c>
      <c r="F177" s="19" t="s">
        <v>713</v>
      </c>
      <c r="G177" s="19" t="s">
        <v>714</v>
      </c>
      <c r="H177" s="19" t="s">
        <v>715</v>
      </c>
      <c r="I177" s="19" t="s">
        <v>716</v>
      </c>
      <c r="J177" s="19" t="s">
        <v>717</v>
      </c>
      <c r="K177" s="19" t="s">
        <v>718</v>
      </c>
      <c r="L177" s="4" t="s">
        <v>47</v>
      </c>
    </row>
    <row r="178" customFormat="false" ht="15" hidden="false" customHeight="false" outlineLevel="0" collapsed="false">
      <c r="A178" s="1" t="s">
        <v>825</v>
      </c>
      <c r="B178" s="0" t="s">
        <v>95</v>
      </c>
      <c r="F178" s="6" t="n">
        <f aca="false">Sens!F163</f>
        <v>137.776858887037</v>
      </c>
      <c r="G178" s="6" t="n">
        <f aca="false">Sens!G163</f>
        <v>156.777025228236</v>
      </c>
      <c r="H178" s="6" t="n">
        <f aca="false">Sens!H163</f>
        <v>179.056859425792</v>
      </c>
      <c r="I178" s="6" t="n">
        <f aca="false">Sens!I163</f>
        <v>195.253449778336</v>
      </c>
      <c r="J178" s="6" t="n">
        <f aca="false">Sens!J163</f>
        <v>208.789751198532</v>
      </c>
      <c r="K178" s="6" t="n">
        <f aca="false">Sens!K163</f>
        <v>219.784891268492</v>
      </c>
    </row>
    <row r="179" customFormat="false" ht="17.15" hidden="false" customHeight="false" outlineLevel="0" collapsed="false">
      <c r="A179" s="1" t="s">
        <v>843</v>
      </c>
      <c r="B179" s="0" t="s">
        <v>95</v>
      </c>
      <c r="E179" s="6" t="n">
        <f aca="false">Q!M38-Sens!E103</f>
        <v>22.2285940229167</v>
      </c>
      <c r="F179" s="6" t="n">
        <f aca="false">Sens!E179*(1-1/life_nonai)+Sens!F185/life_nonai</f>
        <v>23.5786693435813</v>
      </c>
      <c r="G179" s="6" t="n">
        <f aca="false">Sens!F179*(1-1/life_nonai)+Sens!G185/life_nonai</f>
        <v>25.3810917662621</v>
      </c>
      <c r="H179" s="6" t="n">
        <f aca="false">Sens!G179*(1-1/life_nonai)+Sens!H185/life_nonai</f>
        <v>27.5991339540448</v>
      </c>
      <c r="I179" s="6" t="n">
        <f aca="false">Sens!H179*(1-1/life_nonai)+Sens!I185/life_nonai</f>
        <v>30.1565605898047</v>
      </c>
      <c r="J179" s="6" t="n">
        <f aca="false">Sens!I179*(1-1/life_nonai)+Sens!J185/life_nonai</f>
        <v>32.9614958558616</v>
      </c>
      <c r="K179" s="6" t="n">
        <f aca="false">Sens!J179*(1-1/life_nonai)+Sens!K185/life_nonai</f>
        <v>35.9297165444749</v>
      </c>
      <c r="L179" s="11" t="s">
        <v>844</v>
      </c>
    </row>
    <row r="180" customFormat="false" ht="17.15" hidden="false" customHeight="false" outlineLevel="0" collapsed="false">
      <c r="A180" s="1" t="s">
        <v>845</v>
      </c>
      <c r="B180" s="0" t="s">
        <v>95</v>
      </c>
      <c r="E180" s="6" t="n">
        <f aca="false">Sens!E103+Sens!E179</f>
        <v>38.534</v>
      </c>
      <c r="F180" s="6" t="n">
        <f aca="false">Sens!F103+Sens!F179</f>
        <v>58.306704799451</v>
      </c>
      <c r="G180" s="6" t="n">
        <f aca="false">Sens!G103+Sens!G179</f>
        <v>85.8628250266016</v>
      </c>
      <c r="H180" s="6" t="n">
        <f aca="false">Sens!H103+Sens!H179</f>
        <v>115.316449947184</v>
      </c>
      <c r="I180" s="6" t="n">
        <f aca="false">Sens!I103+Sens!I179</f>
        <v>146.128742330928</v>
      </c>
      <c r="J180" s="6" t="n">
        <f aca="false">Sens!J103+Sens!J179</f>
        <v>178.160773814135</v>
      </c>
      <c r="K180" s="6" t="n">
        <f aca="false">Sens!K103+Sens!K179</f>
        <v>211.643639179064</v>
      </c>
    </row>
    <row r="181" customFormat="false" ht="15" hidden="false" customHeight="false" outlineLevel="0" collapsed="false">
      <c r="A181" s="1" t="s">
        <v>685</v>
      </c>
      <c r="B181" s="0" t="s">
        <v>95</v>
      </c>
      <c r="F181" s="6" t="n">
        <f aca="false">Sens!F130*sbc_r</f>
        <v>14.7947436672886</v>
      </c>
      <c r="G181" s="6" t="n">
        <f aca="false">Sens!G130*sbc_r</f>
        <v>17.809462853504</v>
      </c>
      <c r="H181" s="6" t="n">
        <f aca="false">Sens!H130*sbc_r</f>
        <v>21.037246186377</v>
      </c>
      <c r="I181" s="6" t="n">
        <f aca="false">Sens!I130*sbc_r</f>
        <v>23.9806246101339</v>
      </c>
      <c r="J181" s="6" t="n">
        <f aca="false">Sens!J130*sbc_r</f>
        <v>26.7745556326007</v>
      </c>
      <c r="K181" s="6" t="n">
        <f aca="false">Sens!K130*sbc_r</f>
        <v>29.4491346689136</v>
      </c>
    </row>
    <row r="182" customFormat="false" ht="17.15" hidden="false" customHeight="false" outlineLevel="0" collapsed="false">
      <c r="A182" s="1" t="s">
        <v>846</v>
      </c>
      <c r="B182" s="0" t="s">
        <v>95</v>
      </c>
      <c r="F182" s="6" t="n">
        <f aca="false">wc27</f>
        <v>-4.895</v>
      </c>
      <c r="G182" s="6" t="n">
        <f aca="false">0</f>
        <v>0</v>
      </c>
      <c r="H182" s="6" t="n">
        <f aca="false">0</f>
        <v>0</v>
      </c>
      <c r="I182" s="6" t="n">
        <f aca="false">0</f>
        <v>0</v>
      </c>
      <c r="J182" s="6" t="n">
        <f aca="false">0</f>
        <v>0</v>
      </c>
      <c r="K182" s="6" t="n">
        <f aca="false">0</f>
        <v>0</v>
      </c>
      <c r="L182" s="11" t="s">
        <v>847</v>
      </c>
    </row>
    <row r="183" customFormat="false" ht="15" hidden="false" customHeight="false" outlineLevel="0" collapsed="false">
      <c r="A183" s="1" t="s">
        <v>678</v>
      </c>
      <c r="B183" s="0" t="s">
        <v>95</v>
      </c>
      <c r="E183" s="6" t="n">
        <f aca="false">Q!M35</f>
        <v>182.935</v>
      </c>
      <c r="F183" s="6" t="n">
        <f aca="false">Sens!F178+Sens!F180+Sens!F181+Sens!F182</f>
        <v>205.983307353777</v>
      </c>
      <c r="G183" s="6" t="n">
        <f aca="false">Sens!G178+Sens!G180+Sens!G181+Sens!G182</f>
        <v>260.449313108342</v>
      </c>
      <c r="H183" s="6" t="n">
        <f aca="false">Sens!H178+Sens!H180+Sens!H181+Sens!H182</f>
        <v>315.410555559354</v>
      </c>
      <c r="I183" s="6" t="n">
        <f aca="false">Sens!I178+Sens!I180+Sens!I181+Sens!I182</f>
        <v>365.362816719398</v>
      </c>
      <c r="J183" s="6" t="n">
        <f aca="false">Sens!J178+Sens!J180+Sens!J181+Sens!J182</f>
        <v>413.725080645267</v>
      </c>
      <c r="K183" s="6" t="n">
        <f aca="false">Sens!K178+Sens!K180+Sens!K181+Sens!K182</f>
        <v>460.87766511647</v>
      </c>
    </row>
    <row r="184" customFormat="false" ht="17.15" hidden="false" customHeight="false" outlineLevel="0" collapsed="false">
      <c r="A184" s="0" t="s">
        <v>848</v>
      </c>
      <c r="B184" s="0" t="s">
        <v>95</v>
      </c>
      <c r="F184" s="6" t="n">
        <f aca="false">Sens!F100</f>
        <v>168.470652770438</v>
      </c>
      <c r="G184" s="6" t="n">
        <f aca="false">Sens!G100</f>
        <v>183.5741804832</v>
      </c>
      <c r="H184" s="6" t="n">
        <f aca="false">Sens!H100</f>
        <v>188.0802859104</v>
      </c>
      <c r="I184" s="6" t="n">
        <f aca="false">Sens!I100</f>
        <v>218.338961257067</v>
      </c>
      <c r="J184" s="6" t="n">
        <f aca="false">Sens!J100</f>
        <v>233.777060923733</v>
      </c>
      <c r="K184" s="6" t="n">
        <f aca="false">Sens!K100</f>
        <v>278.8563119504</v>
      </c>
    </row>
    <row r="185" customFormat="false" ht="17.15" hidden="false" customHeight="false" outlineLevel="0" collapsed="false">
      <c r="A185" s="1" t="s">
        <v>849</v>
      </c>
      <c r="B185" s="0" t="s">
        <v>95</v>
      </c>
      <c r="E185" s="6" t="n">
        <f aca="false">Sens!E108*cx_azo+Sens!E115*cx_m365+Sens!E116*cx_lic+(Sens!E118+Sens!E120)*cx_ind+Sens!E123*cx_srch+(Sens!E125+Sens!E127)*cx_dev</f>
        <v>30.1846587067718</v>
      </c>
      <c r="F185" s="6" t="n">
        <f aca="false">Sens!F108*cx_azo+Sens!F115*cx_m365+Sens!F116*cx_lic+(Sens!F118+Sens!F120)*cx_ind+Sens!F123*cx_srch+(Sens!F125+Sens!F127)*cx_dev</f>
        <v>35.7293472295625</v>
      </c>
      <c r="G185" s="6" t="n">
        <f aca="false">Sens!G108*cx_azo+Sens!G115*cx_m365+Sens!G116*cx_lic+(Sens!G118+Sens!G120)*cx_ind+Sens!G123*cx_srch+(Sens!G125+Sens!G127)*cx_dev</f>
        <v>41.6028935703892</v>
      </c>
      <c r="H185" s="6" t="n">
        <f aca="false">Sens!H108*cx_azo+Sens!H115*cx_m365+Sens!H116*cx_lic+(Sens!H118+Sens!H120)*cx_ind+Sens!H123*cx_srch+(Sens!H125+Sens!H127)*cx_dev</f>
        <v>47.5615136440897</v>
      </c>
      <c r="I185" s="6" t="n">
        <f aca="false">Sens!I108*cx_azo+Sens!I115*cx_m365+Sens!I116*cx_lic+(Sens!I118+Sens!I120)*cx_ind+Sens!I123*cx_srch+(Sens!I125+Sens!I127)*cx_dev</f>
        <v>53.1734003116439</v>
      </c>
      <c r="J185" s="6" t="n">
        <f aca="false">Sens!J108*cx_azo+Sens!J115*cx_m365+Sens!J116*cx_lic+(Sens!J118+Sens!J120)*cx_ind+Sens!J123*cx_srch+(Sens!J125+Sens!J127)*cx_dev</f>
        <v>58.2059132503738</v>
      </c>
      <c r="K185" s="6" t="n">
        <f aca="false">Sens!K108*cx_azo+Sens!K115*cx_m365+Sens!K116*cx_lic+(Sens!K118+Sens!K120)*cx_ind+Sens!K123*cx_srch+(Sens!K125+Sens!K127)*cx_dev</f>
        <v>62.643702741994</v>
      </c>
    </row>
    <row r="186" customFormat="false" ht="17.15" hidden="false" customHeight="false" outlineLevel="0" collapsed="false">
      <c r="A186" s="1" t="s">
        <v>850</v>
      </c>
      <c r="B186" s="0" t="s">
        <v>95</v>
      </c>
      <c r="E186" s="6" t="n">
        <f aca="false">Q!M42</f>
        <v>145.3</v>
      </c>
      <c r="F186" s="6" t="n">
        <f aca="false">Sens!F184+Sens!F185</f>
        <v>204.2</v>
      </c>
      <c r="G186" s="6" t="n">
        <f aca="false">Sens!G184+Sens!G185</f>
        <v>225.177074053589</v>
      </c>
      <c r="H186" s="6" t="n">
        <f aca="false">Sens!H184+Sens!H185</f>
        <v>235.64179955449</v>
      </c>
      <c r="I186" s="6" t="n">
        <f aca="false">Sens!I184+Sens!I185</f>
        <v>271.512361568711</v>
      </c>
      <c r="J186" s="6" t="n">
        <f aca="false">Sens!J184+Sens!J185</f>
        <v>291.982974174107</v>
      </c>
      <c r="K186" s="6" t="n">
        <f aca="false">Sens!K184+Sens!K185</f>
        <v>341.500014692394</v>
      </c>
      <c r="L186" s="1" t="s">
        <v>851</v>
      </c>
    </row>
    <row r="187" customFormat="false" ht="15" hidden="false" customHeight="false" outlineLevel="0" collapsed="false">
      <c r="A187" s="1" t="s">
        <v>852</v>
      </c>
      <c r="B187" s="0" t="s">
        <v>95</v>
      </c>
      <c r="E187" s="6" t="n">
        <f aca="false">fl_liab</f>
        <v>66.594</v>
      </c>
      <c r="F187" s="6" t="n">
        <f aca="false">Sens!E187-Sens!F188</f>
        <v>62.46973</v>
      </c>
      <c r="G187" s="6" t="n">
        <f aca="false">Sens!F187-Sens!G188</f>
        <v>57.98686785</v>
      </c>
      <c r="H187" s="6" t="n">
        <f aca="false">Sens!G187-Sens!H188</f>
        <v>53.92827690325</v>
      </c>
      <c r="I187" s="6" t="n">
        <f aca="false">Sens!H187-Sens!I188</f>
        <v>49.7850493638962</v>
      </c>
      <c r="J187" s="6" t="n">
        <f aca="false">Sens!I187-Sens!J188</f>
        <v>45.4823765852716</v>
      </c>
      <c r="K187" s="6" t="n">
        <f aca="false">Sens!J187-Sens!K188</f>
        <v>40.9860835316088</v>
      </c>
    </row>
    <row r="188" customFormat="false" ht="15" hidden="false" customHeight="false" outlineLevel="0" collapsed="false">
      <c r="A188" s="1" t="s">
        <v>853</v>
      </c>
      <c r="B188" s="0" t="s">
        <v>95</v>
      </c>
      <c r="F188" s="6" t="n">
        <f aca="false">fl_pay_27-Sens!E187*fl_rate</f>
        <v>4.12427</v>
      </c>
      <c r="G188" s="6" t="n">
        <f aca="false">fl_pay_28-Sens!F187*fl_rate</f>
        <v>4.48286215</v>
      </c>
      <c r="H188" s="6" t="n">
        <f aca="false">fl_pay_29-Sens!G187*fl_rate</f>
        <v>4.05859094675</v>
      </c>
      <c r="I188" s="6" t="n">
        <f aca="false">fl_pay_30-Sens!H187*fl_rate</f>
        <v>4.14322753935375</v>
      </c>
      <c r="J188" s="6" t="n">
        <f aca="false">fl_pay_31-Sens!I187*fl_rate</f>
        <v>4.30267277862467</v>
      </c>
      <c r="K188" s="6" t="n">
        <f aca="false">fl_pay_32-Sens!J187*fl_rate</f>
        <v>4.49629305366278</v>
      </c>
    </row>
    <row r="189" customFormat="false" ht="17.15" hidden="false" customHeight="false" outlineLevel="0" collapsed="false">
      <c r="A189" s="1" t="s">
        <v>854</v>
      </c>
      <c r="B189" s="0" t="s">
        <v>95</v>
      </c>
      <c r="E189" s="6" t="n">
        <f aca="false">Q!M35-Q!M36-Q!M43</f>
        <v>63.886</v>
      </c>
      <c r="F189" s="6" t="n">
        <f aca="false">Sens!F183-Sens!F186-Sens!F188</f>
        <v>-2.34096264622327</v>
      </c>
      <c r="G189" s="6" t="n">
        <f aca="false">Sens!G183-Sens!G186-Sens!G188</f>
        <v>30.7893769047526</v>
      </c>
      <c r="H189" s="6" t="n">
        <f aca="false">Sens!H183-Sens!H186-Sens!H188</f>
        <v>75.7101650581141</v>
      </c>
      <c r="I189" s="6" t="n">
        <f aca="false">Sens!I183-Sens!I186-Sens!I188</f>
        <v>89.7072276113333</v>
      </c>
      <c r="J189" s="6" t="n">
        <f aca="false">Sens!J183-Sens!J186-Sens!J188</f>
        <v>117.439433692535</v>
      </c>
      <c r="K189" s="6" t="n">
        <f aca="false">Sens!K183-Sens!K186-Sens!K188</f>
        <v>114.881357370413</v>
      </c>
      <c r="L189" s="11" t="s">
        <v>855</v>
      </c>
    </row>
    <row r="190" customFormat="false" ht="15" hidden="false" customHeight="false" outlineLevel="0" collapsed="false">
      <c r="A190" s="1" t="s">
        <v>856</v>
      </c>
      <c r="B190" s="0" t="s">
        <v>73</v>
      </c>
      <c r="F190" s="8" t="n">
        <f aca="false">dps_27</f>
        <v>3.85</v>
      </c>
      <c r="G190" s="8" t="n">
        <f aca="false">Sens!F190*(1+dps_g)</f>
        <v>4.158</v>
      </c>
      <c r="H190" s="8" t="n">
        <f aca="false">Sens!G190*(1+dps_g)</f>
        <v>4.49064</v>
      </c>
      <c r="I190" s="8" t="n">
        <f aca="false">Sens!H190*(1+dps_g)</f>
        <v>4.8498912</v>
      </c>
      <c r="J190" s="8" t="n">
        <f aca="false">Sens!I190*(1+dps_g)</f>
        <v>5.237882496</v>
      </c>
      <c r="K190" s="8" t="n">
        <f aca="false">Sens!J190*(1+dps_g)</f>
        <v>5.65691309568</v>
      </c>
    </row>
    <row r="191" customFormat="false" ht="17.15" hidden="false" customHeight="false" outlineLevel="0" collapsed="false">
      <c r="A191" s="1" t="s">
        <v>857</v>
      </c>
      <c r="B191" s="0" t="s">
        <v>95</v>
      </c>
      <c r="E191" s="6" t="n">
        <f aca="false">Q!M41</f>
        <v>26.445</v>
      </c>
      <c r="F191" s="6" t="n">
        <f aca="false">Sens!F190*Sens!E200</f>
        <v>28.59395</v>
      </c>
      <c r="G191" s="6" t="n">
        <f aca="false">Sens!G190*Sens!F200</f>
        <v>31.068576</v>
      </c>
      <c r="H191" s="6" t="n">
        <f aca="false">Sens!H190*Sens!G200</f>
        <v>33.75614088</v>
      </c>
      <c r="I191" s="6" t="n">
        <f aca="false">Sens!I190*Sens!H200</f>
        <v>36.5075713903995</v>
      </c>
      <c r="J191" s="6" t="n">
        <f aca="false">Sens!J190*Sens!I200</f>
        <v>39.4965759499509</v>
      </c>
      <c r="K191" s="6" t="n">
        <f aca="false">Sens!K190*Sens!J200</f>
        <v>42.743557251252</v>
      </c>
      <c r="L191" s="1" t="s">
        <v>858</v>
      </c>
    </row>
    <row r="192" customFormat="false" ht="15" hidden="false" customHeight="false" outlineLevel="0" collapsed="false">
      <c r="A192" s="1" t="s">
        <v>859</v>
      </c>
      <c r="B192" s="0" t="s">
        <v>95</v>
      </c>
      <c r="E192" s="6" t="n">
        <f aca="false">Sens!E189-Sens!E191</f>
        <v>37.441</v>
      </c>
      <c r="F192" s="6" t="n">
        <f aca="false">Sens!F189-Sens!F191</f>
        <v>-30.9349126462233</v>
      </c>
      <c r="G192" s="6" t="n">
        <f aca="false">Sens!G189-Sens!G191</f>
        <v>-0.279199095247382</v>
      </c>
      <c r="H192" s="6" t="n">
        <f aca="false">Sens!H189-Sens!H191</f>
        <v>41.9540241781141</v>
      </c>
      <c r="I192" s="6" t="n">
        <f aca="false">Sens!I189-Sens!I191</f>
        <v>53.1996562209338</v>
      </c>
      <c r="J192" s="6" t="n">
        <f aca="false">Sens!J189-Sens!J191</f>
        <v>77.9428577425846</v>
      </c>
      <c r="K192" s="6" t="n">
        <f aca="false">Sens!K189-Sens!K191</f>
        <v>72.1378001191615</v>
      </c>
    </row>
    <row r="193" customFormat="false" ht="15" hidden="false" customHeight="false" outlineLevel="0" collapsed="false">
      <c r="A193" s="1" t="s">
        <v>860</v>
      </c>
      <c r="B193" s="0" t="s">
        <v>95</v>
      </c>
      <c r="F193" s="6" t="n">
        <f aca="false">debt_mat_27</f>
        <v>9.25</v>
      </c>
      <c r="G193" s="6" t="n">
        <f aca="false">debt_mat_28</f>
        <v>0</v>
      </c>
      <c r="H193" s="6" t="n">
        <f aca="false">debt_mat_29</f>
        <v>2.001</v>
      </c>
      <c r="I193" s="6" t="n">
        <f aca="false">debt_mat_30</f>
        <v>0</v>
      </c>
      <c r="J193" s="6" t="n">
        <f aca="false">debt_mat_31</f>
        <v>0.5</v>
      </c>
      <c r="K193" s="6" t="n">
        <f aca="false">debt_mat_32</f>
        <v>0</v>
      </c>
    </row>
    <row r="194" customFormat="false" ht="15" hidden="false" customHeight="false" outlineLevel="0" collapsed="false">
      <c r="A194" s="1" t="s">
        <v>861</v>
      </c>
      <c r="B194" s="0" t="s">
        <v>95</v>
      </c>
      <c r="E194" s="6" t="n">
        <f aca="false">Q!M40</f>
        <v>22.271</v>
      </c>
      <c r="F194" s="6" t="n">
        <f aca="false">MAX(0,MIN(bb_target,Sens!E196+Sens!F192-Sens!F193-min_cash))</f>
        <v>0</v>
      </c>
      <c r="G194" s="6" t="n">
        <f aca="false">MAX(0,MIN(bb_target,Sens!F196+Sens!G192-Sens!G193-min_cash))</f>
        <v>0</v>
      </c>
      <c r="H194" s="6" t="n">
        <f aca="false">MAX(0,MIN(bb_target,Sens!G196+Sens!H192-Sens!H193-min_cash))</f>
        <v>22.271</v>
      </c>
      <c r="I194" s="6" t="n">
        <f aca="false">MAX(0,MIN(bb_target,Sens!H196+Sens!I192-Sens!I193-min_cash))</f>
        <v>22.271</v>
      </c>
      <c r="J194" s="6" t="n">
        <f aca="false">MAX(0,MIN(bb_target,Sens!I196+Sens!J192-Sens!J193-min_cash))</f>
        <v>22.271</v>
      </c>
      <c r="K194" s="6" t="n">
        <f aca="false">MAX(0,MIN(bb_target,Sens!J196+Sens!K192-Sens!K193-min_cash))</f>
        <v>22.271</v>
      </c>
    </row>
    <row r="195" customFormat="false" ht="15" hidden="false" customHeight="false" outlineLevel="0" collapsed="false">
      <c r="A195" s="1" t="s">
        <v>862</v>
      </c>
      <c r="B195" s="0" t="s">
        <v>95</v>
      </c>
      <c r="F195" s="6" t="n">
        <f aca="false">MAX(0,min_cash-(Sens!E196+Sens!F192-Sens!F193-Sens!F194))</f>
        <v>13.3419126462233</v>
      </c>
      <c r="G195" s="6" t="n">
        <f aca="false">MAX(0,min_cash-(Sens!F196+Sens!G192-Sens!G193-Sens!G194))</f>
        <v>0.279199095247378</v>
      </c>
      <c r="H195" s="6" t="n">
        <f aca="false">MAX(0,min_cash-(Sens!G196+Sens!H192-Sens!H193-Sens!H194))</f>
        <v>0</v>
      </c>
      <c r="I195" s="6" t="n">
        <f aca="false">MAX(0,min_cash-(Sens!H196+Sens!I192-Sens!I193-Sens!I194))</f>
        <v>0</v>
      </c>
      <c r="J195" s="6" t="n">
        <f aca="false">MAX(0,min_cash-(Sens!I196+Sens!J192-Sens!J193-Sens!J194))</f>
        <v>0</v>
      </c>
      <c r="K195" s="6" t="n">
        <f aca="false">MAX(0,min_cash-(Sens!J196+Sens!K192-Sens!K193-Sens!K194))</f>
        <v>0</v>
      </c>
    </row>
    <row r="196" customFormat="false" ht="15" hidden="false" customHeight="false" outlineLevel="0" collapsed="false">
      <c r="A196" s="1" t="s">
        <v>863</v>
      </c>
      <c r="B196" s="0" t="s">
        <v>95</v>
      </c>
      <c r="E196" s="6" t="n">
        <f aca="false">cash_open</f>
        <v>76.843</v>
      </c>
      <c r="F196" s="6" t="n">
        <f aca="false">Sens!E196+Sens!F192-Sens!F193-Sens!F194+Sens!F195</f>
        <v>50</v>
      </c>
      <c r="G196" s="6" t="n">
        <f aca="false">Sens!F196+Sens!G192-Sens!G193-Sens!G194+Sens!G195</f>
        <v>50</v>
      </c>
      <c r="H196" s="6" t="n">
        <f aca="false">Sens!G196+Sens!H192-Sens!H193-Sens!H194+Sens!H195</f>
        <v>67.6820241781141</v>
      </c>
      <c r="I196" s="6" t="n">
        <f aca="false">Sens!H196+Sens!I192-Sens!I193-Sens!I194+Sens!I195</f>
        <v>98.6106803990479</v>
      </c>
      <c r="J196" s="6" t="n">
        <f aca="false">Sens!I196+Sens!J192-Sens!J193-Sens!J194+Sens!J195</f>
        <v>153.782538141632</v>
      </c>
      <c r="K196" s="6" t="n">
        <f aca="false">Sens!J196+Sens!K192-Sens!K193-Sens!K194+Sens!K195</f>
        <v>203.649338260794</v>
      </c>
    </row>
    <row r="197" customFormat="false" ht="15" hidden="false" customHeight="false" outlineLevel="0" collapsed="false">
      <c r="A197" s="1" t="s">
        <v>864</v>
      </c>
      <c r="B197" s="0" t="s">
        <v>95</v>
      </c>
      <c r="E197" s="6" t="n">
        <f aca="false">debt_face</f>
        <v>46.136</v>
      </c>
      <c r="F197" s="6" t="n">
        <f aca="false">Sens!E197-Sens!F193+Sens!F195</f>
        <v>50.2279126462233</v>
      </c>
      <c r="G197" s="6" t="n">
        <f aca="false">Sens!F197-Sens!G193+Sens!G195</f>
        <v>50.5071117414706</v>
      </c>
      <c r="H197" s="6" t="n">
        <f aca="false">Sens!G197-Sens!H193+Sens!H195</f>
        <v>48.5061117414707</v>
      </c>
      <c r="I197" s="6" t="n">
        <f aca="false">Sens!H197-Sens!I193+Sens!I195</f>
        <v>48.5061117414707</v>
      </c>
      <c r="J197" s="6" t="n">
        <f aca="false">Sens!I197-Sens!J193+Sens!J195</f>
        <v>48.0061117414707</v>
      </c>
      <c r="K197" s="6" t="n">
        <f aca="false">Sens!J197-Sens!K193+Sens!K195</f>
        <v>48.0061117414707</v>
      </c>
    </row>
    <row r="198" customFormat="false" ht="15" hidden="false" customHeight="false" outlineLevel="0" collapsed="false">
      <c r="A198" s="1" t="s">
        <v>865</v>
      </c>
      <c r="B198" s="0" t="s">
        <v>95</v>
      </c>
      <c r="E198" s="6" t="n">
        <f aca="false">Sens!E196-Sens!E197</f>
        <v>30.707</v>
      </c>
      <c r="F198" s="6" t="n">
        <f aca="false">Sens!F196-Sens!F197</f>
        <v>-0.227912646223267</v>
      </c>
      <c r="G198" s="6" t="n">
        <f aca="false">Sens!G196-Sens!G197</f>
        <v>-0.507111741470645</v>
      </c>
      <c r="H198" s="6" t="n">
        <f aca="false">Sens!H196-Sens!H197</f>
        <v>19.1759124366434</v>
      </c>
      <c r="I198" s="6" t="n">
        <f aca="false">Sens!I196-Sens!I197</f>
        <v>50.1045686575773</v>
      </c>
      <c r="J198" s="6" t="n">
        <f aca="false">Sens!J196-Sens!J197</f>
        <v>105.776426400162</v>
      </c>
      <c r="K198" s="6" t="n">
        <f aca="false">Sens!K196-Sens!K197</f>
        <v>155.643226519323</v>
      </c>
    </row>
    <row r="199" customFormat="false" ht="15" hidden="false" customHeight="false" outlineLevel="0" collapsed="false">
      <c r="A199" s="1" t="s">
        <v>866</v>
      </c>
      <c r="B199" s="0" t="s">
        <v>73</v>
      </c>
      <c r="F199" s="27" t="n">
        <f aca="false">px*(1+bb_g)^(1-0.5)</f>
        <v>553.494156066711</v>
      </c>
      <c r="G199" s="27" t="n">
        <f aca="false">px*(1+bb_g)^(2-0.5)</f>
        <v>597.773688552047</v>
      </c>
      <c r="H199" s="27" t="n">
        <f aca="false">px*(1+bb_g)^(3-0.5)</f>
        <v>645.595583636211</v>
      </c>
      <c r="I199" s="27" t="n">
        <f aca="false">px*(1+bb_g)^(4-0.5)</f>
        <v>697.243230327108</v>
      </c>
      <c r="J199" s="27" t="n">
        <f aca="false">px*(1+bb_g)^(5-0.5)</f>
        <v>753.022688753277</v>
      </c>
      <c r="K199" s="27" t="n">
        <f aca="false">px*(1+bb_g)^(6-0.5)</f>
        <v>813.264503853539</v>
      </c>
    </row>
    <row r="200" customFormat="false" ht="15" hidden="false" customHeight="false" outlineLevel="0" collapsed="false">
      <c r="A200" s="1" t="s">
        <v>867</v>
      </c>
      <c r="B200" s="1" t="s">
        <v>79</v>
      </c>
      <c r="E200" s="18" t="n">
        <f aca="false">sh_out26</f>
        <v>7.427</v>
      </c>
      <c r="F200" s="18" t="n">
        <f aca="false">Sens!E200+sh_iss-Sens!F194/Sens!F199</f>
        <v>7.472</v>
      </c>
      <c r="G200" s="18" t="n">
        <f aca="false">Sens!F200+sh_iss-Sens!G194/Sens!G199</f>
        <v>7.517</v>
      </c>
      <c r="H200" s="18" t="n">
        <f aca="false">Sens!G200+sh_iss-Sens!H194/Sens!H199</f>
        <v>7.5275031716999</v>
      </c>
      <c r="I200" s="18" t="n">
        <f aca="false">Sens!H200+sh_iss-Sens!I194/Sens!I199</f>
        <v>7.54056166401463</v>
      </c>
      <c r="J200" s="18" t="n">
        <f aca="false">Sens!I200+sh_iss-Sens!J194/Sens!J199</f>
        <v>7.55598619393567</v>
      </c>
      <c r="K200" s="18" t="n">
        <f aca="false">Sens!J200+sh_iss-Sens!K194/Sens!K199</f>
        <v>7.57360149941811</v>
      </c>
    </row>
    <row r="201" customFormat="false" ht="15" hidden="false" customHeight="false" outlineLevel="0" collapsed="false">
      <c r="A201" s="1" t="s">
        <v>868</v>
      </c>
      <c r="B201" s="1" t="s">
        <v>79</v>
      </c>
      <c r="E201" s="18" t="n">
        <f aca="false">sh_dil26</f>
        <v>7.453</v>
      </c>
      <c r="F201" s="18" t="n">
        <f aca="false">(Sens!E200+Sens!F200)/2+dil_gap</f>
        <v>7.4735</v>
      </c>
      <c r="G201" s="18" t="n">
        <f aca="false">(Sens!F200+Sens!G200)/2+dil_gap</f>
        <v>7.5185</v>
      </c>
      <c r="H201" s="18" t="n">
        <f aca="false">(Sens!G200+Sens!H200)/2+dil_gap</f>
        <v>7.54625158584995</v>
      </c>
      <c r="I201" s="18" t="n">
        <f aca="false">(Sens!H200+Sens!I200)/2+dil_gap</f>
        <v>7.55803241785726</v>
      </c>
      <c r="J201" s="18" t="n">
        <f aca="false">(Sens!I200+Sens!J200)/2+dil_gap</f>
        <v>7.57227392897515</v>
      </c>
      <c r="K201" s="18" t="n">
        <f aca="false">(Sens!J200+Sens!K200)/2+dil_gap</f>
        <v>7.58879384667689</v>
      </c>
    </row>
    <row r="202" customFormat="false" ht="17.15" hidden="false" customHeight="false" outlineLevel="0" collapsed="false">
      <c r="A202" s="1" t="s">
        <v>869</v>
      </c>
      <c r="B202" s="0" t="s">
        <v>95</v>
      </c>
      <c r="C202" s="6" t="n">
        <f aca="false">SUM(Sens!F192:J192)</f>
        <v>141.882426400162</v>
      </c>
    </row>
    <row r="203" customFormat="false" ht="17.15" hidden="false" customHeight="false" outlineLevel="0" collapsed="false">
      <c r="A203" s="1" t="s">
        <v>836</v>
      </c>
      <c r="B203" s="1" t="s">
        <v>870</v>
      </c>
      <c r="C203" s="30" t="str">
        <f aca="false">IF(SUM(Sens!F195:J195)&gt;0.05,"需要舉債 "&amp;TEXT(SUM(Sens!F195:J195),"0.0")&amp;" 十億美元","不需舉債")&amp;"；"&amp;IF(SUM(Sens!F194:J194)&lt;5*bb_target-0.05,"回購較每年 "&amp;TEXT(bb_target,"0.0")&amp;" 的目標少 "&amp;TEXT(5*bb_target-SUM(Sens!F194:J194),"0.0")&amp;" 十億美元（"&amp;TEXT(COUNTIF(Sens!F194:J194,"&lt;"&amp;(bb_target-0.05)),"0")&amp;" 年減少）","回購不減")</f>
        <v>需要舉債 13.6 十億美元；回購較每年 22.3 的目標少 44.5 十億美元（2 年減少）</v>
      </c>
    </row>
    <row r="204" customFormat="false" ht="17.15" hidden="false" customHeight="false" outlineLevel="0" collapsed="false">
      <c r="A204" s="3" t="s">
        <v>1118</v>
      </c>
    </row>
    <row r="205" customFormat="false" ht="15" hidden="false" customHeight="false" outlineLevel="0" collapsed="false">
      <c r="A205" s="4" t="s">
        <v>43</v>
      </c>
      <c r="B205" s="4" t="s">
        <v>63</v>
      </c>
      <c r="C205" s="19" t="s">
        <v>710</v>
      </c>
      <c r="D205" s="19" t="s">
        <v>711</v>
      </c>
      <c r="E205" s="19" t="s">
        <v>712</v>
      </c>
      <c r="F205" s="19" t="s">
        <v>713</v>
      </c>
      <c r="G205" s="19" t="s">
        <v>714</v>
      </c>
      <c r="H205" s="19" t="s">
        <v>715</v>
      </c>
      <c r="I205" s="19" t="s">
        <v>716</v>
      </c>
      <c r="J205" s="19" t="s">
        <v>717</v>
      </c>
      <c r="K205" s="19" t="s">
        <v>718</v>
      </c>
      <c r="L205" s="4" t="s">
        <v>47</v>
      </c>
    </row>
    <row r="206" customFormat="false" ht="17.15" hidden="false" customHeight="false" outlineLevel="0" collapsed="false">
      <c r="A206" s="1" t="s">
        <v>938</v>
      </c>
      <c r="B206" s="1" t="s">
        <v>213</v>
      </c>
      <c r="F206" s="34" t="n">
        <f aca="false">1-0.5</f>
        <v>0.5</v>
      </c>
      <c r="G206" s="34" t="n">
        <f aca="false">2-0.5</f>
        <v>1.5</v>
      </c>
      <c r="H206" s="34" t="n">
        <f aca="false">3-0.5</f>
        <v>2.5</v>
      </c>
      <c r="I206" s="34" t="n">
        <f aca="false">4-0.5</f>
        <v>3.5</v>
      </c>
      <c r="J206" s="34" t="n">
        <f aca="false">5-0.5</f>
        <v>4.5</v>
      </c>
      <c r="K206" s="34" t="n">
        <f aca="false">6-0.5</f>
        <v>5.5</v>
      </c>
    </row>
    <row r="207" customFormat="false" ht="15" hidden="false" customHeight="false" outlineLevel="0" collapsed="false">
      <c r="A207" s="1" t="s">
        <v>939</v>
      </c>
      <c r="B207" s="0" t="s">
        <v>182</v>
      </c>
      <c r="F207" s="18" t="n">
        <f aca="false">1/(1+wacc)^Sens!F206</f>
        <v>0.949601579913219</v>
      </c>
      <c r="G207" s="18" t="n">
        <f aca="false">1/(1+wacc)^Sens!G206</f>
        <v>0.856296729956707</v>
      </c>
      <c r="H207" s="18" t="n">
        <f aca="false">1/(1+wacc)^Sens!H206</f>
        <v>0.772159719660069</v>
      </c>
      <c r="I207" s="18" t="n">
        <f aca="false">1/(1+wacc)^Sens!I206</f>
        <v>0.696289746073958</v>
      </c>
      <c r="J207" s="18" t="n">
        <f aca="false">1/(1+wacc)^Sens!J206</f>
        <v>0.627874516299776</v>
      </c>
      <c r="K207" s="18" t="n">
        <f aca="false">1/(1+wacc)^Sens!K206</f>
        <v>0.566181550771831</v>
      </c>
    </row>
    <row r="208" customFormat="false" ht="15" hidden="false" customHeight="false" outlineLevel="0" collapsed="false">
      <c r="A208" s="1" t="s">
        <v>940</v>
      </c>
      <c r="B208" s="0" t="s">
        <v>95</v>
      </c>
      <c r="F208" s="6" t="n">
        <f aca="false">Sens!F189*Sens!F207</f>
        <v>-2.22298182737144</v>
      </c>
      <c r="G208" s="6" t="n">
        <f aca="false">Sens!G189*Sens!G207</f>
        <v>26.3648427609442</v>
      </c>
      <c r="H208" s="6" t="n">
        <f aca="false">Sens!H189*Sens!H207</f>
        <v>58.4603398266909</v>
      </c>
      <c r="I208" s="6" t="n">
        <f aca="false">Sens!I189*Sens!I207</f>
        <v>62.462222734494</v>
      </c>
      <c r="J208" s="6" t="n">
        <f aca="false">Sens!J189*Sens!J207</f>
        <v>73.7372276242203</v>
      </c>
      <c r="K208" s="6" t="n">
        <f aca="false">Sens!K189*Sens!K207</f>
        <v>65.0437050707537</v>
      </c>
    </row>
    <row r="209" customFormat="false" ht="17.15" hidden="false" customHeight="false" outlineLevel="0" collapsed="false">
      <c r="A209" s="1" t="s">
        <v>941</v>
      </c>
      <c r="B209" s="0" t="s">
        <v>95</v>
      </c>
      <c r="C209" s="6" t="n">
        <f aca="false">SUM(Sens!F208:K208)</f>
        <v>283.845356189732</v>
      </c>
    </row>
    <row r="210" customFormat="false" ht="17.15" hidden="false" customHeight="false" outlineLevel="0" collapsed="false">
      <c r="A210" s="1" t="s">
        <v>942</v>
      </c>
      <c r="B210" s="0" t="s">
        <v>95</v>
      </c>
      <c r="C210" s="6" t="n">
        <f aca="false">Sens!K155*(1+g_tv)*(1-tax_f)</f>
        <v>226.708038006547</v>
      </c>
    </row>
    <row r="211" customFormat="false" ht="17.15" hidden="false" customHeight="false" outlineLevel="0" collapsed="false">
      <c r="A211" s="1" t="s">
        <v>943</v>
      </c>
      <c r="B211" s="0" t="s">
        <v>95</v>
      </c>
      <c r="C211" s="6" t="n">
        <f aca="false">Sens!$C$210*(1-g_tv/(wacc+ronic_prem))</f>
        <v>164.290269254851</v>
      </c>
    </row>
    <row r="212" customFormat="false" ht="17.15" hidden="false" customHeight="false" outlineLevel="0" collapsed="false">
      <c r="A212" s="1" t="s">
        <v>944</v>
      </c>
      <c r="B212" s="0" t="s">
        <v>95</v>
      </c>
      <c r="C212" s="6" t="n">
        <f aca="false">Sens!$C$211/(wacc-g_tv)</f>
        <v>2080.59229172318</v>
      </c>
    </row>
    <row r="213" customFormat="false" ht="15" hidden="false" customHeight="false" outlineLevel="0" collapsed="false">
      <c r="A213" s="1" t="s">
        <v>945</v>
      </c>
      <c r="B213" s="0" t="s">
        <v>95</v>
      </c>
      <c r="C213" s="6" t="n">
        <f aca="false">Sens!$C$212/(1+wacc)^6</f>
        <v>1118.62398567773</v>
      </c>
    </row>
    <row r="214" customFormat="false" ht="17.15" hidden="false" customHeight="false" outlineLevel="0" collapsed="false">
      <c r="A214" s="0" t="s">
        <v>877</v>
      </c>
      <c r="B214" s="0" t="s">
        <v>95</v>
      </c>
      <c r="C214" s="6" t="n">
        <f aca="false">Sens!$C$209+Sens!$C$213</f>
        <v>1402.46934186746</v>
      </c>
    </row>
    <row r="215" customFormat="false" ht="15" hidden="false" customHeight="false" outlineLevel="0" collapsed="false">
      <c r="A215" s="1" t="s">
        <v>878</v>
      </c>
      <c r="B215" s="0" t="s">
        <v>126</v>
      </c>
      <c r="C215" s="7" t="n">
        <f aca="false">Sens!$C$213/Sens!$C$214</f>
        <v>0.797610295130033</v>
      </c>
    </row>
    <row r="216" customFormat="false" ht="17.15" hidden="false" customHeight="false" outlineLevel="0" collapsed="false">
      <c r="A216" s="1" t="s">
        <v>946</v>
      </c>
      <c r="B216" s="0" t="s">
        <v>95</v>
      </c>
      <c r="C216" s="6" t="n">
        <f aca="false">Sens!$C$214+Sens!E198+oai_v</f>
        <v>1603.57634186746</v>
      </c>
    </row>
    <row r="217" customFormat="false" ht="17.15" hidden="false" customHeight="false" outlineLevel="0" collapsed="false">
      <c r="A217" s="0" t="s">
        <v>883</v>
      </c>
      <c r="B217" s="0" t="s">
        <v>73</v>
      </c>
      <c r="C217" s="5" t="n">
        <f aca="false">Sens!$C$216/sh_dil26</f>
        <v>215.158505550444</v>
      </c>
    </row>
    <row r="218" customFormat="false" ht="17.15" hidden="false" customHeight="false" outlineLevel="0" collapsed="false">
      <c r="A218" s="0" t="s">
        <v>947</v>
      </c>
      <c r="B218" s="0" t="s">
        <v>73</v>
      </c>
      <c r="C218" s="5" t="n">
        <f aca="false">Sens!$C$217*(1+wacc)^t_roll</f>
        <v>246.785637719513</v>
      </c>
    </row>
    <row r="219" customFormat="false" ht="17.15" hidden="false" customHeight="false" outlineLevel="0" collapsed="false">
      <c r="A219" s="1" t="s">
        <v>948</v>
      </c>
      <c r="B219" s="0" t="s">
        <v>126</v>
      </c>
      <c r="F219" s="7" t="n">
        <f aca="false">Sens!F179/(Sens!F130-Sens!F86)</f>
        <v>0.0681773598226415</v>
      </c>
      <c r="G219" s="7" t="n">
        <f aca="false">Sens!G179/(Sens!G130-Sens!G86)</f>
        <v>0.0650385409375172</v>
      </c>
      <c r="H219" s="7" t="n">
        <f aca="false">Sens!H179/(Sens!H130-Sens!H86)</f>
        <v>0.063382542471986</v>
      </c>
      <c r="I219" s="7" t="n">
        <f aca="false">Sens!I179/(Sens!I130-Sens!I86)</f>
        <v>0.0630998138876076</v>
      </c>
      <c r="J219" s="7" t="n">
        <f aca="false">Sens!J179/(Sens!J130-Sens!J86)</f>
        <v>0.0638399980286975</v>
      </c>
      <c r="K219" s="7" t="n">
        <f aca="false">Sens!K179/(Sens!K130-Sens!K86)</f>
        <v>0.0651531082402687</v>
      </c>
    </row>
    <row r="220" customFormat="false" ht="17.15" hidden="false" customHeight="false" outlineLevel="0" collapsed="false">
      <c r="A220" s="0" t="s">
        <v>949</v>
      </c>
      <c r="B220" s="0" t="s">
        <v>95</v>
      </c>
      <c r="F220" s="6" t="n">
        <f aca="false">Sens!F115*(al_m365+Sens!F219)</f>
        <v>80.4434678008041</v>
      </c>
      <c r="G220" s="6" t="n">
        <f aca="false">Sens!G115*(al_m365+Sens!G219)</f>
        <v>94.1323272633269</v>
      </c>
      <c r="H220" s="6" t="n">
        <f aca="false">Sens!H115*(al_m365+Sens!H219)</f>
        <v>107.983658528206</v>
      </c>
      <c r="I220" s="6" t="n">
        <f aca="false">Sens!I115*(al_m365+Sens!I219)</f>
        <v>120.408335219477</v>
      </c>
      <c r="J220" s="6" t="n">
        <f aca="false">Sens!J115*(al_m365+Sens!J219)</f>
        <v>131.229685027411</v>
      </c>
      <c r="K220" s="6" t="n">
        <f aca="false">Sens!K115*(al_m365+Sens!K219)</f>
        <v>141.696231007978</v>
      </c>
    </row>
    <row r="221" customFormat="false" ht="17.15" hidden="false" customHeight="false" outlineLevel="0" collapsed="false">
      <c r="A221" s="0" t="s">
        <v>950</v>
      </c>
      <c r="B221" s="0" t="s">
        <v>95</v>
      </c>
      <c r="F221" s="6" t="n">
        <f aca="false">Sens!F116*(al_lic+Sens!F219)</f>
        <v>31.9678940661213</v>
      </c>
      <c r="G221" s="6" t="n">
        <f aca="false">Sens!G116*(al_lic+Sens!G219)</f>
        <v>33.1937184472398</v>
      </c>
      <c r="H221" s="6" t="n">
        <f aca="false">Sens!H116*(al_lic+Sens!H219)</f>
        <v>34.3439380840055</v>
      </c>
      <c r="I221" s="6" t="n">
        <f aca="false">Sens!I116*(al_lic+Sens!I219)</f>
        <v>35.4022023072784</v>
      </c>
      <c r="J221" s="6" t="n">
        <f aca="false">Sens!J116*(al_lic+Sens!J219)</f>
        <v>36.3410576398918</v>
      </c>
      <c r="K221" s="6" t="n">
        <f aca="false">Sens!K116*(al_lic+Sens!K219)</f>
        <v>37.1276868757058</v>
      </c>
    </row>
    <row r="222" customFormat="false" ht="17.15" hidden="false" customHeight="false" outlineLevel="0" collapsed="false">
      <c r="A222" s="0" t="s">
        <v>951</v>
      </c>
      <c r="B222" s="0" t="s">
        <v>95</v>
      </c>
      <c r="F222" s="6" t="n">
        <f aca="false">Sens!F118*(al_ind+Sens!F219)</f>
        <v>8.23142235288747</v>
      </c>
      <c r="G222" s="6" t="n">
        <f aca="false">Sens!G118*(al_ind+Sens!G219)</f>
        <v>8.92125445211874</v>
      </c>
      <c r="H222" s="6" t="n">
        <f aca="false">Sens!H118*(al_ind+Sens!H219)</f>
        <v>9.65645689966252</v>
      </c>
      <c r="I222" s="6" t="n">
        <f aca="false">Sens!I118*(al_ind+Sens!I219)</f>
        <v>10.4359305133559</v>
      </c>
      <c r="J222" s="6" t="n">
        <f aca="false">Sens!J118*(al_ind+Sens!J219)</f>
        <v>11.2496615107155</v>
      </c>
      <c r="K222" s="6" t="n">
        <f aca="false">Sens!K118*(al_ind+Sens!K219)</f>
        <v>12.0805802325565</v>
      </c>
    </row>
    <row r="223" customFormat="false" ht="17.15" hidden="false" customHeight="false" outlineLevel="0" collapsed="false">
      <c r="A223" s="0" t="s">
        <v>952</v>
      </c>
      <c r="B223" s="0" t="s">
        <v>95</v>
      </c>
      <c r="F223" s="6" t="n">
        <f aca="false">Sens!F120*(al_fro+Sens!F219)</f>
        <v>3.23991673698178</v>
      </c>
      <c r="G223" s="6" t="n">
        <f aca="false">Sens!G120*(al_fro+Sens!G219)</f>
        <v>3.42523427012141</v>
      </c>
      <c r="H223" s="6" t="n">
        <f aca="false">Sens!H120*(al_fro+Sens!H219)</f>
        <v>3.63888347669114</v>
      </c>
      <c r="I223" s="6" t="n">
        <f aca="false">Sens!I120*(al_fro+Sens!I219)</f>
        <v>3.88382859986432</v>
      </c>
      <c r="J223" s="6" t="n">
        <f aca="false">Sens!J120*(al_fro+Sens!J219)</f>
        <v>4.16055715035227</v>
      </c>
      <c r="K223" s="6" t="n">
        <f aca="false">Sens!K120*(al_fro+Sens!K219)</f>
        <v>4.46786282583631</v>
      </c>
    </row>
    <row r="224" customFormat="false" ht="17.15" hidden="false" customHeight="false" outlineLevel="0" collapsed="false">
      <c r="A224" s="0" t="s">
        <v>953</v>
      </c>
      <c r="B224" s="0" t="s">
        <v>95</v>
      </c>
      <c r="F224" s="6" t="n">
        <f aca="false">Sens!F123*(al_srch+Sens!F219)</f>
        <v>10.1659255338338</v>
      </c>
      <c r="G224" s="6" t="n">
        <f aca="false">Sens!G123*(al_srch+Sens!G219)</f>
        <v>11.1218361064416</v>
      </c>
      <c r="H224" s="6" t="n">
        <f aca="false">Sens!H123*(al_srch+Sens!H219)</f>
        <v>12.1240320316325</v>
      </c>
      <c r="I224" s="6" t="n">
        <f aca="false">Sens!I123*(al_srch+Sens!I219)</f>
        <v>13.1651647223307</v>
      </c>
      <c r="J224" s="6" t="n">
        <f aca="false">Sens!J123*(al_srch+Sens!J219)</f>
        <v>14.2257207024961</v>
      </c>
      <c r="K224" s="6" t="n">
        <f aca="false">Sens!K123*(al_srch+Sens!K219)</f>
        <v>15.2764561092572</v>
      </c>
    </row>
    <row r="225" customFormat="false" ht="17.15" hidden="false" customHeight="false" outlineLevel="0" collapsed="false">
      <c r="A225" s="0" t="s">
        <v>954</v>
      </c>
      <c r="B225" s="0" t="s">
        <v>95</v>
      </c>
      <c r="F225" s="6" t="n">
        <f aca="false">Sens!F92</f>
        <v>34.3179905201618</v>
      </c>
      <c r="G225" s="6" t="n">
        <f aca="false">Sens!G92</f>
        <v>63.2659390087323</v>
      </c>
      <c r="H225" s="6" t="n">
        <f aca="false">Sens!H92</f>
        <v>97.7017827590837</v>
      </c>
      <c r="I225" s="6" t="n">
        <f aca="false">Sens!I92</f>
        <v>127.220805532502</v>
      </c>
      <c r="J225" s="6" t="n">
        <f aca="false">Sens!J92</f>
        <v>156.817488950892</v>
      </c>
      <c r="K225" s="6" t="n">
        <f aca="false">Sens!K92</f>
        <v>186.459856391728</v>
      </c>
    </row>
    <row r="226" customFormat="false" ht="17.15" hidden="false" customHeight="false" outlineLevel="0" collapsed="false">
      <c r="A226" s="0" t="s">
        <v>955</v>
      </c>
      <c r="B226" s="0" t="s">
        <v>95</v>
      </c>
      <c r="F226" s="6" t="n">
        <f aca="false">Sens!F152+Sens!F103+Sens!F219*(Sens!F122-Sens!F86)</f>
        <v>207.191145819706</v>
      </c>
      <c r="G226" s="6" t="n">
        <f aca="false">Sens!G152+Sens!G103+Sens!G219*(Sens!G122-Sens!G86)</f>
        <v>257.985306378705</v>
      </c>
      <c r="H226" s="6" t="n">
        <f aca="false">Sens!H152+Sens!H103+Sens!H219*(Sens!H122-Sens!H86)</f>
        <v>314.518367643702</v>
      </c>
      <c r="I226" s="6" t="n">
        <f aca="false">Sens!I152+Sens!I103+Sens!I219*(Sens!I122-Sens!I86)</f>
        <v>364.573294854211</v>
      </c>
      <c r="J226" s="6" t="n">
        <f aca="false">Sens!J152+Sens!J103+Sens!J219*(Sens!J122-Sens!J86)</f>
        <v>412.326751329801</v>
      </c>
      <c r="K226" s="6" t="n">
        <f aca="false">Sens!K152+Sens!K103+Sens!K219*(Sens!K122-Sens!K86)</f>
        <v>458.20141526763</v>
      </c>
    </row>
    <row r="227" customFormat="false" ht="17.15" hidden="false" customHeight="false" outlineLevel="0" collapsed="false">
      <c r="A227" s="0" t="s">
        <v>956</v>
      </c>
      <c r="B227" s="0" t="s">
        <v>95</v>
      </c>
      <c r="F227" s="6" t="n">
        <f aca="false">Sens!F226-Sens!F220-Sens!F221-Sens!F222-Sens!F223-Sens!F225</f>
        <v>48.9904543427497</v>
      </c>
      <c r="G227" s="6" t="n">
        <f aca="false">Sens!G226-Sens!G220-Sens!G221-Sens!G222-Sens!G223-Sens!G225</f>
        <v>55.0468329371656</v>
      </c>
      <c r="H227" s="6" t="n">
        <f aca="false">Sens!H226-Sens!H220-Sens!H221-Sens!H222-Sens!H223-Sens!H225</f>
        <v>61.1936478960528</v>
      </c>
      <c r="I227" s="6" t="n">
        <f aca="false">Sens!I226-Sens!I220-Sens!I221-Sens!I222-Sens!I223-Sens!I225</f>
        <v>67.2221926817336</v>
      </c>
      <c r="J227" s="6" t="n">
        <f aca="false">Sens!J226-Sens!J220-Sens!J221-Sens!J222-Sens!J223-Sens!J225</f>
        <v>72.5283010505383</v>
      </c>
      <c r="K227" s="6" t="n">
        <f aca="false">Sens!K226-Sens!K220-Sens!K221-Sens!K222-Sens!K223-Sens!K225</f>
        <v>76.3691979338254</v>
      </c>
    </row>
    <row r="228" customFormat="false" ht="17.15" hidden="false" customHeight="false" outlineLevel="0" collapsed="false">
      <c r="A228" s="0" t="s">
        <v>957</v>
      </c>
      <c r="B228" s="0" t="s">
        <v>95</v>
      </c>
      <c r="F228" s="6" t="n">
        <f aca="false">Sens!F154+Sens!F219*Sens!F129</f>
        <v>23.7366325885412</v>
      </c>
      <c r="G228" s="6" t="n">
        <f aca="false">Sens!G154+Sens!G219*Sens!G129</f>
        <v>24.2488001831921</v>
      </c>
      <c r="H228" s="6" t="n">
        <f aca="false">Sens!H154+Sens!H219*Sens!H129</f>
        <v>25.0191565857232</v>
      </c>
      <c r="I228" s="6" t="n">
        <f aca="false">Sens!I154+Sens!I219*Sens!I129</f>
        <v>26.0222596996374</v>
      </c>
      <c r="J228" s="6" t="n">
        <f aca="false">Sens!J154+Sens!J219*Sens!J129</f>
        <v>27.2212114824986</v>
      </c>
      <c r="K228" s="6" t="n">
        <f aca="false">Sens!K154+Sens!K219*Sens!K129</f>
        <v>28.5733379970501</v>
      </c>
    </row>
    <row r="229" customFormat="false" ht="17.15" hidden="false" customHeight="false" outlineLevel="0" collapsed="false">
      <c r="A229" s="0" t="s">
        <v>958</v>
      </c>
      <c r="B229" s="0" t="s">
        <v>95</v>
      </c>
      <c r="F229" s="6" t="n">
        <f aca="false">(Sens!F228-Sens!F224)*Sens!F125/(Sens!F125+Sens!F127)</f>
        <v>7.43932943061911</v>
      </c>
      <c r="G229" s="6" t="n">
        <f aca="false">(Sens!G228-Sens!G224)*Sens!G125/(Sens!G125+Sens!G127)</f>
        <v>7.06776830757547</v>
      </c>
      <c r="H229" s="6" t="n">
        <f aca="false">(Sens!H228-Sens!H224)*Sens!H125/(Sens!H125+Sens!H127)</f>
        <v>6.84915463876495</v>
      </c>
      <c r="I229" s="6" t="n">
        <f aca="false">(Sens!I228-Sens!I224)*Sens!I125/(Sens!I125+Sens!I127)</f>
        <v>6.76716702045722</v>
      </c>
      <c r="J229" s="6" t="n">
        <f aca="false">(Sens!J228-Sens!J224)*Sens!J125/(Sens!J125+Sens!J127)</f>
        <v>6.80907960368748</v>
      </c>
      <c r="K229" s="6" t="n">
        <f aca="false">(Sens!K228-Sens!K224)*Sens!K125/(Sens!K125+Sens!K127)</f>
        <v>6.96699561313494</v>
      </c>
    </row>
    <row r="230" customFormat="false" ht="17.15" hidden="false" customHeight="false" outlineLevel="0" collapsed="false">
      <c r="A230" s="0" t="s">
        <v>959</v>
      </c>
      <c r="B230" s="0" t="s">
        <v>95</v>
      </c>
      <c r="F230" s="6" t="n">
        <f aca="false">Sens!F228-Sens!F224-Sens!F229</f>
        <v>6.13137762408826</v>
      </c>
      <c r="G230" s="6" t="n">
        <f aca="false">Sens!G228-Sens!G224-Sens!G229</f>
        <v>6.05919576917505</v>
      </c>
      <c r="H230" s="6" t="n">
        <f aca="false">Sens!H228-Sens!H224-Sens!H229</f>
        <v>6.04596991532572</v>
      </c>
      <c r="I230" s="6" t="n">
        <f aca="false">Sens!I228-Sens!I224-Sens!I229</f>
        <v>6.08992795684943</v>
      </c>
      <c r="J230" s="6" t="n">
        <f aca="false">Sens!J228-Sens!J224-Sens!J229</f>
        <v>6.18641117631496</v>
      </c>
      <c r="K230" s="6" t="n">
        <f aca="false">Sens!K228-Sens!K224-Sens!K229</f>
        <v>6.32988627465802</v>
      </c>
    </row>
    <row r="231" customFormat="false" ht="17.15" hidden="false" customHeight="false" outlineLevel="0" collapsed="false">
      <c r="A231" s="1" t="s">
        <v>960</v>
      </c>
      <c r="B231" s="0" t="s">
        <v>95</v>
      </c>
      <c r="C231" s="6" t="n">
        <f aca="false">(w_ntm28*Sens!G225+(1-w_ntm28)*Sens!H225)*m_ai*1</f>
        <v>446.391736450336</v>
      </c>
    </row>
    <row r="232" customFormat="false" ht="17.15" hidden="false" customHeight="false" outlineLevel="0" collapsed="false">
      <c r="A232" s="1" t="s">
        <v>961</v>
      </c>
      <c r="B232" s="0" t="s">
        <v>95</v>
      </c>
      <c r="C232" s="6" t="n">
        <f aca="false">(w_ntm28*Sens!G227+(1-w_ntm28)*Sens!H227)*m_cloud*1</f>
        <v>788.210189992601</v>
      </c>
    </row>
    <row r="233" customFormat="false" ht="17.15" hidden="false" customHeight="false" outlineLevel="0" collapsed="false">
      <c r="A233" s="1" t="s">
        <v>962</v>
      </c>
      <c r="B233" s="0" t="s">
        <v>95</v>
      </c>
      <c r="C233" s="6" t="n">
        <f aca="false">(w_ntm28*Sens!G220+(1-w_ntm28)*Sens!H220)*m_sw*1</f>
        <v>1064.99115242739</v>
      </c>
    </row>
    <row r="234" customFormat="false" ht="17.15" hidden="false" customHeight="false" outlineLevel="0" collapsed="false">
      <c r="A234" s="1" t="s">
        <v>963</v>
      </c>
      <c r="B234" s="0" t="s">
        <v>95</v>
      </c>
      <c r="C234" s="6" t="n">
        <f aca="false">(w_ntm28*Sens!G221+(1-w_ntm28)*Sens!H221)*m_sw*1</f>
        <v>362.508158970174</v>
      </c>
    </row>
    <row r="235" customFormat="false" ht="17.15" hidden="false" customHeight="false" outlineLevel="0" collapsed="false">
      <c r="A235" s="1" t="s">
        <v>964</v>
      </c>
      <c r="B235" s="0" t="s">
        <v>95</v>
      </c>
      <c r="C235" s="6" t="n">
        <f aca="false">(w_ntm28*Sens!G222+(1-w_ntm28)*Sens!H222)*m_sw*1</f>
        <v>98.9165124641147</v>
      </c>
    </row>
    <row r="236" customFormat="false" ht="17.15" hidden="false" customHeight="false" outlineLevel="0" collapsed="false">
      <c r="A236" s="1" t="s">
        <v>965</v>
      </c>
      <c r="B236" s="0" t="s">
        <v>95</v>
      </c>
      <c r="C236" s="6" t="n">
        <f aca="false">(w_ntm28*Sens!G223+(1-w_ntm28)*Sens!H223)*m_sw*1</f>
        <v>37.7384877854002</v>
      </c>
    </row>
    <row r="237" customFormat="false" ht="17.15" hidden="false" customHeight="false" outlineLevel="0" collapsed="false">
      <c r="A237" s="1" t="s">
        <v>966</v>
      </c>
      <c r="B237" s="0" t="s">
        <v>95</v>
      </c>
      <c r="C237" s="6" t="n">
        <f aca="false">(w_ntm28*Sens!G224+(1-w_ntm28)*Sens!H224)*m_ads*1</f>
        <v>104.271544945195</v>
      </c>
    </row>
    <row r="238" customFormat="false" ht="17.15" hidden="false" customHeight="false" outlineLevel="0" collapsed="false">
      <c r="A238" s="1" t="s">
        <v>967</v>
      </c>
      <c r="B238" s="0" t="s">
        <v>95</v>
      </c>
      <c r="C238" s="6" t="n">
        <f aca="false">(w_ntm28*Sens!G229+(1-w_ntm28)*Sens!H229)*m_game*1</f>
        <v>88.3732871625547</v>
      </c>
    </row>
    <row r="239" customFormat="false" ht="17.15" hidden="false" customHeight="false" outlineLevel="0" collapsed="false">
      <c r="A239" s="1" t="s">
        <v>968</v>
      </c>
      <c r="B239" s="0" t="s">
        <v>95</v>
      </c>
      <c r="C239" s="6" t="n">
        <f aca="false">(w_ntm28*Sens!G230+(1-w_ntm28)*Sens!H230)*m_pc*1</f>
        <v>87.614692598008</v>
      </c>
    </row>
    <row r="240" customFormat="false" ht="17.15" hidden="false" customHeight="false" outlineLevel="0" collapsed="false">
      <c r="A240" s="1" t="s">
        <v>969</v>
      </c>
      <c r="B240" s="0" t="s">
        <v>95</v>
      </c>
      <c r="C240" s="6" t="n">
        <f aca="false">Sens!$C$231+Sens!$C$232+Sens!$C$233+Sens!$C$234+Sens!$C$235+Sens!$C$236+Sens!$C$237+Sens!$C$238+Sens!$C$239</f>
        <v>3079.01576279577</v>
      </c>
    </row>
    <row r="241" customFormat="false" ht="17.15" hidden="false" customHeight="false" outlineLevel="0" collapsed="false">
      <c r="A241" s="1" t="s">
        <v>903</v>
      </c>
      <c r="B241" s="0" t="s">
        <v>95</v>
      </c>
      <c r="C241" s="6" t="n">
        <f aca="false">Sens!F198+oai_v-Sens!F187</f>
        <v>107.702357353777</v>
      </c>
      <c r="L241" s="1" t="s">
        <v>970</v>
      </c>
    </row>
    <row r="242" customFormat="false" ht="15" hidden="false" customHeight="false" outlineLevel="0" collapsed="false">
      <c r="A242" s="1" t="s">
        <v>904</v>
      </c>
      <c r="B242" s="0" t="s">
        <v>73</v>
      </c>
      <c r="C242" s="5" t="n">
        <f aca="false">(Sens!$C$240+Sens!$C$241)/Sens!F200</f>
        <v>426.487971112091</v>
      </c>
    </row>
    <row r="243" customFormat="false" ht="17.15" hidden="false" customHeight="false" outlineLevel="0" collapsed="false">
      <c r="A243" s="1" t="s">
        <v>971</v>
      </c>
      <c r="B243" s="0" t="s">
        <v>73</v>
      </c>
      <c r="C243" s="5" t="n">
        <f aca="false">w_dcf*Sens!$C$218+(1-w_dcf)*Sens!$C$242</f>
        <v>336.636804415802</v>
      </c>
    </row>
    <row r="244" customFormat="false" ht="17.15" hidden="false" customHeight="false" outlineLevel="0" collapsed="false">
      <c r="A244" s="3" t="s">
        <v>1119</v>
      </c>
    </row>
    <row r="245" customFormat="false" ht="15" hidden="false" customHeight="false" outlineLevel="0" collapsed="false">
      <c r="A245" s="4" t="s">
        <v>43</v>
      </c>
      <c r="B245" s="4" t="s">
        <v>63</v>
      </c>
      <c r="C245" s="19" t="s">
        <v>710</v>
      </c>
      <c r="D245" s="19" t="s">
        <v>711</v>
      </c>
      <c r="E245" s="19" t="s">
        <v>712</v>
      </c>
      <c r="F245" s="19" t="s">
        <v>713</v>
      </c>
      <c r="G245" s="19" t="s">
        <v>714</v>
      </c>
      <c r="H245" s="19" t="s">
        <v>715</v>
      </c>
      <c r="I245" s="19" t="s">
        <v>716</v>
      </c>
      <c r="J245" s="19" t="s">
        <v>717</v>
      </c>
      <c r="K245" s="19" t="s">
        <v>718</v>
      </c>
      <c r="L245" s="4" t="s">
        <v>47</v>
      </c>
    </row>
    <row r="246" customFormat="false" ht="17.15" hidden="false" customHeight="false" outlineLevel="0" collapsed="false">
      <c r="A246" s="1" t="s">
        <v>719</v>
      </c>
      <c r="B246" s="0" t="s">
        <v>340</v>
      </c>
      <c r="C246" s="27" t="n">
        <f aca="false">mw_ext_24</f>
        <v>640</v>
      </c>
      <c r="D246" s="27" t="n">
        <f aca="false">mw_ext_25</f>
        <v>1630</v>
      </c>
      <c r="E246" s="27" t="n">
        <f aca="false">mw_ext_26</f>
        <v>3250</v>
      </c>
      <c r="F246" s="27" t="n">
        <f aca="false">MIN(1000000000,Sens!E246+pace)</f>
        <v>5777.2</v>
      </c>
      <c r="G246" s="27" t="n">
        <f aca="false">MIN(1000000000,Sens!F246+pace)</f>
        <v>8304.4</v>
      </c>
      <c r="H246" s="27" t="n">
        <f aca="false">MIN(1000000000,Sens!G246+pace)</f>
        <v>10831.6</v>
      </c>
      <c r="I246" s="27" t="n">
        <f aca="false">MIN(1000000000,Sens!H246+pace)</f>
        <v>13358.8</v>
      </c>
      <c r="J246" s="27" t="n">
        <f aca="false">MIN(1000000000,Sens!I246+pace)</f>
        <v>15886</v>
      </c>
      <c r="K246" s="27" t="n">
        <f aca="false">MIN(1000000000,Sens!J246+pace)</f>
        <v>18413.2</v>
      </c>
      <c r="L246" s="11" t="s">
        <v>720</v>
      </c>
    </row>
    <row r="247" customFormat="false" ht="17.15" hidden="false" customHeight="false" outlineLevel="0" collapsed="false">
      <c r="A247" s="1" t="s">
        <v>721</v>
      </c>
      <c r="B247" s="0" t="s">
        <v>340</v>
      </c>
      <c r="C247" s="27" t="n">
        <f aca="false">rent_ext_24</f>
        <v>150</v>
      </c>
      <c r="D247" s="27" t="n">
        <f aca="false">rent_ext_25</f>
        <v>400</v>
      </c>
      <c r="E247" s="27" t="n">
        <f aca="false">rent_ext_26</f>
        <v>550</v>
      </c>
      <c r="F247" s="27" t="n">
        <f aca="false">rent_ext_f</f>
        <v>756</v>
      </c>
      <c r="G247" s="27" t="n">
        <f aca="false">rent_ext_f</f>
        <v>756</v>
      </c>
      <c r="H247" s="27" t="n">
        <f aca="false">rent_ext_f</f>
        <v>756</v>
      </c>
      <c r="I247" s="27" t="n">
        <f aca="false">rent_ext_f</f>
        <v>756</v>
      </c>
      <c r="J247" s="27" t="n">
        <f aca="false">rent_ext_f</f>
        <v>756</v>
      </c>
      <c r="K247" s="27" t="n">
        <f aca="false">rent_ext_f</f>
        <v>756</v>
      </c>
      <c r="L247" s="1" t="s">
        <v>722</v>
      </c>
    </row>
    <row r="248" customFormat="false" ht="17.15" hidden="false" customHeight="false" outlineLevel="0" collapsed="false">
      <c r="A248" s="1" t="s">
        <v>723</v>
      </c>
      <c r="B248" s="0" t="s">
        <v>340</v>
      </c>
      <c r="C248" s="27" t="n">
        <f aca="false">Sens!C246-Sens!C247</f>
        <v>490</v>
      </c>
      <c r="D248" s="27" t="n">
        <f aca="false">Sens!D246-Sens!D247</f>
        <v>1230</v>
      </c>
      <c r="E248" s="27" t="n">
        <f aca="false">Sens!E246-Sens!E247</f>
        <v>2700</v>
      </c>
      <c r="F248" s="27" t="n">
        <f aca="false">Sens!F246-Sens!F247</f>
        <v>5021.2</v>
      </c>
      <c r="G248" s="27" t="n">
        <f aca="false">Sens!G246-Sens!G247</f>
        <v>7548.4</v>
      </c>
      <c r="H248" s="27" t="n">
        <f aca="false">Sens!H246-Sens!H247</f>
        <v>10075.6</v>
      </c>
      <c r="I248" s="27" t="n">
        <f aca="false">Sens!I246-Sens!I247</f>
        <v>12602.8</v>
      </c>
      <c r="J248" s="27" t="n">
        <f aca="false">Sens!J246-Sens!J247</f>
        <v>15130</v>
      </c>
      <c r="K248" s="27" t="n">
        <f aca="false">Sens!K246-Sens!K247</f>
        <v>17657.2</v>
      </c>
    </row>
    <row r="249" customFormat="false" ht="17.15" hidden="false" customHeight="false" outlineLevel="0" collapsed="false">
      <c r="A249" s="1" t="s">
        <v>724</v>
      </c>
      <c r="B249" s="0" t="s">
        <v>340</v>
      </c>
      <c r="C249" s="27" t="n">
        <f aca="false">Sens!C248/ext_sh</f>
        <v>816.666666666667</v>
      </c>
      <c r="D249" s="27" t="n">
        <f aca="false">Sens!D248/ext_sh</f>
        <v>2050</v>
      </c>
      <c r="E249" s="27" t="n">
        <f aca="false">Sens!E248/ext_sh</f>
        <v>4500</v>
      </c>
      <c r="F249" s="27" t="n">
        <f aca="false">Sens!F248/ext_sh</f>
        <v>8368.66666666667</v>
      </c>
      <c r="G249" s="27" t="n">
        <f aca="false">Sens!G248/ext_sh</f>
        <v>12580.6666666667</v>
      </c>
      <c r="H249" s="27" t="n">
        <f aca="false">Sens!H248/ext_sh</f>
        <v>16792.6666666667</v>
      </c>
      <c r="I249" s="27" t="n">
        <f aca="false">Sens!I248/ext_sh</f>
        <v>21004.6666666667</v>
      </c>
      <c r="J249" s="27" t="n">
        <f aca="false">Sens!J248/ext_sh</f>
        <v>25216.6666666667</v>
      </c>
      <c r="K249" s="27" t="n">
        <f aca="false">Sens!K248/ext_sh</f>
        <v>29428.6666666667</v>
      </c>
      <c r="L249" s="1" t="s">
        <v>725</v>
      </c>
    </row>
    <row r="250" customFormat="false" ht="17.15" hidden="false" customHeight="false" outlineLevel="0" collapsed="false">
      <c r="A250" s="1" t="s">
        <v>726</v>
      </c>
      <c r="B250" s="0" t="s">
        <v>340</v>
      </c>
      <c r="C250" s="27" t="n">
        <f aca="false">Sens!C249-Sens!C248</f>
        <v>326.666666666667</v>
      </c>
      <c r="D250" s="27" t="n">
        <f aca="false">Sens!D249-Sens!D248</f>
        <v>820</v>
      </c>
      <c r="E250" s="27" t="n">
        <f aca="false">Sens!E249-Sens!E248</f>
        <v>1800</v>
      </c>
      <c r="F250" s="27" t="n">
        <f aca="false">Sens!F249-Sens!F248</f>
        <v>3347.46666666667</v>
      </c>
      <c r="G250" s="27" t="n">
        <f aca="false">Sens!G249-Sens!G248</f>
        <v>5032.26666666667</v>
      </c>
      <c r="H250" s="27" t="n">
        <f aca="false">Sens!H249-Sens!H248</f>
        <v>6717.06666666667</v>
      </c>
      <c r="I250" s="27" t="n">
        <f aca="false">Sens!I249-Sens!I248</f>
        <v>8401.86666666667</v>
      </c>
      <c r="J250" s="27" t="n">
        <f aca="false">Sens!J249-Sens!J248</f>
        <v>10086.6666666667</v>
      </c>
      <c r="K250" s="27" t="n">
        <f aca="false">Sens!K249-Sens!K248</f>
        <v>11771.4666666667</v>
      </c>
    </row>
    <row r="251" customFormat="false" ht="17.15" hidden="false" customHeight="false" outlineLevel="0" collapsed="false">
      <c r="A251" s="1" t="s">
        <v>727</v>
      </c>
      <c r="B251" s="0" t="s">
        <v>340</v>
      </c>
      <c r="C251" s="27" t="n">
        <f aca="false">Sens!C249</f>
        <v>816.666666666667</v>
      </c>
      <c r="D251" s="27" t="n">
        <f aca="false">Sens!D249-Sens!C249</f>
        <v>1233.33333333333</v>
      </c>
      <c r="E251" s="27" t="n">
        <f aca="false">Sens!E249-Sens!D249</f>
        <v>2450</v>
      </c>
      <c r="F251" s="27" t="n">
        <f aca="false">Sens!F249-Sens!E249</f>
        <v>3868.66666666667</v>
      </c>
      <c r="G251" s="27" t="n">
        <f aca="false">Sens!G249-Sens!F249</f>
        <v>4212</v>
      </c>
      <c r="H251" s="27" t="n">
        <f aca="false">Sens!H249-Sens!G249</f>
        <v>4212</v>
      </c>
      <c r="I251" s="27" t="n">
        <f aca="false">Sens!I249-Sens!H249</f>
        <v>4212</v>
      </c>
      <c r="J251" s="27" t="n">
        <f aca="false">Sens!J249-Sens!I249</f>
        <v>4212</v>
      </c>
      <c r="K251" s="27" t="n">
        <f aca="false">Sens!K249-Sens!J249</f>
        <v>4212</v>
      </c>
    </row>
    <row r="252" customFormat="false" ht="17.15" hidden="false" customHeight="false" outlineLevel="0" collapsed="false">
      <c r="A252" s="1" t="s">
        <v>728</v>
      </c>
      <c r="B252" s="0" t="s">
        <v>340</v>
      </c>
      <c r="D252" s="27" t="n">
        <f aca="false">Sens!D246-Sens!C246</f>
        <v>990</v>
      </c>
      <c r="E252" s="27" t="n">
        <f aca="false">Sens!E246-Sens!D246</f>
        <v>1620</v>
      </c>
      <c r="F252" s="27" t="n">
        <f aca="false">Sens!F246-Sens!E246</f>
        <v>2527.2</v>
      </c>
      <c r="G252" s="27" t="n">
        <f aca="false">Sens!G246-Sens!F246</f>
        <v>2527.2</v>
      </c>
      <c r="H252" s="27" t="n">
        <f aca="false">Sens!H246-Sens!G246</f>
        <v>2527.2</v>
      </c>
      <c r="I252" s="27" t="n">
        <f aca="false">Sens!I246-Sens!H246</f>
        <v>2527.2</v>
      </c>
      <c r="J252" s="27" t="n">
        <f aca="false">Sens!J246-Sens!I246</f>
        <v>2527.2</v>
      </c>
      <c r="K252" s="27" t="n">
        <f aca="false">Sens!K246-Sens!J246</f>
        <v>2527.2</v>
      </c>
    </row>
    <row r="253" customFormat="false" ht="17.15" hidden="false" customHeight="false" outlineLevel="0" collapsed="false">
      <c r="A253" s="1" t="s">
        <v>729</v>
      </c>
      <c r="B253" s="0" t="s">
        <v>340</v>
      </c>
      <c r="C253" s="27" t="n">
        <f aca="false">mix_h*Sens!C246</f>
        <v>128</v>
      </c>
      <c r="D253" s="27" t="n">
        <f aca="false">mix_h*Sens!D246</f>
        <v>326</v>
      </c>
      <c r="E253" s="27" t="n">
        <f aca="false">mix_h*Sens!E246</f>
        <v>650</v>
      </c>
      <c r="F253" s="27" t="n">
        <f aca="false">Sens!E253</f>
        <v>650</v>
      </c>
      <c r="G253" s="27" t="n">
        <f aca="false">Sens!F253</f>
        <v>650</v>
      </c>
      <c r="H253" s="27" t="n">
        <f aca="false">Sens!G253</f>
        <v>650</v>
      </c>
      <c r="I253" s="27" t="n">
        <f aca="false">Sens!H253</f>
        <v>650</v>
      </c>
      <c r="J253" s="27" t="n">
        <f aca="false">Sens!I253</f>
        <v>650</v>
      </c>
      <c r="K253" s="27" t="n">
        <f aca="false">Sens!J253</f>
        <v>650</v>
      </c>
    </row>
    <row r="254" customFormat="false" ht="17.15" hidden="false" customHeight="false" outlineLevel="0" collapsed="false">
      <c r="A254" s="1" t="s">
        <v>730</v>
      </c>
      <c r="B254" s="0" t="s">
        <v>340</v>
      </c>
      <c r="C254" s="27" t="n">
        <f aca="false">mix_g2*Sens!C246</f>
        <v>288</v>
      </c>
      <c r="D254" s="27" t="n">
        <f aca="false">mix_g2*Sens!D246</f>
        <v>733.5</v>
      </c>
      <c r="E254" s="27" t="n">
        <f aca="false">mix_g2*Sens!E246</f>
        <v>1462.5</v>
      </c>
      <c r="F254" s="27" t="n">
        <f aca="false">Sens!E254</f>
        <v>1462.5</v>
      </c>
      <c r="G254" s="27" t="n">
        <f aca="false">Sens!F254</f>
        <v>1462.5</v>
      </c>
      <c r="H254" s="27" t="n">
        <f aca="false">Sens!G254</f>
        <v>1462.5</v>
      </c>
      <c r="I254" s="27" t="n">
        <f aca="false">Sens!H254</f>
        <v>1462.5</v>
      </c>
      <c r="J254" s="27" t="n">
        <f aca="false">Sens!I254</f>
        <v>1462.5</v>
      </c>
      <c r="K254" s="27" t="n">
        <f aca="false">Sens!J254</f>
        <v>1462.5</v>
      </c>
    </row>
    <row r="255" customFormat="false" ht="17.15" hidden="false" customHeight="false" outlineLevel="0" collapsed="false">
      <c r="A255" s="1" t="s">
        <v>731</v>
      </c>
      <c r="B255" s="0" t="s">
        <v>340</v>
      </c>
      <c r="C255" s="27" t="n">
        <f aca="false">mix_g3*Sens!C246</f>
        <v>224</v>
      </c>
      <c r="D255" s="27" t="n">
        <f aca="false">mix_g3*Sens!D246</f>
        <v>570.5</v>
      </c>
      <c r="E255" s="27" t="n">
        <f aca="false">mix_g3*Sens!E246</f>
        <v>1137.5</v>
      </c>
      <c r="F255" s="27" t="n">
        <f aca="false">Sens!E255+Sens!F252*a_g3_27</f>
        <v>2906.54</v>
      </c>
      <c r="G255" s="27" t="n">
        <f aca="false">Sens!F255+Sens!G252*a_g3_28</f>
        <v>3664.7</v>
      </c>
      <c r="H255" s="27" t="n">
        <f aca="false">Sens!G255+Sens!H252*a_g3_29</f>
        <v>3917.42</v>
      </c>
      <c r="I255" s="27" t="n">
        <f aca="false">Sens!H255+Sens!I252*a_g3_29</f>
        <v>4170.14</v>
      </c>
      <c r="J255" s="27" t="n">
        <f aca="false">Sens!I255+Sens!J252*a_g3_29</f>
        <v>4422.86</v>
      </c>
      <c r="K255" s="27" t="n">
        <f aca="false">Sens!J255+Sens!K252*a_g3_29</f>
        <v>4675.58</v>
      </c>
    </row>
    <row r="256" customFormat="false" ht="17.15" hidden="false" customHeight="false" outlineLevel="0" collapsed="false">
      <c r="A256" s="1" t="s">
        <v>732</v>
      </c>
      <c r="B256" s="0" t="s">
        <v>340</v>
      </c>
      <c r="C256" s="27" t="n">
        <f aca="false">0</f>
        <v>0</v>
      </c>
      <c r="D256" s="27" t="n">
        <f aca="false">0</f>
        <v>0</v>
      </c>
      <c r="E256" s="27" t="n">
        <f aca="false">0</f>
        <v>0</v>
      </c>
      <c r="F256" s="27" t="n">
        <f aca="false">Sens!E256+Sens!F252*(1-a_g3_27)</f>
        <v>758.16</v>
      </c>
      <c r="G256" s="27" t="n">
        <f aca="false">Sens!F256+Sens!G252*(1-a_g3_28)</f>
        <v>2527.2</v>
      </c>
      <c r="H256" s="27" t="n">
        <f aca="false">Sens!G256+Sens!H252*(1-a_g3_29)</f>
        <v>4801.68</v>
      </c>
      <c r="I256" s="27" t="n">
        <f aca="false">Sens!H256+Sens!I252*(1-a_g3_29)</f>
        <v>7076.16</v>
      </c>
      <c r="J256" s="27" t="n">
        <f aca="false">Sens!I256+Sens!J252*(1-a_g3_29)</f>
        <v>9350.64</v>
      </c>
      <c r="K256" s="27" t="n">
        <f aca="false">Sens!J256+Sens!K252*(1-a_g3_29)</f>
        <v>11625.12</v>
      </c>
    </row>
    <row r="257" customFormat="false" ht="17.15" hidden="false" customHeight="false" outlineLevel="0" collapsed="false">
      <c r="A257" s="1" t="s">
        <v>733</v>
      </c>
      <c r="B257" s="0" t="s">
        <v>291</v>
      </c>
      <c r="C257" s="18" t="n">
        <f aca="false">(Sens!C253*tk_hold_h100+Sens!C254*tk_hold_gb200+Sens!C255*tk_hold_gb300+Sens!C256*tk_hold_vr200)/Sens!C246</f>
        <v>9.7235358126469</v>
      </c>
      <c r="D257" s="18" t="n">
        <f aca="false">(Sens!D253*tk_hold_h100+Sens!D254*tk_hold_gb200+Sens!D255*tk_hold_gb300+Sens!D256*tk_hold_vr200)/Sens!D246</f>
        <v>9.7235358126469</v>
      </c>
      <c r="E257" s="18" t="n">
        <f aca="false">(Sens!E253*tk_hold_h100+Sens!E254*tk_hold_gb200+Sens!E255*tk_hold_gb300+Sens!E256*tk_hold_vr200)/Sens!E246</f>
        <v>9.7235358126469</v>
      </c>
      <c r="F257" s="18" t="n">
        <f aca="false">(Sens!F253*tk_hold_h100+Sens!F254*tk_hold_gb200+Sens!F255*tk_hold_gb300+Sens!F256*tk_hold_vr200)/Sens!F246</f>
        <v>10.4079573161931</v>
      </c>
      <c r="G257" s="18" t="n">
        <f aca="false">(Sens!G253*tk_hold_h100+Sens!G254*tk_hold_gb200+Sens!G255*tk_hold_gb300+Sens!G256*tk_hold_vr200)/Sens!G246</f>
        <v>10.8388131109316</v>
      </c>
      <c r="H257" s="18" t="n">
        <f aca="false">(Sens!H253*tk_hold_h100+Sens!H254*tk_hold_gb200+Sens!H255*tk_hold_gb300+Sens!H256*tk_hold_vr200)/Sens!H246</f>
        <v>11.1311018388216</v>
      </c>
      <c r="I257" s="18" t="n">
        <f aca="false">(Sens!I253*tk_hold_h100+Sens!I254*tk_hold_gb200+Sens!I255*tk_hold_gb300+Sens!I256*tk_hold_vr200)/Sens!I246</f>
        <v>11.3128009818501</v>
      </c>
      <c r="J257" s="18" t="n">
        <f aca="false">(Sens!J253*tk_hold_h100+Sens!J254*tk_hold_gb200+Sens!J255*tk_hold_gb300+Sens!J256*tk_hold_vr200)/Sens!J246</f>
        <v>11.4366894646418</v>
      </c>
      <c r="K257" s="18" t="n">
        <f aca="false">(Sens!K253*tk_hold_h100+Sens!K254*tk_hold_gb200+Sens!K255*tk_hold_gb300+Sens!K256*tk_hold_vr200)/Sens!K246</f>
        <v>11.526570716348</v>
      </c>
    </row>
    <row r="258" customFormat="false" ht="17.15" hidden="false" customHeight="false" outlineLevel="0" collapsed="false">
      <c r="A258" s="0" t="s">
        <v>734</v>
      </c>
      <c r="B258" s="0" t="s">
        <v>182</v>
      </c>
      <c r="C258" s="18" t="n">
        <f aca="false">k_B</f>
        <v>1.17213932619116</v>
      </c>
      <c r="D258" s="18" t="n">
        <f aca="false">k_B</f>
        <v>1.17213932619116</v>
      </c>
      <c r="E258" s="18" t="n">
        <f aca="false">k_B</f>
        <v>1.17213932619116</v>
      </c>
      <c r="F258" s="18" t="n">
        <f aca="false">(k_B+((ls_B*k_long+(1-ls_B)*k_spot)-k_B)*MIN(1,1/3))*0.85</f>
        <v>0.996318427262482</v>
      </c>
      <c r="G258" s="18" t="n">
        <f aca="false">(k_B+((ls_B*k_long+(1-ls_B)*k_spot)-k_B)*MIN(1,2/3))*0.85</f>
        <v>0.996318427262482</v>
      </c>
      <c r="H258" s="18" t="n">
        <f aca="false">(k_B+((ls_B*k_long+(1-ls_B)*k_spot)-k_B)*MIN(1,3/3))*0.85</f>
        <v>0.996318427262482</v>
      </c>
      <c r="I258" s="18" t="n">
        <f aca="false">(k_B+((ls_B*k_long+(1-ls_B)*k_spot)-k_B)*MIN(1,4/3))*0.85</f>
        <v>0.996318427262482</v>
      </c>
      <c r="J258" s="18" t="n">
        <f aca="false">(k_B+((ls_B*k_long+(1-ls_B)*k_spot)-k_B)*MIN(1,5/3))*0.85</f>
        <v>0.996318427262482</v>
      </c>
      <c r="K258" s="18" t="n">
        <f aca="false">(k_B+((ls_B*k_long+(1-ls_B)*k_spot)-k_B)*MIN(1,6/3))*0.85</f>
        <v>0.996318427262482</v>
      </c>
      <c r="L258" s="1" t="s">
        <v>735</v>
      </c>
    </row>
    <row r="259" customFormat="false" ht="17.15" hidden="false" customHeight="false" outlineLevel="0" collapsed="false">
      <c r="A259" s="1" t="s">
        <v>736</v>
      </c>
      <c r="B259" s="0" t="s">
        <v>291</v>
      </c>
      <c r="C259" s="18" t="n">
        <f aca="false">Sens!C257*Sens!C258*chip_f</f>
        <v>11.3973387156315</v>
      </c>
      <c r="D259" s="18" t="n">
        <f aca="false">Sens!D257*Sens!D258*chip_f</f>
        <v>11.3973387156315</v>
      </c>
      <c r="E259" s="18" t="n">
        <f aca="false">Sens!E257*Sens!E258*chip_f</f>
        <v>11.3973387156315</v>
      </c>
      <c r="F259" s="18" t="n">
        <f aca="false">Sens!F257*Sens!F258*chip_f</f>
        <v>10.3696396642845</v>
      </c>
      <c r="G259" s="18" t="n">
        <f aca="false">Sens!G257*Sens!G258*chip_f</f>
        <v>10.7989092320753</v>
      </c>
      <c r="H259" s="18" t="n">
        <f aca="false">Sens!H257*Sens!H258*chip_f</f>
        <v>11.0901218777532</v>
      </c>
      <c r="I259" s="18" t="n">
        <f aca="false">Sens!I257*Sens!I258*chip_f</f>
        <v>11.2711520821704</v>
      </c>
      <c r="J259" s="18" t="n">
        <f aca="false">Sens!J257*Sens!J258*chip_f</f>
        <v>11.3945844605013</v>
      </c>
      <c r="K259" s="18" t="n">
        <f aca="false">Sens!K257*Sens!K258*chip_f</f>
        <v>11.4841348078416</v>
      </c>
      <c r="L259" s="1" t="s">
        <v>737</v>
      </c>
    </row>
    <row r="260" customFormat="false" ht="17.15" hidden="false" customHeight="false" outlineLevel="0" collapsed="false">
      <c r="A260" s="0" t="s">
        <v>738</v>
      </c>
      <c r="B260" s="0" t="s">
        <v>95</v>
      </c>
      <c r="D260" s="6" t="n">
        <f aca="false">(Sens!C246+Sens!D246)/2*Sens!D259/1000</f>
        <v>12.9359794422418</v>
      </c>
      <c r="E260" s="6" t="n">
        <f aca="false">(Sens!D246+Sens!E246)/2*Sens!E259/1000</f>
        <v>27.8095064661409</v>
      </c>
      <c r="F260" s="6" t="n">
        <f aca="false">(Sens!E246+Sens!F246)/2*Sens!F259/1000</f>
        <v>46.8044055887147</v>
      </c>
      <c r="G260" s="6" t="n">
        <f aca="false">(Sens!F246+Sens!G246)/2*Sens!G259/1000</f>
        <v>76.0329601211957</v>
      </c>
      <c r="H260" s="6" t="n">
        <f aca="false">(Sens!G246+Sens!H246)/2*Sens!H259/1000</f>
        <v>106.110286126343</v>
      </c>
      <c r="I260" s="6" t="n">
        <f aca="false">(Sens!H246+Sens!I246)/2*Sens!I259/1000</f>
        <v>136.326838664267</v>
      </c>
      <c r="J260" s="6" t="n">
        <f aca="false">(Sens!I246+Sens!J246)/2*Sens!J259/1000</f>
        <v>166.616171815234</v>
      </c>
      <c r="K260" s="6" t="n">
        <f aca="false">(Sens!J246+Sens!K246)/2*Sens!K259/1000</f>
        <v>196.94831830056</v>
      </c>
      <c r="L260" s="11" t="s">
        <v>739</v>
      </c>
    </row>
    <row r="261" customFormat="false" ht="17.15" hidden="false" customHeight="false" outlineLevel="0" collapsed="false">
      <c r="A261" s="1" t="s">
        <v>740</v>
      </c>
      <c r="B261" s="0" t="s">
        <v>291</v>
      </c>
      <c r="C261" s="18" t="n">
        <f aca="false">(Sens!C253*tk_opex_h100+Sens!C254*tk_opex_gb200+Sens!C255*tk_opex_gb300+Sens!C256*tk_opex_vr200)/Sens!C246</f>
        <v>1.88636041306092</v>
      </c>
      <c r="D261" s="18" t="n">
        <f aca="false">(Sens!D253*tk_opex_h100+Sens!D254*tk_opex_gb200+Sens!D255*tk_opex_gb300+Sens!D256*tk_opex_vr200)/Sens!D246</f>
        <v>1.88636041306092</v>
      </c>
      <c r="E261" s="18" t="n">
        <f aca="false">(Sens!E253*tk_opex_h100+Sens!E254*tk_opex_gb200+Sens!E255*tk_opex_gb300+Sens!E256*tk_opex_vr200)/Sens!E246</f>
        <v>1.88636041306092</v>
      </c>
      <c r="F261" s="18" t="n">
        <f aca="false">(Sens!F253*tk_opex_h100+Sens!F254*tk_opex_gb200+Sens!F255*tk_opex_gb300+Sens!F256*tk_opex_vr200)/Sens!F246</f>
        <v>1.9430236476499</v>
      </c>
      <c r="G261" s="18" t="n">
        <f aca="false">(Sens!G253*tk_opex_h100+Sens!G254*tk_opex_gb200+Sens!G255*tk_opex_gb300+Sens!G256*tk_opex_vr200)/Sens!G246</f>
        <v>1.9786941852423</v>
      </c>
      <c r="H261" s="18" t="n">
        <f aca="false">(Sens!H253*tk_opex_h100+Sens!H254*tk_opex_gb200+Sens!H255*tk_opex_gb300+Sens!H256*tk_opex_vr200)/Sens!H246</f>
        <v>2.00289275976156</v>
      </c>
      <c r="I261" s="18" t="n">
        <f aca="false">(Sens!I253*tk_opex_h100+Sens!I254*tk_opex_gb200+Sens!I255*tk_opex_gb300+Sens!I256*tk_opex_vr200)/Sens!I246</f>
        <v>2.01793562605478</v>
      </c>
      <c r="J261" s="18" t="n">
        <f aca="false">(Sens!J253*tk_opex_h100+Sens!J254*tk_opex_gb200+Sens!J255*tk_opex_gb300+Sens!J256*tk_opex_vr200)/Sens!J246</f>
        <v>2.02819234961902</v>
      </c>
      <c r="K261" s="18" t="n">
        <f aca="false">(Sens!K253*tk_opex_h100+Sens!K254*tk_opex_gb200+Sens!K255*tk_opex_gb300+Sens!K256*tk_opex_vr200)/Sens!K246</f>
        <v>2.0356336155994</v>
      </c>
    </row>
    <row r="262" customFormat="false" ht="17.15" hidden="false" customHeight="false" outlineLevel="0" collapsed="false">
      <c r="A262" s="0" t="s">
        <v>741</v>
      </c>
      <c r="B262" s="0" t="s">
        <v>95</v>
      </c>
      <c r="D262" s="6" t="n">
        <f aca="false">(Sens!C249+Sens!D249)/2*Sens!D261/1000</f>
        <v>2.70378325872065</v>
      </c>
      <c r="E262" s="6" t="n">
        <f aca="false">(Sens!D249+Sens!E249)/2*Sens!E261/1000</f>
        <v>6.17783035277451</v>
      </c>
      <c r="F262" s="6" t="n">
        <f aca="false">(Sens!E249+Sens!F249)/2*Sens!F261/1000</f>
        <v>12.5020618235287</v>
      </c>
      <c r="G262" s="6" t="n">
        <f aca="false">(Sens!F249+Sens!G249)/2*Sens!G261/1000</f>
        <v>20.7261620256847</v>
      </c>
      <c r="H262" s="6" t="n">
        <f aca="false">(Sens!G249+Sens!H249)/2*Sens!H261/1000</f>
        <v>29.4158183316982</v>
      </c>
      <c r="I262" s="6" t="n">
        <f aca="false">(Sens!H249+Sens!I249)/2*Sens!I261/1000</f>
        <v>38.1362927516005</v>
      </c>
      <c r="J262" s="6" t="n">
        <f aca="false">(Sens!I249+Sens!J249)/2*Sens!J261/1000</f>
        <v>46.8728773279286</v>
      </c>
      <c r="K262" s="6" t="n">
        <f aca="false">(Sens!J249+Sens!K249)/2*Sens!K261/1000</f>
        <v>55.618938734484</v>
      </c>
    </row>
    <row r="263" customFormat="false" ht="17.15" hidden="false" customHeight="false" outlineLevel="0" collapsed="false">
      <c r="A263" s="0" t="s">
        <v>742</v>
      </c>
      <c r="B263" s="0" t="s">
        <v>95</v>
      </c>
      <c r="D263" s="6" t="n">
        <f aca="false">(Sens!C247+Sens!D247)/2*rent_mw/1000</f>
        <v>2.44475</v>
      </c>
      <c r="E263" s="6" t="n">
        <f aca="false">(Sens!D247+Sens!E247)/2*rent_mw/1000</f>
        <v>4.22275</v>
      </c>
      <c r="F263" s="6" t="n">
        <f aca="false">(Sens!E247+Sens!F247)/2*rent_mw/1000</f>
        <v>5.80517</v>
      </c>
      <c r="G263" s="6" t="n">
        <f aca="false">(Sens!F247+Sens!G247)/2*rent_mw/1000</f>
        <v>6.72084</v>
      </c>
      <c r="H263" s="6" t="n">
        <f aca="false">(Sens!G247+Sens!H247)/2*rent_mw/1000</f>
        <v>6.72084</v>
      </c>
      <c r="I263" s="6" t="n">
        <f aca="false">(Sens!H247+Sens!I247)/2*rent_mw/1000</f>
        <v>6.72084</v>
      </c>
      <c r="J263" s="6" t="n">
        <f aca="false">(Sens!I247+Sens!J247)/2*rent_mw/1000</f>
        <v>6.72084</v>
      </c>
      <c r="K263" s="6" t="n">
        <f aca="false">(Sens!J247+Sens!K247)/2*rent_mw/1000</f>
        <v>6.72084</v>
      </c>
    </row>
    <row r="264" customFormat="false" ht="17.15" hidden="false" customHeight="false" outlineLevel="0" collapsed="false">
      <c r="A264" s="0" t="s">
        <v>743</v>
      </c>
      <c r="B264" s="0" t="s">
        <v>95</v>
      </c>
      <c r="D264" s="6" t="n">
        <f aca="false">(Sens!C249+Sens!D249)/2*(1-self_build)*fac_rent/1000</f>
        <v>0.853242375631075</v>
      </c>
      <c r="E264" s="6" t="n">
        <f aca="false">(Sens!D249+Sens!E249)/2*(1-self_build)*fac_rent/1000</f>
        <v>1.94955961408728</v>
      </c>
      <c r="F264" s="6" t="n">
        <f aca="false">(Sens!E249+Sens!F249)/2*(1-self_build)*fac_rent/1000</f>
        <v>3.83026455274573</v>
      </c>
      <c r="G264" s="6" t="n">
        <f aca="false">(Sens!F249+Sens!G249)/2*(1-self_build)*fac_rent/1000</f>
        <v>6.23541590972812</v>
      </c>
      <c r="H264" s="6" t="n">
        <f aca="false">(Sens!G249+Sens!H249)/2*(1-self_build)*fac_rent/1000</f>
        <v>8.74275792332679</v>
      </c>
      <c r="I264" s="6" t="n">
        <f aca="false">(Sens!H249+Sens!I249)/2*(1-self_build)*fac_rent/1000</f>
        <v>11.2500999369255</v>
      </c>
      <c r="J264" s="6" t="n">
        <f aca="false">(Sens!I249+Sens!J249)/2*(1-self_build)*fac_rent/1000</f>
        <v>13.7574419505241</v>
      </c>
      <c r="K264" s="6" t="n">
        <f aca="false">(Sens!J249+Sens!K249)/2*(1-self_build)*fac_rent/1000</f>
        <v>16.2647839641228</v>
      </c>
      <c r="L264" s="11" t="s">
        <v>744</v>
      </c>
    </row>
    <row r="265" customFormat="false" ht="17.15" hidden="false" customHeight="false" outlineLevel="0" collapsed="false">
      <c r="A265" s="1" t="s">
        <v>745</v>
      </c>
      <c r="B265" s="0" t="s">
        <v>126</v>
      </c>
      <c r="D265" s="7" t="n">
        <f aca="false">(Sens!C248+Sens!D248)/(Sens!C249+Sens!D249)</f>
        <v>0.6</v>
      </c>
      <c r="E265" s="7" t="n">
        <f aca="false">(Sens!D248+Sens!E248)/(Sens!D249+Sens!E249)</f>
        <v>0.6</v>
      </c>
      <c r="F265" s="7" t="n">
        <f aca="false">(Sens!E248+Sens!F248)/(Sens!E249+Sens!F249)</f>
        <v>0.6</v>
      </c>
      <c r="G265" s="7" t="n">
        <f aca="false">(Sens!F248+Sens!G248)/(Sens!F249+Sens!G249)</f>
        <v>0.6</v>
      </c>
      <c r="H265" s="7" t="n">
        <f aca="false">(Sens!G248+Sens!H248)/(Sens!G249+Sens!H249)</f>
        <v>0.6</v>
      </c>
      <c r="I265" s="7" t="n">
        <f aca="false">(Sens!H248+Sens!I248)/(Sens!H249+Sens!I249)</f>
        <v>0.6</v>
      </c>
      <c r="J265" s="7" t="n">
        <f aca="false">(Sens!I248+Sens!J248)/(Sens!I249+Sens!J249)</f>
        <v>0.6</v>
      </c>
      <c r="K265" s="7" t="n">
        <f aca="false">(Sens!J248+Sens!K248)/(Sens!J249+Sens!K249)</f>
        <v>0.6</v>
      </c>
    </row>
    <row r="266" customFormat="false" ht="17.15" hidden="false" customHeight="false" outlineLevel="0" collapsed="false">
      <c r="A266" s="0" t="s">
        <v>746</v>
      </c>
      <c r="B266" s="0" t="s">
        <v>95</v>
      </c>
      <c r="D266" s="6" t="n">
        <f aca="false">Sens!D260-Sens!D265*(Sens!D262+Sens!D264)-Sens!D263</f>
        <v>8.35701406163072</v>
      </c>
      <c r="E266" s="6" t="n">
        <f aca="false">Sens!E260-Sens!E265*(Sens!E262+Sens!E264)-Sens!E263</f>
        <v>18.7103224860238</v>
      </c>
      <c r="F266" s="6" t="n">
        <f aca="false">Sens!F260-Sens!F265*(Sens!F262+Sens!F264)-Sens!F263</f>
        <v>31.1998397629501</v>
      </c>
      <c r="G266" s="6" t="n">
        <f aca="false">Sens!G260-Sens!G265*(Sens!G262+Sens!G264)-Sens!G263</f>
        <v>53.135173359948</v>
      </c>
      <c r="H266" s="6" t="n">
        <f aca="false">Sens!H260-Sens!H265*(Sens!H262+Sens!H264)-Sens!H263</f>
        <v>76.4943003733279</v>
      </c>
      <c r="I266" s="6" t="n">
        <f aca="false">Sens!I260-Sens!I265*(Sens!I262+Sens!I264)-Sens!I263</f>
        <v>99.9741630511515</v>
      </c>
      <c r="J266" s="6" t="n">
        <f aca="false">Sens!J260-Sens!J265*(Sens!J262+Sens!J264)-Sens!J263</f>
        <v>123.517140248162</v>
      </c>
      <c r="K266" s="6" t="n">
        <f aca="false">Sens!K260-Sens!K265*(Sens!K262+Sens!K264)-Sens!K263</f>
        <v>147.097244681396</v>
      </c>
    </row>
    <row r="267" customFormat="false" ht="17.15" hidden="false" customHeight="false" outlineLevel="0" collapsed="false">
      <c r="A267" s="1" t="s">
        <v>747</v>
      </c>
      <c r="B267" s="0" t="s">
        <v>95</v>
      </c>
      <c r="D267" s="6" t="n">
        <f aca="false">(1-Sens!D265)*(Sens!D262+Sens!D264)</f>
        <v>1.42281025374069</v>
      </c>
      <c r="E267" s="6" t="n">
        <f aca="false">(1-Sens!E265)*(Sens!E262+Sens!E264)</f>
        <v>3.25095598674472</v>
      </c>
      <c r="F267" s="6" t="n">
        <f aca="false">(1-Sens!F265)*(Sens!F262+Sens!F264)</f>
        <v>6.53293055050977</v>
      </c>
      <c r="G267" s="6" t="n">
        <f aca="false">(1-Sens!G265)*(Sens!G262+Sens!G264)</f>
        <v>10.7846311741651</v>
      </c>
      <c r="H267" s="6" t="n">
        <f aca="false">(1-Sens!H265)*(Sens!H262+Sens!H264)</f>
        <v>15.26343050201</v>
      </c>
      <c r="I267" s="6" t="n">
        <f aca="false">(1-Sens!I265)*(Sens!I262+Sens!I264)</f>
        <v>19.7545570754104</v>
      </c>
      <c r="J267" s="6" t="n">
        <f aca="false">(1-Sens!J265)*(Sens!J262+Sens!J264)</f>
        <v>24.2521277113811</v>
      </c>
      <c r="K267" s="6" t="n">
        <f aca="false">(1-Sens!K265)*(Sens!K262+Sens!K264)</f>
        <v>28.7534890794427</v>
      </c>
    </row>
    <row r="268" customFormat="false" ht="17.15" hidden="false" customHeight="false" outlineLevel="0" collapsed="false">
      <c r="A268" s="1" t="s">
        <v>748</v>
      </c>
      <c r="B268" s="0" t="s">
        <v>302</v>
      </c>
      <c r="C268" s="8" t="n">
        <f aca="false">cxit_open</f>
        <v>27.5918995</v>
      </c>
      <c r="D268" s="8" t="n">
        <f aca="false">cxit_open</f>
        <v>27.5918995</v>
      </c>
      <c r="E268" s="8" t="n">
        <f aca="false">cxit_open</f>
        <v>27.5918995</v>
      </c>
      <c r="F268" s="8" t="n">
        <f aca="false">(a_g3_27*tk_cxit_gb300+(1-a_g3_27)*tk_cxit_vr200)</f>
        <v>33.8419624</v>
      </c>
      <c r="G268" s="8" t="n">
        <f aca="false">(a_g3_28*tk_cxit_gb300+(1-a_g3_28)*tk_cxit_vr200)</f>
        <v>35.9816136</v>
      </c>
      <c r="H268" s="8" t="n">
        <f aca="false">(a_g3_29*tk_cxit_gb300+(1-a_g3_29)*tk_cxit_vr200)</f>
        <v>37.0514392</v>
      </c>
      <c r="I268" s="8" t="n">
        <f aca="false">(a_g3_29*tk_cxit_gb300+(1-a_g3_29)*tk_cxit_vr200)</f>
        <v>37.0514392</v>
      </c>
      <c r="J268" s="8" t="n">
        <f aca="false">(a_g3_29*tk_cxit_gb300+(1-a_g3_29)*tk_cxit_vr200)</f>
        <v>37.0514392</v>
      </c>
      <c r="K268" s="8" t="n">
        <f aca="false">(a_g3_29*tk_cxit_gb300+(1-a_g3_29)*tk_cxit_vr200)</f>
        <v>37.0514392</v>
      </c>
      <c r="L268" s="11" t="s">
        <v>749</v>
      </c>
    </row>
    <row r="269" customFormat="false" ht="17.15" hidden="false" customHeight="false" outlineLevel="0" collapsed="false">
      <c r="A269" s="0" t="s">
        <v>750</v>
      </c>
      <c r="B269" s="0" t="s">
        <v>340</v>
      </c>
      <c r="F269" s="27" t="n">
        <f aca="false">Sens!C251*IF(3=life_it,1,0)+Sens!D251*IF(2=life_it,1,0)+Sens!E251*IF(1=life_it,1,0)</f>
        <v>0</v>
      </c>
      <c r="G269" s="27" t="n">
        <f aca="false">Sens!C251*IF(4=life_it,1,0)+Sens!D251*IF(3=life_it,1,0)+Sens!E251*IF(2=life_it,1,0)+Sens!F251*IF(1=life_it,1,0)</f>
        <v>0</v>
      </c>
      <c r="H269" s="27" t="n">
        <f aca="false">Sens!C251*IF(5=life_it,1,0)+Sens!D251*IF(4=life_it,1,0)+Sens!E251*IF(3=life_it,1,0)+Sens!F251*IF(2=life_it,1,0)+Sens!G251*IF(1=life_it,1,0)</f>
        <v>0</v>
      </c>
      <c r="I269" s="27" t="n">
        <f aca="false">Sens!C251*IF(6=life_it,1,0)+Sens!D251*IF(5=life_it,1,0)+Sens!E251*IF(4=life_it,1,0)+Sens!F251*IF(3=life_it,1,0)+Sens!G251*IF(2=life_it,1,0)+Sens!H251*IF(1=life_it,1,0)</f>
        <v>816.666666666667</v>
      </c>
      <c r="J269" s="27" t="n">
        <f aca="false">Sens!C251*IF(7=life_it,1,0)+Sens!D251*IF(6=life_it,1,0)+Sens!E251*IF(5=life_it,1,0)+Sens!F251*IF(4=life_it,1,0)+Sens!G251*IF(3=life_it,1,0)+Sens!H251*IF(2=life_it,1,0)+Sens!I251*IF(1=life_it,1,0)</f>
        <v>1233.33333333333</v>
      </c>
      <c r="K269" s="27" t="n">
        <f aca="false">Sens!C251*IF(8=life_it,1,0)+Sens!D251*IF(7=life_it,1,0)+Sens!E251*IF(6=life_it,1,0)+Sens!F251*IF(5=life_it,1,0)+Sens!G251*IF(4=life_it,1,0)+Sens!H251*IF(3=life_it,1,0)+Sens!I251*IF(2=life_it,1,0)+Sens!J251*IF(1=life_it,1,0)</f>
        <v>2450</v>
      </c>
      <c r="L269" s="1" t="s">
        <v>751</v>
      </c>
    </row>
    <row r="270" customFormat="false" ht="17.15" hidden="false" customHeight="false" outlineLevel="0" collapsed="false">
      <c r="A270" s="0" t="s">
        <v>752</v>
      </c>
      <c r="B270" s="0" t="s">
        <v>95</v>
      </c>
      <c r="C270" s="6" t="n">
        <f aca="false">Sens!C251*Sens!C268/1000</f>
        <v>22.5333845916667</v>
      </c>
      <c r="D270" s="6" t="n">
        <f aca="false">Sens!D251*Sens!D268/1000</f>
        <v>34.0300093833333</v>
      </c>
      <c r="E270" s="6" t="n">
        <f aca="false">Sens!E251*Sens!E268/1000</f>
        <v>67.600153775</v>
      </c>
      <c r="F270" s="6" t="n">
        <f aca="false">(Sens!F251+Sens!F269)*Sens!F268/1000</f>
        <v>130.923271871467</v>
      </c>
      <c r="G270" s="6" t="n">
        <f aca="false">(Sens!G251+Sens!G269)*Sens!G268/1000</f>
        <v>151.5545564832</v>
      </c>
      <c r="H270" s="6" t="n">
        <f aca="false">(Sens!H251+Sens!H269)*Sens!H268/1000</f>
        <v>156.0606619104</v>
      </c>
      <c r="I270" s="6" t="n">
        <f aca="false">(Sens!I251+Sens!I269)*Sens!I268/1000</f>
        <v>186.319337257067</v>
      </c>
      <c r="J270" s="6" t="n">
        <f aca="false">(Sens!J251+Sens!J269)*Sens!J268/1000</f>
        <v>201.757436923733</v>
      </c>
      <c r="K270" s="6" t="n">
        <f aca="false">(Sens!K251+Sens!K269)*Sens!K268/1000</f>
        <v>246.8366879504</v>
      </c>
    </row>
    <row r="271" customFormat="false" ht="17.15" hidden="false" customHeight="false" outlineLevel="0" collapsed="false">
      <c r="A271" s="0" t="s">
        <v>753</v>
      </c>
      <c r="B271" s="0" t="s">
        <v>95</v>
      </c>
      <c r="C271" s="6" t="n">
        <f aca="false">Sens!C251*self_build*tk_cxfac/1000</f>
        <v>6.2083</v>
      </c>
      <c r="D271" s="6" t="n">
        <f aca="false">Sens!D251*self_build*tk_cxfac/1000</f>
        <v>9.3758</v>
      </c>
      <c r="E271" s="6" t="n">
        <f aca="false">Sens!E251*self_build*tk_cxfac/1000</f>
        <v>18.6249</v>
      </c>
      <c r="F271" s="6" t="n">
        <f aca="false">Sens!F251*self_build*tk_cxfac/1000</f>
        <v>29.409604</v>
      </c>
      <c r="G271" s="6" t="n">
        <f aca="false">Sens!G251*self_build*tk_cxfac/1000</f>
        <v>32.019624</v>
      </c>
      <c r="H271" s="6" t="n">
        <f aca="false">Sens!H251*self_build*tk_cxfac/1000</f>
        <v>32.019624</v>
      </c>
      <c r="I271" s="6" t="n">
        <f aca="false">Sens!I251*self_build*tk_cxfac/1000</f>
        <v>32.019624</v>
      </c>
      <c r="J271" s="6" t="n">
        <f aca="false">Sens!J251*self_build*tk_cxfac/1000</f>
        <v>32.019624</v>
      </c>
      <c r="K271" s="6" t="n">
        <f aca="false">Sens!K251*self_build*tk_cxfac/1000</f>
        <v>32.019624</v>
      </c>
    </row>
    <row r="272" customFormat="false" ht="17.15" hidden="false" customHeight="false" outlineLevel="0" collapsed="false">
      <c r="A272" s="0" t="s">
        <v>754</v>
      </c>
      <c r="B272" s="0" t="s">
        <v>95</v>
      </c>
      <c r="F272" s="6" t="n">
        <f aca="false">MAX(0,capex_floor27-Sens!F270-Sens!F271-Sens!F359)</f>
        <v>8.28777689897088</v>
      </c>
      <c r="G272" s="6" t="n">
        <f aca="false">0</f>
        <v>0</v>
      </c>
      <c r="H272" s="6" t="n">
        <f aca="false">0</f>
        <v>0</v>
      </c>
      <c r="I272" s="6" t="n">
        <f aca="false">0</f>
        <v>0</v>
      </c>
      <c r="J272" s="6" t="n">
        <f aca="false">0</f>
        <v>0</v>
      </c>
      <c r="K272" s="6" t="n">
        <f aca="false">0</f>
        <v>0</v>
      </c>
      <c r="L272" s="1" t="s">
        <v>755</v>
      </c>
    </row>
    <row r="273" customFormat="false" ht="17.15" hidden="false" customHeight="false" outlineLevel="0" collapsed="false">
      <c r="A273" s="0" t="s">
        <v>756</v>
      </c>
      <c r="B273" s="0" t="s">
        <v>95</v>
      </c>
      <c r="C273" s="6" t="n">
        <f aca="false">Sens!C270</f>
        <v>22.5333845916667</v>
      </c>
      <c r="D273" s="6" t="n">
        <f aca="false">Sens!D270</f>
        <v>34.0300093833333</v>
      </c>
      <c r="E273" s="6" t="n">
        <f aca="false">Sens!E270</f>
        <v>67.600153775</v>
      </c>
      <c r="F273" s="6" t="n">
        <f aca="false">Sens!F270+Sens!F272</f>
        <v>139.211048770438</v>
      </c>
      <c r="G273" s="6" t="n">
        <f aca="false">Sens!G270+Sens!G272</f>
        <v>151.5545564832</v>
      </c>
      <c r="H273" s="6" t="n">
        <f aca="false">Sens!H270+Sens!H272</f>
        <v>156.0606619104</v>
      </c>
      <c r="I273" s="6" t="n">
        <f aca="false">Sens!I270+Sens!I272</f>
        <v>186.319337257067</v>
      </c>
      <c r="J273" s="6" t="n">
        <f aca="false">Sens!J270+Sens!J272</f>
        <v>201.757436923733</v>
      </c>
      <c r="K273" s="6" t="n">
        <f aca="false">Sens!K270+Sens!K272</f>
        <v>246.8366879504</v>
      </c>
    </row>
    <row r="274" customFormat="false" ht="17.15" hidden="false" customHeight="false" outlineLevel="0" collapsed="false">
      <c r="A274" s="0" t="s">
        <v>757</v>
      </c>
      <c r="B274" s="0" t="s">
        <v>95</v>
      </c>
      <c r="C274" s="6" t="n">
        <f aca="false">Sens!C273+Sens!C271</f>
        <v>28.7416845916667</v>
      </c>
      <c r="D274" s="6" t="n">
        <f aca="false">Sens!D273+Sens!D271</f>
        <v>43.4058093833333</v>
      </c>
      <c r="E274" s="6" t="n">
        <f aca="false">Sens!E273+Sens!E271</f>
        <v>86.225053775</v>
      </c>
      <c r="F274" s="6" t="n">
        <f aca="false">Sens!F273+Sens!F271</f>
        <v>168.620652770438</v>
      </c>
      <c r="G274" s="6" t="n">
        <f aca="false">Sens!G273+Sens!G271</f>
        <v>183.5741804832</v>
      </c>
      <c r="H274" s="6" t="n">
        <f aca="false">Sens!H273+Sens!H271</f>
        <v>188.0802859104</v>
      </c>
      <c r="I274" s="6" t="n">
        <f aca="false">Sens!I273+Sens!I271</f>
        <v>218.338961257067</v>
      </c>
      <c r="J274" s="6" t="n">
        <f aca="false">Sens!J273+Sens!J271</f>
        <v>233.777060923733</v>
      </c>
      <c r="K274" s="6" t="n">
        <f aca="false">Sens!K273+Sens!K271</f>
        <v>278.8563119504</v>
      </c>
      <c r="L274" s="11" t="s">
        <v>758</v>
      </c>
    </row>
    <row r="275" customFormat="false" ht="17.15" hidden="false" customHeight="false" outlineLevel="0" collapsed="false">
      <c r="A275" s="0" t="s">
        <v>759</v>
      </c>
      <c r="B275" s="0" t="s">
        <v>95</v>
      </c>
      <c r="E275" s="6" t="n">
        <f aca="false">(Sens!C273*IF(2&lt;life_it,1,IF(2=life_it,0.5,0))+Sens!D273*IF(1&lt;life_it,1,IF(1=life_it,0.5,0))+Sens!E273*0.5)/life_it</f>
        <v>15.0605784770833</v>
      </c>
      <c r="F275" s="6" t="n">
        <f aca="false">(Sens!C273*IF(3&lt;life_it,1,IF(3=life_it,0.5,0))+Sens!D273*IF(2&lt;life_it,1,IF(2=life_it,0.5,0))+Sens!E273*IF(1&lt;life_it,1,IF(1=life_it,0.5,0))+Sens!F273*0.5)/life_it</f>
        <v>32.2948453558698</v>
      </c>
      <c r="G275" s="6" t="n">
        <f aca="false">(Sens!C273*IF(4&lt;life_it,1,IF(4=life_it,0.5,0))+Sens!D273*IF(3&lt;life_it,1,IF(3=life_it,0.5,0))+Sens!E273*IF(2&lt;life_it,1,IF(2=life_it,0.5,0))+Sens!F273*IF(1&lt;life_it,1,IF(1=life_it,0.5,0))+Sens!G273*0.5)/life_it</f>
        <v>56.5253124603396</v>
      </c>
      <c r="H275" s="6" t="n">
        <f aca="false">(Sens!C273*IF(5&lt;life_it,1,IF(5=life_it,0.5,0))+Sens!D273*IF(4&lt;life_it,1,IF(4=life_it,0.5,0))+Sens!E273*IF(3&lt;life_it,1,IF(3=life_it,0.5,0))+Sens!F273*IF(2&lt;life_it,1,IF(2=life_it,0.5,0))+Sens!G273*IF(1&lt;life_it,1,IF(1=life_it,0.5,0))+Sens!H273*0.5)/life_it</f>
        <v>82.1599139931396</v>
      </c>
      <c r="I275" s="6" t="n">
        <f aca="false">(Sens!C273*IF(6&lt;life_it,1,IF(6=life_it,0.5,0))+Sens!D273*IF(5&lt;life_it,1,IF(5=life_it,0.5,0))+Sens!E273*IF(4&lt;life_it,1,IF(4=life_it,0.5,0))+Sens!F273*IF(3&lt;life_it,1,IF(3=life_it,0.5,0))+Sens!G273*IF(2&lt;life_it,1,IF(2=life_it,0.5,0))+Sens!H273*IF(1&lt;life_it,1,IF(1=life_it,0.5,0))+Sens!I273*0.5)/life_it</f>
        <v>108.813798541123</v>
      </c>
      <c r="J275" s="6" t="n">
        <f aca="false">(Sens!C273*IF(7&lt;life_it,1,IF(7=life_it,0.5,0))+Sens!D273*IF(6&lt;life_it,1,IF(6=life_it,0.5,0))+Sens!E273*IF(5&lt;life_it,1,IF(5=life_it,0.5,0))+Sens!F273*IF(4&lt;life_it,1,IF(4=life_it,0.5,0))+Sens!G273*IF(3&lt;life_it,1,IF(3=life_it,0.5,0))+Sens!H273*IF(2&lt;life_it,1,IF(2=life_it,0.5,0))+Sens!I273*IF(1&lt;life_it,1,IF(1=life_it,0.5,0))+Sens!J273*0.5)/life_it</f>
        <v>136.439913558273</v>
      </c>
      <c r="K275" s="6" t="n">
        <f aca="false">(Sens!C273*IF(8&lt;life_it,1,IF(8=life_it,0.5,0))+Sens!D273*IF(7&lt;life_it,1,IF(7=life_it,0.5,0))+Sens!E273*IF(6&lt;life_it,1,IF(6=life_it,0.5,0))+Sens!F273*IF(5&lt;life_it,1,IF(5=life_it,0.5,0))+Sens!G273*IF(4&lt;life_it,1,IF(4=life_it,0.5,0))+Sens!H273*IF(3&lt;life_it,1,IF(3=life_it,0.5,0))+Sens!I273*IF(2&lt;life_it,1,IF(2=life_it,0.5,0))+Sens!J273*IF(1&lt;life_it,1,IF(1=life_it,0.5,0))+Sens!K273*0.5)/life_it</f>
        <v>165.35357703459</v>
      </c>
    </row>
    <row r="276" customFormat="false" ht="17.15" hidden="false" customHeight="false" outlineLevel="0" collapsed="false">
      <c r="A276" s="0" t="s">
        <v>760</v>
      </c>
      <c r="B276" s="0" t="s">
        <v>95</v>
      </c>
      <c r="E276" s="6" t="n">
        <f aca="false">(Sens!C271*IF(2&lt;life_fac,1,IF(2=life_fac,0.5,0))+Sens!D271*IF(1&lt;life_fac,1,IF(1=life_fac,0.5,0))+Sens!E271*0.5)/life_fac</f>
        <v>1.2448275</v>
      </c>
      <c r="F276" s="6" t="n">
        <f aca="false">(Sens!C271*IF(3&lt;life_fac,1,IF(3=life_fac,0.5,0))+Sens!D271*IF(2&lt;life_fac,1,IF(2=life_fac,0.5,0))+Sens!E271*IF(1&lt;life_fac,1,IF(1=life_fac,0.5,0))+Sens!F271*0.5)/life_fac</f>
        <v>2.4456901</v>
      </c>
      <c r="G276" s="6" t="n">
        <f aca="false">(Sens!C271*IF(4&lt;life_fac,1,IF(4=life_fac,0.5,0))+Sens!D271*IF(3&lt;life_fac,1,IF(3=life_fac,0.5,0))+Sens!E271*IF(2&lt;life_fac,1,IF(2=life_fac,0.5,0))+Sens!F271*IF(1&lt;life_fac,1,IF(1=life_fac,0.5,0))+Sens!G271*0.5)/life_fac</f>
        <v>3.9814208</v>
      </c>
      <c r="H276" s="6" t="n">
        <f aca="false">(Sens!C271*IF(5&lt;life_fac,1,IF(5=life_fac,0.5,0))+Sens!D271*IF(4&lt;life_fac,1,IF(4=life_fac,0.5,0))+Sens!E271*IF(3&lt;life_fac,1,IF(3=life_fac,0.5,0))+Sens!F271*IF(2&lt;life_fac,1,IF(2=life_fac,0.5,0))+Sens!G271*IF(1&lt;life_fac,1,IF(1=life_fac,0.5,0))+Sens!H271*0.5)/life_fac</f>
        <v>5.582402</v>
      </c>
      <c r="I276" s="6" t="n">
        <f aca="false">(Sens!C271*IF(6&lt;life_fac,1,IF(6=life_fac,0.5,0))+Sens!D271*IF(5&lt;life_fac,1,IF(5=life_fac,0.5,0))+Sens!E271*IF(4&lt;life_fac,1,IF(4=life_fac,0.5,0))+Sens!F271*IF(3&lt;life_fac,1,IF(3=life_fac,0.5,0))+Sens!G271*IF(2&lt;life_fac,1,IF(2=life_fac,0.5,0))+Sens!H271*IF(1&lt;life_fac,1,IF(1=life_fac,0.5,0))+Sens!I271*0.5)/life_fac</f>
        <v>7.1833832</v>
      </c>
      <c r="J276" s="6" t="n">
        <f aca="false">(Sens!C271*IF(7&lt;life_fac,1,IF(7=life_fac,0.5,0))+Sens!D271*IF(6&lt;life_fac,1,IF(6=life_fac,0.5,0))+Sens!E271*IF(5&lt;life_fac,1,IF(5=life_fac,0.5,0))+Sens!F271*IF(4&lt;life_fac,1,IF(4=life_fac,0.5,0))+Sens!G271*IF(3&lt;life_fac,1,IF(3=life_fac,0.5,0))+Sens!H271*IF(2&lt;life_fac,1,IF(2=life_fac,0.5,0))+Sens!I271*IF(1&lt;life_fac,1,IF(1=life_fac,0.5,0))+Sens!J271*0.5)/life_fac</f>
        <v>8.7843644</v>
      </c>
      <c r="K276" s="6" t="n">
        <f aca="false">(Sens!C271*IF(8&lt;life_fac,1,IF(8=life_fac,0.5,0))+Sens!D271*IF(7&lt;life_fac,1,IF(7=life_fac,0.5,0))+Sens!E271*IF(6&lt;life_fac,1,IF(6=life_fac,0.5,0))+Sens!F271*IF(5&lt;life_fac,1,IF(5=life_fac,0.5,0))+Sens!G271*IF(4&lt;life_fac,1,IF(4=life_fac,0.5,0))+Sens!H271*IF(3&lt;life_fac,1,IF(3=life_fac,0.5,0))+Sens!I271*IF(2&lt;life_fac,1,IF(2=life_fac,0.5,0))+Sens!J271*IF(1&lt;life_fac,1,IF(1=life_fac,0.5,0))+Sens!K271*0.5)/life_fac</f>
        <v>10.3853456</v>
      </c>
    </row>
    <row r="277" customFormat="false" ht="17.15" hidden="false" customHeight="false" outlineLevel="0" collapsed="false">
      <c r="A277" s="0" t="s">
        <v>761</v>
      </c>
      <c r="B277" s="0" t="s">
        <v>95</v>
      </c>
      <c r="E277" s="6" t="n">
        <f aca="false">Sens!E275+Sens!E276</f>
        <v>16.3054059770833</v>
      </c>
      <c r="F277" s="6" t="n">
        <f aca="false">Sens!F275+Sens!F276</f>
        <v>34.7405354558698</v>
      </c>
      <c r="G277" s="6" t="n">
        <f aca="false">Sens!G275+Sens!G276</f>
        <v>60.5067332603396</v>
      </c>
      <c r="H277" s="6" t="n">
        <f aca="false">Sens!H275+Sens!H276</f>
        <v>87.7423159931396</v>
      </c>
      <c r="I277" s="6" t="n">
        <f aca="false">Sens!I275+Sens!I276</f>
        <v>115.997181741123</v>
      </c>
      <c r="J277" s="6" t="n">
        <f aca="false">Sens!J275+Sens!J276</f>
        <v>145.224277958273</v>
      </c>
      <c r="K277" s="6" t="n">
        <f aca="false">Sens!K275+Sens!K276</f>
        <v>175.73892263459</v>
      </c>
    </row>
    <row r="278" customFormat="false" ht="17.15" hidden="false" customHeight="false" outlineLevel="0" collapsed="false">
      <c r="A278" s="0" t="s">
        <v>762</v>
      </c>
      <c r="B278" s="0" t="s">
        <v>95</v>
      </c>
      <c r="E278" s="6" t="n">
        <f aca="false">Sens!E266-Sens!E265*Sens!E277</f>
        <v>8.92707889977379</v>
      </c>
      <c r="F278" s="6" t="n">
        <f aca="false">Sens!F266-Sens!F265*Sens!F277</f>
        <v>10.3555184894282</v>
      </c>
      <c r="G278" s="6" t="n">
        <f aca="false">Sens!G266-Sens!G265*Sens!G277</f>
        <v>16.8311334037443</v>
      </c>
      <c r="H278" s="6" t="n">
        <f aca="false">Sens!H266-Sens!H265*Sens!H277</f>
        <v>23.8489107774441</v>
      </c>
      <c r="I278" s="6" t="n">
        <f aca="false">Sens!I266-Sens!I265*Sens!I277</f>
        <v>30.3758540064777</v>
      </c>
      <c r="J278" s="6" t="n">
        <f aca="false">Sens!J266-Sens!J265*Sens!J277</f>
        <v>36.3825734731986</v>
      </c>
      <c r="K278" s="6" t="n">
        <f aca="false">Sens!K266-Sens!K265*Sens!K277</f>
        <v>41.6538911006427</v>
      </c>
    </row>
    <row r="279" customFormat="false" ht="17.15" hidden="false" customHeight="false" outlineLevel="0" collapsed="false">
      <c r="A279" s="3" t="s">
        <v>1120</v>
      </c>
    </row>
    <row r="280" customFormat="false" ht="15" hidden="false" customHeight="false" outlineLevel="0" collapsed="false">
      <c r="A280" s="4" t="s">
        <v>43</v>
      </c>
      <c r="B280" s="4" t="s">
        <v>63</v>
      </c>
      <c r="C280" s="19" t="s">
        <v>710</v>
      </c>
      <c r="D280" s="19" t="s">
        <v>711</v>
      </c>
      <c r="E280" s="19" t="s">
        <v>712</v>
      </c>
      <c r="F280" s="19" t="s">
        <v>713</v>
      </c>
      <c r="G280" s="19" t="s">
        <v>714</v>
      </c>
      <c r="H280" s="19" t="s">
        <v>715</v>
      </c>
      <c r="I280" s="19" t="s">
        <v>716</v>
      </c>
      <c r="J280" s="19" t="s">
        <v>717</v>
      </c>
      <c r="K280" s="19" t="s">
        <v>718</v>
      </c>
      <c r="L280" s="4" t="s">
        <v>47</v>
      </c>
    </row>
    <row r="281" customFormat="false" ht="17.15" hidden="false" customHeight="false" outlineLevel="0" collapsed="false">
      <c r="A281" s="0" t="s">
        <v>780</v>
      </c>
      <c r="B281" s="0" t="s">
        <v>95</v>
      </c>
      <c r="D281" s="6" t="n">
        <f aca="false">Sens!D260</f>
        <v>12.9359794422418</v>
      </c>
      <c r="E281" s="6" t="n">
        <f aca="false">Sens!E260</f>
        <v>27.8095064661409</v>
      </c>
      <c r="F281" s="6" t="n">
        <f aca="false">Sens!F260</f>
        <v>46.8044055887147</v>
      </c>
      <c r="G281" s="6" t="n">
        <f aca="false">Sens!G260</f>
        <v>76.0329601211957</v>
      </c>
      <c r="H281" s="6" t="n">
        <f aca="false">Sens!H260</f>
        <v>106.110286126343</v>
      </c>
      <c r="I281" s="6" t="n">
        <f aca="false">Sens!I260</f>
        <v>136.326838664267</v>
      </c>
      <c r="J281" s="6" t="n">
        <f aca="false">Sens!J260</f>
        <v>166.616171815234</v>
      </c>
      <c r="K281" s="6" t="n">
        <f aca="false">Sens!K260</f>
        <v>196.94831830056</v>
      </c>
    </row>
    <row r="282" customFormat="false" ht="17.15" hidden="false" customHeight="false" outlineLevel="0" collapsed="false">
      <c r="A282" s="0" t="s">
        <v>781</v>
      </c>
      <c r="B282" s="0" t="s">
        <v>95</v>
      </c>
      <c r="D282" s="6" t="n">
        <f aca="false">Q!L6-Sens!D281</f>
        <v>59.6740205577583</v>
      </c>
      <c r="E282" s="6" t="n">
        <f aca="false">Q!M6-Sens!E281</f>
        <v>74.1284935338591</v>
      </c>
      <c r="F282" s="6" t="n">
        <f aca="false">Sens!E282*(1+Sens!F283)</f>
        <v>90.0799497373663</v>
      </c>
      <c r="G282" s="6" t="n">
        <f aca="false">Sens!F282*(1+Sens!G283)</f>
        <v>107.02842520331</v>
      </c>
      <c r="H282" s="6" t="n">
        <f aca="false">Sens!G282*(1+Sens!H283)</f>
        <v>124.271982585636</v>
      </c>
      <c r="I282" s="6" t="n">
        <f aca="false">Sens!H282*(1+Sens!I283)</f>
        <v>140.933702381855</v>
      </c>
      <c r="J282" s="6" t="n">
        <f aca="false">Sens!I282*(1+Sens!J283)</f>
        <v>156.018867314332</v>
      </c>
      <c r="K282" s="6" t="n">
        <f aca="false">Sens!J282*(1+Sens!K283)</f>
        <v>168.500376699478</v>
      </c>
    </row>
    <row r="283" customFormat="false" ht="15" hidden="false" customHeight="false" outlineLevel="0" collapsed="false">
      <c r="A283" s="1" t="s">
        <v>782</v>
      </c>
      <c r="B283" s="0" t="s">
        <v>126</v>
      </c>
      <c r="E283" s="7" t="n">
        <f aca="false">Sens!E282/Sens!D282-1</f>
        <v>0.242223883039864</v>
      </c>
      <c r="F283" s="7" t="n">
        <f aca="false">Sens!$E$283+(glt_azo-Sens!$E$283)*MIN(1,1/n_conv)</f>
        <v>0.215186569199887</v>
      </c>
      <c r="G283" s="7" t="n">
        <f aca="false">Sens!$E$283+(glt_azo-Sens!$E$283)*MIN(1,2/n_conv)</f>
        <v>0.18814925535991</v>
      </c>
      <c r="H283" s="7" t="n">
        <f aca="false">Sens!$E$283+(glt_azo-Sens!$E$283)*MIN(1,3/n_conv)</f>
        <v>0.161111941519932</v>
      </c>
      <c r="I283" s="7" t="n">
        <f aca="false">Sens!$E$283+(glt_azo-Sens!$E$283)*MIN(1,4/n_conv)</f>
        <v>0.134074627679955</v>
      </c>
      <c r="J283" s="7" t="n">
        <f aca="false">Sens!$E$283+(glt_azo-Sens!$E$283)*MIN(1,5/n_conv)</f>
        <v>0.107037313839977</v>
      </c>
      <c r="K283" s="7" t="n">
        <f aca="false">Sens!$E$283+(glt_azo-Sens!$E$283)*MIN(1,6/n_conv)</f>
        <v>0.08</v>
      </c>
    </row>
    <row r="284" customFormat="false" ht="15" hidden="false" customHeight="false" outlineLevel="0" collapsed="false">
      <c r="A284" s="0" t="s">
        <v>783</v>
      </c>
      <c r="B284" s="0" t="s">
        <v>95</v>
      </c>
      <c r="D284" s="6" t="n">
        <f aca="false">Sens!D281+Sens!D282</f>
        <v>72.61</v>
      </c>
      <c r="E284" s="6" t="n">
        <f aca="false">Sens!E281+Sens!E282</f>
        <v>101.938</v>
      </c>
      <c r="F284" s="6" t="n">
        <f aca="false">Sens!F281+Sens!F282</f>
        <v>136.884355326081</v>
      </c>
      <c r="G284" s="6" t="n">
        <f aca="false">Sens!G281+Sens!G282</f>
        <v>183.061385324506</v>
      </c>
      <c r="H284" s="6" t="n">
        <f aca="false">Sens!H281+Sens!H282</f>
        <v>230.382268711979</v>
      </c>
      <c r="I284" s="6" t="n">
        <f aca="false">Sens!I281+Sens!I282</f>
        <v>277.260541046122</v>
      </c>
      <c r="J284" s="6" t="n">
        <f aca="false">Sens!J281+Sens!J282</f>
        <v>322.635039129566</v>
      </c>
      <c r="K284" s="6" t="n">
        <f aca="false">Sens!K281+Sens!K282</f>
        <v>365.448695000038</v>
      </c>
    </row>
    <row r="285" customFormat="false" ht="17.15" hidden="false" customHeight="false" outlineLevel="0" collapsed="false">
      <c r="A285" s="0" t="s">
        <v>784</v>
      </c>
      <c r="B285" s="1" t="s">
        <v>451</v>
      </c>
      <c r="C285" s="27" t="n">
        <f aca="false">cop_s24</f>
        <v>1</v>
      </c>
      <c r="D285" s="27" t="n">
        <f aca="false">cop_s25</f>
        <v>5</v>
      </c>
      <c r="E285" s="27" t="n">
        <f aca="false">cop_s26</f>
        <v>30</v>
      </c>
      <c r="F285" s="27" t="n">
        <f aca="false">Sens!E285+IF(2027&lt;=2029,cop_add_B,cop_add_B*cop_tail)</f>
        <v>50</v>
      </c>
      <c r="G285" s="27" t="n">
        <f aca="false">Sens!F285+IF(2028&lt;=2029,cop_add_B,cop_add_B*cop_tail)</f>
        <v>70</v>
      </c>
      <c r="H285" s="27" t="n">
        <f aca="false">Sens!G285+IF(2029&lt;=2029,cop_add_B,cop_add_B*cop_tail)</f>
        <v>90</v>
      </c>
      <c r="I285" s="27" t="n">
        <f aca="false">Sens!H285+IF(2030&lt;=2029,cop_add_B,cop_add_B*cop_tail)</f>
        <v>100</v>
      </c>
      <c r="J285" s="27" t="n">
        <f aca="false">Sens!I285+IF(2031&lt;=2029,cop_add_B,cop_add_B*cop_tail)</f>
        <v>110</v>
      </c>
      <c r="K285" s="27" t="n">
        <f aca="false">Sens!J285+IF(2032&lt;=2029,cop_add_B,cop_add_B*cop_tail)</f>
        <v>120</v>
      </c>
    </row>
    <row r="286" customFormat="false" ht="17.15" hidden="false" customHeight="false" outlineLevel="0" collapsed="false">
      <c r="A286" s="0" t="s">
        <v>785</v>
      </c>
      <c r="B286" s="0" t="s">
        <v>95</v>
      </c>
      <c r="D286" s="6" t="n">
        <f aca="false">(Sens!C285+Sens!D285)/2*cop_px*12/1000</f>
        <v>0.9</v>
      </c>
      <c r="E286" s="6" t="n">
        <f aca="false">(Sens!D285+Sens!E285)/2*cop_px*12/1000</f>
        <v>5.25</v>
      </c>
      <c r="F286" s="6" t="n">
        <f aca="false">(Sens!E285+Sens!F285)/2*cop_px*12/1000</f>
        <v>12</v>
      </c>
      <c r="G286" s="6" t="n">
        <f aca="false">(Sens!F285+Sens!G285)/2*cop_px*12/1000</f>
        <v>18</v>
      </c>
      <c r="H286" s="6" t="n">
        <f aca="false">(Sens!G285+Sens!H285)/2*cop_px*12/1000</f>
        <v>24</v>
      </c>
      <c r="I286" s="6" t="n">
        <f aca="false">(Sens!H285+Sens!I285)/2*cop_px*12/1000</f>
        <v>28.5</v>
      </c>
      <c r="J286" s="6" t="n">
        <f aca="false">(Sens!I285+Sens!J285)/2*cop_px*12/1000</f>
        <v>31.5</v>
      </c>
      <c r="K286" s="6" t="n">
        <f aca="false">(Sens!J285+Sens!K285)/2*cop_px*12/1000</f>
        <v>34.5</v>
      </c>
      <c r="L286" s="1" t="s">
        <v>786</v>
      </c>
    </row>
    <row r="287" customFormat="false" ht="17.15" hidden="false" customHeight="false" outlineLevel="0" collapsed="false">
      <c r="A287" s="0" t="s">
        <v>787</v>
      </c>
      <c r="B287" s="0" t="s">
        <v>95</v>
      </c>
      <c r="D287" s="6" t="n">
        <f aca="false">Q!L7-Sens!D286</f>
        <v>83.705</v>
      </c>
      <c r="E287" s="6" t="n">
        <f aca="false">Q!M7-Sens!E286</f>
        <v>95.049</v>
      </c>
      <c r="F287" s="6" t="n">
        <f aca="false">Sens!E287*(1+Sens!F288)</f>
        <v>106.89238776686</v>
      </c>
      <c r="G287" s="6" t="n">
        <f aca="false">Sens!F287*(1+Sens!G288)</f>
        <v>119.044168448684</v>
      </c>
      <c r="H287" s="6" t="n">
        <f aca="false">Sens!G287*(1+Sens!H288)</f>
        <v>131.277359388781</v>
      </c>
      <c r="I287" s="6" t="n">
        <f aca="false">Sens!H287*(1+Sens!I288)</f>
        <v>143.334028071957</v>
      </c>
      <c r="J287" s="6" t="n">
        <f aca="false">Sens!I287*(1+Sens!J288)</f>
        <v>154.932702785465</v>
      </c>
      <c r="K287" s="6" t="n">
        <f aca="false">Sens!J287*(1+Sens!K288)</f>
        <v>165.777991980448</v>
      </c>
    </row>
    <row r="288" customFormat="false" ht="15" hidden="false" customHeight="false" outlineLevel="0" collapsed="false">
      <c r="A288" s="1" t="s">
        <v>782</v>
      </c>
      <c r="B288" s="0" t="s">
        <v>126</v>
      </c>
      <c r="E288" s="7" t="n">
        <f aca="false">Sens!E287/Sens!D287-1</f>
        <v>0.135523564900544</v>
      </c>
      <c r="F288" s="7" t="n">
        <f aca="false">Sens!$E$288+(glt_m365b-Sens!$E$288)*MIN(1,1/n_conv)</f>
        <v>0.124602970750453</v>
      </c>
      <c r="G288" s="7" t="n">
        <f aca="false">Sens!$E$288+(glt_m365b-Sens!$E$288)*MIN(1,2/n_conv)</f>
        <v>0.113682376600363</v>
      </c>
      <c r="H288" s="7" t="n">
        <f aca="false">Sens!$E$288+(glt_m365b-Sens!$E$288)*MIN(1,3/n_conv)</f>
        <v>0.102761782450272</v>
      </c>
      <c r="I288" s="7" t="n">
        <f aca="false">Sens!$E$288+(glt_m365b-Sens!$E$288)*MIN(1,4/n_conv)</f>
        <v>0.0918411883001813</v>
      </c>
      <c r="J288" s="7" t="n">
        <f aca="false">Sens!$E$288+(glt_m365b-Sens!$E$288)*MIN(1,5/n_conv)</f>
        <v>0.0809205941500906</v>
      </c>
      <c r="K288" s="7" t="n">
        <f aca="false">Sens!$E$288+(glt_m365b-Sens!$E$288)*MIN(1,6/n_conv)</f>
        <v>0.07</v>
      </c>
    </row>
    <row r="289" customFormat="false" ht="15" hidden="false" customHeight="false" outlineLevel="0" collapsed="false">
      <c r="A289" s="0" t="s">
        <v>788</v>
      </c>
      <c r="B289" s="0" t="s">
        <v>95</v>
      </c>
      <c r="D289" s="6" t="n">
        <f aca="false">Sens!D287+Sens!D286</f>
        <v>84.605</v>
      </c>
      <c r="E289" s="6" t="n">
        <f aca="false">Sens!E287+Sens!E286</f>
        <v>100.299</v>
      </c>
      <c r="F289" s="6" t="n">
        <f aca="false">Sens!F287+Sens!F286</f>
        <v>118.89238776686</v>
      </c>
      <c r="G289" s="6" t="n">
        <f aca="false">Sens!G287+Sens!G286</f>
        <v>137.044168448684</v>
      </c>
      <c r="H289" s="6" t="n">
        <f aca="false">Sens!H287+Sens!H286</f>
        <v>155.277359388781</v>
      </c>
      <c r="I289" s="6" t="n">
        <f aca="false">Sens!I287+Sens!I286</f>
        <v>171.834028071957</v>
      </c>
      <c r="J289" s="6" t="n">
        <f aca="false">Sens!J287+Sens!J286</f>
        <v>186.432702785465</v>
      </c>
      <c r="K289" s="6" t="n">
        <f aca="false">Sens!K287+Sens!K286</f>
        <v>200.277991980448</v>
      </c>
    </row>
    <row r="290" customFormat="false" ht="15" hidden="false" customHeight="false" outlineLevel="0" collapsed="false">
      <c r="A290" s="0" t="s">
        <v>789</v>
      </c>
      <c r="B290" s="0" t="s">
        <v>95</v>
      </c>
      <c r="D290" s="6" t="n">
        <f aca="false">Q!L8</f>
        <v>35.391</v>
      </c>
      <c r="E290" s="6" t="n">
        <f aca="false">Q!M8</f>
        <v>37.285</v>
      </c>
      <c r="F290" s="6" t="n">
        <f aca="false">Sens!E290*(1+Sens!F291)</f>
        <v>39.0720834331704</v>
      </c>
      <c r="G290" s="6" t="n">
        <f aca="false">Sens!F290*(1+Sens!G291)</f>
        <v>40.726562953769</v>
      </c>
      <c r="H290" s="6" t="n">
        <f aca="false">Sens!G290*(1+Sens!H291)</f>
        <v>42.2235987259198</v>
      </c>
      <c r="I290" s="6" t="n">
        <f aca="false">Sens!H290*(1+Sens!I291)</f>
        <v>43.5397988077414</v>
      </c>
      <c r="J290" s="6" t="n">
        <f aca="false">Sens!I290*(1+Sens!J291)</f>
        <v>44.653811225693</v>
      </c>
      <c r="K290" s="6" t="n">
        <f aca="false">Sens!J290*(1+Sens!K291)</f>
        <v>45.5468874502068</v>
      </c>
    </row>
    <row r="291" customFormat="false" ht="15" hidden="false" customHeight="false" outlineLevel="0" collapsed="false">
      <c r="A291" s="1" t="s">
        <v>782</v>
      </c>
      <c r="B291" s="0" t="s">
        <v>126</v>
      </c>
      <c r="E291" s="7" t="n">
        <f aca="false">Sens!E290/Sens!D290-1</f>
        <v>0.0535164307309768</v>
      </c>
      <c r="F291" s="7" t="n">
        <f aca="false">Sens!$E$291+(glt_lic-Sens!$E$291)*MIN(1,1/n_conv)</f>
        <v>0.0479303589424807</v>
      </c>
      <c r="G291" s="7" t="n">
        <f aca="false">Sens!$E$291+(glt_lic-Sens!$E$291)*MIN(1,2/n_conv)</f>
        <v>0.0423442871539845</v>
      </c>
      <c r="H291" s="7" t="n">
        <f aca="false">Sens!$E$291+(glt_lic-Sens!$E$291)*MIN(1,3/n_conv)</f>
        <v>0.0367582153654884</v>
      </c>
      <c r="I291" s="7" t="n">
        <f aca="false">Sens!$E$291+(glt_lic-Sens!$E$291)*MIN(1,4/n_conv)</f>
        <v>0.0311721435769923</v>
      </c>
      <c r="J291" s="7" t="n">
        <f aca="false">Sens!$E$291+(glt_lic-Sens!$E$291)*MIN(1,5/n_conv)</f>
        <v>0.0255860717884961</v>
      </c>
      <c r="K291" s="7" t="n">
        <f aca="false">Sens!$E$291+(glt_lic-Sens!$E$291)*MIN(1,6/n_conv)</f>
        <v>0.02</v>
      </c>
    </row>
    <row r="292" customFormat="false" ht="15" hidden="false" customHeight="false" outlineLevel="0" collapsed="false">
      <c r="A292" s="0" t="s">
        <v>790</v>
      </c>
      <c r="B292" s="0" t="s">
        <v>95</v>
      </c>
      <c r="D292" s="6" t="n">
        <f aca="false">Q!L9</f>
        <v>18.417</v>
      </c>
      <c r="E292" s="6" t="n">
        <f aca="false">Q!M9</f>
        <v>20.345</v>
      </c>
      <c r="F292" s="6" t="n">
        <f aca="false">Sens!E292*(1+Sens!F293)</f>
        <v>22.3572203267814</v>
      </c>
      <c r="G292" s="6" t="n">
        <f aca="false">Sens!F292*(1+Sens!G293)</f>
        <v>24.4392124437232</v>
      </c>
      <c r="H292" s="6" t="n">
        <f aca="false">Sens!G292*(1+Sens!H293)</f>
        <v>26.5738052080665</v>
      </c>
      <c r="I292" s="6" t="n">
        <f aca="false">Sens!H292*(1+Sens!I293)</f>
        <v>28.7412169166967</v>
      </c>
      <c r="J292" s="6" t="n">
        <f aca="false">Sens!I292*(1+Sens!J293)</f>
        <v>30.9192545395413</v>
      </c>
      <c r="K292" s="6" t="n">
        <f aca="false">Sens!J292*(1+Sens!K293)</f>
        <v>33.0836023573092</v>
      </c>
    </row>
    <row r="293" customFormat="false" ht="15" hidden="false" customHeight="false" outlineLevel="0" collapsed="false">
      <c r="A293" s="1" t="s">
        <v>782</v>
      </c>
      <c r="B293" s="0" t="s">
        <v>126</v>
      </c>
      <c r="E293" s="7" t="n">
        <f aca="false">Sens!E292/Sens!D292-1</f>
        <v>0.104685888038225</v>
      </c>
      <c r="F293" s="7" t="n">
        <f aca="false">Sens!$E$293+(glt_ind-Sens!$E$293)*MIN(1,1/n_conv)</f>
        <v>0.0989049066985211</v>
      </c>
      <c r="G293" s="7" t="n">
        <f aca="false">Sens!$E$293+(glt_ind-Sens!$E$293)*MIN(1,2/n_conv)</f>
        <v>0.0931239253588169</v>
      </c>
      <c r="H293" s="7" t="n">
        <f aca="false">Sens!$E$293+(glt_ind-Sens!$E$293)*MIN(1,3/n_conv)</f>
        <v>0.0873429440191127</v>
      </c>
      <c r="I293" s="7" t="n">
        <f aca="false">Sens!$E$293+(glt_ind-Sens!$E$293)*MIN(1,4/n_conv)</f>
        <v>0.0815619626794085</v>
      </c>
      <c r="J293" s="7" t="n">
        <f aca="false">Sens!$E$293+(glt_ind-Sens!$E$293)*MIN(1,5/n_conv)</f>
        <v>0.0757809813397042</v>
      </c>
      <c r="K293" s="7" t="n">
        <f aca="false">Sens!$E$293+(glt_ind-Sens!$E$293)*MIN(1,6/n_conv)</f>
        <v>0.07</v>
      </c>
    </row>
    <row r="294" customFormat="false" ht="15" hidden="false" customHeight="false" outlineLevel="0" collapsed="false">
      <c r="A294" s="0" t="s">
        <v>791</v>
      </c>
      <c r="B294" s="0" t="s">
        <v>95</v>
      </c>
      <c r="D294" s="6" t="n">
        <f aca="false">Q!L10</f>
        <v>7.76</v>
      </c>
      <c r="E294" s="6" t="n">
        <f aca="false">Q!M10</f>
        <v>8.26</v>
      </c>
      <c r="F294" s="6" t="n">
        <f aca="false">Sens!E294*(1+Sens!F295)</f>
        <v>8.79988041237113</v>
      </c>
      <c r="G294" s="6" t="n">
        <f aca="false">Sens!F294*(1+Sens!G295)</f>
        <v>9.38321269125306</v>
      </c>
      <c r="H294" s="6" t="n">
        <f aca="false">Sens!G294*(1+Sens!H295)</f>
        <v>10.0139193587476</v>
      </c>
      <c r="I294" s="6" t="n">
        <f aca="false">Sens!H294*(1+Sens!I295)</f>
        <v>10.6963111830911</v>
      </c>
      <c r="J294" s="6" t="n">
        <f aca="false">Sens!I294*(1+Sens!J295)</f>
        <v>11.4351285534696</v>
      </c>
      <c r="K294" s="6" t="n">
        <f aca="false">Sens!J294*(1+Sens!K295)</f>
        <v>12.2355875522124</v>
      </c>
    </row>
    <row r="295" customFormat="false" ht="15" hidden="false" customHeight="false" outlineLevel="0" collapsed="false">
      <c r="A295" s="1" t="s">
        <v>782</v>
      </c>
      <c r="B295" s="0" t="s">
        <v>126</v>
      </c>
      <c r="E295" s="7" t="n">
        <f aca="false">Sens!E294/Sens!D294-1</f>
        <v>0.0644329896907216</v>
      </c>
      <c r="F295" s="7" t="n">
        <f aca="false">Sens!$E$295+(glt_fro-Sens!$E$295)*MIN(1,1/n_conv)</f>
        <v>0.065360824742268</v>
      </c>
      <c r="G295" s="7" t="n">
        <f aca="false">Sens!$E$295+(glt_fro-Sens!$E$295)*MIN(1,2/n_conv)</f>
        <v>0.0662886597938144</v>
      </c>
      <c r="H295" s="7" t="n">
        <f aca="false">Sens!$E$295+(glt_fro-Sens!$E$295)*MIN(1,3/n_conv)</f>
        <v>0.0672164948453608</v>
      </c>
      <c r="I295" s="7" t="n">
        <f aca="false">Sens!$E$295+(glt_fro-Sens!$E$295)*MIN(1,4/n_conv)</f>
        <v>0.0681443298969072</v>
      </c>
      <c r="J295" s="7" t="n">
        <f aca="false">Sens!$E$295+(glt_fro-Sens!$E$295)*MIN(1,5/n_conv)</f>
        <v>0.0690721649484536</v>
      </c>
      <c r="K295" s="7" t="n">
        <f aca="false">Sens!$E$295+(glt_fro-Sens!$E$295)*MIN(1,6/n_conv)</f>
        <v>0.07</v>
      </c>
    </row>
    <row r="296" customFormat="false" ht="15" hidden="false" customHeight="false" outlineLevel="0" collapsed="false">
      <c r="A296" s="0" t="s">
        <v>626</v>
      </c>
      <c r="B296" s="0" t="s">
        <v>95</v>
      </c>
      <c r="D296" s="6" t="n">
        <f aca="false">Sens!D284+Sens!D289+Sens!D290+Sens!D292+Sens!D294</f>
        <v>218.783</v>
      </c>
      <c r="E296" s="6" t="n">
        <f aca="false">Sens!E284+Sens!E289+Sens!E290+Sens!E292+Sens!E294</f>
        <v>268.127</v>
      </c>
      <c r="F296" s="6" t="n">
        <f aca="false">Sens!F284+Sens!F289+Sens!F290+Sens!F292+Sens!F294</f>
        <v>326.005927265264</v>
      </c>
      <c r="G296" s="6" t="n">
        <f aca="false">Sens!G284+Sens!G289+Sens!G290+Sens!G292+Sens!G294</f>
        <v>394.654541861935</v>
      </c>
      <c r="H296" s="6" t="n">
        <f aca="false">Sens!H284+Sens!H289+Sens!H290+Sens!H292+Sens!H294</f>
        <v>464.470951393494</v>
      </c>
      <c r="I296" s="6" t="n">
        <f aca="false">Sens!I284+Sens!I289+Sens!I290+Sens!I292+Sens!I294</f>
        <v>532.071896025608</v>
      </c>
      <c r="J296" s="6" t="n">
        <f aca="false">Sens!J284+Sens!J289+Sens!J290+Sens!J292+Sens!J294</f>
        <v>596.075936233735</v>
      </c>
      <c r="K296" s="6" t="n">
        <f aca="false">Sens!K284+Sens!K289+Sens!K290+Sens!K292+Sens!K294</f>
        <v>656.592764340215</v>
      </c>
    </row>
    <row r="297" customFormat="false" ht="15" hidden="false" customHeight="false" outlineLevel="0" collapsed="false">
      <c r="A297" s="0" t="s">
        <v>792</v>
      </c>
      <c r="B297" s="0" t="s">
        <v>95</v>
      </c>
      <c r="D297" s="6" t="n">
        <f aca="false">Q!L13</f>
        <v>22.171</v>
      </c>
      <c r="E297" s="6" t="n">
        <f aca="false">Q!M13</f>
        <v>24.835</v>
      </c>
      <c r="F297" s="6" t="n">
        <f aca="false">Sens!E297*(1+Sens!F298)</f>
        <v>27.6114901218559</v>
      </c>
      <c r="G297" s="6" t="n">
        <f aca="false">Sens!F297*(1+Sens!G298)</f>
        <v>30.4675667338515</v>
      </c>
      <c r="H297" s="6" t="n">
        <f aca="false">Sens!G297*(1+Sens!H298)</f>
        <v>33.3643766955789</v>
      </c>
      <c r="I297" s="6" t="n">
        <f aca="false">Sens!H297*(1+Sens!I298)</f>
        <v>36.2577016533691</v>
      </c>
      <c r="J297" s="6" t="n">
        <f aca="false">Sens!I297*(1+Sens!J298)</f>
        <v>39.0988367952171</v>
      </c>
      <c r="K297" s="6" t="n">
        <f aca="false">Sens!J297*(1+Sens!K298)</f>
        <v>41.8357553708823</v>
      </c>
    </row>
    <row r="298" customFormat="false" ht="15" hidden="false" customHeight="false" outlineLevel="0" collapsed="false">
      <c r="A298" s="1" t="s">
        <v>782</v>
      </c>
      <c r="B298" s="0" t="s">
        <v>126</v>
      </c>
      <c r="E298" s="7" t="n">
        <f aca="false">Sens!E297/Sens!D297-1</f>
        <v>0.120156961796942</v>
      </c>
      <c r="F298" s="7" t="n">
        <f aca="false">Sens!$E$298+(glt_srch-Sens!$E$298)*MIN(1,1/n_conv)</f>
        <v>0.111797468164118</v>
      </c>
      <c r="G298" s="7" t="n">
        <f aca="false">Sens!$E$298+(glt_srch-Sens!$E$298)*MIN(1,2/n_conv)</f>
        <v>0.103437974531295</v>
      </c>
      <c r="H298" s="7" t="n">
        <f aca="false">Sens!$E$298+(glt_srch-Sens!$E$298)*MIN(1,3/n_conv)</f>
        <v>0.095078480898471</v>
      </c>
      <c r="I298" s="7" t="n">
        <f aca="false">Sens!$E$298+(glt_srch-Sens!$E$298)*MIN(1,4/n_conv)</f>
        <v>0.0867189872656474</v>
      </c>
      <c r="J298" s="7" t="n">
        <f aca="false">Sens!$E$298+(glt_srch-Sens!$E$298)*MIN(1,5/n_conv)</f>
        <v>0.0783594936328237</v>
      </c>
      <c r="K298" s="7" t="n">
        <f aca="false">Sens!$E$298+(glt_srch-Sens!$E$298)*MIN(1,6/n_conv)</f>
        <v>0.07</v>
      </c>
    </row>
    <row r="299" customFormat="false" ht="15" hidden="false" customHeight="false" outlineLevel="0" collapsed="false">
      <c r="A299" s="0" t="s">
        <v>793</v>
      </c>
      <c r="B299" s="0" t="s">
        <v>95</v>
      </c>
      <c r="D299" s="6" t="n">
        <f aca="false">Q!L14</f>
        <v>23.455</v>
      </c>
      <c r="E299" s="6" t="n">
        <f aca="false">Q!M14</f>
        <v>21.79</v>
      </c>
      <c r="F299" s="6" t="n">
        <f aca="false">Sens!E299*(1+Sens!F300)</f>
        <v>20.5736277908051</v>
      </c>
      <c r="G299" s="6" t="n">
        <f aca="false">Sens!F299*(1+Sens!G300)</f>
        <v>19.7371452817919</v>
      </c>
      <c r="H299" s="6" t="n">
        <f aca="false">Sens!G299*(1+Sens!H300)</f>
        <v>19.2339764043138</v>
      </c>
      <c r="I299" s="6" t="n">
        <f aca="false">Sens!H299*(1+Sens!I300)</f>
        <v>19.0353086852681</v>
      </c>
      <c r="J299" s="6" t="n">
        <f aca="false">Sens!I299*(1+Sens!J300)</f>
        <v>19.1273539319129</v>
      </c>
      <c r="K299" s="6" t="n">
        <f aca="false">Sens!J299*(1+Sens!K300)</f>
        <v>19.5099010105511</v>
      </c>
    </row>
    <row r="300" customFormat="false" ht="15" hidden="false" customHeight="false" outlineLevel="0" collapsed="false">
      <c r="A300" s="1" t="s">
        <v>782</v>
      </c>
      <c r="B300" s="0" t="s">
        <v>126</v>
      </c>
      <c r="E300" s="7" t="n">
        <f aca="false">Sens!E299/Sens!D299-1</f>
        <v>-0.0709869963760392</v>
      </c>
      <c r="F300" s="7" t="n">
        <f aca="false">Sens!$E$300+(glt_xbox-Sens!$E$300)*MIN(1,1/n_conv)</f>
        <v>-0.0558224969800327</v>
      </c>
      <c r="G300" s="7" t="n">
        <f aca="false">Sens!$E$300+(glt_xbox-Sens!$E$300)*MIN(1,2/n_conv)</f>
        <v>-0.0406579975840262</v>
      </c>
      <c r="H300" s="7" t="n">
        <f aca="false">Sens!$E$300+(glt_xbox-Sens!$E$300)*MIN(1,3/n_conv)</f>
        <v>-0.0254934981880196</v>
      </c>
      <c r="I300" s="7" t="n">
        <f aca="false">Sens!$E$300+(glt_xbox-Sens!$E$300)*MIN(1,4/n_conv)</f>
        <v>-0.0103289987920131</v>
      </c>
      <c r="J300" s="7" t="n">
        <f aca="false">Sens!$E$300+(glt_xbox-Sens!$E$300)*MIN(1,5/n_conv)</f>
        <v>0.00483550060399347</v>
      </c>
      <c r="K300" s="7" t="n">
        <f aca="false">Sens!$E$300+(glt_xbox-Sens!$E$300)*MIN(1,6/n_conv)</f>
        <v>0.02</v>
      </c>
    </row>
    <row r="301" customFormat="false" ht="15" hidden="false" customHeight="false" outlineLevel="0" collapsed="false">
      <c r="A301" s="0" t="s">
        <v>794</v>
      </c>
      <c r="B301" s="0" t="s">
        <v>95</v>
      </c>
      <c r="D301" s="6" t="n">
        <f aca="false">Q!L15</f>
        <v>17.315</v>
      </c>
      <c r="E301" s="6" t="n">
        <f aca="false">Q!M15</f>
        <v>17.087</v>
      </c>
      <c r="F301" s="6" t="n">
        <f aca="false">Sens!E301*(1+Sens!F302)</f>
        <v>16.9564585436519</v>
      </c>
      <c r="G301" s="6" t="n">
        <f aca="false">Sens!F301*(1+Sens!G302)</f>
        <v>16.9206490624268</v>
      </c>
      <c r="H301" s="6" t="n">
        <f aca="false">Sens!G301*(1+Sens!H302)</f>
        <v>16.9784519149849</v>
      </c>
      <c r="I301" s="6" t="n">
        <f aca="false">Sens!H301*(1+Sens!I302)</f>
        <v>17.1303084701817</v>
      </c>
      <c r="J301" s="6" t="n">
        <f aca="false">Sens!I301*(1+Sens!J302)</f>
        <v>17.3782189407267</v>
      </c>
      <c r="K301" s="6" t="n">
        <f aca="false">Sens!J301*(1+Sens!K302)</f>
        <v>17.7257833195413</v>
      </c>
    </row>
    <row r="302" customFormat="false" ht="15" hidden="false" customHeight="false" outlineLevel="0" collapsed="false">
      <c r="A302" s="1" t="s">
        <v>782</v>
      </c>
      <c r="B302" s="0" t="s">
        <v>126</v>
      </c>
      <c r="E302" s="7" t="n">
        <f aca="false">Sens!E301/Sens!D301-1</f>
        <v>-0.0131677736066995</v>
      </c>
      <c r="F302" s="7" t="n">
        <f aca="false">Sens!$E$302+(glt_win-Sens!$E$302)*MIN(1,1/n_conv)</f>
        <v>-0.00763981133891627</v>
      </c>
      <c r="G302" s="7" t="n">
        <f aca="false">Sens!$E$302+(glt_win-Sens!$E$302)*MIN(1,2/n_conv)</f>
        <v>-0.00211184907113301</v>
      </c>
      <c r="H302" s="7" t="n">
        <f aca="false">Sens!$E$302+(glt_win-Sens!$E$302)*MIN(1,3/n_conv)</f>
        <v>0.00341611319665024</v>
      </c>
      <c r="I302" s="7" t="n">
        <f aca="false">Sens!$E$302+(glt_win-Sens!$E$302)*MIN(1,4/n_conv)</f>
        <v>0.00894407546443349</v>
      </c>
      <c r="J302" s="7" t="n">
        <f aca="false">Sens!$E$302+(glt_win-Sens!$E$302)*MIN(1,5/n_conv)</f>
        <v>0.0144720377322168</v>
      </c>
      <c r="K302" s="7" t="n">
        <f aca="false">Sens!$E$302+(glt_win-Sens!$E$302)*MIN(1,6/n_conv)</f>
        <v>0.02</v>
      </c>
    </row>
    <row r="303" customFormat="false" ht="15" hidden="false" customHeight="false" outlineLevel="0" collapsed="false">
      <c r="A303" s="0" t="s">
        <v>640</v>
      </c>
      <c r="B303" s="0" t="s">
        <v>95</v>
      </c>
      <c r="D303" s="6" t="n">
        <f aca="false">Sens!D297+Sens!D299+Sens!D301</f>
        <v>62.941</v>
      </c>
      <c r="E303" s="6" t="n">
        <f aca="false">Sens!E297+Sens!E299+Sens!E301</f>
        <v>63.712</v>
      </c>
      <c r="F303" s="6" t="n">
        <f aca="false">Sens!F297+Sens!F299+Sens!F301</f>
        <v>65.1415764563129</v>
      </c>
      <c r="G303" s="6" t="n">
        <f aca="false">Sens!G297+Sens!G299+Sens!G301</f>
        <v>67.1253610780702</v>
      </c>
      <c r="H303" s="6" t="n">
        <f aca="false">Sens!H297+Sens!H299+Sens!H301</f>
        <v>69.5768050148776</v>
      </c>
      <c r="I303" s="6" t="n">
        <f aca="false">Sens!I297+Sens!I299+Sens!I301</f>
        <v>72.4233188088189</v>
      </c>
      <c r="J303" s="6" t="n">
        <f aca="false">Sens!J297+Sens!J299+Sens!J301</f>
        <v>75.6044096678567</v>
      </c>
      <c r="K303" s="6" t="n">
        <f aca="false">Sens!K297+Sens!K299+Sens!K301</f>
        <v>79.0714397009747</v>
      </c>
    </row>
    <row r="304" customFormat="false" ht="15" hidden="false" customHeight="false" outlineLevel="0" collapsed="false">
      <c r="A304" s="1" t="s">
        <v>795</v>
      </c>
      <c r="B304" s="0" t="s">
        <v>95</v>
      </c>
      <c r="D304" s="6" t="n">
        <f aca="false">Sens!D296+Sens!D303</f>
        <v>281.724</v>
      </c>
      <c r="E304" s="6" t="n">
        <f aca="false">Sens!E296+Sens!E303</f>
        <v>331.839</v>
      </c>
      <c r="F304" s="6" t="n">
        <f aca="false">Sens!F296+Sens!F303</f>
        <v>391.147503721577</v>
      </c>
      <c r="G304" s="6" t="n">
        <f aca="false">Sens!G296+Sens!G303</f>
        <v>461.779902940005</v>
      </c>
      <c r="H304" s="6" t="n">
        <f aca="false">Sens!H296+Sens!H303</f>
        <v>534.047756408372</v>
      </c>
      <c r="I304" s="6" t="n">
        <f aca="false">Sens!I296+Sens!I303</f>
        <v>604.495214834427</v>
      </c>
      <c r="J304" s="6" t="n">
        <f aca="false">Sens!J296+Sens!J303</f>
        <v>671.680345901591</v>
      </c>
      <c r="K304" s="6" t="n">
        <f aca="false">Sens!K296+Sens!K303</f>
        <v>735.66420404119</v>
      </c>
    </row>
    <row r="305" customFormat="false" ht="15" hidden="false" customHeight="false" outlineLevel="0" collapsed="false">
      <c r="A305" s="22" t="s">
        <v>796</v>
      </c>
      <c r="B305" s="28" t="s">
        <v>95</v>
      </c>
      <c r="C305" s="28"/>
      <c r="D305" s="23" t="n">
        <f aca="false">(Sens!D284+Sens!D289+Sens!D290+Sens!D292+Sens!D294-Sens!D296)+(Sens!D297+Sens!D299+Sens!D301-Sens!D303)+(Sens!D296-Q!L5)+(Sens!D303-Q!L12)+(Sens!D284-Q!L6)+(Sens!D289-Q!L7)</f>
        <v>0</v>
      </c>
      <c r="E305" s="23" t="n">
        <f aca="false">(Sens!E284+Sens!E289+Sens!E290+Sens!E292+Sens!E294-Sens!E296)+(Sens!E297+Sens!E299+Sens!E301-Sens!E303)+(Sens!E296-Q!M5)+(Sens!E303-Q!M12)+(Sens!E284-Q!M6)+(Sens!E289-Q!M7)</f>
        <v>0</v>
      </c>
      <c r="F305" s="23" t="n">
        <f aca="false">(Sens!F284+Sens!F289+Sens!F290+Sens!F292+Sens!F294-Sens!F296)+(Sens!F297+Sens!F299+Sens!F301-Sens!F303)</f>
        <v>0</v>
      </c>
      <c r="G305" s="23" t="n">
        <f aca="false">(Sens!G284+Sens!G289+Sens!G290+Sens!G292+Sens!G294-Sens!G296)+(Sens!G297+Sens!G299+Sens!G301-Sens!G303)</f>
        <v>0</v>
      </c>
      <c r="H305" s="23" t="n">
        <f aca="false">(Sens!H284+Sens!H289+Sens!H290+Sens!H292+Sens!H294-Sens!H296)+(Sens!H297+Sens!H299+Sens!H301-Sens!H303)</f>
        <v>0</v>
      </c>
      <c r="I305" s="23" t="n">
        <f aca="false">(Sens!I284+Sens!I289+Sens!I290+Sens!I292+Sens!I294-Sens!I296)+(Sens!I297+Sens!I299+Sens!I301-Sens!I303)</f>
        <v>0</v>
      </c>
      <c r="J305" s="23" t="n">
        <f aca="false">(Sens!J284+Sens!J289+Sens!J290+Sens!J292+Sens!J294-Sens!J296)+(Sens!J297+Sens!J299+Sens!J301-Sens!J303)</f>
        <v>0</v>
      </c>
      <c r="K305" s="23" t="n">
        <f aca="false">(Sens!K284+Sens!K289+Sens!K290+Sens!K292+Sens!K294-Sens!K296)+(Sens!K297+Sens!K299+Sens!K301-Sens!K303)</f>
        <v>0</v>
      </c>
    </row>
    <row r="306" customFormat="false" ht="17.15" hidden="false" customHeight="false" outlineLevel="0" collapsed="false">
      <c r="A306" s="3" t="s">
        <v>1121</v>
      </c>
    </row>
    <row r="307" customFormat="false" ht="15" hidden="false" customHeight="false" outlineLevel="0" collapsed="false">
      <c r="A307" s="4" t="s">
        <v>43</v>
      </c>
      <c r="B307" s="4" t="s">
        <v>63</v>
      </c>
      <c r="C307" s="19" t="s">
        <v>710</v>
      </c>
      <c r="D307" s="19" t="s">
        <v>711</v>
      </c>
      <c r="E307" s="19" t="s">
        <v>712</v>
      </c>
      <c r="F307" s="19" t="s">
        <v>713</v>
      </c>
      <c r="G307" s="19" t="s">
        <v>714</v>
      </c>
      <c r="H307" s="19" t="s">
        <v>715</v>
      </c>
      <c r="I307" s="19" t="s">
        <v>716</v>
      </c>
      <c r="J307" s="19" t="s">
        <v>717</v>
      </c>
      <c r="K307" s="19" t="s">
        <v>718</v>
      </c>
      <c r="L307" s="4" t="s">
        <v>47</v>
      </c>
    </row>
    <row r="308" customFormat="false" ht="15" hidden="false" customHeight="false" outlineLevel="0" collapsed="false">
      <c r="A308" s="0" t="s">
        <v>783</v>
      </c>
      <c r="B308" s="0" t="s">
        <v>95</v>
      </c>
      <c r="D308" s="6" t="n">
        <f aca="false">Sens!D284</f>
        <v>72.61</v>
      </c>
      <c r="E308" s="6" t="n">
        <f aca="false">Sens!E284</f>
        <v>101.938</v>
      </c>
      <c r="F308" s="6" t="n">
        <f aca="false">Sens!F284</f>
        <v>136.884355326081</v>
      </c>
      <c r="G308" s="6" t="n">
        <f aca="false">Sens!G284</f>
        <v>183.061385324506</v>
      </c>
      <c r="H308" s="6" t="n">
        <f aca="false">Sens!H284</f>
        <v>230.382268711979</v>
      </c>
      <c r="I308" s="6" t="n">
        <f aca="false">Sens!I284</f>
        <v>277.260541046122</v>
      </c>
      <c r="J308" s="6" t="n">
        <f aca="false">Sens!J284</f>
        <v>322.635039129566</v>
      </c>
      <c r="K308" s="6" t="n">
        <f aca="false">Sens!K284</f>
        <v>365.448695000038</v>
      </c>
    </row>
    <row r="309" customFormat="false" ht="17.15" hidden="false" customHeight="false" outlineLevel="0" collapsed="false">
      <c r="A309" s="0" t="s">
        <v>780</v>
      </c>
      <c r="B309" s="0" t="s">
        <v>95</v>
      </c>
      <c r="D309" s="6" t="n">
        <f aca="false">Sens!D281</f>
        <v>12.9359794422418</v>
      </c>
      <c r="E309" s="6" t="n">
        <f aca="false">Sens!E281</f>
        <v>27.8095064661409</v>
      </c>
      <c r="F309" s="6" t="n">
        <f aca="false">Sens!F281</f>
        <v>46.8044055887147</v>
      </c>
      <c r="G309" s="6" t="n">
        <f aca="false">Sens!G281</f>
        <v>76.0329601211957</v>
      </c>
      <c r="H309" s="6" t="n">
        <f aca="false">Sens!H281</f>
        <v>106.110286126343</v>
      </c>
      <c r="I309" s="6" t="n">
        <f aca="false">Sens!I281</f>
        <v>136.326838664267</v>
      </c>
      <c r="J309" s="6" t="n">
        <f aca="false">Sens!J281</f>
        <v>166.616171815234</v>
      </c>
      <c r="K309" s="6" t="n">
        <f aca="false">Sens!K281</f>
        <v>196.94831830056</v>
      </c>
    </row>
    <row r="310" customFormat="false" ht="17.15" hidden="false" customHeight="false" outlineLevel="0" collapsed="false">
      <c r="A310" s="0" t="s">
        <v>807</v>
      </c>
      <c r="B310" s="0" t="s">
        <v>95</v>
      </c>
      <c r="D310" s="6" t="n">
        <f aca="false">Sens!D282</f>
        <v>59.6740205577583</v>
      </c>
      <c r="E310" s="6" t="n">
        <f aca="false">Sens!E282</f>
        <v>74.1284935338591</v>
      </c>
      <c r="F310" s="6" t="n">
        <f aca="false">Sens!F282</f>
        <v>90.0799497373663</v>
      </c>
      <c r="G310" s="6" t="n">
        <f aca="false">Sens!G282</f>
        <v>107.02842520331</v>
      </c>
      <c r="H310" s="6" t="n">
        <f aca="false">Sens!H282</f>
        <v>124.271982585636</v>
      </c>
      <c r="I310" s="6" t="n">
        <f aca="false">Sens!I282</f>
        <v>140.933702381855</v>
      </c>
      <c r="J310" s="6" t="n">
        <f aca="false">Sens!J282</f>
        <v>156.018867314332</v>
      </c>
      <c r="K310" s="6" t="n">
        <f aca="false">Sens!K282</f>
        <v>168.500376699478</v>
      </c>
    </row>
    <row r="311" customFormat="false" ht="15" hidden="false" customHeight="false" outlineLevel="0" collapsed="false">
      <c r="A311" s="0" t="s">
        <v>788</v>
      </c>
      <c r="B311" s="0" t="s">
        <v>95</v>
      </c>
      <c r="D311" s="6" t="n">
        <f aca="false">Sens!D289</f>
        <v>84.605</v>
      </c>
      <c r="E311" s="6" t="n">
        <f aca="false">Sens!E289</f>
        <v>100.299</v>
      </c>
      <c r="F311" s="6" t="n">
        <f aca="false">Sens!F289</f>
        <v>118.89238776686</v>
      </c>
      <c r="G311" s="6" t="n">
        <f aca="false">Sens!G289</f>
        <v>137.044168448684</v>
      </c>
      <c r="H311" s="6" t="n">
        <f aca="false">Sens!H289</f>
        <v>155.277359388781</v>
      </c>
      <c r="I311" s="6" t="n">
        <f aca="false">Sens!I289</f>
        <v>171.834028071957</v>
      </c>
      <c r="J311" s="6" t="n">
        <f aca="false">Sens!J289</f>
        <v>186.432702785465</v>
      </c>
      <c r="K311" s="6" t="n">
        <f aca="false">Sens!K289</f>
        <v>200.277991980448</v>
      </c>
    </row>
    <row r="312" customFormat="false" ht="17.15" hidden="false" customHeight="false" outlineLevel="0" collapsed="false">
      <c r="A312" s="0" t="s">
        <v>808</v>
      </c>
      <c r="B312" s="0" t="s">
        <v>95</v>
      </c>
      <c r="D312" s="6" t="n">
        <f aca="false">Sens!D287</f>
        <v>83.705</v>
      </c>
      <c r="E312" s="6" t="n">
        <f aca="false">Sens!E287</f>
        <v>95.049</v>
      </c>
      <c r="F312" s="6" t="n">
        <f aca="false">Sens!F287</f>
        <v>106.89238776686</v>
      </c>
      <c r="G312" s="6" t="n">
        <f aca="false">Sens!G287</f>
        <v>119.044168448684</v>
      </c>
      <c r="H312" s="6" t="n">
        <f aca="false">Sens!H287</f>
        <v>131.277359388781</v>
      </c>
      <c r="I312" s="6" t="n">
        <f aca="false">Sens!I287</f>
        <v>143.334028071957</v>
      </c>
      <c r="J312" s="6" t="n">
        <f aca="false">Sens!J287</f>
        <v>154.932702785465</v>
      </c>
      <c r="K312" s="6" t="n">
        <f aca="false">Sens!K287</f>
        <v>165.777991980448</v>
      </c>
    </row>
    <row r="313" customFormat="false" ht="17.15" hidden="false" customHeight="false" outlineLevel="0" collapsed="false">
      <c r="A313" s="0" t="s">
        <v>809</v>
      </c>
      <c r="B313" s="0" t="s">
        <v>95</v>
      </c>
      <c r="D313" s="6" t="n">
        <f aca="false">Sens!D286</f>
        <v>0.9</v>
      </c>
      <c r="E313" s="6" t="n">
        <f aca="false">Sens!E286</f>
        <v>5.25</v>
      </c>
      <c r="F313" s="6" t="n">
        <f aca="false">Sens!F286</f>
        <v>12</v>
      </c>
      <c r="G313" s="6" t="n">
        <f aca="false">Sens!G286</f>
        <v>18</v>
      </c>
      <c r="H313" s="6" t="n">
        <f aca="false">Sens!H286</f>
        <v>24</v>
      </c>
      <c r="I313" s="6" t="n">
        <f aca="false">Sens!I286</f>
        <v>28.5</v>
      </c>
      <c r="J313" s="6" t="n">
        <f aca="false">Sens!J286</f>
        <v>31.5</v>
      </c>
      <c r="K313" s="6" t="n">
        <f aca="false">Sens!K286</f>
        <v>34.5</v>
      </c>
    </row>
    <row r="314" customFormat="false" ht="15" hidden="false" customHeight="false" outlineLevel="0" collapsed="false">
      <c r="A314" s="0" t="s">
        <v>789</v>
      </c>
      <c r="B314" s="0" t="s">
        <v>95</v>
      </c>
      <c r="D314" s="6" t="n">
        <f aca="false">Sens!D290</f>
        <v>35.391</v>
      </c>
      <c r="E314" s="6" t="n">
        <f aca="false">Sens!E290</f>
        <v>37.285</v>
      </c>
      <c r="F314" s="6" t="n">
        <f aca="false">Sens!F290</f>
        <v>39.0720834331704</v>
      </c>
      <c r="G314" s="6" t="n">
        <f aca="false">Sens!G290</f>
        <v>40.726562953769</v>
      </c>
      <c r="H314" s="6" t="n">
        <f aca="false">Sens!H290</f>
        <v>42.2235987259198</v>
      </c>
      <c r="I314" s="6" t="n">
        <f aca="false">Sens!I290</f>
        <v>43.5397988077414</v>
      </c>
      <c r="J314" s="6" t="n">
        <f aca="false">Sens!J290</f>
        <v>44.653811225693</v>
      </c>
      <c r="K314" s="6" t="n">
        <f aca="false">Sens!K290</f>
        <v>45.5468874502068</v>
      </c>
    </row>
    <row r="315" customFormat="false" ht="15" hidden="false" customHeight="false" outlineLevel="0" collapsed="false">
      <c r="A315" s="0" t="s">
        <v>790</v>
      </c>
      <c r="B315" s="0" t="s">
        <v>95</v>
      </c>
      <c r="D315" s="6" t="n">
        <f aca="false">Sens!D292</f>
        <v>18.417</v>
      </c>
      <c r="E315" s="6" t="n">
        <f aca="false">Sens!E292</f>
        <v>20.345</v>
      </c>
      <c r="F315" s="6" t="n">
        <f aca="false">Sens!F292</f>
        <v>22.3572203267814</v>
      </c>
      <c r="G315" s="6" t="n">
        <f aca="false">Sens!G292</f>
        <v>24.4392124437232</v>
      </c>
      <c r="H315" s="6" t="n">
        <f aca="false">Sens!H292</f>
        <v>26.5738052080665</v>
      </c>
      <c r="I315" s="6" t="n">
        <f aca="false">Sens!I292</f>
        <v>28.7412169166967</v>
      </c>
      <c r="J315" s="6" t="n">
        <f aca="false">Sens!J292</f>
        <v>30.9192545395413</v>
      </c>
      <c r="K315" s="6" t="n">
        <f aca="false">Sens!K292</f>
        <v>33.0836023573092</v>
      </c>
    </row>
    <row r="316" customFormat="false" ht="15" hidden="false" customHeight="false" outlineLevel="0" collapsed="false">
      <c r="A316" s="0" t="s">
        <v>791</v>
      </c>
      <c r="B316" s="0" t="s">
        <v>95</v>
      </c>
      <c r="D316" s="6" t="n">
        <f aca="false">Sens!D294</f>
        <v>7.76</v>
      </c>
      <c r="E316" s="6" t="n">
        <f aca="false">Sens!E294</f>
        <v>8.26</v>
      </c>
      <c r="F316" s="6" t="n">
        <f aca="false">Sens!F294</f>
        <v>8.79988041237113</v>
      </c>
      <c r="G316" s="6" t="n">
        <f aca="false">Sens!G294</f>
        <v>9.38321269125306</v>
      </c>
      <c r="H316" s="6" t="n">
        <f aca="false">Sens!H294</f>
        <v>10.0139193587476</v>
      </c>
      <c r="I316" s="6" t="n">
        <f aca="false">Sens!I294</f>
        <v>10.6963111830911</v>
      </c>
      <c r="J316" s="6" t="n">
        <f aca="false">Sens!J294</f>
        <v>11.4351285534696</v>
      </c>
      <c r="K316" s="6" t="n">
        <f aca="false">Sens!K294</f>
        <v>12.2355875522124</v>
      </c>
    </row>
    <row r="317" customFormat="false" ht="15" hidden="false" customHeight="false" outlineLevel="0" collapsed="false">
      <c r="A317" s="0" t="s">
        <v>626</v>
      </c>
      <c r="B317" s="0" t="s">
        <v>95</v>
      </c>
      <c r="D317" s="6" t="n">
        <f aca="false">Sens!D296</f>
        <v>218.783</v>
      </c>
      <c r="E317" s="6" t="n">
        <f aca="false">Sens!E296</f>
        <v>268.127</v>
      </c>
      <c r="F317" s="6" t="n">
        <f aca="false">Sens!F296</f>
        <v>326.005927265264</v>
      </c>
      <c r="G317" s="6" t="n">
        <f aca="false">Sens!G296</f>
        <v>394.654541861935</v>
      </c>
      <c r="H317" s="6" t="n">
        <f aca="false">Sens!H296</f>
        <v>464.470951393494</v>
      </c>
      <c r="I317" s="6" t="n">
        <f aca="false">Sens!I296</f>
        <v>532.071896025608</v>
      </c>
      <c r="J317" s="6" t="n">
        <f aca="false">Sens!J296</f>
        <v>596.075936233735</v>
      </c>
      <c r="K317" s="6" t="n">
        <f aca="false">Sens!K296</f>
        <v>656.592764340215</v>
      </c>
    </row>
    <row r="318" customFormat="false" ht="15" hidden="false" customHeight="false" outlineLevel="0" collapsed="false">
      <c r="A318" s="0" t="s">
        <v>792</v>
      </c>
      <c r="B318" s="0" t="s">
        <v>95</v>
      </c>
      <c r="D318" s="6" t="n">
        <f aca="false">Sens!D297</f>
        <v>22.171</v>
      </c>
      <c r="E318" s="6" t="n">
        <f aca="false">Sens!E297</f>
        <v>24.835</v>
      </c>
      <c r="F318" s="6" t="n">
        <f aca="false">Sens!F297</f>
        <v>27.6114901218559</v>
      </c>
      <c r="G318" s="6" t="n">
        <f aca="false">Sens!G297</f>
        <v>30.4675667338515</v>
      </c>
      <c r="H318" s="6" t="n">
        <f aca="false">Sens!H297</f>
        <v>33.3643766955789</v>
      </c>
      <c r="I318" s="6" t="n">
        <f aca="false">Sens!I297</f>
        <v>36.2577016533691</v>
      </c>
      <c r="J318" s="6" t="n">
        <f aca="false">Sens!J297</f>
        <v>39.0988367952171</v>
      </c>
      <c r="K318" s="6" t="n">
        <f aca="false">Sens!K297</f>
        <v>41.8357553708823</v>
      </c>
    </row>
    <row r="319" customFormat="false" ht="15" hidden="false" customHeight="false" outlineLevel="0" collapsed="false">
      <c r="A319" s="0" t="s">
        <v>793</v>
      </c>
      <c r="B319" s="0" t="s">
        <v>95</v>
      </c>
      <c r="D319" s="6" t="n">
        <f aca="false">Sens!D299</f>
        <v>23.455</v>
      </c>
      <c r="E319" s="6" t="n">
        <f aca="false">Sens!E299</f>
        <v>21.79</v>
      </c>
      <c r="F319" s="6" t="n">
        <f aca="false">Sens!F299</f>
        <v>20.5736277908051</v>
      </c>
      <c r="G319" s="6" t="n">
        <f aca="false">Sens!G299</f>
        <v>19.7371452817919</v>
      </c>
      <c r="H319" s="6" t="n">
        <f aca="false">Sens!H299</f>
        <v>19.2339764043138</v>
      </c>
      <c r="I319" s="6" t="n">
        <f aca="false">Sens!I299</f>
        <v>19.0353086852681</v>
      </c>
      <c r="J319" s="6" t="n">
        <f aca="false">Sens!J299</f>
        <v>19.1273539319129</v>
      </c>
      <c r="K319" s="6" t="n">
        <f aca="false">Sens!K299</f>
        <v>19.5099010105511</v>
      </c>
    </row>
    <row r="320" customFormat="false" ht="15" hidden="false" customHeight="false" outlineLevel="0" collapsed="false">
      <c r="A320" s="0" t="s">
        <v>794</v>
      </c>
      <c r="B320" s="0" t="s">
        <v>95</v>
      </c>
      <c r="D320" s="6" t="n">
        <f aca="false">Sens!D301</f>
        <v>17.315</v>
      </c>
      <c r="E320" s="6" t="n">
        <f aca="false">Sens!E301</f>
        <v>17.087</v>
      </c>
      <c r="F320" s="6" t="n">
        <f aca="false">Sens!F301</f>
        <v>16.9564585436519</v>
      </c>
      <c r="G320" s="6" t="n">
        <f aca="false">Sens!G301</f>
        <v>16.9206490624268</v>
      </c>
      <c r="H320" s="6" t="n">
        <f aca="false">Sens!H301</f>
        <v>16.9784519149849</v>
      </c>
      <c r="I320" s="6" t="n">
        <f aca="false">Sens!I301</f>
        <v>17.1303084701817</v>
      </c>
      <c r="J320" s="6" t="n">
        <f aca="false">Sens!J301</f>
        <v>17.3782189407267</v>
      </c>
      <c r="K320" s="6" t="n">
        <f aca="false">Sens!K301</f>
        <v>17.7257833195413</v>
      </c>
    </row>
    <row r="321" customFormat="false" ht="15" hidden="false" customHeight="false" outlineLevel="0" collapsed="false">
      <c r="A321" s="0" t="s">
        <v>640</v>
      </c>
      <c r="B321" s="0" t="s">
        <v>95</v>
      </c>
      <c r="D321" s="6" t="n">
        <f aca="false">Sens!D303</f>
        <v>62.941</v>
      </c>
      <c r="E321" s="6" t="n">
        <f aca="false">Sens!E303</f>
        <v>63.712</v>
      </c>
      <c r="F321" s="6" t="n">
        <f aca="false">Sens!F303</f>
        <v>65.1415764563129</v>
      </c>
      <c r="G321" s="6" t="n">
        <f aca="false">Sens!G303</f>
        <v>67.1253610780702</v>
      </c>
      <c r="H321" s="6" t="n">
        <f aca="false">Sens!H303</f>
        <v>69.5768050148776</v>
      </c>
      <c r="I321" s="6" t="n">
        <f aca="false">Sens!I303</f>
        <v>72.4233188088189</v>
      </c>
      <c r="J321" s="6" t="n">
        <f aca="false">Sens!J303</f>
        <v>75.6044096678567</v>
      </c>
      <c r="K321" s="6" t="n">
        <f aca="false">Sens!K303</f>
        <v>79.0714397009747</v>
      </c>
    </row>
    <row r="322" customFormat="false" ht="15" hidden="false" customHeight="false" outlineLevel="0" collapsed="false">
      <c r="A322" s="1" t="s">
        <v>810</v>
      </c>
      <c r="B322" s="0" t="s">
        <v>95</v>
      </c>
      <c r="D322" s="6" t="n">
        <f aca="false">Sens!D304</f>
        <v>281.724</v>
      </c>
      <c r="E322" s="6" t="n">
        <f aca="false">Sens!E304</f>
        <v>331.839</v>
      </c>
      <c r="F322" s="6" t="n">
        <f aca="false">Sens!F304</f>
        <v>391.147503721577</v>
      </c>
      <c r="G322" s="6" t="n">
        <f aca="false">Sens!G304</f>
        <v>461.779902940005</v>
      </c>
      <c r="H322" s="6" t="n">
        <f aca="false">Sens!H304</f>
        <v>534.047756408372</v>
      </c>
      <c r="I322" s="6" t="n">
        <f aca="false">Sens!I304</f>
        <v>604.495214834427</v>
      </c>
      <c r="J322" s="6" t="n">
        <f aca="false">Sens!J304</f>
        <v>671.680345901591</v>
      </c>
      <c r="K322" s="6" t="n">
        <f aca="false">Sens!K304</f>
        <v>735.66420404119</v>
      </c>
    </row>
    <row r="323" customFormat="false" ht="15" hidden="false" customHeight="false" outlineLevel="0" collapsed="false">
      <c r="A323" s="1" t="s">
        <v>811</v>
      </c>
      <c r="B323" s="0" t="s">
        <v>126</v>
      </c>
      <c r="E323" s="7" t="n">
        <f aca="false">Sens!E322/Sens!D322-1</f>
        <v>0.177886867998467</v>
      </c>
      <c r="F323" s="7" t="n">
        <f aca="false">Sens!F322/Sens!E322-1</f>
        <v>0.178726743154291</v>
      </c>
      <c r="G323" s="7" t="n">
        <f aca="false">Sens!G322/Sens!F322-1</f>
        <v>0.180577399948601</v>
      </c>
      <c r="H323" s="7" t="n">
        <f aca="false">Sens!H322/Sens!G322-1</f>
        <v>0.156498481220729</v>
      </c>
      <c r="I323" s="7" t="n">
        <f aca="false">Sens!I322/Sens!H322-1</f>
        <v>0.131912282339383</v>
      </c>
      <c r="J323" s="7" t="n">
        <f aca="false">Sens!J322/Sens!I322-1</f>
        <v>0.111142535819025</v>
      </c>
      <c r="K323" s="7" t="n">
        <f aca="false">Sens!K322/Sens!J322-1</f>
        <v>0.0952593871921521</v>
      </c>
    </row>
    <row r="324" customFormat="false" ht="17.15" hidden="false" customHeight="false" outlineLevel="0" collapsed="false">
      <c r="A324" s="22" t="s">
        <v>812</v>
      </c>
      <c r="B324" s="28" t="s">
        <v>95</v>
      </c>
      <c r="C324" s="28"/>
      <c r="D324" s="23" t="n">
        <f aca="false">(Sens!D317+Sens!D321-Sens!D322)+(Sens!D309+Sens!D310-Sens!D308)+(Sens!D312+Sens!D313-Sens!D311)+(Sens!D322-Q!L18)</f>
        <v>0</v>
      </c>
      <c r="E324" s="23" t="n">
        <f aca="false">(Sens!E317+Sens!E321-Sens!E322)+(Sens!E309+Sens!E310-Sens!E308)+(Sens!E312+Sens!E313-Sens!E311)+(Sens!E322-Q!M18)</f>
        <v>0</v>
      </c>
      <c r="F324" s="23" t="n">
        <f aca="false">(Sens!F317+Sens!F321-Sens!F322)+(Sens!F309+Sens!F310-Sens!F308)+(Sens!F312+Sens!F313-Sens!F311)</f>
        <v>0</v>
      </c>
      <c r="G324" s="23" t="n">
        <f aca="false">(Sens!G317+Sens!G321-Sens!G322)+(Sens!G309+Sens!G310-Sens!G308)+(Sens!G312+Sens!G313-Sens!G311)</f>
        <v>0</v>
      </c>
      <c r="H324" s="23" t="n">
        <f aca="false">(Sens!H317+Sens!H321-Sens!H322)+(Sens!H309+Sens!H310-Sens!H308)+(Sens!H312+Sens!H313-Sens!H311)</f>
        <v>0</v>
      </c>
      <c r="I324" s="23" t="n">
        <f aca="false">(Sens!I317+Sens!I321-Sens!I322)+(Sens!I309+Sens!I310-Sens!I308)+(Sens!I312+Sens!I313-Sens!I311)</f>
        <v>0</v>
      </c>
      <c r="J324" s="23" t="n">
        <f aca="false">(Sens!J317+Sens!J321-Sens!J322)+(Sens!J309+Sens!J310-Sens!J308)+(Sens!J312+Sens!J313-Sens!J311)</f>
        <v>0</v>
      </c>
      <c r="K324" s="23" t="n">
        <f aca="false">(Sens!K317+Sens!K321-Sens!K322)+(Sens!K309+Sens!K310-Sens!K308)+(Sens!K312+Sens!K313-Sens!K311)</f>
        <v>0</v>
      </c>
    </row>
    <row r="325" customFormat="false" ht="17.15" hidden="false" customHeight="false" outlineLevel="0" collapsed="false">
      <c r="A325" s="0" t="s">
        <v>813</v>
      </c>
      <c r="B325" s="0" t="s">
        <v>126</v>
      </c>
      <c r="E325" s="7" t="n">
        <f aca="false">(Q!M21+Sens!E262+Sens!E263+Sens!E264+Sens!E277-Sens!E260)/(Q!M5-Sens!E260)</f>
        <v>0.570957350878296</v>
      </c>
      <c r="F325" s="7" t="n">
        <f aca="false">Sens!$E$325+dm_seg</f>
        <v>0.570957350878296</v>
      </c>
      <c r="G325" s="7" t="n">
        <f aca="false">Sens!$E$325+dm_seg</f>
        <v>0.570957350878296</v>
      </c>
      <c r="H325" s="7" t="n">
        <f aca="false">Sens!$E$325+dm_seg</f>
        <v>0.570957350878296</v>
      </c>
      <c r="I325" s="7" t="n">
        <f aca="false">Sens!$E$325+dm_seg</f>
        <v>0.570957350878296</v>
      </c>
      <c r="J325" s="7" t="n">
        <f aca="false">Sens!$E$325+dm_seg</f>
        <v>0.570957350878296</v>
      </c>
      <c r="K325" s="7" t="n">
        <f aca="false">Sens!$E$325+dm_seg</f>
        <v>0.570957350878296</v>
      </c>
      <c r="L325" s="11" t="s">
        <v>814</v>
      </c>
    </row>
    <row r="326" customFormat="false" ht="17.15" hidden="false" customHeight="false" outlineLevel="0" collapsed="false">
      <c r="A326" s="0" t="s">
        <v>654</v>
      </c>
      <c r="B326" s="0" t="s">
        <v>95</v>
      </c>
      <c r="D326" s="6" t="n">
        <f aca="false">Q!L21</f>
        <v>110.814</v>
      </c>
      <c r="E326" s="6" t="n">
        <f aca="false">Q!M21</f>
        <v>136.365</v>
      </c>
      <c r="F326" s="6" t="n">
        <f aca="false">Sens!F325*(Sens!F296-Sens!F260)+Sens!F260-(Sens!F262+Sens!F263+Sens!F264)-Sens!F277</f>
        <v>149.338534934202</v>
      </c>
      <c r="G326" s="6" t="n">
        <f aca="false">Sens!G325*(Sens!G296-Sens!G260)+Sens!G260-(Sens!G262+Sens!G263+Sens!G264)-Sens!G277</f>
        <v>163.763143168788</v>
      </c>
      <c r="H326" s="6" t="n">
        <f aca="false">Sens!H325*(Sens!H296-Sens!H260)+Sens!H260-(Sens!H262+Sens!H263+Sens!H264)-Sens!H277</f>
        <v>178.097209978095</v>
      </c>
      <c r="I326" s="6" t="n">
        <f aca="false">Sens!I325*(Sens!I296-Sens!I260)+Sens!I260-(Sens!I262+Sens!I263+Sens!I264)-Sens!I277</f>
        <v>190.175973808829</v>
      </c>
      <c r="J326" s="6" t="n">
        <f aca="false">Sens!J325*(Sens!J296-Sens!J260)+Sens!J260-(Sens!J262+Sens!J263+Sens!J264)-Sens!J277</f>
        <v>199.243943979713</v>
      </c>
      <c r="K326" s="6" t="n">
        <f aca="false">Sens!K325*(Sens!K296-Sens!K260)+Sens!K260-(Sens!K262+Sens!K263+Sens!K264)-Sens!K277</f>
        <v>205.042208224087</v>
      </c>
      <c r="L326" s="1" t="s">
        <v>815</v>
      </c>
    </row>
    <row r="327" customFormat="false" ht="17.15" hidden="false" customHeight="false" outlineLevel="0" collapsed="false">
      <c r="A327" s="0" t="s">
        <v>816</v>
      </c>
      <c r="B327" s="0" t="s">
        <v>126</v>
      </c>
      <c r="E327" s="7" t="n">
        <f aca="false">Q!M22/Q!M12</f>
        <v>0.296207935710698</v>
      </c>
      <c r="F327" s="7" t="n">
        <f aca="false">Sens!$E$327+dm_seg</f>
        <v>0.296207935710698</v>
      </c>
      <c r="G327" s="7" t="n">
        <f aca="false">Sens!$E$327+dm_seg</f>
        <v>0.296207935710698</v>
      </c>
      <c r="H327" s="7" t="n">
        <f aca="false">Sens!$E$327+dm_seg</f>
        <v>0.296207935710698</v>
      </c>
      <c r="I327" s="7" t="n">
        <f aca="false">Sens!$E$327+dm_seg</f>
        <v>0.296207935710698</v>
      </c>
      <c r="J327" s="7" t="n">
        <f aca="false">Sens!$E$327+dm_seg</f>
        <v>0.296207935710698</v>
      </c>
      <c r="K327" s="7" t="n">
        <f aca="false">Sens!$E$327+dm_seg</f>
        <v>0.296207935710698</v>
      </c>
      <c r="L327" s="11" t="s">
        <v>817</v>
      </c>
    </row>
    <row r="328" customFormat="false" ht="17.15" hidden="false" customHeight="false" outlineLevel="0" collapsed="false">
      <c r="A328" s="0" t="s">
        <v>656</v>
      </c>
      <c r="B328" s="0" t="s">
        <v>95</v>
      </c>
      <c r="D328" s="6" t="n">
        <f aca="false">Q!L22</f>
        <v>17.714</v>
      </c>
      <c r="E328" s="6" t="n">
        <f aca="false">Q!M22</f>
        <v>18.872</v>
      </c>
      <c r="F328" s="6" t="n">
        <f aca="false">Sens!F303*Sens!F327</f>
        <v>19.2954518910651</v>
      </c>
      <c r="G328" s="6" t="n">
        <f aca="false">Sens!G303*Sens!G327</f>
        <v>19.8830646387704</v>
      </c>
      <c r="H328" s="6" t="n">
        <f aca="false">Sens!H303*Sens!H327</f>
        <v>20.6092017868026</v>
      </c>
      <c r="I328" s="6" t="n">
        <f aca="false">Sens!I303*Sens!I327</f>
        <v>21.452361761678</v>
      </c>
      <c r="J328" s="6" t="n">
        <f aca="false">Sens!J303*Sens!J327</f>
        <v>22.3946261183418</v>
      </c>
      <c r="K328" s="6" t="n">
        <f aca="false">Sens!K303*Sens!K327</f>
        <v>23.4215879274986</v>
      </c>
    </row>
    <row r="329" customFormat="false" ht="15" hidden="false" customHeight="false" outlineLevel="0" collapsed="false">
      <c r="A329" s="1" t="s">
        <v>818</v>
      </c>
      <c r="B329" s="0" t="s">
        <v>95</v>
      </c>
      <c r="D329" s="6" t="n">
        <f aca="false">Sens!D326+Sens!D328</f>
        <v>128.528</v>
      </c>
      <c r="E329" s="6" t="n">
        <f aca="false">Sens!E326+Sens!E328</f>
        <v>155.237</v>
      </c>
      <c r="F329" s="6" t="n">
        <f aca="false">Sens!F326+Sens!F328</f>
        <v>168.633986825267</v>
      </c>
      <c r="G329" s="6" t="n">
        <f aca="false">Sens!G326+Sens!G328</f>
        <v>183.646207807559</v>
      </c>
      <c r="H329" s="6" t="n">
        <f aca="false">Sens!H326+Sens!H328</f>
        <v>198.706411764897</v>
      </c>
      <c r="I329" s="6" t="n">
        <f aca="false">Sens!I326+Sens!I328</f>
        <v>211.628335570507</v>
      </c>
      <c r="J329" s="6" t="n">
        <f aca="false">Sens!J326+Sens!J328</f>
        <v>221.638570098054</v>
      </c>
      <c r="K329" s="6" t="n">
        <f aca="false">Sens!K326+Sens!K328</f>
        <v>228.463796151586</v>
      </c>
    </row>
    <row r="330" customFormat="false" ht="15" hidden="false" customHeight="false" outlineLevel="0" collapsed="false">
      <c r="A330" s="22" t="s">
        <v>819</v>
      </c>
      <c r="B330" s="28" t="s">
        <v>95</v>
      </c>
      <c r="C330" s="28"/>
      <c r="D330" s="23" t="n">
        <f aca="false">Sens!D329-Q!L23</f>
        <v>0</v>
      </c>
      <c r="E330" s="23" t="n">
        <f aca="false">Sens!E329-Q!M23</f>
        <v>0</v>
      </c>
      <c r="F330" s="28"/>
      <c r="G330" s="28"/>
      <c r="H330" s="28"/>
      <c r="I330" s="28"/>
      <c r="J330" s="28"/>
      <c r="K330" s="28"/>
    </row>
    <row r="331" customFormat="false" ht="15" hidden="false" customHeight="false" outlineLevel="0" collapsed="false">
      <c r="A331" s="1" t="s">
        <v>820</v>
      </c>
      <c r="B331" s="0" t="s">
        <v>126</v>
      </c>
      <c r="D331" s="7" t="n">
        <f aca="false">Sens!D329/Sens!D322</f>
        <v>0.456219562408598</v>
      </c>
      <c r="E331" s="7" t="n">
        <f aca="false">Sens!E329/Sens!E322</f>
        <v>0.467808184089272</v>
      </c>
      <c r="F331" s="7" t="n">
        <f aca="false">Sens!F329/Sens!F322</f>
        <v>0.431126327589458</v>
      </c>
      <c r="G331" s="7" t="n">
        <f aca="false">Sens!G329/Sens!G322</f>
        <v>0.397692075030425</v>
      </c>
      <c r="H331" s="7" t="n">
        <f aca="false">Sens!H329/Sens!H322</f>
        <v>0.37207611001169</v>
      </c>
      <c r="I331" s="7" t="n">
        <f aca="false">Sens!I329/Sens!I322</f>
        <v>0.350091002173561</v>
      </c>
      <c r="J331" s="7" t="n">
        <f aca="false">Sens!J329/Sens!J322</f>
        <v>0.329976262444527</v>
      </c>
      <c r="K331" s="7" t="n">
        <f aca="false">Sens!K329/Sens!K322</f>
        <v>0.31055445527535</v>
      </c>
    </row>
    <row r="332" customFormat="false" ht="17.15" hidden="false" customHeight="false" outlineLevel="0" collapsed="false">
      <c r="A332" s="1" t="s">
        <v>821</v>
      </c>
      <c r="B332" s="0" t="s">
        <v>95</v>
      </c>
      <c r="E332" s="6" t="n">
        <f aca="false">Sens!E277</f>
        <v>16.3054059770833</v>
      </c>
      <c r="F332" s="6" t="n">
        <f aca="false">Sens!F277</f>
        <v>34.7405354558698</v>
      </c>
      <c r="G332" s="6" t="n">
        <f aca="false">Sens!G277</f>
        <v>60.5067332603396</v>
      </c>
      <c r="H332" s="6" t="n">
        <f aca="false">Sens!H277</f>
        <v>87.7423159931396</v>
      </c>
      <c r="I332" s="6" t="n">
        <f aca="false">Sens!I277</f>
        <v>115.997181741123</v>
      </c>
      <c r="J332" s="6" t="n">
        <f aca="false">Sens!J277</f>
        <v>145.224277958273</v>
      </c>
      <c r="K332" s="6" t="n">
        <f aca="false">Sens!K277</f>
        <v>175.73892263459</v>
      </c>
    </row>
    <row r="333" customFormat="false" ht="17.15" hidden="false" customHeight="false" outlineLevel="0" collapsed="false">
      <c r="A333" s="1" t="s">
        <v>822</v>
      </c>
      <c r="B333" s="0" t="s">
        <v>95</v>
      </c>
      <c r="E333" s="6" t="n">
        <f aca="false">Sens!E353</f>
        <v>22.2285940229167</v>
      </c>
      <c r="F333" s="6" t="n">
        <f aca="false">Sens!F353</f>
        <v>23.5636693435813</v>
      </c>
      <c r="G333" s="6" t="n">
        <f aca="false">Sens!G353</f>
        <v>25.3225917662621</v>
      </c>
      <c r="H333" s="6" t="n">
        <f aca="false">Sens!H353</f>
        <v>27.4714839540448</v>
      </c>
      <c r="I333" s="6" t="n">
        <f aca="false">Sens!I353</f>
        <v>29.9441755898047</v>
      </c>
      <c r="J333" s="6" t="n">
        <f aca="false">Sens!J353</f>
        <v>32.6578493558616</v>
      </c>
      <c r="K333" s="6" t="n">
        <f aca="false">Sens!K353</f>
        <v>35.5289346944749</v>
      </c>
    </row>
    <row r="334" customFormat="false" ht="17.15" hidden="false" customHeight="false" outlineLevel="0" collapsed="false">
      <c r="A334" s="1" t="s">
        <v>823</v>
      </c>
      <c r="B334" s="0" t="s">
        <v>95</v>
      </c>
      <c r="D334" s="6" t="n">
        <f aca="false">Q!L27</f>
        <v>-4.901</v>
      </c>
      <c r="E334" s="6" t="n">
        <f aca="false">Q!M27</f>
        <v>10.697</v>
      </c>
      <c r="F334" s="6" t="n">
        <f aca="false">oie_f</f>
        <v>-0.4</v>
      </c>
      <c r="G334" s="6" t="n">
        <f aca="false">oie_f</f>
        <v>-0.4</v>
      </c>
      <c r="H334" s="6" t="n">
        <f aca="false">oie_f</f>
        <v>-0.4</v>
      </c>
      <c r="I334" s="6" t="n">
        <f aca="false">oie_f</f>
        <v>-0.4</v>
      </c>
      <c r="J334" s="6" t="n">
        <f aca="false">oie_f</f>
        <v>-0.4</v>
      </c>
      <c r="K334" s="6" t="n">
        <f aca="false">oie_f</f>
        <v>-0.4</v>
      </c>
      <c r="L334" s="11" t="s">
        <v>824</v>
      </c>
    </row>
    <row r="335" customFormat="false" ht="15" hidden="false" customHeight="false" outlineLevel="0" collapsed="false">
      <c r="A335" s="1" t="s">
        <v>666</v>
      </c>
      <c r="B335" s="0" t="s">
        <v>95</v>
      </c>
      <c r="D335" s="6" t="n">
        <f aca="false">Sens!D329+Sens!D334</f>
        <v>123.627</v>
      </c>
      <c r="E335" s="6" t="n">
        <f aca="false">Sens!E329+Sens!E334</f>
        <v>165.934</v>
      </c>
      <c r="F335" s="6" t="n">
        <f aca="false">Sens!F329+Sens!F334</f>
        <v>168.233986825267</v>
      </c>
      <c r="G335" s="6" t="n">
        <f aca="false">Sens!G329+Sens!G334</f>
        <v>183.246207807559</v>
      </c>
      <c r="H335" s="6" t="n">
        <f aca="false">Sens!H329+Sens!H334</f>
        <v>198.306411764897</v>
      </c>
      <c r="I335" s="6" t="n">
        <f aca="false">Sens!I329+Sens!I334</f>
        <v>211.228335570507</v>
      </c>
      <c r="J335" s="6" t="n">
        <f aca="false">Sens!J329+Sens!J334</f>
        <v>221.238570098054</v>
      </c>
      <c r="K335" s="6" t="n">
        <f aca="false">Sens!K329+Sens!K334</f>
        <v>228.063796151586</v>
      </c>
    </row>
    <row r="336" customFormat="false" ht="15" hidden="false" customHeight="false" outlineLevel="0" collapsed="false">
      <c r="A336" s="1" t="s">
        <v>668</v>
      </c>
      <c r="B336" s="0" t="s">
        <v>95</v>
      </c>
      <c r="D336" s="6" t="n">
        <f aca="false">Q!L29</f>
        <v>21.795</v>
      </c>
      <c r="E336" s="6" t="n">
        <f aca="false">Q!M29</f>
        <v>32.185</v>
      </c>
      <c r="F336" s="6" t="n">
        <f aca="false">Sens!F335*tax_f</f>
        <v>33.6467973650534</v>
      </c>
      <c r="G336" s="6" t="n">
        <f aca="false">Sens!G335*tax_f</f>
        <v>36.6492415615117</v>
      </c>
      <c r="H336" s="6" t="n">
        <f aca="false">Sens!H335*tax_f</f>
        <v>39.6612823529795</v>
      </c>
      <c r="I336" s="6" t="n">
        <f aca="false">Sens!I335*tax_f</f>
        <v>42.2456671141013</v>
      </c>
      <c r="J336" s="6" t="n">
        <f aca="false">Sens!J335*tax_f</f>
        <v>44.2477140196109</v>
      </c>
      <c r="K336" s="6" t="n">
        <f aca="false">Sens!K335*tax_f</f>
        <v>45.6127592303171</v>
      </c>
    </row>
    <row r="337" customFormat="false" ht="15" hidden="false" customHeight="false" outlineLevel="0" collapsed="false">
      <c r="A337" s="1" t="s">
        <v>825</v>
      </c>
      <c r="B337" s="0" t="s">
        <v>95</v>
      </c>
      <c r="D337" s="6" t="n">
        <f aca="false">Sens!D335-Sens!D336</f>
        <v>101.832</v>
      </c>
      <c r="E337" s="6" t="n">
        <f aca="false">Sens!E335-Sens!E336</f>
        <v>133.749</v>
      </c>
      <c r="F337" s="6" t="n">
        <f aca="false">Sens!F335-Sens!F336</f>
        <v>134.587189460214</v>
      </c>
      <c r="G337" s="6" t="n">
        <f aca="false">Sens!G335-Sens!G336</f>
        <v>146.596966246047</v>
      </c>
      <c r="H337" s="6" t="n">
        <f aca="false">Sens!H335-Sens!H336</f>
        <v>158.645129411918</v>
      </c>
      <c r="I337" s="6" t="n">
        <f aca="false">Sens!I335-Sens!I336</f>
        <v>168.982668456405</v>
      </c>
      <c r="J337" s="6" t="n">
        <f aca="false">Sens!J335-Sens!J336</f>
        <v>176.990856078443</v>
      </c>
      <c r="K337" s="6" t="n">
        <f aca="false">Sens!K335-Sens!K336</f>
        <v>182.451036921269</v>
      </c>
    </row>
    <row r="338" customFormat="false" ht="17.15" hidden="false" customHeight="false" outlineLevel="0" collapsed="false">
      <c r="A338" s="1" t="s">
        <v>826</v>
      </c>
      <c r="B338" s="1" t="s">
        <v>79</v>
      </c>
      <c r="D338" s="18" t="n">
        <f aca="false">Q!L31</f>
        <v>7.465</v>
      </c>
      <c r="E338" s="18" t="n">
        <f aca="false">Q!M31</f>
        <v>7.453</v>
      </c>
      <c r="F338" s="18" t="n">
        <f aca="false">Sens!F375</f>
        <v>7.4735</v>
      </c>
      <c r="G338" s="18" t="n">
        <f aca="false">Sens!G375</f>
        <v>7.5185</v>
      </c>
      <c r="H338" s="18" t="n">
        <f aca="false">Sens!H375</f>
        <v>7.54869546546182</v>
      </c>
      <c r="I338" s="18" t="n">
        <f aca="false">Sens!I375</f>
        <v>7.56292017708101</v>
      </c>
      <c r="J338" s="18" t="n">
        <f aca="false">Sens!J375</f>
        <v>7.57716168819889</v>
      </c>
      <c r="K338" s="18" t="n">
        <f aca="false">Sens!K375</f>
        <v>7.59368160590063</v>
      </c>
    </row>
    <row r="339" customFormat="false" ht="17.15" hidden="false" customHeight="false" outlineLevel="0" collapsed="false">
      <c r="A339" s="0" t="s">
        <v>827</v>
      </c>
      <c r="B339" s="0" t="s">
        <v>73</v>
      </c>
      <c r="D339" s="8" t="n">
        <f aca="false">Sens!D337/Sens!D338</f>
        <v>13.641259209645</v>
      </c>
      <c r="E339" s="8" t="n">
        <f aca="false">Sens!E337/Sens!E338</f>
        <v>17.9456594659869</v>
      </c>
      <c r="F339" s="8" t="n">
        <f aca="false">Sens!F337/Sens!F338</f>
        <v>18.0085889422913</v>
      </c>
      <c r="G339" s="8" t="n">
        <f aca="false">Sens!G337/Sens!G338</f>
        <v>19.4981666883084</v>
      </c>
      <c r="H339" s="8" t="n">
        <f aca="false">Sens!H337/Sens!H338</f>
        <v>21.0162312333012</v>
      </c>
      <c r="I339" s="8" t="n">
        <f aca="false">Sens!I337/Sens!I338</f>
        <v>22.3435742411374</v>
      </c>
      <c r="J339" s="8" t="n">
        <f aca="false">Sens!J337/Sens!J338</f>
        <v>23.3584636783057</v>
      </c>
      <c r="K339" s="8" t="n">
        <f aca="false">Sens!K337/Sens!K338</f>
        <v>24.0266903973819</v>
      </c>
      <c r="L339" s="1" t="s">
        <v>828</v>
      </c>
    </row>
    <row r="340" customFormat="false" ht="17.15" hidden="false" customHeight="false" outlineLevel="0" collapsed="false">
      <c r="A340" s="0" t="s">
        <v>829</v>
      </c>
      <c r="B340" s="0" t="s">
        <v>126</v>
      </c>
      <c r="E340" s="7" t="n">
        <f aca="false">Sens!E339/Sens!D339-1</f>
        <v>0.315542736208578</v>
      </c>
      <c r="F340" s="7" t="n">
        <f aca="false">Sens!F339/Sens!E339-1</f>
        <v>0.00350666836310376</v>
      </c>
      <c r="G340" s="7" t="n">
        <f aca="false">Sens!G339/Sens!F339-1</f>
        <v>0.0827148507187614</v>
      </c>
      <c r="H340" s="7" t="n">
        <f aca="false">Sens!H339/Sens!G339-1</f>
        <v>0.0778567836279216</v>
      </c>
      <c r="I340" s="7" t="n">
        <f aca="false">Sens!I339/Sens!H339-1</f>
        <v>0.0631579940809246</v>
      </c>
      <c r="J340" s="7" t="n">
        <f aca="false">Sens!J339/Sens!I339-1</f>
        <v>0.0454219824552422</v>
      </c>
      <c r="K340" s="7" t="n">
        <f aca="false">Sens!K339/Sens!J339-1</f>
        <v>0.0286074772844258</v>
      </c>
    </row>
    <row r="341" customFormat="false" ht="17.15" hidden="false" customHeight="false" outlineLevel="0" collapsed="false">
      <c r="A341" s="0" t="s">
        <v>763</v>
      </c>
      <c r="B341" s="0" t="s">
        <v>95</v>
      </c>
      <c r="E341" s="6" t="n">
        <f aca="false">Sens!E286</f>
        <v>5.25</v>
      </c>
      <c r="F341" s="6" t="n">
        <f aca="false">Sens!F286</f>
        <v>12</v>
      </c>
      <c r="G341" s="6" t="n">
        <f aca="false">Sens!G286</f>
        <v>18</v>
      </c>
      <c r="H341" s="6" t="n">
        <f aca="false">Sens!H286</f>
        <v>24</v>
      </c>
      <c r="I341" s="6" t="n">
        <f aca="false">Sens!I286</f>
        <v>28.5</v>
      </c>
      <c r="J341" s="6" t="n">
        <f aca="false">Sens!J286</f>
        <v>31.5</v>
      </c>
      <c r="K341" s="6" t="n">
        <f aca="false">Sens!K286</f>
        <v>34.5</v>
      </c>
    </row>
    <row r="342" customFormat="false" ht="17.15" hidden="false" customHeight="false" outlineLevel="0" collapsed="false">
      <c r="A342" s="0" t="s">
        <v>764</v>
      </c>
      <c r="B342" s="0" t="s">
        <v>95</v>
      </c>
      <c r="E342" s="6" t="n">
        <f aca="false">Sens!E266+Sens!E341*Sens!E325-Sens!E267-Sens!E277</f>
        <v>2.1514866143068</v>
      </c>
      <c r="F342" s="6" t="n">
        <f aca="false">Sens!F266+Sens!F341*Sens!F325-Sens!F267-Sens!F277</f>
        <v>-3.22213803288993</v>
      </c>
      <c r="G342" s="6" t="n">
        <f aca="false">Sens!G266+Sens!G341*Sens!G325-Sens!G267-Sens!G277</f>
        <v>-7.87895875874737</v>
      </c>
      <c r="H342" s="6" t="n">
        <f aca="false">Sens!H266+Sens!H341*Sens!H325-Sens!H267-Sens!H277</f>
        <v>-12.8084697007426</v>
      </c>
      <c r="I342" s="6" t="n">
        <f aca="false">Sens!I266+Sens!I341*Sens!I325-Sens!I267-Sens!I277</f>
        <v>-19.5052912653504</v>
      </c>
      <c r="J342" s="6" t="n">
        <f aca="false">Sens!J266+Sens!J341*Sens!J325-Sens!J267-Sens!J277</f>
        <v>-27.9741088688253</v>
      </c>
      <c r="K342" s="6" t="n">
        <f aca="false">Sens!K266+Sens!K341*Sens!K325-Sens!K267-Sens!K277</f>
        <v>-37.6971384273347</v>
      </c>
    </row>
    <row r="343" customFormat="false" ht="17.15" hidden="false" customHeight="false" outlineLevel="0" collapsed="false">
      <c r="A343" s="0" t="s">
        <v>765</v>
      </c>
      <c r="B343" s="0" t="s">
        <v>95</v>
      </c>
      <c r="E343" s="6" t="n">
        <f aca="false">Sens!E249*(cxit_open+self_build*tk_cxfac)/1000*ai_net_open</f>
        <v>126.6980382</v>
      </c>
      <c r="F343" s="6" t="n">
        <f aca="false">Sens!E343+Sens!F274-Sens!F277</f>
        <v>260.578155514568</v>
      </c>
      <c r="G343" s="6" t="n">
        <f aca="false">Sens!F343+Sens!G274-Sens!G277</f>
        <v>383.645602737428</v>
      </c>
      <c r="H343" s="6" t="n">
        <f aca="false">Sens!G343+Sens!H274-Sens!H277</f>
        <v>483.983572654688</v>
      </c>
      <c r="I343" s="6" t="n">
        <f aca="false">Sens!H343+Sens!I274-Sens!I277</f>
        <v>586.325352170632</v>
      </c>
      <c r="J343" s="6" t="n">
        <f aca="false">Sens!I343+Sens!J274-Sens!J277</f>
        <v>674.878135136093</v>
      </c>
      <c r="K343" s="6" t="n">
        <f aca="false">Sens!J343+Sens!K274-Sens!K277</f>
        <v>777.995524451903</v>
      </c>
      <c r="L343" s="1" t="s">
        <v>766</v>
      </c>
    </row>
    <row r="344" customFormat="false" ht="17.15" hidden="false" customHeight="false" outlineLevel="0" collapsed="false">
      <c r="A344" s="0" t="s">
        <v>767</v>
      </c>
      <c r="B344" s="0" t="s">
        <v>126</v>
      </c>
      <c r="F344" s="7" t="n">
        <f aca="false">Sens!F342*(1-tax_f)/((Sens!E343+Sens!F343)/2)</f>
        <v>-0.0133120004180364</v>
      </c>
      <c r="G344" s="7" t="n">
        <f aca="false">Sens!G342*(1-tax_f)/((Sens!F343+Sens!G343)/2)</f>
        <v>-0.0195682538132421</v>
      </c>
      <c r="H344" s="7" t="n">
        <f aca="false">Sens!H342*(1-tax_f)/((Sens!G343+Sens!H343)/2)</f>
        <v>-0.0236201733441321</v>
      </c>
      <c r="I344" s="7" t="n">
        <f aca="false">Sens!I342*(1-tax_f)/((Sens!H343+Sens!I343)/2)</f>
        <v>-0.0291583722238456</v>
      </c>
      <c r="J344" s="7" t="n">
        <f aca="false">Sens!J342*(1-tax_f)/((Sens!I343+Sens!J343)/2)</f>
        <v>-0.035488780867314</v>
      </c>
      <c r="K344" s="7" t="n">
        <f aca="false">Sens!K342*(1-tax_f)/((Sens!J343+Sens!K343)/2)</f>
        <v>-0.041514567413136</v>
      </c>
    </row>
    <row r="345" customFormat="false" ht="17.15" hidden="false" customHeight="false" outlineLevel="0" collapsed="false">
      <c r="A345" s="1" t="s">
        <v>768</v>
      </c>
      <c r="B345" s="0" t="s">
        <v>126</v>
      </c>
      <c r="F345" s="7" t="n">
        <f aca="false">Sens!F278*(1-tax_f)/(Sens!F265*(Sens!E343+Sens!F343)/2)</f>
        <v>0.071304966377978</v>
      </c>
      <c r="G345" s="7" t="n">
        <f aca="false">Sens!G278*(1-tax_f)/(Sens!G265*(Sens!F343+Sens!G343)/2)</f>
        <v>0.0696699273118521</v>
      </c>
      <c r="H345" s="7" t="n">
        <f aca="false">Sens!H278*(1-tax_f)/(Sens!H265*(Sens!G343+Sens!H343)/2)</f>
        <v>0.0732998580617987</v>
      </c>
      <c r="I345" s="7" t="n">
        <f aca="false">Sens!I278*(1-tax_f)/(Sens!I265*(Sens!H343+Sens!I343)/2)</f>
        <v>0.0756812126590715</v>
      </c>
      <c r="J345" s="7" t="n">
        <f aca="false">Sens!J278*(1-tax_f)/(Sens!J265*(Sens!I343+Sens!J343)/2)</f>
        <v>0.0769266790846846</v>
      </c>
      <c r="K345" s="7" t="n">
        <f aca="false">Sens!K278*(1-tax_f)/(Sens!K265*(Sens!J343+Sens!K343)/2)</f>
        <v>0.0764533393540538</v>
      </c>
    </row>
    <row r="346" customFormat="false" ht="17.15" hidden="false" customHeight="false" outlineLevel="0" collapsed="false">
      <c r="A346" s="0" t="s">
        <v>769</v>
      </c>
      <c r="B346" s="0" t="s">
        <v>208</v>
      </c>
      <c r="F346" s="7" t="n">
        <f aca="false">Sens!F344-wacc</f>
        <v>-0.12227522156829</v>
      </c>
      <c r="G346" s="7" t="n">
        <f aca="false">Sens!G344-wacc</f>
        <v>-0.128531474963496</v>
      </c>
      <c r="H346" s="7" t="n">
        <f aca="false">Sens!H344-wacc</f>
        <v>-0.132583394494386</v>
      </c>
      <c r="I346" s="7" t="n">
        <f aca="false">Sens!I344-wacc</f>
        <v>-0.1381215933741</v>
      </c>
      <c r="J346" s="7" t="n">
        <f aca="false">Sens!J344-wacc</f>
        <v>-0.144452002017568</v>
      </c>
      <c r="K346" s="7" t="n">
        <f aca="false">Sens!K344-wacc</f>
        <v>-0.15047778856339</v>
      </c>
    </row>
    <row r="347" customFormat="false" ht="17.15" hidden="false" customHeight="false" outlineLevel="0" collapsed="false">
      <c r="A347" s="0" t="s">
        <v>770</v>
      </c>
      <c r="B347" s="0" t="s">
        <v>95</v>
      </c>
      <c r="F347" s="6" t="n">
        <f aca="false">Sens!F342*(1-tax_f)-wacc*(Sens!E343+Sens!F343)/2</f>
        <v>-23.6771411972865</v>
      </c>
      <c r="G347" s="6" t="n">
        <f aca="false">Sens!G342*(1-tax_f)-wacc*(Sens!F343+Sens!G343)/2</f>
        <v>-41.4015149273279</v>
      </c>
      <c r="H347" s="6" t="n">
        <f aca="false">Sens!H342*(1-tax_f)-wacc*(Sens!G343+Sens!H343)/2</f>
        <v>-57.5166106179259</v>
      </c>
      <c r="I347" s="6" t="n">
        <f aca="false">Sens!I342*(1-tax_f)-wacc*(Sens!H343+Sens!I343)/2</f>
        <v>-73.9163870496963</v>
      </c>
      <c r="J347" s="6" t="n">
        <f aca="false">Sens!J342*(1-tax_f)-wacc*(Sens!I343+Sens!J343)/2</f>
        <v>-91.0916843464974</v>
      </c>
      <c r="K347" s="6" t="n">
        <f aca="false">Sens!K342*(1-tax_f)-wacc*(Sens!J343+Sens!K343)/2</f>
        <v>-109.312607678401</v>
      </c>
    </row>
    <row r="348" customFormat="false" ht="17.15" hidden="false" customHeight="false" outlineLevel="0" collapsed="false">
      <c r="A348" s="1" t="s">
        <v>771</v>
      </c>
      <c r="B348" s="0" t="s">
        <v>95</v>
      </c>
      <c r="F348" s="6" t="n">
        <f aca="false">(Sens!E250+Sens!F250)/2*Sens!F257/1000</f>
        <v>26.7873066765967</v>
      </c>
      <c r="G348" s="6" t="n">
        <f aca="false">(Sens!F250+Sens!G250)/2*Sens!G257/1000</f>
        <v>45.4131817597218</v>
      </c>
      <c r="H348" s="6" t="n">
        <f aca="false">(Sens!G250+Sens!H250)/2*Sens!H257/1000</f>
        <v>65.3915129357971</v>
      </c>
      <c r="I348" s="6" t="n">
        <f aca="false">(Sens!H250+Sens!I250)/2*Sens!I257/1000</f>
        <v>85.5187419289299</v>
      </c>
      <c r="J348" s="6" t="n">
        <f aca="false">(Sens!I250+Sens!J250)/2*Sens!J257/1000</f>
        <v>105.723807195006</v>
      </c>
      <c r="K348" s="6" t="n">
        <f aca="false">(Sens!J250+Sens!K250)/2*Sens!K257/1000</f>
        <v>125.974659797015</v>
      </c>
      <c r="L348" s="1" t="s">
        <v>772</v>
      </c>
    </row>
    <row r="349" customFormat="false" ht="17.15" hidden="false" customHeight="false" outlineLevel="0" collapsed="false">
      <c r="A349" s="1" t="s">
        <v>773</v>
      </c>
      <c r="B349" s="0" t="s">
        <v>126</v>
      </c>
      <c r="F349" s="7" t="n">
        <f aca="false">(Sens!F266+Sens!F348-Sens!F267-Sens!F277)*(1-tax_f)/((Sens!E343+Sens!F343)/2)</f>
        <v>0.0690512071929136</v>
      </c>
      <c r="G349" s="7" t="n">
        <f aca="false">(Sens!G266+Sens!G348-Sens!G267-Sens!G277)*(1-tax_f)/((Sens!F343+Sens!G343)/2)</f>
        <v>0.0676957105937795</v>
      </c>
      <c r="H349" s="7" t="n">
        <f aca="false">(Sens!H266+Sens!H348-Sens!H267-Sens!H277)*(1-tax_f)/((Sens!G343+Sens!H343)/2)</f>
        <v>0.0716989569584798</v>
      </c>
      <c r="I349" s="7" t="n">
        <f aca="false">(Sens!I266+Sens!I348-Sens!I267-Sens!I277)*(1-tax_f)/((Sens!H343+Sens!I343)/2)</f>
        <v>0.0743578456796161</v>
      </c>
      <c r="J349" s="7" t="n">
        <f aca="false">(Sens!J266+Sens!J348-Sens!J267-Sens!J277)*(1-tax_f)/((Sens!I343+Sens!J343)/2)</f>
        <v>0.0758190631408926</v>
      </c>
      <c r="K349" s="7" t="n">
        <f aca="false">(Sens!K266+Sens!K348-Sens!K267-Sens!K277)*(1-tax_f)/((Sens!J343+Sens!K343)/2)</f>
        <v>0.0755242465157795</v>
      </c>
      <c r="L349" s="1" t="s">
        <v>774</v>
      </c>
    </row>
    <row r="350" customFormat="false" ht="17.15" hidden="false" customHeight="false" outlineLevel="0" collapsed="false">
      <c r="A350" s="3" t="s">
        <v>1122</v>
      </c>
    </row>
    <row r="351" customFormat="false" ht="15" hidden="false" customHeight="false" outlineLevel="0" collapsed="false">
      <c r="A351" s="4" t="s">
        <v>43</v>
      </c>
      <c r="B351" s="4" t="s">
        <v>63</v>
      </c>
      <c r="C351" s="19" t="s">
        <v>710</v>
      </c>
      <c r="D351" s="19" t="s">
        <v>711</v>
      </c>
      <c r="E351" s="19" t="s">
        <v>712</v>
      </c>
      <c r="F351" s="19" t="s">
        <v>713</v>
      </c>
      <c r="G351" s="19" t="s">
        <v>714</v>
      </c>
      <c r="H351" s="19" t="s">
        <v>715</v>
      </c>
      <c r="I351" s="19" t="s">
        <v>716</v>
      </c>
      <c r="J351" s="19" t="s">
        <v>717</v>
      </c>
      <c r="K351" s="19" t="s">
        <v>718</v>
      </c>
      <c r="L351" s="4" t="s">
        <v>47</v>
      </c>
    </row>
    <row r="352" customFormat="false" ht="15" hidden="false" customHeight="false" outlineLevel="0" collapsed="false">
      <c r="A352" s="1" t="s">
        <v>825</v>
      </c>
      <c r="B352" s="0" t="s">
        <v>95</v>
      </c>
      <c r="F352" s="6" t="n">
        <f aca="false">Sens!F337</f>
        <v>134.587189460214</v>
      </c>
      <c r="G352" s="6" t="n">
        <f aca="false">Sens!G337</f>
        <v>146.596966246047</v>
      </c>
      <c r="H352" s="6" t="n">
        <f aca="false">Sens!H337</f>
        <v>158.645129411918</v>
      </c>
      <c r="I352" s="6" t="n">
        <f aca="false">Sens!I337</f>
        <v>168.982668456405</v>
      </c>
      <c r="J352" s="6" t="n">
        <f aca="false">Sens!J337</f>
        <v>176.990856078443</v>
      </c>
      <c r="K352" s="6" t="n">
        <f aca="false">Sens!K337</f>
        <v>182.451036921269</v>
      </c>
    </row>
    <row r="353" customFormat="false" ht="17.15" hidden="false" customHeight="false" outlineLevel="0" collapsed="false">
      <c r="A353" s="1" t="s">
        <v>843</v>
      </c>
      <c r="B353" s="0" t="s">
        <v>95</v>
      </c>
      <c r="E353" s="6" t="n">
        <f aca="false">Q!M38-Sens!E277</f>
        <v>22.2285940229167</v>
      </c>
      <c r="F353" s="6" t="n">
        <f aca="false">Sens!E353*(1-1/life_nonai)+Sens!F359/life_nonai</f>
        <v>23.5636693435813</v>
      </c>
      <c r="G353" s="6" t="n">
        <f aca="false">Sens!F353*(1-1/life_nonai)+Sens!G359/life_nonai</f>
        <v>25.3225917662621</v>
      </c>
      <c r="H353" s="6" t="n">
        <f aca="false">Sens!G353*(1-1/life_nonai)+Sens!H359/life_nonai</f>
        <v>27.4714839540448</v>
      </c>
      <c r="I353" s="6" t="n">
        <f aca="false">Sens!H353*(1-1/life_nonai)+Sens!I359/life_nonai</f>
        <v>29.9441755898047</v>
      </c>
      <c r="J353" s="6" t="n">
        <f aca="false">Sens!I353*(1-1/life_nonai)+Sens!J359/life_nonai</f>
        <v>32.6578493558616</v>
      </c>
      <c r="K353" s="6" t="n">
        <f aca="false">Sens!J353*(1-1/life_nonai)+Sens!K359/life_nonai</f>
        <v>35.5289346944749</v>
      </c>
      <c r="L353" s="11" t="s">
        <v>844</v>
      </c>
    </row>
    <row r="354" customFormat="false" ht="17.15" hidden="false" customHeight="false" outlineLevel="0" collapsed="false">
      <c r="A354" s="1" t="s">
        <v>845</v>
      </c>
      <c r="B354" s="0" t="s">
        <v>95</v>
      </c>
      <c r="E354" s="6" t="n">
        <f aca="false">Sens!E277+Sens!E353</f>
        <v>38.534</v>
      </c>
      <c r="F354" s="6" t="n">
        <f aca="false">Sens!F277+Sens!F353</f>
        <v>58.304204799451</v>
      </c>
      <c r="G354" s="6" t="n">
        <f aca="false">Sens!G277+Sens!G353</f>
        <v>85.8293250266017</v>
      </c>
      <c r="H354" s="6" t="n">
        <f aca="false">Sens!H277+Sens!H353</f>
        <v>115.213799947184</v>
      </c>
      <c r="I354" s="6" t="n">
        <f aca="false">Sens!I277+Sens!I353</f>
        <v>145.941357330928</v>
      </c>
      <c r="J354" s="6" t="n">
        <f aca="false">Sens!J277+Sens!J353</f>
        <v>177.882127314135</v>
      </c>
      <c r="K354" s="6" t="n">
        <f aca="false">Sens!K277+Sens!K353</f>
        <v>211.267857329064</v>
      </c>
    </row>
    <row r="355" customFormat="false" ht="15" hidden="false" customHeight="false" outlineLevel="0" collapsed="false">
      <c r="A355" s="1" t="s">
        <v>685</v>
      </c>
      <c r="B355" s="0" t="s">
        <v>95</v>
      </c>
      <c r="F355" s="6" t="n">
        <f aca="false">Sens!F304*sbc_r</f>
        <v>14.622105248829</v>
      </c>
      <c r="G355" s="6" t="n">
        <f aca="false">Sens!G304*sbc_r</f>
        <v>17.2625269964373</v>
      </c>
      <c r="H355" s="6" t="n">
        <f aca="false">Sens!H304*sbc_r</f>
        <v>19.9640862534116</v>
      </c>
      <c r="I355" s="6" t="n">
        <f aca="false">Sens!I304*sbc_r</f>
        <v>22.5975944359194</v>
      </c>
      <c r="J355" s="6" t="n">
        <f aca="false">Sens!J304*sbc_r</f>
        <v>25.1091483849374</v>
      </c>
      <c r="K355" s="6" t="n">
        <f aca="false">Sens!K304*sbc_r</f>
        <v>27.5010304730033</v>
      </c>
    </row>
    <row r="356" customFormat="false" ht="17.15" hidden="false" customHeight="false" outlineLevel="0" collapsed="false">
      <c r="A356" s="1" t="s">
        <v>846</v>
      </c>
      <c r="B356" s="0" t="s">
        <v>95</v>
      </c>
      <c r="F356" s="6" t="n">
        <f aca="false">wc27</f>
        <v>-4.895</v>
      </c>
      <c r="G356" s="6" t="n">
        <f aca="false">0</f>
        <v>0</v>
      </c>
      <c r="H356" s="6" t="n">
        <f aca="false">0</f>
        <v>0</v>
      </c>
      <c r="I356" s="6" t="n">
        <f aca="false">0</f>
        <v>0</v>
      </c>
      <c r="J356" s="6" t="n">
        <f aca="false">0</f>
        <v>0</v>
      </c>
      <c r="K356" s="6" t="n">
        <f aca="false">0</f>
        <v>0</v>
      </c>
      <c r="L356" s="11" t="s">
        <v>847</v>
      </c>
    </row>
    <row r="357" customFormat="false" ht="15" hidden="false" customHeight="false" outlineLevel="0" collapsed="false">
      <c r="A357" s="1" t="s">
        <v>678</v>
      </c>
      <c r="B357" s="0" t="s">
        <v>95</v>
      </c>
      <c r="E357" s="6" t="n">
        <f aca="false">Q!M35</f>
        <v>182.935</v>
      </c>
      <c r="F357" s="6" t="n">
        <f aca="false">Sens!F352+Sens!F354+Sens!F355+Sens!F356</f>
        <v>202.618499508494</v>
      </c>
      <c r="G357" s="6" t="n">
        <f aca="false">Sens!G352+Sens!G354+Sens!G355+Sens!G356</f>
        <v>249.688818269086</v>
      </c>
      <c r="H357" s="6" t="n">
        <f aca="false">Sens!H352+Sens!H354+Sens!H355+Sens!H356</f>
        <v>293.823015612514</v>
      </c>
      <c r="I357" s="6" t="n">
        <f aca="false">Sens!I352+Sens!I354+Sens!I355+Sens!I356</f>
        <v>337.521620223252</v>
      </c>
      <c r="J357" s="6" t="n">
        <f aca="false">Sens!J352+Sens!J354+Sens!J355+Sens!J356</f>
        <v>379.982131777515</v>
      </c>
      <c r="K357" s="6" t="n">
        <f aca="false">Sens!K352+Sens!K354+Sens!K355+Sens!K356</f>
        <v>421.219924723336</v>
      </c>
    </row>
    <row r="358" customFormat="false" ht="17.15" hidden="false" customHeight="false" outlineLevel="0" collapsed="false">
      <c r="A358" s="0" t="s">
        <v>848</v>
      </c>
      <c r="B358" s="0" t="s">
        <v>95</v>
      </c>
      <c r="F358" s="6" t="n">
        <f aca="false">Sens!F274</f>
        <v>168.620652770438</v>
      </c>
      <c r="G358" s="6" t="n">
        <f aca="false">Sens!G274</f>
        <v>183.5741804832</v>
      </c>
      <c r="H358" s="6" t="n">
        <f aca="false">Sens!H274</f>
        <v>188.0802859104</v>
      </c>
      <c r="I358" s="6" t="n">
        <f aca="false">Sens!I274</f>
        <v>218.338961257067</v>
      </c>
      <c r="J358" s="6" t="n">
        <f aca="false">Sens!J274</f>
        <v>233.777060923733</v>
      </c>
      <c r="K358" s="6" t="n">
        <f aca="false">Sens!K274</f>
        <v>278.8563119504</v>
      </c>
    </row>
    <row r="359" customFormat="false" ht="17.15" hidden="false" customHeight="false" outlineLevel="0" collapsed="false">
      <c r="A359" s="1" t="s">
        <v>849</v>
      </c>
      <c r="B359" s="0" t="s">
        <v>95</v>
      </c>
      <c r="E359" s="6" t="n">
        <f aca="false">Sens!E282*cx_azo+Sens!E289*cx_m365+Sens!E290*cx_lic+(Sens!E292+Sens!E294)*cx_ind+Sens!E297*cx_srch+(Sens!E299+Sens!E301)*cx_dev</f>
        <v>30.1846587067718</v>
      </c>
      <c r="F359" s="6" t="n">
        <f aca="false">Sens!F282*cx_azo+Sens!F289*cx_m365+Sens!F290*cx_lic+(Sens!F292+Sens!F294)*cx_ind+Sens!F297*cx_srch+(Sens!F299+Sens!F301)*cx_dev</f>
        <v>35.5793472295625</v>
      </c>
      <c r="G359" s="6" t="n">
        <f aca="false">Sens!G282*cx_azo+Sens!G289*cx_m365+Sens!G290*cx_lic+(Sens!G292+Sens!G294)*cx_ind+Sens!G297*cx_srch+(Sens!G299+Sens!G301)*cx_dev</f>
        <v>41.1528935703892</v>
      </c>
      <c r="H359" s="6" t="n">
        <f aca="false">Sens!H282*cx_azo+Sens!H289*cx_m365+Sens!H290*cx_lic+(Sens!H292+Sens!H294)*cx_ind+Sens!H297*cx_srch+(Sens!H299+Sens!H301)*cx_dev</f>
        <v>46.8115136440897</v>
      </c>
      <c r="I359" s="6" t="n">
        <f aca="false">Sens!I282*cx_azo+Sens!I289*cx_m365+Sens!I290*cx_lic+(Sens!I292+Sens!I294)*cx_ind+Sens!I297*cx_srch+(Sens!I299+Sens!I301)*cx_dev</f>
        <v>52.1984003116439</v>
      </c>
      <c r="J359" s="6" t="n">
        <f aca="false">Sens!J282*cx_azo+Sens!J289*cx_m365+Sens!J290*cx_lic+(Sens!J292+Sens!J294)*cx_ind+Sens!J297*cx_srch+(Sens!J299+Sens!J301)*cx_dev</f>
        <v>57.0809132503738</v>
      </c>
      <c r="K359" s="6" t="n">
        <f aca="false">Sens!K282*cx_azo+Sens!K289*cx_m365+Sens!K290*cx_lic+(Sens!K292+Sens!K294)*cx_ind+Sens!K297*cx_srch+(Sens!K299+Sens!K301)*cx_dev</f>
        <v>61.368702741994</v>
      </c>
    </row>
    <row r="360" customFormat="false" ht="17.15" hidden="false" customHeight="false" outlineLevel="0" collapsed="false">
      <c r="A360" s="1" t="s">
        <v>850</v>
      </c>
      <c r="B360" s="0" t="s">
        <v>95</v>
      </c>
      <c r="E360" s="6" t="n">
        <f aca="false">Q!M42</f>
        <v>145.3</v>
      </c>
      <c r="F360" s="6" t="n">
        <f aca="false">Sens!F358+Sens!F359</f>
        <v>204.2</v>
      </c>
      <c r="G360" s="6" t="n">
        <f aca="false">Sens!G358+Sens!G359</f>
        <v>224.727074053589</v>
      </c>
      <c r="H360" s="6" t="n">
        <f aca="false">Sens!H358+Sens!H359</f>
        <v>234.89179955449</v>
      </c>
      <c r="I360" s="6" t="n">
        <f aca="false">Sens!I358+Sens!I359</f>
        <v>270.537361568711</v>
      </c>
      <c r="J360" s="6" t="n">
        <f aca="false">Sens!J358+Sens!J359</f>
        <v>290.857974174107</v>
      </c>
      <c r="K360" s="6" t="n">
        <f aca="false">Sens!K358+Sens!K359</f>
        <v>340.225014692394</v>
      </c>
      <c r="L360" s="1" t="s">
        <v>851</v>
      </c>
    </row>
    <row r="361" customFormat="false" ht="15" hidden="false" customHeight="false" outlineLevel="0" collapsed="false">
      <c r="A361" s="1" t="s">
        <v>852</v>
      </c>
      <c r="B361" s="0" t="s">
        <v>95</v>
      </c>
      <c r="E361" s="6" t="n">
        <f aca="false">fl_liab</f>
        <v>66.594</v>
      </c>
      <c r="F361" s="6" t="n">
        <f aca="false">Sens!E361-Sens!F362</f>
        <v>62.46973</v>
      </c>
      <c r="G361" s="6" t="n">
        <f aca="false">Sens!F361-Sens!G362</f>
        <v>57.98686785</v>
      </c>
      <c r="H361" s="6" t="n">
        <f aca="false">Sens!G361-Sens!H362</f>
        <v>53.92827690325</v>
      </c>
      <c r="I361" s="6" t="n">
        <f aca="false">Sens!H361-Sens!I362</f>
        <v>49.7850493638962</v>
      </c>
      <c r="J361" s="6" t="n">
        <f aca="false">Sens!I361-Sens!J362</f>
        <v>45.4823765852716</v>
      </c>
      <c r="K361" s="6" t="n">
        <f aca="false">Sens!J361-Sens!K362</f>
        <v>40.9860835316088</v>
      </c>
    </row>
    <row r="362" customFormat="false" ht="15" hidden="false" customHeight="false" outlineLevel="0" collapsed="false">
      <c r="A362" s="1" t="s">
        <v>853</v>
      </c>
      <c r="B362" s="0" t="s">
        <v>95</v>
      </c>
      <c r="F362" s="6" t="n">
        <f aca="false">fl_pay_27-Sens!E361*fl_rate</f>
        <v>4.12427</v>
      </c>
      <c r="G362" s="6" t="n">
        <f aca="false">fl_pay_28-Sens!F361*fl_rate</f>
        <v>4.48286215</v>
      </c>
      <c r="H362" s="6" t="n">
        <f aca="false">fl_pay_29-Sens!G361*fl_rate</f>
        <v>4.05859094675</v>
      </c>
      <c r="I362" s="6" t="n">
        <f aca="false">fl_pay_30-Sens!H361*fl_rate</f>
        <v>4.14322753935375</v>
      </c>
      <c r="J362" s="6" t="n">
        <f aca="false">fl_pay_31-Sens!I361*fl_rate</f>
        <v>4.30267277862467</v>
      </c>
      <c r="K362" s="6" t="n">
        <f aca="false">fl_pay_32-Sens!J361*fl_rate</f>
        <v>4.49629305366278</v>
      </c>
    </row>
    <row r="363" customFormat="false" ht="17.15" hidden="false" customHeight="false" outlineLevel="0" collapsed="false">
      <c r="A363" s="1" t="s">
        <v>854</v>
      </c>
      <c r="B363" s="0" t="s">
        <v>95</v>
      </c>
      <c r="E363" s="6" t="n">
        <f aca="false">Q!M35-Q!M36-Q!M43</f>
        <v>63.886</v>
      </c>
      <c r="F363" s="6" t="n">
        <f aca="false">Sens!F357-Sens!F360-Sens!F362</f>
        <v>-5.70577049150626</v>
      </c>
      <c r="G363" s="6" t="n">
        <f aca="false">Sens!G357-Sens!G360-Sens!G362</f>
        <v>20.4788820654966</v>
      </c>
      <c r="H363" s="6" t="n">
        <f aca="false">Sens!H357-Sens!H360-Sens!H362</f>
        <v>54.8726251112743</v>
      </c>
      <c r="I363" s="6" t="n">
        <f aca="false">Sens!I357-Sens!I360-Sens!I362</f>
        <v>62.8410311151879</v>
      </c>
      <c r="J363" s="6" t="n">
        <f aca="false">Sens!J357-Sens!J360-Sens!J362</f>
        <v>84.8214848247836</v>
      </c>
      <c r="K363" s="6" t="n">
        <f aca="false">Sens!K357-Sens!K360-Sens!K362</f>
        <v>76.4986169772796</v>
      </c>
      <c r="L363" s="11" t="s">
        <v>855</v>
      </c>
    </row>
    <row r="364" customFormat="false" ht="15" hidden="false" customHeight="false" outlineLevel="0" collapsed="false">
      <c r="A364" s="1" t="s">
        <v>856</v>
      </c>
      <c r="B364" s="0" t="s">
        <v>73</v>
      </c>
      <c r="F364" s="8" t="n">
        <f aca="false">dps_27</f>
        <v>3.85</v>
      </c>
      <c r="G364" s="8" t="n">
        <f aca="false">Sens!F364*(1+dps_g)</f>
        <v>4.158</v>
      </c>
      <c r="H364" s="8" t="n">
        <f aca="false">Sens!G364*(1+dps_g)</f>
        <v>4.49064</v>
      </c>
      <c r="I364" s="8" t="n">
        <f aca="false">Sens!H364*(1+dps_g)</f>
        <v>4.8498912</v>
      </c>
      <c r="J364" s="8" t="n">
        <f aca="false">Sens!I364*(1+dps_g)</f>
        <v>5.237882496</v>
      </c>
      <c r="K364" s="8" t="n">
        <f aca="false">Sens!J364*(1+dps_g)</f>
        <v>5.65691309568</v>
      </c>
    </row>
    <row r="365" customFormat="false" ht="17.15" hidden="false" customHeight="false" outlineLevel="0" collapsed="false">
      <c r="A365" s="1" t="s">
        <v>857</v>
      </c>
      <c r="B365" s="0" t="s">
        <v>95</v>
      </c>
      <c r="E365" s="6" t="n">
        <f aca="false">Q!M41</f>
        <v>26.445</v>
      </c>
      <c r="F365" s="6" t="n">
        <f aca="false">Sens!F364*Sens!E374</f>
        <v>28.59395</v>
      </c>
      <c r="G365" s="6" t="n">
        <f aca="false">Sens!G364*Sens!F374</f>
        <v>31.068576</v>
      </c>
      <c r="H365" s="6" t="n">
        <f aca="false">Sens!H364*Sens!G374</f>
        <v>33.75614088</v>
      </c>
      <c r="I365" s="6" t="n">
        <f aca="false">Sens!I364*Sens!H374</f>
        <v>36.5312764908464</v>
      </c>
      <c r="J365" s="6" t="n">
        <f aca="false">Sens!J364*Sens!I374</f>
        <v>39.5221774584336</v>
      </c>
      <c r="K365" s="6" t="n">
        <f aca="false">Sens!K364*Sens!J374</f>
        <v>42.7712068804133</v>
      </c>
      <c r="L365" s="1" t="s">
        <v>858</v>
      </c>
    </row>
    <row r="366" customFormat="false" ht="15" hidden="false" customHeight="false" outlineLevel="0" collapsed="false">
      <c r="A366" s="1" t="s">
        <v>859</v>
      </c>
      <c r="B366" s="0" t="s">
        <v>95</v>
      </c>
      <c r="E366" s="6" t="n">
        <f aca="false">Sens!E363-Sens!E365</f>
        <v>37.441</v>
      </c>
      <c r="F366" s="6" t="n">
        <f aca="false">Sens!F363-Sens!F365</f>
        <v>-34.2997204915063</v>
      </c>
      <c r="G366" s="6" t="n">
        <f aca="false">Sens!G363-Sens!G365</f>
        <v>-10.5896939345034</v>
      </c>
      <c r="H366" s="6" t="n">
        <f aca="false">Sens!H363-Sens!H365</f>
        <v>21.1164842312743</v>
      </c>
      <c r="I366" s="6" t="n">
        <f aca="false">Sens!I363-Sens!I365</f>
        <v>26.3097546243415</v>
      </c>
      <c r="J366" s="6" t="n">
        <f aca="false">Sens!J363-Sens!J365</f>
        <v>45.29930736635</v>
      </c>
      <c r="K366" s="6" t="n">
        <f aca="false">Sens!K363-Sens!K365</f>
        <v>33.7274100968663</v>
      </c>
    </row>
    <row r="367" customFormat="false" ht="15" hidden="false" customHeight="false" outlineLevel="0" collapsed="false">
      <c r="A367" s="1" t="s">
        <v>860</v>
      </c>
      <c r="B367" s="0" t="s">
        <v>95</v>
      </c>
      <c r="F367" s="6" t="n">
        <f aca="false">debt_mat_27</f>
        <v>9.25</v>
      </c>
      <c r="G367" s="6" t="n">
        <f aca="false">debt_mat_28</f>
        <v>0</v>
      </c>
      <c r="H367" s="6" t="n">
        <f aca="false">debt_mat_29</f>
        <v>2.001</v>
      </c>
      <c r="I367" s="6" t="n">
        <f aca="false">debt_mat_30</f>
        <v>0</v>
      </c>
      <c r="J367" s="6" t="n">
        <f aca="false">debt_mat_31</f>
        <v>0.5</v>
      </c>
      <c r="K367" s="6" t="n">
        <f aca="false">debt_mat_32</f>
        <v>0</v>
      </c>
    </row>
    <row r="368" customFormat="false" ht="15" hidden="false" customHeight="false" outlineLevel="0" collapsed="false">
      <c r="A368" s="1" t="s">
        <v>861</v>
      </c>
      <c r="B368" s="0" t="s">
        <v>95</v>
      </c>
      <c r="E368" s="6" t="n">
        <f aca="false">Q!M40</f>
        <v>22.271</v>
      </c>
      <c r="F368" s="6" t="n">
        <f aca="false">MAX(0,MIN(bb_target,Sens!E370+Sens!F366-Sens!F367-min_cash))</f>
        <v>0</v>
      </c>
      <c r="G368" s="6" t="n">
        <f aca="false">MAX(0,MIN(bb_target,Sens!F370+Sens!G366-Sens!G367-min_cash))</f>
        <v>0</v>
      </c>
      <c r="H368" s="6" t="n">
        <f aca="false">MAX(0,MIN(bb_target,Sens!G370+Sens!H366-Sens!H367-min_cash))</f>
        <v>19.1154842312743</v>
      </c>
      <c r="I368" s="6" t="n">
        <f aca="false">MAX(0,MIN(bb_target,Sens!H370+Sens!I366-Sens!I367-min_cash))</f>
        <v>22.271</v>
      </c>
      <c r="J368" s="6" t="n">
        <f aca="false">MAX(0,MIN(bb_target,Sens!I370+Sens!J366-Sens!J367-min_cash))</f>
        <v>22.271</v>
      </c>
      <c r="K368" s="6" t="n">
        <f aca="false">MAX(0,MIN(bb_target,Sens!J370+Sens!K366-Sens!K367-min_cash))</f>
        <v>22.271</v>
      </c>
    </row>
    <row r="369" customFormat="false" ht="15" hidden="false" customHeight="false" outlineLevel="0" collapsed="false">
      <c r="A369" s="1" t="s">
        <v>862</v>
      </c>
      <c r="B369" s="0" t="s">
        <v>95</v>
      </c>
      <c r="F369" s="6" t="n">
        <f aca="false">MAX(0,min_cash-(Sens!E370+Sens!F366-Sens!F367-Sens!F368))</f>
        <v>16.7067204915063</v>
      </c>
      <c r="G369" s="6" t="n">
        <f aca="false">MAX(0,min_cash-(Sens!F370+Sens!G366-Sens!G367-Sens!G368))</f>
        <v>10.5896939345034</v>
      </c>
      <c r="H369" s="6" t="n">
        <f aca="false">MAX(0,min_cash-(Sens!G370+Sens!H366-Sens!H367-Sens!H368))</f>
        <v>0</v>
      </c>
      <c r="I369" s="6" t="n">
        <f aca="false">MAX(0,min_cash-(Sens!H370+Sens!I366-Sens!I367-Sens!I368))</f>
        <v>0</v>
      </c>
      <c r="J369" s="6" t="n">
        <f aca="false">MAX(0,min_cash-(Sens!I370+Sens!J366-Sens!J367-Sens!J368))</f>
        <v>0</v>
      </c>
      <c r="K369" s="6" t="n">
        <f aca="false">MAX(0,min_cash-(Sens!J370+Sens!K366-Sens!K367-Sens!K368))</f>
        <v>0</v>
      </c>
    </row>
    <row r="370" customFormat="false" ht="15" hidden="false" customHeight="false" outlineLevel="0" collapsed="false">
      <c r="A370" s="1" t="s">
        <v>863</v>
      </c>
      <c r="B370" s="0" t="s">
        <v>95</v>
      </c>
      <c r="E370" s="6" t="n">
        <f aca="false">cash_open</f>
        <v>76.843</v>
      </c>
      <c r="F370" s="6" t="n">
        <f aca="false">Sens!E370+Sens!F366-Sens!F367-Sens!F368+Sens!F369</f>
        <v>50</v>
      </c>
      <c r="G370" s="6" t="n">
        <f aca="false">Sens!F370+Sens!G366-Sens!G367-Sens!G368+Sens!G369</f>
        <v>50</v>
      </c>
      <c r="H370" s="6" t="n">
        <f aca="false">Sens!G370+Sens!H366-Sens!H367-Sens!H368+Sens!H369</f>
        <v>50</v>
      </c>
      <c r="I370" s="6" t="n">
        <f aca="false">Sens!H370+Sens!I366-Sens!I367-Sens!I368+Sens!I369</f>
        <v>54.0387546243415</v>
      </c>
      <c r="J370" s="6" t="n">
        <f aca="false">Sens!I370+Sens!J366-Sens!J367-Sens!J368+Sens!J369</f>
        <v>76.5670619906916</v>
      </c>
      <c r="K370" s="6" t="n">
        <f aca="false">Sens!J370+Sens!K366-Sens!K367-Sens!K368+Sens!K369</f>
        <v>88.0234720875579</v>
      </c>
    </row>
    <row r="371" customFormat="false" ht="15" hidden="false" customHeight="false" outlineLevel="0" collapsed="false">
      <c r="A371" s="1" t="s">
        <v>864</v>
      </c>
      <c r="B371" s="0" t="s">
        <v>95</v>
      </c>
      <c r="E371" s="6" t="n">
        <f aca="false">debt_face</f>
        <v>46.136</v>
      </c>
      <c r="F371" s="6" t="n">
        <f aca="false">Sens!E371-Sens!F367+Sens!F369</f>
        <v>53.5927204915063</v>
      </c>
      <c r="G371" s="6" t="n">
        <f aca="false">Sens!F371-Sens!G367+Sens!G369</f>
        <v>64.1824144260097</v>
      </c>
      <c r="H371" s="6" t="n">
        <f aca="false">Sens!G371-Sens!H367+Sens!H369</f>
        <v>62.1814144260097</v>
      </c>
      <c r="I371" s="6" t="n">
        <f aca="false">Sens!H371-Sens!I367+Sens!I369</f>
        <v>62.1814144260097</v>
      </c>
      <c r="J371" s="6" t="n">
        <f aca="false">Sens!I371-Sens!J367+Sens!J369</f>
        <v>61.6814144260097</v>
      </c>
      <c r="K371" s="6" t="n">
        <f aca="false">Sens!J371-Sens!K367+Sens!K369</f>
        <v>61.6814144260097</v>
      </c>
    </row>
    <row r="372" customFormat="false" ht="15" hidden="false" customHeight="false" outlineLevel="0" collapsed="false">
      <c r="A372" s="1" t="s">
        <v>865</v>
      </c>
      <c r="B372" s="0" t="s">
        <v>95</v>
      </c>
      <c r="E372" s="6" t="n">
        <f aca="false">Sens!E370-Sens!E371</f>
        <v>30.707</v>
      </c>
      <c r="F372" s="6" t="n">
        <f aca="false">Sens!F370-Sens!F371</f>
        <v>-3.59272049150626</v>
      </c>
      <c r="G372" s="6" t="n">
        <f aca="false">Sens!G370-Sens!G371</f>
        <v>-14.1824144260097</v>
      </c>
      <c r="H372" s="6" t="n">
        <f aca="false">Sens!H370-Sens!H371</f>
        <v>-12.1814144260097</v>
      </c>
      <c r="I372" s="6" t="n">
        <f aca="false">Sens!I370-Sens!I371</f>
        <v>-8.14265980166814</v>
      </c>
      <c r="J372" s="6" t="n">
        <f aca="false">Sens!J370-Sens!J371</f>
        <v>14.8856475646819</v>
      </c>
      <c r="K372" s="6" t="n">
        <f aca="false">Sens!K370-Sens!K371</f>
        <v>26.3420576615482</v>
      </c>
    </row>
    <row r="373" customFormat="false" ht="15" hidden="false" customHeight="false" outlineLevel="0" collapsed="false">
      <c r="A373" s="1" t="s">
        <v>866</v>
      </c>
      <c r="B373" s="0" t="s">
        <v>73</v>
      </c>
      <c r="F373" s="27" t="n">
        <f aca="false">px*(1+bb_g)^(1-0.5)</f>
        <v>553.494156066711</v>
      </c>
      <c r="G373" s="27" t="n">
        <f aca="false">px*(1+bb_g)^(2-0.5)</f>
        <v>597.773688552047</v>
      </c>
      <c r="H373" s="27" t="n">
        <f aca="false">px*(1+bb_g)^(3-0.5)</f>
        <v>645.595583636211</v>
      </c>
      <c r="I373" s="27" t="n">
        <f aca="false">px*(1+bb_g)^(4-0.5)</f>
        <v>697.243230327108</v>
      </c>
      <c r="J373" s="27" t="n">
        <f aca="false">px*(1+bb_g)^(5-0.5)</f>
        <v>753.022688753277</v>
      </c>
      <c r="K373" s="27" t="n">
        <f aca="false">px*(1+bb_g)^(6-0.5)</f>
        <v>813.264503853539</v>
      </c>
    </row>
    <row r="374" customFormat="false" ht="15" hidden="false" customHeight="false" outlineLevel="0" collapsed="false">
      <c r="A374" s="1" t="s">
        <v>867</v>
      </c>
      <c r="B374" s="1" t="s">
        <v>79</v>
      </c>
      <c r="E374" s="18" t="n">
        <f aca="false">sh_out26</f>
        <v>7.427</v>
      </c>
      <c r="F374" s="18" t="n">
        <f aca="false">Sens!E374+sh_iss-Sens!F368/Sens!F373</f>
        <v>7.472</v>
      </c>
      <c r="G374" s="18" t="n">
        <f aca="false">Sens!F374+sh_iss-Sens!G368/Sens!G373</f>
        <v>7.517</v>
      </c>
      <c r="H374" s="18" t="n">
        <f aca="false">Sens!G374+sh_iss-Sens!H368/Sens!H373</f>
        <v>7.53239093092364</v>
      </c>
      <c r="I374" s="18" t="n">
        <f aca="false">Sens!H374+sh_iss-Sens!I368/Sens!I373</f>
        <v>7.54544942323837</v>
      </c>
      <c r="J374" s="18" t="n">
        <f aca="false">Sens!I374+sh_iss-Sens!J368/Sens!J373</f>
        <v>7.56087395315941</v>
      </c>
      <c r="K374" s="18" t="n">
        <f aca="false">Sens!J374+sh_iss-Sens!K368/Sens!K373</f>
        <v>7.57848925864185</v>
      </c>
    </row>
    <row r="375" customFormat="false" ht="15" hidden="false" customHeight="false" outlineLevel="0" collapsed="false">
      <c r="A375" s="1" t="s">
        <v>868</v>
      </c>
      <c r="B375" s="1" t="s">
        <v>79</v>
      </c>
      <c r="E375" s="18" t="n">
        <f aca="false">sh_dil26</f>
        <v>7.453</v>
      </c>
      <c r="F375" s="18" t="n">
        <f aca="false">(Sens!E374+Sens!F374)/2+dil_gap</f>
        <v>7.4735</v>
      </c>
      <c r="G375" s="18" t="n">
        <f aca="false">(Sens!F374+Sens!G374)/2+dil_gap</f>
        <v>7.5185</v>
      </c>
      <c r="H375" s="18" t="n">
        <f aca="false">(Sens!G374+Sens!H374)/2+dil_gap</f>
        <v>7.54869546546182</v>
      </c>
      <c r="I375" s="18" t="n">
        <f aca="false">(Sens!H374+Sens!I374)/2+dil_gap</f>
        <v>7.56292017708101</v>
      </c>
      <c r="J375" s="18" t="n">
        <f aca="false">(Sens!I374+Sens!J374)/2+dil_gap</f>
        <v>7.57716168819889</v>
      </c>
      <c r="K375" s="18" t="n">
        <f aca="false">(Sens!J374+Sens!K374)/2+dil_gap</f>
        <v>7.59368160590063</v>
      </c>
    </row>
    <row r="376" customFormat="false" ht="17.15" hidden="false" customHeight="false" outlineLevel="0" collapsed="false">
      <c r="A376" s="1" t="s">
        <v>869</v>
      </c>
      <c r="B376" s="0" t="s">
        <v>95</v>
      </c>
      <c r="C376" s="6" t="n">
        <f aca="false">SUM(Sens!F366:J366)</f>
        <v>47.8361317959562</v>
      </c>
    </row>
    <row r="377" customFormat="false" ht="17.15" hidden="false" customHeight="false" outlineLevel="0" collapsed="false">
      <c r="A377" s="1" t="s">
        <v>836</v>
      </c>
      <c r="B377" s="1" t="s">
        <v>870</v>
      </c>
      <c r="C377" s="30" t="str">
        <f aca="false">IF(SUM(Sens!F369:J369)&gt;0.05,"需要舉債 "&amp;TEXT(SUM(Sens!F369:J369),"0.0")&amp;" 十億美元","不需舉債")&amp;"；"&amp;IF(SUM(Sens!F368:J368)&lt;5*bb_target-0.05,"回購較每年 "&amp;TEXT(bb_target,"0.0")&amp;" 的目標少 "&amp;TEXT(5*bb_target-SUM(Sens!F368:J368),"0.0")&amp;" 十億美元（"&amp;TEXT(COUNTIF(Sens!F368:J368,"&lt;"&amp;(bb_target-0.05)),"0")&amp;" 年減少）","回購不減")</f>
        <v>需要舉債 27.3 十億美元；回購較每年 22.3 的目標少 47.7 十億美元（3 年減少）</v>
      </c>
    </row>
    <row r="378" customFormat="false" ht="17.15" hidden="false" customHeight="false" outlineLevel="0" collapsed="false">
      <c r="A378" s="3" t="s">
        <v>1123</v>
      </c>
    </row>
    <row r="379" customFormat="false" ht="15" hidden="false" customHeight="false" outlineLevel="0" collapsed="false">
      <c r="A379" s="4" t="s">
        <v>43</v>
      </c>
      <c r="B379" s="4" t="s">
        <v>63</v>
      </c>
      <c r="C379" s="19" t="s">
        <v>710</v>
      </c>
      <c r="D379" s="19" t="s">
        <v>711</v>
      </c>
      <c r="E379" s="19" t="s">
        <v>712</v>
      </c>
      <c r="F379" s="19" t="s">
        <v>713</v>
      </c>
      <c r="G379" s="19" t="s">
        <v>714</v>
      </c>
      <c r="H379" s="19" t="s">
        <v>715</v>
      </c>
      <c r="I379" s="19" t="s">
        <v>716</v>
      </c>
      <c r="J379" s="19" t="s">
        <v>717</v>
      </c>
      <c r="K379" s="19" t="s">
        <v>718</v>
      </c>
      <c r="L379" s="4" t="s">
        <v>47</v>
      </c>
    </row>
    <row r="380" customFormat="false" ht="17.15" hidden="false" customHeight="false" outlineLevel="0" collapsed="false">
      <c r="A380" s="1" t="s">
        <v>938</v>
      </c>
      <c r="B380" s="1" t="s">
        <v>213</v>
      </c>
      <c r="F380" s="34" t="n">
        <f aca="false">1-0.5</f>
        <v>0.5</v>
      </c>
      <c r="G380" s="34" t="n">
        <f aca="false">2-0.5</f>
        <v>1.5</v>
      </c>
      <c r="H380" s="34" t="n">
        <f aca="false">3-0.5</f>
        <v>2.5</v>
      </c>
      <c r="I380" s="34" t="n">
        <f aca="false">4-0.5</f>
        <v>3.5</v>
      </c>
      <c r="J380" s="34" t="n">
        <f aca="false">5-0.5</f>
        <v>4.5</v>
      </c>
      <c r="K380" s="34" t="n">
        <f aca="false">6-0.5</f>
        <v>5.5</v>
      </c>
    </row>
    <row r="381" customFormat="false" ht="15" hidden="false" customHeight="false" outlineLevel="0" collapsed="false">
      <c r="A381" s="1" t="s">
        <v>939</v>
      </c>
      <c r="B381" s="0" t="s">
        <v>182</v>
      </c>
      <c r="F381" s="18" t="n">
        <f aca="false">1/(1+wacc)^Sens!F380</f>
        <v>0.949601579913219</v>
      </c>
      <c r="G381" s="18" t="n">
        <f aca="false">1/(1+wacc)^Sens!G380</f>
        <v>0.856296729956707</v>
      </c>
      <c r="H381" s="18" t="n">
        <f aca="false">1/(1+wacc)^Sens!H380</f>
        <v>0.772159719660069</v>
      </c>
      <c r="I381" s="18" t="n">
        <f aca="false">1/(1+wacc)^Sens!I380</f>
        <v>0.696289746073958</v>
      </c>
      <c r="J381" s="18" t="n">
        <f aca="false">1/(1+wacc)^Sens!J380</f>
        <v>0.627874516299776</v>
      </c>
      <c r="K381" s="18" t="n">
        <f aca="false">1/(1+wacc)^Sens!K380</f>
        <v>0.566181550771831</v>
      </c>
    </row>
    <row r="382" customFormat="false" ht="15" hidden="false" customHeight="false" outlineLevel="0" collapsed="false">
      <c r="A382" s="1" t="s">
        <v>940</v>
      </c>
      <c r="B382" s="0" t="s">
        <v>95</v>
      </c>
      <c r="F382" s="6" t="n">
        <f aca="false">Sens!F363*Sens!F381</f>
        <v>-5.41820867335657</v>
      </c>
      <c r="G382" s="6" t="n">
        <f aca="false">Sens!G363*Sens!G381</f>
        <v>17.5359997458538</v>
      </c>
      <c r="H382" s="6" t="n">
        <f aca="false">Sens!H363*Sens!H381</f>
        <v>42.3704308229336</v>
      </c>
      <c r="I382" s="6" t="n">
        <f aca="false">Sens!I363*Sens!I381</f>
        <v>43.7555655982199</v>
      </c>
      <c r="J382" s="6" t="n">
        <f aca="false">Sens!J363*Sens!J381</f>
        <v>53.2572487561898</v>
      </c>
      <c r="K382" s="6" t="n">
        <f aca="false">Sens!K363*Sens!K381</f>
        <v>43.3121055920965</v>
      </c>
    </row>
    <row r="383" customFormat="false" ht="17.15" hidden="false" customHeight="false" outlineLevel="0" collapsed="false">
      <c r="A383" s="1" t="s">
        <v>941</v>
      </c>
      <c r="B383" s="0" t="s">
        <v>95</v>
      </c>
      <c r="C383" s="6" t="n">
        <f aca="false">SUM(Sens!F382:K382)</f>
        <v>194.813141841937</v>
      </c>
    </row>
    <row r="384" customFormat="false" ht="17.15" hidden="false" customHeight="false" outlineLevel="0" collapsed="false">
      <c r="A384" s="1" t="s">
        <v>942</v>
      </c>
      <c r="B384" s="0" t="s">
        <v>95</v>
      </c>
      <c r="C384" s="6" t="n">
        <f aca="false">Sens!K329*(1+g_tv)*(1-tax_f)</f>
        <v>188.254168028907</v>
      </c>
    </row>
    <row r="385" customFormat="false" ht="17.15" hidden="false" customHeight="false" outlineLevel="0" collapsed="false">
      <c r="A385" s="1" t="s">
        <v>943</v>
      </c>
      <c r="B385" s="0" t="s">
        <v>95</v>
      </c>
      <c r="C385" s="6" t="n">
        <f aca="false">Sens!$C$384*(1-g_tv/(wacc+ronic_prem))</f>
        <v>136.423605557929</v>
      </c>
    </row>
    <row r="386" customFormat="false" ht="17.15" hidden="false" customHeight="false" outlineLevel="0" collapsed="false">
      <c r="A386" s="1" t="s">
        <v>944</v>
      </c>
      <c r="B386" s="0" t="s">
        <v>95</v>
      </c>
      <c r="C386" s="6" t="n">
        <f aca="false">Sens!$C$385/(wacc-g_tv)</f>
        <v>1727.68541569926</v>
      </c>
    </row>
    <row r="387" customFormat="false" ht="15" hidden="false" customHeight="false" outlineLevel="0" collapsed="false">
      <c r="A387" s="1" t="s">
        <v>945</v>
      </c>
      <c r="B387" s="0" t="s">
        <v>95</v>
      </c>
      <c r="C387" s="6" t="n">
        <f aca="false">Sens!$C$386/(1+wacc)^6</f>
        <v>928.884699513208</v>
      </c>
    </row>
    <row r="388" customFormat="false" ht="17.15" hidden="false" customHeight="false" outlineLevel="0" collapsed="false">
      <c r="A388" s="0" t="s">
        <v>877</v>
      </c>
      <c r="B388" s="0" t="s">
        <v>95</v>
      </c>
      <c r="C388" s="6" t="n">
        <f aca="false">Sens!$C$383+Sens!$C$387</f>
        <v>1123.69784135514</v>
      </c>
    </row>
    <row r="389" customFormat="false" ht="15" hidden="false" customHeight="false" outlineLevel="0" collapsed="false">
      <c r="A389" s="1" t="s">
        <v>878</v>
      </c>
      <c r="B389" s="0" t="s">
        <v>126</v>
      </c>
      <c r="C389" s="7" t="n">
        <f aca="false">Sens!$C$387/Sens!$C$388</f>
        <v>0.826632093902576</v>
      </c>
    </row>
    <row r="390" customFormat="false" ht="17.15" hidden="false" customHeight="false" outlineLevel="0" collapsed="false">
      <c r="A390" s="1" t="s">
        <v>946</v>
      </c>
      <c r="B390" s="0" t="s">
        <v>95</v>
      </c>
      <c r="C390" s="6" t="n">
        <f aca="false">Sens!$C$388+Sens!E372+oai_v</f>
        <v>1324.80484135514</v>
      </c>
    </row>
    <row r="391" customFormat="false" ht="17.15" hidden="false" customHeight="false" outlineLevel="0" collapsed="false">
      <c r="A391" s="0" t="s">
        <v>883</v>
      </c>
      <c r="B391" s="0" t="s">
        <v>73</v>
      </c>
      <c r="C391" s="5" t="n">
        <f aca="false">Sens!$C$390/sh_dil26</f>
        <v>177.754574178874</v>
      </c>
    </row>
    <row r="392" customFormat="false" ht="17.15" hidden="false" customHeight="false" outlineLevel="0" collapsed="false">
      <c r="A392" s="0" t="s">
        <v>947</v>
      </c>
      <c r="B392" s="0" t="s">
        <v>73</v>
      </c>
      <c r="C392" s="5" t="n">
        <f aca="false">Sens!$C$391*(1+wacc)^t_roll</f>
        <v>203.883531511187</v>
      </c>
    </row>
    <row r="393" customFormat="false" ht="17.15" hidden="false" customHeight="false" outlineLevel="0" collapsed="false">
      <c r="A393" s="1" t="s">
        <v>948</v>
      </c>
      <c r="B393" s="0" t="s">
        <v>126</v>
      </c>
      <c r="F393" s="7" t="n">
        <f aca="false">Sens!F353/(Sens!F304-Sens!F260)</f>
        <v>0.0684307874075333</v>
      </c>
      <c r="G393" s="7" t="n">
        <f aca="false">Sens!G353/(Sens!G304-Sens!G260)</f>
        <v>0.0656456058503526</v>
      </c>
      <c r="H393" s="7" t="n">
        <f aca="false">Sens!H353/(Sens!H304-Sens!H260)</f>
        <v>0.0641950889132002</v>
      </c>
      <c r="I393" s="7" t="n">
        <f aca="false">Sens!I353/(Sens!I304-Sens!I260)</f>
        <v>0.063960269667854</v>
      </c>
      <c r="J393" s="7" t="n">
        <f aca="false">Sens!J353/(Sens!J304-Sens!J260)</f>
        <v>0.0646607917002597</v>
      </c>
      <c r="K393" s="7" t="n">
        <f aca="false">Sens!K353/(Sens!K304-Sens!K260)</f>
        <v>0.0659511546529383</v>
      </c>
    </row>
    <row r="394" customFormat="false" ht="17.15" hidden="false" customHeight="false" outlineLevel="0" collapsed="false">
      <c r="A394" s="0" t="s">
        <v>949</v>
      </c>
      <c r="B394" s="0" t="s">
        <v>95</v>
      </c>
      <c r="F394" s="6" t="n">
        <f aca="false">Sens!F289*(al_m365+Sens!F393)</f>
        <v>79.4713323717639</v>
      </c>
      <c r="G394" s="6" t="n">
        <f aca="false">Sens!G289*(al_m365+Sens!G393)</f>
        <v>91.222848535282</v>
      </c>
      <c r="H394" s="6" t="n">
        <f aca="false">Sens!H289*(al_m365+Sens!H393)</f>
        <v>103.134459525438</v>
      </c>
      <c r="I394" s="6" t="n">
        <f aca="false">Sens!I289*(al_m365+Sens!I393)</f>
        <v>114.09096761677</v>
      </c>
      <c r="J394" s="6" t="n">
        <f aca="false">Sens!J289*(al_m365+Sens!J393)</f>
        <v>123.914507832207</v>
      </c>
      <c r="K394" s="6" t="n">
        <f aca="false">Sens!K289*(al_m365+Sens!K393)</f>
        <v>133.375360010951</v>
      </c>
    </row>
    <row r="395" customFormat="false" ht="17.15" hidden="false" customHeight="false" outlineLevel="0" collapsed="false">
      <c r="A395" s="0" t="s">
        <v>950</v>
      </c>
      <c r="B395" s="0" t="s">
        <v>95</v>
      </c>
      <c r="F395" s="6" t="n">
        <f aca="false">Sens!F290*(al_lic+Sens!F393)</f>
        <v>31.9777960098625</v>
      </c>
      <c r="G395" s="6" t="n">
        <f aca="false">Sens!G290*(al_lic+Sens!G393)</f>
        <v>33.2184421146294</v>
      </c>
      <c r="H395" s="6" t="n">
        <f aca="false">Sens!H290*(al_lic+Sens!H393)</f>
        <v>34.3782467188855</v>
      </c>
      <c r="I395" s="6" t="n">
        <f aca="false">Sens!I290*(al_lic+Sens!I393)</f>
        <v>35.4396663788333</v>
      </c>
      <c r="J395" s="6" t="n">
        <f aca="false">Sens!J290*(al_lic+Sens!J393)</f>
        <v>36.377709205557</v>
      </c>
      <c r="K395" s="6" t="n">
        <f aca="false">Sens!K290*(al_lic+Sens!K393)</f>
        <v>37.1640354058437</v>
      </c>
    </row>
    <row r="396" customFormat="false" ht="17.15" hidden="false" customHeight="false" outlineLevel="0" collapsed="false">
      <c r="A396" s="0" t="s">
        <v>951</v>
      </c>
      <c r="B396" s="0" t="s">
        <v>95</v>
      </c>
      <c r="F396" s="6" t="n">
        <f aca="false">Sens!F292*(al_ind+Sens!F393)</f>
        <v>8.23708828923978</v>
      </c>
      <c r="G396" s="6" t="n">
        <f aca="false">Sens!G292*(al_ind+Sens!G393)</f>
        <v>8.93609064049065</v>
      </c>
      <c r="H396" s="6" t="n">
        <f aca="false">Sens!H292*(al_ind+Sens!H393)</f>
        <v>9.67804935051386</v>
      </c>
      <c r="I396" s="6" t="n">
        <f aca="false">Sens!I292*(al_ind+Sens!I393)</f>
        <v>10.4606610595832</v>
      </c>
      <c r="J396" s="6" t="n">
        <f aca="false">Sens!J292*(al_ind+Sens!J393)</f>
        <v>11.275039839171</v>
      </c>
      <c r="K396" s="6" t="n">
        <f aca="false">Sens!K292*(al_ind+Sens!K393)</f>
        <v>12.106982482736</v>
      </c>
    </row>
    <row r="397" customFormat="false" ht="17.15" hidden="false" customHeight="false" outlineLevel="0" collapsed="false">
      <c r="A397" s="0" t="s">
        <v>952</v>
      </c>
      <c r="B397" s="0" t="s">
        <v>95</v>
      </c>
      <c r="F397" s="6" t="n">
        <f aca="false">Sens!F294*(al_fro+Sens!F393)</f>
        <v>3.24214686942203</v>
      </c>
      <c r="G397" s="6" t="n">
        <f aca="false">Sens!G294*(al_fro+Sens!G393)</f>
        <v>3.43093048931594</v>
      </c>
      <c r="H397" s="6" t="n">
        <f aca="false">Sens!H294*(al_fro+Sens!H393)</f>
        <v>3.6470202512287</v>
      </c>
      <c r="I397" s="6" t="n">
        <f aca="false">Sens!I294*(al_fro+Sens!I393)</f>
        <v>3.89303230264912</v>
      </c>
      <c r="J397" s="6" t="n">
        <f aca="false">Sens!J294*(al_fro+Sens!J393)</f>
        <v>4.16994303150246</v>
      </c>
      <c r="K397" s="6" t="n">
        <f aca="false">Sens!K294*(al_fro+Sens!K393)</f>
        <v>4.47762739258926</v>
      </c>
    </row>
    <row r="398" customFormat="false" ht="17.15" hidden="false" customHeight="false" outlineLevel="0" collapsed="false">
      <c r="A398" s="0" t="s">
        <v>953</v>
      </c>
      <c r="B398" s="0" t="s">
        <v>95</v>
      </c>
      <c r="F398" s="6" t="n">
        <f aca="false">Sens!F297*(al_srch+Sens!F393)</f>
        <v>10.1729230470907</v>
      </c>
      <c r="G398" s="6" t="n">
        <f aca="false">Sens!G297*(al_srch+Sens!G393)</f>
        <v>11.1403318971852</v>
      </c>
      <c r="H398" s="6" t="n">
        <f aca="false">Sens!H297*(al_srch+Sens!H393)</f>
        <v>12.1511421371799</v>
      </c>
      <c r="I398" s="6" t="n">
        <f aca="false">Sens!I297*(al_srch+Sens!I393)</f>
        <v>13.1963628712968</v>
      </c>
      <c r="J398" s="6" t="n">
        <f aca="false">Sens!J297*(al_srch+Sens!J393)</f>
        <v>14.2578127803031</v>
      </c>
      <c r="K398" s="6" t="n">
        <f aca="false">Sens!K297*(al_srch+Sens!K393)</f>
        <v>15.3098429837522</v>
      </c>
    </row>
    <row r="399" customFormat="false" ht="17.15" hidden="false" customHeight="false" outlineLevel="0" collapsed="false">
      <c r="A399" s="0" t="s">
        <v>954</v>
      </c>
      <c r="B399" s="0" t="s">
        <v>95</v>
      </c>
      <c r="F399" s="6" t="n">
        <f aca="false">Sens!F266</f>
        <v>31.1998397629501</v>
      </c>
      <c r="G399" s="6" t="n">
        <f aca="false">Sens!G266</f>
        <v>53.135173359948</v>
      </c>
      <c r="H399" s="6" t="n">
        <f aca="false">Sens!H266</f>
        <v>76.4943003733279</v>
      </c>
      <c r="I399" s="6" t="n">
        <f aca="false">Sens!I266</f>
        <v>99.9741630511515</v>
      </c>
      <c r="J399" s="6" t="n">
        <f aca="false">Sens!J266</f>
        <v>123.517140248162</v>
      </c>
      <c r="K399" s="6" t="n">
        <f aca="false">Sens!K266</f>
        <v>147.097244681396</v>
      </c>
    </row>
    <row r="400" customFormat="false" ht="17.15" hidden="false" customHeight="false" outlineLevel="0" collapsed="false">
      <c r="A400" s="0" t="s">
        <v>955</v>
      </c>
      <c r="B400" s="0" t="s">
        <v>95</v>
      </c>
      <c r="F400" s="6" t="n">
        <f aca="false">Sens!F326+Sens!F277+Sens!F393*(Sens!F296-Sens!F260)</f>
        <v>203.18505036378</v>
      </c>
      <c r="G400" s="6" t="n">
        <f aca="false">Sens!G326+Sens!G277+Sens!G393*(Sens!G296-Sens!G260)</f>
        <v>245.185983199496</v>
      </c>
      <c r="H400" s="6" t="n">
        <f aca="false">Sens!H326+Sens!H277+Sens!H393*(Sens!H296-Sens!H260)</f>
        <v>288.844520741053</v>
      </c>
      <c r="I400" s="6" t="n">
        <f aca="false">Sens!I326+Sens!I277+Sens!I393*(Sens!I296-Sens!I260)</f>
        <v>331.485116138503</v>
      </c>
      <c r="J400" s="6" t="n">
        <f aca="false">Sens!J326+Sens!J277+Sens!J393*(Sens!J296-Sens!J260)</f>
        <v>372.237430308693</v>
      </c>
      <c r="K400" s="6" t="n">
        <f aca="false">Sens!K326+Sens!K277+Sens!K393*(Sens!K296-Sens!K260)</f>
        <v>411.095212804802</v>
      </c>
    </row>
    <row r="401" customFormat="false" ht="17.15" hidden="false" customHeight="false" outlineLevel="0" collapsed="false">
      <c r="A401" s="0" t="s">
        <v>956</v>
      </c>
      <c r="B401" s="0" t="s">
        <v>95</v>
      </c>
      <c r="F401" s="6" t="n">
        <f aca="false">Sens!F400-Sens!F394-Sens!F395-Sens!F396-Sens!F397-Sens!F399</f>
        <v>49.0568470605414</v>
      </c>
      <c r="G401" s="6" t="n">
        <f aca="false">Sens!G400-Sens!G394-Sens!G395-Sens!G396-Sens!G397-Sens!G399</f>
        <v>55.2424980598302</v>
      </c>
      <c r="H401" s="6" t="n">
        <f aca="false">Sens!H400-Sens!H394-Sens!H395-Sens!H396-Sens!H397-Sens!H399</f>
        <v>61.5124445216582</v>
      </c>
      <c r="I401" s="6" t="n">
        <f aca="false">Sens!I400-Sens!I394-Sens!I395-Sens!I396-Sens!I397-Sens!I399</f>
        <v>67.6266257295161</v>
      </c>
      <c r="J401" s="6" t="n">
        <f aca="false">Sens!J400-Sens!J394-Sens!J395-Sens!J396-Sens!J397-Sens!J399</f>
        <v>72.9830901520934</v>
      </c>
      <c r="K401" s="6" t="n">
        <f aca="false">Sens!K400-Sens!K394-Sens!K395-Sens!K396-Sens!K397-Sens!K399</f>
        <v>76.8739628312856</v>
      </c>
    </row>
    <row r="402" customFormat="false" ht="17.15" hidden="false" customHeight="false" outlineLevel="0" collapsed="false">
      <c r="A402" s="0" t="s">
        <v>957</v>
      </c>
      <c r="B402" s="0" t="s">
        <v>95</v>
      </c>
      <c r="F402" s="6" t="n">
        <f aca="false">Sens!F328+Sens!F393*Sens!F303</f>
        <v>23.7531412609386</v>
      </c>
      <c r="G402" s="6" t="n">
        <f aca="false">Sens!G328+Sens!G393*Sens!G303</f>
        <v>24.289549634664</v>
      </c>
      <c r="H402" s="6" t="n">
        <f aca="false">Sens!H328+Sens!H393*Sens!H303</f>
        <v>25.0756909710291</v>
      </c>
      <c r="I402" s="6" t="n">
        <f aca="false">Sens!I328+Sens!I393*Sens!I303</f>
        <v>26.084576762931</v>
      </c>
      <c r="J402" s="6" t="n">
        <f aca="false">Sens!J328+Sens!J393*Sens!J303</f>
        <v>27.2832671034962</v>
      </c>
      <c r="K402" s="6" t="n">
        <f aca="false">Sens!K328+Sens!K393*Sens!K303</f>
        <v>28.6364406758481</v>
      </c>
    </row>
    <row r="403" customFormat="false" ht="17.15" hidden="false" customHeight="false" outlineLevel="0" collapsed="false">
      <c r="A403" s="0" t="s">
        <v>958</v>
      </c>
      <c r="B403" s="0" t="s">
        <v>95</v>
      </c>
      <c r="F403" s="6" t="n">
        <f aca="false">(Sens!F402-Sens!F398)*Sens!F299/(Sens!F299+Sens!F301)</f>
        <v>7.4445433554226</v>
      </c>
      <c r="G403" s="6" t="n">
        <f aca="false">(Sens!G402-Sens!G398)*Sens!G299/(Sens!G299+Sens!G301)</f>
        <v>7.07975003595558</v>
      </c>
      <c r="H403" s="6" t="n">
        <f aca="false">(Sens!H402-Sens!H398)*Sens!H299/(Sens!H299+Sens!H301)</f>
        <v>6.86478313784268</v>
      </c>
      <c r="I403" s="6" t="n">
        <f aca="false">(Sens!I402-Sens!I398)*Sens!I299/(Sens!I299+Sens!I301)</f>
        <v>6.78354606184423</v>
      </c>
      <c r="J403" s="6" t="n">
        <f aca="false">(Sens!J402-Sens!J398)*Sens!J299/(Sens!J299+Sens!J301)</f>
        <v>6.82477921474853</v>
      </c>
      <c r="K403" s="6" t="n">
        <f aca="false">(Sens!K402-Sens!K398)*Sens!K299/(Sens!K299+Sens!K301)</f>
        <v>6.98256541964795</v>
      </c>
    </row>
    <row r="404" customFormat="false" ht="17.15" hidden="false" customHeight="false" outlineLevel="0" collapsed="false">
      <c r="A404" s="0" t="s">
        <v>959</v>
      </c>
      <c r="B404" s="0" t="s">
        <v>95</v>
      </c>
      <c r="F404" s="6" t="n">
        <f aca="false">Sens!F402-Sens!F398-Sens!F403</f>
        <v>6.1356748584253</v>
      </c>
      <c r="G404" s="6" t="n">
        <f aca="false">Sens!G402-Sens!G398-Sens!G403</f>
        <v>6.06946770152326</v>
      </c>
      <c r="H404" s="6" t="n">
        <f aca="false">Sens!H402-Sens!H398-Sens!H403</f>
        <v>6.05976569600657</v>
      </c>
      <c r="I404" s="6" t="n">
        <f aca="false">Sens!I402-Sens!I398-Sens!I403</f>
        <v>6.10466782979</v>
      </c>
      <c r="J404" s="6" t="n">
        <f aca="false">Sens!J402-Sens!J398-Sens!J403</f>
        <v>6.20067510844453</v>
      </c>
      <c r="K404" s="6" t="n">
        <f aca="false">Sens!K402-Sens!K398-Sens!K403</f>
        <v>6.34403227244794</v>
      </c>
    </row>
    <row r="405" customFormat="false" ht="17.15" hidden="false" customHeight="false" outlineLevel="0" collapsed="false">
      <c r="A405" s="1" t="s">
        <v>960</v>
      </c>
      <c r="B405" s="0" t="s">
        <v>95</v>
      </c>
      <c r="C405" s="6" t="n">
        <f aca="false">(w_ntm28*Sens!G399+(1-w_ntm28)*Sens!H399)*m_ai*1</f>
        <v>364.121346804819</v>
      </c>
    </row>
    <row r="406" customFormat="false" ht="17.15" hidden="false" customHeight="false" outlineLevel="0" collapsed="false">
      <c r="A406" s="1" t="s">
        <v>961</v>
      </c>
      <c r="B406" s="0" t="s">
        <v>95</v>
      </c>
      <c r="C406" s="6" t="n">
        <f aca="false">(w_ntm28*Sens!G401+(1-w_ntm28)*Sens!H401)*m_cloud*1</f>
        <v>791.46441330217</v>
      </c>
    </row>
    <row r="407" customFormat="false" ht="17.15" hidden="false" customHeight="false" outlineLevel="0" collapsed="false">
      <c r="A407" s="1" t="s">
        <v>962</v>
      </c>
      <c r="B407" s="0" t="s">
        <v>95</v>
      </c>
      <c r="C407" s="6" t="n">
        <f aca="false">(w_ntm28*Sens!G394+(1-w_ntm28)*Sens!H394)*m_sw*1</f>
        <v>1026.79623553955</v>
      </c>
    </row>
    <row r="408" customFormat="false" ht="17.15" hidden="false" customHeight="false" outlineLevel="0" collapsed="false">
      <c r="A408" s="1" t="s">
        <v>963</v>
      </c>
      <c r="B408" s="0" t="s">
        <v>95</v>
      </c>
      <c r="C408" s="6" t="n">
        <f aca="false">(w_ntm28*Sens!G395+(1-w_ntm28)*Sens!H395)*m_sw*1</f>
        <v>362.808640557625</v>
      </c>
    </row>
    <row r="409" customFormat="false" ht="17.15" hidden="false" customHeight="false" outlineLevel="0" collapsed="false">
      <c r="A409" s="1" t="s">
        <v>964</v>
      </c>
      <c r="B409" s="0" t="s">
        <v>95</v>
      </c>
      <c r="C409" s="6" t="n">
        <f aca="false">(w_ntm28*Sens!G396+(1-w_ntm28)*Sens!H396)*m_sw*1</f>
        <v>99.1003328352541</v>
      </c>
    </row>
    <row r="410" customFormat="false" ht="17.15" hidden="false" customHeight="false" outlineLevel="0" collapsed="false">
      <c r="A410" s="1" t="s">
        <v>965</v>
      </c>
      <c r="B410" s="0" t="s">
        <v>95</v>
      </c>
      <c r="C410" s="6" t="n">
        <f aca="false">(w_ntm28*Sens!G397+(1-w_ntm28)*Sens!H397)*m_sw*1</f>
        <v>37.8085281683974</v>
      </c>
    </row>
    <row r="411" customFormat="false" ht="17.15" hidden="false" customHeight="false" outlineLevel="0" collapsed="false">
      <c r="A411" s="1" t="s">
        <v>966</v>
      </c>
      <c r="B411" s="0" t="s">
        <v>95</v>
      </c>
      <c r="C411" s="6" t="n">
        <f aca="false">(w_ntm28*Sens!G398+(1-w_ntm28)*Sens!H398)*m_ads*1</f>
        <v>104.465412054013</v>
      </c>
    </row>
    <row r="412" customFormat="false" ht="17.15" hidden="false" customHeight="false" outlineLevel="0" collapsed="false">
      <c r="A412" s="1" t="s">
        <v>967</v>
      </c>
      <c r="B412" s="0" t="s">
        <v>95</v>
      </c>
      <c r="C412" s="6" t="n">
        <f aca="false">(w_ntm28*Sens!G403+(1-w_ntm28)*Sens!H403)*m_game*1</f>
        <v>88.5395066063557</v>
      </c>
    </row>
    <row r="413" customFormat="false" ht="17.15" hidden="false" customHeight="false" outlineLevel="0" collapsed="false">
      <c r="A413" s="1" t="s">
        <v>968</v>
      </c>
      <c r="B413" s="0" t="s">
        <v>95</v>
      </c>
      <c r="C413" s="6" t="n">
        <f aca="false">(w_ntm28*Sens!G404+(1-w_ntm28)*Sens!H404)*m_pc*1</f>
        <v>87.7798119250428</v>
      </c>
    </row>
    <row r="414" customFormat="false" ht="17.15" hidden="false" customHeight="false" outlineLevel="0" collapsed="false">
      <c r="A414" s="1" t="s">
        <v>969</v>
      </c>
      <c r="B414" s="0" t="s">
        <v>95</v>
      </c>
      <c r="C414" s="6" t="n">
        <f aca="false">Sens!$C$405+Sens!$C$406+Sens!$C$407+Sens!$C$408+Sens!$C$409+Sens!$C$410+Sens!$C$411+Sens!$C$412+Sens!$C$413</f>
        <v>2962.88422779323</v>
      </c>
    </row>
    <row r="415" customFormat="false" ht="17.15" hidden="false" customHeight="false" outlineLevel="0" collapsed="false">
      <c r="A415" s="1" t="s">
        <v>903</v>
      </c>
      <c r="B415" s="0" t="s">
        <v>95</v>
      </c>
      <c r="C415" s="6" t="n">
        <f aca="false">Sens!F372+oai_v-Sens!F361</f>
        <v>104.337549508494</v>
      </c>
      <c r="L415" s="1" t="s">
        <v>970</v>
      </c>
    </row>
    <row r="416" customFormat="false" ht="15" hidden="false" customHeight="false" outlineLevel="0" collapsed="false">
      <c r="A416" s="1" t="s">
        <v>904</v>
      </c>
      <c r="B416" s="0" t="s">
        <v>73</v>
      </c>
      <c r="C416" s="5" t="n">
        <f aca="false">(Sens!$C$414+Sens!$C$415)/Sens!F374</f>
        <v>410.495419874428</v>
      </c>
    </row>
    <row r="417" customFormat="false" ht="17.15" hidden="false" customHeight="false" outlineLevel="0" collapsed="false">
      <c r="A417" s="1" t="s">
        <v>971</v>
      </c>
      <c r="B417" s="0" t="s">
        <v>73</v>
      </c>
      <c r="C417" s="5" t="n">
        <f aca="false">w_dcf*Sens!$C$392+(1-w_dcf)*Sens!$C$416</f>
        <v>307.189475692807</v>
      </c>
    </row>
    <row r="418" customFormat="false" ht="17.15" hidden="false" customHeight="false" outlineLevel="0" collapsed="false">
      <c r="A418" s="3" t="s">
        <v>1124</v>
      </c>
    </row>
    <row r="419" customFormat="false" ht="15" hidden="false" customHeight="false" outlineLevel="0" collapsed="false">
      <c r="A419" s="4" t="s">
        <v>43</v>
      </c>
      <c r="B419" s="4" t="s">
        <v>63</v>
      </c>
      <c r="C419" s="19" t="s">
        <v>710</v>
      </c>
      <c r="D419" s="19" t="s">
        <v>711</v>
      </c>
      <c r="E419" s="19" t="s">
        <v>712</v>
      </c>
      <c r="F419" s="19" t="s">
        <v>713</v>
      </c>
      <c r="G419" s="19" t="s">
        <v>714</v>
      </c>
      <c r="H419" s="19" t="s">
        <v>715</v>
      </c>
      <c r="I419" s="19" t="s">
        <v>716</v>
      </c>
      <c r="J419" s="19" t="s">
        <v>717</v>
      </c>
      <c r="K419" s="19" t="s">
        <v>718</v>
      </c>
      <c r="L419" s="4" t="s">
        <v>47</v>
      </c>
    </row>
    <row r="420" customFormat="false" ht="17.15" hidden="false" customHeight="false" outlineLevel="0" collapsed="false">
      <c r="A420" s="1" t="s">
        <v>719</v>
      </c>
      <c r="B420" s="0" t="s">
        <v>340</v>
      </c>
      <c r="C420" s="27" t="n">
        <f aca="false">mw_ext_24</f>
        <v>640</v>
      </c>
      <c r="D420" s="27" t="n">
        <f aca="false">mw_ext_25</f>
        <v>1630</v>
      </c>
      <c r="E420" s="27" t="n">
        <f aca="false">mw_ext_26</f>
        <v>3250</v>
      </c>
      <c r="F420" s="27" t="n">
        <f aca="false">MIN(1000000000,Sens!E420+pace)</f>
        <v>5777.2</v>
      </c>
      <c r="G420" s="27" t="n">
        <f aca="false">MIN(1000000000,Sens!F420+pace)</f>
        <v>8304.4</v>
      </c>
      <c r="H420" s="27" t="n">
        <f aca="false">MIN(1000000000,Sens!G420+pace)</f>
        <v>10831.6</v>
      </c>
      <c r="I420" s="27" t="n">
        <f aca="false">MIN(1000000000,Sens!H420+pace)</f>
        <v>13358.8</v>
      </c>
      <c r="J420" s="27" t="n">
        <f aca="false">MIN(1000000000,Sens!I420+pace)</f>
        <v>15886</v>
      </c>
      <c r="K420" s="27" t="n">
        <f aca="false">MIN(1000000000,Sens!J420+pace)</f>
        <v>18413.2</v>
      </c>
      <c r="L420" s="11" t="s">
        <v>720</v>
      </c>
    </row>
    <row r="421" customFormat="false" ht="17.15" hidden="false" customHeight="false" outlineLevel="0" collapsed="false">
      <c r="A421" s="1" t="s">
        <v>721</v>
      </c>
      <c r="B421" s="0" t="s">
        <v>340</v>
      </c>
      <c r="C421" s="27" t="n">
        <f aca="false">rent_ext_24</f>
        <v>150</v>
      </c>
      <c r="D421" s="27" t="n">
        <f aca="false">rent_ext_25</f>
        <v>400</v>
      </c>
      <c r="E421" s="27" t="n">
        <f aca="false">rent_ext_26</f>
        <v>550</v>
      </c>
      <c r="F421" s="27" t="n">
        <f aca="false">rent_ext_f</f>
        <v>756</v>
      </c>
      <c r="G421" s="27" t="n">
        <f aca="false">rent_ext_f</f>
        <v>756</v>
      </c>
      <c r="H421" s="27" t="n">
        <f aca="false">rent_ext_f</f>
        <v>756</v>
      </c>
      <c r="I421" s="27" t="n">
        <f aca="false">rent_ext_f</f>
        <v>756</v>
      </c>
      <c r="J421" s="27" t="n">
        <f aca="false">rent_ext_f</f>
        <v>756</v>
      </c>
      <c r="K421" s="27" t="n">
        <f aca="false">rent_ext_f</f>
        <v>756</v>
      </c>
      <c r="L421" s="1" t="s">
        <v>722</v>
      </c>
    </row>
    <row r="422" customFormat="false" ht="17.15" hidden="false" customHeight="false" outlineLevel="0" collapsed="false">
      <c r="A422" s="1" t="s">
        <v>723</v>
      </c>
      <c r="B422" s="0" t="s">
        <v>340</v>
      </c>
      <c r="C422" s="27" t="n">
        <f aca="false">Sens!C420-Sens!C421</f>
        <v>490</v>
      </c>
      <c r="D422" s="27" t="n">
        <f aca="false">Sens!D420-Sens!D421</f>
        <v>1230</v>
      </c>
      <c r="E422" s="27" t="n">
        <f aca="false">Sens!E420-Sens!E421</f>
        <v>2700</v>
      </c>
      <c r="F422" s="27" t="n">
        <f aca="false">Sens!F420-Sens!F421</f>
        <v>5021.2</v>
      </c>
      <c r="G422" s="27" t="n">
        <f aca="false">Sens!G420-Sens!G421</f>
        <v>7548.4</v>
      </c>
      <c r="H422" s="27" t="n">
        <f aca="false">Sens!H420-Sens!H421</f>
        <v>10075.6</v>
      </c>
      <c r="I422" s="27" t="n">
        <f aca="false">Sens!I420-Sens!I421</f>
        <v>12602.8</v>
      </c>
      <c r="J422" s="27" t="n">
        <f aca="false">Sens!J420-Sens!J421</f>
        <v>15130</v>
      </c>
      <c r="K422" s="27" t="n">
        <f aca="false">Sens!K420-Sens!K421</f>
        <v>17657.2</v>
      </c>
    </row>
    <row r="423" customFormat="false" ht="17.15" hidden="false" customHeight="false" outlineLevel="0" collapsed="false">
      <c r="A423" s="1" t="s">
        <v>724</v>
      </c>
      <c r="B423" s="0" t="s">
        <v>340</v>
      </c>
      <c r="C423" s="27" t="n">
        <f aca="false">Sens!C422/ext_sh</f>
        <v>816.666666666667</v>
      </c>
      <c r="D423" s="27" t="n">
        <f aca="false">Sens!D422/ext_sh</f>
        <v>2050</v>
      </c>
      <c r="E423" s="27" t="n">
        <f aca="false">Sens!E422/ext_sh</f>
        <v>4500</v>
      </c>
      <c r="F423" s="27" t="n">
        <f aca="false">Sens!F422/ext_sh</f>
        <v>8368.66666666667</v>
      </c>
      <c r="G423" s="27" t="n">
        <f aca="false">Sens!G422/ext_sh</f>
        <v>12580.6666666667</v>
      </c>
      <c r="H423" s="27" t="n">
        <f aca="false">Sens!H422/ext_sh</f>
        <v>16792.6666666667</v>
      </c>
      <c r="I423" s="27" t="n">
        <f aca="false">Sens!I422/ext_sh</f>
        <v>21004.6666666667</v>
      </c>
      <c r="J423" s="27" t="n">
        <f aca="false">Sens!J422/ext_sh</f>
        <v>25216.6666666667</v>
      </c>
      <c r="K423" s="27" t="n">
        <f aca="false">Sens!K422/ext_sh</f>
        <v>29428.6666666667</v>
      </c>
      <c r="L423" s="1" t="s">
        <v>725</v>
      </c>
    </row>
    <row r="424" customFormat="false" ht="17.15" hidden="false" customHeight="false" outlineLevel="0" collapsed="false">
      <c r="A424" s="1" t="s">
        <v>726</v>
      </c>
      <c r="B424" s="0" t="s">
        <v>340</v>
      </c>
      <c r="C424" s="27" t="n">
        <f aca="false">Sens!C423-Sens!C422</f>
        <v>326.666666666667</v>
      </c>
      <c r="D424" s="27" t="n">
        <f aca="false">Sens!D423-Sens!D422</f>
        <v>820</v>
      </c>
      <c r="E424" s="27" t="n">
        <f aca="false">Sens!E423-Sens!E422</f>
        <v>1800</v>
      </c>
      <c r="F424" s="27" t="n">
        <f aca="false">Sens!F423-Sens!F422</f>
        <v>3347.46666666667</v>
      </c>
      <c r="G424" s="27" t="n">
        <f aca="false">Sens!G423-Sens!G422</f>
        <v>5032.26666666667</v>
      </c>
      <c r="H424" s="27" t="n">
        <f aca="false">Sens!H423-Sens!H422</f>
        <v>6717.06666666667</v>
      </c>
      <c r="I424" s="27" t="n">
        <f aca="false">Sens!I423-Sens!I422</f>
        <v>8401.86666666667</v>
      </c>
      <c r="J424" s="27" t="n">
        <f aca="false">Sens!J423-Sens!J422</f>
        <v>10086.6666666667</v>
      </c>
      <c r="K424" s="27" t="n">
        <f aca="false">Sens!K423-Sens!K422</f>
        <v>11771.4666666667</v>
      </c>
    </row>
    <row r="425" customFormat="false" ht="17.15" hidden="false" customHeight="false" outlineLevel="0" collapsed="false">
      <c r="A425" s="1" t="s">
        <v>727</v>
      </c>
      <c r="B425" s="0" t="s">
        <v>340</v>
      </c>
      <c r="C425" s="27" t="n">
        <f aca="false">Sens!C423</f>
        <v>816.666666666667</v>
      </c>
      <c r="D425" s="27" t="n">
        <f aca="false">Sens!D423-Sens!C423</f>
        <v>1233.33333333333</v>
      </c>
      <c r="E425" s="27" t="n">
        <f aca="false">Sens!E423-Sens!D423</f>
        <v>2450</v>
      </c>
      <c r="F425" s="27" t="n">
        <f aca="false">Sens!F423-Sens!E423</f>
        <v>3868.66666666667</v>
      </c>
      <c r="G425" s="27" t="n">
        <f aca="false">Sens!G423-Sens!F423</f>
        <v>4212</v>
      </c>
      <c r="H425" s="27" t="n">
        <f aca="false">Sens!H423-Sens!G423</f>
        <v>4212</v>
      </c>
      <c r="I425" s="27" t="n">
        <f aca="false">Sens!I423-Sens!H423</f>
        <v>4212</v>
      </c>
      <c r="J425" s="27" t="n">
        <f aca="false">Sens!J423-Sens!I423</f>
        <v>4212</v>
      </c>
      <c r="K425" s="27" t="n">
        <f aca="false">Sens!K423-Sens!J423</f>
        <v>4212</v>
      </c>
    </row>
    <row r="426" customFormat="false" ht="17.15" hidden="false" customHeight="false" outlineLevel="0" collapsed="false">
      <c r="A426" s="1" t="s">
        <v>728</v>
      </c>
      <c r="B426" s="0" t="s">
        <v>340</v>
      </c>
      <c r="D426" s="27" t="n">
        <f aca="false">Sens!D420-Sens!C420</f>
        <v>990</v>
      </c>
      <c r="E426" s="27" t="n">
        <f aca="false">Sens!E420-Sens!D420</f>
        <v>1620</v>
      </c>
      <c r="F426" s="27" t="n">
        <f aca="false">Sens!F420-Sens!E420</f>
        <v>2527.2</v>
      </c>
      <c r="G426" s="27" t="n">
        <f aca="false">Sens!G420-Sens!F420</f>
        <v>2527.2</v>
      </c>
      <c r="H426" s="27" t="n">
        <f aca="false">Sens!H420-Sens!G420</f>
        <v>2527.2</v>
      </c>
      <c r="I426" s="27" t="n">
        <f aca="false">Sens!I420-Sens!H420</f>
        <v>2527.2</v>
      </c>
      <c r="J426" s="27" t="n">
        <f aca="false">Sens!J420-Sens!I420</f>
        <v>2527.2</v>
      </c>
      <c r="K426" s="27" t="n">
        <f aca="false">Sens!K420-Sens!J420</f>
        <v>2527.2</v>
      </c>
    </row>
    <row r="427" customFormat="false" ht="17.15" hidden="false" customHeight="false" outlineLevel="0" collapsed="false">
      <c r="A427" s="1" t="s">
        <v>729</v>
      </c>
      <c r="B427" s="0" t="s">
        <v>340</v>
      </c>
      <c r="C427" s="27" t="n">
        <f aca="false">mix_h*Sens!C420</f>
        <v>128</v>
      </c>
      <c r="D427" s="27" t="n">
        <f aca="false">mix_h*Sens!D420</f>
        <v>326</v>
      </c>
      <c r="E427" s="27" t="n">
        <f aca="false">mix_h*Sens!E420</f>
        <v>650</v>
      </c>
      <c r="F427" s="27" t="n">
        <f aca="false">Sens!E427</f>
        <v>650</v>
      </c>
      <c r="G427" s="27" t="n">
        <f aca="false">Sens!F427</f>
        <v>650</v>
      </c>
      <c r="H427" s="27" t="n">
        <f aca="false">Sens!G427</f>
        <v>650</v>
      </c>
      <c r="I427" s="27" t="n">
        <f aca="false">Sens!H427</f>
        <v>650</v>
      </c>
      <c r="J427" s="27" t="n">
        <f aca="false">Sens!I427</f>
        <v>650</v>
      </c>
      <c r="K427" s="27" t="n">
        <f aca="false">Sens!J427</f>
        <v>650</v>
      </c>
    </row>
    <row r="428" customFormat="false" ht="17.15" hidden="false" customHeight="false" outlineLevel="0" collapsed="false">
      <c r="A428" s="1" t="s">
        <v>730</v>
      </c>
      <c r="B428" s="0" t="s">
        <v>340</v>
      </c>
      <c r="C428" s="27" t="n">
        <f aca="false">mix_g2*Sens!C420</f>
        <v>288</v>
      </c>
      <c r="D428" s="27" t="n">
        <f aca="false">mix_g2*Sens!D420</f>
        <v>733.5</v>
      </c>
      <c r="E428" s="27" t="n">
        <f aca="false">mix_g2*Sens!E420</f>
        <v>1462.5</v>
      </c>
      <c r="F428" s="27" t="n">
        <f aca="false">Sens!E428</f>
        <v>1462.5</v>
      </c>
      <c r="G428" s="27" t="n">
        <f aca="false">Sens!F428</f>
        <v>1462.5</v>
      </c>
      <c r="H428" s="27" t="n">
        <f aca="false">Sens!G428</f>
        <v>1462.5</v>
      </c>
      <c r="I428" s="27" t="n">
        <f aca="false">Sens!H428</f>
        <v>1462.5</v>
      </c>
      <c r="J428" s="27" t="n">
        <f aca="false">Sens!I428</f>
        <v>1462.5</v>
      </c>
      <c r="K428" s="27" t="n">
        <f aca="false">Sens!J428</f>
        <v>1462.5</v>
      </c>
    </row>
    <row r="429" customFormat="false" ht="17.15" hidden="false" customHeight="false" outlineLevel="0" collapsed="false">
      <c r="A429" s="1" t="s">
        <v>731</v>
      </c>
      <c r="B429" s="0" t="s">
        <v>340</v>
      </c>
      <c r="C429" s="27" t="n">
        <f aca="false">mix_g3*Sens!C420</f>
        <v>224</v>
      </c>
      <c r="D429" s="27" t="n">
        <f aca="false">mix_g3*Sens!D420</f>
        <v>570.5</v>
      </c>
      <c r="E429" s="27" t="n">
        <f aca="false">mix_g3*Sens!E420</f>
        <v>1137.5</v>
      </c>
      <c r="F429" s="27" t="n">
        <f aca="false">Sens!E429+Sens!F426*a_g3_27</f>
        <v>2906.54</v>
      </c>
      <c r="G429" s="27" t="n">
        <f aca="false">Sens!F429+Sens!G426*a_g3_28</f>
        <v>3664.7</v>
      </c>
      <c r="H429" s="27" t="n">
        <f aca="false">Sens!G429+Sens!H426*a_g3_29</f>
        <v>3917.42</v>
      </c>
      <c r="I429" s="27" t="n">
        <f aca="false">Sens!H429+Sens!I426*a_g3_29</f>
        <v>4170.14</v>
      </c>
      <c r="J429" s="27" t="n">
        <f aca="false">Sens!I429+Sens!J426*a_g3_29</f>
        <v>4422.86</v>
      </c>
      <c r="K429" s="27" t="n">
        <f aca="false">Sens!J429+Sens!K426*a_g3_29</f>
        <v>4675.58</v>
      </c>
    </row>
    <row r="430" customFormat="false" ht="17.15" hidden="false" customHeight="false" outlineLevel="0" collapsed="false">
      <c r="A430" s="1" t="s">
        <v>732</v>
      </c>
      <c r="B430" s="0" t="s">
        <v>340</v>
      </c>
      <c r="C430" s="27" t="n">
        <f aca="false">0</f>
        <v>0</v>
      </c>
      <c r="D430" s="27" t="n">
        <f aca="false">0</f>
        <v>0</v>
      </c>
      <c r="E430" s="27" t="n">
        <f aca="false">0</f>
        <v>0</v>
      </c>
      <c r="F430" s="27" t="n">
        <f aca="false">Sens!E430+Sens!F426*(1-a_g3_27)</f>
        <v>758.16</v>
      </c>
      <c r="G430" s="27" t="n">
        <f aca="false">Sens!F430+Sens!G426*(1-a_g3_28)</f>
        <v>2527.2</v>
      </c>
      <c r="H430" s="27" t="n">
        <f aca="false">Sens!G430+Sens!H426*(1-a_g3_29)</f>
        <v>4801.68</v>
      </c>
      <c r="I430" s="27" t="n">
        <f aca="false">Sens!H430+Sens!I426*(1-a_g3_29)</f>
        <v>7076.16</v>
      </c>
      <c r="J430" s="27" t="n">
        <f aca="false">Sens!I430+Sens!J426*(1-a_g3_29)</f>
        <v>9350.64</v>
      </c>
      <c r="K430" s="27" t="n">
        <f aca="false">Sens!J430+Sens!K426*(1-a_g3_29)</f>
        <v>11625.12</v>
      </c>
    </row>
    <row r="431" customFormat="false" ht="17.15" hidden="false" customHeight="false" outlineLevel="0" collapsed="false">
      <c r="A431" s="1" t="s">
        <v>733</v>
      </c>
      <c r="B431" s="0" t="s">
        <v>291</v>
      </c>
      <c r="C431" s="18" t="n">
        <f aca="false">(Sens!C427*tk_hold_h100+Sens!C428*tk_hold_gb200+Sens!C429*tk_hold_gb300+Sens!C430*tk_hold_vr200)/Sens!C420</f>
        <v>9.7235358126469</v>
      </c>
      <c r="D431" s="18" t="n">
        <f aca="false">(Sens!D427*tk_hold_h100+Sens!D428*tk_hold_gb200+Sens!D429*tk_hold_gb300+Sens!D430*tk_hold_vr200)/Sens!D420</f>
        <v>9.7235358126469</v>
      </c>
      <c r="E431" s="18" t="n">
        <f aca="false">(Sens!E427*tk_hold_h100+Sens!E428*tk_hold_gb200+Sens!E429*tk_hold_gb300+Sens!E430*tk_hold_vr200)/Sens!E420</f>
        <v>9.7235358126469</v>
      </c>
      <c r="F431" s="18" t="n">
        <f aca="false">(Sens!F427*tk_hold_h100+Sens!F428*tk_hold_gb200+Sens!F429*tk_hold_gb300+Sens!F430*tk_hold_vr200)/Sens!F420</f>
        <v>10.4079573161931</v>
      </c>
      <c r="G431" s="18" t="n">
        <f aca="false">(Sens!G427*tk_hold_h100+Sens!G428*tk_hold_gb200+Sens!G429*tk_hold_gb300+Sens!G430*tk_hold_vr200)/Sens!G420</f>
        <v>10.8388131109316</v>
      </c>
      <c r="H431" s="18" t="n">
        <f aca="false">(Sens!H427*tk_hold_h100+Sens!H428*tk_hold_gb200+Sens!H429*tk_hold_gb300+Sens!H430*tk_hold_vr200)/Sens!H420</f>
        <v>11.1311018388216</v>
      </c>
      <c r="I431" s="18" t="n">
        <f aca="false">(Sens!I427*tk_hold_h100+Sens!I428*tk_hold_gb200+Sens!I429*tk_hold_gb300+Sens!I430*tk_hold_vr200)/Sens!I420</f>
        <v>11.3128009818501</v>
      </c>
      <c r="J431" s="18" t="n">
        <f aca="false">(Sens!J427*tk_hold_h100+Sens!J428*tk_hold_gb200+Sens!J429*tk_hold_gb300+Sens!J430*tk_hold_vr200)/Sens!J420</f>
        <v>11.4366894646418</v>
      </c>
      <c r="K431" s="18" t="n">
        <f aca="false">(Sens!K427*tk_hold_h100+Sens!K428*tk_hold_gb200+Sens!K429*tk_hold_gb300+Sens!K430*tk_hold_vr200)/Sens!K420</f>
        <v>11.526570716348</v>
      </c>
    </row>
    <row r="432" customFormat="false" ht="17.15" hidden="false" customHeight="false" outlineLevel="0" collapsed="false">
      <c r="A432" s="0" t="s">
        <v>734</v>
      </c>
      <c r="B432" s="0" t="s">
        <v>182</v>
      </c>
      <c r="C432" s="18" t="n">
        <f aca="false">k_B</f>
        <v>1.17213932619116</v>
      </c>
      <c r="D432" s="18" t="n">
        <f aca="false">k_B</f>
        <v>1.17213932619116</v>
      </c>
      <c r="E432" s="18" t="n">
        <f aca="false">k_B</f>
        <v>1.17213932619116</v>
      </c>
      <c r="F432" s="18" t="n">
        <f aca="false">(k_B+((ls_C*k_long+(1-ls_C)*k_spot)-k_B)*MIN(1,1/3))*0.85</f>
        <v>0.916667693038224</v>
      </c>
      <c r="G432" s="18" t="n">
        <f aca="false">(k_B+((ls_C*k_long+(1-ls_C)*k_spot)-k_B)*MIN(1,2/3))*0.85</f>
        <v>0.837016958813967</v>
      </c>
      <c r="H432" s="18" t="n">
        <f aca="false">(k_B+((ls_C*k_long+(1-ls_C)*k_spot)-k_B)*MIN(1,3/3))*0.85</f>
        <v>0.757366224589709</v>
      </c>
      <c r="I432" s="18" t="n">
        <f aca="false">(k_B+((ls_C*k_long+(1-ls_C)*k_spot)-k_B)*MIN(1,4/3))*0.85</f>
        <v>0.757366224589709</v>
      </c>
      <c r="J432" s="18" t="n">
        <f aca="false">(k_B+((ls_C*k_long+(1-ls_C)*k_spot)-k_B)*MIN(1,5/3))*0.85</f>
        <v>0.757366224589709</v>
      </c>
      <c r="K432" s="18" t="n">
        <f aca="false">(k_B+((ls_C*k_long+(1-ls_C)*k_spot)-k_B)*MIN(1,6/3))*0.85</f>
        <v>0.757366224589709</v>
      </c>
      <c r="L432" s="1" t="s">
        <v>735</v>
      </c>
    </row>
    <row r="433" customFormat="false" ht="17.15" hidden="false" customHeight="false" outlineLevel="0" collapsed="false">
      <c r="A433" s="1" t="s">
        <v>736</v>
      </c>
      <c r="B433" s="0" t="s">
        <v>291</v>
      </c>
      <c r="C433" s="18" t="n">
        <f aca="false">Sens!C431*Sens!C432*chip_f</f>
        <v>11.3973387156315</v>
      </c>
      <c r="D433" s="18" t="n">
        <f aca="false">Sens!D431*Sens!D432*chip_f</f>
        <v>11.3973387156315</v>
      </c>
      <c r="E433" s="18" t="n">
        <f aca="false">Sens!E431*Sens!E432*chip_f</f>
        <v>11.3973387156315</v>
      </c>
      <c r="F433" s="18" t="n">
        <f aca="false">Sens!F431*Sens!F432*chip_f</f>
        <v>9.54063822227503</v>
      </c>
      <c r="G433" s="18" t="n">
        <f aca="false">Sens!G431*Sens!G432*chip_f</f>
        <v>9.07227038726488</v>
      </c>
      <c r="H433" s="18" t="n">
        <f aca="false">Sens!H431*Sens!H432*chip_f</f>
        <v>8.43032057519186</v>
      </c>
      <c r="I433" s="18" t="n">
        <f aca="false">Sens!I431*Sens!I432*chip_f</f>
        <v>8.56793336915858</v>
      </c>
      <c r="J433" s="18" t="n">
        <f aca="false">Sens!J431*Sens!J432*chip_f</f>
        <v>8.66176232164064</v>
      </c>
      <c r="K433" s="18" t="n">
        <f aca="false">Sens!K431*Sens!K432*chip_f</f>
        <v>8.72983534590678</v>
      </c>
      <c r="L433" s="1" t="s">
        <v>737</v>
      </c>
    </row>
    <row r="434" customFormat="false" ht="17.15" hidden="false" customHeight="false" outlineLevel="0" collapsed="false">
      <c r="A434" s="0" t="s">
        <v>738</v>
      </c>
      <c r="B434" s="0" t="s">
        <v>95</v>
      </c>
      <c r="D434" s="6" t="n">
        <f aca="false">(Sens!C420+Sens!D420)/2*Sens!D433/1000</f>
        <v>12.9359794422418</v>
      </c>
      <c r="E434" s="6" t="n">
        <f aca="false">(Sens!D420+Sens!E420)/2*Sens!E433/1000</f>
        <v>27.8095064661409</v>
      </c>
      <c r="F434" s="6" t="n">
        <f aca="false">(Sens!E420+Sens!F420)/2*Sens!F433/1000</f>
        <v>43.0626246800606</v>
      </c>
      <c r="G434" s="6" t="n">
        <f aca="false">(Sens!F420+Sens!G420)/2*Sens!G433/1000</f>
        <v>63.8760413426546</v>
      </c>
      <c r="H434" s="6" t="n">
        <f aca="false">(Sens!G420+Sens!H420)/2*Sens!H433/1000</f>
        <v>80.6613072634357</v>
      </c>
      <c r="I434" s="6" t="n">
        <f aca="false">(Sens!H420+Sens!I420)/2*Sens!I433/1000</f>
        <v>103.630867686647</v>
      </c>
      <c r="J434" s="6" t="n">
        <f aca="false">(Sens!I420+Sens!J420)/2*Sens!J433/1000</f>
        <v>126.655753371958</v>
      </c>
      <c r="K434" s="6" t="n">
        <f aca="false">(Sens!J420+Sens!K420)/2*Sens!K433/1000</f>
        <v>149.713184248163</v>
      </c>
      <c r="L434" s="11" t="s">
        <v>739</v>
      </c>
    </row>
    <row r="435" customFormat="false" ht="17.15" hidden="false" customHeight="false" outlineLevel="0" collapsed="false">
      <c r="A435" s="1" t="s">
        <v>740</v>
      </c>
      <c r="B435" s="0" t="s">
        <v>291</v>
      </c>
      <c r="C435" s="18" t="n">
        <f aca="false">(Sens!C427*tk_opex_h100+Sens!C428*tk_opex_gb200+Sens!C429*tk_opex_gb300+Sens!C430*tk_opex_vr200)/Sens!C420</f>
        <v>1.88636041306092</v>
      </c>
      <c r="D435" s="18" t="n">
        <f aca="false">(Sens!D427*tk_opex_h100+Sens!D428*tk_opex_gb200+Sens!D429*tk_opex_gb300+Sens!D430*tk_opex_vr200)/Sens!D420</f>
        <v>1.88636041306092</v>
      </c>
      <c r="E435" s="18" t="n">
        <f aca="false">(Sens!E427*tk_opex_h100+Sens!E428*tk_opex_gb200+Sens!E429*tk_opex_gb300+Sens!E430*tk_opex_vr200)/Sens!E420</f>
        <v>1.88636041306092</v>
      </c>
      <c r="F435" s="18" t="n">
        <f aca="false">(Sens!F427*tk_opex_h100+Sens!F428*tk_opex_gb200+Sens!F429*tk_opex_gb300+Sens!F430*tk_opex_vr200)/Sens!F420</f>
        <v>1.9430236476499</v>
      </c>
      <c r="G435" s="18" t="n">
        <f aca="false">(Sens!G427*tk_opex_h100+Sens!G428*tk_opex_gb200+Sens!G429*tk_opex_gb300+Sens!G430*tk_opex_vr200)/Sens!G420</f>
        <v>1.9786941852423</v>
      </c>
      <c r="H435" s="18" t="n">
        <f aca="false">(Sens!H427*tk_opex_h100+Sens!H428*tk_opex_gb200+Sens!H429*tk_opex_gb300+Sens!H430*tk_opex_vr200)/Sens!H420</f>
        <v>2.00289275976156</v>
      </c>
      <c r="I435" s="18" t="n">
        <f aca="false">(Sens!I427*tk_opex_h100+Sens!I428*tk_opex_gb200+Sens!I429*tk_opex_gb300+Sens!I430*tk_opex_vr200)/Sens!I420</f>
        <v>2.01793562605478</v>
      </c>
      <c r="J435" s="18" t="n">
        <f aca="false">(Sens!J427*tk_opex_h100+Sens!J428*tk_opex_gb200+Sens!J429*tk_opex_gb300+Sens!J430*tk_opex_vr200)/Sens!J420</f>
        <v>2.02819234961902</v>
      </c>
      <c r="K435" s="18" t="n">
        <f aca="false">(Sens!K427*tk_opex_h100+Sens!K428*tk_opex_gb200+Sens!K429*tk_opex_gb300+Sens!K430*tk_opex_vr200)/Sens!K420</f>
        <v>2.0356336155994</v>
      </c>
    </row>
    <row r="436" customFormat="false" ht="17.15" hidden="false" customHeight="false" outlineLevel="0" collapsed="false">
      <c r="A436" s="0" t="s">
        <v>741</v>
      </c>
      <c r="B436" s="0" t="s">
        <v>95</v>
      </c>
      <c r="D436" s="6" t="n">
        <f aca="false">(Sens!C423+Sens!D423)/2*Sens!D435/1000</f>
        <v>2.70378325872065</v>
      </c>
      <c r="E436" s="6" t="n">
        <f aca="false">(Sens!D423+Sens!E423)/2*Sens!E435/1000</f>
        <v>6.17783035277451</v>
      </c>
      <c r="F436" s="6" t="n">
        <f aca="false">(Sens!E423+Sens!F423)/2*Sens!F435/1000</f>
        <v>12.5020618235287</v>
      </c>
      <c r="G436" s="6" t="n">
        <f aca="false">(Sens!F423+Sens!G423)/2*Sens!G435/1000</f>
        <v>20.7261620256847</v>
      </c>
      <c r="H436" s="6" t="n">
        <f aca="false">(Sens!G423+Sens!H423)/2*Sens!H435/1000</f>
        <v>29.4158183316982</v>
      </c>
      <c r="I436" s="6" t="n">
        <f aca="false">(Sens!H423+Sens!I423)/2*Sens!I435/1000</f>
        <v>38.1362927516005</v>
      </c>
      <c r="J436" s="6" t="n">
        <f aca="false">(Sens!I423+Sens!J423)/2*Sens!J435/1000</f>
        <v>46.8728773279286</v>
      </c>
      <c r="K436" s="6" t="n">
        <f aca="false">(Sens!J423+Sens!K423)/2*Sens!K435/1000</f>
        <v>55.618938734484</v>
      </c>
    </row>
    <row r="437" customFormat="false" ht="17.15" hidden="false" customHeight="false" outlineLevel="0" collapsed="false">
      <c r="A437" s="0" t="s">
        <v>742</v>
      </c>
      <c r="B437" s="0" t="s">
        <v>95</v>
      </c>
      <c r="D437" s="6" t="n">
        <f aca="false">(Sens!C421+Sens!D421)/2*rent_mw/1000</f>
        <v>2.44475</v>
      </c>
      <c r="E437" s="6" t="n">
        <f aca="false">(Sens!D421+Sens!E421)/2*rent_mw/1000</f>
        <v>4.22275</v>
      </c>
      <c r="F437" s="6" t="n">
        <f aca="false">(Sens!E421+Sens!F421)/2*rent_mw/1000</f>
        <v>5.80517</v>
      </c>
      <c r="G437" s="6" t="n">
        <f aca="false">(Sens!F421+Sens!G421)/2*rent_mw/1000</f>
        <v>6.72084</v>
      </c>
      <c r="H437" s="6" t="n">
        <f aca="false">(Sens!G421+Sens!H421)/2*rent_mw/1000</f>
        <v>6.72084</v>
      </c>
      <c r="I437" s="6" t="n">
        <f aca="false">(Sens!H421+Sens!I421)/2*rent_mw/1000</f>
        <v>6.72084</v>
      </c>
      <c r="J437" s="6" t="n">
        <f aca="false">(Sens!I421+Sens!J421)/2*rent_mw/1000</f>
        <v>6.72084</v>
      </c>
      <c r="K437" s="6" t="n">
        <f aca="false">(Sens!J421+Sens!K421)/2*rent_mw/1000</f>
        <v>6.72084</v>
      </c>
    </row>
    <row r="438" customFormat="false" ht="17.15" hidden="false" customHeight="false" outlineLevel="0" collapsed="false">
      <c r="A438" s="0" t="s">
        <v>743</v>
      </c>
      <c r="B438" s="0" t="s">
        <v>95</v>
      </c>
      <c r="D438" s="6" t="n">
        <f aca="false">(Sens!C423+Sens!D423)/2*(1-self_build)*fac_rent/1000</f>
        <v>0.853242375631075</v>
      </c>
      <c r="E438" s="6" t="n">
        <f aca="false">(Sens!D423+Sens!E423)/2*(1-self_build)*fac_rent/1000</f>
        <v>1.94955961408728</v>
      </c>
      <c r="F438" s="6" t="n">
        <f aca="false">(Sens!E423+Sens!F423)/2*(1-self_build)*fac_rent/1000</f>
        <v>3.83026455274573</v>
      </c>
      <c r="G438" s="6" t="n">
        <f aca="false">(Sens!F423+Sens!G423)/2*(1-self_build)*fac_rent/1000</f>
        <v>6.23541590972812</v>
      </c>
      <c r="H438" s="6" t="n">
        <f aca="false">(Sens!G423+Sens!H423)/2*(1-self_build)*fac_rent/1000</f>
        <v>8.74275792332679</v>
      </c>
      <c r="I438" s="6" t="n">
        <f aca="false">(Sens!H423+Sens!I423)/2*(1-self_build)*fac_rent/1000</f>
        <v>11.2500999369255</v>
      </c>
      <c r="J438" s="6" t="n">
        <f aca="false">(Sens!I423+Sens!J423)/2*(1-self_build)*fac_rent/1000</f>
        <v>13.7574419505241</v>
      </c>
      <c r="K438" s="6" t="n">
        <f aca="false">(Sens!J423+Sens!K423)/2*(1-self_build)*fac_rent/1000</f>
        <v>16.2647839641228</v>
      </c>
      <c r="L438" s="11" t="s">
        <v>744</v>
      </c>
    </row>
    <row r="439" customFormat="false" ht="17.15" hidden="false" customHeight="false" outlineLevel="0" collapsed="false">
      <c r="A439" s="1" t="s">
        <v>745</v>
      </c>
      <c r="B439" s="0" t="s">
        <v>126</v>
      </c>
      <c r="D439" s="7" t="n">
        <f aca="false">(Sens!C422+Sens!D422)/(Sens!C423+Sens!D423)</f>
        <v>0.6</v>
      </c>
      <c r="E439" s="7" t="n">
        <f aca="false">(Sens!D422+Sens!E422)/(Sens!D423+Sens!E423)</f>
        <v>0.6</v>
      </c>
      <c r="F439" s="7" t="n">
        <f aca="false">(Sens!E422+Sens!F422)/(Sens!E423+Sens!F423)</f>
        <v>0.6</v>
      </c>
      <c r="G439" s="7" t="n">
        <f aca="false">(Sens!F422+Sens!G422)/(Sens!F423+Sens!G423)</f>
        <v>0.6</v>
      </c>
      <c r="H439" s="7" t="n">
        <f aca="false">(Sens!G422+Sens!H422)/(Sens!G423+Sens!H423)</f>
        <v>0.6</v>
      </c>
      <c r="I439" s="7" t="n">
        <f aca="false">(Sens!H422+Sens!I422)/(Sens!H423+Sens!I423)</f>
        <v>0.6</v>
      </c>
      <c r="J439" s="7" t="n">
        <f aca="false">(Sens!I422+Sens!J422)/(Sens!I423+Sens!J423)</f>
        <v>0.6</v>
      </c>
      <c r="K439" s="7" t="n">
        <f aca="false">(Sens!J422+Sens!K422)/(Sens!J423+Sens!K423)</f>
        <v>0.6</v>
      </c>
    </row>
    <row r="440" customFormat="false" ht="17.15" hidden="false" customHeight="false" outlineLevel="0" collapsed="false">
      <c r="A440" s="0" t="s">
        <v>746</v>
      </c>
      <c r="B440" s="0" t="s">
        <v>95</v>
      </c>
      <c r="D440" s="6" t="n">
        <f aca="false">Sens!D434-Sens!D439*(Sens!D436+Sens!D438)-Sens!D437</f>
        <v>8.35701406163072</v>
      </c>
      <c r="E440" s="6" t="n">
        <f aca="false">Sens!E434-Sens!E439*(Sens!E436+Sens!E438)-Sens!E437</f>
        <v>18.7103224860238</v>
      </c>
      <c r="F440" s="6" t="n">
        <f aca="false">Sens!F434-Sens!F439*(Sens!F436+Sens!F438)-Sens!F437</f>
        <v>27.4580588542959</v>
      </c>
      <c r="G440" s="6" t="n">
        <f aca="false">Sens!G434-Sens!G439*(Sens!G436+Sens!G438)-Sens!G437</f>
        <v>40.9782545814069</v>
      </c>
      <c r="H440" s="6" t="n">
        <f aca="false">Sens!H434-Sens!H439*(Sens!H436+Sens!H438)-Sens!H437</f>
        <v>51.0453215104207</v>
      </c>
      <c r="I440" s="6" t="n">
        <f aca="false">Sens!I434-Sens!I439*(Sens!I436+Sens!I438)-Sens!I437</f>
        <v>67.2781920735313</v>
      </c>
      <c r="J440" s="6" t="n">
        <f aca="false">Sens!J434-Sens!J439*(Sens!J436+Sens!J438)-Sens!J437</f>
        <v>83.5567218048865</v>
      </c>
      <c r="K440" s="6" t="n">
        <f aca="false">Sens!K434-Sens!K439*(Sens!K436+Sens!K438)-Sens!K437</f>
        <v>99.8621106289988</v>
      </c>
    </row>
    <row r="441" customFormat="false" ht="17.15" hidden="false" customHeight="false" outlineLevel="0" collapsed="false">
      <c r="A441" s="1" t="s">
        <v>747</v>
      </c>
      <c r="B441" s="0" t="s">
        <v>95</v>
      </c>
      <c r="D441" s="6" t="n">
        <f aca="false">(1-Sens!D439)*(Sens!D436+Sens!D438)</f>
        <v>1.42281025374069</v>
      </c>
      <c r="E441" s="6" t="n">
        <f aca="false">(1-Sens!E439)*(Sens!E436+Sens!E438)</f>
        <v>3.25095598674472</v>
      </c>
      <c r="F441" s="6" t="n">
        <f aca="false">(1-Sens!F439)*(Sens!F436+Sens!F438)</f>
        <v>6.53293055050977</v>
      </c>
      <c r="G441" s="6" t="n">
        <f aca="false">(1-Sens!G439)*(Sens!G436+Sens!G438)</f>
        <v>10.7846311741651</v>
      </c>
      <c r="H441" s="6" t="n">
        <f aca="false">(1-Sens!H439)*(Sens!H436+Sens!H438)</f>
        <v>15.26343050201</v>
      </c>
      <c r="I441" s="6" t="n">
        <f aca="false">(1-Sens!I439)*(Sens!I436+Sens!I438)</f>
        <v>19.7545570754104</v>
      </c>
      <c r="J441" s="6" t="n">
        <f aca="false">(1-Sens!J439)*(Sens!J436+Sens!J438)</f>
        <v>24.2521277113811</v>
      </c>
      <c r="K441" s="6" t="n">
        <f aca="false">(1-Sens!K439)*(Sens!K436+Sens!K438)</f>
        <v>28.7534890794427</v>
      </c>
    </row>
    <row r="442" customFormat="false" ht="17.15" hidden="false" customHeight="false" outlineLevel="0" collapsed="false">
      <c r="A442" s="1" t="s">
        <v>748</v>
      </c>
      <c r="B442" s="0" t="s">
        <v>302</v>
      </c>
      <c r="C442" s="8" t="n">
        <f aca="false">cxit_open</f>
        <v>27.5918995</v>
      </c>
      <c r="D442" s="8" t="n">
        <f aca="false">cxit_open</f>
        <v>27.5918995</v>
      </c>
      <c r="E442" s="8" t="n">
        <f aca="false">cxit_open</f>
        <v>27.5918995</v>
      </c>
      <c r="F442" s="8" t="n">
        <f aca="false">(a_g3_27*tk_cxit_gb300+(1-a_g3_27)*tk_cxit_vr200)</f>
        <v>33.8419624</v>
      </c>
      <c r="G442" s="8" t="n">
        <f aca="false">(a_g3_28*tk_cxit_gb300+(1-a_g3_28)*tk_cxit_vr200)</f>
        <v>35.9816136</v>
      </c>
      <c r="H442" s="8" t="n">
        <f aca="false">(a_g3_29*tk_cxit_gb300+(1-a_g3_29)*tk_cxit_vr200)</f>
        <v>37.0514392</v>
      </c>
      <c r="I442" s="8" t="n">
        <f aca="false">(a_g3_29*tk_cxit_gb300+(1-a_g3_29)*tk_cxit_vr200)</f>
        <v>37.0514392</v>
      </c>
      <c r="J442" s="8" t="n">
        <f aca="false">(a_g3_29*tk_cxit_gb300+(1-a_g3_29)*tk_cxit_vr200)</f>
        <v>37.0514392</v>
      </c>
      <c r="K442" s="8" t="n">
        <f aca="false">(a_g3_29*tk_cxit_gb300+(1-a_g3_29)*tk_cxit_vr200)</f>
        <v>37.0514392</v>
      </c>
      <c r="L442" s="11" t="s">
        <v>749</v>
      </c>
    </row>
    <row r="443" customFormat="false" ht="17.15" hidden="false" customHeight="false" outlineLevel="0" collapsed="false">
      <c r="A443" s="0" t="s">
        <v>750</v>
      </c>
      <c r="B443" s="0" t="s">
        <v>340</v>
      </c>
      <c r="F443" s="27" t="n">
        <f aca="false">Sens!C425*IF(3=life_it,1,0)+Sens!D425*IF(2=life_it,1,0)+Sens!E425*IF(1=life_it,1,0)</f>
        <v>0</v>
      </c>
      <c r="G443" s="27" t="n">
        <f aca="false">Sens!C425*IF(4=life_it,1,0)+Sens!D425*IF(3=life_it,1,0)+Sens!E425*IF(2=life_it,1,0)+Sens!F425*IF(1=life_it,1,0)</f>
        <v>0</v>
      </c>
      <c r="H443" s="27" t="n">
        <f aca="false">Sens!C425*IF(5=life_it,1,0)+Sens!D425*IF(4=life_it,1,0)+Sens!E425*IF(3=life_it,1,0)+Sens!F425*IF(2=life_it,1,0)+Sens!G425*IF(1=life_it,1,0)</f>
        <v>0</v>
      </c>
      <c r="I443" s="27" t="n">
        <f aca="false">Sens!C425*IF(6=life_it,1,0)+Sens!D425*IF(5=life_it,1,0)+Sens!E425*IF(4=life_it,1,0)+Sens!F425*IF(3=life_it,1,0)+Sens!G425*IF(2=life_it,1,0)+Sens!H425*IF(1=life_it,1,0)</f>
        <v>816.666666666667</v>
      </c>
      <c r="J443" s="27" t="n">
        <f aca="false">Sens!C425*IF(7=life_it,1,0)+Sens!D425*IF(6=life_it,1,0)+Sens!E425*IF(5=life_it,1,0)+Sens!F425*IF(4=life_it,1,0)+Sens!G425*IF(3=life_it,1,0)+Sens!H425*IF(2=life_it,1,0)+Sens!I425*IF(1=life_it,1,0)</f>
        <v>1233.33333333333</v>
      </c>
      <c r="K443" s="27" t="n">
        <f aca="false">Sens!C425*IF(8=life_it,1,0)+Sens!D425*IF(7=life_it,1,0)+Sens!E425*IF(6=life_it,1,0)+Sens!F425*IF(5=life_it,1,0)+Sens!G425*IF(4=life_it,1,0)+Sens!H425*IF(3=life_it,1,0)+Sens!I425*IF(2=life_it,1,0)+Sens!J425*IF(1=life_it,1,0)</f>
        <v>2450</v>
      </c>
      <c r="L443" s="1" t="s">
        <v>751</v>
      </c>
    </row>
    <row r="444" customFormat="false" ht="17.15" hidden="false" customHeight="false" outlineLevel="0" collapsed="false">
      <c r="A444" s="0" t="s">
        <v>752</v>
      </c>
      <c r="B444" s="0" t="s">
        <v>95</v>
      </c>
      <c r="C444" s="6" t="n">
        <f aca="false">Sens!C425*Sens!C442/1000</f>
        <v>22.5333845916667</v>
      </c>
      <c r="D444" s="6" t="n">
        <f aca="false">Sens!D425*Sens!D442/1000</f>
        <v>34.0300093833333</v>
      </c>
      <c r="E444" s="6" t="n">
        <f aca="false">Sens!E425*Sens!E442/1000</f>
        <v>67.600153775</v>
      </c>
      <c r="F444" s="6" t="n">
        <f aca="false">(Sens!F425+Sens!F443)*Sens!F442/1000</f>
        <v>130.923271871467</v>
      </c>
      <c r="G444" s="6" t="n">
        <f aca="false">(Sens!G425+Sens!G443)*Sens!G442/1000</f>
        <v>151.5545564832</v>
      </c>
      <c r="H444" s="6" t="n">
        <f aca="false">(Sens!H425+Sens!H443)*Sens!H442/1000</f>
        <v>156.0606619104</v>
      </c>
      <c r="I444" s="6" t="n">
        <f aca="false">(Sens!I425+Sens!I443)*Sens!I442/1000</f>
        <v>186.319337257067</v>
      </c>
      <c r="J444" s="6" t="n">
        <f aca="false">(Sens!J425+Sens!J443)*Sens!J442/1000</f>
        <v>201.757436923733</v>
      </c>
      <c r="K444" s="6" t="n">
        <f aca="false">(Sens!K425+Sens!K443)*Sens!K442/1000</f>
        <v>246.8366879504</v>
      </c>
    </row>
    <row r="445" customFormat="false" ht="17.15" hidden="false" customHeight="false" outlineLevel="0" collapsed="false">
      <c r="A445" s="0" t="s">
        <v>753</v>
      </c>
      <c r="B445" s="0" t="s">
        <v>95</v>
      </c>
      <c r="C445" s="6" t="n">
        <f aca="false">Sens!C425*self_build*tk_cxfac/1000</f>
        <v>6.2083</v>
      </c>
      <c r="D445" s="6" t="n">
        <f aca="false">Sens!D425*self_build*tk_cxfac/1000</f>
        <v>9.3758</v>
      </c>
      <c r="E445" s="6" t="n">
        <f aca="false">Sens!E425*self_build*tk_cxfac/1000</f>
        <v>18.6249</v>
      </c>
      <c r="F445" s="6" t="n">
        <f aca="false">Sens!F425*self_build*tk_cxfac/1000</f>
        <v>29.409604</v>
      </c>
      <c r="G445" s="6" t="n">
        <f aca="false">Sens!G425*self_build*tk_cxfac/1000</f>
        <v>32.019624</v>
      </c>
      <c r="H445" s="6" t="n">
        <f aca="false">Sens!H425*self_build*tk_cxfac/1000</f>
        <v>32.019624</v>
      </c>
      <c r="I445" s="6" t="n">
        <f aca="false">Sens!I425*self_build*tk_cxfac/1000</f>
        <v>32.019624</v>
      </c>
      <c r="J445" s="6" t="n">
        <f aca="false">Sens!J425*self_build*tk_cxfac/1000</f>
        <v>32.019624</v>
      </c>
      <c r="K445" s="6" t="n">
        <f aca="false">Sens!K425*self_build*tk_cxfac/1000</f>
        <v>32.019624</v>
      </c>
    </row>
    <row r="446" customFormat="false" ht="17.15" hidden="false" customHeight="false" outlineLevel="0" collapsed="false">
      <c r="A446" s="0" t="s">
        <v>754</v>
      </c>
      <c r="B446" s="0" t="s">
        <v>95</v>
      </c>
      <c r="F446" s="6" t="n">
        <f aca="false">MAX(0,capex_floor27-Sens!F444-Sens!F445-Sens!F533)</f>
        <v>8.43777689897088</v>
      </c>
      <c r="G446" s="6" t="n">
        <f aca="false">0</f>
        <v>0</v>
      </c>
      <c r="H446" s="6" t="n">
        <f aca="false">0</f>
        <v>0</v>
      </c>
      <c r="I446" s="6" t="n">
        <f aca="false">0</f>
        <v>0</v>
      </c>
      <c r="J446" s="6" t="n">
        <f aca="false">0</f>
        <v>0</v>
      </c>
      <c r="K446" s="6" t="n">
        <f aca="false">0</f>
        <v>0</v>
      </c>
      <c r="L446" s="1" t="s">
        <v>755</v>
      </c>
    </row>
    <row r="447" customFormat="false" ht="17.15" hidden="false" customHeight="false" outlineLevel="0" collapsed="false">
      <c r="A447" s="0" t="s">
        <v>756</v>
      </c>
      <c r="B447" s="0" t="s">
        <v>95</v>
      </c>
      <c r="C447" s="6" t="n">
        <f aca="false">Sens!C444</f>
        <v>22.5333845916667</v>
      </c>
      <c r="D447" s="6" t="n">
        <f aca="false">Sens!D444</f>
        <v>34.0300093833333</v>
      </c>
      <c r="E447" s="6" t="n">
        <f aca="false">Sens!E444</f>
        <v>67.600153775</v>
      </c>
      <c r="F447" s="6" t="n">
        <f aca="false">Sens!F444+Sens!F446</f>
        <v>139.361048770438</v>
      </c>
      <c r="G447" s="6" t="n">
        <f aca="false">Sens!G444+Sens!G446</f>
        <v>151.5545564832</v>
      </c>
      <c r="H447" s="6" t="n">
        <f aca="false">Sens!H444+Sens!H446</f>
        <v>156.0606619104</v>
      </c>
      <c r="I447" s="6" t="n">
        <f aca="false">Sens!I444+Sens!I446</f>
        <v>186.319337257067</v>
      </c>
      <c r="J447" s="6" t="n">
        <f aca="false">Sens!J444+Sens!J446</f>
        <v>201.757436923733</v>
      </c>
      <c r="K447" s="6" t="n">
        <f aca="false">Sens!K444+Sens!K446</f>
        <v>246.8366879504</v>
      </c>
    </row>
    <row r="448" customFormat="false" ht="17.15" hidden="false" customHeight="false" outlineLevel="0" collapsed="false">
      <c r="A448" s="0" t="s">
        <v>757</v>
      </c>
      <c r="B448" s="0" t="s">
        <v>95</v>
      </c>
      <c r="C448" s="6" t="n">
        <f aca="false">Sens!C447+Sens!C445</f>
        <v>28.7416845916667</v>
      </c>
      <c r="D448" s="6" t="n">
        <f aca="false">Sens!D447+Sens!D445</f>
        <v>43.4058093833333</v>
      </c>
      <c r="E448" s="6" t="n">
        <f aca="false">Sens!E447+Sens!E445</f>
        <v>86.225053775</v>
      </c>
      <c r="F448" s="6" t="n">
        <f aca="false">Sens!F447+Sens!F445</f>
        <v>168.770652770438</v>
      </c>
      <c r="G448" s="6" t="n">
        <f aca="false">Sens!G447+Sens!G445</f>
        <v>183.5741804832</v>
      </c>
      <c r="H448" s="6" t="n">
        <f aca="false">Sens!H447+Sens!H445</f>
        <v>188.0802859104</v>
      </c>
      <c r="I448" s="6" t="n">
        <f aca="false">Sens!I447+Sens!I445</f>
        <v>218.338961257067</v>
      </c>
      <c r="J448" s="6" t="n">
        <f aca="false">Sens!J447+Sens!J445</f>
        <v>233.777060923733</v>
      </c>
      <c r="K448" s="6" t="n">
        <f aca="false">Sens!K447+Sens!K445</f>
        <v>278.8563119504</v>
      </c>
      <c r="L448" s="11" t="s">
        <v>758</v>
      </c>
    </row>
    <row r="449" customFormat="false" ht="17.15" hidden="false" customHeight="false" outlineLevel="0" collapsed="false">
      <c r="A449" s="0" t="s">
        <v>759</v>
      </c>
      <c r="B449" s="0" t="s">
        <v>95</v>
      </c>
      <c r="E449" s="6" t="n">
        <f aca="false">(Sens!C447*IF(2&lt;life_it,1,IF(2=life_it,0.5,0))+Sens!D447*IF(1&lt;life_it,1,IF(1=life_it,0.5,0))+Sens!E447*0.5)/life_it</f>
        <v>15.0605784770833</v>
      </c>
      <c r="F449" s="6" t="n">
        <f aca="false">(Sens!C447*IF(3&lt;life_it,1,IF(3=life_it,0.5,0))+Sens!D447*IF(2&lt;life_it,1,IF(2=life_it,0.5,0))+Sens!E447*IF(1&lt;life_it,1,IF(1=life_it,0.5,0))+Sens!F447*0.5)/life_it</f>
        <v>32.3073453558698</v>
      </c>
      <c r="G449" s="6" t="n">
        <f aca="false">(Sens!C447*IF(4&lt;life_it,1,IF(4=life_it,0.5,0))+Sens!D447*IF(3&lt;life_it,1,IF(3=life_it,0.5,0))+Sens!E447*IF(2&lt;life_it,1,IF(2=life_it,0.5,0))+Sens!F447*IF(1&lt;life_it,1,IF(1=life_it,0.5,0))+Sens!G447*0.5)/life_it</f>
        <v>56.5503124603396</v>
      </c>
      <c r="H449" s="6" t="n">
        <f aca="false">(Sens!C447*IF(5&lt;life_it,1,IF(5=life_it,0.5,0))+Sens!D447*IF(4&lt;life_it,1,IF(4=life_it,0.5,0))+Sens!E447*IF(3&lt;life_it,1,IF(3=life_it,0.5,0))+Sens!F447*IF(2&lt;life_it,1,IF(2=life_it,0.5,0))+Sens!G447*IF(1&lt;life_it,1,IF(1=life_it,0.5,0))+Sens!H447*0.5)/life_it</f>
        <v>82.1849139931396</v>
      </c>
      <c r="I449" s="6" t="n">
        <f aca="false">(Sens!C447*IF(6&lt;life_it,1,IF(6=life_it,0.5,0))+Sens!D447*IF(5&lt;life_it,1,IF(5=life_it,0.5,0))+Sens!E447*IF(4&lt;life_it,1,IF(4=life_it,0.5,0))+Sens!F447*IF(3&lt;life_it,1,IF(3=life_it,0.5,0))+Sens!G447*IF(2&lt;life_it,1,IF(2=life_it,0.5,0))+Sens!H447*IF(1&lt;life_it,1,IF(1=life_it,0.5,0))+Sens!I447*0.5)/life_it</f>
        <v>108.838798541123</v>
      </c>
      <c r="J449" s="6" t="n">
        <f aca="false">(Sens!C447*IF(7&lt;life_it,1,IF(7=life_it,0.5,0))+Sens!D447*IF(6&lt;life_it,1,IF(6=life_it,0.5,0))+Sens!E447*IF(5&lt;life_it,1,IF(5=life_it,0.5,0))+Sens!F447*IF(4&lt;life_it,1,IF(4=life_it,0.5,0))+Sens!G447*IF(3&lt;life_it,1,IF(3=life_it,0.5,0))+Sens!H447*IF(2&lt;life_it,1,IF(2=life_it,0.5,0))+Sens!I447*IF(1&lt;life_it,1,IF(1=life_it,0.5,0))+Sens!J447*0.5)/life_it</f>
        <v>136.464913558273</v>
      </c>
      <c r="K449" s="6" t="n">
        <f aca="false">(Sens!C447*IF(8&lt;life_it,1,IF(8=life_it,0.5,0))+Sens!D447*IF(7&lt;life_it,1,IF(7=life_it,0.5,0))+Sens!E447*IF(6&lt;life_it,1,IF(6=life_it,0.5,0))+Sens!F447*IF(5&lt;life_it,1,IF(5=life_it,0.5,0))+Sens!G447*IF(4&lt;life_it,1,IF(4=life_it,0.5,0))+Sens!H447*IF(3&lt;life_it,1,IF(3=life_it,0.5,0))+Sens!I447*IF(2&lt;life_it,1,IF(2=life_it,0.5,0))+Sens!J447*IF(1&lt;life_it,1,IF(1=life_it,0.5,0))+Sens!K447*0.5)/life_it</f>
        <v>165.37857703459</v>
      </c>
    </row>
    <row r="450" customFormat="false" ht="17.15" hidden="false" customHeight="false" outlineLevel="0" collapsed="false">
      <c r="A450" s="0" t="s">
        <v>760</v>
      </c>
      <c r="B450" s="0" t="s">
        <v>95</v>
      </c>
      <c r="E450" s="6" t="n">
        <f aca="false">(Sens!C445*IF(2&lt;life_fac,1,IF(2=life_fac,0.5,0))+Sens!D445*IF(1&lt;life_fac,1,IF(1=life_fac,0.5,0))+Sens!E445*0.5)/life_fac</f>
        <v>1.2448275</v>
      </c>
      <c r="F450" s="6" t="n">
        <f aca="false">(Sens!C445*IF(3&lt;life_fac,1,IF(3=life_fac,0.5,0))+Sens!D445*IF(2&lt;life_fac,1,IF(2=life_fac,0.5,0))+Sens!E445*IF(1&lt;life_fac,1,IF(1=life_fac,0.5,0))+Sens!F445*0.5)/life_fac</f>
        <v>2.4456901</v>
      </c>
      <c r="G450" s="6" t="n">
        <f aca="false">(Sens!C445*IF(4&lt;life_fac,1,IF(4=life_fac,0.5,0))+Sens!D445*IF(3&lt;life_fac,1,IF(3=life_fac,0.5,0))+Sens!E445*IF(2&lt;life_fac,1,IF(2=life_fac,0.5,0))+Sens!F445*IF(1&lt;life_fac,1,IF(1=life_fac,0.5,0))+Sens!G445*0.5)/life_fac</f>
        <v>3.9814208</v>
      </c>
      <c r="H450" s="6" t="n">
        <f aca="false">(Sens!C445*IF(5&lt;life_fac,1,IF(5=life_fac,0.5,0))+Sens!D445*IF(4&lt;life_fac,1,IF(4=life_fac,0.5,0))+Sens!E445*IF(3&lt;life_fac,1,IF(3=life_fac,0.5,0))+Sens!F445*IF(2&lt;life_fac,1,IF(2=life_fac,0.5,0))+Sens!G445*IF(1&lt;life_fac,1,IF(1=life_fac,0.5,0))+Sens!H445*0.5)/life_fac</f>
        <v>5.582402</v>
      </c>
      <c r="I450" s="6" t="n">
        <f aca="false">(Sens!C445*IF(6&lt;life_fac,1,IF(6=life_fac,0.5,0))+Sens!D445*IF(5&lt;life_fac,1,IF(5=life_fac,0.5,0))+Sens!E445*IF(4&lt;life_fac,1,IF(4=life_fac,0.5,0))+Sens!F445*IF(3&lt;life_fac,1,IF(3=life_fac,0.5,0))+Sens!G445*IF(2&lt;life_fac,1,IF(2=life_fac,0.5,0))+Sens!H445*IF(1&lt;life_fac,1,IF(1=life_fac,0.5,0))+Sens!I445*0.5)/life_fac</f>
        <v>7.1833832</v>
      </c>
      <c r="J450" s="6" t="n">
        <f aca="false">(Sens!C445*IF(7&lt;life_fac,1,IF(7=life_fac,0.5,0))+Sens!D445*IF(6&lt;life_fac,1,IF(6=life_fac,0.5,0))+Sens!E445*IF(5&lt;life_fac,1,IF(5=life_fac,0.5,0))+Sens!F445*IF(4&lt;life_fac,1,IF(4=life_fac,0.5,0))+Sens!G445*IF(3&lt;life_fac,1,IF(3=life_fac,0.5,0))+Sens!H445*IF(2&lt;life_fac,1,IF(2=life_fac,0.5,0))+Sens!I445*IF(1&lt;life_fac,1,IF(1=life_fac,0.5,0))+Sens!J445*0.5)/life_fac</f>
        <v>8.7843644</v>
      </c>
      <c r="K450" s="6" t="n">
        <f aca="false">(Sens!C445*IF(8&lt;life_fac,1,IF(8=life_fac,0.5,0))+Sens!D445*IF(7&lt;life_fac,1,IF(7=life_fac,0.5,0))+Sens!E445*IF(6&lt;life_fac,1,IF(6=life_fac,0.5,0))+Sens!F445*IF(5&lt;life_fac,1,IF(5=life_fac,0.5,0))+Sens!G445*IF(4&lt;life_fac,1,IF(4=life_fac,0.5,0))+Sens!H445*IF(3&lt;life_fac,1,IF(3=life_fac,0.5,0))+Sens!I445*IF(2&lt;life_fac,1,IF(2=life_fac,0.5,0))+Sens!J445*IF(1&lt;life_fac,1,IF(1=life_fac,0.5,0))+Sens!K445*0.5)/life_fac</f>
        <v>10.3853456</v>
      </c>
    </row>
    <row r="451" customFormat="false" ht="17.15" hidden="false" customHeight="false" outlineLevel="0" collapsed="false">
      <c r="A451" s="0" t="s">
        <v>761</v>
      </c>
      <c r="B451" s="0" t="s">
        <v>95</v>
      </c>
      <c r="E451" s="6" t="n">
        <f aca="false">Sens!E449+Sens!E450</f>
        <v>16.3054059770833</v>
      </c>
      <c r="F451" s="6" t="n">
        <f aca="false">Sens!F449+Sens!F450</f>
        <v>34.7530354558698</v>
      </c>
      <c r="G451" s="6" t="n">
        <f aca="false">Sens!G449+Sens!G450</f>
        <v>60.5317332603396</v>
      </c>
      <c r="H451" s="6" t="n">
        <f aca="false">Sens!H449+Sens!H450</f>
        <v>87.7673159931396</v>
      </c>
      <c r="I451" s="6" t="n">
        <f aca="false">Sens!I449+Sens!I450</f>
        <v>116.022181741123</v>
      </c>
      <c r="J451" s="6" t="n">
        <f aca="false">Sens!J449+Sens!J450</f>
        <v>145.249277958273</v>
      </c>
      <c r="K451" s="6" t="n">
        <f aca="false">Sens!K449+Sens!K450</f>
        <v>175.76392263459</v>
      </c>
    </row>
    <row r="452" customFormat="false" ht="17.15" hidden="false" customHeight="false" outlineLevel="0" collapsed="false">
      <c r="A452" s="0" t="s">
        <v>762</v>
      </c>
      <c r="B452" s="0" t="s">
        <v>95</v>
      </c>
      <c r="E452" s="6" t="n">
        <f aca="false">Sens!E440-Sens!E439*Sens!E451</f>
        <v>8.92707889977379</v>
      </c>
      <c r="F452" s="6" t="n">
        <f aca="false">Sens!F440-Sens!F439*Sens!F451</f>
        <v>6.60623758077406</v>
      </c>
      <c r="G452" s="6" t="n">
        <f aca="false">Sens!G440-Sens!G439*Sens!G451</f>
        <v>4.65921462520313</v>
      </c>
      <c r="H452" s="6" t="n">
        <f aca="false">Sens!H440-Sens!H439*Sens!H451</f>
        <v>-1.61506808546301</v>
      </c>
      <c r="I452" s="6" t="n">
        <f aca="false">Sens!I440-Sens!I439*Sens!I451</f>
        <v>-2.33511697114247</v>
      </c>
      <c r="J452" s="6" t="n">
        <f aca="false">Sens!J440-Sens!J439*Sens!J451</f>
        <v>-3.59284497007729</v>
      </c>
      <c r="K452" s="6" t="n">
        <f aca="false">Sens!K440-Sens!K439*Sens!K451</f>
        <v>-5.5962429517549</v>
      </c>
    </row>
    <row r="453" customFormat="false" ht="17.15" hidden="false" customHeight="false" outlineLevel="0" collapsed="false">
      <c r="A453" s="3" t="s">
        <v>1125</v>
      </c>
    </row>
    <row r="454" customFormat="false" ht="15" hidden="false" customHeight="false" outlineLevel="0" collapsed="false">
      <c r="A454" s="4" t="s">
        <v>43</v>
      </c>
      <c r="B454" s="4" t="s">
        <v>63</v>
      </c>
      <c r="C454" s="19" t="s">
        <v>710</v>
      </c>
      <c r="D454" s="19" t="s">
        <v>711</v>
      </c>
      <c r="E454" s="19" t="s">
        <v>712</v>
      </c>
      <c r="F454" s="19" t="s">
        <v>713</v>
      </c>
      <c r="G454" s="19" t="s">
        <v>714</v>
      </c>
      <c r="H454" s="19" t="s">
        <v>715</v>
      </c>
      <c r="I454" s="19" t="s">
        <v>716</v>
      </c>
      <c r="J454" s="19" t="s">
        <v>717</v>
      </c>
      <c r="K454" s="19" t="s">
        <v>718</v>
      </c>
      <c r="L454" s="4" t="s">
        <v>47</v>
      </c>
    </row>
    <row r="455" customFormat="false" ht="17.15" hidden="false" customHeight="false" outlineLevel="0" collapsed="false">
      <c r="A455" s="0" t="s">
        <v>780</v>
      </c>
      <c r="B455" s="0" t="s">
        <v>95</v>
      </c>
      <c r="D455" s="6" t="n">
        <f aca="false">Sens!D434</f>
        <v>12.9359794422418</v>
      </c>
      <c r="E455" s="6" t="n">
        <f aca="false">Sens!E434</f>
        <v>27.8095064661409</v>
      </c>
      <c r="F455" s="6" t="n">
        <f aca="false">Sens!F434</f>
        <v>43.0626246800606</v>
      </c>
      <c r="G455" s="6" t="n">
        <f aca="false">Sens!G434</f>
        <v>63.8760413426546</v>
      </c>
      <c r="H455" s="6" t="n">
        <f aca="false">Sens!H434</f>
        <v>80.6613072634357</v>
      </c>
      <c r="I455" s="6" t="n">
        <f aca="false">Sens!I434</f>
        <v>103.630867686647</v>
      </c>
      <c r="J455" s="6" t="n">
        <f aca="false">Sens!J434</f>
        <v>126.655753371958</v>
      </c>
      <c r="K455" s="6" t="n">
        <f aca="false">Sens!K434</f>
        <v>149.713184248163</v>
      </c>
    </row>
    <row r="456" customFormat="false" ht="17.15" hidden="false" customHeight="false" outlineLevel="0" collapsed="false">
      <c r="A456" s="0" t="s">
        <v>781</v>
      </c>
      <c r="B456" s="0" t="s">
        <v>95</v>
      </c>
      <c r="D456" s="6" t="n">
        <f aca="false">Q!L6-Sens!D455</f>
        <v>59.6740205577583</v>
      </c>
      <c r="E456" s="6" t="n">
        <f aca="false">Q!M6-Sens!E455</f>
        <v>74.1284935338591</v>
      </c>
      <c r="F456" s="6" t="n">
        <f aca="false">Sens!E456*(1+Sens!F457)</f>
        <v>90.0799497373663</v>
      </c>
      <c r="G456" s="6" t="n">
        <f aca="false">Sens!F456*(1+Sens!G457)</f>
        <v>107.02842520331</v>
      </c>
      <c r="H456" s="6" t="n">
        <f aca="false">Sens!G456*(1+Sens!H457)</f>
        <v>124.271982585636</v>
      </c>
      <c r="I456" s="6" t="n">
        <f aca="false">Sens!H456*(1+Sens!I457)</f>
        <v>140.933702381855</v>
      </c>
      <c r="J456" s="6" t="n">
        <f aca="false">Sens!I456*(1+Sens!J457)</f>
        <v>156.018867314332</v>
      </c>
      <c r="K456" s="6" t="n">
        <f aca="false">Sens!J456*(1+Sens!K457)</f>
        <v>168.500376699478</v>
      </c>
    </row>
    <row r="457" customFormat="false" ht="15" hidden="false" customHeight="false" outlineLevel="0" collapsed="false">
      <c r="A457" s="1" t="s">
        <v>782</v>
      </c>
      <c r="B457" s="0" t="s">
        <v>126</v>
      </c>
      <c r="E457" s="7" t="n">
        <f aca="false">Sens!E456/Sens!D456-1</f>
        <v>0.242223883039864</v>
      </c>
      <c r="F457" s="7" t="n">
        <f aca="false">Sens!$E$457+(glt_azo-Sens!$E$457)*MIN(1,1/n_conv)</f>
        <v>0.215186569199887</v>
      </c>
      <c r="G457" s="7" t="n">
        <f aca="false">Sens!$E$457+(glt_azo-Sens!$E$457)*MIN(1,2/n_conv)</f>
        <v>0.18814925535991</v>
      </c>
      <c r="H457" s="7" t="n">
        <f aca="false">Sens!$E$457+(glt_azo-Sens!$E$457)*MIN(1,3/n_conv)</f>
        <v>0.161111941519932</v>
      </c>
      <c r="I457" s="7" t="n">
        <f aca="false">Sens!$E$457+(glt_azo-Sens!$E$457)*MIN(1,4/n_conv)</f>
        <v>0.134074627679955</v>
      </c>
      <c r="J457" s="7" t="n">
        <f aca="false">Sens!$E$457+(glt_azo-Sens!$E$457)*MIN(1,5/n_conv)</f>
        <v>0.107037313839977</v>
      </c>
      <c r="K457" s="7" t="n">
        <f aca="false">Sens!$E$457+(glt_azo-Sens!$E$457)*MIN(1,6/n_conv)</f>
        <v>0.08</v>
      </c>
    </row>
    <row r="458" customFormat="false" ht="15" hidden="false" customHeight="false" outlineLevel="0" collapsed="false">
      <c r="A458" s="0" t="s">
        <v>783</v>
      </c>
      <c r="B458" s="0" t="s">
        <v>95</v>
      </c>
      <c r="D458" s="6" t="n">
        <f aca="false">Sens!D455+Sens!D456</f>
        <v>72.61</v>
      </c>
      <c r="E458" s="6" t="n">
        <f aca="false">Sens!E455+Sens!E456</f>
        <v>101.938</v>
      </c>
      <c r="F458" s="6" t="n">
        <f aca="false">Sens!F455+Sens!F456</f>
        <v>133.142574417427</v>
      </c>
      <c r="G458" s="6" t="n">
        <f aca="false">Sens!G455+Sens!G456</f>
        <v>170.904466545964</v>
      </c>
      <c r="H458" s="6" t="n">
        <f aca="false">Sens!H455+Sens!H456</f>
        <v>204.933289849072</v>
      </c>
      <c r="I458" s="6" t="n">
        <f aca="false">Sens!I455+Sens!I456</f>
        <v>244.564570068502</v>
      </c>
      <c r="J458" s="6" t="n">
        <f aca="false">Sens!J455+Sens!J456</f>
        <v>282.67462068629</v>
      </c>
      <c r="K458" s="6" t="n">
        <f aca="false">Sens!K455+Sens!K456</f>
        <v>318.213560947641</v>
      </c>
    </row>
    <row r="459" customFormat="false" ht="17.15" hidden="false" customHeight="false" outlineLevel="0" collapsed="false">
      <c r="A459" s="0" t="s">
        <v>784</v>
      </c>
      <c r="B459" s="1" t="s">
        <v>451</v>
      </c>
      <c r="C459" s="27" t="n">
        <f aca="false">cop_s24</f>
        <v>1</v>
      </c>
      <c r="D459" s="27" t="n">
        <f aca="false">cop_s25</f>
        <v>5</v>
      </c>
      <c r="E459" s="27" t="n">
        <f aca="false">cop_s26</f>
        <v>30</v>
      </c>
      <c r="F459" s="27" t="n">
        <f aca="false">Sens!E459+IF(2027&lt;=2029,cop_add_C,cop_add_C*cop_tail)</f>
        <v>40</v>
      </c>
      <c r="G459" s="27" t="n">
        <f aca="false">Sens!F459+IF(2028&lt;=2029,cop_add_C,cop_add_C*cop_tail)</f>
        <v>50</v>
      </c>
      <c r="H459" s="27" t="n">
        <f aca="false">Sens!G459+IF(2029&lt;=2029,cop_add_C,cop_add_C*cop_tail)</f>
        <v>60</v>
      </c>
      <c r="I459" s="27" t="n">
        <f aca="false">Sens!H459+IF(2030&lt;=2029,cop_add_C,cop_add_C*cop_tail)</f>
        <v>65</v>
      </c>
      <c r="J459" s="27" t="n">
        <f aca="false">Sens!I459+IF(2031&lt;=2029,cop_add_C,cop_add_C*cop_tail)</f>
        <v>70</v>
      </c>
      <c r="K459" s="27" t="n">
        <f aca="false">Sens!J459+IF(2032&lt;=2029,cop_add_C,cop_add_C*cop_tail)</f>
        <v>75</v>
      </c>
    </row>
    <row r="460" customFormat="false" ht="17.15" hidden="false" customHeight="false" outlineLevel="0" collapsed="false">
      <c r="A460" s="0" t="s">
        <v>785</v>
      </c>
      <c r="B460" s="0" t="s">
        <v>95</v>
      </c>
      <c r="D460" s="6" t="n">
        <f aca="false">(Sens!C459+Sens!D459)/2*cop_px*12/1000</f>
        <v>0.9</v>
      </c>
      <c r="E460" s="6" t="n">
        <f aca="false">(Sens!D459+Sens!E459)/2*cop_px*12/1000</f>
        <v>5.25</v>
      </c>
      <c r="F460" s="6" t="n">
        <f aca="false">(Sens!E459+Sens!F459)/2*cop_px*12/1000</f>
        <v>10.5</v>
      </c>
      <c r="G460" s="6" t="n">
        <f aca="false">(Sens!F459+Sens!G459)/2*cop_px*12/1000</f>
        <v>13.5</v>
      </c>
      <c r="H460" s="6" t="n">
        <f aca="false">(Sens!G459+Sens!H459)/2*cop_px*12/1000</f>
        <v>16.5</v>
      </c>
      <c r="I460" s="6" t="n">
        <f aca="false">(Sens!H459+Sens!I459)/2*cop_px*12/1000</f>
        <v>18.75</v>
      </c>
      <c r="J460" s="6" t="n">
        <f aca="false">(Sens!I459+Sens!J459)/2*cop_px*12/1000</f>
        <v>20.25</v>
      </c>
      <c r="K460" s="6" t="n">
        <f aca="false">(Sens!J459+Sens!K459)/2*cop_px*12/1000</f>
        <v>21.75</v>
      </c>
      <c r="L460" s="1" t="s">
        <v>786</v>
      </c>
    </row>
    <row r="461" customFormat="false" ht="17.15" hidden="false" customHeight="false" outlineLevel="0" collapsed="false">
      <c r="A461" s="0" t="s">
        <v>787</v>
      </c>
      <c r="B461" s="0" t="s">
        <v>95</v>
      </c>
      <c r="D461" s="6" t="n">
        <f aca="false">Q!L7-Sens!D460</f>
        <v>83.705</v>
      </c>
      <c r="E461" s="6" t="n">
        <f aca="false">Q!M7-Sens!E460</f>
        <v>95.049</v>
      </c>
      <c r="F461" s="6" t="n">
        <f aca="false">Sens!E461*(1+Sens!F462)</f>
        <v>106.89238776686</v>
      </c>
      <c r="G461" s="6" t="n">
        <f aca="false">Sens!F461*(1+Sens!G462)</f>
        <v>119.044168448684</v>
      </c>
      <c r="H461" s="6" t="n">
        <f aca="false">Sens!G461*(1+Sens!H462)</f>
        <v>131.277359388781</v>
      </c>
      <c r="I461" s="6" t="n">
        <f aca="false">Sens!H461*(1+Sens!I462)</f>
        <v>143.334028071957</v>
      </c>
      <c r="J461" s="6" t="n">
        <f aca="false">Sens!I461*(1+Sens!J462)</f>
        <v>154.932702785465</v>
      </c>
      <c r="K461" s="6" t="n">
        <f aca="false">Sens!J461*(1+Sens!K462)</f>
        <v>165.777991980448</v>
      </c>
    </row>
    <row r="462" customFormat="false" ht="15" hidden="false" customHeight="false" outlineLevel="0" collapsed="false">
      <c r="A462" s="1" t="s">
        <v>782</v>
      </c>
      <c r="B462" s="0" t="s">
        <v>126</v>
      </c>
      <c r="E462" s="7" t="n">
        <f aca="false">Sens!E461/Sens!D461-1</f>
        <v>0.135523564900544</v>
      </c>
      <c r="F462" s="7" t="n">
        <f aca="false">Sens!$E$462+(glt_m365b-Sens!$E$462)*MIN(1,1/n_conv)</f>
        <v>0.124602970750453</v>
      </c>
      <c r="G462" s="7" t="n">
        <f aca="false">Sens!$E$462+(glt_m365b-Sens!$E$462)*MIN(1,2/n_conv)</f>
        <v>0.113682376600363</v>
      </c>
      <c r="H462" s="7" t="n">
        <f aca="false">Sens!$E$462+(glt_m365b-Sens!$E$462)*MIN(1,3/n_conv)</f>
        <v>0.102761782450272</v>
      </c>
      <c r="I462" s="7" t="n">
        <f aca="false">Sens!$E$462+(glt_m365b-Sens!$E$462)*MIN(1,4/n_conv)</f>
        <v>0.0918411883001813</v>
      </c>
      <c r="J462" s="7" t="n">
        <f aca="false">Sens!$E$462+(glt_m365b-Sens!$E$462)*MIN(1,5/n_conv)</f>
        <v>0.0809205941500906</v>
      </c>
      <c r="K462" s="7" t="n">
        <f aca="false">Sens!$E$462+(glt_m365b-Sens!$E$462)*MIN(1,6/n_conv)</f>
        <v>0.07</v>
      </c>
    </row>
    <row r="463" customFormat="false" ht="15" hidden="false" customHeight="false" outlineLevel="0" collapsed="false">
      <c r="A463" s="0" t="s">
        <v>788</v>
      </c>
      <c r="B463" s="0" t="s">
        <v>95</v>
      </c>
      <c r="D463" s="6" t="n">
        <f aca="false">Sens!D461+Sens!D460</f>
        <v>84.605</v>
      </c>
      <c r="E463" s="6" t="n">
        <f aca="false">Sens!E461+Sens!E460</f>
        <v>100.299</v>
      </c>
      <c r="F463" s="6" t="n">
        <f aca="false">Sens!F461+Sens!F460</f>
        <v>117.39238776686</v>
      </c>
      <c r="G463" s="6" t="n">
        <f aca="false">Sens!G461+Sens!G460</f>
        <v>132.544168448684</v>
      </c>
      <c r="H463" s="6" t="n">
        <f aca="false">Sens!H461+Sens!H460</f>
        <v>147.777359388781</v>
      </c>
      <c r="I463" s="6" t="n">
        <f aca="false">Sens!I461+Sens!I460</f>
        <v>162.084028071957</v>
      </c>
      <c r="J463" s="6" t="n">
        <f aca="false">Sens!J461+Sens!J460</f>
        <v>175.182702785465</v>
      </c>
      <c r="K463" s="6" t="n">
        <f aca="false">Sens!K461+Sens!K460</f>
        <v>187.527991980448</v>
      </c>
    </row>
    <row r="464" customFormat="false" ht="15" hidden="false" customHeight="false" outlineLevel="0" collapsed="false">
      <c r="A464" s="0" t="s">
        <v>789</v>
      </c>
      <c r="B464" s="0" t="s">
        <v>95</v>
      </c>
      <c r="D464" s="6" t="n">
        <f aca="false">Q!L8</f>
        <v>35.391</v>
      </c>
      <c r="E464" s="6" t="n">
        <f aca="false">Q!M8</f>
        <v>37.285</v>
      </c>
      <c r="F464" s="6" t="n">
        <f aca="false">Sens!E464*(1+Sens!F465)</f>
        <v>39.0720834331704</v>
      </c>
      <c r="G464" s="6" t="n">
        <f aca="false">Sens!F464*(1+Sens!G465)</f>
        <v>40.726562953769</v>
      </c>
      <c r="H464" s="6" t="n">
        <f aca="false">Sens!G464*(1+Sens!H465)</f>
        <v>42.2235987259198</v>
      </c>
      <c r="I464" s="6" t="n">
        <f aca="false">Sens!H464*(1+Sens!I465)</f>
        <v>43.5397988077414</v>
      </c>
      <c r="J464" s="6" t="n">
        <f aca="false">Sens!I464*(1+Sens!J465)</f>
        <v>44.653811225693</v>
      </c>
      <c r="K464" s="6" t="n">
        <f aca="false">Sens!J464*(1+Sens!K465)</f>
        <v>45.5468874502068</v>
      </c>
    </row>
    <row r="465" customFormat="false" ht="15" hidden="false" customHeight="false" outlineLevel="0" collapsed="false">
      <c r="A465" s="1" t="s">
        <v>782</v>
      </c>
      <c r="B465" s="0" t="s">
        <v>126</v>
      </c>
      <c r="E465" s="7" t="n">
        <f aca="false">Sens!E464/Sens!D464-1</f>
        <v>0.0535164307309768</v>
      </c>
      <c r="F465" s="7" t="n">
        <f aca="false">Sens!$E$465+(glt_lic-Sens!$E$465)*MIN(1,1/n_conv)</f>
        <v>0.0479303589424807</v>
      </c>
      <c r="G465" s="7" t="n">
        <f aca="false">Sens!$E$465+(glt_lic-Sens!$E$465)*MIN(1,2/n_conv)</f>
        <v>0.0423442871539845</v>
      </c>
      <c r="H465" s="7" t="n">
        <f aca="false">Sens!$E$465+(glt_lic-Sens!$E$465)*MIN(1,3/n_conv)</f>
        <v>0.0367582153654884</v>
      </c>
      <c r="I465" s="7" t="n">
        <f aca="false">Sens!$E$465+(glt_lic-Sens!$E$465)*MIN(1,4/n_conv)</f>
        <v>0.0311721435769923</v>
      </c>
      <c r="J465" s="7" t="n">
        <f aca="false">Sens!$E$465+(glt_lic-Sens!$E$465)*MIN(1,5/n_conv)</f>
        <v>0.0255860717884961</v>
      </c>
      <c r="K465" s="7" t="n">
        <f aca="false">Sens!$E$465+(glt_lic-Sens!$E$465)*MIN(1,6/n_conv)</f>
        <v>0.02</v>
      </c>
    </row>
    <row r="466" customFormat="false" ht="15" hidden="false" customHeight="false" outlineLevel="0" collapsed="false">
      <c r="A466" s="0" t="s">
        <v>790</v>
      </c>
      <c r="B466" s="0" t="s">
        <v>95</v>
      </c>
      <c r="D466" s="6" t="n">
        <f aca="false">Q!L9</f>
        <v>18.417</v>
      </c>
      <c r="E466" s="6" t="n">
        <f aca="false">Q!M9</f>
        <v>20.345</v>
      </c>
      <c r="F466" s="6" t="n">
        <f aca="false">Sens!E466*(1+Sens!F467)</f>
        <v>22.3572203267814</v>
      </c>
      <c r="G466" s="6" t="n">
        <f aca="false">Sens!F466*(1+Sens!G467)</f>
        <v>24.4392124437232</v>
      </c>
      <c r="H466" s="6" t="n">
        <f aca="false">Sens!G466*(1+Sens!H467)</f>
        <v>26.5738052080665</v>
      </c>
      <c r="I466" s="6" t="n">
        <f aca="false">Sens!H466*(1+Sens!I467)</f>
        <v>28.7412169166967</v>
      </c>
      <c r="J466" s="6" t="n">
        <f aca="false">Sens!I466*(1+Sens!J467)</f>
        <v>30.9192545395413</v>
      </c>
      <c r="K466" s="6" t="n">
        <f aca="false">Sens!J466*(1+Sens!K467)</f>
        <v>33.0836023573092</v>
      </c>
    </row>
    <row r="467" customFormat="false" ht="15" hidden="false" customHeight="false" outlineLevel="0" collapsed="false">
      <c r="A467" s="1" t="s">
        <v>782</v>
      </c>
      <c r="B467" s="0" t="s">
        <v>126</v>
      </c>
      <c r="E467" s="7" t="n">
        <f aca="false">Sens!E466/Sens!D466-1</f>
        <v>0.104685888038225</v>
      </c>
      <c r="F467" s="7" t="n">
        <f aca="false">Sens!$E$467+(glt_ind-Sens!$E$467)*MIN(1,1/n_conv)</f>
        <v>0.0989049066985211</v>
      </c>
      <c r="G467" s="7" t="n">
        <f aca="false">Sens!$E$467+(glt_ind-Sens!$E$467)*MIN(1,2/n_conv)</f>
        <v>0.0931239253588169</v>
      </c>
      <c r="H467" s="7" t="n">
        <f aca="false">Sens!$E$467+(glt_ind-Sens!$E$467)*MIN(1,3/n_conv)</f>
        <v>0.0873429440191127</v>
      </c>
      <c r="I467" s="7" t="n">
        <f aca="false">Sens!$E$467+(glt_ind-Sens!$E$467)*MIN(1,4/n_conv)</f>
        <v>0.0815619626794085</v>
      </c>
      <c r="J467" s="7" t="n">
        <f aca="false">Sens!$E$467+(glt_ind-Sens!$E$467)*MIN(1,5/n_conv)</f>
        <v>0.0757809813397042</v>
      </c>
      <c r="K467" s="7" t="n">
        <f aca="false">Sens!$E$467+(glt_ind-Sens!$E$467)*MIN(1,6/n_conv)</f>
        <v>0.07</v>
      </c>
    </row>
    <row r="468" customFormat="false" ht="15" hidden="false" customHeight="false" outlineLevel="0" collapsed="false">
      <c r="A468" s="0" t="s">
        <v>791</v>
      </c>
      <c r="B468" s="0" t="s">
        <v>95</v>
      </c>
      <c r="D468" s="6" t="n">
        <f aca="false">Q!L10</f>
        <v>7.76</v>
      </c>
      <c r="E468" s="6" t="n">
        <f aca="false">Q!M10</f>
        <v>8.26</v>
      </c>
      <c r="F468" s="6" t="n">
        <f aca="false">Sens!E468*(1+Sens!F469)</f>
        <v>8.79988041237113</v>
      </c>
      <c r="G468" s="6" t="n">
        <f aca="false">Sens!F468*(1+Sens!G469)</f>
        <v>9.38321269125306</v>
      </c>
      <c r="H468" s="6" t="n">
        <f aca="false">Sens!G468*(1+Sens!H469)</f>
        <v>10.0139193587476</v>
      </c>
      <c r="I468" s="6" t="n">
        <f aca="false">Sens!H468*(1+Sens!I469)</f>
        <v>10.6963111830911</v>
      </c>
      <c r="J468" s="6" t="n">
        <f aca="false">Sens!I468*(1+Sens!J469)</f>
        <v>11.4351285534696</v>
      </c>
      <c r="K468" s="6" t="n">
        <f aca="false">Sens!J468*(1+Sens!K469)</f>
        <v>12.2355875522124</v>
      </c>
    </row>
    <row r="469" customFormat="false" ht="15" hidden="false" customHeight="false" outlineLevel="0" collapsed="false">
      <c r="A469" s="1" t="s">
        <v>782</v>
      </c>
      <c r="B469" s="0" t="s">
        <v>126</v>
      </c>
      <c r="E469" s="7" t="n">
        <f aca="false">Sens!E468/Sens!D468-1</f>
        <v>0.0644329896907216</v>
      </c>
      <c r="F469" s="7" t="n">
        <f aca="false">Sens!$E$469+(glt_fro-Sens!$E$469)*MIN(1,1/n_conv)</f>
        <v>0.065360824742268</v>
      </c>
      <c r="G469" s="7" t="n">
        <f aca="false">Sens!$E$469+(glt_fro-Sens!$E$469)*MIN(1,2/n_conv)</f>
        <v>0.0662886597938144</v>
      </c>
      <c r="H469" s="7" t="n">
        <f aca="false">Sens!$E$469+(glt_fro-Sens!$E$469)*MIN(1,3/n_conv)</f>
        <v>0.0672164948453608</v>
      </c>
      <c r="I469" s="7" t="n">
        <f aca="false">Sens!$E$469+(glt_fro-Sens!$E$469)*MIN(1,4/n_conv)</f>
        <v>0.0681443298969072</v>
      </c>
      <c r="J469" s="7" t="n">
        <f aca="false">Sens!$E$469+(glt_fro-Sens!$E$469)*MIN(1,5/n_conv)</f>
        <v>0.0690721649484536</v>
      </c>
      <c r="K469" s="7" t="n">
        <f aca="false">Sens!$E$469+(glt_fro-Sens!$E$469)*MIN(1,6/n_conv)</f>
        <v>0.07</v>
      </c>
    </row>
    <row r="470" customFormat="false" ht="15" hidden="false" customHeight="false" outlineLevel="0" collapsed="false">
      <c r="A470" s="0" t="s">
        <v>626</v>
      </c>
      <c r="B470" s="0" t="s">
        <v>95</v>
      </c>
      <c r="D470" s="6" t="n">
        <f aca="false">Sens!D458+Sens!D463+Sens!D464+Sens!D466+Sens!D468</f>
        <v>218.783</v>
      </c>
      <c r="E470" s="6" t="n">
        <f aca="false">Sens!E458+Sens!E463+Sens!E464+Sens!E466+Sens!E468</f>
        <v>268.127</v>
      </c>
      <c r="F470" s="6" t="n">
        <f aca="false">Sens!F458+Sens!F463+Sens!F464+Sens!F466+Sens!F468</f>
        <v>320.76414635661</v>
      </c>
      <c r="G470" s="6" t="n">
        <f aca="false">Sens!G458+Sens!G463+Sens!G464+Sens!G466+Sens!G468</f>
        <v>377.997623083394</v>
      </c>
      <c r="H470" s="6" t="n">
        <f aca="false">Sens!H458+Sens!H463+Sens!H464+Sens!H466+Sens!H468</f>
        <v>431.521972530587</v>
      </c>
      <c r="I470" s="6" t="n">
        <f aca="false">Sens!I458+Sens!I463+Sens!I464+Sens!I466+Sens!I468</f>
        <v>489.625925047988</v>
      </c>
      <c r="J470" s="6" t="n">
        <f aca="false">Sens!J458+Sens!J463+Sens!J464+Sens!J466+Sens!J468</f>
        <v>544.865517790459</v>
      </c>
      <c r="K470" s="6" t="n">
        <f aca="false">Sens!K458+Sens!K463+Sens!K464+Sens!K466+Sens!K468</f>
        <v>596.607630287817</v>
      </c>
    </row>
    <row r="471" customFormat="false" ht="15" hidden="false" customHeight="false" outlineLevel="0" collapsed="false">
      <c r="A471" s="0" t="s">
        <v>792</v>
      </c>
      <c r="B471" s="0" t="s">
        <v>95</v>
      </c>
      <c r="D471" s="6" t="n">
        <f aca="false">Q!L13</f>
        <v>22.171</v>
      </c>
      <c r="E471" s="6" t="n">
        <f aca="false">Q!M13</f>
        <v>24.835</v>
      </c>
      <c r="F471" s="6" t="n">
        <f aca="false">Sens!E471*(1+Sens!F472)</f>
        <v>27.6114901218559</v>
      </c>
      <c r="G471" s="6" t="n">
        <f aca="false">Sens!F471*(1+Sens!G472)</f>
        <v>30.4675667338515</v>
      </c>
      <c r="H471" s="6" t="n">
        <f aca="false">Sens!G471*(1+Sens!H472)</f>
        <v>33.3643766955789</v>
      </c>
      <c r="I471" s="6" t="n">
        <f aca="false">Sens!H471*(1+Sens!I472)</f>
        <v>36.2577016533691</v>
      </c>
      <c r="J471" s="6" t="n">
        <f aca="false">Sens!I471*(1+Sens!J472)</f>
        <v>39.0988367952171</v>
      </c>
      <c r="K471" s="6" t="n">
        <f aca="false">Sens!J471*(1+Sens!K472)</f>
        <v>41.8357553708823</v>
      </c>
    </row>
    <row r="472" customFormat="false" ht="15" hidden="false" customHeight="false" outlineLevel="0" collapsed="false">
      <c r="A472" s="1" t="s">
        <v>782</v>
      </c>
      <c r="B472" s="0" t="s">
        <v>126</v>
      </c>
      <c r="E472" s="7" t="n">
        <f aca="false">Sens!E471/Sens!D471-1</f>
        <v>0.120156961796942</v>
      </c>
      <c r="F472" s="7" t="n">
        <f aca="false">Sens!$E$472+(glt_srch-Sens!$E$472)*MIN(1,1/n_conv)</f>
        <v>0.111797468164118</v>
      </c>
      <c r="G472" s="7" t="n">
        <f aca="false">Sens!$E$472+(glt_srch-Sens!$E$472)*MIN(1,2/n_conv)</f>
        <v>0.103437974531295</v>
      </c>
      <c r="H472" s="7" t="n">
        <f aca="false">Sens!$E$472+(glt_srch-Sens!$E$472)*MIN(1,3/n_conv)</f>
        <v>0.095078480898471</v>
      </c>
      <c r="I472" s="7" t="n">
        <f aca="false">Sens!$E$472+(glt_srch-Sens!$E$472)*MIN(1,4/n_conv)</f>
        <v>0.0867189872656474</v>
      </c>
      <c r="J472" s="7" t="n">
        <f aca="false">Sens!$E$472+(glt_srch-Sens!$E$472)*MIN(1,5/n_conv)</f>
        <v>0.0783594936328237</v>
      </c>
      <c r="K472" s="7" t="n">
        <f aca="false">Sens!$E$472+(glt_srch-Sens!$E$472)*MIN(1,6/n_conv)</f>
        <v>0.07</v>
      </c>
    </row>
    <row r="473" customFormat="false" ht="15" hidden="false" customHeight="false" outlineLevel="0" collapsed="false">
      <c r="A473" s="0" t="s">
        <v>793</v>
      </c>
      <c r="B473" s="0" t="s">
        <v>95</v>
      </c>
      <c r="D473" s="6" t="n">
        <f aca="false">Q!L14</f>
        <v>23.455</v>
      </c>
      <c r="E473" s="6" t="n">
        <f aca="false">Q!M14</f>
        <v>21.79</v>
      </c>
      <c r="F473" s="6" t="n">
        <f aca="false">Sens!E473*(1+Sens!F474)</f>
        <v>20.5736277908051</v>
      </c>
      <c r="G473" s="6" t="n">
        <f aca="false">Sens!F473*(1+Sens!G474)</f>
        <v>19.7371452817919</v>
      </c>
      <c r="H473" s="6" t="n">
        <f aca="false">Sens!G473*(1+Sens!H474)</f>
        <v>19.2339764043138</v>
      </c>
      <c r="I473" s="6" t="n">
        <f aca="false">Sens!H473*(1+Sens!I474)</f>
        <v>19.0353086852681</v>
      </c>
      <c r="J473" s="6" t="n">
        <f aca="false">Sens!I473*(1+Sens!J474)</f>
        <v>19.1273539319129</v>
      </c>
      <c r="K473" s="6" t="n">
        <f aca="false">Sens!J473*(1+Sens!K474)</f>
        <v>19.5099010105511</v>
      </c>
    </row>
    <row r="474" customFormat="false" ht="15" hidden="false" customHeight="false" outlineLevel="0" collapsed="false">
      <c r="A474" s="1" t="s">
        <v>782</v>
      </c>
      <c r="B474" s="0" t="s">
        <v>126</v>
      </c>
      <c r="E474" s="7" t="n">
        <f aca="false">Sens!E473/Sens!D473-1</f>
        <v>-0.0709869963760392</v>
      </c>
      <c r="F474" s="7" t="n">
        <f aca="false">Sens!$E$474+(glt_xbox-Sens!$E$474)*MIN(1,1/n_conv)</f>
        <v>-0.0558224969800327</v>
      </c>
      <c r="G474" s="7" t="n">
        <f aca="false">Sens!$E$474+(glt_xbox-Sens!$E$474)*MIN(1,2/n_conv)</f>
        <v>-0.0406579975840262</v>
      </c>
      <c r="H474" s="7" t="n">
        <f aca="false">Sens!$E$474+(glt_xbox-Sens!$E$474)*MIN(1,3/n_conv)</f>
        <v>-0.0254934981880196</v>
      </c>
      <c r="I474" s="7" t="n">
        <f aca="false">Sens!$E$474+(glt_xbox-Sens!$E$474)*MIN(1,4/n_conv)</f>
        <v>-0.0103289987920131</v>
      </c>
      <c r="J474" s="7" t="n">
        <f aca="false">Sens!$E$474+(glt_xbox-Sens!$E$474)*MIN(1,5/n_conv)</f>
        <v>0.00483550060399347</v>
      </c>
      <c r="K474" s="7" t="n">
        <f aca="false">Sens!$E$474+(glt_xbox-Sens!$E$474)*MIN(1,6/n_conv)</f>
        <v>0.02</v>
      </c>
    </row>
    <row r="475" customFormat="false" ht="15" hidden="false" customHeight="false" outlineLevel="0" collapsed="false">
      <c r="A475" s="0" t="s">
        <v>794</v>
      </c>
      <c r="B475" s="0" t="s">
        <v>95</v>
      </c>
      <c r="D475" s="6" t="n">
        <f aca="false">Q!L15</f>
        <v>17.315</v>
      </c>
      <c r="E475" s="6" t="n">
        <f aca="false">Q!M15</f>
        <v>17.087</v>
      </c>
      <c r="F475" s="6" t="n">
        <f aca="false">Sens!E475*(1+Sens!F476)</f>
        <v>16.9564585436519</v>
      </c>
      <c r="G475" s="6" t="n">
        <f aca="false">Sens!F475*(1+Sens!G476)</f>
        <v>16.9206490624268</v>
      </c>
      <c r="H475" s="6" t="n">
        <f aca="false">Sens!G475*(1+Sens!H476)</f>
        <v>16.9784519149849</v>
      </c>
      <c r="I475" s="6" t="n">
        <f aca="false">Sens!H475*(1+Sens!I476)</f>
        <v>17.1303084701817</v>
      </c>
      <c r="J475" s="6" t="n">
        <f aca="false">Sens!I475*(1+Sens!J476)</f>
        <v>17.3782189407267</v>
      </c>
      <c r="K475" s="6" t="n">
        <f aca="false">Sens!J475*(1+Sens!K476)</f>
        <v>17.7257833195413</v>
      </c>
    </row>
    <row r="476" customFormat="false" ht="15" hidden="false" customHeight="false" outlineLevel="0" collapsed="false">
      <c r="A476" s="1" t="s">
        <v>782</v>
      </c>
      <c r="B476" s="0" t="s">
        <v>126</v>
      </c>
      <c r="E476" s="7" t="n">
        <f aca="false">Sens!E475/Sens!D475-1</f>
        <v>-0.0131677736066995</v>
      </c>
      <c r="F476" s="7" t="n">
        <f aca="false">Sens!$E$476+(glt_win-Sens!$E$476)*MIN(1,1/n_conv)</f>
        <v>-0.00763981133891627</v>
      </c>
      <c r="G476" s="7" t="n">
        <f aca="false">Sens!$E$476+(glt_win-Sens!$E$476)*MIN(1,2/n_conv)</f>
        <v>-0.00211184907113301</v>
      </c>
      <c r="H476" s="7" t="n">
        <f aca="false">Sens!$E$476+(glt_win-Sens!$E$476)*MIN(1,3/n_conv)</f>
        <v>0.00341611319665024</v>
      </c>
      <c r="I476" s="7" t="n">
        <f aca="false">Sens!$E$476+(glt_win-Sens!$E$476)*MIN(1,4/n_conv)</f>
        <v>0.00894407546443349</v>
      </c>
      <c r="J476" s="7" t="n">
        <f aca="false">Sens!$E$476+(glt_win-Sens!$E$476)*MIN(1,5/n_conv)</f>
        <v>0.0144720377322168</v>
      </c>
      <c r="K476" s="7" t="n">
        <f aca="false">Sens!$E$476+(glt_win-Sens!$E$476)*MIN(1,6/n_conv)</f>
        <v>0.02</v>
      </c>
    </row>
    <row r="477" customFormat="false" ht="15" hidden="false" customHeight="false" outlineLevel="0" collapsed="false">
      <c r="A477" s="0" t="s">
        <v>640</v>
      </c>
      <c r="B477" s="0" t="s">
        <v>95</v>
      </c>
      <c r="D477" s="6" t="n">
        <f aca="false">Sens!D471+Sens!D473+Sens!D475</f>
        <v>62.941</v>
      </c>
      <c r="E477" s="6" t="n">
        <f aca="false">Sens!E471+Sens!E473+Sens!E475</f>
        <v>63.712</v>
      </c>
      <c r="F477" s="6" t="n">
        <f aca="false">Sens!F471+Sens!F473+Sens!F475</f>
        <v>65.1415764563129</v>
      </c>
      <c r="G477" s="6" t="n">
        <f aca="false">Sens!G471+Sens!G473+Sens!G475</f>
        <v>67.1253610780702</v>
      </c>
      <c r="H477" s="6" t="n">
        <f aca="false">Sens!H471+Sens!H473+Sens!H475</f>
        <v>69.5768050148776</v>
      </c>
      <c r="I477" s="6" t="n">
        <f aca="false">Sens!I471+Sens!I473+Sens!I475</f>
        <v>72.4233188088189</v>
      </c>
      <c r="J477" s="6" t="n">
        <f aca="false">Sens!J471+Sens!J473+Sens!J475</f>
        <v>75.6044096678567</v>
      </c>
      <c r="K477" s="6" t="n">
        <f aca="false">Sens!K471+Sens!K473+Sens!K475</f>
        <v>79.0714397009747</v>
      </c>
    </row>
    <row r="478" customFormat="false" ht="15" hidden="false" customHeight="false" outlineLevel="0" collapsed="false">
      <c r="A478" s="1" t="s">
        <v>795</v>
      </c>
      <c r="B478" s="0" t="s">
        <v>95</v>
      </c>
      <c r="D478" s="6" t="n">
        <f aca="false">Sens!D470+Sens!D477</f>
        <v>281.724</v>
      </c>
      <c r="E478" s="6" t="n">
        <f aca="false">Sens!E470+Sens!E477</f>
        <v>331.839</v>
      </c>
      <c r="F478" s="6" t="n">
        <f aca="false">Sens!F470+Sens!F477</f>
        <v>385.905722812923</v>
      </c>
      <c r="G478" s="6" t="n">
        <f aca="false">Sens!G470+Sens!G477</f>
        <v>445.122984161464</v>
      </c>
      <c r="H478" s="6" t="n">
        <f aca="false">Sens!H470+Sens!H477</f>
        <v>501.098777545464</v>
      </c>
      <c r="I478" s="6" t="n">
        <f aca="false">Sens!I470+Sens!I477</f>
        <v>562.049243856807</v>
      </c>
      <c r="J478" s="6" t="n">
        <f aca="false">Sens!J470+Sens!J477</f>
        <v>620.469927458315</v>
      </c>
      <c r="K478" s="6" t="n">
        <f aca="false">Sens!K470+Sens!K477</f>
        <v>675.679069988792</v>
      </c>
    </row>
    <row r="479" customFormat="false" ht="15" hidden="false" customHeight="false" outlineLevel="0" collapsed="false">
      <c r="A479" s="22" t="s">
        <v>796</v>
      </c>
      <c r="B479" s="28" t="s">
        <v>95</v>
      </c>
      <c r="C479" s="28"/>
      <c r="D479" s="23" t="n">
        <f aca="false">(Sens!D458+Sens!D463+Sens!D464+Sens!D466+Sens!D468-Sens!D470)+(Sens!D471+Sens!D473+Sens!D475-Sens!D477)+(Sens!D470-Q!L5)+(Sens!D477-Q!L12)+(Sens!D458-Q!L6)+(Sens!D463-Q!L7)</f>
        <v>0</v>
      </c>
      <c r="E479" s="23" t="n">
        <f aca="false">(Sens!E458+Sens!E463+Sens!E464+Sens!E466+Sens!E468-Sens!E470)+(Sens!E471+Sens!E473+Sens!E475-Sens!E477)+(Sens!E470-Q!M5)+(Sens!E477-Q!M12)+(Sens!E458-Q!M6)+(Sens!E463-Q!M7)</f>
        <v>0</v>
      </c>
      <c r="F479" s="23" t="n">
        <f aca="false">(Sens!F458+Sens!F463+Sens!F464+Sens!F466+Sens!F468-Sens!F470)+(Sens!F471+Sens!F473+Sens!F475-Sens!F477)</f>
        <v>0</v>
      </c>
      <c r="G479" s="23" t="n">
        <f aca="false">(Sens!G458+Sens!G463+Sens!G464+Sens!G466+Sens!G468-Sens!G470)+(Sens!G471+Sens!G473+Sens!G475-Sens!G477)</f>
        <v>0</v>
      </c>
      <c r="H479" s="23" t="n">
        <f aca="false">(Sens!H458+Sens!H463+Sens!H464+Sens!H466+Sens!H468-Sens!H470)+(Sens!H471+Sens!H473+Sens!H475-Sens!H477)</f>
        <v>0</v>
      </c>
      <c r="I479" s="23" t="n">
        <f aca="false">(Sens!I458+Sens!I463+Sens!I464+Sens!I466+Sens!I468-Sens!I470)+(Sens!I471+Sens!I473+Sens!I475-Sens!I477)</f>
        <v>0</v>
      </c>
      <c r="J479" s="23" t="n">
        <f aca="false">(Sens!J458+Sens!J463+Sens!J464+Sens!J466+Sens!J468-Sens!J470)+(Sens!J471+Sens!J473+Sens!J475-Sens!J477)</f>
        <v>0</v>
      </c>
      <c r="K479" s="23" t="n">
        <f aca="false">(Sens!K458+Sens!K463+Sens!K464+Sens!K466+Sens!K468-Sens!K470)+(Sens!K471+Sens!K473+Sens!K475-Sens!K477)</f>
        <v>0</v>
      </c>
    </row>
    <row r="480" customFormat="false" ht="17.15" hidden="false" customHeight="false" outlineLevel="0" collapsed="false">
      <c r="A480" s="3" t="s">
        <v>1126</v>
      </c>
    </row>
    <row r="481" customFormat="false" ht="15" hidden="false" customHeight="false" outlineLevel="0" collapsed="false">
      <c r="A481" s="4" t="s">
        <v>43</v>
      </c>
      <c r="B481" s="4" t="s">
        <v>63</v>
      </c>
      <c r="C481" s="19" t="s">
        <v>710</v>
      </c>
      <c r="D481" s="19" t="s">
        <v>711</v>
      </c>
      <c r="E481" s="19" t="s">
        <v>712</v>
      </c>
      <c r="F481" s="19" t="s">
        <v>713</v>
      </c>
      <c r="G481" s="19" t="s">
        <v>714</v>
      </c>
      <c r="H481" s="19" t="s">
        <v>715</v>
      </c>
      <c r="I481" s="19" t="s">
        <v>716</v>
      </c>
      <c r="J481" s="19" t="s">
        <v>717</v>
      </c>
      <c r="K481" s="19" t="s">
        <v>718</v>
      </c>
      <c r="L481" s="4" t="s">
        <v>47</v>
      </c>
    </row>
    <row r="482" customFormat="false" ht="15" hidden="false" customHeight="false" outlineLevel="0" collapsed="false">
      <c r="A482" s="0" t="s">
        <v>783</v>
      </c>
      <c r="B482" s="0" t="s">
        <v>95</v>
      </c>
      <c r="D482" s="6" t="n">
        <f aca="false">Sens!D458</f>
        <v>72.61</v>
      </c>
      <c r="E482" s="6" t="n">
        <f aca="false">Sens!E458</f>
        <v>101.938</v>
      </c>
      <c r="F482" s="6" t="n">
        <f aca="false">Sens!F458</f>
        <v>133.142574417427</v>
      </c>
      <c r="G482" s="6" t="n">
        <f aca="false">Sens!G458</f>
        <v>170.904466545964</v>
      </c>
      <c r="H482" s="6" t="n">
        <f aca="false">Sens!H458</f>
        <v>204.933289849072</v>
      </c>
      <c r="I482" s="6" t="n">
        <f aca="false">Sens!I458</f>
        <v>244.564570068502</v>
      </c>
      <c r="J482" s="6" t="n">
        <f aca="false">Sens!J458</f>
        <v>282.67462068629</v>
      </c>
      <c r="K482" s="6" t="n">
        <f aca="false">Sens!K458</f>
        <v>318.213560947641</v>
      </c>
    </row>
    <row r="483" customFormat="false" ht="17.15" hidden="false" customHeight="false" outlineLevel="0" collapsed="false">
      <c r="A483" s="0" t="s">
        <v>780</v>
      </c>
      <c r="B483" s="0" t="s">
        <v>95</v>
      </c>
      <c r="D483" s="6" t="n">
        <f aca="false">Sens!D455</f>
        <v>12.9359794422418</v>
      </c>
      <c r="E483" s="6" t="n">
        <f aca="false">Sens!E455</f>
        <v>27.8095064661409</v>
      </c>
      <c r="F483" s="6" t="n">
        <f aca="false">Sens!F455</f>
        <v>43.0626246800606</v>
      </c>
      <c r="G483" s="6" t="n">
        <f aca="false">Sens!G455</f>
        <v>63.8760413426546</v>
      </c>
      <c r="H483" s="6" t="n">
        <f aca="false">Sens!H455</f>
        <v>80.6613072634357</v>
      </c>
      <c r="I483" s="6" t="n">
        <f aca="false">Sens!I455</f>
        <v>103.630867686647</v>
      </c>
      <c r="J483" s="6" t="n">
        <f aca="false">Sens!J455</f>
        <v>126.655753371958</v>
      </c>
      <c r="K483" s="6" t="n">
        <f aca="false">Sens!K455</f>
        <v>149.713184248163</v>
      </c>
    </row>
    <row r="484" customFormat="false" ht="17.15" hidden="false" customHeight="false" outlineLevel="0" collapsed="false">
      <c r="A484" s="0" t="s">
        <v>807</v>
      </c>
      <c r="B484" s="0" t="s">
        <v>95</v>
      </c>
      <c r="D484" s="6" t="n">
        <f aca="false">Sens!D456</f>
        <v>59.6740205577583</v>
      </c>
      <c r="E484" s="6" t="n">
        <f aca="false">Sens!E456</f>
        <v>74.1284935338591</v>
      </c>
      <c r="F484" s="6" t="n">
        <f aca="false">Sens!F456</f>
        <v>90.0799497373663</v>
      </c>
      <c r="G484" s="6" t="n">
        <f aca="false">Sens!G456</f>
        <v>107.02842520331</v>
      </c>
      <c r="H484" s="6" t="n">
        <f aca="false">Sens!H456</f>
        <v>124.271982585636</v>
      </c>
      <c r="I484" s="6" t="n">
        <f aca="false">Sens!I456</f>
        <v>140.933702381855</v>
      </c>
      <c r="J484" s="6" t="n">
        <f aca="false">Sens!J456</f>
        <v>156.018867314332</v>
      </c>
      <c r="K484" s="6" t="n">
        <f aca="false">Sens!K456</f>
        <v>168.500376699478</v>
      </c>
    </row>
    <row r="485" customFormat="false" ht="15" hidden="false" customHeight="false" outlineLevel="0" collapsed="false">
      <c r="A485" s="0" t="s">
        <v>788</v>
      </c>
      <c r="B485" s="0" t="s">
        <v>95</v>
      </c>
      <c r="D485" s="6" t="n">
        <f aca="false">Sens!D463</f>
        <v>84.605</v>
      </c>
      <c r="E485" s="6" t="n">
        <f aca="false">Sens!E463</f>
        <v>100.299</v>
      </c>
      <c r="F485" s="6" t="n">
        <f aca="false">Sens!F463</f>
        <v>117.39238776686</v>
      </c>
      <c r="G485" s="6" t="n">
        <f aca="false">Sens!G463</f>
        <v>132.544168448684</v>
      </c>
      <c r="H485" s="6" t="n">
        <f aca="false">Sens!H463</f>
        <v>147.777359388781</v>
      </c>
      <c r="I485" s="6" t="n">
        <f aca="false">Sens!I463</f>
        <v>162.084028071957</v>
      </c>
      <c r="J485" s="6" t="n">
        <f aca="false">Sens!J463</f>
        <v>175.182702785465</v>
      </c>
      <c r="K485" s="6" t="n">
        <f aca="false">Sens!K463</f>
        <v>187.527991980448</v>
      </c>
    </row>
    <row r="486" customFormat="false" ht="17.15" hidden="false" customHeight="false" outlineLevel="0" collapsed="false">
      <c r="A486" s="0" t="s">
        <v>808</v>
      </c>
      <c r="B486" s="0" t="s">
        <v>95</v>
      </c>
      <c r="D486" s="6" t="n">
        <f aca="false">Sens!D461</f>
        <v>83.705</v>
      </c>
      <c r="E486" s="6" t="n">
        <f aca="false">Sens!E461</f>
        <v>95.049</v>
      </c>
      <c r="F486" s="6" t="n">
        <f aca="false">Sens!F461</f>
        <v>106.89238776686</v>
      </c>
      <c r="G486" s="6" t="n">
        <f aca="false">Sens!G461</f>
        <v>119.044168448684</v>
      </c>
      <c r="H486" s="6" t="n">
        <f aca="false">Sens!H461</f>
        <v>131.277359388781</v>
      </c>
      <c r="I486" s="6" t="n">
        <f aca="false">Sens!I461</f>
        <v>143.334028071957</v>
      </c>
      <c r="J486" s="6" t="n">
        <f aca="false">Sens!J461</f>
        <v>154.932702785465</v>
      </c>
      <c r="K486" s="6" t="n">
        <f aca="false">Sens!K461</f>
        <v>165.777991980448</v>
      </c>
    </row>
    <row r="487" customFormat="false" ht="17.15" hidden="false" customHeight="false" outlineLevel="0" collapsed="false">
      <c r="A487" s="0" t="s">
        <v>809</v>
      </c>
      <c r="B487" s="0" t="s">
        <v>95</v>
      </c>
      <c r="D487" s="6" t="n">
        <f aca="false">Sens!D460</f>
        <v>0.9</v>
      </c>
      <c r="E487" s="6" t="n">
        <f aca="false">Sens!E460</f>
        <v>5.25</v>
      </c>
      <c r="F487" s="6" t="n">
        <f aca="false">Sens!F460</f>
        <v>10.5</v>
      </c>
      <c r="G487" s="6" t="n">
        <f aca="false">Sens!G460</f>
        <v>13.5</v>
      </c>
      <c r="H487" s="6" t="n">
        <f aca="false">Sens!H460</f>
        <v>16.5</v>
      </c>
      <c r="I487" s="6" t="n">
        <f aca="false">Sens!I460</f>
        <v>18.75</v>
      </c>
      <c r="J487" s="6" t="n">
        <f aca="false">Sens!J460</f>
        <v>20.25</v>
      </c>
      <c r="K487" s="6" t="n">
        <f aca="false">Sens!K460</f>
        <v>21.75</v>
      </c>
    </row>
    <row r="488" customFormat="false" ht="15" hidden="false" customHeight="false" outlineLevel="0" collapsed="false">
      <c r="A488" s="0" t="s">
        <v>789</v>
      </c>
      <c r="B488" s="0" t="s">
        <v>95</v>
      </c>
      <c r="D488" s="6" t="n">
        <f aca="false">Sens!D464</f>
        <v>35.391</v>
      </c>
      <c r="E488" s="6" t="n">
        <f aca="false">Sens!E464</f>
        <v>37.285</v>
      </c>
      <c r="F488" s="6" t="n">
        <f aca="false">Sens!F464</f>
        <v>39.0720834331704</v>
      </c>
      <c r="G488" s="6" t="n">
        <f aca="false">Sens!G464</f>
        <v>40.726562953769</v>
      </c>
      <c r="H488" s="6" t="n">
        <f aca="false">Sens!H464</f>
        <v>42.2235987259198</v>
      </c>
      <c r="I488" s="6" t="n">
        <f aca="false">Sens!I464</f>
        <v>43.5397988077414</v>
      </c>
      <c r="J488" s="6" t="n">
        <f aca="false">Sens!J464</f>
        <v>44.653811225693</v>
      </c>
      <c r="K488" s="6" t="n">
        <f aca="false">Sens!K464</f>
        <v>45.5468874502068</v>
      </c>
    </row>
    <row r="489" customFormat="false" ht="15" hidden="false" customHeight="false" outlineLevel="0" collapsed="false">
      <c r="A489" s="0" t="s">
        <v>790</v>
      </c>
      <c r="B489" s="0" t="s">
        <v>95</v>
      </c>
      <c r="D489" s="6" t="n">
        <f aca="false">Sens!D466</f>
        <v>18.417</v>
      </c>
      <c r="E489" s="6" t="n">
        <f aca="false">Sens!E466</f>
        <v>20.345</v>
      </c>
      <c r="F489" s="6" t="n">
        <f aca="false">Sens!F466</f>
        <v>22.3572203267814</v>
      </c>
      <c r="G489" s="6" t="n">
        <f aca="false">Sens!G466</f>
        <v>24.4392124437232</v>
      </c>
      <c r="H489" s="6" t="n">
        <f aca="false">Sens!H466</f>
        <v>26.5738052080665</v>
      </c>
      <c r="I489" s="6" t="n">
        <f aca="false">Sens!I466</f>
        <v>28.7412169166967</v>
      </c>
      <c r="J489" s="6" t="n">
        <f aca="false">Sens!J466</f>
        <v>30.9192545395413</v>
      </c>
      <c r="K489" s="6" t="n">
        <f aca="false">Sens!K466</f>
        <v>33.0836023573092</v>
      </c>
    </row>
    <row r="490" customFormat="false" ht="15" hidden="false" customHeight="false" outlineLevel="0" collapsed="false">
      <c r="A490" s="0" t="s">
        <v>791</v>
      </c>
      <c r="B490" s="0" t="s">
        <v>95</v>
      </c>
      <c r="D490" s="6" t="n">
        <f aca="false">Sens!D468</f>
        <v>7.76</v>
      </c>
      <c r="E490" s="6" t="n">
        <f aca="false">Sens!E468</f>
        <v>8.26</v>
      </c>
      <c r="F490" s="6" t="n">
        <f aca="false">Sens!F468</f>
        <v>8.79988041237113</v>
      </c>
      <c r="G490" s="6" t="n">
        <f aca="false">Sens!G468</f>
        <v>9.38321269125306</v>
      </c>
      <c r="H490" s="6" t="n">
        <f aca="false">Sens!H468</f>
        <v>10.0139193587476</v>
      </c>
      <c r="I490" s="6" t="n">
        <f aca="false">Sens!I468</f>
        <v>10.6963111830911</v>
      </c>
      <c r="J490" s="6" t="n">
        <f aca="false">Sens!J468</f>
        <v>11.4351285534696</v>
      </c>
      <c r="K490" s="6" t="n">
        <f aca="false">Sens!K468</f>
        <v>12.2355875522124</v>
      </c>
    </row>
    <row r="491" customFormat="false" ht="15" hidden="false" customHeight="false" outlineLevel="0" collapsed="false">
      <c r="A491" s="0" t="s">
        <v>626</v>
      </c>
      <c r="B491" s="0" t="s">
        <v>95</v>
      </c>
      <c r="D491" s="6" t="n">
        <f aca="false">Sens!D470</f>
        <v>218.783</v>
      </c>
      <c r="E491" s="6" t="n">
        <f aca="false">Sens!E470</f>
        <v>268.127</v>
      </c>
      <c r="F491" s="6" t="n">
        <f aca="false">Sens!F470</f>
        <v>320.76414635661</v>
      </c>
      <c r="G491" s="6" t="n">
        <f aca="false">Sens!G470</f>
        <v>377.997623083394</v>
      </c>
      <c r="H491" s="6" t="n">
        <f aca="false">Sens!H470</f>
        <v>431.521972530587</v>
      </c>
      <c r="I491" s="6" t="n">
        <f aca="false">Sens!I470</f>
        <v>489.625925047988</v>
      </c>
      <c r="J491" s="6" t="n">
        <f aca="false">Sens!J470</f>
        <v>544.865517790459</v>
      </c>
      <c r="K491" s="6" t="n">
        <f aca="false">Sens!K470</f>
        <v>596.607630287817</v>
      </c>
    </row>
    <row r="492" customFormat="false" ht="15" hidden="false" customHeight="false" outlineLevel="0" collapsed="false">
      <c r="A492" s="0" t="s">
        <v>792</v>
      </c>
      <c r="B492" s="0" t="s">
        <v>95</v>
      </c>
      <c r="D492" s="6" t="n">
        <f aca="false">Sens!D471</f>
        <v>22.171</v>
      </c>
      <c r="E492" s="6" t="n">
        <f aca="false">Sens!E471</f>
        <v>24.835</v>
      </c>
      <c r="F492" s="6" t="n">
        <f aca="false">Sens!F471</f>
        <v>27.6114901218559</v>
      </c>
      <c r="G492" s="6" t="n">
        <f aca="false">Sens!G471</f>
        <v>30.4675667338515</v>
      </c>
      <c r="H492" s="6" t="n">
        <f aca="false">Sens!H471</f>
        <v>33.3643766955789</v>
      </c>
      <c r="I492" s="6" t="n">
        <f aca="false">Sens!I471</f>
        <v>36.2577016533691</v>
      </c>
      <c r="J492" s="6" t="n">
        <f aca="false">Sens!J471</f>
        <v>39.0988367952171</v>
      </c>
      <c r="K492" s="6" t="n">
        <f aca="false">Sens!K471</f>
        <v>41.8357553708823</v>
      </c>
    </row>
    <row r="493" customFormat="false" ht="15" hidden="false" customHeight="false" outlineLevel="0" collapsed="false">
      <c r="A493" s="0" t="s">
        <v>793</v>
      </c>
      <c r="B493" s="0" t="s">
        <v>95</v>
      </c>
      <c r="D493" s="6" t="n">
        <f aca="false">Sens!D473</f>
        <v>23.455</v>
      </c>
      <c r="E493" s="6" t="n">
        <f aca="false">Sens!E473</f>
        <v>21.79</v>
      </c>
      <c r="F493" s="6" t="n">
        <f aca="false">Sens!F473</f>
        <v>20.5736277908051</v>
      </c>
      <c r="G493" s="6" t="n">
        <f aca="false">Sens!G473</f>
        <v>19.7371452817919</v>
      </c>
      <c r="H493" s="6" t="n">
        <f aca="false">Sens!H473</f>
        <v>19.2339764043138</v>
      </c>
      <c r="I493" s="6" t="n">
        <f aca="false">Sens!I473</f>
        <v>19.0353086852681</v>
      </c>
      <c r="J493" s="6" t="n">
        <f aca="false">Sens!J473</f>
        <v>19.1273539319129</v>
      </c>
      <c r="K493" s="6" t="n">
        <f aca="false">Sens!K473</f>
        <v>19.5099010105511</v>
      </c>
    </row>
    <row r="494" customFormat="false" ht="15" hidden="false" customHeight="false" outlineLevel="0" collapsed="false">
      <c r="A494" s="0" t="s">
        <v>794</v>
      </c>
      <c r="B494" s="0" t="s">
        <v>95</v>
      </c>
      <c r="D494" s="6" t="n">
        <f aca="false">Sens!D475</f>
        <v>17.315</v>
      </c>
      <c r="E494" s="6" t="n">
        <f aca="false">Sens!E475</f>
        <v>17.087</v>
      </c>
      <c r="F494" s="6" t="n">
        <f aca="false">Sens!F475</f>
        <v>16.9564585436519</v>
      </c>
      <c r="G494" s="6" t="n">
        <f aca="false">Sens!G475</f>
        <v>16.9206490624268</v>
      </c>
      <c r="H494" s="6" t="n">
        <f aca="false">Sens!H475</f>
        <v>16.9784519149849</v>
      </c>
      <c r="I494" s="6" t="n">
        <f aca="false">Sens!I475</f>
        <v>17.1303084701817</v>
      </c>
      <c r="J494" s="6" t="n">
        <f aca="false">Sens!J475</f>
        <v>17.3782189407267</v>
      </c>
      <c r="K494" s="6" t="n">
        <f aca="false">Sens!K475</f>
        <v>17.7257833195413</v>
      </c>
    </row>
    <row r="495" customFormat="false" ht="15" hidden="false" customHeight="false" outlineLevel="0" collapsed="false">
      <c r="A495" s="0" t="s">
        <v>640</v>
      </c>
      <c r="B495" s="0" t="s">
        <v>95</v>
      </c>
      <c r="D495" s="6" t="n">
        <f aca="false">Sens!D477</f>
        <v>62.941</v>
      </c>
      <c r="E495" s="6" t="n">
        <f aca="false">Sens!E477</f>
        <v>63.712</v>
      </c>
      <c r="F495" s="6" t="n">
        <f aca="false">Sens!F477</f>
        <v>65.1415764563129</v>
      </c>
      <c r="G495" s="6" t="n">
        <f aca="false">Sens!G477</f>
        <v>67.1253610780702</v>
      </c>
      <c r="H495" s="6" t="n">
        <f aca="false">Sens!H477</f>
        <v>69.5768050148776</v>
      </c>
      <c r="I495" s="6" t="n">
        <f aca="false">Sens!I477</f>
        <v>72.4233188088189</v>
      </c>
      <c r="J495" s="6" t="n">
        <f aca="false">Sens!J477</f>
        <v>75.6044096678567</v>
      </c>
      <c r="K495" s="6" t="n">
        <f aca="false">Sens!K477</f>
        <v>79.0714397009747</v>
      </c>
    </row>
    <row r="496" customFormat="false" ht="15" hidden="false" customHeight="false" outlineLevel="0" collapsed="false">
      <c r="A496" s="1" t="s">
        <v>810</v>
      </c>
      <c r="B496" s="0" t="s">
        <v>95</v>
      </c>
      <c r="D496" s="6" t="n">
        <f aca="false">Sens!D478</f>
        <v>281.724</v>
      </c>
      <c r="E496" s="6" t="n">
        <f aca="false">Sens!E478</f>
        <v>331.839</v>
      </c>
      <c r="F496" s="6" t="n">
        <f aca="false">Sens!F478</f>
        <v>385.905722812923</v>
      </c>
      <c r="G496" s="6" t="n">
        <f aca="false">Sens!G478</f>
        <v>445.122984161464</v>
      </c>
      <c r="H496" s="6" t="n">
        <f aca="false">Sens!H478</f>
        <v>501.098777545464</v>
      </c>
      <c r="I496" s="6" t="n">
        <f aca="false">Sens!I478</f>
        <v>562.049243856807</v>
      </c>
      <c r="J496" s="6" t="n">
        <f aca="false">Sens!J478</f>
        <v>620.469927458315</v>
      </c>
      <c r="K496" s="6" t="n">
        <f aca="false">Sens!K478</f>
        <v>675.679069988792</v>
      </c>
    </row>
    <row r="497" customFormat="false" ht="15" hidden="false" customHeight="false" outlineLevel="0" collapsed="false">
      <c r="A497" s="1" t="s">
        <v>811</v>
      </c>
      <c r="B497" s="0" t="s">
        <v>126</v>
      </c>
      <c r="E497" s="7" t="n">
        <f aca="false">Sens!E496/Sens!D496-1</f>
        <v>0.177886867998467</v>
      </c>
      <c r="F497" s="7" t="n">
        <f aca="false">Sens!F496/Sens!E496-1</f>
        <v>0.162930586256958</v>
      </c>
      <c r="G497" s="7" t="n">
        <f aca="false">Sens!G496/Sens!F496-1</f>
        <v>0.153450073030527</v>
      </c>
      <c r="H497" s="7" t="n">
        <f aca="false">Sens!H496/Sens!G496-1</f>
        <v>0.12575354537005</v>
      </c>
      <c r="I497" s="7" t="n">
        <f aca="false">Sens!I496/Sens!H496-1</f>
        <v>0.12163363600665</v>
      </c>
      <c r="J497" s="7" t="n">
        <f aca="false">Sens!J496/Sens!I496-1</f>
        <v>0.103942286623541</v>
      </c>
      <c r="K497" s="7" t="n">
        <f aca="false">Sens!K496/Sens!J496-1</f>
        <v>0.088979562243467</v>
      </c>
    </row>
    <row r="498" customFormat="false" ht="17.15" hidden="false" customHeight="false" outlineLevel="0" collapsed="false">
      <c r="A498" s="22" t="s">
        <v>812</v>
      </c>
      <c r="B498" s="28" t="s">
        <v>95</v>
      </c>
      <c r="C498" s="28"/>
      <c r="D498" s="23" t="n">
        <f aca="false">(Sens!D491+Sens!D495-Sens!D496)+(Sens!D483+Sens!D484-Sens!D482)+(Sens!D486+Sens!D487-Sens!D485)+(Sens!D496-Q!L18)</f>
        <v>0</v>
      </c>
      <c r="E498" s="23" t="n">
        <f aca="false">(Sens!E491+Sens!E495-Sens!E496)+(Sens!E483+Sens!E484-Sens!E482)+(Sens!E486+Sens!E487-Sens!E485)+(Sens!E496-Q!M18)</f>
        <v>0</v>
      </c>
      <c r="F498" s="23" t="n">
        <f aca="false">(Sens!F491+Sens!F495-Sens!F496)+(Sens!F483+Sens!F484-Sens!F482)+(Sens!F486+Sens!F487-Sens!F485)</f>
        <v>0</v>
      </c>
      <c r="G498" s="23" t="n">
        <f aca="false">(Sens!G491+Sens!G495-Sens!G496)+(Sens!G483+Sens!G484-Sens!G482)+(Sens!G486+Sens!G487-Sens!G485)</f>
        <v>0</v>
      </c>
      <c r="H498" s="23" t="n">
        <f aca="false">(Sens!H491+Sens!H495-Sens!H496)+(Sens!H483+Sens!H484-Sens!H482)+(Sens!H486+Sens!H487-Sens!H485)</f>
        <v>0</v>
      </c>
      <c r="I498" s="23" t="n">
        <f aca="false">(Sens!I491+Sens!I495-Sens!I496)+(Sens!I483+Sens!I484-Sens!I482)+(Sens!I486+Sens!I487-Sens!I485)</f>
        <v>0</v>
      </c>
      <c r="J498" s="23" t="n">
        <f aca="false">(Sens!J491+Sens!J495-Sens!J496)+(Sens!J483+Sens!J484-Sens!J482)+(Sens!J486+Sens!J487-Sens!J485)</f>
        <v>0</v>
      </c>
      <c r="K498" s="23" t="n">
        <f aca="false">(Sens!K491+Sens!K495-Sens!K496)+(Sens!K483+Sens!K484-Sens!K482)+(Sens!K486+Sens!K487-Sens!K485)</f>
        <v>0</v>
      </c>
    </row>
    <row r="499" customFormat="false" ht="17.15" hidden="false" customHeight="false" outlineLevel="0" collapsed="false">
      <c r="A499" s="0" t="s">
        <v>813</v>
      </c>
      <c r="B499" s="0" t="s">
        <v>126</v>
      </c>
      <c r="E499" s="7" t="n">
        <f aca="false">(Q!M21+Sens!E436+Sens!E437+Sens!E438+Sens!E451-Sens!E434)/(Q!M5-Sens!E434)</f>
        <v>0.570957350878296</v>
      </c>
      <c r="F499" s="7" t="n">
        <f aca="false">Sens!$E$499+dm_seg</f>
        <v>0.570957350878296</v>
      </c>
      <c r="G499" s="7" t="n">
        <f aca="false">Sens!$E$499+dm_seg</f>
        <v>0.570957350878296</v>
      </c>
      <c r="H499" s="7" t="n">
        <f aca="false">Sens!$E$499+dm_seg</f>
        <v>0.570957350878296</v>
      </c>
      <c r="I499" s="7" t="n">
        <f aca="false">Sens!$E$499+dm_seg</f>
        <v>0.570957350878296</v>
      </c>
      <c r="J499" s="7" t="n">
        <f aca="false">Sens!$E$499+dm_seg</f>
        <v>0.570957350878296</v>
      </c>
      <c r="K499" s="7" t="n">
        <f aca="false">Sens!$E$499+dm_seg</f>
        <v>0.570957350878296</v>
      </c>
      <c r="L499" s="11" t="s">
        <v>814</v>
      </c>
    </row>
    <row r="500" customFormat="false" ht="17.15" hidden="false" customHeight="false" outlineLevel="0" collapsed="false">
      <c r="A500" s="0" t="s">
        <v>654</v>
      </c>
      <c r="B500" s="0" t="s">
        <v>95</v>
      </c>
      <c r="D500" s="6" t="n">
        <f aca="false">Q!L21</f>
        <v>110.814</v>
      </c>
      <c r="E500" s="6" t="n">
        <f aca="false">Q!M21</f>
        <v>136.365</v>
      </c>
      <c r="F500" s="6" t="n">
        <f aca="false">Sens!F499*(Sens!F470-Sens!F434)+Sens!F434-(Sens!F436+Sens!F437+Sens!F438)-Sens!F451</f>
        <v>144.727817999231</v>
      </c>
      <c r="G500" s="6" t="n">
        <f aca="false">Sens!G499*(Sens!G470-Sens!G434)+Sens!G434-(Sens!G436+Sens!G437+Sens!G438)-Sens!G451</f>
        <v>149.011916311295</v>
      </c>
      <c r="H500" s="6" t="n">
        <f aca="false">Sens!H499*(Sens!H470-Sens!H434)+Sens!H434-(Sens!H436+Sens!H437+Sens!H438)-Sens!H451</f>
        <v>148.3410509836</v>
      </c>
      <c r="I500" s="6" t="n">
        <f aca="false">Sens!I499*(Sens!I470-Sens!I434)+Sens!I434-(Sens!I436+Sens!I437+Sens!I438)-Sens!I451</f>
        <v>151.888168660145</v>
      </c>
      <c r="J500" s="6" t="n">
        <f aca="false">Sens!J499*(Sens!J470-Sens!J434)+Sens!J434-(Sens!J436+Sens!J437+Sens!J438)-Sens!J451</f>
        <v>152.835255339056</v>
      </c>
      <c r="K500" s="6" t="n">
        <f aca="false">Sens!K499*(Sens!K470-Sens!K434)+Sens!K434-(Sens!K436+Sens!K437+Sens!K438)-Sens!K451</f>
        <v>150.502367947991</v>
      </c>
      <c r="L500" s="1" t="s">
        <v>815</v>
      </c>
    </row>
    <row r="501" customFormat="false" ht="17.15" hidden="false" customHeight="false" outlineLevel="0" collapsed="false">
      <c r="A501" s="0" t="s">
        <v>816</v>
      </c>
      <c r="B501" s="0" t="s">
        <v>126</v>
      </c>
      <c r="E501" s="7" t="n">
        <f aca="false">Q!M22/Q!M12</f>
        <v>0.296207935710698</v>
      </c>
      <c r="F501" s="7" t="n">
        <f aca="false">Sens!$E$501+dm_seg</f>
        <v>0.296207935710698</v>
      </c>
      <c r="G501" s="7" t="n">
        <f aca="false">Sens!$E$501+dm_seg</f>
        <v>0.296207935710698</v>
      </c>
      <c r="H501" s="7" t="n">
        <f aca="false">Sens!$E$501+dm_seg</f>
        <v>0.296207935710698</v>
      </c>
      <c r="I501" s="7" t="n">
        <f aca="false">Sens!$E$501+dm_seg</f>
        <v>0.296207935710698</v>
      </c>
      <c r="J501" s="7" t="n">
        <f aca="false">Sens!$E$501+dm_seg</f>
        <v>0.296207935710698</v>
      </c>
      <c r="K501" s="7" t="n">
        <f aca="false">Sens!$E$501+dm_seg</f>
        <v>0.296207935710698</v>
      </c>
      <c r="L501" s="11" t="s">
        <v>817</v>
      </c>
    </row>
    <row r="502" customFormat="false" ht="17.15" hidden="false" customHeight="false" outlineLevel="0" collapsed="false">
      <c r="A502" s="0" t="s">
        <v>656</v>
      </c>
      <c r="B502" s="0" t="s">
        <v>95</v>
      </c>
      <c r="D502" s="6" t="n">
        <f aca="false">Q!L22</f>
        <v>17.714</v>
      </c>
      <c r="E502" s="6" t="n">
        <f aca="false">Q!M22</f>
        <v>18.872</v>
      </c>
      <c r="F502" s="6" t="n">
        <f aca="false">Sens!F477*Sens!F501</f>
        <v>19.2954518910651</v>
      </c>
      <c r="G502" s="6" t="n">
        <f aca="false">Sens!G477*Sens!G501</f>
        <v>19.8830646387704</v>
      </c>
      <c r="H502" s="6" t="n">
        <f aca="false">Sens!H477*Sens!H501</f>
        <v>20.6092017868026</v>
      </c>
      <c r="I502" s="6" t="n">
        <f aca="false">Sens!I477*Sens!I501</f>
        <v>21.452361761678</v>
      </c>
      <c r="J502" s="6" t="n">
        <f aca="false">Sens!J477*Sens!J501</f>
        <v>22.3946261183418</v>
      </c>
      <c r="K502" s="6" t="n">
        <f aca="false">Sens!K477*Sens!K501</f>
        <v>23.4215879274986</v>
      </c>
    </row>
    <row r="503" customFormat="false" ht="15" hidden="false" customHeight="false" outlineLevel="0" collapsed="false">
      <c r="A503" s="1" t="s">
        <v>818</v>
      </c>
      <c r="B503" s="0" t="s">
        <v>95</v>
      </c>
      <c r="D503" s="6" t="n">
        <f aca="false">Sens!D500+Sens!D502</f>
        <v>128.528</v>
      </c>
      <c r="E503" s="6" t="n">
        <f aca="false">Sens!E500+Sens!E502</f>
        <v>155.237</v>
      </c>
      <c r="F503" s="6" t="n">
        <f aca="false">Sens!F500+Sens!F502</f>
        <v>164.023269890296</v>
      </c>
      <c r="G503" s="6" t="n">
        <f aca="false">Sens!G500+Sens!G502</f>
        <v>168.894980950065</v>
      </c>
      <c r="H503" s="6" t="n">
        <f aca="false">Sens!H500+Sens!H502</f>
        <v>168.950252770403</v>
      </c>
      <c r="I503" s="6" t="n">
        <f aca="false">Sens!I500+Sens!I502</f>
        <v>173.340530421823</v>
      </c>
      <c r="J503" s="6" t="n">
        <f aca="false">Sens!J500+Sens!J502</f>
        <v>175.229881457398</v>
      </c>
      <c r="K503" s="6" t="n">
        <f aca="false">Sens!K500+Sens!K502</f>
        <v>173.92395587549</v>
      </c>
    </row>
    <row r="504" customFormat="false" ht="15" hidden="false" customHeight="false" outlineLevel="0" collapsed="false">
      <c r="A504" s="22" t="s">
        <v>819</v>
      </c>
      <c r="B504" s="28" t="s">
        <v>95</v>
      </c>
      <c r="C504" s="28"/>
      <c r="D504" s="23" t="n">
        <f aca="false">Sens!D503-Q!L23</f>
        <v>0</v>
      </c>
      <c r="E504" s="23" t="n">
        <f aca="false">Sens!E503-Q!M23</f>
        <v>0</v>
      </c>
      <c r="F504" s="28"/>
      <c r="G504" s="28"/>
      <c r="H504" s="28"/>
      <c r="I504" s="28"/>
      <c r="J504" s="28"/>
      <c r="K504" s="28"/>
    </row>
    <row r="505" customFormat="false" ht="15" hidden="false" customHeight="false" outlineLevel="0" collapsed="false">
      <c r="A505" s="1" t="s">
        <v>820</v>
      </c>
      <c r="B505" s="0" t="s">
        <v>126</v>
      </c>
      <c r="D505" s="7" t="n">
        <f aca="false">Sens!D503/Sens!D496</f>
        <v>0.456219562408598</v>
      </c>
      <c r="E505" s="7" t="n">
        <f aca="false">Sens!E503/Sens!E496</f>
        <v>0.467808184089272</v>
      </c>
      <c r="F505" s="7" t="n">
        <f aca="false">Sens!F503/Sens!F496</f>
        <v>0.425034562054966</v>
      </c>
      <c r="G505" s="7" t="n">
        <f aca="false">Sens!G503/Sens!G496</f>
        <v>0.379434419159987</v>
      </c>
      <c r="H505" s="7" t="n">
        <f aca="false">Sens!H503/Sens!H496</f>
        <v>0.337159578791976</v>
      </c>
      <c r="I505" s="7" t="n">
        <f aca="false">Sens!I503/Sens!I496</f>
        <v>0.30840808401832</v>
      </c>
      <c r="J505" s="7" t="n">
        <f aca="false">Sens!J503/Sens!J496</f>
        <v>0.282414785475916</v>
      </c>
      <c r="K505" s="7" t="n">
        <f aca="false">Sens!K503/Sens!K496</f>
        <v>0.257406161594401</v>
      </c>
    </row>
    <row r="506" customFormat="false" ht="17.15" hidden="false" customHeight="false" outlineLevel="0" collapsed="false">
      <c r="A506" s="1" t="s">
        <v>821</v>
      </c>
      <c r="B506" s="0" t="s">
        <v>95</v>
      </c>
      <c r="E506" s="6" t="n">
        <f aca="false">Sens!E451</f>
        <v>16.3054059770833</v>
      </c>
      <c r="F506" s="6" t="n">
        <f aca="false">Sens!F451</f>
        <v>34.7530354558698</v>
      </c>
      <c r="G506" s="6" t="n">
        <f aca="false">Sens!G451</f>
        <v>60.5317332603396</v>
      </c>
      <c r="H506" s="6" t="n">
        <f aca="false">Sens!H451</f>
        <v>87.7673159931396</v>
      </c>
      <c r="I506" s="6" t="n">
        <f aca="false">Sens!I451</f>
        <v>116.022181741123</v>
      </c>
      <c r="J506" s="6" t="n">
        <f aca="false">Sens!J451</f>
        <v>145.249277958273</v>
      </c>
      <c r="K506" s="6" t="n">
        <f aca="false">Sens!K451</f>
        <v>175.76392263459</v>
      </c>
    </row>
    <row r="507" customFormat="false" ht="17.15" hidden="false" customHeight="false" outlineLevel="0" collapsed="false">
      <c r="A507" s="1" t="s">
        <v>822</v>
      </c>
      <c r="B507" s="0" t="s">
        <v>95</v>
      </c>
      <c r="E507" s="6" t="n">
        <f aca="false">Sens!E527</f>
        <v>22.2285940229167</v>
      </c>
      <c r="F507" s="6" t="n">
        <f aca="false">Sens!F527</f>
        <v>23.5486693435813</v>
      </c>
      <c r="G507" s="6" t="n">
        <f aca="false">Sens!G527</f>
        <v>25.264091766262</v>
      </c>
      <c r="H507" s="6" t="n">
        <f aca="false">Sens!H527</f>
        <v>27.3438339540448</v>
      </c>
      <c r="I507" s="6" t="n">
        <f aca="false">Sens!I527</f>
        <v>29.7317905898047</v>
      </c>
      <c r="J507" s="6" t="n">
        <f aca="false">Sens!J527</f>
        <v>32.3542028558616</v>
      </c>
      <c r="K507" s="6" t="n">
        <f aca="false">Sens!K527</f>
        <v>35.1281528444749</v>
      </c>
    </row>
    <row r="508" customFormat="false" ht="17.15" hidden="false" customHeight="false" outlineLevel="0" collapsed="false">
      <c r="A508" s="1" t="s">
        <v>823</v>
      </c>
      <c r="B508" s="0" t="s">
        <v>95</v>
      </c>
      <c r="D508" s="6" t="n">
        <f aca="false">Q!L27</f>
        <v>-4.901</v>
      </c>
      <c r="E508" s="6" t="n">
        <f aca="false">Q!M27</f>
        <v>10.697</v>
      </c>
      <c r="F508" s="6" t="n">
        <f aca="false">oie_f</f>
        <v>-0.4</v>
      </c>
      <c r="G508" s="6" t="n">
        <f aca="false">oie_f</f>
        <v>-0.4</v>
      </c>
      <c r="H508" s="6" t="n">
        <f aca="false">oie_f</f>
        <v>-0.4</v>
      </c>
      <c r="I508" s="6" t="n">
        <f aca="false">oie_f</f>
        <v>-0.4</v>
      </c>
      <c r="J508" s="6" t="n">
        <f aca="false">oie_f</f>
        <v>-0.4</v>
      </c>
      <c r="K508" s="6" t="n">
        <f aca="false">oie_f</f>
        <v>-0.4</v>
      </c>
      <c r="L508" s="11" t="s">
        <v>824</v>
      </c>
    </row>
    <row r="509" customFormat="false" ht="15" hidden="false" customHeight="false" outlineLevel="0" collapsed="false">
      <c r="A509" s="1" t="s">
        <v>666</v>
      </c>
      <c r="B509" s="0" t="s">
        <v>95</v>
      </c>
      <c r="D509" s="6" t="n">
        <f aca="false">Sens!D503+Sens!D508</f>
        <v>123.627</v>
      </c>
      <c r="E509" s="6" t="n">
        <f aca="false">Sens!E503+Sens!E508</f>
        <v>165.934</v>
      </c>
      <c r="F509" s="6" t="n">
        <f aca="false">Sens!F503+Sens!F508</f>
        <v>163.623269890296</v>
      </c>
      <c r="G509" s="6" t="n">
        <f aca="false">Sens!G503+Sens!G508</f>
        <v>168.494980950065</v>
      </c>
      <c r="H509" s="6" t="n">
        <f aca="false">Sens!H503+Sens!H508</f>
        <v>168.550252770403</v>
      </c>
      <c r="I509" s="6" t="n">
        <f aca="false">Sens!I503+Sens!I508</f>
        <v>172.940530421823</v>
      </c>
      <c r="J509" s="6" t="n">
        <f aca="false">Sens!J503+Sens!J508</f>
        <v>174.829881457398</v>
      </c>
      <c r="K509" s="6" t="n">
        <f aca="false">Sens!K503+Sens!K508</f>
        <v>173.52395587549</v>
      </c>
    </row>
    <row r="510" customFormat="false" ht="15" hidden="false" customHeight="false" outlineLevel="0" collapsed="false">
      <c r="A510" s="1" t="s">
        <v>668</v>
      </c>
      <c r="B510" s="0" t="s">
        <v>95</v>
      </c>
      <c r="D510" s="6" t="n">
        <f aca="false">Q!L29</f>
        <v>21.795</v>
      </c>
      <c r="E510" s="6" t="n">
        <f aca="false">Q!M29</f>
        <v>32.185</v>
      </c>
      <c r="F510" s="6" t="n">
        <f aca="false">Sens!F509*tax_f</f>
        <v>32.7246539780591</v>
      </c>
      <c r="G510" s="6" t="n">
        <f aca="false">Sens!G509*tax_f</f>
        <v>33.698996190013</v>
      </c>
      <c r="H510" s="6" t="n">
        <f aca="false">Sens!H509*tax_f</f>
        <v>33.7100505540806</v>
      </c>
      <c r="I510" s="6" t="n">
        <f aca="false">Sens!I509*tax_f</f>
        <v>34.5881060843646</v>
      </c>
      <c r="J510" s="6" t="n">
        <f aca="false">Sens!J509*tax_f</f>
        <v>34.9659762914795</v>
      </c>
      <c r="K510" s="6" t="n">
        <f aca="false">Sens!K509*tax_f</f>
        <v>34.704791175098</v>
      </c>
    </row>
    <row r="511" customFormat="false" ht="15" hidden="false" customHeight="false" outlineLevel="0" collapsed="false">
      <c r="A511" s="1" t="s">
        <v>825</v>
      </c>
      <c r="B511" s="0" t="s">
        <v>95</v>
      </c>
      <c r="D511" s="6" t="n">
        <f aca="false">Sens!D509-Sens!D510</f>
        <v>101.832</v>
      </c>
      <c r="E511" s="6" t="n">
        <f aca="false">Sens!E509-Sens!E510</f>
        <v>133.749</v>
      </c>
      <c r="F511" s="6" t="n">
        <f aca="false">Sens!F509-Sens!F510</f>
        <v>130.898615912237</v>
      </c>
      <c r="G511" s="6" t="n">
        <f aca="false">Sens!G509-Sens!G510</f>
        <v>134.795984760052</v>
      </c>
      <c r="H511" s="6" t="n">
        <f aca="false">Sens!H509-Sens!H510</f>
        <v>134.840202216322</v>
      </c>
      <c r="I511" s="6" t="n">
        <f aca="false">Sens!I509-Sens!I510</f>
        <v>138.352424337458</v>
      </c>
      <c r="J511" s="6" t="n">
        <f aca="false">Sens!J509-Sens!J510</f>
        <v>139.863905165918</v>
      </c>
      <c r="K511" s="6" t="n">
        <f aca="false">Sens!K509-Sens!K510</f>
        <v>138.819164700392</v>
      </c>
    </row>
    <row r="512" customFormat="false" ht="17.15" hidden="false" customHeight="false" outlineLevel="0" collapsed="false">
      <c r="A512" s="1" t="s">
        <v>826</v>
      </c>
      <c r="B512" s="1" t="s">
        <v>79</v>
      </c>
      <c r="D512" s="18" t="n">
        <f aca="false">Q!L31</f>
        <v>7.465</v>
      </c>
      <c r="E512" s="18" t="n">
        <f aca="false">Q!M31</f>
        <v>7.453</v>
      </c>
      <c r="F512" s="18" t="n">
        <f aca="false">Sens!F549</f>
        <v>7.4735</v>
      </c>
      <c r="G512" s="18" t="n">
        <f aca="false">Sens!G549</f>
        <v>7.5185</v>
      </c>
      <c r="H512" s="18" t="n">
        <f aca="false">Sens!H549</f>
        <v>7.5635</v>
      </c>
      <c r="I512" s="18" t="n">
        <f aca="false">Sens!I549</f>
        <v>7.6085</v>
      </c>
      <c r="J512" s="18" t="n">
        <f aca="false">Sens!J549</f>
        <v>7.64932885251626</v>
      </c>
      <c r="K512" s="18" t="n">
        <f aca="false">Sens!K549</f>
        <v>7.69015770503251</v>
      </c>
    </row>
    <row r="513" customFormat="false" ht="17.15" hidden="false" customHeight="false" outlineLevel="0" collapsed="false">
      <c r="A513" s="0" t="s">
        <v>827</v>
      </c>
      <c r="B513" s="0" t="s">
        <v>73</v>
      </c>
      <c r="D513" s="8" t="n">
        <f aca="false">Sens!D511/Sens!D512</f>
        <v>13.641259209645</v>
      </c>
      <c r="E513" s="8" t="n">
        <f aca="false">Sens!E511/Sens!E512</f>
        <v>17.9456594659869</v>
      </c>
      <c r="F513" s="8" t="n">
        <f aca="false">Sens!F511/Sens!F512</f>
        <v>17.515035246168</v>
      </c>
      <c r="G513" s="8" t="n">
        <f aca="false">Sens!G511/Sens!G512</f>
        <v>17.9285741517659</v>
      </c>
      <c r="H513" s="8" t="n">
        <f aca="false">Sens!H511/Sens!H512</f>
        <v>17.8277519952829</v>
      </c>
      <c r="I513" s="8" t="n">
        <f aca="false">Sens!I511/Sens!I512</f>
        <v>18.1839290710992</v>
      </c>
      <c r="J513" s="8" t="n">
        <f aca="false">Sens!J511/Sens!J512</f>
        <v>18.2844675477522</v>
      </c>
      <c r="K513" s="8" t="n">
        <f aca="false">Sens!K511/Sens!K512</f>
        <v>18.0515367857212</v>
      </c>
      <c r="L513" s="1" t="s">
        <v>828</v>
      </c>
    </row>
    <row r="514" customFormat="false" ht="17.15" hidden="false" customHeight="false" outlineLevel="0" collapsed="false">
      <c r="A514" s="0" t="s">
        <v>829</v>
      </c>
      <c r="B514" s="0" t="s">
        <v>126</v>
      </c>
      <c r="E514" s="7" t="n">
        <f aca="false">Sens!E513/Sens!D513-1</f>
        <v>0.315542736208578</v>
      </c>
      <c r="F514" s="7" t="n">
        <f aca="false">Sens!F513/Sens!E513-1</f>
        <v>-0.0239960097668764</v>
      </c>
      <c r="G514" s="7" t="n">
        <f aca="false">Sens!G513/Sens!F513-1</f>
        <v>0.0236105094729056</v>
      </c>
      <c r="H514" s="7" t="n">
        <f aca="false">Sens!H513/Sens!G513-1</f>
        <v>-0.00562354572257251</v>
      </c>
      <c r="I514" s="7" t="n">
        <f aca="false">Sens!I513/Sens!H513-1</f>
        <v>0.0199787991167106</v>
      </c>
      <c r="J514" s="7" t="n">
        <f aca="false">Sens!J513/Sens!I513-1</f>
        <v>0.00552897430802024</v>
      </c>
      <c r="K514" s="7" t="n">
        <f aca="false">Sens!K513/Sens!J513-1</f>
        <v>-0.0127392696244859</v>
      </c>
    </row>
    <row r="515" customFormat="false" ht="17.15" hidden="false" customHeight="false" outlineLevel="0" collapsed="false">
      <c r="A515" s="0" t="s">
        <v>763</v>
      </c>
      <c r="B515" s="0" t="s">
        <v>95</v>
      </c>
      <c r="E515" s="6" t="n">
        <f aca="false">Sens!E460</f>
        <v>5.25</v>
      </c>
      <c r="F515" s="6" t="n">
        <f aca="false">Sens!F460</f>
        <v>10.5</v>
      </c>
      <c r="G515" s="6" t="n">
        <f aca="false">Sens!G460</f>
        <v>13.5</v>
      </c>
      <c r="H515" s="6" t="n">
        <f aca="false">Sens!H460</f>
        <v>16.5</v>
      </c>
      <c r="I515" s="6" t="n">
        <f aca="false">Sens!I460</f>
        <v>18.75</v>
      </c>
      <c r="J515" s="6" t="n">
        <f aca="false">Sens!J460</f>
        <v>20.25</v>
      </c>
      <c r="K515" s="6" t="n">
        <f aca="false">Sens!K460</f>
        <v>21.75</v>
      </c>
    </row>
    <row r="516" customFormat="false" ht="17.15" hidden="false" customHeight="false" outlineLevel="0" collapsed="false">
      <c r="A516" s="0" t="s">
        <v>764</v>
      </c>
      <c r="B516" s="0" t="s">
        <v>95</v>
      </c>
      <c r="E516" s="6" t="n">
        <f aca="false">Sens!E440+Sens!E515*Sens!E499-Sens!E441-Sens!E451</f>
        <v>2.1514866143068</v>
      </c>
      <c r="F516" s="6" t="n">
        <f aca="false">Sens!F440+Sens!F515*Sens!F499-Sens!F441-Sens!F451</f>
        <v>-7.83285496786152</v>
      </c>
      <c r="G516" s="6" t="n">
        <f aca="false">Sens!G440+Sens!G515*Sens!G499-Sens!G441-Sens!G451</f>
        <v>-22.6301856162408</v>
      </c>
      <c r="H516" s="6" t="n">
        <f aca="false">Sens!H440+Sens!H515*Sens!H499-Sens!H441-Sens!H451</f>
        <v>-42.5646286952369</v>
      </c>
      <c r="I516" s="6" t="n">
        <f aca="false">Sens!I440+Sens!I515*Sens!I499-Sens!I441-Sens!I451</f>
        <v>-57.793096414034</v>
      </c>
      <c r="J516" s="6" t="n">
        <f aca="false">Sens!J440+Sens!J515*Sens!J499-Sens!J441-Sens!J451</f>
        <v>-74.3827975094821</v>
      </c>
      <c r="K516" s="6" t="n">
        <f aca="false">Sens!K440+Sens!K515*Sens!K499-Sens!K441-Sens!K451</f>
        <v>-92.2369787034305</v>
      </c>
    </row>
    <row r="517" customFormat="false" ht="17.15" hidden="false" customHeight="false" outlineLevel="0" collapsed="false">
      <c r="A517" s="0" t="s">
        <v>765</v>
      </c>
      <c r="B517" s="0" t="s">
        <v>95</v>
      </c>
      <c r="E517" s="6" t="n">
        <f aca="false">Sens!E423*(cxit_open+self_build*tk_cxfac)/1000*ai_net_open</f>
        <v>126.6980382</v>
      </c>
      <c r="F517" s="6" t="n">
        <f aca="false">Sens!E517+Sens!F448-Sens!F451</f>
        <v>260.715655514568</v>
      </c>
      <c r="G517" s="6" t="n">
        <f aca="false">Sens!F517+Sens!G448-Sens!G451</f>
        <v>383.758102737428</v>
      </c>
      <c r="H517" s="6" t="n">
        <f aca="false">Sens!G517+Sens!H448-Sens!H451</f>
        <v>484.071072654689</v>
      </c>
      <c r="I517" s="6" t="n">
        <f aca="false">Sens!H517+Sens!I448-Sens!I451</f>
        <v>586.387852170632</v>
      </c>
      <c r="J517" s="6" t="n">
        <f aca="false">Sens!I517+Sens!J448-Sens!J451</f>
        <v>674.915635136093</v>
      </c>
      <c r="K517" s="6" t="n">
        <f aca="false">Sens!J517+Sens!K448-Sens!K451</f>
        <v>778.008024451903</v>
      </c>
      <c r="L517" s="1" t="s">
        <v>766</v>
      </c>
    </row>
    <row r="518" customFormat="false" ht="17.15" hidden="false" customHeight="false" outlineLevel="0" collapsed="false">
      <c r="A518" s="0" t="s">
        <v>767</v>
      </c>
      <c r="B518" s="0" t="s">
        <v>126</v>
      </c>
      <c r="F518" s="7" t="n">
        <f aca="false">Sens!F516*(1-tax_f)/((Sens!E517+Sens!F517)/2)</f>
        <v>-0.0323493158654634</v>
      </c>
      <c r="G518" s="7" t="n">
        <f aca="false">Sens!G516*(1-tax_f)/((Sens!F517+Sens!G517)/2)</f>
        <v>-0.0561827328457764</v>
      </c>
      <c r="H518" s="7" t="n">
        <f aca="false">Sens!H516*(1-tax_f)/((Sens!G517+Sens!H517)/2)</f>
        <v>-0.0784755892559241</v>
      </c>
      <c r="I518" s="7" t="n">
        <f aca="false">Sens!I516*(1-tax_f)/((Sens!H517+Sens!I517)/2)</f>
        <v>-0.0863825338067442</v>
      </c>
      <c r="J518" s="7" t="n">
        <f aca="false">Sens!J516*(1-tax_f)/((Sens!I517+Sens!J517)/2)</f>
        <v>-0.094356732707764</v>
      </c>
      <c r="K518" s="7" t="n">
        <f aca="false">Sens!K516*(1-tax_f)/((Sens!J517+Sens!K517)/2)</f>
        <v>-0.101573929883789</v>
      </c>
    </row>
    <row r="519" customFormat="false" ht="17.15" hidden="false" customHeight="false" outlineLevel="0" collapsed="false">
      <c r="A519" s="1" t="s">
        <v>768</v>
      </c>
      <c r="B519" s="0" t="s">
        <v>126</v>
      </c>
      <c r="F519" s="7" t="n">
        <f aca="false">Sens!F452*(1-tax_f)/(Sens!F439*(Sens!E517+Sens!F517)/2)</f>
        <v>0.0454724080086599</v>
      </c>
      <c r="G519" s="7" t="n">
        <f aca="false">Sens!G452*(1-tax_f)/(Sens!G439*(Sens!F517+Sens!G517)/2)</f>
        <v>0.0192786318679199</v>
      </c>
      <c r="H519" s="7" t="n">
        <f aca="false">Sens!H452*(1-tax_f)/(Sens!H439*(Sens!G517+Sens!H517)/2)</f>
        <v>-0.00496278340256925</v>
      </c>
      <c r="I519" s="7" t="n">
        <f aca="false">Sens!I452*(1-tax_f)/(Sens!I439*(Sens!H517+Sens!I517)/2)</f>
        <v>-0.0058171111896978</v>
      </c>
      <c r="J519" s="7" t="n">
        <f aca="false">Sens!J452*(1-tax_f)/(Sens!J439*(Sens!I517+Sens!J517)/2)</f>
        <v>-0.00759604648415296</v>
      </c>
      <c r="K519" s="7" t="n">
        <f aca="false">Sens!K452*(1-tax_f)/(Sens!K439*(Sens!J517+Sens!K517)/2)</f>
        <v>-0.0102712310034547</v>
      </c>
    </row>
    <row r="520" customFormat="false" ht="17.15" hidden="false" customHeight="false" outlineLevel="0" collapsed="false">
      <c r="A520" s="0" t="s">
        <v>769</v>
      </c>
      <c r="B520" s="0" t="s">
        <v>208</v>
      </c>
      <c r="F520" s="7" t="n">
        <f aca="false">Sens!F518-wacc</f>
        <v>-0.141312537015717</v>
      </c>
      <c r="G520" s="7" t="n">
        <f aca="false">Sens!G518-wacc</f>
        <v>-0.16514595399603</v>
      </c>
      <c r="H520" s="7" t="n">
        <f aca="false">Sens!H518-wacc</f>
        <v>-0.187438810406178</v>
      </c>
      <c r="I520" s="7" t="n">
        <f aca="false">Sens!I518-wacc</f>
        <v>-0.195345754956998</v>
      </c>
      <c r="J520" s="7" t="n">
        <f aca="false">Sens!J518-wacc</f>
        <v>-0.203319953858018</v>
      </c>
      <c r="K520" s="7" t="n">
        <f aca="false">Sens!K518-wacc</f>
        <v>-0.210537151034043</v>
      </c>
    </row>
    <row r="521" customFormat="false" ht="17.15" hidden="false" customHeight="false" outlineLevel="0" collapsed="false">
      <c r="A521" s="0" t="s">
        <v>770</v>
      </c>
      <c r="B521" s="0" t="s">
        <v>95</v>
      </c>
      <c r="F521" s="6" t="n">
        <f aca="false">Sens!F516*(1-tax_f)-wacc*(Sens!E517+Sens!F517)/2</f>
        <v>-27.3732059667178</v>
      </c>
      <c r="G521" s="6" t="n">
        <f aca="false">Sens!G516*(1-tax_f)-wacc*(Sens!F517+Sens!G517)/2</f>
        <v>-53.2161168159664</v>
      </c>
      <c r="H521" s="6" t="n">
        <f aca="false">Sens!H516*(1-tax_f)-wacc*(Sens!G517+Sens!H517)/2</f>
        <v>-81.3324341356364</v>
      </c>
      <c r="I521" s="6" t="n">
        <f aca="false">Sens!I516*(1-tax_f)-wacc*(Sens!H517+Sens!I517)/2</f>
        <v>-104.554803410229</v>
      </c>
      <c r="J521" s="6" t="n">
        <f aca="false">Sens!J516*(1-tax_f)-wacc*(Sens!I517+Sens!J517)/2</f>
        <v>-128.22408342008</v>
      </c>
      <c r="K521" s="6" t="n">
        <f aca="false">Sens!K516*(1-tax_f)-wacc*(Sens!J517+Sens!K517)/2</f>
        <v>-152.947203979806</v>
      </c>
    </row>
    <row r="522" customFormat="false" ht="17.15" hidden="false" customHeight="false" outlineLevel="0" collapsed="false">
      <c r="A522" s="1" t="s">
        <v>771</v>
      </c>
      <c r="B522" s="0" t="s">
        <v>95</v>
      </c>
      <c r="F522" s="6" t="n">
        <f aca="false">(Sens!E424+Sens!F424)/2*Sens!F431/1000</f>
        <v>26.7873066765967</v>
      </c>
      <c r="G522" s="6" t="n">
        <f aca="false">(Sens!F424+Sens!G424)/2*Sens!G431/1000</f>
        <v>45.4131817597218</v>
      </c>
      <c r="H522" s="6" t="n">
        <f aca="false">(Sens!G424+Sens!H424)/2*Sens!H431/1000</f>
        <v>65.3915129357971</v>
      </c>
      <c r="I522" s="6" t="n">
        <f aca="false">(Sens!H424+Sens!I424)/2*Sens!I431/1000</f>
        <v>85.5187419289299</v>
      </c>
      <c r="J522" s="6" t="n">
        <f aca="false">(Sens!I424+Sens!J424)/2*Sens!J431/1000</f>
        <v>105.723807195006</v>
      </c>
      <c r="K522" s="6" t="n">
        <f aca="false">(Sens!J424+Sens!K424)/2*Sens!K431/1000</f>
        <v>125.974659797015</v>
      </c>
      <c r="L522" s="1" t="s">
        <v>772</v>
      </c>
    </row>
    <row r="523" customFormat="false" ht="17.15" hidden="false" customHeight="false" outlineLevel="0" collapsed="false">
      <c r="A523" s="1" t="s">
        <v>773</v>
      </c>
      <c r="B523" s="0" t="s">
        <v>126</v>
      </c>
      <c r="F523" s="7" t="n">
        <f aca="false">(Sens!F440+Sens!F522-Sens!F441-Sens!F451)*(1-tax_f)/((Sens!E517+Sens!F517)/2)</f>
        <v>0.0535216993504049</v>
      </c>
      <c r="G523" s="7" t="n">
        <f aca="false">(Sens!G440+Sens!G522-Sens!G441-Sens!G451)*(1-tax_f)/((Sens!F517+Sens!G517)/2)</f>
        <v>0.037426062336532</v>
      </c>
      <c r="H523" s="7" t="n">
        <f aca="false">(Sens!H440+Sens!H522-Sens!H441-Sens!H451)*(1-tax_f)/((Sens!G517+Sens!H517)/2)</f>
        <v>0.024716547138459</v>
      </c>
      <c r="I523" s="7" t="n">
        <f aca="false">(Sens!I440+Sens!I522-Sens!I441-Sens!I451)*(1-tax_f)/((Sens!H517+Sens!I517)/2)</f>
        <v>0.0254398479623387</v>
      </c>
      <c r="J523" s="7" t="n">
        <f aca="false">(Sens!J440+Sens!J522-Sens!J441-Sens!J451)*(1-tax_f)/((Sens!I517+Sens!J517)/2)</f>
        <v>0.0250903907321754</v>
      </c>
      <c r="K523" s="7" t="n">
        <f aca="false">(Sens!K440+Sens!K522-Sens!K441-Sens!K451)*(1-tax_f)/((Sens!J517+Sens!K517)/2)</f>
        <v>0.0234774715891427</v>
      </c>
      <c r="L523" s="1" t="s">
        <v>774</v>
      </c>
    </row>
    <row r="524" customFormat="false" ht="17.15" hidden="false" customHeight="false" outlineLevel="0" collapsed="false">
      <c r="A524" s="3" t="s">
        <v>1127</v>
      </c>
    </row>
    <row r="525" customFormat="false" ht="15" hidden="false" customHeight="false" outlineLevel="0" collapsed="false">
      <c r="A525" s="4" t="s">
        <v>43</v>
      </c>
      <c r="B525" s="4" t="s">
        <v>63</v>
      </c>
      <c r="C525" s="19" t="s">
        <v>710</v>
      </c>
      <c r="D525" s="19" t="s">
        <v>711</v>
      </c>
      <c r="E525" s="19" t="s">
        <v>712</v>
      </c>
      <c r="F525" s="19" t="s">
        <v>713</v>
      </c>
      <c r="G525" s="19" t="s">
        <v>714</v>
      </c>
      <c r="H525" s="19" t="s">
        <v>715</v>
      </c>
      <c r="I525" s="19" t="s">
        <v>716</v>
      </c>
      <c r="J525" s="19" t="s">
        <v>717</v>
      </c>
      <c r="K525" s="19" t="s">
        <v>718</v>
      </c>
      <c r="L525" s="4" t="s">
        <v>47</v>
      </c>
    </row>
    <row r="526" customFormat="false" ht="15" hidden="false" customHeight="false" outlineLevel="0" collapsed="false">
      <c r="A526" s="1" t="s">
        <v>825</v>
      </c>
      <c r="B526" s="0" t="s">
        <v>95</v>
      </c>
      <c r="F526" s="6" t="n">
        <f aca="false">Sens!F511</f>
        <v>130.898615912237</v>
      </c>
      <c r="G526" s="6" t="n">
        <f aca="false">Sens!G511</f>
        <v>134.795984760052</v>
      </c>
      <c r="H526" s="6" t="n">
        <f aca="false">Sens!H511</f>
        <v>134.840202216322</v>
      </c>
      <c r="I526" s="6" t="n">
        <f aca="false">Sens!I511</f>
        <v>138.352424337458</v>
      </c>
      <c r="J526" s="6" t="n">
        <f aca="false">Sens!J511</f>
        <v>139.863905165918</v>
      </c>
      <c r="K526" s="6" t="n">
        <f aca="false">Sens!K511</f>
        <v>138.819164700392</v>
      </c>
    </row>
    <row r="527" customFormat="false" ht="17.15" hidden="false" customHeight="false" outlineLevel="0" collapsed="false">
      <c r="A527" s="1" t="s">
        <v>843</v>
      </c>
      <c r="B527" s="0" t="s">
        <v>95</v>
      </c>
      <c r="E527" s="6" t="n">
        <f aca="false">Q!M38-Sens!E451</f>
        <v>22.2285940229167</v>
      </c>
      <c r="F527" s="6" t="n">
        <f aca="false">Sens!E527*(1-1/life_nonai)+Sens!F533/life_nonai</f>
        <v>23.5486693435813</v>
      </c>
      <c r="G527" s="6" t="n">
        <f aca="false">Sens!F527*(1-1/life_nonai)+Sens!G533/life_nonai</f>
        <v>25.264091766262</v>
      </c>
      <c r="H527" s="6" t="n">
        <f aca="false">Sens!G527*(1-1/life_nonai)+Sens!H533/life_nonai</f>
        <v>27.3438339540448</v>
      </c>
      <c r="I527" s="6" t="n">
        <f aca="false">Sens!H527*(1-1/life_nonai)+Sens!I533/life_nonai</f>
        <v>29.7317905898047</v>
      </c>
      <c r="J527" s="6" t="n">
        <f aca="false">Sens!I527*(1-1/life_nonai)+Sens!J533/life_nonai</f>
        <v>32.3542028558616</v>
      </c>
      <c r="K527" s="6" t="n">
        <f aca="false">Sens!J527*(1-1/life_nonai)+Sens!K533/life_nonai</f>
        <v>35.1281528444749</v>
      </c>
      <c r="L527" s="11" t="s">
        <v>844</v>
      </c>
    </row>
    <row r="528" customFormat="false" ht="17.15" hidden="false" customHeight="false" outlineLevel="0" collapsed="false">
      <c r="A528" s="1" t="s">
        <v>845</v>
      </c>
      <c r="B528" s="0" t="s">
        <v>95</v>
      </c>
      <c r="E528" s="6" t="n">
        <f aca="false">Sens!E451+Sens!E527</f>
        <v>38.534</v>
      </c>
      <c r="F528" s="6" t="n">
        <f aca="false">Sens!F451+Sens!F527</f>
        <v>58.301704799451</v>
      </c>
      <c r="G528" s="6" t="n">
        <f aca="false">Sens!G451+Sens!G527</f>
        <v>85.7958250266017</v>
      </c>
      <c r="H528" s="6" t="n">
        <f aca="false">Sens!H451+Sens!H527</f>
        <v>115.111149947184</v>
      </c>
      <c r="I528" s="6" t="n">
        <f aca="false">Sens!I451+Sens!I527</f>
        <v>145.753972330928</v>
      </c>
      <c r="J528" s="6" t="n">
        <f aca="false">Sens!J451+Sens!J527</f>
        <v>177.603480814135</v>
      </c>
      <c r="K528" s="6" t="n">
        <f aca="false">Sens!K451+Sens!K527</f>
        <v>210.892075479064</v>
      </c>
    </row>
    <row r="529" customFormat="false" ht="15" hidden="false" customHeight="false" outlineLevel="0" collapsed="false">
      <c r="A529" s="1" t="s">
        <v>685</v>
      </c>
      <c r="B529" s="0" t="s">
        <v>95</v>
      </c>
      <c r="F529" s="6" t="n">
        <f aca="false">Sens!F478*sbc_r</f>
        <v>14.4261539225176</v>
      </c>
      <c r="G529" s="6" t="n">
        <f aca="false">Sens!G478*sbc_r</f>
        <v>16.6398482954775</v>
      </c>
      <c r="H529" s="6" t="n">
        <f aca="false">Sens!H478*sbc_r</f>
        <v>18.7323682130536</v>
      </c>
      <c r="I529" s="6" t="n">
        <f aca="false">Sens!I478*sbc_r</f>
        <v>21.0108542698227</v>
      </c>
      <c r="J529" s="6" t="n">
        <f aca="false">Sens!J478*sbc_r</f>
        <v>23.194770506542</v>
      </c>
      <c r="K529" s="6" t="n">
        <f aca="false">Sens!K478*sbc_r</f>
        <v>25.2586310325518</v>
      </c>
    </row>
    <row r="530" customFormat="false" ht="17.15" hidden="false" customHeight="false" outlineLevel="0" collapsed="false">
      <c r="A530" s="1" t="s">
        <v>846</v>
      </c>
      <c r="B530" s="0" t="s">
        <v>95</v>
      </c>
      <c r="F530" s="6" t="n">
        <f aca="false">wc27</f>
        <v>-4.895</v>
      </c>
      <c r="G530" s="6" t="n">
        <f aca="false">0</f>
        <v>0</v>
      </c>
      <c r="H530" s="6" t="n">
        <f aca="false">0</f>
        <v>0</v>
      </c>
      <c r="I530" s="6" t="n">
        <f aca="false">0</f>
        <v>0</v>
      </c>
      <c r="J530" s="6" t="n">
        <f aca="false">0</f>
        <v>0</v>
      </c>
      <c r="K530" s="6" t="n">
        <f aca="false">0</f>
        <v>0</v>
      </c>
      <c r="L530" s="11" t="s">
        <v>847</v>
      </c>
    </row>
    <row r="531" customFormat="false" ht="15" hidden="false" customHeight="false" outlineLevel="0" collapsed="false">
      <c r="A531" s="1" t="s">
        <v>678</v>
      </c>
      <c r="B531" s="0" t="s">
        <v>95</v>
      </c>
      <c r="E531" s="6" t="n">
        <f aca="false">Q!M35</f>
        <v>182.935</v>
      </c>
      <c r="F531" s="6" t="n">
        <f aca="false">Sens!F526+Sens!F528+Sens!F529+Sens!F530</f>
        <v>198.731474634205</v>
      </c>
      <c r="G531" s="6" t="n">
        <f aca="false">Sens!G526+Sens!G528+Sens!G529+Sens!G530</f>
        <v>237.231658082131</v>
      </c>
      <c r="H531" s="6" t="n">
        <f aca="false">Sens!H526+Sens!H528+Sens!H529+Sens!H530</f>
        <v>268.68372037656</v>
      </c>
      <c r="I531" s="6" t="n">
        <f aca="false">Sens!I526+Sens!I528+Sens!I529+Sens!I530</f>
        <v>305.117250938209</v>
      </c>
      <c r="J531" s="6" t="n">
        <f aca="false">Sens!J526+Sens!J528+Sens!J529+Sens!J530</f>
        <v>340.662156486595</v>
      </c>
      <c r="K531" s="6" t="n">
        <f aca="false">Sens!K526+Sens!K528+Sens!K529+Sens!K530</f>
        <v>374.969871212008</v>
      </c>
    </row>
    <row r="532" customFormat="false" ht="17.15" hidden="false" customHeight="false" outlineLevel="0" collapsed="false">
      <c r="A532" s="0" t="s">
        <v>848</v>
      </c>
      <c r="B532" s="0" t="s">
        <v>95</v>
      </c>
      <c r="F532" s="6" t="n">
        <f aca="false">Sens!F448</f>
        <v>168.770652770438</v>
      </c>
      <c r="G532" s="6" t="n">
        <f aca="false">Sens!G448</f>
        <v>183.5741804832</v>
      </c>
      <c r="H532" s="6" t="n">
        <f aca="false">Sens!H448</f>
        <v>188.0802859104</v>
      </c>
      <c r="I532" s="6" t="n">
        <f aca="false">Sens!I448</f>
        <v>218.338961257067</v>
      </c>
      <c r="J532" s="6" t="n">
        <f aca="false">Sens!J448</f>
        <v>233.777060923733</v>
      </c>
      <c r="K532" s="6" t="n">
        <f aca="false">Sens!K448</f>
        <v>278.8563119504</v>
      </c>
    </row>
    <row r="533" customFormat="false" ht="17.15" hidden="false" customHeight="false" outlineLevel="0" collapsed="false">
      <c r="A533" s="1" t="s">
        <v>849</v>
      </c>
      <c r="B533" s="0" t="s">
        <v>95</v>
      </c>
      <c r="E533" s="6" t="n">
        <f aca="false">Sens!E456*cx_azo+Sens!E463*cx_m365+Sens!E464*cx_lic+(Sens!E466+Sens!E468)*cx_ind+Sens!E471*cx_srch+(Sens!E473+Sens!E475)*cx_dev</f>
        <v>30.1846587067718</v>
      </c>
      <c r="F533" s="6" t="n">
        <f aca="false">Sens!F456*cx_azo+Sens!F463*cx_m365+Sens!F464*cx_lic+(Sens!F466+Sens!F468)*cx_ind+Sens!F471*cx_srch+(Sens!F473+Sens!F475)*cx_dev</f>
        <v>35.4293472295625</v>
      </c>
      <c r="G533" s="6" t="n">
        <f aca="false">Sens!G456*cx_azo+Sens!G463*cx_m365+Sens!G464*cx_lic+(Sens!G466+Sens!G468)*cx_ind+Sens!G471*cx_srch+(Sens!G473+Sens!G475)*cx_dev</f>
        <v>40.7028935703892</v>
      </c>
      <c r="H533" s="6" t="n">
        <f aca="false">Sens!H456*cx_azo+Sens!H463*cx_m365+Sens!H464*cx_lic+(Sens!H466+Sens!H468)*cx_ind+Sens!H471*cx_srch+(Sens!H473+Sens!H475)*cx_dev</f>
        <v>46.0615136440897</v>
      </c>
      <c r="I533" s="6" t="n">
        <f aca="false">Sens!I456*cx_azo+Sens!I463*cx_m365+Sens!I464*cx_lic+(Sens!I466+Sens!I468)*cx_ind+Sens!I471*cx_srch+(Sens!I473+Sens!I475)*cx_dev</f>
        <v>51.2234003116439</v>
      </c>
      <c r="J533" s="6" t="n">
        <f aca="false">Sens!J456*cx_azo+Sens!J463*cx_m365+Sens!J464*cx_lic+(Sens!J466+Sens!J468)*cx_ind+Sens!J471*cx_srch+(Sens!J473+Sens!J475)*cx_dev</f>
        <v>55.9559132503738</v>
      </c>
      <c r="K533" s="6" t="n">
        <f aca="false">Sens!K456*cx_azo+Sens!K463*cx_m365+Sens!K464*cx_lic+(Sens!K466+Sens!K468)*cx_ind+Sens!K471*cx_srch+(Sens!K473+Sens!K475)*cx_dev</f>
        <v>60.093702741994</v>
      </c>
    </row>
    <row r="534" customFormat="false" ht="17.15" hidden="false" customHeight="false" outlineLevel="0" collapsed="false">
      <c r="A534" s="1" t="s">
        <v>850</v>
      </c>
      <c r="B534" s="0" t="s">
        <v>95</v>
      </c>
      <c r="E534" s="6" t="n">
        <f aca="false">Q!M42</f>
        <v>145.3</v>
      </c>
      <c r="F534" s="6" t="n">
        <f aca="false">Sens!F532+Sens!F533</f>
        <v>204.2</v>
      </c>
      <c r="G534" s="6" t="n">
        <f aca="false">Sens!G532+Sens!G533</f>
        <v>224.277074053589</v>
      </c>
      <c r="H534" s="6" t="n">
        <f aca="false">Sens!H532+Sens!H533</f>
        <v>234.14179955449</v>
      </c>
      <c r="I534" s="6" t="n">
        <f aca="false">Sens!I532+Sens!I533</f>
        <v>269.562361568711</v>
      </c>
      <c r="J534" s="6" t="n">
        <f aca="false">Sens!J532+Sens!J533</f>
        <v>289.732974174107</v>
      </c>
      <c r="K534" s="6" t="n">
        <f aca="false">Sens!K532+Sens!K533</f>
        <v>338.950014692394</v>
      </c>
      <c r="L534" s="1" t="s">
        <v>851</v>
      </c>
    </row>
    <row r="535" customFormat="false" ht="15" hidden="false" customHeight="false" outlineLevel="0" collapsed="false">
      <c r="A535" s="1" t="s">
        <v>852</v>
      </c>
      <c r="B535" s="0" t="s">
        <v>95</v>
      </c>
      <c r="E535" s="6" t="n">
        <f aca="false">fl_liab</f>
        <v>66.594</v>
      </c>
      <c r="F535" s="6" t="n">
        <f aca="false">Sens!E535-Sens!F536</f>
        <v>62.46973</v>
      </c>
      <c r="G535" s="6" t="n">
        <f aca="false">Sens!F535-Sens!G536</f>
        <v>57.98686785</v>
      </c>
      <c r="H535" s="6" t="n">
        <f aca="false">Sens!G535-Sens!H536</f>
        <v>53.92827690325</v>
      </c>
      <c r="I535" s="6" t="n">
        <f aca="false">Sens!H535-Sens!I536</f>
        <v>49.7850493638962</v>
      </c>
      <c r="J535" s="6" t="n">
        <f aca="false">Sens!I535-Sens!J536</f>
        <v>45.4823765852716</v>
      </c>
      <c r="K535" s="6" t="n">
        <f aca="false">Sens!J535-Sens!K536</f>
        <v>40.9860835316088</v>
      </c>
    </row>
    <row r="536" customFormat="false" ht="15" hidden="false" customHeight="false" outlineLevel="0" collapsed="false">
      <c r="A536" s="1" t="s">
        <v>853</v>
      </c>
      <c r="B536" s="0" t="s">
        <v>95</v>
      </c>
      <c r="F536" s="6" t="n">
        <f aca="false">fl_pay_27-Sens!E535*fl_rate</f>
        <v>4.12427</v>
      </c>
      <c r="G536" s="6" t="n">
        <f aca="false">fl_pay_28-Sens!F535*fl_rate</f>
        <v>4.48286215</v>
      </c>
      <c r="H536" s="6" t="n">
        <f aca="false">fl_pay_29-Sens!G535*fl_rate</f>
        <v>4.05859094675</v>
      </c>
      <c r="I536" s="6" t="n">
        <f aca="false">fl_pay_30-Sens!H535*fl_rate</f>
        <v>4.14322753935375</v>
      </c>
      <c r="J536" s="6" t="n">
        <f aca="false">fl_pay_31-Sens!I535*fl_rate</f>
        <v>4.30267277862467</v>
      </c>
      <c r="K536" s="6" t="n">
        <f aca="false">fl_pay_32-Sens!J535*fl_rate</f>
        <v>4.49629305366278</v>
      </c>
    </row>
    <row r="537" customFormat="false" ht="17.15" hidden="false" customHeight="false" outlineLevel="0" collapsed="false">
      <c r="A537" s="1" t="s">
        <v>854</v>
      </c>
      <c r="B537" s="0" t="s">
        <v>95</v>
      </c>
      <c r="E537" s="6" t="n">
        <f aca="false">Q!M35-Q!M36-Q!M43</f>
        <v>63.886</v>
      </c>
      <c r="F537" s="6" t="n">
        <f aca="false">Sens!F531-Sens!F534-Sens!F536</f>
        <v>-9.59279536579493</v>
      </c>
      <c r="G537" s="6" t="n">
        <f aca="false">Sens!G531-Sens!G534-Sens!G536</f>
        <v>8.47172187854195</v>
      </c>
      <c r="H537" s="6" t="n">
        <f aca="false">Sens!H531-Sens!H534-Sens!H536</f>
        <v>30.4833298753208</v>
      </c>
      <c r="I537" s="6" t="n">
        <f aca="false">Sens!I531-Sens!I534-Sens!I536</f>
        <v>31.4116618301443</v>
      </c>
      <c r="J537" s="6" t="n">
        <f aca="false">Sens!J531-Sens!J534-Sens!J536</f>
        <v>46.6265095338628</v>
      </c>
      <c r="K537" s="6" t="n">
        <f aca="false">Sens!K531-Sens!K534-Sens!K536</f>
        <v>31.5235634659513</v>
      </c>
      <c r="L537" s="11" t="s">
        <v>855</v>
      </c>
    </row>
    <row r="538" customFormat="false" ht="15" hidden="false" customHeight="false" outlineLevel="0" collapsed="false">
      <c r="A538" s="1" t="s">
        <v>856</v>
      </c>
      <c r="B538" s="0" t="s">
        <v>73</v>
      </c>
      <c r="F538" s="8" t="n">
        <f aca="false">dps_27</f>
        <v>3.85</v>
      </c>
      <c r="G538" s="8" t="n">
        <f aca="false">Sens!F538*(1+dps_g)</f>
        <v>4.158</v>
      </c>
      <c r="H538" s="8" t="n">
        <f aca="false">Sens!G538*(1+dps_g)</f>
        <v>4.49064</v>
      </c>
      <c r="I538" s="8" t="n">
        <f aca="false">Sens!H538*(1+dps_g)</f>
        <v>4.8498912</v>
      </c>
      <c r="J538" s="8" t="n">
        <f aca="false">Sens!I538*(1+dps_g)</f>
        <v>5.237882496</v>
      </c>
      <c r="K538" s="8" t="n">
        <f aca="false">Sens!J538*(1+dps_g)</f>
        <v>5.65691309568</v>
      </c>
    </row>
    <row r="539" customFormat="false" ht="17.15" hidden="false" customHeight="false" outlineLevel="0" collapsed="false">
      <c r="A539" s="1" t="s">
        <v>857</v>
      </c>
      <c r="B539" s="0" t="s">
        <v>95</v>
      </c>
      <c r="E539" s="6" t="n">
        <f aca="false">Q!M41</f>
        <v>26.445</v>
      </c>
      <c r="F539" s="6" t="n">
        <f aca="false">Sens!F538*Sens!E548</f>
        <v>28.59395</v>
      </c>
      <c r="G539" s="6" t="n">
        <f aca="false">Sens!G538*Sens!F548</f>
        <v>31.068576</v>
      </c>
      <c r="H539" s="6" t="n">
        <f aca="false">Sens!H538*Sens!G548</f>
        <v>33.75614088</v>
      </c>
      <c r="I539" s="6" t="n">
        <f aca="false">Sens!I538*Sens!H548</f>
        <v>36.6748772544</v>
      </c>
      <c r="J539" s="6" t="n">
        <f aca="false">Sens!J538*Sens!I548</f>
        <v>39.844572147072</v>
      </c>
      <c r="K539" s="6" t="n">
        <f aca="false">Sens!K538*Sens!J548</f>
        <v>43.2395073704938</v>
      </c>
      <c r="L539" s="1" t="s">
        <v>858</v>
      </c>
    </row>
    <row r="540" customFormat="false" ht="15" hidden="false" customHeight="false" outlineLevel="0" collapsed="false">
      <c r="A540" s="1" t="s">
        <v>859</v>
      </c>
      <c r="B540" s="0" t="s">
        <v>95</v>
      </c>
      <c r="E540" s="6" t="n">
        <f aca="false">Sens!E537-Sens!E539</f>
        <v>37.441</v>
      </c>
      <c r="F540" s="6" t="n">
        <f aca="false">Sens!F537-Sens!F539</f>
        <v>-38.1867453657949</v>
      </c>
      <c r="G540" s="6" t="n">
        <f aca="false">Sens!G537-Sens!G539</f>
        <v>-22.5968541214581</v>
      </c>
      <c r="H540" s="6" t="n">
        <f aca="false">Sens!H537-Sens!H539</f>
        <v>-3.27281100467917</v>
      </c>
      <c r="I540" s="6" t="n">
        <f aca="false">Sens!I537-Sens!I539</f>
        <v>-5.26321542425573</v>
      </c>
      <c r="J540" s="6" t="n">
        <f aca="false">Sens!J537-Sens!J539</f>
        <v>6.78193738679078</v>
      </c>
      <c r="K540" s="6" t="n">
        <f aca="false">Sens!K537-Sens!K539</f>
        <v>-11.7159439045425</v>
      </c>
    </row>
    <row r="541" customFormat="false" ht="15" hidden="false" customHeight="false" outlineLevel="0" collapsed="false">
      <c r="A541" s="1" t="s">
        <v>860</v>
      </c>
      <c r="B541" s="0" t="s">
        <v>95</v>
      </c>
      <c r="F541" s="6" t="n">
        <f aca="false">debt_mat_27</f>
        <v>9.25</v>
      </c>
      <c r="G541" s="6" t="n">
        <f aca="false">debt_mat_28</f>
        <v>0</v>
      </c>
      <c r="H541" s="6" t="n">
        <f aca="false">debt_mat_29</f>
        <v>2.001</v>
      </c>
      <c r="I541" s="6" t="n">
        <f aca="false">debt_mat_30</f>
        <v>0</v>
      </c>
      <c r="J541" s="6" t="n">
        <f aca="false">debt_mat_31</f>
        <v>0.5</v>
      </c>
      <c r="K541" s="6" t="n">
        <f aca="false">debt_mat_32</f>
        <v>0</v>
      </c>
    </row>
    <row r="542" customFormat="false" ht="15" hidden="false" customHeight="false" outlineLevel="0" collapsed="false">
      <c r="A542" s="1" t="s">
        <v>861</v>
      </c>
      <c r="B542" s="0" t="s">
        <v>95</v>
      </c>
      <c r="E542" s="6" t="n">
        <f aca="false">Q!M40</f>
        <v>22.271</v>
      </c>
      <c r="F542" s="6" t="n">
        <f aca="false">MAX(0,MIN(bb_target,Sens!E544+Sens!F540-Sens!F541-min_cash))</f>
        <v>0</v>
      </c>
      <c r="G542" s="6" t="n">
        <f aca="false">MAX(0,MIN(bb_target,Sens!F544+Sens!G540-Sens!G541-min_cash))</f>
        <v>0</v>
      </c>
      <c r="H542" s="6" t="n">
        <f aca="false">MAX(0,MIN(bb_target,Sens!G544+Sens!H540-Sens!H541-min_cash))</f>
        <v>0</v>
      </c>
      <c r="I542" s="6" t="n">
        <f aca="false">MAX(0,MIN(bb_target,Sens!H544+Sens!I540-Sens!I541-min_cash))</f>
        <v>0</v>
      </c>
      <c r="J542" s="6" t="n">
        <f aca="false">MAX(0,MIN(bb_target,Sens!I544+Sens!J540-Sens!J541-min_cash))</f>
        <v>6.28193738679078</v>
      </c>
      <c r="K542" s="6" t="n">
        <f aca="false">MAX(0,MIN(bb_target,Sens!J544+Sens!K540-Sens!K541-min_cash))</f>
        <v>0</v>
      </c>
    </row>
    <row r="543" customFormat="false" ht="15" hidden="false" customHeight="false" outlineLevel="0" collapsed="false">
      <c r="A543" s="1" t="s">
        <v>862</v>
      </c>
      <c r="B543" s="0" t="s">
        <v>95</v>
      </c>
      <c r="F543" s="6" t="n">
        <f aca="false">MAX(0,min_cash-(Sens!E544+Sens!F540-Sens!F541-Sens!F542))</f>
        <v>20.5937453657949</v>
      </c>
      <c r="G543" s="6" t="n">
        <f aca="false">MAX(0,min_cash-(Sens!F544+Sens!G540-Sens!G541-Sens!G542))</f>
        <v>22.5968541214581</v>
      </c>
      <c r="H543" s="6" t="n">
        <f aca="false">MAX(0,min_cash-(Sens!G544+Sens!H540-Sens!H541-Sens!H542))</f>
        <v>5.27381100467917</v>
      </c>
      <c r="I543" s="6" t="n">
        <f aca="false">MAX(0,min_cash-(Sens!H544+Sens!I540-Sens!I541-Sens!I542))</f>
        <v>5.26321542425573</v>
      </c>
      <c r="J543" s="6" t="n">
        <f aca="false">MAX(0,min_cash-(Sens!I544+Sens!J540-Sens!J541-Sens!J542))</f>
        <v>0</v>
      </c>
      <c r="K543" s="6" t="n">
        <f aca="false">MAX(0,min_cash-(Sens!J544+Sens!K540-Sens!K541-Sens!K542))</f>
        <v>11.7159439045425</v>
      </c>
    </row>
    <row r="544" customFormat="false" ht="15" hidden="false" customHeight="false" outlineLevel="0" collapsed="false">
      <c r="A544" s="1" t="s">
        <v>863</v>
      </c>
      <c r="B544" s="0" t="s">
        <v>95</v>
      </c>
      <c r="E544" s="6" t="n">
        <f aca="false">cash_open</f>
        <v>76.843</v>
      </c>
      <c r="F544" s="6" t="n">
        <f aca="false">Sens!E544+Sens!F540-Sens!F541-Sens!F542+Sens!F543</f>
        <v>50</v>
      </c>
      <c r="G544" s="6" t="n">
        <f aca="false">Sens!F544+Sens!G540-Sens!G541-Sens!G542+Sens!G543</f>
        <v>50</v>
      </c>
      <c r="H544" s="6" t="n">
        <f aca="false">Sens!G544+Sens!H540-Sens!H541-Sens!H542+Sens!H543</f>
        <v>50</v>
      </c>
      <c r="I544" s="6" t="n">
        <f aca="false">Sens!H544+Sens!I540-Sens!I541-Sens!I542+Sens!I543</f>
        <v>50</v>
      </c>
      <c r="J544" s="6" t="n">
        <f aca="false">Sens!I544+Sens!J540-Sens!J541-Sens!J542+Sens!J543</f>
        <v>50</v>
      </c>
      <c r="K544" s="6" t="n">
        <f aca="false">Sens!J544+Sens!K540-Sens!K541-Sens!K542+Sens!K543</f>
        <v>50</v>
      </c>
    </row>
    <row r="545" customFormat="false" ht="15" hidden="false" customHeight="false" outlineLevel="0" collapsed="false">
      <c r="A545" s="1" t="s">
        <v>864</v>
      </c>
      <c r="B545" s="0" t="s">
        <v>95</v>
      </c>
      <c r="E545" s="6" t="n">
        <f aca="false">debt_face</f>
        <v>46.136</v>
      </c>
      <c r="F545" s="6" t="n">
        <f aca="false">Sens!E545-Sens!F541+Sens!F543</f>
        <v>57.4797453657949</v>
      </c>
      <c r="G545" s="6" t="n">
        <f aca="false">Sens!F545-Sens!G541+Sens!G543</f>
        <v>80.076599487253</v>
      </c>
      <c r="H545" s="6" t="n">
        <f aca="false">Sens!G545-Sens!H541+Sens!H543</f>
        <v>83.3494104919322</v>
      </c>
      <c r="I545" s="6" t="n">
        <f aca="false">Sens!H545-Sens!I541+Sens!I543</f>
        <v>88.6126259161879</v>
      </c>
      <c r="J545" s="6" t="n">
        <f aca="false">Sens!I545-Sens!J541+Sens!J543</f>
        <v>88.1126259161879</v>
      </c>
      <c r="K545" s="6" t="n">
        <f aca="false">Sens!J545-Sens!K541+Sens!K543</f>
        <v>99.8285698207304</v>
      </c>
    </row>
    <row r="546" customFormat="false" ht="15" hidden="false" customHeight="false" outlineLevel="0" collapsed="false">
      <c r="A546" s="1" t="s">
        <v>865</v>
      </c>
      <c r="B546" s="0" t="s">
        <v>95</v>
      </c>
      <c r="E546" s="6" t="n">
        <f aca="false">Sens!E544-Sens!E545</f>
        <v>30.707</v>
      </c>
      <c r="F546" s="6" t="n">
        <f aca="false">Sens!F544-Sens!F545</f>
        <v>-7.47974536579493</v>
      </c>
      <c r="G546" s="6" t="n">
        <f aca="false">Sens!G544-Sens!G545</f>
        <v>-30.076599487253</v>
      </c>
      <c r="H546" s="6" t="n">
        <f aca="false">Sens!H544-Sens!H545</f>
        <v>-33.3494104919322</v>
      </c>
      <c r="I546" s="6" t="n">
        <f aca="false">Sens!I544-Sens!I545</f>
        <v>-38.6126259161879</v>
      </c>
      <c r="J546" s="6" t="n">
        <f aca="false">Sens!J544-Sens!J545</f>
        <v>-38.1126259161879</v>
      </c>
      <c r="K546" s="6" t="n">
        <f aca="false">Sens!K544-Sens!K545</f>
        <v>-49.8285698207304</v>
      </c>
    </row>
    <row r="547" customFormat="false" ht="15" hidden="false" customHeight="false" outlineLevel="0" collapsed="false">
      <c r="A547" s="1" t="s">
        <v>866</v>
      </c>
      <c r="B547" s="0" t="s">
        <v>73</v>
      </c>
      <c r="F547" s="27" t="n">
        <f aca="false">px*(1+bb_g)^(1-0.5)</f>
        <v>553.494156066711</v>
      </c>
      <c r="G547" s="27" t="n">
        <f aca="false">px*(1+bb_g)^(2-0.5)</f>
        <v>597.773688552047</v>
      </c>
      <c r="H547" s="27" t="n">
        <f aca="false">px*(1+bb_g)^(3-0.5)</f>
        <v>645.595583636211</v>
      </c>
      <c r="I547" s="27" t="n">
        <f aca="false">px*(1+bb_g)^(4-0.5)</f>
        <v>697.243230327108</v>
      </c>
      <c r="J547" s="27" t="n">
        <f aca="false">px*(1+bb_g)^(5-0.5)</f>
        <v>753.022688753277</v>
      </c>
      <c r="K547" s="27" t="n">
        <f aca="false">px*(1+bb_g)^(6-0.5)</f>
        <v>813.264503853539</v>
      </c>
    </row>
    <row r="548" customFormat="false" ht="15" hidden="false" customHeight="false" outlineLevel="0" collapsed="false">
      <c r="A548" s="1" t="s">
        <v>867</v>
      </c>
      <c r="B548" s="1" t="s">
        <v>79</v>
      </c>
      <c r="E548" s="18" t="n">
        <f aca="false">sh_out26</f>
        <v>7.427</v>
      </c>
      <c r="F548" s="18" t="n">
        <f aca="false">Sens!E548+sh_iss-Sens!F542/Sens!F547</f>
        <v>7.472</v>
      </c>
      <c r="G548" s="18" t="n">
        <f aca="false">Sens!F548+sh_iss-Sens!G542/Sens!G547</f>
        <v>7.517</v>
      </c>
      <c r="H548" s="18" t="n">
        <f aca="false">Sens!G548+sh_iss-Sens!H542/Sens!H547</f>
        <v>7.562</v>
      </c>
      <c r="I548" s="18" t="n">
        <f aca="false">Sens!H548+sh_iss-Sens!I542/Sens!I547</f>
        <v>7.607</v>
      </c>
      <c r="J548" s="18" t="n">
        <f aca="false">Sens!I548+sh_iss-Sens!J542/Sens!J547</f>
        <v>7.64365770503251</v>
      </c>
      <c r="K548" s="18" t="n">
        <f aca="false">Sens!J548+sh_iss-Sens!K542/Sens!K547</f>
        <v>7.68865770503251</v>
      </c>
    </row>
    <row r="549" customFormat="false" ht="15" hidden="false" customHeight="false" outlineLevel="0" collapsed="false">
      <c r="A549" s="1" t="s">
        <v>868</v>
      </c>
      <c r="B549" s="1" t="s">
        <v>79</v>
      </c>
      <c r="E549" s="18" t="n">
        <f aca="false">sh_dil26</f>
        <v>7.453</v>
      </c>
      <c r="F549" s="18" t="n">
        <f aca="false">(Sens!E548+Sens!F548)/2+dil_gap</f>
        <v>7.4735</v>
      </c>
      <c r="G549" s="18" t="n">
        <f aca="false">(Sens!F548+Sens!G548)/2+dil_gap</f>
        <v>7.5185</v>
      </c>
      <c r="H549" s="18" t="n">
        <f aca="false">(Sens!G548+Sens!H548)/2+dil_gap</f>
        <v>7.5635</v>
      </c>
      <c r="I549" s="18" t="n">
        <f aca="false">(Sens!H548+Sens!I548)/2+dil_gap</f>
        <v>7.6085</v>
      </c>
      <c r="J549" s="18" t="n">
        <f aca="false">(Sens!I548+Sens!J548)/2+dil_gap</f>
        <v>7.64932885251626</v>
      </c>
      <c r="K549" s="18" t="n">
        <f aca="false">(Sens!J548+Sens!K548)/2+dil_gap</f>
        <v>7.69015770503251</v>
      </c>
    </row>
    <row r="550" customFormat="false" ht="17.15" hidden="false" customHeight="false" outlineLevel="0" collapsed="false">
      <c r="A550" s="1" t="s">
        <v>869</v>
      </c>
      <c r="B550" s="0" t="s">
        <v>95</v>
      </c>
      <c r="C550" s="6" t="n">
        <f aca="false">SUM(Sens!F540:J540)</f>
        <v>-62.5376885293971</v>
      </c>
    </row>
    <row r="551" customFormat="false" ht="17.15" hidden="false" customHeight="false" outlineLevel="0" collapsed="false">
      <c r="A551" s="1" t="s">
        <v>836</v>
      </c>
      <c r="B551" s="1" t="s">
        <v>870</v>
      </c>
      <c r="C551" s="30" t="str">
        <f aca="false">IF(SUM(Sens!F543:J543)&gt;0.05,"需要舉債 "&amp;TEXT(SUM(Sens!F543:J543),"0.0")&amp;" 十億美元","不需舉債")&amp;"；"&amp;IF(SUM(Sens!F542:J542)&lt;5*bb_target-0.05,"回購較每年 "&amp;TEXT(bb_target,"0.0")&amp;" 的目標少 "&amp;TEXT(5*bb_target-SUM(Sens!F542:J542),"0.0")&amp;" 十億美元（"&amp;TEXT(COUNTIF(Sens!F542:J542,"&lt;"&amp;(bb_target-0.05)),"0")&amp;" 年減少）","回購不減")</f>
        <v>需要舉債 53.7 十億美元；回購較每年 22.3 的目標少 105.1 十億美元（5 年減少）</v>
      </c>
    </row>
    <row r="552" customFormat="false" ht="17.15" hidden="false" customHeight="false" outlineLevel="0" collapsed="false">
      <c r="A552" s="3" t="s">
        <v>1128</v>
      </c>
    </row>
    <row r="553" customFormat="false" ht="15" hidden="false" customHeight="false" outlineLevel="0" collapsed="false">
      <c r="A553" s="4" t="s">
        <v>43</v>
      </c>
      <c r="B553" s="4" t="s">
        <v>63</v>
      </c>
      <c r="C553" s="19" t="s">
        <v>710</v>
      </c>
      <c r="D553" s="19" t="s">
        <v>711</v>
      </c>
      <c r="E553" s="19" t="s">
        <v>712</v>
      </c>
      <c r="F553" s="19" t="s">
        <v>713</v>
      </c>
      <c r="G553" s="19" t="s">
        <v>714</v>
      </c>
      <c r="H553" s="19" t="s">
        <v>715</v>
      </c>
      <c r="I553" s="19" t="s">
        <v>716</v>
      </c>
      <c r="J553" s="19" t="s">
        <v>717</v>
      </c>
      <c r="K553" s="19" t="s">
        <v>718</v>
      </c>
      <c r="L553" s="4" t="s">
        <v>47</v>
      </c>
    </row>
    <row r="554" customFormat="false" ht="17.15" hidden="false" customHeight="false" outlineLevel="0" collapsed="false">
      <c r="A554" s="1" t="s">
        <v>938</v>
      </c>
      <c r="B554" s="1" t="s">
        <v>213</v>
      </c>
      <c r="F554" s="34" t="n">
        <f aca="false">1-0.5</f>
        <v>0.5</v>
      </c>
      <c r="G554" s="34" t="n">
        <f aca="false">2-0.5</f>
        <v>1.5</v>
      </c>
      <c r="H554" s="34" t="n">
        <f aca="false">3-0.5</f>
        <v>2.5</v>
      </c>
      <c r="I554" s="34" t="n">
        <f aca="false">4-0.5</f>
        <v>3.5</v>
      </c>
      <c r="J554" s="34" t="n">
        <f aca="false">5-0.5</f>
        <v>4.5</v>
      </c>
      <c r="K554" s="34" t="n">
        <f aca="false">6-0.5</f>
        <v>5.5</v>
      </c>
    </row>
    <row r="555" customFormat="false" ht="15" hidden="false" customHeight="false" outlineLevel="0" collapsed="false">
      <c r="A555" s="1" t="s">
        <v>939</v>
      </c>
      <c r="B555" s="0" t="s">
        <v>182</v>
      </c>
      <c r="F555" s="18" t="n">
        <f aca="false">1/(1+wacc)^Sens!F554</f>
        <v>0.949601579913219</v>
      </c>
      <c r="G555" s="18" t="n">
        <f aca="false">1/(1+wacc)^Sens!G554</f>
        <v>0.856296729956707</v>
      </c>
      <c r="H555" s="18" t="n">
        <f aca="false">1/(1+wacc)^Sens!H554</f>
        <v>0.772159719660069</v>
      </c>
      <c r="I555" s="18" t="n">
        <f aca="false">1/(1+wacc)^Sens!I554</f>
        <v>0.696289746073958</v>
      </c>
      <c r="J555" s="18" t="n">
        <f aca="false">1/(1+wacc)^Sens!J554</f>
        <v>0.627874516299776</v>
      </c>
      <c r="K555" s="18" t="n">
        <f aca="false">1/(1+wacc)^Sens!K554</f>
        <v>0.566181550771831</v>
      </c>
    </row>
    <row r="556" customFormat="false" ht="15" hidden="false" customHeight="false" outlineLevel="0" collapsed="false">
      <c r="A556" s="1" t="s">
        <v>940</v>
      </c>
      <c r="B556" s="0" t="s">
        <v>95</v>
      </c>
      <c r="F556" s="6" t="n">
        <f aca="false">Sens!F537*Sens!F555</f>
        <v>-9.10933363514307</v>
      </c>
      <c r="G556" s="6" t="n">
        <f aca="false">Sens!G537*Sens!G555</f>
        <v>7.25430774169816</v>
      </c>
      <c r="H556" s="6" t="n">
        <f aca="false">Sens!H537*Sens!H555</f>
        <v>23.5379994508331</v>
      </c>
      <c r="I556" s="6" t="n">
        <f aca="false">Sens!I537*Sens!I555</f>
        <v>21.8716180394722</v>
      </c>
      <c r="J556" s="6" t="n">
        <f aca="false">Sens!J537*Sens!J555</f>
        <v>29.275597120321</v>
      </c>
      <c r="K556" s="6" t="n">
        <f aca="false">Sens!K537*Sens!K555</f>
        <v>17.8480600490065</v>
      </c>
    </row>
    <row r="557" customFormat="false" ht="17.15" hidden="false" customHeight="false" outlineLevel="0" collapsed="false">
      <c r="A557" s="1" t="s">
        <v>941</v>
      </c>
      <c r="B557" s="0" t="s">
        <v>95</v>
      </c>
      <c r="C557" s="6" t="n">
        <f aca="false">SUM(Sens!F556:K556)</f>
        <v>90.678248766188</v>
      </c>
    </row>
    <row r="558" customFormat="false" ht="17.15" hidden="false" customHeight="false" outlineLevel="0" collapsed="false">
      <c r="A558" s="1" t="s">
        <v>942</v>
      </c>
      <c r="B558" s="0" t="s">
        <v>95</v>
      </c>
      <c r="C558" s="6" t="n">
        <f aca="false">Sens!K503*(1+g_tv)*(1-tax_f)</f>
        <v>143.313339641404</v>
      </c>
    </row>
    <row r="559" customFormat="false" ht="17.15" hidden="false" customHeight="false" outlineLevel="0" collapsed="false">
      <c r="A559" s="1" t="s">
        <v>943</v>
      </c>
      <c r="B559" s="0" t="s">
        <v>95</v>
      </c>
      <c r="C559" s="6" t="n">
        <f aca="false">Sens!$C$558*(1-g_tv/(wacc+ronic_prem))</f>
        <v>103.855987482977</v>
      </c>
    </row>
    <row r="560" customFormat="false" ht="17.15" hidden="false" customHeight="false" outlineLevel="0" collapsed="false">
      <c r="A560" s="1" t="s">
        <v>944</v>
      </c>
      <c r="B560" s="0" t="s">
        <v>95</v>
      </c>
      <c r="C560" s="6" t="n">
        <f aca="false">Sens!$C$559/(wacc-g_tv)</f>
        <v>1315.24507194756</v>
      </c>
    </row>
    <row r="561" customFormat="false" ht="15" hidden="false" customHeight="false" outlineLevel="0" collapsed="false">
      <c r="A561" s="1" t="s">
        <v>945</v>
      </c>
      <c r="B561" s="0" t="s">
        <v>95</v>
      </c>
      <c r="C561" s="6" t="n">
        <f aca="false">Sens!$C$560/(1+wacc)^6</f>
        <v>707.13742926849</v>
      </c>
    </row>
    <row r="562" customFormat="false" ht="17.15" hidden="false" customHeight="false" outlineLevel="0" collapsed="false">
      <c r="A562" s="0" t="s">
        <v>877</v>
      </c>
      <c r="B562" s="0" t="s">
        <v>95</v>
      </c>
      <c r="C562" s="6" t="n">
        <f aca="false">Sens!$C$557+Sens!$C$561</f>
        <v>797.815678034678</v>
      </c>
    </row>
    <row r="563" customFormat="false" ht="15" hidden="false" customHeight="false" outlineLevel="0" collapsed="false">
      <c r="A563" s="1" t="s">
        <v>878</v>
      </c>
      <c r="B563" s="0" t="s">
        <v>126</v>
      </c>
      <c r="C563" s="7" t="n">
        <f aca="false">Sens!$C$561/Sens!$C$562</f>
        <v>0.88634185656822</v>
      </c>
    </row>
    <row r="564" customFormat="false" ht="17.15" hidden="false" customHeight="false" outlineLevel="0" collapsed="false">
      <c r="A564" s="1" t="s">
        <v>946</v>
      </c>
      <c r="B564" s="0" t="s">
        <v>95</v>
      </c>
      <c r="C564" s="6" t="n">
        <f aca="false">Sens!$C$562+Sens!E546+oai_v</f>
        <v>998.922678034678</v>
      </c>
    </row>
    <row r="565" customFormat="false" ht="17.15" hidden="false" customHeight="false" outlineLevel="0" collapsed="false">
      <c r="A565" s="0" t="s">
        <v>883</v>
      </c>
      <c r="B565" s="0" t="s">
        <v>73</v>
      </c>
      <c r="C565" s="5" t="n">
        <f aca="false">Sens!$C$564/sh_dil26</f>
        <v>134.029609289505</v>
      </c>
    </row>
    <row r="566" customFormat="false" ht="17.15" hidden="false" customHeight="false" outlineLevel="0" collapsed="false">
      <c r="A566" s="0" t="s">
        <v>947</v>
      </c>
      <c r="B566" s="0" t="s">
        <v>73</v>
      </c>
      <c r="C566" s="5" t="n">
        <f aca="false">Sens!$C$565*(1+wacc)^t_roll</f>
        <v>153.731234176344</v>
      </c>
    </row>
    <row r="567" customFormat="false" ht="17.15" hidden="false" customHeight="false" outlineLevel="0" collapsed="false">
      <c r="A567" s="1" t="s">
        <v>948</v>
      </c>
      <c r="B567" s="0" t="s">
        <v>126</v>
      </c>
      <c r="F567" s="7" t="n">
        <f aca="false">Sens!F527/(Sens!F478-Sens!F434)</f>
        <v>0.0686864325746334</v>
      </c>
      <c r="G567" s="7" t="n">
        <f aca="false">Sens!G527/(Sens!G478-Sens!G434)</f>
        <v>0.066267001590801</v>
      </c>
      <c r="H567" s="7" t="n">
        <f aca="false">Sens!H527/(Sens!H478-Sens!H434)</f>
        <v>0.0650366246750144</v>
      </c>
      <c r="I567" s="7" t="n">
        <f aca="false">Sens!I527/(Sens!I478-Sens!I434)</f>
        <v>0.0648573271390164</v>
      </c>
      <c r="J567" s="7" t="n">
        <f aca="false">Sens!J527/(Sens!J478-Sens!J434)</f>
        <v>0.0655189837669657</v>
      </c>
      <c r="K567" s="7" t="n">
        <f aca="false">Sens!K527/(Sens!K478-Sens!K434)</f>
        <v>0.0667878921367872</v>
      </c>
    </row>
    <row r="568" customFormat="false" ht="17.15" hidden="false" customHeight="false" outlineLevel="0" collapsed="false">
      <c r="A568" s="0" t="s">
        <v>949</v>
      </c>
      <c r="B568" s="0" t="s">
        <v>95</v>
      </c>
      <c r="F568" s="6" t="n">
        <f aca="false">Sens!F463*(al_m365+Sens!F567)</f>
        <v>78.4986969872395</v>
      </c>
      <c r="G568" s="6" t="n">
        <f aca="false">Sens!G463*(al_m365+Sens!G567)</f>
        <v>88.3098056906507</v>
      </c>
      <c r="H568" s="6" t="n">
        <f aca="false">Sens!H463*(al_m365+Sens!H567)</f>
        <v>98.2773562913015</v>
      </c>
      <c r="I568" s="6" t="n">
        <f aca="false">Sens!I463*(al_m365+Sens!I567)</f>
        <v>107.762753675846</v>
      </c>
      <c r="J568" s="6" t="n">
        <f aca="false">Sens!J463*(al_m365+Sens!J567)</f>
        <v>116.587414331333</v>
      </c>
      <c r="K568" s="6" t="n">
        <f aca="false">Sens!K463*(al_m365+Sens!K567)</f>
        <v>125.041394489287</v>
      </c>
    </row>
    <row r="569" customFormat="false" ht="17.15" hidden="false" customHeight="false" outlineLevel="0" collapsed="false">
      <c r="A569" s="0" t="s">
        <v>950</v>
      </c>
      <c r="B569" s="0" t="s">
        <v>95</v>
      </c>
      <c r="F569" s="6" t="n">
        <f aca="false">Sens!F464*(al_lic+Sens!F567)</f>
        <v>31.9877845991607</v>
      </c>
      <c r="G569" s="6" t="n">
        <f aca="false">Sens!G464*(al_lic+Sens!G567)</f>
        <v>33.243749427372</v>
      </c>
      <c r="H569" s="6" t="n">
        <f aca="false">Sens!H464*(al_lic+Sens!H567)</f>
        <v>34.4137793872059</v>
      </c>
      <c r="I569" s="6" t="n">
        <f aca="false">Sens!I464*(al_lic+Sens!I567)</f>
        <v>35.4787240806467</v>
      </c>
      <c r="J569" s="6" t="n">
        <f aca="false">Sens!J464*(al_lic+Sens!J567)</f>
        <v>36.4160307520991</v>
      </c>
      <c r="K569" s="6" t="n">
        <f aca="false">Sens!K464*(al_lic+Sens!K567)</f>
        <v>37.2021461938459</v>
      </c>
    </row>
    <row r="570" customFormat="false" ht="17.15" hidden="false" customHeight="false" outlineLevel="0" collapsed="false">
      <c r="A570" s="0" t="s">
        <v>951</v>
      </c>
      <c r="B570" s="0" t="s">
        <v>95</v>
      </c>
      <c r="F570" s="6" t="n">
        <f aca="false">Sens!F466*(al_ind+Sens!F567)</f>
        <v>8.24280380456612</v>
      </c>
      <c r="G570" s="6" t="n">
        <f aca="false">Sens!G466*(al_ind+Sens!G567)</f>
        <v>8.9512770630031</v>
      </c>
      <c r="H570" s="6" t="n">
        <f aca="false">Sens!H466*(al_ind+Sens!H567)</f>
        <v>9.70041215792393</v>
      </c>
      <c r="I570" s="6" t="n">
        <f aca="false">Sens!I466*(al_ind+Sens!I567)</f>
        <v>10.4864435829487</v>
      </c>
      <c r="J570" s="6" t="n">
        <f aca="false">Sens!J466*(al_ind+Sens!J567)</f>
        <v>11.3015744981253</v>
      </c>
      <c r="K570" s="6" t="n">
        <f aca="false">Sens!K466*(al_ind+Sens!K567)</f>
        <v>12.1346647729291</v>
      </c>
    </row>
    <row r="571" customFormat="false" ht="17.15" hidden="false" customHeight="false" outlineLevel="0" collapsed="false">
      <c r="A571" s="0" t="s">
        <v>952</v>
      </c>
      <c r="B571" s="0" t="s">
        <v>95</v>
      </c>
      <c r="F571" s="6" t="n">
        <f aca="false">Sens!F468*(al_fro+Sens!F567)</f>
        <v>3.24439651632051</v>
      </c>
      <c r="G571" s="6" t="n">
        <f aca="false">Sens!G468*(al_fro+Sens!G567)</f>
        <v>3.43676117771401</v>
      </c>
      <c r="H571" s="6" t="n">
        <f aca="false">Sens!H468*(al_fro+Sens!H567)</f>
        <v>3.65544732248501</v>
      </c>
      <c r="I571" s="6" t="n">
        <f aca="false">Sens!I468*(al_fro+Sens!I567)</f>
        <v>3.90262750850979</v>
      </c>
      <c r="J571" s="6" t="n">
        <f aca="false">Sens!J468*(al_fro+Sens!J567)</f>
        <v>4.17975656810881</v>
      </c>
      <c r="K571" s="6" t="n">
        <f aca="false">Sens!K468*(al_fro+Sens!K567)</f>
        <v>4.48786536733111</v>
      </c>
    </row>
    <row r="572" customFormat="false" ht="17.15" hidden="false" customHeight="false" outlineLevel="0" collapsed="false">
      <c r="A572" s="0" t="s">
        <v>953</v>
      </c>
      <c r="B572" s="0" t="s">
        <v>95</v>
      </c>
      <c r="F572" s="6" t="n">
        <f aca="false">Sens!F471*(al_srch+Sens!F567)</f>
        <v>10.1799817910968</v>
      </c>
      <c r="G572" s="6" t="n">
        <f aca="false">Sens!G471*(al_srch+Sens!G567)</f>
        <v>11.1592643133754</v>
      </c>
      <c r="H572" s="6" t="n">
        <f aca="false">Sens!H471*(al_srch+Sens!H567)</f>
        <v>12.1792194533398</v>
      </c>
      <c r="I572" s="6" t="n">
        <f aca="false">Sens!I471*(al_srch+Sens!I567)</f>
        <v>13.2288881134521</v>
      </c>
      <c r="J572" s="6" t="n">
        <f aca="false">Sens!J471*(al_srch+Sens!J567)</f>
        <v>14.2913670918582</v>
      </c>
      <c r="K572" s="6" t="n">
        <f aca="false">Sens!K471*(al_srch+Sens!K567)</f>
        <v>15.3448485284362</v>
      </c>
    </row>
    <row r="573" customFormat="false" ht="17.15" hidden="false" customHeight="false" outlineLevel="0" collapsed="false">
      <c r="A573" s="0" t="s">
        <v>954</v>
      </c>
      <c r="B573" s="0" t="s">
        <v>95</v>
      </c>
      <c r="F573" s="6" t="n">
        <f aca="false">Sens!F440</f>
        <v>27.4580588542959</v>
      </c>
      <c r="G573" s="6" t="n">
        <f aca="false">Sens!G440</f>
        <v>40.9782545814069</v>
      </c>
      <c r="H573" s="6" t="n">
        <f aca="false">Sens!H440</f>
        <v>51.0453215104207</v>
      </c>
      <c r="I573" s="6" t="n">
        <f aca="false">Sens!I440</f>
        <v>67.2781920735313</v>
      </c>
      <c r="J573" s="6" t="n">
        <f aca="false">Sens!J440</f>
        <v>83.5567218048865</v>
      </c>
      <c r="K573" s="6" t="n">
        <f aca="false">Sens!K440</f>
        <v>99.8621106289988</v>
      </c>
    </row>
    <row r="574" customFormat="false" ht="17.15" hidden="false" customHeight="false" outlineLevel="0" collapsed="false">
      <c r="A574" s="0" t="s">
        <v>955</v>
      </c>
      <c r="B574" s="0" t="s">
        <v>95</v>
      </c>
      <c r="F574" s="6" t="n">
        <f aca="false">Sens!F500+Sens!F451+Sens!F567*(Sens!F470-Sens!F434)</f>
        <v>198.55518029961</v>
      </c>
      <c r="G574" s="6" t="n">
        <f aca="false">Sens!G500+Sens!G451+Sens!G567*(Sens!G470-Sens!G434)</f>
        <v>230.359544928553</v>
      </c>
      <c r="H574" s="6" t="n">
        <f aca="false">Sens!H500+Sens!H451+Sens!H567*(Sens!H470-Sens!H434)</f>
        <v>258.927160376946</v>
      </c>
      <c r="I574" s="6" t="n">
        <f aca="false">Sens!I500+Sens!I451+Sens!I567*(Sens!I470-Sens!I434)</f>
        <v>292.944958110596</v>
      </c>
      <c r="J574" s="6" t="n">
        <f aca="false">Sens!J500+Sens!J451+Sens!J567*(Sens!J470-Sens!J434)</f>
        <v>325.485212063451</v>
      </c>
      <c r="K574" s="6" t="n">
        <f aca="false">Sens!K500+Sens!K451+Sens!K567*(Sens!K470-Sens!K434)</f>
        <v>356.113428641206</v>
      </c>
    </row>
    <row r="575" customFormat="false" ht="17.15" hidden="false" customHeight="false" outlineLevel="0" collapsed="false">
      <c r="A575" s="0" t="s">
        <v>956</v>
      </c>
      <c r="B575" s="0" t="s">
        <v>95</v>
      </c>
      <c r="F575" s="6" t="n">
        <f aca="false">Sens!F574-Sens!F568-Sens!F569-Sens!F570-Sens!F571-Sens!F573</f>
        <v>49.123439538027</v>
      </c>
      <c r="G575" s="6" t="n">
        <f aca="false">Sens!G574-Sens!G568-Sens!G569-Sens!G570-Sens!G571-Sens!G573</f>
        <v>55.439696988406</v>
      </c>
      <c r="H575" s="6" t="n">
        <f aca="false">Sens!H574-Sens!H568-Sens!H569-Sens!H570-Sens!H571-Sens!H573</f>
        <v>61.8348437076084</v>
      </c>
      <c r="I575" s="6" t="n">
        <f aca="false">Sens!I574-Sens!I568-Sens!I569-Sens!I570-Sens!I571-Sens!I573</f>
        <v>68.036217189113</v>
      </c>
      <c r="J575" s="6" t="n">
        <f aca="false">Sens!J574-Sens!J568-Sens!J569-Sens!J570-Sens!J571-Sens!J573</f>
        <v>73.4437141088982</v>
      </c>
      <c r="K575" s="6" t="n">
        <f aca="false">Sens!K574-Sens!K568-Sens!K569-Sens!K570-Sens!K571-Sens!K573</f>
        <v>77.3852471888144</v>
      </c>
    </row>
    <row r="576" customFormat="false" ht="17.15" hidden="false" customHeight="false" outlineLevel="0" collapsed="false">
      <c r="A576" s="0" t="s">
        <v>957</v>
      </c>
      <c r="B576" s="0" t="s">
        <v>95</v>
      </c>
      <c r="F576" s="6" t="n">
        <f aca="false">Sens!F502+Sens!F567*Sens!F477</f>
        <v>23.7697943901369</v>
      </c>
      <c r="G576" s="6" t="n">
        <f aca="false">Sens!G502+Sens!G567*Sens!G477</f>
        <v>24.331261048114</v>
      </c>
      <c r="H576" s="6" t="n">
        <f aca="false">Sens!H502+Sens!H567*Sens!H477</f>
        <v>25.1342423406419</v>
      </c>
      <c r="I576" s="6" t="n">
        <f aca="false">Sens!I502+Sens!I567*Sens!I477</f>
        <v>26.1495446421549</v>
      </c>
      <c r="J576" s="6" t="n">
        <f aca="false">Sens!J502+Sens!J567*Sens!J477</f>
        <v>27.3481502080811</v>
      </c>
      <c r="K576" s="6" t="n">
        <f aca="false">Sens!K502+Sens!K567*Sens!K477</f>
        <v>28.7026027133478</v>
      </c>
    </row>
    <row r="577" customFormat="false" ht="17.15" hidden="false" customHeight="false" outlineLevel="0" collapsed="false">
      <c r="A577" s="0" t="s">
        <v>958</v>
      </c>
      <c r="B577" s="0" t="s">
        <v>95</v>
      </c>
      <c r="F577" s="6" t="n">
        <f aca="false">(Sens!F576-Sens!F572)*Sens!F473/(Sens!F473+Sens!F475)</f>
        <v>7.44980290393703</v>
      </c>
      <c r="G577" s="6" t="n">
        <f aca="false">(Sens!G576-Sens!G572)*Sens!G473/(Sens!G473+Sens!G475)</f>
        <v>7.09201461396229</v>
      </c>
      <c r="H577" s="6" t="n">
        <f aca="false">(Sens!H576-Sens!H572)*Sens!H473/(Sens!H473+Sens!H475)</f>
        <v>6.8809692168288</v>
      </c>
      <c r="I577" s="6" t="n">
        <f aca="false">(Sens!I576-Sens!I572)*Sens!I473/(Sens!I473+Sens!I475)</f>
        <v>6.80062182771623</v>
      </c>
      <c r="J577" s="6" t="n">
        <f aca="false">(Sens!J576-Sens!J572)*Sens!J473/(Sens!J473+Sens!J475)</f>
        <v>6.84119415814997</v>
      </c>
      <c r="K577" s="6" t="n">
        <f aca="false">(Sens!K576-Sens!K572)*Sens!K473/(Sens!K473+Sens!K475)</f>
        <v>6.99889008512965</v>
      </c>
    </row>
    <row r="578" customFormat="false" ht="17.15" hidden="false" customHeight="false" outlineLevel="0" collapsed="false">
      <c r="A578" s="0" t="s">
        <v>959</v>
      </c>
      <c r="B578" s="0" t="s">
        <v>95</v>
      </c>
      <c r="F578" s="6" t="n">
        <f aca="false">Sens!F576-Sens!F572-Sens!F577</f>
        <v>6.14000969510312</v>
      </c>
      <c r="G578" s="6" t="n">
        <f aca="false">Sens!G576-Sens!G572-Sens!G577</f>
        <v>6.07998212077627</v>
      </c>
      <c r="H578" s="6" t="n">
        <f aca="false">Sens!H576-Sens!H572-Sens!H577</f>
        <v>6.07405367047327</v>
      </c>
      <c r="I578" s="6" t="n">
        <f aca="false">Sens!I576-Sens!I572-Sens!I577</f>
        <v>6.12003470098649</v>
      </c>
      <c r="J578" s="6" t="n">
        <f aca="false">Sens!J576-Sens!J572-Sens!J577</f>
        <v>6.21558895807294</v>
      </c>
      <c r="K578" s="6" t="n">
        <f aca="false">Sens!K576-Sens!K572-Sens!K577</f>
        <v>6.35886409978198</v>
      </c>
    </row>
    <row r="579" customFormat="false" ht="17.15" hidden="false" customHeight="false" outlineLevel="0" collapsed="false">
      <c r="A579" s="1" t="s">
        <v>960</v>
      </c>
      <c r="B579" s="0" t="s">
        <v>95</v>
      </c>
      <c r="C579" s="6" t="n">
        <f aca="false">(w_ntm28*Sens!G573+(1-w_ntm28)*Sens!H573)*m_ai*1</f>
        <v>265.3968792302</v>
      </c>
    </row>
    <row r="580" customFormat="false" ht="17.15" hidden="false" customHeight="false" outlineLevel="0" collapsed="false">
      <c r="A580" s="1" t="s">
        <v>961</v>
      </c>
      <c r="B580" s="0" t="s">
        <v>95</v>
      </c>
      <c r="C580" s="6" t="n">
        <f aca="false">(w_ntm28*Sens!G575+(1-w_ntm28)*Sens!H575)*m_cloud*1</f>
        <v>794.749076664173</v>
      </c>
    </row>
    <row r="581" customFormat="false" ht="17.15" hidden="false" customHeight="false" outlineLevel="0" collapsed="false">
      <c r="A581" s="1" t="s">
        <v>962</v>
      </c>
      <c r="B581" s="0" t="s">
        <v>95</v>
      </c>
      <c r="C581" s="6" t="n">
        <f aca="false">(w_ntm28*Sens!G568+(1-w_ntm28)*Sens!H568)*m_sw*1</f>
        <v>988.547672652094</v>
      </c>
    </row>
    <row r="582" customFormat="false" ht="17.15" hidden="false" customHeight="false" outlineLevel="0" collapsed="false">
      <c r="A582" s="1" t="s">
        <v>963</v>
      </c>
      <c r="B582" s="0" t="s">
        <v>95</v>
      </c>
      <c r="C582" s="6" t="n">
        <f aca="false">(w_ntm28*Sens!G569+(1-w_ntm28)*Sens!H569)*m_sw*1</f>
        <v>363.117661434282</v>
      </c>
    </row>
    <row r="583" customFormat="false" ht="17.15" hidden="false" customHeight="false" outlineLevel="0" collapsed="false">
      <c r="A583" s="1" t="s">
        <v>964</v>
      </c>
      <c r="B583" s="0" t="s">
        <v>95</v>
      </c>
      <c r="C583" s="6" t="n">
        <f aca="false">(w_ntm28*Sens!G570+(1-w_ntm28)*Sens!H570)*m_sw*1</f>
        <v>99.2894025954118</v>
      </c>
    </row>
    <row r="584" customFormat="false" ht="17.15" hidden="false" customHeight="false" outlineLevel="0" collapsed="false">
      <c r="A584" s="1" t="s">
        <v>965</v>
      </c>
      <c r="B584" s="0" t="s">
        <v>95</v>
      </c>
      <c r="C584" s="6" t="n">
        <f aca="false">(w_ntm28*Sens!G571+(1-w_ntm28)*Sens!H571)*m_sw*1</f>
        <v>37.8805648916295</v>
      </c>
    </row>
    <row r="585" customFormat="false" ht="17.15" hidden="false" customHeight="false" outlineLevel="0" collapsed="false">
      <c r="A585" s="1" t="s">
        <v>966</v>
      </c>
      <c r="B585" s="0" t="s">
        <v>95</v>
      </c>
      <c r="C585" s="6" t="n">
        <f aca="false">(w_ntm28*Sens!G572+(1-w_ntm28)*Sens!H572)*m_ads*1</f>
        <v>104.664819473916</v>
      </c>
    </row>
    <row r="586" customFormat="false" ht="17.15" hidden="false" customHeight="false" outlineLevel="0" collapsed="false">
      <c r="A586" s="1" t="s">
        <v>967</v>
      </c>
      <c r="B586" s="0" t="s">
        <v>95</v>
      </c>
      <c r="C586" s="6" t="n">
        <f aca="false">(w_ntm28*Sens!G577+(1-w_ntm28)*Sens!H577)*m_game*1</f>
        <v>88.7104201985522</v>
      </c>
    </row>
    <row r="587" customFormat="false" ht="17.15" hidden="false" customHeight="false" outlineLevel="0" collapsed="false">
      <c r="A587" s="1" t="s">
        <v>968</v>
      </c>
      <c r="B587" s="0" t="s">
        <v>95</v>
      </c>
      <c r="C587" s="6" t="n">
        <f aca="false">(w_ntm28*Sens!G578+(1-w_ntm28)*Sens!H578)*m_pc*1</f>
        <v>87.9496081595385</v>
      </c>
    </row>
    <row r="588" customFormat="false" ht="17.15" hidden="false" customHeight="false" outlineLevel="0" collapsed="false">
      <c r="A588" s="1" t="s">
        <v>969</v>
      </c>
      <c r="B588" s="0" t="s">
        <v>95</v>
      </c>
      <c r="C588" s="6" t="n">
        <f aca="false">Sens!$C$579+Sens!$C$580+Sens!$C$581+Sens!$C$582+Sens!$C$583+Sens!$C$584+Sens!$C$585+Sens!$C$586+Sens!$C$587</f>
        <v>2830.3061052998</v>
      </c>
    </row>
    <row r="589" customFormat="false" ht="17.15" hidden="false" customHeight="false" outlineLevel="0" collapsed="false">
      <c r="A589" s="1" t="s">
        <v>903</v>
      </c>
      <c r="B589" s="0" t="s">
        <v>95</v>
      </c>
      <c r="C589" s="6" t="n">
        <f aca="false">Sens!F546+oai_v-Sens!F535</f>
        <v>100.450524634205</v>
      </c>
      <c r="L589" s="1" t="s">
        <v>970</v>
      </c>
    </row>
    <row r="590" customFormat="false" ht="15" hidden="false" customHeight="false" outlineLevel="0" collapsed="false">
      <c r="A590" s="1" t="s">
        <v>904</v>
      </c>
      <c r="B590" s="0" t="s">
        <v>73</v>
      </c>
      <c r="C590" s="5" t="n">
        <f aca="false">(Sens!$C$588+Sens!$C$589)/Sens!F548</f>
        <v>392.231883021146</v>
      </c>
    </row>
    <row r="591" customFormat="false" ht="17.15" hidden="false" customHeight="false" outlineLevel="0" collapsed="false">
      <c r="A591" s="1" t="s">
        <v>971</v>
      </c>
      <c r="B591" s="0" t="s">
        <v>73</v>
      </c>
      <c r="C591" s="5" t="n">
        <f aca="false">w_dcf*Sens!$C$566+(1-w_dcf)*Sens!$C$590</f>
        <v>272.981558598745</v>
      </c>
    </row>
    <row r="592" customFormat="false" ht="17.15" hidden="false" customHeight="false" outlineLevel="0" collapsed="false">
      <c r="A592" s="3" t="s">
        <v>1129</v>
      </c>
    </row>
    <row r="593" customFormat="false" ht="15" hidden="false" customHeight="false" outlineLevel="0" collapsed="false">
      <c r="A593" s="4" t="s">
        <v>43</v>
      </c>
      <c r="B593" s="4" t="s">
        <v>63</v>
      </c>
      <c r="C593" s="19" t="s">
        <v>710</v>
      </c>
      <c r="D593" s="19" t="s">
        <v>711</v>
      </c>
      <c r="E593" s="19" t="s">
        <v>712</v>
      </c>
      <c r="F593" s="19" t="s">
        <v>713</v>
      </c>
      <c r="G593" s="19" t="s">
        <v>714</v>
      </c>
      <c r="H593" s="19" t="s">
        <v>715</v>
      </c>
      <c r="I593" s="19" t="s">
        <v>716</v>
      </c>
      <c r="J593" s="19" t="s">
        <v>717</v>
      </c>
      <c r="K593" s="19" t="s">
        <v>718</v>
      </c>
      <c r="L593" s="4" t="s">
        <v>47</v>
      </c>
    </row>
    <row r="594" customFormat="false" ht="17.15" hidden="false" customHeight="false" outlineLevel="0" collapsed="false">
      <c r="A594" s="1" t="s">
        <v>719</v>
      </c>
      <c r="B594" s="0" t="s">
        <v>340</v>
      </c>
      <c r="C594" s="27" t="n">
        <f aca="false">mw_ext_24</f>
        <v>640</v>
      </c>
      <c r="D594" s="27" t="n">
        <f aca="false">mw_ext_25</f>
        <v>1630</v>
      </c>
      <c r="E594" s="27" t="n">
        <f aca="false">mw_ext_26</f>
        <v>3250</v>
      </c>
      <c r="F594" s="27" t="n">
        <f aca="false">MIN(1000000000,Sens!E594+pace)</f>
        <v>5777.2</v>
      </c>
      <c r="G594" s="27" t="n">
        <f aca="false">MIN(1000000000,Sens!F594+pace)</f>
        <v>8304.4</v>
      </c>
      <c r="H594" s="27" t="n">
        <f aca="false">MIN(1000000000,Sens!G594+pace)</f>
        <v>10831.6</v>
      </c>
      <c r="I594" s="27" t="n">
        <f aca="false">MIN(1000000000,Sens!H594+pace)</f>
        <v>13358.8</v>
      </c>
      <c r="J594" s="27" t="n">
        <f aca="false">MIN(1000000000,Sens!I594+pace)</f>
        <v>15886</v>
      </c>
      <c r="K594" s="27" t="n">
        <f aca="false">MIN(1000000000,Sens!J594+pace)</f>
        <v>18413.2</v>
      </c>
      <c r="L594" s="11" t="s">
        <v>720</v>
      </c>
    </row>
    <row r="595" customFormat="false" ht="17.15" hidden="false" customHeight="false" outlineLevel="0" collapsed="false">
      <c r="A595" s="1" t="s">
        <v>721</v>
      </c>
      <c r="B595" s="0" t="s">
        <v>340</v>
      </c>
      <c r="C595" s="27" t="n">
        <f aca="false">rent_ext_24</f>
        <v>150</v>
      </c>
      <c r="D595" s="27" t="n">
        <f aca="false">rent_ext_25</f>
        <v>400</v>
      </c>
      <c r="E595" s="27" t="n">
        <f aca="false">rent_ext_26</f>
        <v>550</v>
      </c>
      <c r="F595" s="27" t="n">
        <f aca="false">rent_ext_f</f>
        <v>756</v>
      </c>
      <c r="G595" s="27" t="n">
        <f aca="false">rent_ext_f</f>
        <v>756</v>
      </c>
      <c r="H595" s="27" t="n">
        <f aca="false">rent_ext_f</f>
        <v>756</v>
      </c>
      <c r="I595" s="27" t="n">
        <f aca="false">rent_ext_f</f>
        <v>756</v>
      </c>
      <c r="J595" s="27" t="n">
        <f aca="false">rent_ext_f</f>
        <v>756</v>
      </c>
      <c r="K595" s="27" t="n">
        <f aca="false">rent_ext_f</f>
        <v>756</v>
      </c>
      <c r="L595" s="1" t="s">
        <v>722</v>
      </c>
    </row>
    <row r="596" customFormat="false" ht="17.15" hidden="false" customHeight="false" outlineLevel="0" collapsed="false">
      <c r="A596" s="1" t="s">
        <v>723</v>
      </c>
      <c r="B596" s="0" t="s">
        <v>340</v>
      </c>
      <c r="C596" s="27" t="n">
        <f aca="false">Sens!C594-Sens!C595</f>
        <v>490</v>
      </c>
      <c r="D596" s="27" t="n">
        <f aca="false">Sens!D594-Sens!D595</f>
        <v>1230</v>
      </c>
      <c r="E596" s="27" t="n">
        <f aca="false">Sens!E594-Sens!E595</f>
        <v>2700</v>
      </c>
      <c r="F596" s="27" t="n">
        <f aca="false">Sens!F594-Sens!F595</f>
        <v>5021.2</v>
      </c>
      <c r="G596" s="27" t="n">
        <f aca="false">Sens!G594-Sens!G595</f>
        <v>7548.4</v>
      </c>
      <c r="H596" s="27" t="n">
        <f aca="false">Sens!H594-Sens!H595</f>
        <v>10075.6</v>
      </c>
      <c r="I596" s="27" t="n">
        <f aca="false">Sens!I594-Sens!I595</f>
        <v>12602.8</v>
      </c>
      <c r="J596" s="27" t="n">
        <f aca="false">Sens!J594-Sens!J595</f>
        <v>15130</v>
      </c>
      <c r="K596" s="27" t="n">
        <f aca="false">Sens!K594-Sens!K595</f>
        <v>17657.2</v>
      </c>
    </row>
    <row r="597" customFormat="false" ht="17.15" hidden="false" customHeight="false" outlineLevel="0" collapsed="false">
      <c r="A597" s="1" t="s">
        <v>724</v>
      </c>
      <c r="B597" s="0" t="s">
        <v>340</v>
      </c>
      <c r="C597" s="27" t="n">
        <f aca="false">Sens!C596/ext_sh</f>
        <v>816.666666666667</v>
      </c>
      <c r="D597" s="27" t="n">
        <f aca="false">Sens!D596/ext_sh</f>
        <v>2050</v>
      </c>
      <c r="E597" s="27" t="n">
        <f aca="false">Sens!E596/ext_sh</f>
        <v>4500</v>
      </c>
      <c r="F597" s="27" t="n">
        <f aca="false">Sens!F596/ext_sh</f>
        <v>8368.66666666667</v>
      </c>
      <c r="G597" s="27" t="n">
        <f aca="false">Sens!G596/ext_sh</f>
        <v>12580.6666666667</v>
      </c>
      <c r="H597" s="27" t="n">
        <f aca="false">Sens!H596/ext_sh</f>
        <v>16792.6666666667</v>
      </c>
      <c r="I597" s="27" t="n">
        <f aca="false">Sens!I596/ext_sh</f>
        <v>21004.6666666667</v>
      </c>
      <c r="J597" s="27" t="n">
        <f aca="false">Sens!J596/ext_sh</f>
        <v>25216.6666666667</v>
      </c>
      <c r="K597" s="27" t="n">
        <f aca="false">Sens!K596/ext_sh</f>
        <v>29428.6666666667</v>
      </c>
      <c r="L597" s="1" t="s">
        <v>725</v>
      </c>
    </row>
    <row r="598" customFormat="false" ht="17.15" hidden="false" customHeight="false" outlineLevel="0" collapsed="false">
      <c r="A598" s="1" t="s">
        <v>726</v>
      </c>
      <c r="B598" s="0" t="s">
        <v>340</v>
      </c>
      <c r="C598" s="27" t="n">
        <f aca="false">Sens!C597-Sens!C596</f>
        <v>326.666666666667</v>
      </c>
      <c r="D598" s="27" t="n">
        <f aca="false">Sens!D597-Sens!D596</f>
        <v>820</v>
      </c>
      <c r="E598" s="27" t="n">
        <f aca="false">Sens!E597-Sens!E596</f>
        <v>1800</v>
      </c>
      <c r="F598" s="27" t="n">
        <f aca="false">Sens!F597-Sens!F596</f>
        <v>3347.46666666667</v>
      </c>
      <c r="G598" s="27" t="n">
        <f aca="false">Sens!G597-Sens!G596</f>
        <v>5032.26666666667</v>
      </c>
      <c r="H598" s="27" t="n">
        <f aca="false">Sens!H597-Sens!H596</f>
        <v>6717.06666666667</v>
      </c>
      <c r="I598" s="27" t="n">
        <f aca="false">Sens!I597-Sens!I596</f>
        <v>8401.86666666667</v>
      </c>
      <c r="J598" s="27" t="n">
        <f aca="false">Sens!J597-Sens!J596</f>
        <v>10086.6666666667</v>
      </c>
      <c r="K598" s="27" t="n">
        <f aca="false">Sens!K597-Sens!K596</f>
        <v>11771.4666666667</v>
      </c>
    </row>
    <row r="599" customFormat="false" ht="17.15" hidden="false" customHeight="false" outlineLevel="0" collapsed="false">
      <c r="A599" s="1" t="s">
        <v>727</v>
      </c>
      <c r="B599" s="0" t="s">
        <v>340</v>
      </c>
      <c r="C599" s="27" t="n">
        <f aca="false">Sens!C597</f>
        <v>816.666666666667</v>
      </c>
      <c r="D599" s="27" t="n">
        <f aca="false">Sens!D597-Sens!C597</f>
        <v>1233.33333333333</v>
      </c>
      <c r="E599" s="27" t="n">
        <f aca="false">Sens!E597-Sens!D597</f>
        <v>2450</v>
      </c>
      <c r="F599" s="27" t="n">
        <f aca="false">Sens!F597-Sens!E597</f>
        <v>3868.66666666667</v>
      </c>
      <c r="G599" s="27" t="n">
        <f aca="false">Sens!G597-Sens!F597</f>
        <v>4212</v>
      </c>
      <c r="H599" s="27" t="n">
        <f aca="false">Sens!H597-Sens!G597</f>
        <v>4212</v>
      </c>
      <c r="I599" s="27" t="n">
        <f aca="false">Sens!I597-Sens!H597</f>
        <v>4212</v>
      </c>
      <c r="J599" s="27" t="n">
        <f aca="false">Sens!J597-Sens!I597</f>
        <v>4212</v>
      </c>
      <c r="K599" s="27" t="n">
        <f aca="false">Sens!K597-Sens!J597</f>
        <v>4212</v>
      </c>
    </row>
    <row r="600" customFormat="false" ht="17.15" hidden="false" customHeight="false" outlineLevel="0" collapsed="false">
      <c r="A600" s="1" t="s">
        <v>728</v>
      </c>
      <c r="B600" s="0" t="s">
        <v>340</v>
      </c>
      <c r="D600" s="27" t="n">
        <f aca="false">Sens!D594-Sens!C594</f>
        <v>990</v>
      </c>
      <c r="E600" s="27" t="n">
        <f aca="false">Sens!E594-Sens!D594</f>
        <v>1620</v>
      </c>
      <c r="F600" s="27" t="n">
        <f aca="false">Sens!F594-Sens!E594</f>
        <v>2527.2</v>
      </c>
      <c r="G600" s="27" t="n">
        <f aca="false">Sens!G594-Sens!F594</f>
        <v>2527.2</v>
      </c>
      <c r="H600" s="27" t="n">
        <f aca="false">Sens!H594-Sens!G594</f>
        <v>2527.2</v>
      </c>
      <c r="I600" s="27" t="n">
        <f aca="false">Sens!I594-Sens!H594</f>
        <v>2527.2</v>
      </c>
      <c r="J600" s="27" t="n">
        <f aca="false">Sens!J594-Sens!I594</f>
        <v>2527.2</v>
      </c>
      <c r="K600" s="27" t="n">
        <f aca="false">Sens!K594-Sens!J594</f>
        <v>2527.2</v>
      </c>
    </row>
    <row r="601" customFormat="false" ht="17.15" hidden="false" customHeight="false" outlineLevel="0" collapsed="false">
      <c r="A601" s="1" t="s">
        <v>729</v>
      </c>
      <c r="B601" s="0" t="s">
        <v>340</v>
      </c>
      <c r="C601" s="27" t="n">
        <f aca="false">mix_h*Sens!C594</f>
        <v>128</v>
      </c>
      <c r="D601" s="27" t="n">
        <f aca="false">mix_h*Sens!D594</f>
        <v>326</v>
      </c>
      <c r="E601" s="27" t="n">
        <f aca="false">mix_h*Sens!E594</f>
        <v>650</v>
      </c>
      <c r="F601" s="27" t="n">
        <f aca="false">Sens!E601</f>
        <v>650</v>
      </c>
      <c r="G601" s="27" t="n">
        <f aca="false">Sens!F601</f>
        <v>650</v>
      </c>
      <c r="H601" s="27" t="n">
        <f aca="false">Sens!G601</f>
        <v>650</v>
      </c>
      <c r="I601" s="27" t="n">
        <f aca="false">Sens!H601</f>
        <v>650</v>
      </c>
      <c r="J601" s="27" t="n">
        <f aca="false">Sens!I601</f>
        <v>650</v>
      </c>
      <c r="K601" s="27" t="n">
        <f aca="false">Sens!J601</f>
        <v>650</v>
      </c>
    </row>
    <row r="602" customFormat="false" ht="17.15" hidden="false" customHeight="false" outlineLevel="0" collapsed="false">
      <c r="A602" s="1" t="s">
        <v>730</v>
      </c>
      <c r="B602" s="0" t="s">
        <v>340</v>
      </c>
      <c r="C602" s="27" t="n">
        <f aca="false">mix_g2*Sens!C594</f>
        <v>288</v>
      </c>
      <c r="D602" s="27" t="n">
        <f aca="false">mix_g2*Sens!D594</f>
        <v>733.5</v>
      </c>
      <c r="E602" s="27" t="n">
        <f aca="false">mix_g2*Sens!E594</f>
        <v>1462.5</v>
      </c>
      <c r="F602" s="27" t="n">
        <f aca="false">Sens!E602</f>
        <v>1462.5</v>
      </c>
      <c r="G602" s="27" t="n">
        <f aca="false">Sens!F602</f>
        <v>1462.5</v>
      </c>
      <c r="H602" s="27" t="n">
        <f aca="false">Sens!G602</f>
        <v>1462.5</v>
      </c>
      <c r="I602" s="27" t="n">
        <f aca="false">Sens!H602</f>
        <v>1462.5</v>
      </c>
      <c r="J602" s="27" t="n">
        <f aca="false">Sens!I602</f>
        <v>1462.5</v>
      </c>
      <c r="K602" s="27" t="n">
        <f aca="false">Sens!J602</f>
        <v>1462.5</v>
      </c>
    </row>
    <row r="603" customFormat="false" ht="17.15" hidden="false" customHeight="false" outlineLevel="0" collapsed="false">
      <c r="A603" s="1" t="s">
        <v>731</v>
      </c>
      <c r="B603" s="0" t="s">
        <v>340</v>
      </c>
      <c r="C603" s="27" t="n">
        <f aca="false">mix_g3*Sens!C594</f>
        <v>224</v>
      </c>
      <c r="D603" s="27" t="n">
        <f aca="false">mix_g3*Sens!D594</f>
        <v>570.5</v>
      </c>
      <c r="E603" s="27" t="n">
        <f aca="false">mix_g3*Sens!E594</f>
        <v>1137.5</v>
      </c>
      <c r="F603" s="27" t="n">
        <f aca="false">Sens!E603+Sens!F600*a_g3_27</f>
        <v>2906.54</v>
      </c>
      <c r="G603" s="27" t="n">
        <f aca="false">Sens!F603+Sens!G600*a_g3_28</f>
        <v>3664.7</v>
      </c>
      <c r="H603" s="27" t="n">
        <f aca="false">Sens!G603+Sens!H600*a_g3_29</f>
        <v>3917.42</v>
      </c>
      <c r="I603" s="27" t="n">
        <f aca="false">Sens!H603+Sens!I600*a_g3_29</f>
        <v>4170.14</v>
      </c>
      <c r="J603" s="27" t="n">
        <f aca="false">Sens!I603+Sens!J600*a_g3_29</f>
        <v>4422.86</v>
      </c>
      <c r="K603" s="27" t="n">
        <f aca="false">Sens!J603+Sens!K600*a_g3_29</f>
        <v>4675.58</v>
      </c>
    </row>
    <row r="604" customFormat="false" ht="17.15" hidden="false" customHeight="false" outlineLevel="0" collapsed="false">
      <c r="A604" s="1" t="s">
        <v>732</v>
      </c>
      <c r="B604" s="0" t="s">
        <v>340</v>
      </c>
      <c r="C604" s="27" t="n">
        <f aca="false">0</f>
        <v>0</v>
      </c>
      <c r="D604" s="27" t="n">
        <f aca="false">0</f>
        <v>0</v>
      </c>
      <c r="E604" s="27" t="n">
        <f aca="false">0</f>
        <v>0</v>
      </c>
      <c r="F604" s="27" t="n">
        <f aca="false">Sens!E604+Sens!F600*(1-a_g3_27)</f>
        <v>758.16</v>
      </c>
      <c r="G604" s="27" t="n">
        <f aca="false">Sens!F604+Sens!G600*(1-a_g3_28)</f>
        <v>2527.2</v>
      </c>
      <c r="H604" s="27" t="n">
        <f aca="false">Sens!G604+Sens!H600*(1-a_g3_29)</f>
        <v>4801.68</v>
      </c>
      <c r="I604" s="27" t="n">
        <f aca="false">Sens!H604+Sens!I600*(1-a_g3_29)</f>
        <v>7076.16</v>
      </c>
      <c r="J604" s="27" t="n">
        <f aca="false">Sens!I604+Sens!J600*(1-a_g3_29)</f>
        <v>9350.64</v>
      </c>
      <c r="K604" s="27" t="n">
        <f aca="false">Sens!J604+Sens!K600*(1-a_g3_29)</f>
        <v>11625.12</v>
      </c>
    </row>
    <row r="605" customFormat="false" ht="17.15" hidden="false" customHeight="false" outlineLevel="0" collapsed="false">
      <c r="A605" s="1" t="s">
        <v>733</v>
      </c>
      <c r="B605" s="0" t="s">
        <v>291</v>
      </c>
      <c r="C605" s="18" t="n">
        <f aca="false">(Sens!C601*tk_hold_h100+Sens!C602*tk_hold_gb200+Sens!C603*tk_hold_gb300+Sens!C604*tk_hold_vr200)/Sens!C594</f>
        <v>9.7235358126469</v>
      </c>
      <c r="D605" s="18" t="n">
        <f aca="false">(Sens!D601*tk_hold_h100+Sens!D602*tk_hold_gb200+Sens!D603*tk_hold_gb300+Sens!D604*tk_hold_vr200)/Sens!D594</f>
        <v>9.7235358126469</v>
      </c>
      <c r="E605" s="18" t="n">
        <f aca="false">(Sens!E601*tk_hold_h100+Sens!E602*tk_hold_gb200+Sens!E603*tk_hold_gb300+Sens!E604*tk_hold_vr200)/Sens!E594</f>
        <v>9.7235358126469</v>
      </c>
      <c r="F605" s="18" t="n">
        <f aca="false">(Sens!F601*tk_hold_h100+Sens!F602*tk_hold_gb200+Sens!F603*tk_hold_gb300+Sens!F604*tk_hold_vr200)/Sens!F594</f>
        <v>10.4079573161931</v>
      </c>
      <c r="G605" s="18" t="n">
        <f aca="false">(Sens!G601*tk_hold_h100+Sens!G602*tk_hold_gb200+Sens!G603*tk_hold_gb300+Sens!G604*tk_hold_vr200)/Sens!G594</f>
        <v>10.8388131109316</v>
      </c>
      <c r="H605" s="18" t="n">
        <f aca="false">(Sens!H601*tk_hold_h100+Sens!H602*tk_hold_gb200+Sens!H603*tk_hold_gb300+Sens!H604*tk_hold_vr200)/Sens!H594</f>
        <v>11.1311018388216</v>
      </c>
      <c r="I605" s="18" t="n">
        <f aca="false">(Sens!I601*tk_hold_h100+Sens!I602*tk_hold_gb200+Sens!I603*tk_hold_gb300+Sens!I604*tk_hold_vr200)/Sens!I594</f>
        <v>11.3128009818501</v>
      </c>
      <c r="J605" s="18" t="n">
        <f aca="false">(Sens!J601*tk_hold_h100+Sens!J602*tk_hold_gb200+Sens!J603*tk_hold_gb300+Sens!J604*tk_hold_vr200)/Sens!J594</f>
        <v>11.4366894646418</v>
      </c>
      <c r="K605" s="18" t="n">
        <f aca="false">(Sens!K601*tk_hold_h100+Sens!K602*tk_hold_gb200+Sens!K603*tk_hold_gb300+Sens!K604*tk_hold_vr200)/Sens!K594</f>
        <v>11.526570716348</v>
      </c>
    </row>
    <row r="606" customFormat="false" ht="17.15" hidden="false" customHeight="false" outlineLevel="0" collapsed="false">
      <c r="A606" s="0" t="s">
        <v>734</v>
      </c>
      <c r="B606" s="0" t="s">
        <v>182</v>
      </c>
      <c r="C606" s="18" t="n">
        <f aca="false">k_B</f>
        <v>1.17213932619116</v>
      </c>
      <c r="D606" s="18" t="n">
        <f aca="false">k_B</f>
        <v>1.17213932619116</v>
      </c>
      <c r="E606" s="18" t="n">
        <f aca="false">k_B</f>
        <v>1.17213932619116</v>
      </c>
      <c r="F606" s="18" t="n">
        <f aca="false">(k_B+((ls_A*k_long+(1-ls_A)*k_spot)-k_B)*MIN(1,1/3))*1.15</f>
        <v>1.43776252350992</v>
      </c>
      <c r="G606" s="18" t="n">
        <f aca="false">(k_B+((ls_A*k_long+(1-ls_A)*k_spot)-k_B)*MIN(1,2/3))*1.15</f>
        <v>1.52756482190002</v>
      </c>
      <c r="H606" s="18" t="n">
        <f aca="false">(k_B+((ls_A*k_long+(1-ls_A)*k_spot)-k_B)*MIN(1,3/3))*1.15</f>
        <v>1.61736712029011</v>
      </c>
      <c r="I606" s="18" t="n">
        <f aca="false">(k_B+((ls_A*k_long+(1-ls_A)*k_spot)-k_B)*MIN(1,4/3))*1.15</f>
        <v>1.61736712029011</v>
      </c>
      <c r="J606" s="18" t="n">
        <f aca="false">(k_B+((ls_A*k_long+(1-ls_A)*k_spot)-k_B)*MIN(1,5/3))*1.15</f>
        <v>1.61736712029011</v>
      </c>
      <c r="K606" s="18" t="n">
        <f aca="false">(k_B+((ls_A*k_long+(1-ls_A)*k_spot)-k_B)*MIN(1,6/3))*1.15</f>
        <v>1.61736712029011</v>
      </c>
      <c r="L606" s="1" t="s">
        <v>735</v>
      </c>
    </row>
    <row r="607" customFormat="false" ht="17.15" hidden="false" customHeight="false" outlineLevel="0" collapsed="false">
      <c r="A607" s="1" t="s">
        <v>736</v>
      </c>
      <c r="B607" s="0" t="s">
        <v>291</v>
      </c>
      <c r="C607" s="18" t="n">
        <f aca="false">Sens!C605*Sens!C606*chip_f</f>
        <v>11.3973387156315</v>
      </c>
      <c r="D607" s="18" t="n">
        <f aca="false">Sens!D605*Sens!D606*chip_f</f>
        <v>11.3973387156315</v>
      </c>
      <c r="E607" s="18" t="n">
        <f aca="false">Sens!E605*Sens!E606*chip_f</f>
        <v>11.3973387156315</v>
      </c>
      <c r="F607" s="18" t="n">
        <f aca="false">Sens!F605*Sens!F606*chip_f</f>
        <v>14.9641709755133</v>
      </c>
      <c r="G607" s="18" t="n">
        <f aca="false">Sens!G605*Sens!G606*chip_f</f>
        <v>16.5569896194077</v>
      </c>
      <c r="H607" s="18" t="n">
        <f aca="false">Sens!H605*Sens!H606*chip_f</f>
        <v>18.0030781267108</v>
      </c>
      <c r="I607" s="18" t="n">
        <f aca="false">Sens!I605*Sens!I606*chip_f</f>
        <v>18.2969523464301</v>
      </c>
      <c r="J607" s="18" t="n">
        <f aca="false">Sens!J605*Sens!J606*chip_f</f>
        <v>18.4973255050799</v>
      </c>
      <c r="K607" s="18" t="n">
        <f aca="false">Sens!K605*Sens!K606*chip_f</f>
        <v>18.6426964863201</v>
      </c>
      <c r="L607" s="1" t="s">
        <v>737</v>
      </c>
    </row>
    <row r="608" customFormat="false" ht="17.15" hidden="false" customHeight="false" outlineLevel="0" collapsed="false">
      <c r="A608" s="0" t="s">
        <v>738</v>
      </c>
      <c r="B608" s="0" t="s">
        <v>95</v>
      </c>
      <c r="D608" s="6" t="n">
        <f aca="false">(Sens!C594+Sens!D594)/2*Sens!D607/1000</f>
        <v>12.9359794422418</v>
      </c>
      <c r="E608" s="6" t="n">
        <f aca="false">(Sens!D594+Sens!E594)/2*Sens!E607/1000</f>
        <v>27.8095064661409</v>
      </c>
      <c r="F608" s="6" t="n">
        <f aca="false">(Sens!E594+Sens!F594)/2*Sens!F607/1000</f>
        <v>67.542282115077</v>
      </c>
      <c r="G608" s="6" t="n">
        <f aca="false">(Sens!F594+Sens!G594)/2*Sens!G607/1000</f>
        <v>116.574452512326</v>
      </c>
      <c r="H608" s="6" t="n">
        <f aca="false">(Sens!G594+Sens!H594)/2*Sens!H607/1000</f>
        <v>172.253451516369</v>
      </c>
      <c r="I608" s="6" t="n">
        <f aca="false">(Sens!H594+Sens!I594)/2*Sens!I607/1000</f>
        <v>221.305298020541</v>
      </c>
      <c r="J608" s="6" t="n">
        <f aca="false">(Sens!I594+Sens!J594)/2*Sens!J607/1000</f>
        <v>270.47529246548</v>
      </c>
      <c r="K608" s="6" t="n">
        <f aca="false">(Sens!J594+Sens!K594)/2*Sens!K607/1000</f>
        <v>319.714787661795</v>
      </c>
      <c r="L608" s="11" t="s">
        <v>739</v>
      </c>
    </row>
    <row r="609" customFormat="false" ht="17.15" hidden="false" customHeight="false" outlineLevel="0" collapsed="false">
      <c r="A609" s="1" t="s">
        <v>740</v>
      </c>
      <c r="B609" s="0" t="s">
        <v>291</v>
      </c>
      <c r="C609" s="18" t="n">
        <f aca="false">(Sens!C601*tk_opex_h100+Sens!C602*tk_opex_gb200+Sens!C603*tk_opex_gb300+Sens!C604*tk_opex_vr200)/Sens!C594</f>
        <v>1.88636041306092</v>
      </c>
      <c r="D609" s="18" t="n">
        <f aca="false">(Sens!D601*tk_opex_h100+Sens!D602*tk_opex_gb200+Sens!D603*tk_opex_gb300+Sens!D604*tk_opex_vr200)/Sens!D594</f>
        <v>1.88636041306092</v>
      </c>
      <c r="E609" s="18" t="n">
        <f aca="false">(Sens!E601*tk_opex_h100+Sens!E602*tk_opex_gb200+Sens!E603*tk_opex_gb300+Sens!E604*tk_opex_vr200)/Sens!E594</f>
        <v>1.88636041306092</v>
      </c>
      <c r="F609" s="18" t="n">
        <f aca="false">(Sens!F601*tk_opex_h100+Sens!F602*tk_opex_gb200+Sens!F603*tk_opex_gb300+Sens!F604*tk_opex_vr200)/Sens!F594</f>
        <v>1.9430236476499</v>
      </c>
      <c r="G609" s="18" t="n">
        <f aca="false">(Sens!G601*tk_opex_h100+Sens!G602*tk_opex_gb200+Sens!G603*tk_opex_gb300+Sens!G604*tk_opex_vr200)/Sens!G594</f>
        <v>1.9786941852423</v>
      </c>
      <c r="H609" s="18" t="n">
        <f aca="false">(Sens!H601*tk_opex_h100+Sens!H602*tk_opex_gb200+Sens!H603*tk_opex_gb300+Sens!H604*tk_opex_vr200)/Sens!H594</f>
        <v>2.00289275976156</v>
      </c>
      <c r="I609" s="18" t="n">
        <f aca="false">(Sens!I601*tk_opex_h100+Sens!I602*tk_opex_gb200+Sens!I603*tk_opex_gb300+Sens!I604*tk_opex_vr200)/Sens!I594</f>
        <v>2.01793562605478</v>
      </c>
      <c r="J609" s="18" t="n">
        <f aca="false">(Sens!J601*tk_opex_h100+Sens!J602*tk_opex_gb200+Sens!J603*tk_opex_gb300+Sens!J604*tk_opex_vr200)/Sens!J594</f>
        <v>2.02819234961902</v>
      </c>
      <c r="K609" s="18" t="n">
        <f aca="false">(Sens!K601*tk_opex_h100+Sens!K602*tk_opex_gb200+Sens!K603*tk_opex_gb300+Sens!K604*tk_opex_vr200)/Sens!K594</f>
        <v>2.0356336155994</v>
      </c>
    </row>
    <row r="610" customFormat="false" ht="17.15" hidden="false" customHeight="false" outlineLevel="0" collapsed="false">
      <c r="A610" s="0" t="s">
        <v>741</v>
      </c>
      <c r="B610" s="0" t="s">
        <v>95</v>
      </c>
      <c r="D610" s="6" t="n">
        <f aca="false">(Sens!C597+Sens!D597)/2*Sens!D609/1000</f>
        <v>2.70378325872065</v>
      </c>
      <c r="E610" s="6" t="n">
        <f aca="false">(Sens!D597+Sens!E597)/2*Sens!E609/1000</f>
        <v>6.17783035277451</v>
      </c>
      <c r="F610" s="6" t="n">
        <f aca="false">(Sens!E597+Sens!F597)/2*Sens!F609/1000</f>
        <v>12.5020618235287</v>
      </c>
      <c r="G610" s="6" t="n">
        <f aca="false">(Sens!F597+Sens!G597)/2*Sens!G609/1000</f>
        <v>20.7261620256847</v>
      </c>
      <c r="H610" s="6" t="n">
        <f aca="false">(Sens!G597+Sens!H597)/2*Sens!H609/1000</f>
        <v>29.4158183316982</v>
      </c>
      <c r="I610" s="6" t="n">
        <f aca="false">(Sens!H597+Sens!I597)/2*Sens!I609/1000</f>
        <v>38.1362927516005</v>
      </c>
      <c r="J610" s="6" t="n">
        <f aca="false">(Sens!I597+Sens!J597)/2*Sens!J609/1000</f>
        <v>46.8728773279286</v>
      </c>
      <c r="K610" s="6" t="n">
        <f aca="false">(Sens!J597+Sens!K597)/2*Sens!K609/1000</f>
        <v>55.618938734484</v>
      </c>
    </row>
    <row r="611" customFormat="false" ht="17.15" hidden="false" customHeight="false" outlineLevel="0" collapsed="false">
      <c r="A611" s="0" t="s">
        <v>742</v>
      </c>
      <c r="B611" s="0" t="s">
        <v>95</v>
      </c>
      <c r="D611" s="6" t="n">
        <f aca="false">(Sens!C595+Sens!D595)/2*rent_mw/1000</f>
        <v>2.44475</v>
      </c>
      <c r="E611" s="6" t="n">
        <f aca="false">(Sens!D595+Sens!E595)/2*rent_mw/1000</f>
        <v>4.22275</v>
      </c>
      <c r="F611" s="6" t="n">
        <f aca="false">(Sens!E595+Sens!F595)/2*rent_mw/1000</f>
        <v>5.80517</v>
      </c>
      <c r="G611" s="6" t="n">
        <f aca="false">(Sens!F595+Sens!G595)/2*rent_mw/1000</f>
        <v>6.72084</v>
      </c>
      <c r="H611" s="6" t="n">
        <f aca="false">(Sens!G595+Sens!H595)/2*rent_mw/1000</f>
        <v>6.72084</v>
      </c>
      <c r="I611" s="6" t="n">
        <f aca="false">(Sens!H595+Sens!I595)/2*rent_mw/1000</f>
        <v>6.72084</v>
      </c>
      <c r="J611" s="6" t="n">
        <f aca="false">(Sens!I595+Sens!J595)/2*rent_mw/1000</f>
        <v>6.72084</v>
      </c>
      <c r="K611" s="6" t="n">
        <f aca="false">(Sens!J595+Sens!K595)/2*rent_mw/1000</f>
        <v>6.72084</v>
      </c>
    </row>
    <row r="612" customFormat="false" ht="17.15" hidden="false" customHeight="false" outlineLevel="0" collapsed="false">
      <c r="A612" s="0" t="s">
        <v>743</v>
      </c>
      <c r="B612" s="0" t="s">
        <v>95</v>
      </c>
      <c r="D612" s="6" t="n">
        <f aca="false">(Sens!C597+Sens!D597)/2*(1-self_build)*fac_rent/1000</f>
        <v>0.853242375631075</v>
      </c>
      <c r="E612" s="6" t="n">
        <f aca="false">(Sens!D597+Sens!E597)/2*(1-self_build)*fac_rent/1000</f>
        <v>1.94955961408728</v>
      </c>
      <c r="F612" s="6" t="n">
        <f aca="false">(Sens!E597+Sens!F597)/2*(1-self_build)*fac_rent/1000</f>
        <v>3.83026455274573</v>
      </c>
      <c r="G612" s="6" t="n">
        <f aca="false">(Sens!F597+Sens!G597)/2*(1-self_build)*fac_rent/1000</f>
        <v>6.23541590972812</v>
      </c>
      <c r="H612" s="6" t="n">
        <f aca="false">(Sens!G597+Sens!H597)/2*(1-self_build)*fac_rent/1000</f>
        <v>8.74275792332679</v>
      </c>
      <c r="I612" s="6" t="n">
        <f aca="false">(Sens!H597+Sens!I597)/2*(1-self_build)*fac_rent/1000</f>
        <v>11.2500999369255</v>
      </c>
      <c r="J612" s="6" t="n">
        <f aca="false">(Sens!I597+Sens!J597)/2*(1-self_build)*fac_rent/1000</f>
        <v>13.7574419505241</v>
      </c>
      <c r="K612" s="6" t="n">
        <f aca="false">(Sens!J597+Sens!K597)/2*(1-self_build)*fac_rent/1000</f>
        <v>16.2647839641228</v>
      </c>
      <c r="L612" s="11" t="s">
        <v>744</v>
      </c>
    </row>
    <row r="613" customFormat="false" ht="17.15" hidden="false" customHeight="false" outlineLevel="0" collapsed="false">
      <c r="A613" s="1" t="s">
        <v>745</v>
      </c>
      <c r="B613" s="0" t="s">
        <v>126</v>
      </c>
      <c r="D613" s="7" t="n">
        <f aca="false">(Sens!C596+Sens!D596)/(Sens!C597+Sens!D597)</f>
        <v>0.6</v>
      </c>
      <c r="E613" s="7" t="n">
        <f aca="false">(Sens!D596+Sens!E596)/(Sens!D597+Sens!E597)</f>
        <v>0.6</v>
      </c>
      <c r="F613" s="7" t="n">
        <f aca="false">(Sens!E596+Sens!F596)/(Sens!E597+Sens!F597)</f>
        <v>0.6</v>
      </c>
      <c r="G613" s="7" t="n">
        <f aca="false">(Sens!F596+Sens!G596)/(Sens!F597+Sens!G597)</f>
        <v>0.6</v>
      </c>
      <c r="H613" s="7" t="n">
        <f aca="false">(Sens!G596+Sens!H596)/(Sens!G597+Sens!H597)</f>
        <v>0.6</v>
      </c>
      <c r="I613" s="7" t="n">
        <f aca="false">(Sens!H596+Sens!I596)/(Sens!H597+Sens!I597)</f>
        <v>0.6</v>
      </c>
      <c r="J613" s="7" t="n">
        <f aca="false">(Sens!I596+Sens!J596)/(Sens!I597+Sens!J597)</f>
        <v>0.6</v>
      </c>
      <c r="K613" s="7" t="n">
        <f aca="false">(Sens!J596+Sens!K596)/(Sens!J597+Sens!K597)</f>
        <v>0.6</v>
      </c>
    </row>
    <row r="614" customFormat="false" ht="17.15" hidden="false" customHeight="false" outlineLevel="0" collapsed="false">
      <c r="A614" s="0" t="s">
        <v>746</v>
      </c>
      <c r="B614" s="0" t="s">
        <v>95</v>
      </c>
      <c r="D614" s="6" t="n">
        <f aca="false">Sens!D608-Sens!D613*(Sens!D610+Sens!D612)-Sens!D611</f>
        <v>8.35701406163072</v>
      </c>
      <c r="E614" s="6" t="n">
        <f aca="false">Sens!E608-Sens!E613*(Sens!E610+Sens!E612)-Sens!E611</f>
        <v>18.7103224860238</v>
      </c>
      <c r="F614" s="6" t="n">
        <f aca="false">Sens!F608-Sens!F613*(Sens!F610+Sens!F612)-Sens!F611</f>
        <v>51.9377162893124</v>
      </c>
      <c r="G614" s="6" t="n">
        <f aca="false">Sens!G608-Sens!G613*(Sens!G610+Sens!G612)-Sens!G611</f>
        <v>93.6766657510782</v>
      </c>
      <c r="H614" s="6" t="n">
        <f aca="false">Sens!H608-Sens!H613*(Sens!H610+Sens!H612)-Sens!H611</f>
        <v>142.637465763354</v>
      </c>
      <c r="I614" s="6" t="n">
        <f aca="false">Sens!I608-Sens!I613*(Sens!I610+Sens!I612)-Sens!I611</f>
        <v>184.952622407425</v>
      </c>
      <c r="J614" s="6" t="n">
        <f aca="false">Sens!J608-Sens!J613*(Sens!J610+Sens!J612)-Sens!J611</f>
        <v>227.376260898409</v>
      </c>
      <c r="K614" s="6" t="n">
        <f aca="false">Sens!K608-Sens!K613*(Sens!K610+Sens!K612)-Sens!K611</f>
        <v>269.863714042631</v>
      </c>
    </row>
    <row r="615" customFormat="false" ht="17.15" hidden="false" customHeight="false" outlineLevel="0" collapsed="false">
      <c r="A615" s="1" t="s">
        <v>747</v>
      </c>
      <c r="B615" s="0" t="s">
        <v>95</v>
      </c>
      <c r="D615" s="6" t="n">
        <f aca="false">(1-Sens!D613)*(Sens!D610+Sens!D612)</f>
        <v>1.42281025374069</v>
      </c>
      <c r="E615" s="6" t="n">
        <f aca="false">(1-Sens!E613)*(Sens!E610+Sens!E612)</f>
        <v>3.25095598674472</v>
      </c>
      <c r="F615" s="6" t="n">
        <f aca="false">(1-Sens!F613)*(Sens!F610+Sens!F612)</f>
        <v>6.53293055050977</v>
      </c>
      <c r="G615" s="6" t="n">
        <f aca="false">(1-Sens!G613)*(Sens!G610+Sens!G612)</f>
        <v>10.7846311741651</v>
      </c>
      <c r="H615" s="6" t="n">
        <f aca="false">(1-Sens!H613)*(Sens!H610+Sens!H612)</f>
        <v>15.26343050201</v>
      </c>
      <c r="I615" s="6" t="n">
        <f aca="false">(1-Sens!I613)*(Sens!I610+Sens!I612)</f>
        <v>19.7545570754104</v>
      </c>
      <c r="J615" s="6" t="n">
        <f aca="false">(1-Sens!J613)*(Sens!J610+Sens!J612)</f>
        <v>24.2521277113811</v>
      </c>
      <c r="K615" s="6" t="n">
        <f aca="false">(1-Sens!K613)*(Sens!K610+Sens!K612)</f>
        <v>28.7534890794427</v>
      </c>
    </row>
    <row r="616" customFormat="false" ht="17.15" hidden="false" customHeight="false" outlineLevel="0" collapsed="false">
      <c r="A616" s="1" t="s">
        <v>748</v>
      </c>
      <c r="B616" s="0" t="s">
        <v>302</v>
      </c>
      <c r="C616" s="8" t="n">
        <f aca="false">cxit_open</f>
        <v>27.5918995</v>
      </c>
      <c r="D616" s="8" t="n">
        <f aca="false">cxit_open</f>
        <v>27.5918995</v>
      </c>
      <c r="E616" s="8" t="n">
        <f aca="false">cxit_open</f>
        <v>27.5918995</v>
      </c>
      <c r="F616" s="8" t="n">
        <f aca="false">(a_g3_27*tk_cxit_gb300+(1-a_g3_27)*tk_cxit_vr200)</f>
        <v>33.8419624</v>
      </c>
      <c r="G616" s="8" t="n">
        <f aca="false">(a_g3_28*tk_cxit_gb300+(1-a_g3_28)*tk_cxit_vr200)</f>
        <v>35.9816136</v>
      </c>
      <c r="H616" s="8" t="n">
        <f aca="false">(a_g3_29*tk_cxit_gb300+(1-a_g3_29)*tk_cxit_vr200)</f>
        <v>37.0514392</v>
      </c>
      <c r="I616" s="8" t="n">
        <f aca="false">(a_g3_29*tk_cxit_gb300+(1-a_g3_29)*tk_cxit_vr200)</f>
        <v>37.0514392</v>
      </c>
      <c r="J616" s="8" t="n">
        <f aca="false">(a_g3_29*tk_cxit_gb300+(1-a_g3_29)*tk_cxit_vr200)</f>
        <v>37.0514392</v>
      </c>
      <c r="K616" s="8" t="n">
        <f aca="false">(a_g3_29*tk_cxit_gb300+(1-a_g3_29)*tk_cxit_vr200)</f>
        <v>37.0514392</v>
      </c>
      <c r="L616" s="11" t="s">
        <v>749</v>
      </c>
    </row>
    <row r="617" customFormat="false" ht="17.15" hidden="false" customHeight="false" outlineLevel="0" collapsed="false">
      <c r="A617" s="0" t="s">
        <v>750</v>
      </c>
      <c r="B617" s="0" t="s">
        <v>340</v>
      </c>
      <c r="F617" s="27" t="n">
        <f aca="false">Sens!C599*IF(3=life_it,1,0)+Sens!D599*IF(2=life_it,1,0)+Sens!E599*IF(1=life_it,1,0)</f>
        <v>0</v>
      </c>
      <c r="G617" s="27" t="n">
        <f aca="false">Sens!C599*IF(4=life_it,1,0)+Sens!D599*IF(3=life_it,1,0)+Sens!E599*IF(2=life_it,1,0)+Sens!F599*IF(1=life_it,1,0)</f>
        <v>0</v>
      </c>
      <c r="H617" s="27" t="n">
        <f aca="false">Sens!C599*IF(5=life_it,1,0)+Sens!D599*IF(4=life_it,1,0)+Sens!E599*IF(3=life_it,1,0)+Sens!F599*IF(2=life_it,1,0)+Sens!G599*IF(1=life_it,1,0)</f>
        <v>0</v>
      </c>
      <c r="I617" s="27" t="n">
        <f aca="false">Sens!C599*IF(6=life_it,1,0)+Sens!D599*IF(5=life_it,1,0)+Sens!E599*IF(4=life_it,1,0)+Sens!F599*IF(3=life_it,1,0)+Sens!G599*IF(2=life_it,1,0)+Sens!H599*IF(1=life_it,1,0)</f>
        <v>816.666666666667</v>
      </c>
      <c r="J617" s="27" t="n">
        <f aca="false">Sens!C599*IF(7=life_it,1,0)+Sens!D599*IF(6=life_it,1,0)+Sens!E599*IF(5=life_it,1,0)+Sens!F599*IF(4=life_it,1,0)+Sens!G599*IF(3=life_it,1,0)+Sens!H599*IF(2=life_it,1,0)+Sens!I599*IF(1=life_it,1,0)</f>
        <v>1233.33333333333</v>
      </c>
      <c r="K617" s="27" t="n">
        <f aca="false">Sens!C599*IF(8=life_it,1,0)+Sens!D599*IF(7=life_it,1,0)+Sens!E599*IF(6=life_it,1,0)+Sens!F599*IF(5=life_it,1,0)+Sens!G599*IF(4=life_it,1,0)+Sens!H599*IF(3=life_it,1,0)+Sens!I599*IF(2=life_it,1,0)+Sens!J599*IF(1=life_it,1,0)</f>
        <v>2450</v>
      </c>
      <c r="L617" s="1" t="s">
        <v>751</v>
      </c>
    </row>
    <row r="618" customFormat="false" ht="17.15" hidden="false" customHeight="false" outlineLevel="0" collapsed="false">
      <c r="A618" s="0" t="s">
        <v>752</v>
      </c>
      <c r="B618" s="0" t="s">
        <v>95</v>
      </c>
      <c r="C618" s="6" t="n">
        <f aca="false">Sens!C599*Sens!C616/1000</f>
        <v>22.5333845916667</v>
      </c>
      <c r="D618" s="6" t="n">
        <f aca="false">Sens!D599*Sens!D616/1000</f>
        <v>34.0300093833333</v>
      </c>
      <c r="E618" s="6" t="n">
        <f aca="false">Sens!E599*Sens!E616/1000</f>
        <v>67.600153775</v>
      </c>
      <c r="F618" s="6" t="n">
        <f aca="false">(Sens!F599+Sens!F617)*Sens!F616/1000</f>
        <v>130.923271871467</v>
      </c>
      <c r="G618" s="6" t="n">
        <f aca="false">(Sens!G599+Sens!G617)*Sens!G616/1000</f>
        <v>151.5545564832</v>
      </c>
      <c r="H618" s="6" t="n">
        <f aca="false">(Sens!H599+Sens!H617)*Sens!H616/1000</f>
        <v>156.0606619104</v>
      </c>
      <c r="I618" s="6" t="n">
        <f aca="false">(Sens!I599+Sens!I617)*Sens!I616/1000</f>
        <v>186.319337257067</v>
      </c>
      <c r="J618" s="6" t="n">
        <f aca="false">(Sens!J599+Sens!J617)*Sens!J616/1000</f>
        <v>201.757436923733</v>
      </c>
      <c r="K618" s="6" t="n">
        <f aca="false">(Sens!K599+Sens!K617)*Sens!K616/1000</f>
        <v>246.8366879504</v>
      </c>
    </row>
    <row r="619" customFormat="false" ht="17.15" hidden="false" customHeight="false" outlineLevel="0" collapsed="false">
      <c r="A619" s="0" t="s">
        <v>753</v>
      </c>
      <c r="B619" s="0" t="s">
        <v>95</v>
      </c>
      <c r="C619" s="6" t="n">
        <f aca="false">Sens!C599*self_build*tk_cxfac/1000</f>
        <v>6.2083</v>
      </c>
      <c r="D619" s="6" t="n">
        <f aca="false">Sens!D599*self_build*tk_cxfac/1000</f>
        <v>9.3758</v>
      </c>
      <c r="E619" s="6" t="n">
        <f aca="false">Sens!E599*self_build*tk_cxfac/1000</f>
        <v>18.6249</v>
      </c>
      <c r="F619" s="6" t="n">
        <f aca="false">Sens!F599*self_build*tk_cxfac/1000</f>
        <v>29.409604</v>
      </c>
      <c r="G619" s="6" t="n">
        <f aca="false">Sens!G599*self_build*tk_cxfac/1000</f>
        <v>32.019624</v>
      </c>
      <c r="H619" s="6" t="n">
        <f aca="false">Sens!H599*self_build*tk_cxfac/1000</f>
        <v>32.019624</v>
      </c>
      <c r="I619" s="6" t="n">
        <f aca="false">Sens!I599*self_build*tk_cxfac/1000</f>
        <v>32.019624</v>
      </c>
      <c r="J619" s="6" t="n">
        <f aca="false">Sens!J599*self_build*tk_cxfac/1000</f>
        <v>32.019624</v>
      </c>
      <c r="K619" s="6" t="n">
        <f aca="false">Sens!K599*self_build*tk_cxfac/1000</f>
        <v>32.019624</v>
      </c>
    </row>
    <row r="620" customFormat="false" ht="17.15" hidden="false" customHeight="false" outlineLevel="0" collapsed="false">
      <c r="A620" s="0" t="s">
        <v>754</v>
      </c>
      <c r="B620" s="0" t="s">
        <v>95</v>
      </c>
      <c r="F620" s="6" t="n">
        <f aca="false">MAX(0,capex_floor27-Sens!F618-Sens!F619-Sens!F707)</f>
        <v>8.13777689897088</v>
      </c>
      <c r="G620" s="6" t="n">
        <f aca="false">0</f>
        <v>0</v>
      </c>
      <c r="H620" s="6" t="n">
        <f aca="false">0</f>
        <v>0</v>
      </c>
      <c r="I620" s="6" t="n">
        <f aca="false">0</f>
        <v>0</v>
      </c>
      <c r="J620" s="6" t="n">
        <f aca="false">0</f>
        <v>0</v>
      </c>
      <c r="K620" s="6" t="n">
        <f aca="false">0</f>
        <v>0</v>
      </c>
      <c r="L620" s="1" t="s">
        <v>755</v>
      </c>
    </row>
    <row r="621" customFormat="false" ht="17.15" hidden="false" customHeight="false" outlineLevel="0" collapsed="false">
      <c r="A621" s="0" t="s">
        <v>756</v>
      </c>
      <c r="B621" s="0" t="s">
        <v>95</v>
      </c>
      <c r="C621" s="6" t="n">
        <f aca="false">Sens!C618</f>
        <v>22.5333845916667</v>
      </c>
      <c r="D621" s="6" t="n">
        <f aca="false">Sens!D618</f>
        <v>34.0300093833333</v>
      </c>
      <c r="E621" s="6" t="n">
        <f aca="false">Sens!E618</f>
        <v>67.600153775</v>
      </c>
      <c r="F621" s="6" t="n">
        <f aca="false">Sens!F618+Sens!F620</f>
        <v>139.061048770438</v>
      </c>
      <c r="G621" s="6" t="n">
        <f aca="false">Sens!G618+Sens!G620</f>
        <v>151.5545564832</v>
      </c>
      <c r="H621" s="6" t="n">
        <f aca="false">Sens!H618+Sens!H620</f>
        <v>156.0606619104</v>
      </c>
      <c r="I621" s="6" t="n">
        <f aca="false">Sens!I618+Sens!I620</f>
        <v>186.319337257067</v>
      </c>
      <c r="J621" s="6" t="n">
        <f aca="false">Sens!J618+Sens!J620</f>
        <v>201.757436923733</v>
      </c>
      <c r="K621" s="6" t="n">
        <f aca="false">Sens!K618+Sens!K620</f>
        <v>246.8366879504</v>
      </c>
    </row>
    <row r="622" customFormat="false" ht="17.15" hidden="false" customHeight="false" outlineLevel="0" collapsed="false">
      <c r="A622" s="0" t="s">
        <v>757</v>
      </c>
      <c r="B622" s="0" t="s">
        <v>95</v>
      </c>
      <c r="C622" s="6" t="n">
        <f aca="false">Sens!C621+Sens!C619</f>
        <v>28.7416845916667</v>
      </c>
      <c r="D622" s="6" t="n">
        <f aca="false">Sens!D621+Sens!D619</f>
        <v>43.4058093833333</v>
      </c>
      <c r="E622" s="6" t="n">
        <f aca="false">Sens!E621+Sens!E619</f>
        <v>86.225053775</v>
      </c>
      <c r="F622" s="6" t="n">
        <f aca="false">Sens!F621+Sens!F619</f>
        <v>168.470652770438</v>
      </c>
      <c r="G622" s="6" t="n">
        <f aca="false">Sens!G621+Sens!G619</f>
        <v>183.5741804832</v>
      </c>
      <c r="H622" s="6" t="n">
        <f aca="false">Sens!H621+Sens!H619</f>
        <v>188.0802859104</v>
      </c>
      <c r="I622" s="6" t="n">
        <f aca="false">Sens!I621+Sens!I619</f>
        <v>218.338961257067</v>
      </c>
      <c r="J622" s="6" t="n">
        <f aca="false">Sens!J621+Sens!J619</f>
        <v>233.777060923733</v>
      </c>
      <c r="K622" s="6" t="n">
        <f aca="false">Sens!K621+Sens!K619</f>
        <v>278.8563119504</v>
      </c>
      <c r="L622" s="11" t="s">
        <v>758</v>
      </c>
    </row>
    <row r="623" customFormat="false" ht="17.15" hidden="false" customHeight="false" outlineLevel="0" collapsed="false">
      <c r="A623" s="0" t="s">
        <v>759</v>
      </c>
      <c r="B623" s="0" t="s">
        <v>95</v>
      </c>
      <c r="E623" s="6" t="n">
        <f aca="false">(Sens!C621*IF(2&lt;life_it,1,IF(2=life_it,0.5,0))+Sens!D621*IF(1&lt;life_it,1,IF(1=life_it,0.5,0))+Sens!E621*0.5)/life_it</f>
        <v>15.0605784770833</v>
      </c>
      <c r="F623" s="6" t="n">
        <f aca="false">(Sens!C621*IF(3&lt;life_it,1,IF(3=life_it,0.5,0))+Sens!D621*IF(2&lt;life_it,1,IF(2=life_it,0.5,0))+Sens!E621*IF(1&lt;life_it,1,IF(1=life_it,0.5,0))+Sens!F621*0.5)/life_it</f>
        <v>32.2823453558698</v>
      </c>
      <c r="G623" s="6" t="n">
        <f aca="false">(Sens!C621*IF(4&lt;life_it,1,IF(4=life_it,0.5,0))+Sens!D621*IF(3&lt;life_it,1,IF(3=life_it,0.5,0))+Sens!E621*IF(2&lt;life_it,1,IF(2=life_it,0.5,0))+Sens!F621*IF(1&lt;life_it,1,IF(1=life_it,0.5,0))+Sens!G621*0.5)/life_it</f>
        <v>56.5003124603396</v>
      </c>
      <c r="H623" s="6" t="n">
        <f aca="false">(Sens!C621*IF(5&lt;life_it,1,IF(5=life_it,0.5,0))+Sens!D621*IF(4&lt;life_it,1,IF(4=life_it,0.5,0))+Sens!E621*IF(3&lt;life_it,1,IF(3=life_it,0.5,0))+Sens!F621*IF(2&lt;life_it,1,IF(2=life_it,0.5,0))+Sens!G621*IF(1&lt;life_it,1,IF(1=life_it,0.5,0))+Sens!H621*0.5)/life_it</f>
        <v>82.1349139931396</v>
      </c>
      <c r="I623" s="6" t="n">
        <f aca="false">(Sens!C621*IF(6&lt;life_it,1,IF(6=life_it,0.5,0))+Sens!D621*IF(5&lt;life_it,1,IF(5=life_it,0.5,0))+Sens!E621*IF(4&lt;life_it,1,IF(4=life_it,0.5,0))+Sens!F621*IF(3&lt;life_it,1,IF(3=life_it,0.5,0))+Sens!G621*IF(2&lt;life_it,1,IF(2=life_it,0.5,0))+Sens!H621*IF(1&lt;life_it,1,IF(1=life_it,0.5,0))+Sens!I621*0.5)/life_it</f>
        <v>108.788798541123</v>
      </c>
      <c r="J623" s="6" t="n">
        <f aca="false">(Sens!C621*IF(7&lt;life_it,1,IF(7=life_it,0.5,0))+Sens!D621*IF(6&lt;life_it,1,IF(6=life_it,0.5,0))+Sens!E621*IF(5&lt;life_it,1,IF(5=life_it,0.5,0))+Sens!F621*IF(4&lt;life_it,1,IF(4=life_it,0.5,0))+Sens!G621*IF(3&lt;life_it,1,IF(3=life_it,0.5,0))+Sens!H621*IF(2&lt;life_it,1,IF(2=life_it,0.5,0))+Sens!I621*IF(1&lt;life_it,1,IF(1=life_it,0.5,0))+Sens!J621*0.5)/life_it</f>
        <v>136.414913558273</v>
      </c>
      <c r="K623" s="6" t="n">
        <f aca="false">(Sens!C621*IF(8&lt;life_it,1,IF(8=life_it,0.5,0))+Sens!D621*IF(7&lt;life_it,1,IF(7=life_it,0.5,0))+Sens!E621*IF(6&lt;life_it,1,IF(6=life_it,0.5,0))+Sens!F621*IF(5&lt;life_it,1,IF(5=life_it,0.5,0))+Sens!G621*IF(4&lt;life_it,1,IF(4=life_it,0.5,0))+Sens!H621*IF(3&lt;life_it,1,IF(3=life_it,0.5,0))+Sens!I621*IF(2&lt;life_it,1,IF(2=life_it,0.5,0))+Sens!J621*IF(1&lt;life_it,1,IF(1=life_it,0.5,0))+Sens!K621*0.5)/life_it</f>
        <v>165.32857703459</v>
      </c>
    </row>
    <row r="624" customFormat="false" ht="17.15" hidden="false" customHeight="false" outlineLevel="0" collapsed="false">
      <c r="A624" s="0" t="s">
        <v>760</v>
      </c>
      <c r="B624" s="0" t="s">
        <v>95</v>
      </c>
      <c r="E624" s="6" t="n">
        <f aca="false">(Sens!C619*IF(2&lt;life_fac,1,IF(2=life_fac,0.5,0))+Sens!D619*IF(1&lt;life_fac,1,IF(1=life_fac,0.5,0))+Sens!E619*0.5)/life_fac</f>
        <v>1.2448275</v>
      </c>
      <c r="F624" s="6" t="n">
        <f aca="false">(Sens!C619*IF(3&lt;life_fac,1,IF(3=life_fac,0.5,0))+Sens!D619*IF(2&lt;life_fac,1,IF(2=life_fac,0.5,0))+Sens!E619*IF(1&lt;life_fac,1,IF(1=life_fac,0.5,0))+Sens!F619*0.5)/life_fac</f>
        <v>2.4456901</v>
      </c>
      <c r="G624" s="6" t="n">
        <f aca="false">(Sens!C619*IF(4&lt;life_fac,1,IF(4=life_fac,0.5,0))+Sens!D619*IF(3&lt;life_fac,1,IF(3=life_fac,0.5,0))+Sens!E619*IF(2&lt;life_fac,1,IF(2=life_fac,0.5,0))+Sens!F619*IF(1&lt;life_fac,1,IF(1=life_fac,0.5,0))+Sens!G619*0.5)/life_fac</f>
        <v>3.9814208</v>
      </c>
      <c r="H624" s="6" t="n">
        <f aca="false">(Sens!C619*IF(5&lt;life_fac,1,IF(5=life_fac,0.5,0))+Sens!D619*IF(4&lt;life_fac,1,IF(4=life_fac,0.5,0))+Sens!E619*IF(3&lt;life_fac,1,IF(3=life_fac,0.5,0))+Sens!F619*IF(2&lt;life_fac,1,IF(2=life_fac,0.5,0))+Sens!G619*IF(1&lt;life_fac,1,IF(1=life_fac,0.5,0))+Sens!H619*0.5)/life_fac</f>
        <v>5.582402</v>
      </c>
      <c r="I624" s="6" t="n">
        <f aca="false">(Sens!C619*IF(6&lt;life_fac,1,IF(6=life_fac,0.5,0))+Sens!D619*IF(5&lt;life_fac,1,IF(5=life_fac,0.5,0))+Sens!E619*IF(4&lt;life_fac,1,IF(4=life_fac,0.5,0))+Sens!F619*IF(3&lt;life_fac,1,IF(3=life_fac,0.5,0))+Sens!G619*IF(2&lt;life_fac,1,IF(2=life_fac,0.5,0))+Sens!H619*IF(1&lt;life_fac,1,IF(1=life_fac,0.5,0))+Sens!I619*0.5)/life_fac</f>
        <v>7.1833832</v>
      </c>
      <c r="J624" s="6" t="n">
        <f aca="false">(Sens!C619*IF(7&lt;life_fac,1,IF(7=life_fac,0.5,0))+Sens!D619*IF(6&lt;life_fac,1,IF(6=life_fac,0.5,0))+Sens!E619*IF(5&lt;life_fac,1,IF(5=life_fac,0.5,0))+Sens!F619*IF(4&lt;life_fac,1,IF(4=life_fac,0.5,0))+Sens!G619*IF(3&lt;life_fac,1,IF(3=life_fac,0.5,0))+Sens!H619*IF(2&lt;life_fac,1,IF(2=life_fac,0.5,0))+Sens!I619*IF(1&lt;life_fac,1,IF(1=life_fac,0.5,0))+Sens!J619*0.5)/life_fac</f>
        <v>8.7843644</v>
      </c>
      <c r="K624" s="6" t="n">
        <f aca="false">(Sens!C619*IF(8&lt;life_fac,1,IF(8=life_fac,0.5,0))+Sens!D619*IF(7&lt;life_fac,1,IF(7=life_fac,0.5,0))+Sens!E619*IF(6&lt;life_fac,1,IF(6=life_fac,0.5,0))+Sens!F619*IF(5&lt;life_fac,1,IF(5=life_fac,0.5,0))+Sens!G619*IF(4&lt;life_fac,1,IF(4=life_fac,0.5,0))+Sens!H619*IF(3&lt;life_fac,1,IF(3=life_fac,0.5,0))+Sens!I619*IF(2&lt;life_fac,1,IF(2=life_fac,0.5,0))+Sens!J619*IF(1&lt;life_fac,1,IF(1=life_fac,0.5,0))+Sens!K619*0.5)/life_fac</f>
        <v>10.3853456</v>
      </c>
    </row>
    <row r="625" customFormat="false" ht="17.15" hidden="false" customHeight="false" outlineLevel="0" collapsed="false">
      <c r="A625" s="0" t="s">
        <v>761</v>
      </c>
      <c r="B625" s="0" t="s">
        <v>95</v>
      </c>
      <c r="E625" s="6" t="n">
        <f aca="false">Sens!E623+Sens!E624</f>
        <v>16.3054059770833</v>
      </c>
      <c r="F625" s="6" t="n">
        <f aca="false">Sens!F623+Sens!F624</f>
        <v>34.7280354558698</v>
      </c>
      <c r="G625" s="6" t="n">
        <f aca="false">Sens!G623+Sens!G624</f>
        <v>60.4817332603396</v>
      </c>
      <c r="H625" s="6" t="n">
        <f aca="false">Sens!H623+Sens!H624</f>
        <v>87.7173159931396</v>
      </c>
      <c r="I625" s="6" t="n">
        <f aca="false">Sens!I623+Sens!I624</f>
        <v>115.972181741123</v>
      </c>
      <c r="J625" s="6" t="n">
        <f aca="false">Sens!J623+Sens!J624</f>
        <v>145.199277958273</v>
      </c>
      <c r="K625" s="6" t="n">
        <f aca="false">Sens!K623+Sens!K624</f>
        <v>175.71392263459</v>
      </c>
    </row>
    <row r="626" customFormat="false" ht="17.15" hidden="false" customHeight="false" outlineLevel="0" collapsed="false">
      <c r="A626" s="0" t="s">
        <v>762</v>
      </c>
      <c r="B626" s="0" t="s">
        <v>95</v>
      </c>
      <c r="E626" s="6" t="n">
        <f aca="false">Sens!E614-Sens!E613*Sens!E625</f>
        <v>8.92707889977379</v>
      </c>
      <c r="F626" s="6" t="n">
        <f aca="false">Sens!F614-Sens!F613*Sens!F625</f>
        <v>31.1008950157905</v>
      </c>
      <c r="G626" s="6" t="n">
        <f aca="false">Sens!G614-Sens!G613*Sens!G625</f>
        <v>57.3876257948744</v>
      </c>
      <c r="H626" s="6" t="n">
        <f aca="false">Sens!H614-Sens!H613*Sens!H625</f>
        <v>90.0070761674701</v>
      </c>
      <c r="I626" s="6" t="n">
        <f aca="false">Sens!I614-Sens!I613*Sens!I625</f>
        <v>115.369313362752</v>
      </c>
      <c r="J626" s="6" t="n">
        <f aca="false">Sens!J614-Sens!J613*Sens!J625</f>
        <v>140.256694123445</v>
      </c>
      <c r="K626" s="6" t="n">
        <f aca="false">Sens!K614-Sens!K613*Sens!K625</f>
        <v>164.435360461877</v>
      </c>
    </row>
    <row r="627" customFormat="false" ht="17.15" hidden="false" customHeight="false" outlineLevel="0" collapsed="false">
      <c r="A627" s="3" t="s">
        <v>1130</v>
      </c>
    </row>
    <row r="628" customFormat="false" ht="15" hidden="false" customHeight="false" outlineLevel="0" collapsed="false">
      <c r="A628" s="4" t="s">
        <v>43</v>
      </c>
      <c r="B628" s="4" t="s">
        <v>63</v>
      </c>
      <c r="C628" s="19" t="s">
        <v>710</v>
      </c>
      <c r="D628" s="19" t="s">
        <v>711</v>
      </c>
      <c r="E628" s="19" t="s">
        <v>712</v>
      </c>
      <c r="F628" s="19" t="s">
        <v>713</v>
      </c>
      <c r="G628" s="19" t="s">
        <v>714</v>
      </c>
      <c r="H628" s="19" t="s">
        <v>715</v>
      </c>
      <c r="I628" s="19" t="s">
        <v>716</v>
      </c>
      <c r="J628" s="19" t="s">
        <v>717</v>
      </c>
      <c r="K628" s="19" t="s">
        <v>718</v>
      </c>
      <c r="L628" s="4" t="s">
        <v>47</v>
      </c>
    </row>
    <row r="629" customFormat="false" ht="17.15" hidden="false" customHeight="false" outlineLevel="0" collapsed="false">
      <c r="A629" s="0" t="s">
        <v>780</v>
      </c>
      <c r="B629" s="0" t="s">
        <v>95</v>
      </c>
      <c r="D629" s="6" t="n">
        <f aca="false">Sens!D608</f>
        <v>12.9359794422418</v>
      </c>
      <c r="E629" s="6" t="n">
        <f aca="false">Sens!E608</f>
        <v>27.8095064661409</v>
      </c>
      <c r="F629" s="6" t="n">
        <f aca="false">Sens!F608</f>
        <v>67.542282115077</v>
      </c>
      <c r="G629" s="6" t="n">
        <f aca="false">Sens!G608</f>
        <v>116.574452512326</v>
      </c>
      <c r="H629" s="6" t="n">
        <f aca="false">Sens!H608</f>
        <v>172.253451516369</v>
      </c>
      <c r="I629" s="6" t="n">
        <f aca="false">Sens!I608</f>
        <v>221.305298020541</v>
      </c>
      <c r="J629" s="6" t="n">
        <f aca="false">Sens!J608</f>
        <v>270.47529246548</v>
      </c>
      <c r="K629" s="6" t="n">
        <f aca="false">Sens!K608</f>
        <v>319.714787661795</v>
      </c>
    </row>
    <row r="630" customFormat="false" ht="17.15" hidden="false" customHeight="false" outlineLevel="0" collapsed="false">
      <c r="A630" s="0" t="s">
        <v>781</v>
      </c>
      <c r="B630" s="0" t="s">
        <v>95</v>
      </c>
      <c r="D630" s="6" t="n">
        <f aca="false">Q!L6-Sens!D629</f>
        <v>59.6740205577583</v>
      </c>
      <c r="E630" s="6" t="n">
        <f aca="false">Q!M6-Sens!E629</f>
        <v>74.1284935338591</v>
      </c>
      <c r="F630" s="6" t="n">
        <f aca="false">Sens!E630*(1+Sens!F631)</f>
        <v>90.0799497373663</v>
      </c>
      <c r="G630" s="6" t="n">
        <f aca="false">Sens!F630*(1+Sens!G631)</f>
        <v>107.02842520331</v>
      </c>
      <c r="H630" s="6" t="n">
        <f aca="false">Sens!G630*(1+Sens!H631)</f>
        <v>124.271982585636</v>
      </c>
      <c r="I630" s="6" t="n">
        <f aca="false">Sens!H630*(1+Sens!I631)</f>
        <v>140.933702381855</v>
      </c>
      <c r="J630" s="6" t="n">
        <f aca="false">Sens!I630*(1+Sens!J631)</f>
        <v>156.018867314332</v>
      </c>
      <c r="K630" s="6" t="n">
        <f aca="false">Sens!J630*(1+Sens!K631)</f>
        <v>168.500376699478</v>
      </c>
    </row>
    <row r="631" customFormat="false" ht="15" hidden="false" customHeight="false" outlineLevel="0" collapsed="false">
      <c r="A631" s="1" t="s">
        <v>782</v>
      </c>
      <c r="B631" s="0" t="s">
        <v>126</v>
      </c>
      <c r="E631" s="7" t="n">
        <f aca="false">Sens!E630/Sens!D630-1</f>
        <v>0.242223883039864</v>
      </c>
      <c r="F631" s="7" t="n">
        <f aca="false">Sens!$E$631+(glt_azo-Sens!$E$631)*MIN(1,1/n_conv)</f>
        <v>0.215186569199887</v>
      </c>
      <c r="G631" s="7" t="n">
        <f aca="false">Sens!$E$631+(glt_azo-Sens!$E$631)*MIN(1,2/n_conv)</f>
        <v>0.18814925535991</v>
      </c>
      <c r="H631" s="7" t="n">
        <f aca="false">Sens!$E$631+(glt_azo-Sens!$E$631)*MIN(1,3/n_conv)</f>
        <v>0.161111941519932</v>
      </c>
      <c r="I631" s="7" t="n">
        <f aca="false">Sens!$E$631+(glt_azo-Sens!$E$631)*MIN(1,4/n_conv)</f>
        <v>0.134074627679955</v>
      </c>
      <c r="J631" s="7" t="n">
        <f aca="false">Sens!$E$631+(glt_azo-Sens!$E$631)*MIN(1,5/n_conv)</f>
        <v>0.107037313839977</v>
      </c>
      <c r="K631" s="7" t="n">
        <f aca="false">Sens!$E$631+(glt_azo-Sens!$E$631)*MIN(1,6/n_conv)</f>
        <v>0.08</v>
      </c>
    </row>
    <row r="632" customFormat="false" ht="15" hidden="false" customHeight="false" outlineLevel="0" collapsed="false">
      <c r="A632" s="0" t="s">
        <v>783</v>
      </c>
      <c r="B632" s="0" t="s">
        <v>95</v>
      </c>
      <c r="D632" s="6" t="n">
        <f aca="false">Sens!D629+Sens!D630</f>
        <v>72.61</v>
      </c>
      <c r="E632" s="6" t="n">
        <f aca="false">Sens!E629+Sens!E630</f>
        <v>101.938</v>
      </c>
      <c r="F632" s="6" t="n">
        <f aca="false">Sens!F629+Sens!F630</f>
        <v>157.622231852443</v>
      </c>
      <c r="G632" s="6" t="n">
        <f aca="false">Sens!G629+Sens!G630</f>
        <v>223.602877715636</v>
      </c>
      <c r="H632" s="6" t="n">
        <f aca="false">Sens!H629+Sens!H630</f>
        <v>296.525434102005</v>
      </c>
      <c r="I632" s="6" t="n">
        <f aca="false">Sens!I629+Sens!I630</f>
        <v>362.239000402396</v>
      </c>
      <c r="J632" s="6" t="n">
        <f aca="false">Sens!J629+Sens!J630</f>
        <v>426.494159779812</v>
      </c>
      <c r="K632" s="6" t="n">
        <f aca="false">Sens!K629+Sens!K630</f>
        <v>488.215164361273</v>
      </c>
    </row>
    <row r="633" customFormat="false" ht="17.15" hidden="false" customHeight="false" outlineLevel="0" collapsed="false">
      <c r="A633" s="0" t="s">
        <v>784</v>
      </c>
      <c r="B633" s="1" t="s">
        <v>451</v>
      </c>
      <c r="C633" s="27" t="n">
        <f aca="false">cop_s24</f>
        <v>1</v>
      </c>
      <c r="D633" s="27" t="n">
        <f aca="false">cop_s25</f>
        <v>5</v>
      </c>
      <c r="E633" s="27" t="n">
        <f aca="false">cop_s26</f>
        <v>30</v>
      </c>
      <c r="F633" s="27" t="n">
        <f aca="false">Sens!E633+IF(2027&lt;=2029,cop_add_A,cop_add_A*cop_tail)</f>
        <v>60</v>
      </c>
      <c r="G633" s="27" t="n">
        <f aca="false">Sens!F633+IF(2028&lt;=2029,cop_add_A,cop_add_A*cop_tail)</f>
        <v>90</v>
      </c>
      <c r="H633" s="27" t="n">
        <f aca="false">Sens!G633+IF(2029&lt;=2029,cop_add_A,cop_add_A*cop_tail)</f>
        <v>120</v>
      </c>
      <c r="I633" s="27" t="n">
        <f aca="false">Sens!H633+IF(2030&lt;=2029,cop_add_A,cop_add_A*cop_tail)</f>
        <v>135</v>
      </c>
      <c r="J633" s="27" t="n">
        <f aca="false">Sens!I633+IF(2031&lt;=2029,cop_add_A,cop_add_A*cop_tail)</f>
        <v>150</v>
      </c>
      <c r="K633" s="27" t="n">
        <f aca="false">Sens!J633+IF(2032&lt;=2029,cop_add_A,cop_add_A*cop_tail)</f>
        <v>165</v>
      </c>
    </row>
    <row r="634" customFormat="false" ht="17.15" hidden="false" customHeight="false" outlineLevel="0" collapsed="false">
      <c r="A634" s="0" t="s">
        <v>785</v>
      </c>
      <c r="B634" s="0" t="s">
        <v>95</v>
      </c>
      <c r="D634" s="6" t="n">
        <f aca="false">(Sens!C633+Sens!D633)/2*cop_px*12/1000</f>
        <v>0.9</v>
      </c>
      <c r="E634" s="6" t="n">
        <f aca="false">(Sens!D633+Sens!E633)/2*cop_px*12/1000</f>
        <v>5.25</v>
      </c>
      <c r="F634" s="6" t="n">
        <f aca="false">(Sens!E633+Sens!F633)/2*cop_px*12/1000</f>
        <v>13.5</v>
      </c>
      <c r="G634" s="6" t="n">
        <f aca="false">(Sens!F633+Sens!G633)/2*cop_px*12/1000</f>
        <v>22.5</v>
      </c>
      <c r="H634" s="6" t="n">
        <f aca="false">(Sens!G633+Sens!H633)/2*cop_px*12/1000</f>
        <v>31.5</v>
      </c>
      <c r="I634" s="6" t="n">
        <f aca="false">(Sens!H633+Sens!I633)/2*cop_px*12/1000</f>
        <v>38.25</v>
      </c>
      <c r="J634" s="6" t="n">
        <f aca="false">(Sens!I633+Sens!J633)/2*cop_px*12/1000</f>
        <v>42.75</v>
      </c>
      <c r="K634" s="6" t="n">
        <f aca="false">(Sens!J633+Sens!K633)/2*cop_px*12/1000</f>
        <v>47.25</v>
      </c>
      <c r="L634" s="1" t="s">
        <v>786</v>
      </c>
    </row>
    <row r="635" customFormat="false" ht="17.15" hidden="false" customHeight="false" outlineLevel="0" collapsed="false">
      <c r="A635" s="0" t="s">
        <v>787</v>
      </c>
      <c r="B635" s="0" t="s">
        <v>95</v>
      </c>
      <c r="D635" s="6" t="n">
        <f aca="false">Q!L7-Sens!D634</f>
        <v>83.705</v>
      </c>
      <c r="E635" s="6" t="n">
        <f aca="false">Q!M7-Sens!E634</f>
        <v>95.049</v>
      </c>
      <c r="F635" s="6" t="n">
        <f aca="false">Sens!E635*(1+Sens!F636)</f>
        <v>106.89238776686</v>
      </c>
      <c r="G635" s="6" t="n">
        <f aca="false">Sens!F635*(1+Sens!G636)</f>
        <v>119.044168448684</v>
      </c>
      <c r="H635" s="6" t="n">
        <f aca="false">Sens!G635*(1+Sens!H636)</f>
        <v>131.277359388781</v>
      </c>
      <c r="I635" s="6" t="n">
        <f aca="false">Sens!H635*(1+Sens!I636)</f>
        <v>143.334028071957</v>
      </c>
      <c r="J635" s="6" t="n">
        <f aca="false">Sens!I635*(1+Sens!J636)</f>
        <v>154.932702785465</v>
      </c>
      <c r="K635" s="6" t="n">
        <f aca="false">Sens!J635*(1+Sens!K636)</f>
        <v>165.777991980448</v>
      </c>
    </row>
    <row r="636" customFormat="false" ht="15" hidden="false" customHeight="false" outlineLevel="0" collapsed="false">
      <c r="A636" s="1" t="s">
        <v>782</v>
      </c>
      <c r="B636" s="0" t="s">
        <v>126</v>
      </c>
      <c r="E636" s="7" t="n">
        <f aca="false">Sens!E635/Sens!D635-1</f>
        <v>0.135523564900544</v>
      </c>
      <c r="F636" s="7" t="n">
        <f aca="false">Sens!$E$636+(glt_m365b-Sens!$E$636)*MIN(1,1/n_conv)</f>
        <v>0.124602970750453</v>
      </c>
      <c r="G636" s="7" t="n">
        <f aca="false">Sens!$E$636+(glt_m365b-Sens!$E$636)*MIN(1,2/n_conv)</f>
        <v>0.113682376600363</v>
      </c>
      <c r="H636" s="7" t="n">
        <f aca="false">Sens!$E$636+(glt_m365b-Sens!$E$636)*MIN(1,3/n_conv)</f>
        <v>0.102761782450272</v>
      </c>
      <c r="I636" s="7" t="n">
        <f aca="false">Sens!$E$636+(glt_m365b-Sens!$E$636)*MIN(1,4/n_conv)</f>
        <v>0.0918411883001813</v>
      </c>
      <c r="J636" s="7" t="n">
        <f aca="false">Sens!$E$636+(glt_m365b-Sens!$E$636)*MIN(1,5/n_conv)</f>
        <v>0.0809205941500906</v>
      </c>
      <c r="K636" s="7" t="n">
        <f aca="false">Sens!$E$636+(glt_m365b-Sens!$E$636)*MIN(1,6/n_conv)</f>
        <v>0.07</v>
      </c>
    </row>
    <row r="637" customFormat="false" ht="15" hidden="false" customHeight="false" outlineLevel="0" collapsed="false">
      <c r="A637" s="0" t="s">
        <v>788</v>
      </c>
      <c r="B637" s="0" t="s">
        <v>95</v>
      </c>
      <c r="D637" s="6" t="n">
        <f aca="false">Sens!D635+Sens!D634</f>
        <v>84.605</v>
      </c>
      <c r="E637" s="6" t="n">
        <f aca="false">Sens!E635+Sens!E634</f>
        <v>100.299</v>
      </c>
      <c r="F637" s="6" t="n">
        <f aca="false">Sens!F635+Sens!F634</f>
        <v>120.39238776686</v>
      </c>
      <c r="G637" s="6" t="n">
        <f aca="false">Sens!G635+Sens!G634</f>
        <v>141.544168448684</v>
      </c>
      <c r="H637" s="6" t="n">
        <f aca="false">Sens!H635+Sens!H634</f>
        <v>162.777359388781</v>
      </c>
      <c r="I637" s="6" t="n">
        <f aca="false">Sens!I635+Sens!I634</f>
        <v>181.584028071957</v>
      </c>
      <c r="J637" s="6" t="n">
        <f aca="false">Sens!J635+Sens!J634</f>
        <v>197.682702785465</v>
      </c>
      <c r="K637" s="6" t="n">
        <f aca="false">Sens!K635+Sens!K634</f>
        <v>213.027991980448</v>
      </c>
    </row>
    <row r="638" customFormat="false" ht="15" hidden="false" customHeight="false" outlineLevel="0" collapsed="false">
      <c r="A638" s="0" t="s">
        <v>789</v>
      </c>
      <c r="B638" s="0" t="s">
        <v>95</v>
      </c>
      <c r="D638" s="6" t="n">
        <f aca="false">Q!L8</f>
        <v>35.391</v>
      </c>
      <c r="E638" s="6" t="n">
        <f aca="false">Q!M8</f>
        <v>37.285</v>
      </c>
      <c r="F638" s="6" t="n">
        <f aca="false">Sens!E638*(1+Sens!F639)</f>
        <v>39.0720834331704</v>
      </c>
      <c r="G638" s="6" t="n">
        <f aca="false">Sens!F638*(1+Sens!G639)</f>
        <v>40.726562953769</v>
      </c>
      <c r="H638" s="6" t="n">
        <f aca="false">Sens!G638*(1+Sens!H639)</f>
        <v>42.2235987259198</v>
      </c>
      <c r="I638" s="6" t="n">
        <f aca="false">Sens!H638*(1+Sens!I639)</f>
        <v>43.5397988077414</v>
      </c>
      <c r="J638" s="6" t="n">
        <f aca="false">Sens!I638*(1+Sens!J639)</f>
        <v>44.653811225693</v>
      </c>
      <c r="K638" s="6" t="n">
        <f aca="false">Sens!J638*(1+Sens!K639)</f>
        <v>45.5468874502068</v>
      </c>
    </row>
    <row r="639" customFormat="false" ht="15" hidden="false" customHeight="false" outlineLevel="0" collapsed="false">
      <c r="A639" s="1" t="s">
        <v>782</v>
      </c>
      <c r="B639" s="0" t="s">
        <v>126</v>
      </c>
      <c r="E639" s="7" t="n">
        <f aca="false">Sens!E638/Sens!D638-1</f>
        <v>0.0535164307309768</v>
      </c>
      <c r="F639" s="7" t="n">
        <f aca="false">Sens!$E$639+(glt_lic-Sens!$E$639)*MIN(1,1/n_conv)</f>
        <v>0.0479303589424807</v>
      </c>
      <c r="G639" s="7" t="n">
        <f aca="false">Sens!$E$639+(glt_lic-Sens!$E$639)*MIN(1,2/n_conv)</f>
        <v>0.0423442871539845</v>
      </c>
      <c r="H639" s="7" t="n">
        <f aca="false">Sens!$E$639+(glt_lic-Sens!$E$639)*MIN(1,3/n_conv)</f>
        <v>0.0367582153654884</v>
      </c>
      <c r="I639" s="7" t="n">
        <f aca="false">Sens!$E$639+(glt_lic-Sens!$E$639)*MIN(1,4/n_conv)</f>
        <v>0.0311721435769923</v>
      </c>
      <c r="J639" s="7" t="n">
        <f aca="false">Sens!$E$639+(glt_lic-Sens!$E$639)*MIN(1,5/n_conv)</f>
        <v>0.0255860717884961</v>
      </c>
      <c r="K639" s="7" t="n">
        <f aca="false">Sens!$E$639+(glt_lic-Sens!$E$639)*MIN(1,6/n_conv)</f>
        <v>0.02</v>
      </c>
    </row>
    <row r="640" customFormat="false" ht="15" hidden="false" customHeight="false" outlineLevel="0" collapsed="false">
      <c r="A640" s="0" t="s">
        <v>790</v>
      </c>
      <c r="B640" s="0" t="s">
        <v>95</v>
      </c>
      <c r="D640" s="6" t="n">
        <f aca="false">Q!L9</f>
        <v>18.417</v>
      </c>
      <c r="E640" s="6" t="n">
        <f aca="false">Q!M9</f>
        <v>20.345</v>
      </c>
      <c r="F640" s="6" t="n">
        <f aca="false">Sens!E640*(1+Sens!F641)</f>
        <v>22.3572203267814</v>
      </c>
      <c r="G640" s="6" t="n">
        <f aca="false">Sens!F640*(1+Sens!G641)</f>
        <v>24.4392124437232</v>
      </c>
      <c r="H640" s="6" t="n">
        <f aca="false">Sens!G640*(1+Sens!H641)</f>
        <v>26.5738052080665</v>
      </c>
      <c r="I640" s="6" t="n">
        <f aca="false">Sens!H640*(1+Sens!I641)</f>
        <v>28.7412169166967</v>
      </c>
      <c r="J640" s="6" t="n">
        <f aca="false">Sens!I640*(1+Sens!J641)</f>
        <v>30.9192545395413</v>
      </c>
      <c r="K640" s="6" t="n">
        <f aca="false">Sens!J640*(1+Sens!K641)</f>
        <v>33.0836023573092</v>
      </c>
    </row>
    <row r="641" customFormat="false" ht="15" hidden="false" customHeight="false" outlineLevel="0" collapsed="false">
      <c r="A641" s="1" t="s">
        <v>782</v>
      </c>
      <c r="B641" s="0" t="s">
        <v>126</v>
      </c>
      <c r="E641" s="7" t="n">
        <f aca="false">Sens!E640/Sens!D640-1</f>
        <v>0.104685888038225</v>
      </c>
      <c r="F641" s="7" t="n">
        <f aca="false">Sens!$E$641+(glt_ind-Sens!$E$641)*MIN(1,1/n_conv)</f>
        <v>0.0989049066985211</v>
      </c>
      <c r="G641" s="7" t="n">
        <f aca="false">Sens!$E$641+(glt_ind-Sens!$E$641)*MIN(1,2/n_conv)</f>
        <v>0.0931239253588169</v>
      </c>
      <c r="H641" s="7" t="n">
        <f aca="false">Sens!$E$641+(glt_ind-Sens!$E$641)*MIN(1,3/n_conv)</f>
        <v>0.0873429440191127</v>
      </c>
      <c r="I641" s="7" t="n">
        <f aca="false">Sens!$E$641+(glt_ind-Sens!$E$641)*MIN(1,4/n_conv)</f>
        <v>0.0815619626794085</v>
      </c>
      <c r="J641" s="7" t="n">
        <f aca="false">Sens!$E$641+(glt_ind-Sens!$E$641)*MIN(1,5/n_conv)</f>
        <v>0.0757809813397042</v>
      </c>
      <c r="K641" s="7" t="n">
        <f aca="false">Sens!$E$641+(glt_ind-Sens!$E$641)*MIN(1,6/n_conv)</f>
        <v>0.07</v>
      </c>
    </row>
    <row r="642" customFormat="false" ht="15" hidden="false" customHeight="false" outlineLevel="0" collapsed="false">
      <c r="A642" s="0" t="s">
        <v>791</v>
      </c>
      <c r="B642" s="0" t="s">
        <v>95</v>
      </c>
      <c r="D642" s="6" t="n">
        <f aca="false">Q!L10</f>
        <v>7.76</v>
      </c>
      <c r="E642" s="6" t="n">
        <f aca="false">Q!M10</f>
        <v>8.26</v>
      </c>
      <c r="F642" s="6" t="n">
        <f aca="false">Sens!E642*(1+Sens!F643)</f>
        <v>8.79988041237113</v>
      </c>
      <c r="G642" s="6" t="n">
        <f aca="false">Sens!F642*(1+Sens!G643)</f>
        <v>9.38321269125306</v>
      </c>
      <c r="H642" s="6" t="n">
        <f aca="false">Sens!G642*(1+Sens!H643)</f>
        <v>10.0139193587476</v>
      </c>
      <c r="I642" s="6" t="n">
        <f aca="false">Sens!H642*(1+Sens!I643)</f>
        <v>10.6963111830911</v>
      </c>
      <c r="J642" s="6" t="n">
        <f aca="false">Sens!I642*(1+Sens!J643)</f>
        <v>11.4351285534696</v>
      </c>
      <c r="K642" s="6" t="n">
        <f aca="false">Sens!J642*(1+Sens!K643)</f>
        <v>12.2355875522124</v>
      </c>
    </row>
    <row r="643" customFormat="false" ht="15" hidden="false" customHeight="false" outlineLevel="0" collapsed="false">
      <c r="A643" s="1" t="s">
        <v>782</v>
      </c>
      <c r="B643" s="0" t="s">
        <v>126</v>
      </c>
      <c r="E643" s="7" t="n">
        <f aca="false">Sens!E642/Sens!D642-1</f>
        <v>0.0644329896907216</v>
      </c>
      <c r="F643" s="7" t="n">
        <f aca="false">Sens!$E$643+(glt_fro-Sens!$E$643)*MIN(1,1/n_conv)</f>
        <v>0.065360824742268</v>
      </c>
      <c r="G643" s="7" t="n">
        <f aca="false">Sens!$E$643+(glt_fro-Sens!$E$643)*MIN(1,2/n_conv)</f>
        <v>0.0662886597938144</v>
      </c>
      <c r="H643" s="7" t="n">
        <f aca="false">Sens!$E$643+(glt_fro-Sens!$E$643)*MIN(1,3/n_conv)</f>
        <v>0.0672164948453608</v>
      </c>
      <c r="I643" s="7" t="n">
        <f aca="false">Sens!$E$643+(glt_fro-Sens!$E$643)*MIN(1,4/n_conv)</f>
        <v>0.0681443298969072</v>
      </c>
      <c r="J643" s="7" t="n">
        <f aca="false">Sens!$E$643+(glt_fro-Sens!$E$643)*MIN(1,5/n_conv)</f>
        <v>0.0690721649484536</v>
      </c>
      <c r="K643" s="7" t="n">
        <f aca="false">Sens!$E$643+(glt_fro-Sens!$E$643)*MIN(1,6/n_conv)</f>
        <v>0.07</v>
      </c>
    </row>
    <row r="644" customFormat="false" ht="15" hidden="false" customHeight="false" outlineLevel="0" collapsed="false">
      <c r="A644" s="0" t="s">
        <v>626</v>
      </c>
      <c r="B644" s="0" t="s">
        <v>95</v>
      </c>
      <c r="D644" s="6" t="n">
        <f aca="false">Sens!D632+Sens!D637+Sens!D638+Sens!D640+Sens!D642</f>
        <v>218.783</v>
      </c>
      <c r="E644" s="6" t="n">
        <f aca="false">Sens!E632+Sens!E637+Sens!E638+Sens!E640+Sens!E642</f>
        <v>268.127</v>
      </c>
      <c r="F644" s="6" t="n">
        <f aca="false">Sens!F632+Sens!F637+Sens!F638+Sens!F640+Sens!F642</f>
        <v>348.243803791626</v>
      </c>
      <c r="G644" s="6" t="n">
        <f aca="false">Sens!G632+Sens!G637+Sens!G638+Sens!G640+Sens!G642</f>
        <v>439.696034253065</v>
      </c>
      <c r="H644" s="6" t="n">
        <f aca="false">Sens!H632+Sens!H637+Sens!H638+Sens!H640+Sens!H642</f>
        <v>538.11411678352</v>
      </c>
      <c r="I644" s="6" t="n">
        <f aca="false">Sens!I632+Sens!I637+Sens!I638+Sens!I640+Sens!I642</f>
        <v>626.800355381882</v>
      </c>
      <c r="J644" s="6" t="n">
        <f aca="false">Sens!J632+Sens!J637+Sens!J638+Sens!J640+Sens!J642</f>
        <v>711.185056883981</v>
      </c>
      <c r="K644" s="6" t="n">
        <f aca="false">Sens!K632+Sens!K637+Sens!K638+Sens!K640+Sens!K642</f>
        <v>792.109233701449</v>
      </c>
    </row>
    <row r="645" customFormat="false" ht="15" hidden="false" customHeight="false" outlineLevel="0" collapsed="false">
      <c r="A645" s="0" t="s">
        <v>792</v>
      </c>
      <c r="B645" s="0" t="s">
        <v>95</v>
      </c>
      <c r="D645" s="6" t="n">
        <f aca="false">Q!L13</f>
        <v>22.171</v>
      </c>
      <c r="E645" s="6" t="n">
        <f aca="false">Q!M13</f>
        <v>24.835</v>
      </c>
      <c r="F645" s="6" t="n">
        <f aca="false">Sens!E645*(1+Sens!F646)</f>
        <v>27.6114901218559</v>
      </c>
      <c r="G645" s="6" t="n">
        <f aca="false">Sens!F645*(1+Sens!G646)</f>
        <v>30.4675667338515</v>
      </c>
      <c r="H645" s="6" t="n">
        <f aca="false">Sens!G645*(1+Sens!H646)</f>
        <v>33.3643766955789</v>
      </c>
      <c r="I645" s="6" t="n">
        <f aca="false">Sens!H645*(1+Sens!I646)</f>
        <v>36.2577016533691</v>
      </c>
      <c r="J645" s="6" t="n">
        <f aca="false">Sens!I645*(1+Sens!J646)</f>
        <v>39.0988367952171</v>
      </c>
      <c r="K645" s="6" t="n">
        <f aca="false">Sens!J645*(1+Sens!K646)</f>
        <v>41.8357553708823</v>
      </c>
    </row>
    <row r="646" customFormat="false" ht="15" hidden="false" customHeight="false" outlineLevel="0" collapsed="false">
      <c r="A646" s="1" t="s">
        <v>782</v>
      </c>
      <c r="B646" s="0" t="s">
        <v>126</v>
      </c>
      <c r="E646" s="7" t="n">
        <f aca="false">Sens!E645/Sens!D645-1</f>
        <v>0.120156961796942</v>
      </c>
      <c r="F646" s="7" t="n">
        <f aca="false">Sens!$E$646+(glt_srch-Sens!$E$646)*MIN(1,1/n_conv)</f>
        <v>0.111797468164118</v>
      </c>
      <c r="G646" s="7" t="n">
        <f aca="false">Sens!$E$646+(glt_srch-Sens!$E$646)*MIN(1,2/n_conv)</f>
        <v>0.103437974531295</v>
      </c>
      <c r="H646" s="7" t="n">
        <f aca="false">Sens!$E$646+(glt_srch-Sens!$E$646)*MIN(1,3/n_conv)</f>
        <v>0.095078480898471</v>
      </c>
      <c r="I646" s="7" t="n">
        <f aca="false">Sens!$E$646+(glt_srch-Sens!$E$646)*MIN(1,4/n_conv)</f>
        <v>0.0867189872656474</v>
      </c>
      <c r="J646" s="7" t="n">
        <f aca="false">Sens!$E$646+(glt_srch-Sens!$E$646)*MIN(1,5/n_conv)</f>
        <v>0.0783594936328237</v>
      </c>
      <c r="K646" s="7" t="n">
        <f aca="false">Sens!$E$646+(glt_srch-Sens!$E$646)*MIN(1,6/n_conv)</f>
        <v>0.07</v>
      </c>
    </row>
    <row r="647" customFormat="false" ht="15" hidden="false" customHeight="false" outlineLevel="0" collapsed="false">
      <c r="A647" s="0" t="s">
        <v>793</v>
      </c>
      <c r="B647" s="0" t="s">
        <v>95</v>
      </c>
      <c r="D647" s="6" t="n">
        <f aca="false">Q!L14</f>
        <v>23.455</v>
      </c>
      <c r="E647" s="6" t="n">
        <f aca="false">Q!M14</f>
        <v>21.79</v>
      </c>
      <c r="F647" s="6" t="n">
        <f aca="false">Sens!E647*(1+Sens!F648)</f>
        <v>20.5736277908051</v>
      </c>
      <c r="G647" s="6" t="n">
        <f aca="false">Sens!F647*(1+Sens!G648)</f>
        <v>19.7371452817919</v>
      </c>
      <c r="H647" s="6" t="n">
        <f aca="false">Sens!G647*(1+Sens!H648)</f>
        <v>19.2339764043138</v>
      </c>
      <c r="I647" s="6" t="n">
        <f aca="false">Sens!H647*(1+Sens!I648)</f>
        <v>19.0353086852681</v>
      </c>
      <c r="J647" s="6" t="n">
        <f aca="false">Sens!I647*(1+Sens!J648)</f>
        <v>19.1273539319129</v>
      </c>
      <c r="K647" s="6" t="n">
        <f aca="false">Sens!J647*(1+Sens!K648)</f>
        <v>19.5099010105511</v>
      </c>
    </row>
    <row r="648" customFormat="false" ht="15" hidden="false" customHeight="false" outlineLevel="0" collapsed="false">
      <c r="A648" s="1" t="s">
        <v>782</v>
      </c>
      <c r="B648" s="0" t="s">
        <v>126</v>
      </c>
      <c r="E648" s="7" t="n">
        <f aca="false">Sens!E647/Sens!D647-1</f>
        <v>-0.0709869963760392</v>
      </c>
      <c r="F648" s="7" t="n">
        <f aca="false">Sens!$E$648+(glt_xbox-Sens!$E$648)*MIN(1,1/n_conv)</f>
        <v>-0.0558224969800327</v>
      </c>
      <c r="G648" s="7" t="n">
        <f aca="false">Sens!$E$648+(glt_xbox-Sens!$E$648)*MIN(1,2/n_conv)</f>
        <v>-0.0406579975840262</v>
      </c>
      <c r="H648" s="7" t="n">
        <f aca="false">Sens!$E$648+(glt_xbox-Sens!$E$648)*MIN(1,3/n_conv)</f>
        <v>-0.0254934981880196</v>
      </c>
      <c r="I648" s="7" t="n">
        <f aca="false">Sens!$E$648+(glt_xbox-Sens!$E$648)*MIN(1,4/n_conv)</f>
        <v>-0.0103289987920131</v>
      </c>
      <c r="J648" s="7" t="n">
        <f aca="false">Sens!$E$648+(glt_xbox-Sens!$E$648)*MIN(1,5/n_conv)</f>
        <v>0.00483550060399347</v>
      </c>
      <c r="K648" s="7" t="n">
        <f aca="false">Sens!$E$648+(glt_xbox-Sens!$E$648)*MIN(1,6/n_conv)</f>
        <v>0.02</v>
      </c>
    </row>
    <row r="649" customFormat="false" ht="15" hidden="false" customHeight="false" outlineLevel="0" collapsed="false">
      <c r="A649" s="0" t="s">
        <v>794</v>
      </c>
      <c r="B649" s="0" t="s">
        <v>95</v>
      </c>
      <c r="D649" s="6" t="n">
        <f aca="false">Q!L15</f>
        <v>17.315</v>
      </c>
      <c r="E649" s="6" t="n">
        <f aca="false">Q!M15</f>
        <v>17.087</v>
      </c>
      <c r="F649" s="6" t="n">
        <f aca="false">Sens!E649*(1+Sens!F650)</f>
        <v>16.9564585436519</v>
      </c>
      <c r="G649" s="6" t="n">
        <f aca="false">Sens!F649*(1+Sens!G650)</f>
        <v>16.9206490624268</v>
      </c>
      <c r="H649" s="6" t="n">
        <f aca="false">Sens!G649*(1+Sens!H650)</f>
        <v>16.9784519149849</v>
      </c>
      <c r="I649" s="6" t="n">
        <f aca="false">Sens!H649*(1+Sens!I650)</f>
        <v>17.1303084701817</v>
      </c>
      <c r="J649" s="6" t="n">
        <f aca="false">Sens!I649*(1+Sens!J650)</f>
        <v>17.3782189407267</v>
      </c>
      <c r="K649" s="6" t="n">
        <f aca="false">Sens!J649*(1+Sens!K650)</f>
        <v>17.7257833195413</v>
      </c>
    </row>
    <row r="650" customFormat="false" ht="15" hidden="false" customHeight="false" outlineLevel="0" collapsed="false">
      <c r="A650" s="1" t="s">
        <v>782</v>
      </c>
      <c r="B650" s="0" t="s">
        <v>126</v>
      </c>
      <c r="E650" s="7" t="n">
        <f aca="false">Sens!E649/Sens!D649-1</f>
        <v>-0.0131677736066995</v>
      </c>
      <c r="F650" s="7" t="n">
        <f aca="false">Sens!$E$650+(glt_win-Sens!$E$650)*MIN(1,1/n_conv)</f>
        <v>-0.00763981133891627</v>
      </c>
      <c r="G650" s="7" t="n">
        <f aca="false">Sens!$E$650+(glt_win-Sens!$E$650)*MIN(1,2/n_conv)</f>
        <v>-0.00211184907113301</v>
      </c>
      <c r="H650" s="7" t="n">
        <f aca="false">Sens!$E$650+(glt_win-Sens!$E$650)*MIN(1,3/n_conv)</f>
        <v>0.00341611319665024</v>
      </c>
      <c r="I650" s="7" t="n">
        <f aca="false">Sens!$E$650+(glt_win-Sens!$E$650)*MIN(1,4/n_conv)</f>
        <v>0.00894407546443349</v>
      </c>
      <c r="J650" s="7" t="n">
        <f aca="false">Sens!$E$650+(glt_win-Sens!$E$650)*MIN(1,5/n_conv)</f>
        <v>0.0144720377322168</v>
      </c>
      <c r="K650" s="7" t="n">
        <f aca="false">Sens!$E$650+(glt_win-Sens!$E$650)*MIN(1,6/n_conv)</f>
        <v>0.02</v>
      </c>
    </row>
    <row r="651" customFormat="false" ht="15" hidden="false" customHeight="false" outlineLevel="0" collapsed="false">
      <c r="A651" s="0" t="s">
        <v>640</v>
      </c>
      <c r="B651" s="0" t="s">
        <v>95</v>
      </c>
      <c r="D651" s="6" t="n">
        <f aca="false">Sens!D645+Sens!D647+Sens!D649</f>
        <v>62.941</v>
      </c>
      <c r="E651" s="6" t="n">
        <f aca="false">Sens!E645+Sens!E647+Sens!E649</f>
        <v>63.712</v>
      </c>
      <c r="F651" s="6" t="n">
        <f aca="false">Sens!F645+Sens!F647+Sens!F649</f>
        <v>65.1415764563129</v>
      </c>
      <c r="G651" s="6" t="n">
        <f aca="false">Sens!G645+Sens!G647+Sens!G649</f>
        <v>67.1253610780702</v>
      </c>
      <c r="H651" s="6" t="n">
        <f aca="false">Sens!H645+Sens!H647+Sens!H649</f>
        <v>69.5768050148776</v>
      </c>
      <c r="I651" s="6" t="n">
        <f aca="false">Sens!I645+Sens!I647+Sens!I649</f>
        <v>72.4233188088189</v>
      </c>
      <c r="J651" s="6" t="n">
        <f aca="false">Sens!J645+Sens!J647+Sens!J649</f>
        <v>75.6044096678567</v>
      </c>
      <c r="K651" s="6" t="n">
        <f aca="false">Sens!K645+Sens!K647+Sens!K649</f>
        <v>79.0714397009747</v>
      </c>
    </row>
    <row r="652" customFormat="false" ht="15" hidden="false" customHeight="false" outlineLevel="0" collapsed="false">
      <c r="A652" s="1" t="s">
        <v>795</v>
      </c>
      <c r="B652" s="0" t="s">
        <v>95</v>
      </c>
      <c r="D652" s="6" t="n">
        <f aca="false">Sens!D644+Sens!D651</f>
        <v>281.724</v>
      </c>
      <c r="E652" s="6" t="n">
        <f aca="false">Sens!E644+Sens!E651</f>
        <v>331.839</v>
      </c>
      <c r="F652" s="6" t="n">
        <f aca="false">Sens!F644+Sens!F651</f>
        <v>413.385380247939</v>
      </c>
      <c r="G652" s="6" t="n">
        <f aca="false">Sens!G644+Sens!G651</f>
        <v>506.821395331135</v>
      </c>
      <c r="H652" s="6" t="n">
        <f aca="false">Sens!H644+Sens!H651</f>
        <v>607.690921798397</v>
      </c>
      <c r="I652" s="6" t="n">
        <f aca="false">Sens!I644+Sens!I651</f>
        <v>699.223674190701</v>
      </c>
      <c r="J652" s="6" t="n">
        <f aca="false">Sens!J644+Sens!J651</f>
        <v>786.789466551838</v>
      </c>
      <c r="K652" s="6" t="n">
        <f aca="false">Sens!K644+Sens!K651</f>
        <v>871.180673402424</v>
      </c>
    </row>
    <row r="653" customFormat="false" ht="15" hidden="false" customHeight="false" outlineLevel="0" collapsed="false">
      <c r="A653" s="22" t="s">
        <v>796</v>
      </c>
      <c r="B653" s="28" t="s">
        <v>95</v>
      </c>
      <c r="C653" s="28"/>
      <c r="D653" s="23" t="n">
        <f aca="false">(Sens!D632+Sens!D637+Sens!D638+Sens!D640+Sens!D642-Sens!D644)+(Sens!D645+Sens!D647+Sens!D649-Sens!D651)+(Sens!D644-Q!L5)+(Sens!D651-Q!L12)+(Sens!D632-Q!L6)+(Sens!D637-Q!L7)</f>
        <v>0</v>
      </c>
      <c r="E653" s="23" t="n">
        <f aca="false">(Sens!E632+Sens!E637+Sens!E638+Sens!E640+Sens!E642-Sens!E644)+(Sens!E645+Sens!E647+Sens!E649-Sens!E651)+(Sens!E644-Q!M5)+(Sens!E651-Q!M12)+(Sens!E632-Q!M6)+(Sens!E637-Q!M7)</f>
        <v>0</v>
      </c>
      <c r="F653" s="23" t="n">
        <f aca="false">(Sens!F632+Sens!F637+Sens!F638+Sens!F640+Sens!F642-Sens!F644)+(Sens!F645+Sens!F647+Sens!F649-Sens!F651)</f>
        <v>0</v>
      </c>
      <c r="G653" s="23" t="n">
        <f aca="false">(Sens!G632+Sens!G637+Sens!G638+Sens!G640+Sens!G642-Sens!G644)+(Sens!G645+Sens!G647+Sens!G649-Sens!G651)</f>
        <v>0</v>
      </c>
      <c r="H653" s="23" t="n">
        <f aca="false">(Sens!H632+Sens!H637+Sens!H638+Sens!H640+Sens!H642-Sens!H644)+(Sens!H645+Sens!H647+Sens!H649-Sens!H651)</f>
        <v>0</v>
      </c>
      <c r="I653" s="23" t="n">
        <f aca="false">(Sens!I632+Sens!I637+Sens!I638+Sens!I640+Sens!I642-Sens!I644)+(Sens!I645+Sens!I647+Sens!I649-Sens!I651)</f>
        <v>0</v>
      </c>
      <c r="J653" s="23" t="n">
        <f aca="false">(Sens!J632+Sens!J637+Sens!J638+Sens!J640+Sens!J642-Sens!J644)+(Sens!J645+Sens!J647+Sens!J649-Sens!J651)</f>
        <v>0</v>
      </c>
      <c r="K653" s="23" t="n">
        <f aca="false">(Sens!K632+Sens!K637+Sens!K638+Sens!K640+Sens!K642-Sens!K644)+(Sens!K645+Sens!K647+Sens!K649-Sens!K651)</f>
        <v>0</v>
      </c>
    </row>
    <row r="654" customFormat="false" ht="17.15" hidden="false" customHeight="false" outlineLevel="0" collapsed="false">
      <c r="A654" s="3" t="s">
        <v>1131</v>
      </c>
    </row>
    <row r="655" customFormat="false" ht="15" hidden="false" customHeight="false" outlineLevel="0" collapsed="false">
      <c r="A655" s="4" t="s">
        <v>43</v>
      </c>
      <c r="B655" s="4" t="s">
        <v>63</v>
      </c>
      <c r="C655" s="19" t="s">
        <v>710</v>
      </c>
      <c r="D655" s="19" t="s">
        <v>711</v>
      </c>
      <c r="E655" s="19" t="s">
        <v>712</v>
      </c>
      <c r="F655" s="19" t="s">
        <v>713</v>
      </c>
      <c r="G655" s="19" t="s">
        <v>714</v>
      </c>
      <c r="H655" s="19" t="s">
        <v>715</v>
      </c>
      <c r="I655" s="19" t="s">
        <v>716</v>
      </c>
      <c r="J655" s="19" t="s">
        <v>717</v>
      </c>
      <c r="K655" s="19" t="s">
        <v>718</v>
      </c>
      <c r="L655" s="4" t="s">
        <v>47</v>
      </c>
    </row>
    <row r="656" customFormat="false" ht="15" hidden="false" customHeight="false" outlineLevel="0" collapsed="false">
      <c r="A656" s="0" t="s">
        <v>783</v>
      </c>
      <c r="B656" s="0" t="s">
        <v>95</v>
      </c>
      <c r="D656" s="6" t="n">
        <f aca="false">Sens!D632</f>
        <v>72.61</v>
      </c>
      <c r="E656" s="6" t="n">
        <f aca="false">Sens!E632</f>
        <v>101.938</v>
      </c>
      <c r="F656" s="6" t="n">
        <f aca="false">Sens!F632</f>
        <v>157.622231852443</v>
      </c>
      <c r="G656" s="6" t="n">
        <f aca="false">Sens!G632</f>
        <v>223.602877715636</v>
      </c>
      <c r="H656" s="6" t="n">
        <f aca="false">Sens!H632</f>
        <v>296.525434102005</v>
      </c>
      <c r="I656" s="6" t="n">
        <f aca="false">Sens!I632</f>
        <v>362.239000402396</v>
      </c>
      <c r="J656" s="6" t="n">
        <f aca="false">Sens!J632</f>
        <v>426.494159779812</v>
      </c>
      <c r="K656" s="6" t="n">
        <f aca="false">Sens!K632</f>
        <v>488.215164361273</v>
      </c>
    </row>
    <row r="657" customFormat="false" ht="17.15" hidden="false" customHeight="false" outlineLevel="0" collapsed="false">
      <c r="A657" s="0" t="s">
        <v>780</v>
      </c>
      <c r="B657" s="0" t="s">
        <v>95</v>
      </c>
      <c r="D657" s="6" t="n">
        <f aca="false">Sens!D629</f>
        <v>12.9359794422418</v>
      </c>
      <c r="E657" s="6" t="n">
        <f aca="false">Sens!E629</f>
        <v>27.8095064661409</v>
      </c>
      <c r="F657" s="6" t="n">
        <f aca="false">Sens!F629</f>
        <v>67.542282115077</v>
      </c>
      <c r="G657" s="6" t="n">
        <f aca="false">Sens!G629</f>
        <v>116.574452512326</v>
      </c>
      <c r="H657" s="6" t="n">
        <f aca="false">Sens!H629</f>
        <v>172.253451516369</v>
      </c>
      <c r="I657" s="6" t="n">
        <f aca="false">Sens!I629</f>
        <v>221.305298020541</v>
      </c>
      <c r="J657" s="6" t="n">
        <f aca="false">Sens!J629</f>
        <v>270.47529246548</v>
      </c>
      <c r="K657" s="6" t="n">
        <f aca="false">Sens!K629</f>
        <v>319.714787661795</v>
      </c>
    </row>
    <row r="658" customFormat="false" ht="17.15" hidden="false" customHeight="false" outlineLevel="0" collapsed="false">
      <c r="A658" s="0" t="s">
        <v>807</v>
      </c>
      <c r="B658" s="0" t="s">
        <v>95</v>
      </c>
      <c r="D658" s="6" t="n">
        <f aca="false">Sens!D630</f>
        <v>59.6740205577583</v>
      </c>
      <c r="E658" s="6" t="n">
        <f aca="false">Sens!E630</f>
        <v>74.1284935338591</v>
      </c>
      <c r="F658" s="6" t="n">
        <f aca="false">Sens!F630</f>
        <v>90.0799497373663</v>
      </c>
      <c r="G658" s="6" t="n">
        <f aca="false">Sens!G630</f>
        <v>107.02842520331</v>
      </c>
      <c r="H658" s="6" t="n">
        <f aca="false">Sens!H630</f>
        <v>124.271982585636</v>
      </c>
      <c r="I658" s="6" t="n">
        <f aca="false">Sens!I630</f>
        <v>140.933702381855</v>
      </c>
      <c r="J658" s="6" t="n">
        <f aca="false">Sens!J630</f>
        <v>156.018867314332</v>
      </c>
      <c r="K658" s="6" t="n">
        <f aca="false">Sens!K630</f>
        <v>168.500376699478</v>
      </c>
    </row>
    <row r="659" customFormat="false" ht="15" hidden="false" customHeight="false" outlineLevel="0" collapsed="false">
      <c r="A659" s="0" t="s">
        <v>788</v>
      </c>
      <c r="B659" s="0" t="s">
        <v>95</v>
      </c>
      <c r="D659" s="6" t="n">
        <f aca="false">Sens!D637</f>
        <v>84.605</v>
      </c>
      <c r="E659" s="6" t="n">
        <f aca="false">Sens!E637</f>
        <v>100.299</v>
      </c>
      <c r="F659" s="6" t="n">
        <f aca="false">Sens!F637</f>
        <v>120.39238776686</v>
      </c>
      <c r="G659" s="6" t="n">
        <f aca="false">Sens!G637</f>
        <v>141.544168448684</v>
      </c>
      <c r="H659" s="6" t="n">
        <f aca="false">Sens!H637</f>
        <v>162.777359388781</v>
      </c>
      <c r="I659" s="6" t="n">
        <f aca="false">Sens!I637</f>
        <v>181.584028071957</v>
      </c>
      <c r="J659" s="6" t="n">
        <f aca="false">Sens!J637</f>
        <v>197.682702785465</v>
      </c>
      <c r="K659" s="6" t="n">
        <f aca="false">Sens!K637</f>
        <v>213.027991980448</v>
      </c>
    </row>
    <row r="660" customFormat="false" ht="17.15" hidden="false" customHeight="false" outlineLevel="0" collapsed="false">
      <c r="A660" s="0" t="s">
        <v>808</v>
      </c>
      <c r="B660" s="0" t="s">
        <v>95</v>
      </c>
      <c r="D660" s="6" t="n">
        <f aca="false">Sens!D635</f>
        <v>83.705</v>
      </c>
      <c r="E660" s="6" t="n">
        <f aca="false">Sens!E635</f>
        <v>95.049</v>
      </c>
      <c r="F660" s="6" t="n">
        <f aca="false">Sens!F635</f>
        <v>106.89238776686</v>
      </c>
      <c r="G660" s="6" t="n">
        <f aca="false">Sens!G635</f>
        <v>119.044168448684</v>
      </c>
      <c r="H660" s="6" t="n">
        <f aca="false">Sens!H635</f>
        <v>131.277359388781</v>
      </c>
      <c r="I660" s="6" t="n">
        <f aca="false">Sens!I635</f>
        <v>143.334028071957</v>
      </c>
      <c r="J660" s="6" t="n">
        <f aca="false">Sens!J635</f>
        <v>154.932702785465</v>
      </c>
      <c r="K660" s="6" t="n">
        <f aca="false">Sens!K635</f>
        <v>165.777991980448</v>
      </c>
    </row>
    <row r="661" customFormat="false" ht="17.15" hidden="false" customHeight="false" outlineLevel="0" collapsed="false">
      <c r="A661" s="0" t="s">
        <v>809</v>
      </c>
      <c r="B661" s="0" t="s">
        <v>95</v>
      </c>
      <c r="D661" s="6" t="n">
        <f aca="false">Sens!D634</f>
        <v>0.9</v>
      </c>
      <c r="E661" s="6" t="n">
        <f aca="false">Sens!E634</f>
        <v>5.25</v>
      </c>
      <c r="F661" s="6" t="n">
        <f aca="false">Sens!F634</f>
        <v>13.5</v>
      </c>
      <c r="G661" s="6" t="n">
        <f aca="false">Sens!G634</f>
        <v>22.5</v>
      </c>
      <c r="H661" s="6" t="n">
        <f aca="false">Sens!H634</f>
        <v>31.5</v>
      </c>
      <c r="I661" s="6" t="n">
        <f aca="false">Sens!I634</f>
        <v>38.25</v>
      </c>
      <c r="J661" s="6" t="n">
        <f aca="false">Sens!J634</f>
        <v>42.75</v>
      </c>
      <c r="K661" s="6" t="n">
        <f aca="false">Sens!K634</f>
        <v>47.25</v>
      </c>
    </row>
    <row r="662" customFormat="false" ht="15" hidden="false" customHeight="false" outlineLevel="0" collapsed="false">
      <c r="A662" s="0" t="s">
        <v>789</v>
      </c>
      <c r="B662" s="0" t="s">
        <v>95</v>
      </c>
      <c r="D662" s="6" t="n">
        <f aca="false">Sens!D638</f>
        <v>35.391</v>
      </c>
      <c r="E662" s="6" t="n">
        <f aca="false">Sens!E638</f>
        <v>37.285</v>
      </c>
      <c r="F662" s="6" t="n">
        <f aca="false">Sens!F638</f>
        <v>39.0720834331704</v>
      </c>
      <c r="G662" s="6" t="n">
        <f aca="false">Sens!G638</f>
        <v>40.726562953769</v>
      </c>
      <c r="H662" s="6" t="n">
        <f aca="false">Sens!H638</f>
        <v>42.2235987259198</v>
      </c>
      <c r="I662" s="6" t="n">
        <f aca="false">Sens!I638</f>
        <v>43.5397988077414</v>
      </c>
      <c r="J662" s="6" t="n">
        <f aca="false">Sens!J638</f>
        <v>44.653811225693</v>
      </c>
      <c r="K662" s="6" t="n">
        <f aca="false">Sens!K638</f>
        <v>45.5468874502068</v>
      </c>
    </row>
    <row r="663" customFormat="false" ht="15" hidden="false" customHeight="false" outlineLevel="0" collapsed="false">
      <c r="A663" s="0" t="s">
        <v>790</v>
      </c>
      <c r="B663" s="0" t="s">
        <v>95</v>
      </c>
      <c r="D663" s="6" t="n">
        <f aca="false">Sens!D640</f>
        <v>18.417</v>
      </c>
      <c r="E663" s="6" t="n">
        <f aca="false">Sens!E640</f>
        <v>20.345</v>
      </c>
      <c r="F663" s="6" t="n">
        <f aca="false">Sens!F640</f>
        <v>22.3572203267814</v>
      </c>
      <c r="G663" s="6" t="n">
        <f aca="false">Sens!G640</f>
        <v>24.4392124437232</v>
      </c>
      <c r="H663" s="6" t="n">
        <f aca="false">Sens!H640</f>
        <v>26.5738052080665</v>
      </c>
      <c r="I663" s="6" t="n">
        <f aca="false">Sens!I640</f>
        <v>28.7412169166967</v>
      </c>
      <c r="J663" s="6" t="n">
        <f aca="false">Sens!J640</f>
        <v>30.9192545395413</v>
      </c>
      <c r="K663" s="6" t="n">
        <f aca="false">Sens!K640</f>
        <v>33.0836023573092</v>
      </c>
    </row>
    <row r="664" customFormat="false" ht="15" hidden="false" customHeight="false" outlineLevel="0" collapsed="false">
      <c r="A664" s="0" t="s">
        <v>791</v>
      </c>
      <c r="B664" s="0" t="s">
        <v>95</v>
      </c>
      <c r="D664" s="6" t="n">
        <f aca="false">Sens!D642</f>
        <v>7.76</v>
      </c>
      <c r="E664" s="6" t="n">
        <f aca="false">Sens!E642</f>
        <v>8.26</v>
      </c>
      <c r="F664" s="6" t="n">
        <f aca="false">Sens!F642</f>
        <v>8.79988041237113</v>
      </c>
      <c r="G664" s="6" t="n">
        <f aca="false">Sens!G642</f>
        <v>9.38321269125306</v>
      </c>
      <c r="H664" s="6" t="n">
        <f aca="false">Sens!H642</f>
        <v>10.0139193587476</v>
      </c>
      <c r="I664" s="6" t="n">
        <f aca="false">Sens!I642</f>
        <v>10.6963111830911</v>
      </c>
      <c r="J664" s="6" t="n">
        <f aca="false">Sens!J642</f>
        <v>11.4351285534696</v>
      </c>
      <c r="K664" s="6" t="n">
        <f aca="false">Sens!K642</f>
        <v>12.2355875522124</v>
      </c>
    </row>
    <row r="665" customFormat="false" ht="15" hidden="false" customHeight="false" outlineLevel="0" collapsed="false">
      <c r="A665" s="0" t="s">
        <v>626</v>
      </c>
      <c r="B665" s="0" t="s">
        <v>95</v>
      </c>
      <c r="D665" s="6" t="n">
        <f aca="false">Sens!D644</f>
        <v>218.783</v>
      </c>
      <c r="E665" s="6" t="n">
        <f aca="false">Sens!E644</f>
        <v>268.127</v>
      </c>
      <c r="F665" s="6" t="n">
        <f aca="false">Sens!F644</f>
        <v>348.243803791626</v>
      </c>
      <c r="G665" s="6" t="n">
        <f aca="false">Sens!G644</f>
        <v>439.696034253065</v>
      </c>
      <c r="H665" s="6" t="n">
        <f aca="false">Sens!H644</f>
        <v>538.11411678352</v>
      </c>
      <c r="I665" s="6" t="n">
        <f aca="false">Sens!I644</f>
        <v>626.800355381882</v>
      </c>
      <c r="J665" s="6" t="n">
        <f aca="false">Sens!J644</f>
        <v>711.185056883981</v>
      </c>
      <c r="K665" s="6" t="n">
        <f aca="false">Sens!K644</f>
        <v>792.109233701449</v>
      </c>
    </row>
    <row r="666" customFormat="false" ht="15" hidden="false" customHeight="false" outlineLevel="0" collapsed="false">
      <c r="A666" s="0" t="s">
        <v>792</v>
      </c>
      <c r="B666" s="0" t="s">
        <v>95</v>
      </c>
      <c r="D666" s="6" t="n">
        <f aca="false">Sens!D645</f>
        <v>22.171</v>
      </c>
      <c r="E666" s="6" t="n">
        <f aca="false">Sens!E645</f>
        <v>24.835</v>
      </c>
      <c r="F666" s="6" t="n">
        <f aca="false">Sens!F645</f>
        <v>27.6114901218559</v>
      </c>
      <c r="G666" s="6" t="n">
        <f aca="false">Sens!G645</f>
        <v>30.4675667338515</v>
      </c>
      <c r="H666" s="6" t="n">
        <f aca="false">Sens!H645</f>
        <v>33.3643766955789</v>
      </c>
      <c r="I666" s="6" t="n">
        <f aca="false">Sens!I645</f>
        <v>36.2577016533691</v>
      </c>
      <c r="J666" s="6" t="n">
        <f aca="false">Sens!J645</f>
        <v>39.0988367952171</v>
      </c>
      <c r="K666" s="6" t="n">
        <f aca="false">Sens!K645</f>
        <v>41.8357553708823</v>
      </c>
    </row>
    <row r="667" customFormat="false" ht="15" hidden="false" customHeight="false" outlineLevel="0" collapsed="false">
      <c r="A667" s="0" t="s">
        <v>793</v>
      </c>
      <c r="B667" s="0" t="s">
        <v>95</v>
      </c>
      <c r="D667" s="6" t="n">
        <f aca="false">Sens!D647</f>
        <v>23.455</v>
      </c>
      <c r="E667" s="6" t="n">
        <f aca="false">Sens!E647</f>
        <v>21.79</v>
      </c>
      <c r="F667" s="6" t="n">
        <f aca="false">Sens!F647</f>
        <v>20.5736277908051</v>
      </c>
      <c r="G667" s="6" t="n">
        <f aca="false">Sens!G647</f>
        <v>19.7371452817919</v>
      </c>
      <c r="H667" s="6" t="n">
        <f aca="false">Sens!H647</f>
        <v>19.2339764043138</v>
      </c>
      <c r="I667" s="6" t="n">
        <f aca="false">Sens!I647</f>
        <v>19.0353086852681</v>
      </c>
      <c r="J667" s="6" t="n">
        <f aca="false">Sens!J647</f>
        <v>19.1273539319129</v>
      </c>
      <c r="K667" s="6" t="n">
        <f aca="false">Sens!K647</f>
        <v>19.5099010105511</v>
      </c>
    </row>
    <row r="668" customFormat="false" ht="15" hidden="false" customHeight="false" outlineLevel="0" collapsed="false">
      <c r="A668" s="0" t="s">
        <v>794</v>
      </c>
      <c r="B668" s="0" t="s">
        <v>95</v>
      </c>
      <c r="D668" s="6" t="n">
        <f aca="false">Sens!D649</f>
        <v>17.315</v>
      </c>
      <c r="E668" s="6" t="n">
        <f aca="false">Sens!E649</f>
        <v>17.087</v>
      </c>
      <c r="F668" s="6" t="n">
        <f aca="false">Sens!F649</f>
        <v>16.9564585436519</v>
      </c>
      <c r="G668" s="6" t="n">
        <f aca="false">Sens!G649</f>
        <v>16.9206490624268</v>
      </c>
      <c r="H668" s="6" t="n">
        <f aca="false">Sens!H649</f>
        <v>16.9784519149849</v>
      </c>
      <c r="I668" s="6" t="n">
        <f aca="false">Sens!I649</f>
        <v>17.1303084701817</v>
      </c>
      <c r="J668" s="6" t="n">
        <f aca="false">Sens!J649</f>
        <v>17.3782189407267</v>
      </c>
      <c r="K668" s="6" t="n">
        <f aca="false">Sens!K649</f>
        <v>17.7257833195413</v>
      </c>
    </row>
    <row r="669" customFormat="false" ht="15" hidden="false" customHeight="false" outlineLevel="0" collapsed="false">
      <c r="A669" s="0" t="s">
        <v>640</v>
      </c>
      <c r="B669" s="0" t="s">
        <v>95</v>
      </c>
      <c r="D669" s="6" t="n">
        <f aca="false">Sens!D651</f>
        <v>62.941</v>
      </c>
      <c r="E669" s="6" t="n">
        <f aca="false">Sens!E651</f>
        <v>63.712</v>
      </c>
      <c r="F669" s="6" t="n">
        <f aca="false">Sens!F651</f>
        <v>65.1415764563129</v>
      </c>
      <c r="G669" s="6" t="n">
        <f aca="false">Sens!G651</f>
        <v>67.1253610780702</v>
      </c>
      <c r="H669" s="6" t="n">
        <f aca="false">Sens!H651</f>
        <v>69.5768050148776</v>
      </c>
      <c r="I669" s="6" t="n">
        <f aca="false">Sens!I651</f>
        <v>72.4233188088189</v>
      </c>
      <c r="J669" s="6" t="n">
        <f aca="false">Sens!J651</f>
        <v>75.6044096678567</v>
      </c>
      <c r="K669" s="6" t="n">
        <f aca="false">Sens!K651</f>
        <v>79.0714397009747</v>
      </c>
    </row>
    <row r="670" customFormat="false" ht="15" hidden="false" customHeight="false" outlineLevel="0" collapsed="false">
      <c r="A670" s="1" t="s">
        <v>810</v>
      </c>
      <c r="B670" s="0" t="s">
        <v>95</v>
      </c>
      <c r="D670" s="6" t="n">
        <f aca="false">Sens!D652</f>
        <v>281.724</v>
      </c>
      <c r="E670" s="6" t="n">
        <f aca="false">Sens!E652</f>
        <v>331.839</v>
      </c>
      <c r="F670" s="6" t="n">
        <f aca="false">Sens!F652</f>
        <v>413.385380247939</v>
      </c>
      <c r="G670" s="6" t="n">
        <f aca="false">Sens!G652</f>
        <v>506.821395331135</v>
      </c>
      <c r="H670" s="6" t="n">
        <f aca="false">Sens!H652</f>
        <v>607.690921798397</v>
      </c>
      <c r="I670" s="6" t="n">
        <f aca="false">Sens!I652</f>
        <v>699.223674190701</v>
      </c>
      <c r="J670" s="6" t="n">
        <f aca="false">Sens!J652</f>
        <v>786.789466551838</v>
      </c>
      <c r="K670" s="6" t="n">
        <f aca="false">Sens!K652</f>
        <v>871.180673402424</v>
      </c>
    </row>
    <row r="671" customFormat="false" ht="15" hidden="false" customHeight="false" outlineLevel="0" collapsed="false">
      <c r="A671" s="1" t="s">
        <v>811</v>
      </c>
      <c r="B671" s="0" t="s">
        <v>126</v>
      </c>
      <c r="E671" s="7" t="n">
        <f aca="false">Sens!E670/Sens!D670-1</f>
        <v>0.177886867998467</v>
      </c>
      <c r="F671" s="7" t="n">
        <f aca="false">Sens!F670/Sens!E670-1</f>
        <v>0.245740796735583</v>
      </c>
      <c r="G671" s="7" t="n">
        <f aca="false">Sens!G670/Sens!F670-1</f>
        <v>0.226026413965475</v>
      </c>
      <c r="H671" s="7" t="n">
        <f aca="false">Sens!H670/Sens!G670-1</f>
        <v>0.199023812720768</v>
      </c>
      <c r="I671" s="7" t="n">
        <f aca="false">Sens!I670/Sens!H670-1</f>
        <v>0.150623860105433</v>
      </c>
      <c r="J671" s="7" t="n">
        <f aca="false">Sens!J670/Sens!I670-1</f>
        <v>0.125232876965282</v>
      </c>
      <c r="K671" s="7" t="n">
        <f aca="false">Sens!K670/Sens!J670-1</f>
        <v>0.10726021437531</v>
      </c>
    </row>
    <row r="672" customFormat="false" ht="17.15" hidden="false" customHeight="false" outlineLevel="0" collapsed="false">
      <c r="A672" s="22" t="s">
        <v>812</v>
      </c>
      <c r="B672" s="28" t="s">
        <v>95</v>
      </c>
      <c r="C672" s="28"/>
      <c r="D672" s="23" t="n">
        <f aca="false">(Sens!D665+Sens!D669-Sens!D670)+(Sens!D657+Sens!D658-Sens!D656)+(Sens!D660+Sens!D661-Sens!D659)+(Sens!D670-Q!L18)</f>
        <v>0</v>
      </c>
      <c r="E672" s="23" t="n">
        <f aca="false">(Sens!E665+Sens!E669-Sens!E670)+(Sens!E657+Sens!E658-Sens!E656)+(Sens!E660+Sens!E661-Sens!E659)+(Sens!E670-Q!M18)</f>
        <v>0</v>
      </c>
      <c r="F672" s="23" t="n">
        <f aca="false">(Sens!F665+Sens!F669-Sens!F670)+(Sens!F657+Sens!F658-Sens!F656)+(Sens!F660+Sens!F661-Sens!F659)</f>
        <v>0</v>
      </c>
      <c r="G672" s="23" t="n">
        <f aca="false">(Sens!G665+Sens!G669-Sens!G670)+(Sens!G657+Sens!G658-Sens!G656)+(Sens!G660+Sens!G661-Sens!G659)</f>
        <v>0</v>
      </c>
      <c r="H672" s="23" t="n">
        <f aca="false">(Sens!H665+Sens!H669-Sens!H670)+(Sens!H657+Sens!H658-Sens!H656)+(Sens!H660+Sens!H661-Sens!H659)</f>
        <v>0</v>
      </c>
      <c r="I672" s="23" t="n">
        <f aca="false">(Sens!I665+Sens!I669-Sens!I670)+(Sens!I657+Sens!I658-Sens!I656)+(Sens!I660+Sens!I661-Sens!I659)</f>
        <v>0</v>
      </c>
      <c r="J672" s="23" t="n">
        <f aca="false">(Sens!J665+Sens!J669-Sens!J670)+(Sens!J657+Sens!J658-Sens!J656)+(Sens!J660+Sens!J661-Sens!J659)</f>
        <v>0</v>
      </c>
      <c r="K672" s="23" t="n">
        <f aca="false">(Sens!K665+Sens!K669-Sens!K670)+(Sens!K657+Sens!K658-Sens!K656)+(Sens!K660+Sens!K661-Sens!K659)</f>
        <v>0</v>
      </c>
    </row>
    <row r="673" customFormat="false" ht="17.15" hidden="false" customHeight="false" outlineLevel="0" collapsed="false">
      <c r="A673" s="0" t="s">
        <v>813</v>
      </c>
      <c r="B673" s="0" t="s">
        <v>126</v>
      </c>
      <c r="E673" s="7" t="n">
        <f aca="false">(Q!M21+Sens!E610+Sens!E611+Sens!E612+Sens!E625-Sens!E608)/(Q!M5-Sens!E608)</f>
        <v>0.570957350878296</v>
      </c>
      <c r="F673" s="7" t="n">
        <f aca="false">Sens!$E$673+dm_seg</f>
        <v>0.570957350878296</v>
      </c>
      <c r="G673" s="7" t="n">
        <f aca="false">Sens!$E$673+dm_seg</f>
        <v>0.570957350878296</v>
      </c>
      <c r="H673" s="7" t="n">
        <f aca="false">Sens!$E$673+dm_seg</f>
        <v>0.570957350878296</v>
      </c>
      <c r="I673" s="7" t="n">
        <f aca="false">Sens!$E$673+dm_seg</f>
        <v>0.570957350878296</v>
      </c>
      <c r="J673" s="7" t="n">
        <f aca="false">Sens!$E$673+dm_seg</f>
        <v>0.570957350878296</v>
      </c>
      <c r="K673" s="7" t="n">
        <f aca="false">Sens!$E$673+dm_seg</f>
        <v>0.570957350878296</v>
      </c>
      <c r="L673" s="11" t="s">
        <v>814</v>
      </c>
    </row>
    <row r="674" customFormat="false" ht="17.15" hidden="false" customHeight="false" outlineLevel="0" collapsed="false">
      <c r="A674" s="0" t="s">
        <v>654</v>
      </c>
      <c r="B674" s="0" t="s">
        <v>95</v>
      </c>
      <c r="D674" s="6" t="n">
        <f aca="false">Q!L21</f>
        <v>110.814</v>
      </c>
      <c r="E674" s="6" t="n">
        <f aca="false">Q!M21</f>
        <v>136.365</v>
      </c>
      <c r="F674" s="6" t="n">
        <f aca="false">Sens!F673*(Sens!F644-Sens!F608)+Sens!F608-(Sens!F610+Sens!F611+Sens!F612)-Sens!F625</f>
        <v>170.945347486882</v>
      </c>
      <c r="G674" s="6" t="n">
        <f aca="false">Sens!G673*(Sens!G644-Sens!G608)+Sens!G608-(Sens!G610+Sens!G611+Sens!G612)-Sens!G625</f>
        <v>206.898943638871</v>
      </c>
      <c r="H674" s="6" t="n">
        <f aca="false">Sens!H673*(Sens!H644-Sens!H608)+Sens!H608-(Sens!H610+Sens!H611+Sens!H612)-Sens!H625</f>
        <v>248.547555499708</v>
      </c>
      <c r="I674" s="6" t="n">
        <f aca="false">Sens!I673*(Sens!I644-Sens!I608)+Sens!I608-(Sens!I610+Sens!I611+Sens!I612)-Sens!I625</f>
        <v>280.746267336166</v>
      </c>
      <c r="J674" s="6" t="n">
        <f aca="false">Sens!J673*(Sens!J644-Sens!J608)+Sens!J608-(Sens!J610+Sens!J611+Sens!J612)-Sens!J625</f>
        <v>309.55133482734</v>
      </c>
      <c r="K674" s="6" t="n">
        <f aca="false">Sens!K673*(Sens!K644-Sens!K608)+Sens!K608-(Sens!K610+Sens!K611+Sens!K612)-Sens!K625</f>
        <v>335.11338380902</v>
      </c>
      <c r="L674" s="1" t="s">
        <v>815</v>
      </c>
    </row>
    <row r="675" customFormat="false" ht="17.15" hidden="false" customHeight="false" outlineLevel="0" collapsed="false">
      <c r="A675" s="0" t="s">
        <v>816</v>
      </c>
      <c r="B675" s="0" t="s">
        <v>126</v>
      </c>
      <c r="E675" s="7" t="n">
        <f aca="false">Q!M22/Q!M12</f>
        <v>0.296207935710698</v>
      </c>
      <c r="F675" s="7" t="n">
        <f aca="false">Sens!$E$675+dm_seg</f>
        <v>0.296207935710698</v>
      </c>
      <c r="G675" s="7" t="n">
        <f aca="false">Sens!$E$675+dm_seg</f>
        <v>0.296207935710698</v>
      </c>
      <c r="H675" s="7" t="n">
        <f aca="false">Sens!$E$675+dm_seg</f>
        <v>0.296207935710698</v>
      </c>
      <c r="I675" s="7" t="n">
        <f aca="false">Sens!$E$675+dm_seg</f>
        <v>0.296207935710698</v>
      </c>
      <c r="J675" s="7" t="n">
        <f aca="false">Sens!$E$675+dm_seg</f>
        <v>0.296207935710698</v>
      </c>
      <c r="K675" s="7" t="n">
        <f aca="false">Sens!$E$675+dm_seg</f>
        <v>0.296207935710698</v>
      </c>
      <c r="L675" s="11" t="s">
        <v>817</v>
      </c>
    </row>
    <row r="676" customFormat="false" ht="17.15" hidden="false" customHeight="false" outlineLevel="0" collapsed="false">
      <c r="A676" s="0" t="s">
        <v>656</v>
      </c>
      <c r="B676" s="0" t="s">
        <v>95</v>
      </c>
      <c r="D676" s="6" t="n">
        <f aca="false">Q!L22</f>
        <v>17.714</v>
      </c>
      <c r="E676" s="6" t="n">
        <f aca="false">Q!M22</f>
        <v>18.872</v>
      </c>
      <c r="F676" s="6" t="n">
        <f aca="false">Sens!F651*Sens!F675</f>
        <v>19.2954518910651</v>
      </c>
      <c r="G676" s="6" t="n">
        <f aca="false">Sens!G651*Sens!G675</f>
        <v>19.8830646387704</v>
      </c>
      <c r="H676" s="6" t="n">
        <f aca="false">Sens!H651*Sens!H675</f>
        <v>20.6092017868026</v>
      </c>
      <c r="I676" s="6" t="n">
        <f aca="false">Sens!I651*Sens!I675</f>
        <v>21.452361761678</v>
      </c>
      <c r="J676" s="6" t="n">
        <f aca="false">Sens!J651*Sens!J675</f>
        <v>22.3946261183418</v>
      </c>
      <c r="K676" s="6" t="n">
        <f aca="false">Sens!K651*Sens!K675</f>
        <v>23.4215879274986</v>
      </c>
    </row>
    <row r="677" customFormat="false" ht="15" hidden="false" customHeight="false" outlineLevel="0" collapsed="false">
      <c r="A677" s="1" t="s">
        <v>818</v>
      </c>
      <c r="B677" s="0" t="s">
        <v>95</v>
      </c>
      <c r="D677" s="6" t="n">
        <f aca="false">Sens!D674+Sens!D676</f>
        <v>128.528</v>
      </c>
      <c r="E677" s="6" t="n">
        <f aca="false">Sens!E674+Sens!E676</f>
        <v>155.237</v>
      </c>
      <c r="F677" s="6" t="n">
        <f aca="false">Sens!F674+Sens!F676</f>
        <v>190.240799377947</v>
      </c>
      <c r="G677" s="6" t="n">
        <f aca="false">Sens!G674+Sens!G676</f>
        <v>226.782008277641</v>
      </c>
      <c r="H677" s="6" t="n">
        <f aca="false">Sens!H674+Sens!H676</f>
        <v>269.156757286511</v>
      </c>
      <c r="I677" s="6" t="n">
        <f aca="false">Sens!I674+Sens!I676</f>
        <v>302.198629097844</v>
      </c>
      <c r="J677" s="6" t="n">
        <f aca="false">Sens!J674+Sens!J676</f>
        <v>331.945960945681</v>
      </c>
      <c r="K677" s="6" t="n">
        <f aca="false">Sens!K674+Sens!K676</f>
        <v>358.534971736518</v>
      </c>
    </row>
    <row r="678" customFormat="false" ht="15" hidden="false" customHeight="false" outlineLevel="0" collapsed="false">
      <c r="A678" s="22" t="s">
        <v>819</v>
      </c>
      <c r="B678" s="28" t="s">
        <v>95</v>
      </c>
      <c r="C678" s="28"/>
      <c r="D678" s="23" t="n">
        <f aca="false">Sens!D677-Q!L23</f>
        <v>0</v>
      </c>
      <c r="E678" s="23" t="n">
        <f aca="false">Sens!E677-Q!M23</f>
        <v>0</v>
      </c>
      <c r="F678" s="28"/>
      <c r="G678" s="28"/>
      <c r="H678" s="28"/>
      <c r="I678" s="28"/>
      <c r="J678" s="28"/>
      <c r="K678" s="28"/>
    </row>
    <row r="679" customFormat="false" ht="15" hidden="false" customHeight="false" outlineLevel="0" collapsed="false">
      <c r="A679" s="1" t="s">
        <v>820</v>
      </c>
      <c r="B679" s="0" t="s">
        <v>126</v>
      </c>
      <c r="D679" s="7" t="n">
        <f aca="false">Sens!D677/Sens!D670</f>
        <v>0.456219562408598</v>
      </c>
      <c r="E679" s="7" t="n">
        <f aca="false">Sens!E677/Sens!E670</f>
        <v>0.467808184089272</v>
      </c>
      <c r="F679" s="7" t="n">
        <f aca="false">Sens!F677/Sens!F670</f>
        <v>0.460202049873764</v>
      </c>
      <c r="G679" s="7" t="n">
        <f aca="false">Sens!G677/Sens!G670</f>
        <v>0.447459421340079</v>
      </c>
      <c r="H679" s="7" t="n">
        <f aca="false">Sens!H677/Sens!H670</f>
        <v>0.442917192986806</v>
      </c>
      <c r="I679" s="7" t="n">
        <f aca="false">Sens!I677/Sens!I670</f>
        <v>0.432191643750644</v>
      </c>
      <c r="J679" s="7" t="n">
        <f aca="false">Sens!J677/Sens!J670</f>
        <v>0.421899345450644</v>
      </c>
      <c r="K679" s="7" t="n">
        <f aca="false">Sens!K677/Sens!K670</f>
        <v>0.411550649231288</v>
      </c>
    </row>
    <row r="680" customFormat="false" ht="17.15" hidden="false" customHeight="false" outlineLevel="0" collapsed="false">
      <c r="A680" s="1" t="s">
        <v>821</v>
      </c>
      <c r="B680" s="0" t="s">
        <v>95</v>
      </c>
      <c r="E680" s="6" t="n">
        <f aca="false">Sens!E625</f>
        <v>16.3054059770833</v>
      </c>
      <c r="F680" s="6" t="n">
        <f aca="false">Sens!F625</f>
        <v>34.7280354558698</v>
      </c>
      <c r="G680" s="6" t="n">
        <f aca="false">Sens!G625</f>
        <v>60.4817332603396</v>
      </c>
      <c r="H680" s="6" t="n">
        <f aca="false">Sens!H625</f>
        <v>87.7173159931396</v>
      </c>
      <c r="I680" s="6" t="n">
        <f aca="false">Sens!I625</f>
        <v>115.972181741123</v>
      </c>
      <c r="J680" s="6" t="n">
        <f aca="false">Sens!J625</f>
        <v>145.199277958273</v>
      </c>
      <c r="K680" s="6" t="n">
        <f aca="false">Sens!K625</f>
        <v>175.71392263459</v>
      </c>
    </row>
    <row r="681" customFormat="false" ht="17.15" hidden="false" customHeight="false" outlineLevel="0" collapsed="false">
      <c r="A681" s="1" t="s">
        <v>822</v>
      </c>
      <c r="B681" s="0" t="s">
        <v>95</v>
      </c>
      <c r="E681" s="6" t="n">
        <f aca="false">Sens!E701</f>
        <v>22.2285940229167</v>
      </c>
      <c r="F681" s="6" t="n">
        <f aca="false">Sens!F701</f>
        <v>23.5786693435813</v>
      </c>
      <c r="G681" s="6" t="n">
        <f aca="false">Sens!G701</f>
        <v>25.3810917662621</v>
      </c>
      <c r="H681" s="6" t="n">
        <f aca="false">Sens!H701</f>
        <v>27.5991339540448</v>
      </c>
      <c r="I681" s="6" t="n">
        <f aca="false">Sens!I701</f>
        <v>30.1565605898047</v>
      </c>
      <c r="J681" s="6" t="n">
        <f aca="false">Sens!J701</f>
        <v>32.9614958558616</v>
      </c>
      <c r="K681" s="6" t="n">
        <f aca="false">Sens!K701</f>
        <v>35.9297165444749</v>
      </c>
    </row>
    <row r="682" customFormat="false" ht="17.15" hidden="false" customHeight="false" outlineLevel="0" collapsed="false">
      <c r="A682" s="1" t="s">
        <v>823</v>
      </c>
      <c r="B682" s="0" t="s">
        <v>95</v>
      </c>
      <c r="D682" s="6" t="n">
        <f aca="false">Q!L27</f>
        <v>-4.901</v>
      </c>
      <c r="E682" s="6" t="n">
        <f aca="false">Q!M27</f>
        <v>10.697</v>
      </c>
      <c r="F682" s="6" t="n">
        <f aca="false">oie_f</f>
        <v>-0.4</v>
      </c>
      <c r="G682" s="6" t="n">
        <f aca="false">oie_f</f>
        <v>-0.4</v>
      </c>
      <c r="H682" s="6" t="n">
        <f aca="false">oie_f</f>
        <v>-0.4</v>
      </c>
      <c r="I682" s="6" t="n">
        <f aca="false">oie_f</f>
        <v>-0.4</v>
      </c>
      <c r="J682" s="6" t="n">
        <f aca="false">oie_f</f>
        <v>-0.4</v>
      </c>
      <c r="K682" s="6" t="n">
        <f aca="false">oie_f</f>
        <v>-0.4</v>
      </c>
      <c r="L682" s="11" t="s">
        <v>824</v>
      </c>
    </row>
    <row r="683" customFormat="false" ht="15" hidden="false" customHeight="false" outlineLevel="0" collapsed="false">
      <c r="A683" s="1" t="s">
        <v>666</v>
      </c>
      <c r="B683" s="0" t="s">
        <v>95</v>
      </c>
      <c r="D683" s="6" t="n">
        <f aca="false">Sens!D677+Sens!D682</f>
        <v>123.627</v>
      </c>
      <c r="E683" s="6" t="n">
        <f aca="false">Sens!E677+Sens!E682</f>
        <v>165.934</v>
      </c>
      <c r="F683" s="6" t="n">
        <f aca="false">Sens!F677+Sens!F682</f>
        <v>189.840799377947</v>
      </c>
      <c r="G683" s="6" t="n">
        <f aca="false">Sens!G677+Sens!G682</f>
        <v>226.382008277641</v>
      </c>
      <c r="H683" s="6" t="n">
        <f aca="false">Sens!H677+Sens!H682</f>
        <v>268.756757286511</v>
      </c>
      <c r="I683" s="6" t="n">
        <f aca="false">Sens!I677+Sens!I682</f>
        <v>301.798629097844</v>
      </c>
      <c r="J683" s="6" t="n">
        <f aca="false">Sens!J677+Sens!J682</f>
        <v>331.545960945682</v>
      </c>
      <c r="K683" s="6" t="n">
        <f aca="false">Sens!K677+Sens!K682</f>
        <v>358.134971736518</v>
      </c>
    </row>
    <row r="684" customFormat="false" ht="15" hidden="false" customHeight="false" outlineLevel="0" collapsed="false">
      <c r="A684" s="1" t="s">
        <v>668</v>
      </c>
      <c r="B684" s="0" t="s">
        <v>95</v>
      </c>
      <c r="D684" s="6" t="n">
        <f aca="false">Q!L29</f>
        <v>21.795</v>
      </c>
      <c r="E684" s="6" t="n">
        <f aca="false">Q!M29</f>
        <v>32.185</v>
      </c>
      <c r="F684" s="6" t="n">
        <f aca="false">Sens!F683*tax_f</f>
        <v>37.9681598755894</v>
      </c>
      <c r="G684" s="6" t="n">
        <f aca="false">Sens!G683*tax_f</f>
        <v>45.2764016555282</v>
      </c>
      <c r="H684" s="6" t="n">
        <f aca="false">Sens!H683*tax_f</f>
        <v>53.7513514573021</v>
      </c>
      <c r="I684" s="6" t="n">
        <f aca="false">Sens!I683*tax_f</f>
        <v>60.3597258195688</v>
      </c>
      <c r="J684" s="6" t="n">
        <f aca="false">Sens!J683*tax_f</f>
        <v>66.3091921891363</v>
      </c>
      <c r="K684" s="6" t="n">
        <f aca="false">Sens!K683*tax_f</f>
        <v>71.6269943473036</v>
      </c>
    </row>
    <row r="685" customFormat="false" ht="15" hidden="false" customHeight="false" outlineLevel="0" collapsed="false">
      <c r="A685" s="1" t="s">
        <v>825</v>
      </c>
      <c r="B685" s="0" t="s">
        <v>95</v>
      </c>
      <c r="D685" s="6" t="n">
        <f aca="false">Sens!D683-Sens!D684</f>
        <v>101.832</v>
      </c>
      <c r="E685" s="6" t="n">
        <f aca="false">Sens!E683-Sens!E684</f>
        <v>133.749</v>
      </c>
      <c r="F685" s="6" t="n">
        <f aca="false">Sens!F683-Sens!F684</f>
        <v>151.872639502358</v>
      </c>
      <c r="G685" s="6" t="n">
        <f aca="false">Sens!G683-Sens!G684</f>
        <v>181.105606622113</v>
      </c>
      <c r="H685" s="6" t="n">
        <f aca="false">Sens!H683-Sens!H684</f>
        <v>215.005405829208</v>
      </c>
      <c r="I685" s="6" t="n">
        <f aca="false">Sens!I683-Sens!I684</f>
        <v>241.438903278275</v>
      </c>
      <c r="J685" s="6" t="n">
        <f aca="false">Sens!J683-Sens!J684</f>
        <v>265.236768756545</v>
      </c>
      <c r="K685" s="6" t="n">
        <f aca="false">Sens!K683-Sens!K684</f>
        <v>286.507977389215</v>
      </c>
    </row>
    <row r="686" customFormat="false" ht="17.15" hidden="false" customHeight="false" outlineLevel="0" collapsed="false">
      <c r="A686" s="1" t="s">
        <v>826</v>
      </c>
      <c r="B686" s="1" t="s">
        <v>79</v>
      </c>
      <c r="D686" s="18" t="n">
        <f aca="false">Q!L31</f>
        <v>7.465</v>
      </c>
      <c r="E686" s="18" t="n">
        <f aca="false">Q!M31</f>
        <v>7.453</v>
      </c>
      <c r="F686" s="18" t="n">
        <f aca="false">Sens!F723</f>
        <v>7.4722239803078</v>
      </c>
      <c r="G686" s="18" t="n">
        <f aca="false">Sens!G723</f>
        <v>7.49731967333355</v>
      </c>
      <c r="H686" s="18" t="n">
        <f aca="false">Sens!H723</f>
        <v>7.50644297190145</v>
      </c>
      <c r="I686" s="18" t="n">
        <f aca="false">Sens!I723</f>
        <v>7.51822380390877</v>
      </c>
      <c r="J686" s="18" t="n">
        <f aca="false">Sens!J723</f>
        <v>7.53246531502665</v>
      </c>
      <c r="K686" s="18" t="n">
        <f aca="false">Sens!K723</f>
        <v>7.54898523272839</v>
      </c>
    </row>
    <row r="687" customFormat="false" ht="17.15" hidden="false" customHeight="false" outlineLevel="0" collapsed="false">
      <c r="A687" s="0" t="s">
        <v>827</v>
      </c>
      <c r="B687" s="0" t="s">
        <v>73</v>
      </c>
      <c r="D687" s="8" t="n">
        <f aca="false">Sens!D685/Sens!D686</f>
        <v>13.641259209645</v>
      </c>
      <c r="E687" s="8" t="n">
        <f aca="false">Sens!E685/Sens!E686</f>
        <v>17.9456594659869</v>
      </c>
      <c r="F687" s="8" t="n">
        <f aca="false">Sens!F685/Sens!F686</f>
        <v>20.3249581252651</v>
      </c>
      <c r="G687" s="8" t="n">
        <f aca="false">Sens!G685/Sens!G686</f>
        <v>24.1560470292162</v>
      </c>
      <c r="H687" s="8" t="n">
        <f aca="false">Sens!H685/Sens!H686</f>
        <v>28.6427814923832</v>
      </c>
      <c r="I687" s="8" t="n">
        <f aca="false">Sens!I685/Sens!I686</f>
        <v>32.1138223037135</v>
      </c>
      <c r="J687" s="8" t="n">
        <f aca="false">Sens!J685/Sens!J686</f>
        <v>35.2124779423039</v>
      </c>
      <c r="K687" s="8" t="n">
        <f aca="false">Sens!K685/Sens!K686</f>
        <v>37.953177620095</v>
      </c>
      <c r="L687" s="1" t="s">
        <v>828</v>
      </c>
    </row>
    <row r="688" customFormat="false" ht="17.15" hidden="false" customHeight="false" outlineLevel="0" collapsed="false">
      <c r="A688" s="0" t="s">
        <v>829</v>
      </c>
      <c r="B688" s="0" t="s">
        <v>126</v>
      </c>
      <c r="E688" s="7" t="n">
        <f aca="false">Sens!E687/Sens!D687-1</f>
        <v>0.315542736208578</v>
      </c>
      <c r="F688" s="7" t="n">
        <f aca="false">Sens!F687/Sens!E687-1</f>
        <v>0.132583517690603</v>
      </c>
      <c r="G688" s="7" t="n">
        <f aca="false">Sens!G687/Sens!F687-1</f>
        <v>0.188491847330738</v>
      </c>
      <c r="H688" s="7" t="n">
        <f aca="false">Sens!H687/Sens!G687-1</f>
        <v>0.185739597945823</v>
      </c>
      <c r="I688" s="7" t="n">
        <f aca="false">Sens!I687/Sens!H687-1</f>
        <v>0.121183789788482</v>
      </c>
      <c r="J688" s="7" t="n">
        <f aca="false">Sens!J687/Sens!I687-1</f>
        <v>0.0964897796744701</v>
      </c>
      <c r="K688" s="7" t="n">
        <f aca="false">Sens!K687/Sens!J687-1</f>
        <v>0.0778331954451408</v>
      </c>
    </row>
    <row r="689" customFormat="false" ht="17.15" hidden="false" customHeight="false" outlineLevel="0" collapsed="false">
      <c r="A689" s="0" t="s">
        <v>763</v>
      </c>
      <c r="B689" s="0" t="s">
        <v>95</v>
      </c>
      <c r="E689" s="6" t="n">
        <f aca="false">Sens!E634</f>
        <v>5.25</v>
      </c>
      <c r="F689" s="6" t="n">
        <f aca="false">Sens!F634</f>
        <v>13.5</v>
      </c>
      <c r="G689" s="6" t="n">
        <f aca="false">Sens!G634</f>
        <v>22.5</v>
      </c>
      <c r="H689" s="6" t="n">
        <f aca="false">Sens!H634</f>
        <v>31.5</v>
      </c>
      <c r="I689" s="6" t="n">
        <f aca="false">Sens!I634</f>
        <v>38.25</v>
      </c>
      <c r="J689" s="6" t="n">
        <f aca="false">Sens!J634</f>
        <v>42.75</v>
      </c>
      <c r="K689" s="6" t="n">
        <f aca="false">Sens!K634</f>
        <v>47.25</v>
      </c>
    </row>
    <row r="690" customFormat="false" ht="17.15" hidden="false" customHeight="false" outlineLevel="0" collapsed="false">
      <c r="A690" s="0" t="s">
        <v>764</v>
      </c>
      <c r="B690" s="0" t="s">
        <v>95</v>
      </c>
      <c r="E690" s="6" t="n">
        <f aca="false">Sens!E614+Sens!E689*Sens!E673-Sens!E615-Sens!E625</f>
        <v>2.1514866143068</v>
      </c>
      <c r="F690" s="6" t="n">
        <f aca="false">Sens!F614+Sens!F689*Sens!F673-Sens!F615-Sens!F625</f>
        <v>18.3846745197898</v>
      </c>
      <c r="G690" s="6" t="n">
        <f aca="false">Sens!G614+Sens!G689*Sens!G673-Sens!G615-Sens!G625</f>
        <v>35.2568417113352</v>
      </c>
      <c r="H690" s="6" t="n">
        <f aca="false">Sens!H614+Sens!H689*Sens!H673-Sens!H615-Sens!H625</f>
        <v>57.6418758208707</v>
      </c>
      <c r="I690" s="6" t="n">
        <f aca="false">Sens!I614+Sens!I689*Sens!I673-Sens!I615-Sens!I625</f>
        <v>71.0650022619869</v>
      </c>
      <c r="J690" s="6" t="n">
        <f aca="false">Sens!J614+Sens!J689*Sens!J673-Sens!J615-Sens!J625</f>
        <v>82.3332819788019</v>
      </c>
      <c r="K690" s="6" t="n">
        <f aca="false">Sens!K614+Sens!K689*Sens!K673-Sens!K615-Sens!K625</f>
        <v>92.3740371575978</v>
      </c>
    </row>
    <row r="691" customFormat="false" ht="17.15" hidden="false" customHeight="false" outlineLevel="0" collapsed="false">
      <c r="A691" s="0" t="s">
        <v>765</v>
      </c>
      <c r="B691" s="0" t="s">
        <v>95</v>
      </c>
      <c r="E691" s="6" t="n">
        <f aca="false">Sens!E597*(cxit_open+self_build*tk_cxfac)/1000*ai_net_open</f>
        <v>126.6980382</v>
      </c>
      <c r="F691" s="6" t="n">
        <f aca="false">Sens!E691+Sens!F622-Sens!F625</f>
        <v>260.440655514568</v>
      </c>
      <c r="G691" s="6" t="n">
        <f aca="false">Sens!F691+Sens!G622-Sens!G625</f>
        <v>383.533102737428</v>
      </c>
      <c r="H691" s="6" t="n">
        <f aca="false">Sens!G691+Sens!H622-Sens!H625</f>
        <v>483.896072654688</v>
      </c>
      <c r="I691" s="6" t="n">
        <f aca="false">Sens!H691+Sens!I622-Sens!I625</f>
        <v>586.262852170632</v>
      </c>
      <c r="J691" s="6" t="n">
        <f aca="false">Sens!I691+Sens!J622-Sens!J625</f>
        <v>674.840635136093</v>
      </c>
      <c r="K691" s="6" t="n">
        <f aca="false">Sens!J691+Sens!K622-Sens!K625</f>
        <v>777.983024451903</v>
      </c>
      <c r="L691" s="1" t="s">
        <v>766</v>
      </c>
    </row>
    <row r="692" customFormat="false" ht="17.15" hidden="false" customHeight="false" outlineLevel="0" collapsed="false">
      <c r="A692" s="0" t="s">
        <v>767</v>
      </c>
      <c r="B692" s="0" t="s">
        <v>126</v>
      </c>
      <c r="F692" s="7" t="n">
        <f aca="false">Sens!F690*(1-tax_f)/((Sens!E691+Sens!F691)/2)</f>
        <v>0.0759817597911082</v>
      </c>
      <c r="G692" s="7" t="n">
        <f aca="false">Sens!G690*(1-tax_f)/((Sens!F691+Sens!G691)/2)</f>
        <v>0.0875982072487834</v>
      </c>
      <c r="H692" s="7" t="n">
        <f aca="false">Sens!H690*(1-tax_f)/((Sens!G691+Sens!H691)/2)</f>
        <v>0.106322226562996</v>
      </c>
      <c r="I692" s="7" t="n">
        <f aca="false">Sens!I690*(1-tax_f)/((Sens!H691+Sens!I691)/2)</f>
        <v>0.106249642909569</v>
      </c>
      <c r="J692" s="7" t="n">
        <f aca="false">Sens!J690*(1-tax_f)/((Sens!I691+Sens!J691)/2)</f>
        <v>0.104458716110142</v>
      </c>
      <c r="K692" s="7" t="n">
        <f aca="false">Sens!K690*(1-tax_f)/((Sens!J691+Sens!K691)/2)</f>
        <v>0.101731864343447</v>
      </c>
    </row>
    <row r="693" customFormat="false" ht="17.15" hidden="false" customHeight="false" outlineLevel="0" collapsed="false">
      <c r="A693" s="1" t="s">
        <v>768</v>
      </c>
      <c r="B693" s="0" t="s">
        <v>126</v>
      </c>
      <c r="F693" s="7" t="n">
        <f aca="false">Sens!F626*(1-tax_f)/(Sens!F613*(Sens!E691+Sens!F691)/2)</f>
        <v>0.214227410973431</v>
      </c>
      <c r="G693" s="7" t="n">
        <f aca="false">Sens!G626*(1-tax_f)/(Sens!G613*(Sens!F691+Sens!G691)/2)</f>
        <v>0.237639603827533</v>
      </c>
      <c r="H693" s="7" t="n">
        <f aca="false">Sens!H626*(1-tax_f)/(Sens!H613*(Sens!G691+Sens!H691)/2)</f>
        <v>0.276701402937503</v>
      </c>
      <c r="I693" s="7" t="n">
        <f aca="false">Sens!I626*(1-tax_f)/(Sens!I613*(Sens!H691+Sens!I691)/2)</f>
        <v>0.28748206940468</v>
      </c>
      <c r="J693" s="7" t="n">
        <f aca="false">Sens!J626*(1-tax_f)/(Sens!J613*(Sens!I691+Sens!J691)/2)</f>
        <v>0.296579824542888</v>
      </c>
      <c r="K693" s="7" t="n">
        <f aca="false">Sens!K626*(1-tax_f)/(Sens!K613*(Sens!J691+Sens!K691)/2)</f>
        <v>0.301822104610657</v>
      </c>
    </row>
    <row r="694" customFormat="false" ht="17.15" hidden="false" customHeight="false" outlineLevel="0" collapsed="false">
      <c r="A694" s="0" t="s">
        <v>769</v>
      </c>
      <c r="B694" s="0" t="s">
        <v>208</v>
      </c>
      <c r="F694" s="7" t="n">
        <f aca="false">Sens!F692-wacc</f>
        <v>-0.0329814613591458</v>
      </c>
      <c r="G694" s="7" t="n">
        <f aca="false">Sens!G692-wacc</f>
        <v>-0.0213650139014706</v>
      </c>
      <c r="H694" s="7" t="n">
        <f aca="false">Sens!H692-wacc</f>
        <v>-0.0026409945872584</v>
      </c>
      <c r="I694" s="7" t="n">
        <f aca="false">Sens!I692-wacc</f>
        <v>-0.00271357824068463</v>
      </c>
      <c r="J694" s="7" t="n">
        <f aca="false">Sens!J692-wacc</f>
        <v>-0.0045045050401122</v>
      </c>
      <c r="K694" s="7" t="n">
        <f aca="false">Sens!K692-wacc</f>
        <v>-0.00723135680680685</v>
      </c>
    </row>
    <row r="695" customFormat="false" ht="17.15" hidden="false" customHeight="false" outlineLevel="0" collapsed="false">
      <c r="A695" s="0" t="s">
        <v>770</v>
      </c>
      <c r="B695" s="0" t="s">
        <v>95</v>
      </c>
      <c r="F695" s="6" t="n">
        <f aca="false">Sens!F690*(1-tax_f)-wacc*(Sens!E691+Sens!F691)/2</f>
        <v>-6.38419993368859</v>
      </c>
      <c r="G695" s="6" t="n">
        <f aca="false">Sens!G690*(1-tax_f)-wacc*(Sens!F691+Sens!G691)/2</f>
        <v>-6.87925414861808</v>
      </c>
      <c r="H695" s="6" t="n">
        <f aca="false">Sens!H690*(1-tax_f)-wacc*(Sens!G691+Sens!H691)/2</f>
        <v>-1.1454378785203</v>
      </c>
      <c r="I695" s="6" t="n">
        <f aca="false">Sens!I690*(1-tax_f)-wacc*(Sens!H691+Sens!I691)/2</f>
        <v>-1.45197998624023</v>
      </c>
      <c r="J695" s="6" t="n">
        <f aca="false">Sens!J690*(1-tax_f)-wacc*(Sens!I691+Sens!J691)/2</f>
        <v>-2.8403235073381</v>
      </c>
      <c r="K695" s="6" t="n">
        <f aca="false">Sens!K690*(1-tax_f)-wacc*(Sens!J691+Sens!K691)/2</f>
        <v>-5.25294312992584</v>
      </c>
    </row>
    <row r="696" customFormat="false" ht="17.15" hidden="false" customHeight="false" outlineLevel="0" collapsed="false">
      <c r="A696" s="1" t="s">
        <v>771</v>
      </c>
      <c r="B696" s="0" t="s">
        <v>95</v>
      </c>
      <c r="F696" s="6" t="n">
        <f aca="false">(Sens!E598+Sens!F598)/2*Sens!F605/1000</f>
        <v>26.7873066765967</v>
      </c>
      <c r="G696" s="6" t="n">
        <f aca="false">(Sens!F598+Sens!G598)/2*Sens!G605/1000</f>
        <v>45.4131817597218</v>
      </c>
      <c r="H696" s="6" t="n">
        <f aca="false">(Sens!G598+Sens!H598)/2*Sens!H605/1000</f>
        <v>65.3915129357971</v>
      </c>
      <c r="I696" s="6" t="n">
        <f aca="false">(Sens!H598+Sens!I598)/2*Sens!I605/1000</f>
        <v>85.5187419289299</v>
      </c>
      <c r="J696" s="6" t="n">
        <f aca="false">(Sens!I598+Sens!J598)/2*Sens!J605/1000</f>
        <v>105.723807195006</v>
      </c>
      <c r="K696" s="6" t="n">
        <f aca="false">(Sens!J598+Sens!K598)/2*Sens!K605/1000</f>
        <v>125.974659797015</v>
      </c>
      <c r="L696" s="1" t="s">
        <v>772</v>
      </c>
    </row>
    <row r="697" customFormat="false" ht="17.15" hidden="false" customHeight="false" outlineLevel="0" collapsed="false">
      <c r="A697" s="1" t="s">
        <v>773</v>
      </c>
      <c r="B697" s="0" t="s">
        <v>126</v>
      </c>
      <c r="F697" s="7" t="n">
        <f aca="false">(Sens!F614+Sens!F696-Sens!F615-Sens!F625)*(1-tax_f)/((Sens!E691+Sens!F691)/2)</f>
        <v>0.154834668061989</v>
      </c>
      <c r="G697" s="7" t="n">
        <f aca="false">(Sens!G614+Sens!G696-Sens!G615-Sens!G625)*(1-tax_f)/((Sens!F691+Sens!G691)/2)</f>
        <v>0.16851241456893</v>
      </c>
      <c r="H697" s="7" t="n">
        <f aca="false">(Sens!H614+Sens!H696-Sens!H615-Sens!H625)*(1-tax_f)/((Sens!G691+Sens!H691)/2)</f>
        <v>0.193764720272896</v>
      </c>
      <c r="I697" s="7" t="n">
        <f aca="false">(Sens!I614+Sens!I696-Sens!I615-Sens!I625)*(1-tax_f)/((Sens!H691+Sens!I691)/2)</f>
        <v>0.201457368462264</v>
      </c>
      <c r="J697" s="7" t="n">
        <f aca="false">(Sens!J614+Sens!J696-Sens!J615-Sens!J625)*(1-tax_f)/((Sens!I691+Sens!J691)/2)</f>
        <v>0.207625989867977</v>
      </c>
      <c r="K697" s="7" t="n">
        <f aca="false">(Sens!K614+Sens!K696-Sens!K615-Sens!K625)*(1-tax_f)/((Sens!J691+Sens!K691)/2)</f>
        <v>0.210757539210102</v>
      </c>
      <c r="L697" s="1" t="s">
        <v>774</v>
      </c>
    </row>
    <row r="698" customFormat="false" ht="17.15" hidden="false" customHeight="false" outlineLevel="0" collapsed="false">
      <c r="A698" s="3" t="s">
        <v>1132</v>
      </c>
    </row>
    <row r="699" customFormat="false" ht="15" hidden="false" customHeight="false" outlineLevel="0" collapsed="false">
      <c r="A699" s="4" t="s">
        <v>43</v>
      </c>
      <c r="B699" s="4" t="s">
        <v>63</v>
      </c>
      <c r="C699" s="19" t="s">
        <v>710</v>
      </c>
      <c r="D699" s="19" t="s">
        <v>711</v>
      </c>
      <c r="E699" s="19" t="s">
        <v>712</v>
      </c>
      <c r="F699" s="19" t="s">
        <v>713</v>
      </c>
      <c r="G699" s="19" t="s">
        <v>714</v>
      </c>
      <c r="H699" s="19" t="s">
        <v>715</v>
      </c>
      <c r="I699" s="19" t="s">
        <v>716</v>
      </c>
      <c r="J699" s="19" t="s">
        <v>717</v>
      </c>
      <c r="K699" s="19" t="s">
        <v>718</v>
      </c>
      <c r="L699" s="4" t="s">
        <v>47</v>
      </c>
    </row>
    <row r="700" customFormat="false" ht="15" hidden="false" customHeight="false" outlineLevel="0" collapsed="false">
      <c r="A700" s="1" t="s">
        <v>825</v>
      </c>
      <c r="B700" s="0" t="s">
        <v>95</v>
      </c>
      <c r="F700" s="6" t="n">
        <f aca="false">Sens!F685</f>
        <v>151.872639502358</v>
      </c>
      <c r="G700" s="6" t="n">
        <f aca="false">Sens!G685</f>
        <v>181.105606622113</v>
      </c>
      <c r="H700" s="6" t="n">
        <f aca="false">Sens!H685</f>
        <v>215.005405829208</v>
      </c>
      <c r="I700" s="6" t="n">
        <f aca="false">Sens!I685</f>
        <v>241.438903278275</v>
      </c>
      <c r="J700" s="6" t="n">
        <f aca="false">Sens!J685</f>
        <v>265.236768756545</v>
      </c>
      <c r="K700" s="6" t="n">
        <f aca="false">Sens!K685</f>
        <v>286.507977389215</v>
      </c>
    </row>
    <row r="701" customFormat="false" ht="17.15" hidden="false" customHeight="false" outlineLevel="0" collapsed="false">
      <c r="A701" s="1" t="s">
        <v>843</v>
      </c>
      <c r="B701" s="0" t="s">
        <v>95</v>
      </c>
      <c r="E701" s="6" t="n">
        <f aca="false">Q!M38-Sens!E625</f>
        <v>22.2285940229167</v>
      </c>
      <c r="F701" s="6" t="n">
        <f aca="false">Sens!E701*(1-1/life_nonai)+Sens!F707/life_nonai</f>
        <v>23.5786693435813</v>
      </c>
      <c r="G701" s="6" t="n">
        <f aca="false">Sens!F701*(1-1/life_nonai)+Sens!G707/life_nonai</f>
        <v>25.3810917662621</v>
      </c>
      <c r="H701" s="6" t="n">
        <f aca="false">Sens!G701*(1-1/life_nonai)+Sens!H707/life_nonai</f>
        <v>27.5991339540448</v>
      </c>
      <c r="I701" s="6" t="n">
        <f aca="false">Sens!H701*(1-1/life_nonai)+Sens!I707/life_nonai</f>
        <v>30.1565605898047</v>
      </c>
      <c r="J701" s="6" t="n">
        <f aca="false">Sens!I701*(1-1/life_nonai)+Sens!J707/life_nonai</f>
        <v>32.9614958558616</v>
      </c>
      <c r="K701" s="6" t="n">
        <f aca="false">Sens!J701*(1-1/life_nonai)+Sens!K707/life_nonai</f>
        <v>35.9297165444749</v>
      </c>
      <c r="L701" s="11" t="s">
        <v>844</v>
      </c>
    </row>
    <row r="702" customFormat="false" ht="17.15" hidden="false" customHeight="false" outlineLevel="0" collapsed="false">
      <c r="A702" s="1" t="s">
        <v>845</v>
      </c>
      <c r="B702" s="0" t="s">
        <v>95</v>
      </c>
      <c r="E702" s="6" t="n">
        <f aca="false">Sens!E625+Sens!E701</f>
        <v>38.534</v>
      </c>
      <c r="F702" s="6" t="n">
        <f aca="false">Sens!F625+Sens!F701</f>
        <v>58.306704799451</v>
      </c>
      <c r="G702" s="6" t="n">
        <f aca="false">Sens!G625+Sens!G701</f>
        <v>85.8628250266016</v>
      </c>
      <c r="H702" s="6" t="n">
        <f aca="false">Sens!H625+Sens!H701</f>
        <v>115.316449947184</v>
      </c>
      <c r="I702" s="6" t="n">
        <f aca="false">Sens!I625+Sens!I701</f>
        <v>146.128742330928</v>
      </c>
      <c r="J702" s="6" t="n">
        <f aca="false">Sens!J625+Sens!J701</f>
        <v>178.160773814135</v>
      </c>
      <c r="K702" s="6" t="n">
        <f aca="false">Sens!K625+Sens!K701</f>
        <v>211.643639179064</v>
      </c>
    </row>
    <row r="703" customFormat="false" ht="15" hidden="false" customHeight="false" outlineLevel="0" collapsed="false">
      <c r="A703" s="1" t="s">
        <v>685</v>
      </c>
      <c r="B703" s="0" t="s">
        <v>95</v>
      </c>
      <c r="F703" s="6" t="n">
        <f aca="false">Sens!F652*sbc_r</f>
        <v>15.4534145835049</v>
      </c>
      <c r="G703" s="6" t="n">
        <f aca="false">Sens!G652*sbc_r</f>
        <v>18.9462944653363</v>
      </c>
      <c r="H703" s="6" t="n">
        <f aca="false">Sens!H652*sbc_r</f>
        <v>22.7170582267579</v>
      </c>
      <c r="I703" s="6" t="n">
        <f aca="false">Sens!I652*sbc_r</f>
        <v>26.1387892271121</v>
      </c>
      <c r="J703" s="6" t="n">
        <f aca="false">Sens!J652*sbc_r</f>
        <v>29.4122250024124</v>
      </c>
      <c r="K703" s="6" t="n">
        <f aca="false">Sens!K652*sbc_r</f>
        <v>32.5669865614261</v>
      </c>
    </row>
    <row r="704" customFormat="false" ht="17.15" hidden="false" customHeight="false" outlineLevel="0" collapsed="false">
      <c r="A704" s="1" t="s">
        <v>846</v>
      </c>
      <c r="B704" s="0" t="s">
        <v>95</v>
      </c>
      <c r="F704" s="6" t="n">
        <f aca="false">wc27</f>
        <v>-4.895</v>
      </c>
      <c r="G704" s="6" t="n">
        <f aca="false">0</f>
        <v>0</v>
      </c>
      <c r="H704" s="6" t="n">
        <f aca="false">0</f>
        <v>0</v>
      </c>
      <c r="I704" s="6" t="n">
        <f aca="false">0</f>
        <v>0</v>
      </c>
      <c r="J704" s="6" t="n">
        <f aca="false">0</f>
        <v>0</v>
      </c>
      <c r="K704" s="6" t="n">
        <f aca="false">0</f>
        <v>0</v>
      </c>
      <c r="L704" s="11" t="s">
        <v>847</v>
      </c>
    </row>
    <row r="705" customFormat="false" ht="15" hidden="false" customHeight="false" outlineLevel="0" collapsed="false">
      <c r="A705" s="1" t="s">
        <v>678</v>
      </c>
      <c r="B705" s="0" t="s">
        <v>95</v>
      </c>
      <c r="E705" s="6" t="n">
        <f aca="false">Q!M35</f>
        <v>182.935</v>
      </c>
      <c r="F705" s="6" t="n">
        <f aca="false">Sens!F700+Sens!F702+Sens!F703+Sens!F704</f>
        <v>220.737758885313</v>
      </c>
      <c r="G705" s="6" t="n">
        <f aca="false">Sens!G700+Sens!G702+Sens!G703+Sens!G704</f>
        <v>285.914726114051</v>
      </c>
      <c r="H705" s="6" t="n">
        <f aca="false">Sens!H700+Sens!H702+Sens!H703+Sens!H704</f>
        <v>353.038914003151</v>
      </c>
      <c r="I705" s="6" t="n">
        <f aca="false">Sens!I700+Sens!I702+Sens!I703+Sens!I704</f>
        <v>413.706434836315</v>
      </c>
      <c r="J705" s="6" t="n">
        <f aca="false">Sens!J700+Sens!J702+Sens!J703+Sens!J704</f>
        <v>472.809767573092</v>
      </c>
      <c r="K705" s="6" t="n">
        <f aca="false">Sens!K700+Sens!K702+Sens!K703+Sens!K704</f>
        <v>530.718603129705</v>
      </c>
    </row>
    <row r="706" customFormat="false" ht="17.15" hidden="false" customHeight="false" outlineLevel="0" collapsed="false">
      <c r="A706" s="0" t="s">
        <v>848</v>
      </c>
      <c r="B706" s="0" t="s">
        <v>95</v>
      </c>
      <c r="F706" s="6" t="n">
        <f aca="false">Sens!F622</f>
        <v>168.470652770438</v>
      </c>
      <c r="G706" s="6" t="n">
        <f aca="false">Sens!G622</f>
        <v>183.5741804832</v>
      </c>
      <c r="H706" s="6" t="n">
        <f aca="false">Sens!H622</f>
        <v>188.0802859104</v>
      </c>
      <c r="I706" s="6" t="n">
        <f aca="false">Sens!I622</f>
        <v>218.338961257067</v>
      </c>
      <c r="J706" s="6" t="n">
        <f aca="false">Sens!J622</f>
        <v>233.777060923733</v>
      </c>
      <c r="K706" s="6" t="n">
        <f aca="false">Sens!K622</f>
        <v>278.8563119504</v>
      </c>
    </row>
    <row r="707" customFormat="false" ht="17.15" hidden="false" customHeight="false" outlineLevel="0" collapsed="false">
      <c r="A707" s="1" t="s">
        <v>849</v>
      </c>
      <c r="B707" s="0" t="s">
        <v>95</v>
      </c>
      <c r="E707" s="6" t="n">
        <f aca="false">Sens!E630*cx_azo+Sens!E637*cx_m365+Sens!E638*cx_lic+(Sens!E640+Sens!E642)*cx_ind+Sens!E645*cx_srch+(Sens!E647+Sens!E649)*cx_dev</f>
        <v>30.1846587067718</v>
      </c>
      <c r="F707" s="6" t="n">
        <f aca="false">Sens!F630*cx_azo+Sens!F637*cx_m365+Sens!F638*cx_lic+(Sens!F640+Sens!F642)*cx_ind+Sens!F645*cx_srch+(Sens!F647+Sens!F649)*cx_dev</f>
        <v>35.7293472295625</v>
      </c>
      <c r="G707" s="6" t="n">
        <f aca="false">Sens!G630*cx_azo+Sens!G637*cx_m365+Sens!G638*cx_lic+(Sens!G640+Sens!G642)*cx_ind+Sens!G645*cx_srch+(Sens!G647+Sens!G649)*cx_dev</f>
        <v>41.6028935703892</v>
      </c>
      <c r="H707" s="6" t="n">
        <f aca="false">Sens!H630*cx_azo+Sens!H637*cx_m365+Sens!H638*cx_lic+(Sens!H640+Sens!H642)*cx_ind+Sens!H645*cx_srch+(Sens!H647+Sens!H649)*cx_dev</f>
        <v>47.5615136440897</v>
      </c>
      <c r="I707" s="6" t="n">
        <f aca="false">Sens!I630*cx_azo+Sens!I637*cx_m365+Sens!I638*cx_lic+(Sens!I640+Sens!I642)*cx_ind+Sens!I645*cx_srch+(Sens!I647+Sens!I649)*cx_dev</f>
        <v>53.1734003116439</v>
      </c>
      <c r="J707" s="6" t="n">
        <f aca="false">Sens!J630*cx_azo+Sens!J637*cx_m365+Sens!J638*cx_lic+(Sens!J640+Sens!J642)*cx_ind+Sens!J645*cx_srch+(Sens!J647+Sens!J649)*cx_dev</f>
        <v>58.2059132503738</v>
      </c>
      <c r="K707" s="6" t="n">
        <f aca="false">Sens!K630*cx_azo+Sens!K637*cx_m365+Sens!K638*cx_lic+(Sens!K640+Sens!K642)*cx_ind+Sens!K645*cx_srch+(Sens!K647+Sens!K649)*cx_dev</f>
        <v>62.643702741994</v>
      </c>
    </row>
    <row r="708" customFormat="false" ht="17.15" hidden="false" customHeight="false" outlineLevel="0" collapsed="false">
      <c r="A708" s="1" t="s">
        <v>850</v>
      </c>
      <c r="B708" s="0" t="s">
        <v>95</v>
      </c>
      <c r="E708" s="6" t="n">
        <f aca="false">Q!M42</f>
        <v>145.3</v>
      </c>
      <c r="F708" s="6" t="n">
        <f aca="false">Sens!F706+Sens!F707</f>
        <v>204.2</v>
      </c>
      <c r="G708" s="6" t="n">
        <f aca="false">Sens!G706+Sens!G707</f>
        <v>225.177074053589</v>
      </c>
      <c r="H708" s="6" t="n">
        <f aca="false">Sens!H706+Sens!H707</f>
        <v>235.64179955449</v>
      </c>
      <c r="I708" s="6" t="n">
        <f aca="false">Sens!I706+Sens!I707</f>
        <v>271.512361568711</v>
      </c>
      <c r="J708" s="6" t="n">
        <f aca="false">Sens!J706+Sens!J707</f>
        <v>291.982974174107</v>
      </c>
      <c r="K708" s="6" t="n">
        <f aca="false">Sens!K706+Sens!K707</f>
        <v>341.500014692394</v>
      </c>
      <c r="L708" s="1" t="s">
        <v>851</v>
      </c>
    </row>
    <row r="709" customFormat="false" ht="15" hidden="false" customHeight="false" outlineLevel="0" collapsed="false">
      <c r="A709" s="1" t="s">
        <v>852</v>
      </c>
      <c r="B709" s="0" t="s">
        <v>95</v>
      </c>
      <c r="E709" s="6" t="n">
        <f aca="false">fl_liab</f>
        <v>66.594</v>
      </c>
      <c r="F709" s="6" t="n">
        <f aca="false">Sens!E709-Sens!F710</f>
        <v>62.46973</v>
      </c>
      <c r="G709" s="6" t="n">
        <f aca="false">Sens!F709-Sens!G710</f>
        <v>57.98686785</v>
      </c>
      <c r="H709" s="6" t="n">
        <f aca="false">Sens!G709-Sens!H710</f>
        <v>53.92827690325</v>
      </c>
      <c r="I709" s="6" t="n">
        <f aca="false">Sens!H709-Sens!I710</f>
        <v>49.7850493638962</v>
      </c>
      <c r="J709" s="6" t="n">
        <f aca="false">Sens!I709-Sens!J710</f>
        <v>45.4823765852716</v>
      </c>
      <c r="K709" s="6" t="n">
        <f aca="false">Sens!J709-Sens!K710</f>
        <v>40.9860835316088</v>
      </c>
    </row>
    <row r="710" customFormat="false" ht="15" hidden="false" customHeight="false" outlineLevel="0" collapsed="false">
      <c r="A710" s="1" t="s">
        <v>853</v>
      </c>
      <c r="B710" s="0" t="s">
        <v>95</v>
      </c>
      <c r="F710" s="6" t="n">
        <f aca="false">fl_pay_27-Sens!E709*fl_rate</f>
        <v>4.12427</v>
      </c>
      <c r="G710" s="6" t="n">
        <f aca="false">fl_pay_28-Sens!F709*fl_rate</f>
        <v>4.48286215</v>
      </c>
      <c r="H710" s="6" t="n">
        <f aca="false">fl_pay_29-Sens!G709*fl_rate</f>
        <v>4.05859094675</v>
      </c>
      <c r="I710" s="6" t="n">
        <f aca="false">fl_pay_30-Sens!H709*fl_rate</f>
        <v>4.14322753935375</v>
      </c>
      <c r="J710" s="6" t="n">
        <f aca="false">fl_pay_31-Sens!I709*fl_rate</f>
        <v>4.30267277862467</v>
      </c>
      <c r="K710" s="6" t="n">
        <f aca="false">fl_pay_32-Sens!J709*fl_rate</f>
        <v>4.49629305366278</v>
      </c>
    </row>
    <row r="711" customFormat="false" ht="17.15" hidden="false" customHeight="false" outlineLevel="0" collapsed="false">
      <c r="A711" s="1" t="s">
        <v>854</v>
      </c>
      <c r="B711" s="0" t="s">
        <v>95</v>
      </c>
      <c r="E711" s="6" t="n">
        <f aca="false">Q!M35-Q!M36-Q!M43</f>
        <v>63.886</v>
      </c>
      <c r="F711" s="6" t="n">
        <f aca="false">Sens!F705-Sens!F708-Sens!F710</f>
        <v>12.4134888853135</v>
      </c>
      <c r="G711" s="6" t="n">
        <f aca="false">Sens!G705-Sens!G708-Sens!G710</f>
        <v>56.2547899104615</v>
      </c>
      <c r="H711" s="6" t="n">
        <f aca="false">Sens!H705-Sens!H708-Sens!H710</f>
        <v>113.338523501911</v>
      </c>
      <c r="I711" s="6" t="n">
        <f aca="false">Sens!I705-Sens!I708-Sens!I710</f>
        <v>138.05084572825</v>
      </c>
      <c r="J711" s="6" t="n">
        <f aca="false">Sens!J705-Sens!J708-Sens!J710</f>
        <v>176.52412062036</v>
      </c>
      <c r="K711" s="6" t="n">
        <f aca="false">Sens!K705-Sens!K708-Sens!K710</f>
        <v>184.722295383648</v>
      </c>
      <c r="L711" s="11" t="s">
        <v>855</v>
      </c>
    </row>
    <row r="712" customFormat="false" ht="15" hidden="false" customHeight="false" outlineLevel="0" collapsed="false">
      <c r="A712" s="1" t="s">
        <v>856</v>
      </c>
      <c r="B712" s="0" t="s">
        <v>73</v>
      </c>
      <c r="F712" s="8" t="n">
        <f aca="false">dps_27</f>
        <v>3.85</v>
      </c>
      <c r="G712" s="8" t="n">
        <f aca="false">Sens!F712*(1+dps_g)</f>
        <v>4.158</v>
      </c>
      <c r="H712" s="8" t="n">
        <f aca="false">Sens!G712*(1+dps_g)</f>
        <v>4.49064</v>
      </c>
      <c r="I712" s="8" t="n">
        <f aca="false">Sens!H712*(1+dps_g)</f>
        <v>4.8498912</v>
      </c>
      <c r="J712" s="8" t="n">
        <f aca="false">Sens!I712*(1+dps_g)</f>
        <v>5.237882496</v>
      </c>
      <c r="K712" s="8" t="n">
        <f aca="false">Sens!J712*(1+dps_g)</f>
        <v>5.65691309568</v>
      </c>
    </row>
    <row r="713" customFormat="false" ht="17.15" hidden="false" customHeight="false" outlineLevel="0" collapsed="false">
      <c r="A713" s="1" t="s">
        <v>857</v>
      </c>
      <c r="B713" s="0" t="s">
        <v>95</v>
      </c>
      <c r="E713" s="6" t="n">
        <f aca="false">Q!M41</f>
        <v>26.445</v>
      </c>
      <c r="F713" s="6" t="n">
        <f aca="false">Sens!F712*Sens!E722</f>
        <v>28.59395</v>
      </c>
      <c r="G713" s="6" t="n">
        <f aca="false">Sens!G712*Sens!F722</f>
        <v>31.0579646202397</v>
      </c>
      <c r="H713" s="6" t="n">
        <f aca="false">Sens!H712*Sens!G722</f>
        <v>33.5773747258583</v>
      </c>
      <c r="I713" s="6" t="n">
        <f aca="false">Sens!I712*Sens!H722</f>
        <v>36.3145039439264</v>
      </c>
      <c r="J713" s="6" t="n">
        <f aca="false">Sens!J712*Sens!I722</f>
        <v>39.28806310776</v>
      </c>
      <c r="K713" s="6" t="n">
        <f aca="false">Sens!K712*Sens!J722</f>
        <v>42.5183633816858</v>
      </c>
      <c r="L713" s="1" t="s">
        <v>858</v>
      </c>
    </row>
    <row r="714" customFormat="false" ht="15" hidden="false" customHeight="false" outlineLevel="0" collapsed="false">
      <c r="A714" s="1" t="s">
        <v>859</v>
      </c>
      <c r="B714" s="0" t="s">
        <v>95</v>
      </c>
      <c r="E714" s="6" t="n">
        <f aca="false">Sens!E711-Sens!E713</f>
        <v>37.441</v>
      </c>
      <c r="F714" s="6" t="n">
        <f aca="false">Sens!F711-Sens!F713</f>
        <v>-16.1804611146865</v>
      </c>
      <c r="G714" s="6" t="n">
        <f aca="false">Sens!G711-Sens!G713</f>
        <v>25.1968252902218</v>
      </c>
      <c r="H714" s="6" t="n">
        <f aca="false">Sens!H711-Sens!H713</f>
        <v>79.7611487760529</v>
      </c>
      <c r="I714" s="6" t="n">
        <f aca="false">Sens!I711-Sens!I713</f>
        <v>101.736341784324</v>
      </c>
      <c r="J714" s="6" t="n">
        <f aca="false">Sens!J711-Sens!J713</f>
        <v>137.2360575126</v>
      </c>
      <c r="K714" s="6" t="n">
        <f aca="false">Sens!K711-Sens!K713</f>
        <v>142.203932001963</v>
      </c>
    </row>
    <row r="715" customFormat="false" ht="15" hidden="false" customHeight="false" outlineLevel="0" collapsed="false">
      <c r="A715" s="1" t="s">
        <v>860</v>
      </c>
      <c r="B715" s="0" t="s">
        <v>95</v>
      </c>
      <c r="F715" s="6" t="n">
        <f aca="false">debt_mat_27</f>
        <v>9.25</v>
      </c>
      <c r="G715" s="6" t="n">
        <f aca="false">debt_mat_28</f>
        <v>0</v>
      </c>
      <c r="H715" s="6" t="n">
        <f aca="false">debt_mat_29</f>
        <v>2.001</v>
      </c>
      <c r="I715" s="6" t="n">
        <f aca="false">debt_mat_30</f>
        <v>0</v>
      </c>
      <c r="J715" s="6" t="n">
        <f aca="false">debt_mat_31</f>
        <v>0.5</v>
      </c>
      <c r="K715" s="6" t="n">
        <f aca="false">debt_mat_32</f>
        <v>0</v>
      </c>
    </row>
    <row r="716" customFormat="false" ht="15" hidden="false" customHeight="false" outlineLevel="0" collapsed="false">
      <c r="A716" s="1" t="s">
        <v>861</v>
      </c>
      <c r="B716" s="0" t="s">
        <v>95</v>
      </c>
      <c r="E716" s="6" t="n">
        <f aca="false">Q!M40</f>
        <v>22.271</v>
      </c>
      <c r="F716" s="6" t="n">
        <f aca="false">MAX(0,MIN(bb_target,Sens!E718+Sens!F714-Sens!F715-min_cash))</f>
        <v>1.41253888531348</v>
      </c>
      <c r="G716" s="6" t="n">
        <f aca="false">MAX(0,MIN(bb_target,Sens!F718+Sens!G714-Sens!G715-min_cash))</f>
        <v>22.271</v>
      </c>
      <c r="H716" s="6" t="n">
        <f aca="false">MAX(0,MIN(bb_target,Sens!G718+Sens!H714-Sens!H715-min_cash))</f>
        <v>22.271</v>
      </c>
      <c r="I716" s="6" t="n">
        <f aca="false">MAX(0,MIN(bb_target,Sens!H718+Sens!I714-Sens!I715-min_cash))</f>
        <v>22.271</v>
      </c>
      <c r="J716" s="6" t="n">
        <f aca="false">MAX(0,MIN(bb_target,Sens!I718+Sens!J714-Sens!J715-min_cash))</f>
        <v>22.271</v>
      </c>
      <c r="K716" s="6" t="n">
        <f aca="false">MAX(0,MIN(bb_target,Sens!J718+Sens!K714-Sens!K715-min_cash))</f>
        <v>22.271</v>
      </c>
    </row>
    <row r="717" customFormat="false" ht="15" hidden="false" customHeight="false" outlineLevel="0" collapsed="false">
      <c r="A717" s="1" t="s">
        <v>862</v>
      </c>
      <c r="B717" s="0" t="s">
        <v>95</v>
      </c>
      <c r="F717" s="6" t="n">
        <f aca="false">MAX(0,min_cash-(Sens!E718+Sens!F714-Sens!F715-Sens!F716))</f>
        <v>0</v>
      </c>
      <c r="G717" s="6" t="n">
        <f aca="false">MAX(0,min_cash-(Sens!F718+Sens!G714-Sens!G715-Sens!G716))</f>
        <v>0</v>
      </c>
      <c r="H717" s="6" t="n">
        <f aca="false">MAX(0,min_cash-(Sens!G718+Sens!H714-Sens!H715-Sens!H716))</f>
        <v>0</v>
      </c>
      <c r="I717" s="6" t="n">
        <f aca="false">MAX(0,min_cash-(Sens!H718+Sens!I714-Sens!I715-Sens!I716))</f>
        <v>0</v>
      </c>
      <c r="J717" s="6" t="n">
        <f aca="false">MAX(0,min_cash-(Sens!I718+Sens!J714-Sens!J715-Sens!J716))</f>
        <v>0</v>
      </c>
      <c r="K717" s="6" t="n">
        <f aca="false">MAX(0,min_cash-(Sens!J718+Sens!K714-Sens!K715-Sens!K716))</f>
        <v>0</v>
      </c>
    </row>
    <row r="718" customFormat="false" ht="15" hidden="false" customHeight="false" outlineLevel="0" collapsed="false">
      <c r="A718" s="1" t="s">
        <v>863</v>
      </c>
      <c r="B718" s="0" t="s">
        <v>95</v>
      </c>
      <c r="E718" s="6" t="n">
        <f aca="false">cash_open</f>
        <v>76.843</v>
      </c>
      <c r="F718" s="6" t="n">
        <f aca="false">Sens!E718+Sens!F714-Sens!F715-Sens!F716+Sens!F717</f>
        <v>50</v>
      </c>
      <c r="G718" s="6" t="n">
        <f aca="false">Sens!F718+Sens!G714-Sens!G715-Sens!G716+Sens!G717</f>
        <v>52.9258252902218</v>
      </c>
      <c r="H718" s="6" t="n">
        <f aca="false">Sens!G718+Sens!H714-Sens!H715-Sens!H716+Sens!H717</f>
        <v>108.414974066275</v>
      </c>
      <c r="I718" s="6" t="n">
        <f aca="false">Sens!H718+Sens!I714-Sens!I715-Sens!I716+Sens!I717</f>
        <v>187.880315850599</v>
      </c>
      <c r="J718" s="6" t="n">
        <f aca="false">Sens!I718+Sens!J714-Sens!J715-Sens!J716+Sens!J717</f>
        <v>302.345373363199</v>
      </c>
      <c r="K718" s="6" t="n">
        <f aca="false">Sens!J718+Sens!K714-Sens!K715-Sens!K716+Sens!K717</f>
        <v>422.278305365162</v>
      </c>
    </row>
    <row r="719" customFormat="false" ht="15" hidden="false" customHeight="false" outlineLevel="0" collapsed="false">
      <c r="A719" s="1" t="s">
        <v>864</v>
      </c>
      <c r="B719" s="0" t="s">
        <v>95</v>
      </c>
      <c r="E719" s="6" t="n">
        <f aca="false">debt_face</f>
        <v>46.136</v>
      </c>
      <c r="F719" s="6" t="n">
        <f aca="false">Sens!E719-Sens!F715+Sens!F717</f>
        <v>36.886</v>
      </c>
      <c r="G719" s="6" t="n">
        <f aca="false">Sens!F719-Sens!G715+Sens!G717</f>
        <v>36.886</v>
      </c>
      <c r="H719" s="6" t="n">
        <f aca="false">Sens!G719-Sens!H715+Sens!H717</f>
        <v>34.885</v>
      </c>
      <c r="I719" s="6" t="n">
        <f aca="false">Sens!H719-Sens!I715+Sens!I717</f>
        <v>34.885</v>
      </c>
      <c r="J719" s="6" t="n">
        <f aca="false">Sens!I719-Sens!J715+Sens!J717</f>
        <v>34.385</v>
      </c>
      <c r="K719" s="6" t="n">
        <f aca="false">Sens!J719-Sens!K715+Sens!K717</f>
        <v>34.385</v>
      </c>
    </row>
    <row r="720" customFormat="false" ht="15" hidden="false" customHeight="false" outlineLevel="0" collapsed="false">
      <c r="A720" s="1" t="s">
        <v>865</v>
      </c>
      <c r="B720" s="0" t="s">
        <v>95</v>
      </c>
      <c r="E720" s="6" t="n">
        <f aca="false">Sens!E718-Sens!E719</f>
        <v>30.707</v>
      </c>
      <c r="F720" s="6" t="n">
        <f aca="false">Sens!F718-Sens!F719</f>
        <v>13.114</v>
      </c>
      <c r="G720" s="6" t="n">
        <f aca="false">Sens!G718-Sens!G719</f>
        <v>16.0398252902218</v>
      </c>
      <c r="H720" s="6" t="n">
        <f aca="false">Sens!H718-Sens!H719</f>
        <v>73.5299740662747</v>
      </c>
      <c r="I720" s="6" t="n">
        <f aca="false">Sens!I718-Sens!I719</f>
        <v>152.995315850599</v>
      </c>
      <c r="J720" s="6" t="n">
        <f aca="false">Sens!J718-Sens!J719</f>
        <v>267.960373363199</v>
      </c>
      <c r="K720" s="6" t="n">
        <f aca="false">Sens!K718-Sens!K719</f>
        <v>387.893305365162</v>
      </c>
    </row>
    <row r="721" customFormat="false" ht="15" hidden="false" customHeight="false" outlineLevel="0" collapsed="false">
      <c r="A721" s="1" t="s">
        <v>866</v>
      </c>
      <c r="B721" s="0" t="s">
        <v>73</v>
      </c>
      <c r="F721" s="27" t="n">
        <f aca="false">px*(1+bb_g)^(1-0.5)</f>
        <v>553.494156066711</v>
      </c>
      <c r="G721" s="27" t="n">
        <f aca="false">px*(1+bb_g)^(2-0.5)</f>
        <v>597.773688552047</v>
      </c>
      <c r="H721" s="27" t="n">
        <f aca="false">px*(1+bb_g)^(3-0.5)</f>
        <v>645.595583636211</v>
      </c>
      <c r="I721" s="27" t="n">
        <f aca="false">px*(1+bb_g)^(4-0.5)</f>
        <v>697.243230327108</v>
      </c>
      <c r="J721" s="27" t="n">
        <f aca="false">px*(1+bb_g)^(5-0.5)</f>
        <v>753.022688753277</v>
      </c>
      <c r="K721" s="27" t="n">
        <f aca="false">px*(1+bb_g)^(6-0.5)</f>
        <v>813.264503853539</v>
      </c>
    </row>
    <row r="722" customFormat="false" ht="15" hidden="false" customHeight="false" outlineLevel="0" collapsed="false">
      <c r="A722" s="1" t="s">
        <v>867</v>
      </c>
      <c r="B722" s="1" t="s">
        <v>79</v>
      </c>
      <c r="E722" s="18" t="n">
        <f aca="false">sh_out26</f>
        <v>7.427</v>
      </c>
      <c r="F722" s="18" t="n">
        <f aca="false">Sens!E722+sh_iss-Sens!F716/Sens!F721</f>
        <v>7.46944796061561</v>
      </c>
      <c r="G722" s="18" t="n">
        <f aca="false">Sens!F722+sh_iss-Sens!G716/Sens!G721</f>
        <v>7.4771913860515</v>
      </c>
      <c r="H722" s="18" t="n">
        <f aca="false">Sens!G722+sh_iss-Sens!H716/Sens!H721</f>
        <v>7.4876945577514</v>
      </c>
      <c r="I722" s="18" t="n">
        <f aca="false">Sens!H722+sh_iss-Sens!I716/Sens!I721</f>
        <v>7.50075305006613</v>
      </c>
      <c r="J722" s="18" t="n">
        <f aca="false">Sens!I722+sh_iss-Sens!J716/Sens!J721</f>
        <v>7.51617757998717</v>
      </c>
      <c r="K722" s="18" t="n">
        <f aca="false">Sens!J722+sh_iss-Sens!K716/Sens!K721</f>
        <v>7.53379288546961</v>
      </c>
    </row>
    <row r="723" customFormat="false" ht="15" hidden="false" customHeight="false" outlineLevel="0" collapsed="false">
      <c r="A723" s="1" t="s">
        <v>868</v>
      </c>
      <c r="B723" s="1" t="s">
        <v>79</v>
      </c>
      <c r="E723" s="18" t="n">
        <f aca="false">sh_dil26</f>
        <v>7.453</v>
      </c>
      <c r="F723" s="18" t="n">
        <f aca="false">(Sens!E722+Sens!F722)/2+dil_gap</f>
        <v>7.4722239803078</v>
      </c>
      <c r="G723" s="18" t="n">
        <f aca="false">(Sens!F722+Sens!G722)/2+dil_gap</f>
        <v>7.49731967333355</v>
      </c>
      <c r="H723" s="18" t="n">
        <f aca="false">(Sens!G722+Sens!H722)/2+dil_gap</f>
        <v>7.50644297190145</v>
      </c>
      <c r="I723" s="18" t="n">
        <f aca="false">(Sens!H722+Sens!I722)/2+dil_gap</f>
        <v>7.51822380390877</v>
      </c>
      <c r="J723" s="18" t="n">
        <f aca="false">(Sens!I722+Sens!J722)/2+dil_gap</f>
        <v>7.53246531502665</v>
      </c>
      <c r="K723" s="18" t="n">
        <f aca="false">(Sens!J722+Sens!K722)/2+dil_gap</f>
        <v>7.54898523272839</v>
      </c>
    </row>
    <row r="724" customFormat="false" ht="17.15" hidden="false" customHeight="false" outlineLevel="0" collapsed="false">
      <c r="A724" s="1" t="s">
        <v>869</v>
      </c>
      <c r="B724" s="0" t="s">
        <v>95</v>
      </c>
      <c r="C724" s="6" t="n">
        <f aca="false">SUM(Sens!F714:J714)</f>
        <v>327.749912248513</v>
      </c>
    </row>
    <row r="725" customFormat="false" ht="17.15" hidden="false" customHeight="false" outlineLevel="0" collapsed="false">
      <c r="A725" s="1" t="s">
        <v>836</v>
      </c>
      <c r="B725" s="1" t="s">
        <v>870</v>
      </c>
      <c r="C725" s="30" t="str">
        <f aca="false">IF(SUM(Sens!F717:J717)&gt;0.05,"需要舉債 "&amp;TEXT(SUM(Sens!F717:J717),"0.0")&amp;" 十億美元","不需舉債")&amp;"；"&amp;IF(SUM(Sens!F716:J716)&lt;5*bb_target-0.05,"回購較每年 "&amp;TEXT(bb_target,"0.0")&amp;" 的目標少 "&amp;TEXT(5*bb_target-SUM(Sens!F716:J716),"0.0")&amp;" 十億美元（"&amp;TEXT(COUNTIF(Sens!F716:J716,"&lt;"&amp;(bb_target-0.05)),"0")&amp;" 年減少）","回購不減")</f>
        <v>不需舉債；回購較每年 22.3 的目標少 20.9 十億美元（1 年減少）</v>
      </c>
    </row>
    <row r="726" customFormat="false" ht="17.15" hidden="false" customHeight="false" outlineLevel="0" collapsed="false">
      <c r="A726" s="3" t="s">
        <v>1133</v>
      </c>
    </row>
    <row r="727" customFormat="false" ht="15" hidden="false" customHeight="false" outlineLevel="0" collapsed="false">
      <c r="A727" s="4" t="s">
        <v>43</v>
      </c>
      <c r="B727" s="4" t="s">
        <v>63</v>
      </c>
      <c r="C727" s="19" t="s">
        <v>710</v>
      </c>
      <c r="D727" s="19" t="s">
        <v>711</v>
      </c>
      <c r="E727" s="19" t="s">
        <v>712</v>
      </c>
      <c r="F727" s="19" t="s">
        <v>713</v>
      </c>
      <c r="G727" s="19" t="s">
        <v>714</v>
      </c>
      <c r="H727" s="19" t="s">
        <v>715</v>
      </c>
      <c r="I727" s="19" t="s">
        <v>716</v>
      </c>
      <c r="J727" s="19" t="s">
        <v>717</v>
      </c>
      <c r="K727" s="19" t="s">
        <v>718</v>
      </c>
      <c r="L727" s="4" t="s">
        <v>47</v>
      </c>
    </row>
    <row r="728" customFormat="false" ht="17.15" hidden="false" customHeight="false" outlineLevel="0" collapsed="false">
      <c r="A728" s="1" t="s">
        <v>938</v>
      </c>
      <c r="B728" s="1" t="s">
        <v>213</v>
      </c>
      <c r="F728" s="34" t="n">
        <f aca="false">1-0.5</f>
        <v>0.5</v>
      </c>
      <c r="G728" s="34" t="n">
        <f aca="false">2-0.5</f>
        <v>1.5</v>
      </c>
      <c r="H728" s="34" t="n">
        <f aca="false">3-0.5</f>
        <v>2.5</v>
      </c>
      <c r="I728" s="34" t="n">
        <f aca="false">4-0.5</f>
        <v>3.5</v>
      </c>
      <c r="J728" s="34" t="n">
        <f aca="false">5-0.5</f>
        <v>4.5</v>
      </c>
      <c r="K728" s="34" t="n">
        <f aca="false">6-0.5</f>
        <v>5.5</v>
      </c>
    </row>
    <row r="729" customFormat="false" ht="15" hidden="false" customHeight="false" outlineLevel="0" collapsed="false">
      <c r="A729" s="1" t="s">
        <v>939</v>
      </c>
      <c r="B729" s="0" t="s">
        <v>182</v>
      </c>
      <c r="F729" s="18" t="n">
        <f aca="false">1/(1+wacc)^Sens!F728</f>
        <v>0.949601579913219</v>
      </c>
      <c r="G729" s="18" t="n">
        <f aca="false">1/(1+wacc)^Sens!G728</f>
        <v>0.856296729956707</v>
      </c>
      <c r="H729" s="18" t="n">
        <f aca="false">1/(1+wacc)^Sens!H728</f>
        <v>0.772159719660069</v>
      </c>
      <c r="I729" s="18" t="n">
        <f aca="false">1/(1+wacc)^Sens!I728</f>
        <v>0.696289746073958</v>
      </c>
      <c r="J729" s="18" t="n">
        <f aca="false">1/(1+wacc)^Sens!J728</f>
        <v>0.627874516299776</v>
      </c>
      <c r="K729" s="18" t="n">
        <f aca="false">1/(1+wacc)^Sens!K728</f>
        <v>0.566181550771831</v>
      </c>
    </row>
    <row r="730" customFormat="false" ht="15" hidden="false" customHeight="false" outlineLevel="0" collapsed="false">
      <c r="A730" s="1" t="s">
        <v>940</v>
      </c>
      <c r="B730" s="0" t="s">
        <v>95</v>
      </c>
      <c r="F730" s="6" t="n">
        <f aca="false">Sens!F711*Sens!F729</f>
        <v>11.7878686577289</v>
      </c>
      <c r="G730" s="6" t="n">
        <f aca="false">Sens!G711*Sens!G729</f>
        <v>48.1707926447297</v>
      </c>
      <c r="H730" s="6" t="n">
        <f aca="false">Sens!H711*Sens!H729</f>
        <v>87.5154425339219</v>
      </c>
      <c r="I730" s="6" t="n">
        <f aca="false">Sens!I711*Sens!I729</f>
        <v>96.1233883174186</v>
      </c>
      <c r="J730" s="6" t="n">
        <f aca="false">Sens!J711*Sens!J729</f>
        <v>110.834996849752</v>
      </c>
      <c r="K730" s="6" t="n">
        <f aca="false">Sens!K711*Sens!K729</f>
        <v>104.586355662446</v>
      </c>
    </row>
    <row r="731" customFormat="false" ht="17.15" hidden="false" customHeight="false" outlineLevel="0" collapsed="false">
      <c r="A731" s="1" t="s">
        <v>941</v>
      </c>
      <c r="B731" s="0" t="s">
        <v>95</v>
      </c>
      <c r="C731" s="6" t="n">
        <f aca="false">SUM(Sens!F730:K730)</f>
        <v>459.018844665998</v>
      </c>
    </row>
    <row r="732" customFormat="false" ht="17.15" hidden="false" customHeight="false" outlineLevel="0" collapsed="false">
      <c r="A732" s="1" t="s">
        <v>942</v>
      </c>
      <c r="B732" s="0" t="s">
        <v>95</v>
      </c>
      <c r="C732" s="6" t="n">
        <f aca="false">Sens!K677*(1+g_tv)*(1-tax_f)</f>
        <v>295.432816710891</v>
      </c>
    </row>
    <row r="733" customFormat="false" ht="17.15" hidden="false" customHeight="false" outlineLevel="0" collapsed="false">
      <c r="A733" s="1" t="s">
        <v>943</v>
      </c>
      <c r="B733" s="0" t="s">
        <v>95</v>
      </c>
      <c r="C733" s="6" t="n">
        <f aca="false">Sens!$C$732*(1-g_tv/(wacc+ronic_prem))</f>
        <v>214.093586760033</v>
      </c>
    </row>
    <row r="734" customFormat="false" ht="17.15" hidden="false" customHeight="false" outlineLevel="0" collapsed="false">
      <c r="A734" s="1" t="s">
        <v>944</v>
      </c>
      <c r="B734" s="0" t="s">
        <v>95</v>
      </c>
      <c r="C734" s="6" t="n">
        <f aca="false">Sens!$C$733/(wacc-g_tv)</f>
        <v>2711.30766502861</v>
      </c>
    </row>
    <row r="735" customFormat="false" ht="15" hidden="false" customHeight="false" outlineLevel="0" collapsed="false">
      <c r="A735" s="1" t="s">
        <v>945</v>
      </c>
      <c r="B735" s="0" t="s">
        <v>95</v>
      </c>
      <c r="C735" s="6" t="n">
        <f aca="false">Sens!$C$734/(1+wacc)^6</f>
        <v>1457.72614784656</v>
      </c>
    </row>
    <row r="736" customFormat="false" ht="17.15" hidden="false" customHeight="false" outlineLevel="0" collapsed="false">
      <c r="A736" s="0" t="s">
        <v>877</v>
      </c>
      <c r="B736" s="0" t="s">
        <v>95</v>
      </c>
      <c r="C736" s="6" t="n">
        <f aca="false">Sens!$C$731+Sens!$C$735</f>
        <v>1916.74499251255</v>
      </c>
    </row>
    <row r="737" customFormat="false" ht="15" hidden="false" customHeight="false" outlineLevel="0" collapsed="false">
      <c r="A737" s="1" t="s">
        <v>878</v>
      </c>
      <c r="B737" s="0" t="s">
        <v>126</v>
      </c>
      <c r="C737" s="7" t="n">
        <f aca="false">Sens!$C$735/Sens!$C$736</f>
        <v>0.760521693569526</v>
      </c>
    </row>
    <row r="738" customFormat="false" ht="17.15" hidden="false" customHeight="false" outlineLevel="0" collapsed="false">
      <c r="A738" s="1" t="s">
        <v>946</v>
      </c>
      <c r="B738" s="0" t="s">
        <v>95</v>
      </c>
      <c r="C738" s="6" t="n">
        <f aca="false">Sens!$C$736+Sens!E720+oai_v</f>
        <v>2117.85199251255</v>
      </c>
    </row>
    <row r="739" customFormat="false" ht="17.15" hidden="false" customHeight="false" outlineLevel="0" collapsed="false">
      <c r="A739" s="0" t="s">
        <v>883</v>
      </c>
      <c r="B739" s="0" t="s">
        <v>73</v>
      </c>
      <c r="C739" s="5" t="n">
        <f aca="false">Sens!$C$738/sh_dil26</f>
        <v>284.161007985047</v>
      </c>
    </row>
    <row r="740" customFormat="false" ht="17.15" hidden="false" customHeight="false" outlineLevel="0" collapsed="false">
      <c r="A740" s="0" t="s">
        <v>947</v>
      </c>
      <c r="B740" s="0" t="s">
        <v>73</v>
      </c>
      <c r="C740" s="5" t="n">
        <f aca="false">Sens!$C$739*(1+wacc)^t_roll</f>
        <v>325.931133380958</v>
      </c>
    </row>
    <row r="741" customFormat="false" ht="17.15" hidden="false" customHeight="false" outlineLevel="0" collapsed="false">
      <c r="A741" s="1" t="s">
        <v>948</v>
      </c>
      <c r="B741" s="0" t="s">
        <v>126</v>
      </c>
      <c r="F741" s="7" t="n">
        <f aca="false">Sens!F701/(Sens!F652-Sens!F608)</f>
        <v>0.0681773598226415</v>
      </c>
      <c r="G741" s="7" t="n">
        <f aca="false">Sens!G701/(Sens!G652-Sens!G608)</f>
        <v>0.0650385409375172</v>
      </c>
      <c r="H741" s="7" t="n">
        <f aca="false">Sens!H701/(Sens!H652-Sens!H608)</f>
        <v>0.063382542471986</v>
      </c>
      <c r="I741" s="7" t="n">
        <f aca="false">Sens!I701/(Sens!I652-Sens!I608)</f>
        <v>0.0630998138876076</v>
      </c>
      <c r="J741" s="7" t="n">
        <f aca="false">Sens!J701/(Sens!J652-Sens!J608)</f>
        <v>0.0638399980286975</v>
      </c>
      <c r="K741" s="7" t="n">
        <f aca="false">Sens!K701/(Sens!K652-Sens!K608)</f>
        <v>0.0651531082402687</v>
      </c>
    </row>
    <row r="742" customFormat="false" ht="17.15" hidden="false" customHeight="false" outlineLevel="0" collapsed="false">
      <c r="A742" s="0" t="s">
        <v>949</v>
      </c>
      <c r="B742" s="0" t="s">
        <v>95</v>
      </c>
      <c r="F742" s="6" t="n">
        <f aca="false">Sens!F637*(al_m365+Sens!F741)</f>
        <v>80.4434678008041</v>
      </c>
      <c r="G742" s="6" t="n">
        <f aca="false">Sens!G637*(al_m365+Sens!G741)</f>
        <v>94.1323272633269</v>
      </c>
      <c r="H742" s="6" t="n">
        <f aca="false">Sens!H637*(al_m365+Sens!H741)</f>
        <v>107.983658528206</v>
      </c>
      <c r="I742" s="6" t="n">
        <f aca="false">Sens!I637*(al_m365+Sens!I741)</f>
        <v>120.408335219477</v>
      </c>
      <c r="J742" s="6" t="n">
        <f aca="false">Sens!J637*(al_m365+Sens!J741)</f>
        <v>131.229685027411</v>
      </c>
      <c r="K742" s="6" t="n">
        <f aca="false">Sens!K637*(al_m365+Sens!K741)</f>
        <v>141.696231007978</v>
      </c>
    </row>
    <row r="743" customFormat="false" ht="17.15" hidden="false" customHeight="false" outlineLevel="0" collapsed="false">
      <c r="A743" s="0" t="s">
        <v>950</v>
      </c>
      <c r="B743" s="0" t="s">
        <v>95</v>
      </c>
      <c r="F743" s="6" t="n">
        <f aca="false">Sens!F638*(al_lic+Sens!F741)</f>
        <v>31.9678940661213</v>
      </c>
      <c r="G743" s="6" t="n">
        <f aca="false">Sens!G638*(al_lic+Sens!G741)</f>
        <v>33.1937184472398</v>
      </c>
      <c r="H743" s="6" t="n">
        <f aca="false">Sens!H638*(al_lic+Sens!H741)</f>
        <v>34.3439380840055</v>
      </c>
      <c r="I743" s="6" t="n">
        <f aca="false">Sens!I638*(al_lic+Sens!I741)</f>
        <v>35.4022023072784</v>
      </c>
      <c r="J743" s="6" t="n">
        <f aca="false">Sens!J638*(al_lic+Sens!J741)</f>
        <v>36.3410576398918</v>
      </c>
      <c r="K743" s="6" t="n">
        <f aca="false">Sens!K638*(al_lic+Sens!K741)</f>
        <v>37.1276868757058</v>
      </c>
    </row>
    <row r="744" customFormat="false" ht="17.15" hidden="false" customHeight="false" outlineLevel="0" collapsed="false">
      <c r="A744" s="0" t="s">
        <v>951</v>
      </c>
      <c r="B744" s="0" t="s">
        <v>95</v>
      </c>
      <c r="F744" s="6" t="n">
        <f aca="false">Sens!F640*(al_ind+Sens!F741)</f>
        <v>8.23142235288747</v>
      </c>
      <c r="G744" s="6" t="n">
        <f aca="false">Sens!G640*(al_ind+Sens!G741)</f>
        <v>8.92125445211874</v>
      </c>
      <c r="H744" s="6" t="n">
        <f aca="false">Sens!H640*(al_ind+Sens!H741)</f>
        <v>9.65645689966252</v>
      </c>
      <c r="I744" s="6" t="n">
        <f aca="false">Sens!I640*(al_ind+Sens!I741)</f>
        <v>10.4359305133559</v>
      </c>
      <c r="J744" s="6" t="n">
        <f aca="false">Sens!J640*(al_ind+Sens!J741)</f>
        <v>11.2496615107155</v>
      </c>
      <c r="K744" s="6" t="n">
        <f aca="false">Sens!K640*(al_ind+Sens!K741)</f>
        <v>12.0805802325565</v>
      </c>
    </row>
    <row r="745" customFormat="false" ht="17.15" hidden="false" customHeight="false" outlineLevel="0" collapsed="false">
      <c r="A745" s="0" t="s">
        <v>952</v>
      </c>
      <c r="B745" s="0" t="s">
        <v>95</v>
      </c>
      <c r="F745" s="6" t="n">
        <f aca="false">Sens!F642*(al_fro+Sens!F741)</f>
        <v>3.23991673698178</v>
      </c>
      <c r="G745" s="6" t="n">
        <f aca="false">Sens!G642*(al_fro+Sens!G741)</f>
        <v>3.42523427012141</v>
      </c>
      <c r="H745" s="6" t="n">
        <f aca="false">Sens!H642*(al_fro+Sens!H741)</f>
        <v>3.63888347669114</v>
      </c>
      <c r="I745" s="6" t="n">
        <f aca="false">Sens!I642*(al_fro+Sens!I741)</f>
        <v>3.88382859986432</v>
      </c>
      <c r="J745" s="6" t="n">
        <f aca="false">Sens!J642*(al_fro+Sens!J741)</f>
        <v>4.16055715035227</v>
      </c>
      <c r="K745" s="6" t="n">
        <f aca="false">Sens!K642*(al_fro+Sens!K741)</f>
        <v>4.46786282583631</v>
      </c>
    </row>
    <row r="746" customFormat="false" ht="17.15" hidden="false" customHeight="false" outlineLevel="0" collapsed="false">
      <c r="A746" s="0" t="s">
        <v>953</v>
      </c>
      <c r="B746" s="0" t="s">
        <v>95</v>
      </c>
      <c r="F746" s="6" t="n">
        <f aca="false">Sens!F645*(al_srch+Sens!F741)</f>
        <v>10.1659255338338</v>
      </c>
      <c r="G746" s="6" t="n">
        <f aca="false">Sens!G645*(al_srch+Sens!G741)</f>
        <v>11.1218361064416</v>
      </c>
      <c r="H746" s="6" t="n">
        <f aca="false">Sens!H645*(al_srch+Sens!H741)</f>
        <v>12.1240320316325</v>
      </c>
      <c r="I746" s="6" t="n">
        <f aca="false">Sens!I645*(al_srch+Sens!I741)</f>
        <v>13.1651647223307</v>
      </c>
      <c r="J746" s="6" t="n">
        <f aca="false">Sens!J645*(al_srch+Sens!J741)</f>
        <v>14.2257207024961</v>
      </c>
      <c r="K746" s="6" t="n">
        <f aca="false">Sens!K645*(al_srch+Sens!K741)</f>
        <v>15.2764561092572</v>
      </c>
    </row>
    <row r="747" customFormat="false" ht="17.15" hidden="false" customHeight="false" outlineLevel="0" collapsed="false">
      <c r="A747" s="0" t="s">
        <v>954</v>
      </c>
      <c r="B747" s="0" t="s">
        <v>95</v>
      </c>
      <c r="F747" s="6" t="n">
        <f aca="false">Sens!F614</f>
        <v>51.9377162893124</v>
      </c>
      <c r="G747" s="6" t="n">
        <f aca="false">Sens!G614</f>
        <v>93.6766657510782</v>
      </c>
      <c r="H747" s="6" t="n">
        <f aca="false">Sens!H614</f>
        <v>142.637465763354</v>
      </c>
      <c r="I747" s="6" t="n">
        <f aca="false">Sens!I614</f>
        <v>184.952622407425</v>
      </c>
      <c r="J747" s="6" t="n">
        <f aca="false">Sens!J614</f>
        <v>227.376260898409</v>
      </c>
      <c r="K747" s="6" t="n">
        <f aca="false">Sens!K614</f>
        <v>269.863714042631</v>
      </c>
    </row>
    <row r="748" customFormat="false" ht="17.15" hidden="false" customHeight="false" outlineLevel="0" collapsed="false">
      <c r="A748" s="0" t="s">
        <v>955</v>
      </c>
      <c r="B748" s="0" t="s">
        <v>95</v>
      </c>
      <c r="F748" s="6" t="n">
        <f aca="false">Sens!F674+Sens!F625+Sens!F741*(Sens!F644-Sens!F608)</f>
        <v>224.810871588857</v>
      </c>
      <c r="G748" s="6" t="n">
        <f aca="false">Sens!G674+Sens!G625+Sens!G741*(Sens!G644-Sens!G608)</f>
        <v>288.396033121051</v>
      </c>
      <c r="H748" s="6" t="n">
        <f aca="false">Sens!H674+Sens!H625+Sens!H741*(Sens!H644-Sens!H608)</f>
        <v>359.454050647972</v>
      </c>
      <c r="I748" s="6" t="n">
        <f aca="false">Sens!I674+Sens!I625+Sens!I741*(Sens!I644-Sens!I608)</f>
        <v>422.305111729134</v>
      </c>
      <c r="J748" s="6" t="n">
        <f aca="false">Sens!J674+Sens!J625+Sens!J741*(Sens!J644-Sens!J608)</f>
        <v>482.885523277317</v>
      </c>
      <c r="K748" s="6" t="n">
        <f aca="false">Sens!K674+Sens!K625+Sens!K741*(Sens!K644-Sens!K608)</f>
        <v>541.605272918533</v>
      </c>
    </row>
    <row r="749" customFormat="false" ht="17.15" hidden="false" customHeight="false" outlineLevel="0" collapsed="false">
      <c r="A749" s="0" t="s">
        <v>956</v>
      </c>
      <c r="B749" s="0" t="s">
        <v>95</v>
      </c>
      <c r="F749" s="6" t="n">
        <f aca="false">Sens!F748-Sens!F742-Sens!F743-Sens!F744-Sens!F745-Sens!F747</f>
        <v>48.9904543427497</v>
      </c>
      <c r="G749" s="6" t="n">
        <f aca="false">Sens!G748-Sens!G742-Sens!G743-Sens!G744-Sens!G745-Sens!G747</f>
        <v>55.0468329371655</v>
      </c>
      <c r="H749" s="6" t="n">
        <f aca="false">Sens!H748-Sens!H742-Sens!H743-Sens!H744-Sens!H745-Sens!H747</f>
        <v>61.1936478960529</v>
      </c>
      <c r="I749" s="6" t="n">
        <f aca="false">Sens!I748-Sens!I742-Sens!I743-Sens!I744-Sens!I745-Sens!I747</f>
        <v>67.2221926817336</v>
      </c>
      <c r="J749" s="6" t="n">
        <f aca="false">Sens!J748-Sens!J742-Sens!J743-Sens!J744-Sens!J745-Sens!J747</f>
        <v>72.5283010505383</v>
      </c>
      <c r="K749" s="6" t="n">
        <f aca="false">Sens!K748-Sens!K742-Sens!K743-Sens!K744-Sens!K745-Sens!K747</f>
        <v>76.3691979338254</v>
      </c>
    </row>
    <row r="750" customFormat="false" ht="17.15" hidden="false" customHeight="false" outlineLevel="0" collapsed="false">
      <c r="A750" s="0" t="s">
        <v>957</v>
      </c>
      <c r="B750" s="0" t="s">
        <v>95</v>
      </c>
      <c r="F750" s="6" t="n">
        <f aca="false">Sens!F676+Sens!F741*Sens!F651</f>
        <v>23.7366325885412</v>
      </c>
      <c r="G750" s="6" t="n">
        <f aca="false">Sens!G676+Sens!G741*Sens!G651</f>
        <v>24.2488001831921</v>
      </c>
      <c r="H750" s="6" t="n">
        <f aca="false">Sens!H676+Sens!H741*Sens!H651</f>
        <v>25.0191565857232</v>
      </c>
      <c r="I750" s="6" t="n">
        <f aca="false">Sens!I676+Sens!I741*Sens!I651</f>
        <v>26.0222596996374</v>
      </c>
      <c r="J750" s="6" t="n">
        <f aca="false">Sens!J676+Sens!J741*Sens!J651</f>
        <v>27.2212114824986</v>
      </c>
      <c r="K750" s="6" t="n">
        <f aca="false">Sens!K676+Sens!K741*Sens!K651</f>
        <v>28.5733379970501</v>
      </c>
    </row>
    <row r="751" customFormat="false" ht="17.15" hidden="false" customHeight="false" outlineLevel="0" collapsed="false">
      <c r="A751" s="0" t="s">
        <v>958</v>
      </c>
      <c r="B751" s="0" t="s">
        <v>95</v>
      </c>
      <c r="F751" s="6" t="n">
        <f aca="false">(Sens!F750-Sens!F746)*Sens!F647/(Sens!F647+Sens!F649)</f>
        <v>7.43932943061911</v>
      </c>
      <c r="G751" s="6" t="n">
        <f aca="false">(Sens!G750-Sens!G746)*Sens!G647/(Sens!G647+Sens!G649)</f>
        <v>7.06776830757547</v>
      </c>
      <c r="H751" s="6" t="n">
        <f aca="false">(Sens!H750-Sens!H746)*Sens!H647/(Sens!H647+Sens!H649)</f>
        <v>6.84915463876495</v>
      </c>
      <c r="I751" s="6" t="n">
        <f aca="false">(Sens!I750-Sens!I746)*Sens!I647/(Sens!I647+Sens!I649)</f>
        <v>6.76716702045722</v>
      </c>
      <c r="J751" s="6" t="n">
        <f aca="false">(Sens!J750-Sens!J746)*Sens!J647/(Sens!J647+Sens!J649)</f>
        <v>6.80907960368748</v>
      </c>
      <c r="K751" s="6" t="n">
        <f aca="false">(Sens!K750-Sens!K746)*Sens!K647/(Sens!K647+Sens!K649)</f>
        <v>6.96699561313494</v>
      </c>
    </row>
    <row r="752" customFormat="false" ht="17.15" hidden="false" customHeight="false" outlineLevel="0" collapsed="false">
      <c r="A752" s="0" t="s">
        <v>959</v>
      </c>
      <c r="B752" s="0" t="s">
        <v>95</v>
      </c>
      <c r="F752" s="6" t="n">
        <f aca="false">Sens!F750-Sens!F746-Sens!F751</f>
        <v>6.13137762408826</v>
      </c>
      <c r="G752" s="6" t="n">
        <f aca="false">Sens!G750-Sens!G746-Sens!G751</f>
        <v>6.05919576917505</v>
      </c>
      <c r="H752" s="6" t="n">
        <f aca="false">Sens!H750-Sens!H746-Sens!H751</f>
        <v>6.04596991532572</v>
      </c>
      <c r="I752" s="6" t="n">
        <f aca="false">Sens!I750-Sens!I746-Sens!I751</f>
        <v>6.08992795684943</v>
      </c>
      <c r="J752" s="6" t="n">
        <f aca="false">Sens!J750-Sens!J746-Sens!J751</f>
        <v>6.18641117631496</v>
      </c>
      <c r="K752" s="6" t="n">
        <f aca="false">Sens!K750-Sens!K746-Sens!K751</f>
        <v>6.32988627465802</v>
      </c>
    </row>
    <row r="753" customFormat="false" ht="17.15" hidden="false" customHeight="false" outlineLevel="0" collapsed="false">
      <c r="A753" s="1" t="s">
        <v>960</v>
      </c>
      <c r="B753" s="0" t="s">
        <v>95</v>
      </c>
      <c r="C753" s="6" t="n">
        <f aca="false">(w_ntm28*Sens!G747+(1-w_ntm28)*Sens!H747)*m_ai*1</f>
        <v>657.030532612473</v>
      </c>
    </row>
    <row r="754" customFormat="false" ht="17.15" hidden="false" customHeight="false" outlineLevel="0" collapsed="false">
      <c r="A754" s="1" t="s">
        <v>961</v>
      </c>
      <c r="B754" s="0" t="s">
        <v>95</v>
      </c>
      <c r="C754" s="6" t="n">
        <f aca="false">(w_ntm28*Sens!G749+(1-w_ntm28)*Sens!H749)*m_cloud*1</f>
        <v>788.2101899926</v>
      </c>
    </row>
    <row r="755" customFormat="false" ht="17.15" hidden="false" customHeight="false" outlineLevel="0" collapsed="false">
      <c r="A755" s="1" t="s">
        <v>962</v>
      </c>
      <c r="B755" s="0" t="s">
        <v>95</v>
      </c>
      <c r="C755" s="6" t="n">
        <f aca="false">(w_ntm28*Sens!G742+(1-w_ntm28)*Sens!H742)*m_sw*1</f>
        <v>1064.99115242739</v>
      </c>
    </row>
    <row r="756" customFormat="false" ht="17.15" hidden="false" customHeight="false" outlineLevel="0" collapsed="false">
      <c r="A756" s="1" t="s">
        <v>963</v>
      </c>
      <c r="B756" s="0" t="s">
        <v>95</v>
      </c>
      <c r="C756" s="6" t="n">
        <f aca="false">(w_ntm28*Sens!G743+(1-w_ntm28)*Sens!H743)*m_sw*1</f>
        <v>362.508158970174</v>
      </c>
    </row>
    <row r="757" customFormat="false" ht="17.15" hidden="false" customHeight="false" outlineLevel="0" collapsed="false">
      <c r="A757" s="1" t="s">
        <v>964</v>
      </c>
      <c r="B757" s="0" t="s">
        <v>95</v>
      </c>
      <c r="C757" s="6" t="n">
        <f aca="false">(w_ntm28*Sens!G744+(1-w_ntm28)*Sens!H744)*m_sw*1</f>
        <v>98.9165124641147</v>
      </c>
    </row>
    <row r="758" customFormat="false" ht="17.15" hidden="false" customHeight="false" outlineLevel="0" collapsed="false">
      <c r="A758" s="1" t="s">
        <v>965</v>
      </c>
      <c r="B758" s="0" t="s">
        <v>95</v>
      </c>
      <c r="C758" s="6" t="n">
        <f aca="false">(w_ntm28*Sens!G745+(1-w_ntm28)*Sens!H745)*m_sw*1</f>
        <v>37.7384877854002</v>
      </c>
    </row>
    <row r="759" customFormat="false" ht="17.15" hidden="false" customHeight="false" outlineLevel="0" collapsed="false">
      <c r="A759" s="1" t="s">
        <v>966</v>
      </c>
      <c r="B759" s="0" t="s">
        <v>95</v>
      </c>
      <c r="C759" s="6" t="n">
        <f aca="false">(w_ntm28*Sens!G746+(1-w_ntm28)*Sens!H746)*m_ads*1</f>
        <v>104.271544945195</v>
      </c>
    </row>
    <row r="760" customFormat="false" ht="17.15" hidden="false" customHeight="false" outlineLevel="0" collapsed="false">
      <c r="A760" s="1" t="s">
        <v>967</v>
      </c>
      <c r="B760" s="0" t="s">
        <v>95</v>
      </c>
      <c r="C760" s="6" t="n">
        <f aca="false">(w_ntm28*Sens!G751+(1-w_ntm28)*Sens!H751)*m_game*1</f>
        <v>88.3732871625547</v>
      </c>
    </row>
    <row r="761" customFormat="false" ht="17.15" hidden="false" customHeight="false" outlineLevel="0" collapsed="false">
      <c r="A761" s="1" t="s">
        <v>968</v>
      </c>
      <c r="B761" s="0" t="s">
        <v>95</v>
      </c>
      <c r="C761" s="6" t="n">
        <f aca="false">(w_ntm28*Sens!G752+(1-w_ntm28)*Sens!H752)*m_pc*1</f>
        <v>87.614692598008</v>
      </c>
    </row>
    <row r="762" customFormat="false" ht="17.15" hidden="false" customHeight="false" outlineLevel="0" collapsed="false">
      <c r="A762" s="1" t="s">
        <v>969</v>
      </c>
      <c r="B762" s="0" t="s">
        <v>95</v>
      </c>
      <c r="C762" s="6" t="n">
        <f aca="false">Sens!$C$753+Sens!$C$754+Sens!$C$755+Sens!$C$756+Sens!$C$757+Sens!$C$758+Sens!$C$759+Sens!$C$760+Sens!$C$761</f>
        <v>3289.65455895791</v>
      </c>
    </row>
    <row r="763" customFormat="false" ht="17.15" hidden="false" customHeight="false" outlineLevel="0" collapsed="false">
      <c r="A763" s="1" t="s">
        <v>903</v>
      </c>
      <c r="B763" s="0" t="s">
        <v>95</v>
      </c>
      <c r="C763" s="6" t="n">
        <f aca="false">Sens!F720+oai_v-Sens!F709</f>
        <v>121.04427</v>
      </c>
      <c r="L763" s="1" t="s">
        <v>970</v>
      </c>
    </row>
    <row r="764" customFormat="false" ht="15" hidden="false" customHeight="false" outlineLevel="0" collapsed="false">
      <c r="A764" s="1" t="s">
        <v>904</v>
      </c>
      <c r="B764" s="0" t="s">
        <v>73</v>
      </c>
      <c r="C764" s="5" t="n">
        <f aca="false">(Sens!$C$762+Sens!$C$763)/Sens!F722</f>
        <v>456.619933218841</v>
      </c>
    </row>
    <row r="765" customFormat="false" ht="17.15" hidden="false" customHeight="false" outlineLevel="0" collapsed="false">
      <c r="A765" s="1" t="s">
        <v>971</v>
      </c>
      <c r="B765" s="0" t="s">
        <v>73</v>
      </c>
      <c r="C765" s="5" t="n">
        <f aca="false">w_dcf*Sens!$C$740+(1-w_dcf)*Sens!$C$764</f>
        <v>391.2755332999</v>
      </c>
    </row>
    <row r="766" customFormat="false" ht="17.15" hidden="false" customHeight="false" outlineLevel="0" collapsed="false">
      <c r="A766" s="3" t="s">
        <v>1134</v>
      </c>
    </row>
    <row r="767" customFormat="false" ht="15" hidden="false" customHeight="false" outlineLevel="0" collapsed="false">
      <c r="A767" s="4" t="s">
        <v>43</v>
      </c>
      <c r="B767" s="4" t="s">
        <v>63</v>
      </c>
      <c r="C767" s="19" t="s">
        <v>710</v>
      </c>
      <c r="D767" s="19" t="s">
        <v>711</v>
      </c>
      <c r="E767" s="19" t="s">
        <v>712</v>
      </c>
      <c r="F767" s="19" t="s">
        <v>713</v>
      </c>
      <c r="G767" s="19" t="s">
        <v>714</v>
      </c>
      <c r="H767" s="19" t="s">
        <v>715</v>
      </c>
      <c r="I767" s="19" t="s">
        <v>716</v>
      </c>
      <c r="J767" s="19" t="s">
        <v>717</v>
      </c>
      <c r="K767" s="19" t="s">
        <v>718</v>
      </c>
      <c r="L767" s="4" t="s">
        <v>47</v>
      </c>
    </row>
    <row r="768" customFormat="false" ht="17.15" hidden="false" customHeight="false" outlineLevel="0" collapsed="false">
      <c r="A768" s="1" t="s">
        <v>719</v>
      </c>
      <c r="B768" s="0" t="s">
        <v>340</v>
      </c>
      <c r="C768" s="27" t="n">
        <f aca="false">mw_ext_24</f>
        <v>640</v>
      </c>
      <c r="D768" s="27" t="n">
        <f aca="false">mw_ext_25</f>
        <v>1630</v>
      </c>
      <c r="E768" s="27" t="n">
        <f aca="false">mw_ext_26</f>
        <v>3250</v>
      </c>
      <c r="F768" s="27" t="n">
        <f aca="false">MIN(1000000000,Sens!E768+pace)</f>
        <v>5777.2</v>
      </c>
      <c r="G768" s="27" t="n">
        <f aca="false">MIN(1000000000,Sens!F768+pace)</f>
        <v>8304.4</v>
      </c>
      <c r="H768" s="27" t="n">
        <f aca="false">MIN(1000000000,Sens!G768+pace)</f>
        <v>10831.6</v>
      </c>
      <c r="I768" s="27" t="n">
        <f aca="false">MIN(1000000000,Sens!H768+pace)</f>
        <v>13358.8</v>
      </c>
      <c r="J768" s="27" t="n">
        <f aca="false">MIN(1000000000,Sens!I768+pace)</f>
        <v>15886</v>
      </c>
      <c r="K768" s="27" t="n">
        <f aca="false">MIN(1000000000,Sens!J768+pace)</f>
        <v>18413.2</v>
      </c>
      <c r="L768" s="11" t="s">
        <v>720</v>
      </c>
    </row>
    <row r="769" customFormat="false" ht="17.15" hidden="false" customHeight="false" outlineLevel="0" collapsed="false">
      <c r="A769" s="1" t="s">
        <v>721</v>
      </c>
      <c r="B769" s="0" t="s">
        <v>340</v>
      </c>
      <c r="C769" s="27" t="n">
        <f aca="false">rent_ext_24</f>
        <v>150</v>
      </c>
      <c r="D769" s="27" t="n">
        <f aca="false">rent_ext_25</f>
        <v>400</v>
      </c>
      <c r="E769" s="27" t="n">
        <f aca="false">rent_ext_26</f>
        <v>550</v>
      </c>
      <c r="F769" s="27" t="n">
        <f aca="false">rent_ext_f</f>
        <v>756</v>
      </c>
      <c r="G769" s="27" t="n">
        <f aca="false">rent_ext_f</f>
        <v>756</v>
      </c>
      <c r="H769" s="27" t="n">
        <f aca="false">rent_ext_f</f>
        <v>756</v>
      </c>
      <c r="I769" s="27" t="n">
        <f aca="false">rent_ext_f</f>
        <v>756</v>
      </c>
      <c r="J769" s="27" t="n">
        <f aca="false">rent_ext_f</f>
        <v>756</v>
      </c>
      <c r="K769" s="27" t="n">
        <f aca="false">rent_ext_f</f>
        <v>756</v>
      </c>
      <c r="L769" s="1" t="s">
        <v>722</v>
      </c>
    </row>
    <row r="770" customFormat="false" ht="17.15" hidden="false" customHeight="false" outlineLevel="0" collapsed="false">
      <c r="A770" s="1" t="s">
        <v>723</v>
      </c>
      <c r="B770" s="0" t="s">
        <v>340</v>
      </c>
      <c r="C770" s="27" t="n">
        <f aca="false">Sens!C768-Sens!C769</f>
        <v>490</v>
      </c>
      <c r="D770" s="27" t="n">
        <f aca="false">Sens!D768-Sens!D769</f>
        <v>1230</v>
      </c>
      <c r="E770" s="27" t="n">
        <f aca="false">Sens!E768-Sens!E769</f>
        <v>2700</v>
      </c>
      <c r="F770" s="27" t="n">
        <f aca="false">Sens!F768-Sens!F769</f>
        <v>5021.2</v>
      </c>
      <c r="G770" s="27" t="n">
        <f aca="false">Sens!G768-Sens!G769</f>
        <v>7548.4</v>
      </c>
      <c r="H770" s="27" t="n">
        <f aca="false">Sens!H768-Sens!H769</f>
        <v>10075.6</v>
      </c>
      <c r="I770" s="27" t="n">
        <f aca="false">Sens!I768-Sens!I769</f>
        <v>12602.8</v>
      </c>
      <c r="J770" s="27" t="n">
        <f aca="false">Sens!J768-Sens!J769</f>
        <v>15130</v>
      </c>
      <c r="K770" s="27" t="n">
        <f aca="false">Sens!K768-Sens!K769</f>
        <v>17657.2</v>
      </c>
    </row>
    <row r="771" customFormat="false" ht="17.15" hidden="false" customHeight="false" outlineLevel="0" collapsed="false">
      <c r="A771" s="1" t="s">
        <v>724</v>
      </c>
      <c r="B771" s="0" t="s">
        <v>340</v>
      </c>
      <c r="C771" s="27" t="n">
        <f aca="false">Sens!C770/ext_sh</f>
        <v>816.666666666667</v>
      </c>
      <c r="D771" s="27" t="n">
        <f aca="false">Sens!D770/ext_sh</f>
        <v>2050</v>
      </c>
      <c r="E771" s="27" t="n">
        <f aca="false">Sens!E770/ext_sh</f>
        <v>4500</v>
      </c>
      <c r="F771" s="27" t="n">
        <f aca="false">Sens!F770/ext_sh</f>
        <v>8368.66666666667</v>
      </c>
      <c r="G771" s="27" t="n">
        <f aca="false">Sens!G770/ext_sh</f>
        <v>12580.6666666667</v>
      </c>
      <c r="H771" s="27" t="n">
        <f aca="false">Sens!H770/ext_sh</f>
        <v>16792.6666666667</v>
      </c>
      <c r="I771" s="27" t="n">
        <f aca="false">Sens!I770/ext_sh</f>
        <v>21004.6666666667</v>
      </c>
      <c r="J771" s="27" t="n">
        <f aca="false">Sens!J770/ext_sh</f>
        <v>25216.6666666667</v>
      </c>
      <c r="K771" s="27" t="n">
        <f aca="false">Sens!K770/ext_sh</f>
        <v>29428.6666666667</v>
      </c>
      <c r="L771" s="1" t="s">
        <v>725</v>
      </c>
    </row>
    <row r="772" customFormat="false" ht="17.15" hidden="false" customHeight="false" outlineLevel="0" collapsed="false">
      <c r="A772" s="1" t="s">
        <v>726</v>
      </c>
      <c r="B772" s="0" t="s">
        <v>340</v>
      </c>
      <c r="C772" s="27" t="n">
        <f aca="false">Sens!C771-Sens!C770</f>
        <v>326.666666666667</v>
      </c>
      <c r="D772" s="27" t="n">
        <f aca="false">Sens!D771-Sens!D770</f>
        <v>820</v>
      </c>
      <c r="E772" s="27" t="n">
        <f aca="false">Sens!E771-Sens!E770</f>
        <v>1800</v>
      </c>
      <c r="F772" s="27" t="n">
        <f aca="false">Sens!F771-Sens!F770</f>
        <v>3347.46666666667</v>
      </c>
      <c r="G772" s="27" t="n">
        <f aca="false">Sens!G771-Sens!G770</f>
        <v>5032.26666666667</v>
      </c>
      <c r="H772" s="27" t="n">
        <f aca="false">Sens!H771-Sens!H770</f>
        <v>6717.06666666667</v>
      </c>
      <c r="I772" s="27" t="n">
        <f aca="false">Sens!I771-Sens!I770</f>
        <v>8401.86666666667</v>
      </c>
      <c r="J772" s="27" t="n">
        <f aca="false">Sens!J771-Sens!J770</f>
        <v>10086.6666666667</v>
      </c>
      <c r="K772" s="27" t="n">
        <f aca="false">Sens!K771-Sens!K770</f>
        <v>11771.4666666667</v>
      </c>
    </row>
    <row r="773" customFormat="false" ht="17.15" hidden="false" customHeight="false" outlineLevel="0" collapsed="false">
      <c r="A773" s="1" t="s">
        <v>727</v>
      </c>
      <c r="B773" s="0" t="s">
        <v>340</v>
      </c>
      <c r="C773" s="27" t="n">
        <f aca="false">Sens!C771</f>
        <v>816.666666666667</v>
      </c>
      <c r="D773" s="27" t="n">
        <f aca="false">Sens!D771-Sens!C771</f>
        <v>1233.33333333333</v>
      </c>
      <c r="E773" s="27" t="n">
        <f aca="false">Sens!E771-Sens!D771</f>
        <v>2450</v>
      </c>
      <c r="F773" s="27" t="n">
        <f aca="false">Sens!F771-Sens!E771</f>
        <v>3868.66666666667</v>
      </c>
      <c r="G773" s="27" t="n">
        <f aca="false">Sens!G771-Sens!F771</f>
        <v>4212</v>
      </c>
      <c r="H773" s="27" t="n">
        <f aca="false">Sens!H771-Sens!G771</f>
        <v>4212</v>
      </c>
      <c r="I773" s="27" t="n">
        <f aca="false">Sens!I771-Sens!H771</f>
        <v>4212</v>
      </c>
      <c r="J773" s="27" t="n">
        <f aca="false">Sens!J771-Sens!I771</f>
        <v>4212</v>
      </c>
      <c r="K773" s="27" t="n">
        <f aca="false">Sens!K771-Sens!J771</f>
        <v>4212</v>
      </c>
    </row>
    <row r="774" customFormat="false" ht="17.15" hidden="false" customHeight="false" outlineLevel="0" collapsed="false">
      <c r="A774" s="1" t="s">
        <v>728</v>
      </c>
      <c r="B774" s="0" t="s">
        <v>340</v>
      </c>
      <c r="D774" s="27" t="n">
        <f aca="false">Sens!D768-Sens!C768</f>
        <v>990</v>
      </c>
      <c r="E774" s="27" t="n">
        <f aca="false">Sens!E768-Sens!D768</f>
        <v>1620</v>
      </c>
      <c r="F774" s="27" t="n">
        <f aca="false">Sens!F768-Sens!E768</f>
        <v>2527.2</v>
      </c>
      <c r="G774" s="27" t="n">
        <f aca="false">Sens!G768-Sens!F768</f>
        <v>2527.2</v>
      </c>
      <c r="H774" s="27" t="n">
        <f aca="false">Sens!H768-Sens!G768</f>
        <v>2527.2</v>
      </c>
      <c r="I774" s="27" t="n">
        <f aca="false">Sens!I768-Sens!H768</f>
        <v>2527.2</v>
      </c>
      <c r="J774" s="27" t="n">
        <f aca="false">Sens!J768-Sens!I768</f>
        <v>2527.2</v>
      </c>
      <c r="K774" s="27" t="n">
        <f aca="false">Sens!K768-Sens!J768</f>
        <v>2527.2</v>
      </c>
    </row>
    <row r="775" customFormat="false" ht="17.15" hidden="false" customHeight="false" outlineLevel="0" collapsed="false">
      <c r="A775" s="1" t="s">
        <v>729</v>
      </c>
      <c r="B775" s="0" t="s">
        <v>340</v>
      </c>
      <c r="C775" s="27" t="n">
        <f aca="false">mix_h*Sens!C768</f>
        <v>128</v>
      </c>
      <c r="D775" s="27" t="n">
        <f aca="false">mix_h*Sens!D768</f>
        <v>326</v>
      </c>
      <c r="E775" s="27" t="n">
        <f aca="false">mix_h*Sens!E768</f>
        <v>650</v>
      </c>
      <c r="F775" s="27" t="n">
        <f aca="false">Sens!E775</f>
        <v>650</v>
      </c>
      <c r="G775" s="27" t="n">
        <f aca="false">Sens!F775</f>
        <v>650</v>
      </c>
      <c r="H775" s="27" t="n">
        <f aca="false">Sens!G775</f>
        <v>650</v>
      </c>
      <c r="I775" s="27" t="n">
        <f aca="false">Sens!H775</f>
        <v>650</v>
      </c>
      <c r="J775" s="27" t="n">
        <f aca="false">Sens!I775</f>
        <v>650</v>
      </c>
      <c r="K775" s="27" t="n">
        <f aca="false">Sens!J775</f>
        <v>650</v>
      </c>
    </row>
    <row r="776" customFormat="false" ht="17.15" hidden="false" customHeight="false" outlineLevel="0" collapsed="false">
      <c r="A776" s="1" t="s">
        <v>730</v>
      </c>
      <c r="B776" s="0" t="s">
        <v>340</v>
      </c>
      <c r="C776" s="27" t="n">
        <f aca="false">mix_g2*Sens!C768</f>
        <v>288</v>
      </c>
      <c r="D776" s="27" t="n">
        <f aca="false">mix_g2*Sens!D768</f>
        <v>733.5</v>
      </c>
      <c r="E776" s="27" t="n">
        <f aca="false">mix_g2*Sens!E768</f>
        <v>1462.5</v>
      </c>
      <c r="F776" s="27" t="n">
        <f aca="false">Sens!E776</f>
        <v>1462.5</v>
      </c>
      <c r="G776" s="27" t="n">
        <f aca="false">Sens!F776</f>
        <v>1462.5</v>
      </c>
      <c r="H776" s="27" t="n">
        <f aca="false">Sens!G776</f>
        <v>1462.5</v>
      </c>
      <c r="I776" s="27" t="n">
        <f aca="false">Sens!H776</f>
        <v>1462.5</v>
      </c>
      <c r="J776" s="27" t="n">
        <f aca="false">Sens!I776</f>
        <v>1462.5</v>
      </c>
      <c r="K776" s="27" t="n">
        <f aca="false">Sens!J776</f>
        <v>1462.5</v>
      </c>
    </row>
    <row r="777" customFormat="false" ht="17.15" hidden="false" customHeight="false" outlineLevel="0" collapsed="false">
      <c r="A777" s="1" t="s">
        <v>731</v>
      </c>
      <c r="B777" s="0" t="s">
        <v>340</v>
      </c>
      <c r="C777" s="27" t="n">
        <f aca="false">mix_g3*Sens!C768</f>
        <v>224</v>
      </c>
      <c r="D777" s="27" t="n">
        <f aca="false">mix_g3*Sens!D768</f>
        <v>570.5</v>
      </c>
      <c r="E777" s="27" t="n">
        <f aca="false">mix_g3*Sens!E768</f>
        <v>1137.5</v>
      </c>
      <c r="F777" s="27" t="n">
        <f aca="false">Sens!E777+Sens!F774*a_g3_27</f>
        <v>2906.54</v>
      </c>
      <c r="G777" s="27" t="n">
        <f aca="false">Sens!F777+Sens!G774*a_g3_28</f>
        <v>3664.7</v>
      </c>
      <c r="H777" s="27" t="n">
        <f aca="false">Sens!G777+Sens!H774*a_g3_29</f>
        <v>3917.42</v>
      </c>
      <c r="I777" s="27" t="n">
        <f aca="false">Sens!H777+Sens!I774*a_g3_29</f>
        <v>4170.14</v>
      </c>
      <c r="J777" s="27" t="n">
        <f aca="false">Sens!I777+Sens!J774*a_g3_29</f>
        <v>4422.86</v>
      </c>
      <c r="K777" s="27" t="n">
        <f aca="false">Sens!J777+Sens!K774*a_g3_29</f>
        <v>4675.58</v>
      </c>
    </row>
    <row r="778" customFormat="false" ht="17.15" hidden="false" customHeight="false" outlineLevel="0" collapsed="false">
      <c r="A778" s="1" t="s">
        <v>732</v>
      </c>
      <c r="B778" s="0" t="s">
        <v>340</v>
      </c>
      <c r="C778" s="27" t="n">
        <f aca="false">0</f>
        <v>0</v>
      </c>
      <c r="D778" s="27" t="n">
        <f aca="false">0</f>
        <v>0</v>
      </c>
      <c r="E778" s="27" t="n">
        <f aca="false">0</f>
        <v>0</v>
      </c>
      <c r="F778" s="27" t="n">
        <f aca="false">Sens!E778+Sens!F774*(1-a_g3_27)</f>
        <v>758.16</v>
      </c>
      <c r="G778" s="27" t="n">
        <f aca="false">Sens!F778+Sens!G774*(1-a_g3_28)</f>
        <v>2527.2</v>
      </c>
      <c r="H778" s="27" t="n">
        <f aca="false">Sens!G778+Sens!H774*(1-a_g3_29)</f>
        <v>4801.68</v>
      </c>
      <c r="I778" s="27" t="n">
        <f aca="false">Sens!H778+Sens!I774*(1-a_g3_29)</f>
        <v>7076.16</v>
      </c>
      <c r="J778" s="27" t="n">
        <f aca="false">Sens!I778+Sens!J774*(1-a_g3_29)</f>
        <v>9350.64</v>
      </c>
      <c r="K778" s="27" t="n">
        <f aca="false">Sens!J778+Sens!K774*(1-a_g3_29)</f>
        <v>11625.12</v>
      </c>
    </row>
    <row r="779" customFormat="false" ht="17.15" hidden="false" customHeight="false" outlineLevel="0" collapsed="false">
      <c r="A779" s="1" t="s">
        <v>733</v>
      </c>
      <c r="B779" s="0" t="s">
        <v>291</v>
      </c>
      <c r="C779" s="18" t="n">
        <f aca="false">(Sens!C775*tk_hold_h100+Sens!C776*tk_hold_gb200+Sens!C777*tk_hold_gb300+Sens!C778*tk_hold_vr200)/Sens!C768</f>
        <v>9.7235358126469</v>
      </c>
      <c r="D779" s="18" t="n">
        <f aca="false">(Sens!D775*tk_hold_h100+Sens!D776*tk_hold_gb200+Sens!D777*tk_hold_gb300+Sens!D778*tk_hold_vr200)/Sens!D768</f>
        <v>9.7235358126469</v>
      </c>
      <c r="E779" s="18" t="n">
        <f aca="false">(Sens!E775*tk_hold_h100+Sens!E776*tk_hold_gb200+Sens!E777*tk_hold_gb300+Sens!E778*tk_hold_vr200)/Sens!E768</f>
        <v>9.7235358126469</v>
      </c>
      <c r="F779" s="18" t="n">
        <f aca="false">(Sens!F775*tk_hold_h100+Sens!F776*tk_hold_gb200+Sens!F777*tk_hold_gb300+Sens!F778*tk_hold_vr200)/Sens!F768</f>
        <v>10.4079573161931</v>
      </c>
      <c r="G779" s="18" t="n">
        <f aca="false">(Sens!G775*tk_hold_h100+Sens!G776*tk_hold_gb200+Sens!G777*tk_hold_gb300+Sens!G778*tk_hold_vr200)/Sens!G768</f>
        <v>10.8388131109316</v>
      </c>
      <c r="H779" s="18" t="n">
        <f aca="false">(Sens!H775*tk_hold_h100+Sens!H776*tk_hold_gb200+Sens!H777*tk_hold_gb300+Sens!H778*tk_hold_vr200)/Sens!H768</f>
        <v>11.1311018388216</v>
      </c>
      <c r="I779" s="18" t="n">
        <f aca="false">(Sens!I775*tk_hold_h100+Sens!I776*tk_hold_gb200+Sens!I777*tk_hold_gb300+Sens!I778*tk_hold_vr200)/Sens!I768</f>
        <v>11.3128009818501</v>
      </c>
      <c r="J779" s="18" t="n">
        <f aca="false">(Sens!J775*tk_hold_h100+Sens!J776*tk_hold_gb200+Sens!J777*tk_hold_gb300+Sens!J778*tk_hold_vr200)/Sens!J768</f>
        <v>11.4366894646418</v>
      </c>
      <c r="K779" s="18" t="n">
        <f aca="false">(Sens!K775*tk_hold_h100+Sens!K776*tk_hold_gb200+Sens!K777*tk_hold_gb300+Sens!K778*tk_hold_vr200)/Sens!K768</f>
        <v>11.526570716348</v>
      </c>
    </row>
    <row r="780" customFormat="false" ht="17.15" hidden="false" customHeight="false" outlineLevel="0" collapsed="false">
      <c r="A780" s="0" t="s">
        <v>734</v>
      </c>
      <c r="B780" s="0" t="s">
        <v>182</v>
      </c>
      <c r="C780" s="18" t="n">
        <f aca="false">k_B</f>
        <v>1.17213932619116</v>
      </c>
      <c r="D780" s="18" t="n">
        <f aca="false">k_B</f>
        <v>1.17213932619116</v>
      </c>
      <c r="E780" s="18" t="n">
        <f aca="false">k_B</f>
        <v>1.17213932619116</v>
      </c>
      <c r="F780" s="18" t="n">
        <f aca="false">(k_B+((ls_B*k_long+(1-ls_B)*k_spot)-k_B)*MIN(1,1/3))*1.15</f>
        <v>1.34796022511983</v>
      </c>
      <c r="G780" s="18" t="n">
        <f aca="false">(k_B+((ls_B*k_long+(1-ls_B)*k_spot)-k_B)*MIN(1,2/3))*1.15</f>
        <v>1.34796022511983</v>
      </c>
      <c r="H780" s="18" t="n">
        <f aca="false">(k_B+((ls_B*k_long+(1-ls_B)*k_spot)-k_B)*MIN(1,3/3))*1.15</f>
        <v>1.34796022511983</v>
      </c>
      <c r="I780" s="18" t="n">
        <f aca="false">(k_B+((ls_B*k_long+(1-ls_B)*k_spot)-k_B)*MIN(1,4/3))*1.15</f>
        <v>1.34796022511983</v>
      </c>
      <c r="J780" s="18" t="n">
        <f aca="false">(k_B+((ls_B*k_long+(1-ls_B)*k_spot)-k_B)*MIN(1,5/3))*1.15</f>
        <v>1.34796022511983</v>
      </c>
      <c r="K780" s="18" t="n">
        <f aca="false">(k_B+((ls_B*k_long+(1-ls_B)*k_spot)-k_B)*MIN(1,6/3))*1.15</f>
        <v>1.34796022511983</v>
      </c>
      <c r="L780" s="1" t="s">
        <v>735</v>
      </c>
    </row>
    <row r="781" customFormat="false" ht="17.15" hidden="false" customHeight="false" outlineLevel="0" collapsed="false">
      <c r="A781" s="1" t="s">
        <v>736</v>
      </c>
      <c r="B781" s="0" t="s">
        <v>291</v>
      </c>
      <c r="C781" s="18" t="n">
        <f aca="false">Sens!C779*Sens!C780*chip_f</f>
        <v>11.3973387156315</v>
      </c>
      <c r="D781" s="18" t="n">
        <f aca="false">Sens!D779*Sens!D780*chip_f</f>
        <v>11.3973387156315</v>
      </c>
      <c r="E781" s="18" t="n">
        <f aca="false">Sens!E779*Sens!E780*chip_f</f>
        <v>11.3973387156315</v>
      </c>
      <c r="F781" s="18" t="n">
        <f aca="false">Sens!F779*Sens!F780*chip_f</f>
        <v>14.0295124869732</v>
      </c>
      <c r="G781" s="18" t="n">
        <f aca="false">Sens!G779*Sens!G780*chip_f</f>
        <v>14.610288961043</v>
      </c>
      <c r="H781" s="18" t="n">
        <f aca="false">Sens!H779*Sens!H780*chip_f</f>
        <v>15.0042825404897</v>
      </c>
      <c r="I781" s="18" t="n">
        <f aca="false">Sens!I779*Sens!I780*chip_f</f>
        <v>15.2492057582305</v>
      </c>
      <c r="J781" s="18" t="n">
        <f aca="false">Sens!J779*Sens!J780*chip_f</f>
        <v>15.4162025053841</v>
      </c>
      <c r="K781" s="18" t="n">
        <f aca="false">Sens!K779*Sens!K780*chip_f</f>
        <v>15.5373588576681</v>
      </c>
      <c r="L781" s="1" t="s">
        <v>737</v>
      </c>
    </row>
    <row r="782" customFormat="false" ht="17.15" hidden="false" customHeight="false" outlineLevel="0" collapsed="false">
      <c r="A782" s="0" t="s">
        <v>738</v>
      </c>
      <c r="B782" s="0" t="s">
        <v>95</v>
      </c>
      <c r="D782" s="6" t="n">
        <f aca="false">(Sens!C768+Sens!D768)/2*Sens!D781/1000</f>
        <v>12.9359794422418</v>
      </c>
      <c r="E782" s="6" t="n">
        <f aca="false">(Sens!D768+Sens!E768)/2*Sens!E781/1000</f>
        <v>27.8095064661409</v>
      </c>
      <c r="F782" s="6" t="n">
        <f aca="false">(Sens!E768+Sens!F768)/2*Sens!F781/1000</f>
        <v>63.3236075612023</v>
      </c>
      <c r="G782" s="6" t="n">
        <f aca="false">(Sens!F768+Sens!G768)/2*Sens!G781/1000</f>
        <v>102.868122516912</v>
      </c>
      <c r="H782" s="6" t="n">
        <f aca="false">(Sens!G768+Sens!H768)/2*Sens!H781/1000</f>
        <v>143.560975347405</v>
      </c>
      <c r="I782" s="6" t="n">
        <f aca="false">(Sens!H768+Sens!I768)/2*Sens!I781/1000</f>
        <v>184.44219348695</v>
      </c>
      <c r="J782" s="6" t="n">
        <f aca="false">(Sens!I768+Sens!J768)/2*Sens!J781/1000</f>
        <v>225.421879514728</v>
      </c>
      <c r="K782" s="6" t="n">
        <f aca="false">(Sens!J768+Sens!K768)/2*Sens!K781/1000</f>
        <v>266.459489465464</v>
      </c>
      <c r="L782" s="11" t="s">
        <v>739</v>
      </c>
    </row>
    <row r="783" customFormat="false" ht="17.15" hidden="false" customHeight="false" outlineLevel="0" collapsed="false">
      <c r="A783" s="1" t="s">
        <v>740</v>
      </c>
      <c r="B783" s="0" t="s">
        <v>291</v>
      </c>
      <c r="C783" s="18" t="n">
        <f aca="false">(Sens!C775*tk_opex_h100+Sens!C776*tk_opex_gb200+Sens!C777*tk_opex_gb300+Sens!C778*tk_opex_vr200)/Sens!C768</f>
        <v>1.88636041306092</v>
      </c>
      <c r="D783" s="18" t="n">
        <f aca="false">(Sens!D775*tk_opex_h100+Sens!D776*tk_opex_gb200+Sens!D777*tk_opex_gb300+Sens!D778*tk_opex_vr200)/Sens!D768</f>
        <v>1.88636041306092</v>
      </c>
      <c r="E783" s="18" t="n">
        <f aca="false">(Sens!E775*tk_opex_h100+Sens!E776*tk_opex_gb200+Sens!E777*tk_opex_gb300+Sens!E778*tk_opex_vr200)/Sens!E768</f>
        <v>1.88636041306092</v>
      </c>
      <c r="F783" s="18" t="n">
        <f aca="false">(Sens!F775*tk_opex_h100+Sens!F776*tk_opex_gb200+Sens!F777*tk_opex_gb300+Sens!F778*tk_opex_vr200)/Sens!F768</f>
        <v>1.9430236476499</v>
      </c>
      <c r="G783" s="18" t="n">
        <f aca="false">(Sens!G775*tk_opex_h100+Sens!G776*tk_opex_gb200+Sens!G777*tk_opex_gb300+Sens!G778*tk_opex_vr200)/Sens!G768</f>
        <v>1.9786941852423</v>
      </c>
      <c r="H783" s="18" t="n">
        <f aca="false">(Sens!H775*tk_opex_h100+Sens!H776*tk_opex_gb200+Sens!H777*tk_opex_gb300+Sens!H778*tk_opex_vr200)/Sens!H768</f>
        <v>2.00289275976156</v>
      </c>
      <c r="I783" s="18" t="n">
        <f aca="false">(Sens!I775*tk_opex_h100+Sens!I776*tk_opex_gb200+Sens!I777*tk_opex_gb300+Sens!I778*tk_opex_vr200)/Sens!I768</f>
        <v>2.01793562605478</v>
      </c>
      <c r="J783" s="18" t="n">
        <f aca="false">(Sens!J775*tk_opex_h100+Sens!J776*tk_opex_gb200+Sens!J777*tk_opex_gb300+Sens!J778*tk_opex_vr200)/Sens!J768</f>
        <v>2.02819234961902</v>
      </c>
      <c r="K783" s="18" t="n">
        <f aca="false">(Sens!K775*tk_opex_h100+Sens!K776*tk_opex_gb200+Sens!K777*tk_opex_gb300+Sens!K778*tk_opex_vr200)/Sens!K768</f>
        <v>2.0356336155994</v>
      </c>
    </row>
    <row r="784" customFormat="false" ht="17.15" hidden="false" customHeight="false" outlineLevel="0" collapsed="false">
      <c r="A784" s="0" t="s">
        <v>741</v>
      </c>
      <c r="B784" s="0" t="s">
        <v>95</v>
      </c>
      <c r="D784" s="6" t="n">
        <f aca="false">(Sens!C771+Sens!D771)/2*Sens!D783/1000</f>
        <v>2.70378325872065</v>
      </c>
      <c r="E784" s="6" t="n">
        <f aca="false">(Sens!D771+Sens!E771)/2*Sens!E783/1000</f>
        <v>6.17783035277451</v>
      </c>
      <c r="F784" s="6" t="n">
        <f aca="false">(Sens!E771+Sens!F771)/2*Sens!F783/1000</f>
        <v>12.5020618235287</v>
      </c>
      <c r="G784" s="6" t="n">
        <f aca="false">(Sens!F771+Sens!G771)/2*Sens!G783/1000</f>
        <v>20.7261620256847</v>
      </c>
      <c r="H784" s="6" t="n">
        <f aca="false">(Sens!G771+Sens!H771)/2*Sens!H783/1000</f>
        <v>29.4158183316982</v>
      </c>
      <c r="I784" s="6" t="n">
        <f aca="false">(Sens!H771+Sens!I771)/2*Sens!I783/1000</f>
        <v>38.1362927516005</v>
      </c>
      <c r="J784" s="6" t="n">
        <f aca="false">(Sens!I771+Sens!J771)/2*Sens!J783/1000</f>
        <v>46.8728773279286</v>
      </c>
      <c r="K784" s="6" t="n">
        <f aca="false">(Sens!J771+Sens!K771)/2*Sens!K783/1000</f>
        <v>55.618938734484</v>
      </c>
    </row>
    <row r="785" customFormat="false" ht="17.15" hidden="false" customHeight="false" outlineLevel="0" collapsed="false">
      <c r="A785" s="0" t="s">
        <v>742</v>
      </c>
      <c r="B785" s="0" t="s">
        <v>95</v>
      </c>
      <c r="D785" s="6" t="n">
        <f aca="false">(Sens!C769+Sens!D769)/2*rent_mw/1000</f>
        <v>2.44475</v>
      </c>
      <c r="E785" s="6" t="n">
        <f aca="false">(Sens!D769+Sens!E769)/2*rent_mw/1000</f>
        <v>4.22275</v>
      </c>
      <c r="F785" s="6" t="n">
        <f aca="false">(Sens!E769+Sens!F769)/2*rent_mw/1000</f>
        <v>5.80517</v>
      </c>
      <c r="G785" s="6" t="n">
        <f aca="false">(Sens!F769+Sens!G769)/2*rent_mw/1000</f>
        <v>6.72084</v>
      </c>
      <c r="H785" s="6" t="n">
        <f aca="false">(Sens!G769+Sens!H769)/2*rent_mw/1000</f>
        <v>6.72084</v>
      </c>
      <c r="I785" s="6" t="n">
        <f aca="false">(Sens!H769+Sens!I769)/2*rent_mw/1000</f>
        <v>6.72084</v>
      </c>
      <c r="J785" s="6" t="n">
        <f aca="false">(Sens!I769+Sens!J769)/2*rent_mw/1000</f>
        <v>6.72084</v>
      </c>
      <c r="K785" s="6" t="n">
        <f aca="false">(Sens!J769+Sens!K769)/2*rent_mw/1000</f>
        <v>6.72084</v>
      </c>
    </row>
    <row r="786" customFormat="false" ht="17.15" hidden="false" customHeight="false" outlineLevel="0" collapsed="false">
      <c r="A786" s="0" t="s">
        <v>743</v>
      </c>
      <c r="B786" s="0" t="s">
        <v>95</v>
      </c>
      <c r="D786" s="6" t="n">
        <f aca="false">(Sens!C771+Sens!D771)/2*(1-self_build)*fac_rent/1000</f>
        <v>0.853242375631075</v>
      </c>
      <c r="E786" s="6" t="n">
        <f aca="false">(Sens!D771+Sens!E771)/2*(1-self_build)*fac_rent/1000</f>
        <v>1.94955961408728</v>
      </c>
      <c r="F786" s="6" t="n">
        <f aca="false">(Sens!E771+Sens!F771)/2*(1-self_build)*fac_rent/1000</f>
        <v>3.83026455274573</v>
      </c>
      <c r="G786" s="6" t="n">
        <f aca="false">(Sens!F771+Sens!G771)/2*(1-self_build)*fac_rent/1000</f>
        <v>6.23541590972812</v>
      </c>
      <c r="H786" s="6" t="n">
        <f aca="false">(Sens!G771+Sens!H771)/2*(1-self_build)*fac_rent/1000</f>
        <v>8.74275792332679</v>
      </c>
      <c r="I786" s="6" t="n">
        <f aca="false">(Sens!H771+Sens!I771)/2*(1-self_build)*fac_rent/1000</f>
        <v>11.2500999369255</v>
      </c>
      <c r="J786" s="6" t="n">
        <f aca="false">(Sens!I771+Sens!J771)/2*(1-self_build)*fac_rent/1000</f>
        <v>13.7574419505241</v>
      </c>
      <c r="K786" s="6" t="n">
        <f aca="false">(Sens!J771+Sens!K771)/2*(1-self_build)*fac_rent/1000</f>
        <v>16.2647839641228</v>
      </c>
      <c r="L786" s="11" t="s">
        <v>744</v>
      </c>
    </row>
    <row r="787" customFormat="false" ht="17.15" hidden="false" customHeight="false" outlineLevel="0" collapsed="false">
      <c r="A787" s="1" t="s">
        <v>745</v>
      </c>
      <c r="B787" s="0" t="s">
        <v>126</v>
      </c>
      <c r="D787" s="7" t="n">
        <f aca="false">(Sens!C770+Sens!D770)/(Sens!C771+Sens!D771)</f>
        <v>0.6</v>
      </c>
      <c r="E787" s="7" t="n">
        <f aca="false">(Sens!D770+Sens!E770)/(Sens!D771+Sens!E771)</f>
        <v>0.6</v>
      </c>
      <c r="F787" s="7" t="n">
        <f aca="false">(Sens!E770+Sens!F770)/(Sens!E771+Sens!F771)</f>
        <v>0.6</v>
      </c>
      <c r="G787" s="7" t="n">
        <f aca="false">(Sens!F770+Sens!G770)/(Sens!F771+Sens!G771)</f>
        <v>0.6</v>
      </c>
      <c r="H787" s="7" t="n">
        <f aca="false">(Sens!G770+Sens!H770)/(Sens!G771+Sens!H771)</f>
        <v>0.6</v>
      </c>
      <c r="I787" s="7" t="n">
        <f aca="false">(Sens!H770+Sens!I770)/(Sens!H771+Sens!I771)</f>
        <v>0.6</v>
      </c>
      <c r="J787" s="7" t="n">
        <f aca="false">(Sens!I770+Sens!J770)/(Sens!I771+Sens!J771)</f>
        <v>0.6</v>
      </c>
      <c r="K787" s="7" t="n">
        <f aca="false">(Sens!J770+Sens!K770)/(Sens!J771+Sens!K771)</f>
        <v>0.6</v>
      </c>
    </row>
    <row r="788" customFormat="false" ht="17.15" hidden="false" customHeight="false" outlineLevel="0" collapsed="false">
      <c r="A788" s="0" t="s">
        <v>746</v>
      </c>
      <c r="B788" s="0" t="s">
        <v>95</v>
      </c>
      <c r="D788" s="6" t="n">
        <f aca="false">Sens!D782-Sens!D787*(Sens!D784+Sens!D786)-Sens!D785</f>
        <v>8.35701406163072</v>
      </c>
      <c r="E788" s="6" t="n">
        <f aca="false">Sens!E782-Sens!E787*(Sens!E784+Sens!E786)-Sens!E785</f>
        <v>18.7103224860238</v>
      </c>
      <c r="F788" s="6" t="n">
        <f aca="false">Sens!F782-Sens!F787*(Sens!F784+Sens!F786)-Sens!F785</f>
        <v>47.7190417354376</v>
      </c>
      <c r="G788" s="6" t="n">
        <f aca="false">Sens!G782-Sens!G787*(Sens!G784+Sens!G786)-Sens!G785</f>
        <v>79.9703357556642</v>
      </c>
      <c r="H788" s="6" t="n">
        <f aca="false">Sens!H782-Sens!H787*(Sens!H784+Sens!H786)-Sens!H785</f>
        <v>113.94498959439</v>
      </c>
      <c r="I788" s="6" t="n">
        <f aca="false">Sens!I782-Sens!I787*(Sens!I784+Sens!I786)-Sens!I785</f>
        <v>148.089517873834</v>
      </c>
      <c r="J788" s="6" t="n">
        <f aca="false">Sens!J782-Sens!J787*(Sens!J784+Sens!J786)-Sens!J785</f>
        <v>182.322847947657</v>
      </c>
      <c r="K788" s="6" t="n">
        <f aca="false">Sens!K782-Sens!K787*(Sens!K784+Sens!K786)-Sens!K785</f>
        <v>216.6084158463</v>
      </c>
    </row>
    <row r="789" customFormat="false" ht="17.15" hidden="false" customHeight="false" outlineLevel="0" collapsed="false">
      <c r="A789" s="1" t="s">
        <v>747</v>
      </c>
      <c r="B789" s="0" t="s">
        <v>95</v>
      </c>
      <c r="D789" s="6" t="n">
        <f aca="false">(1-Sens!D787)*(Sens!D784+Sens!D786)</f>
        <v>1.42281025374069</v>
      </c>
      <c r="E789" s="6" t="n">
        <f aca="false">(1-Sens!E787)*(Sens!E784+Sens!E786)</f>
        <v>3.25095598674472</v>
      </c>
      <c r="F789" s="6" t="n">
        <f aca="false">(1-Sens!F787)*(Sens!F784+Sens!F786)</f>
        <v>6.53293055050977</v>
      </c>
      <c r="G789" s="6" t="n">
        <f aca="false">(1-Sens!G787)*(Sens!G784+Sens!G786)</f>
        <v>10.7846311741651</v>
      </c>
      <c r="H789" s="6" t="n">
        <f aca="false">(1-Sens!H787)*(Sens!H784+Sens!H786)</f>
        <v>15.26343050201</v>
      </c>
      <c r="I789" s="6" t="n">
        <f aca="false">(1-Sens!I787)*(Sens!I784+Sens!I786)</f>
        <v>19.7545570754104</v>
      </c>
      <c r="J789" s="6" t="n">
        <f aca="false">(1-Sens!J787)*(Sens!J784+Sens!J786)</f>
        <v>24.2521277113811</v>
      </c>
      <c r="K789" s="6" t="n">
        <f aca="false">(1-Sens!K787)*(Sens!K784+Sens!K786)</f>
        <v>28.7534890794427</v>
      </c>
    </row>
    <row r="790" customFormat="false" ht="17.15" hidden="false" customHeight="false" outlineLevel="0" collapsed="false">
      <c r="A790" s="1" t="s">
        <v>748</v>
      </c>
      <c r="B790" s="0" t="s">
        <v>302</v>
      </c>
      <c r="C790" s="8" t="n">
        <f aca="false">cxit_open</f>
        <v>27.5918995</v>
      </c>
      <c r="D790" s="8" t="n">
        <f aca="false">cxit_open</f>
        <v>27.5918995</v>
      </c>
      <c r="E790" s="8" t="n">
        <f aca="false">cxit_open</f>
        <v>27.5918995</v>
      </c>
      <c r="F790" s="8" t="n">
        <f aca="false">(a_g3_27*tk_cxit_gb300+(1-a_g3_27)*tk_cxit_vr200)</f>
        <v>33.8419624</v>
      </c>
      <c r="G790" s="8" t="n">
        <f aca="false">(a_g3_28*tk_cxit_gb300+(1-a_g3_28)*tk_cxit_vr200)</f>
        <v>35.9816136</v>
      </c>
      <c r="H790" s="8" t="n">
        <f aca="false">(a_g3_29*tk_cxit_gb300+(1-a_g3_29)*tk_cxit_vr200)</f>
        <v>37.0514392</v>
      </c>
      <c r="I790" s="8" t="n">
        <f aca="false">(a_g3_29*tk_cxit_gb300+(1-a_g3_29)*tk_cxit_vr200)</f>
        <v>37.0514392</v>
      </c>
      <c r="J790" s="8" t="n">
        <f aca="false">(a_g3_29*tk_cxit_gb300+(1-a_g3_29)*tk_cxit_vr200)</f>
        <v>37.0514392</v>
      </c>
      <c r="K790" s="8" t="n">
        <f aca="false">(a_g3_29*tk_cxit_gb300+(1-a_g3_29)*tk_cxit_vr200)</f>
        <v>37.0514392</v>
      </c>
      <c r="L790" s="11" t="s">
        <v>749</v>
      </c>
    </row>
    <row r="791" customFormat="false" ht="17.15" hidden="false" customHeight="false" outlineLevel="0" collapsed="false">
      <c r="A791" s="0" t="s">
        <v>750</v>
      </c>
      <c r="B791" s="0" t="s">
        <v>340</v>
      </c>
      <c r="F791" s="27" t="n">
        <f aca="false">Sens!C773*IF(3=life_it,1,0)+Sens!D773*IF(2=life_it,1,0)+Sens!E773*IF(1=life_it,1,0)</f>
        <v>0</v>
      </c>
      <c r="G791" s="27" t="n">
        <f aca="false">Sens!C773*IF(4=life_it,1,0)+Sens!D773*IF(3=life_it,1,0)+Sens!E773*IF(2=life_it,1,0)+Sens!F773*IF(1=life_it,1,0)</f>
        <v>0</v>
      </c>
      <c r="H791" s="27" t="n">
        <f aca="false">Sens!C773*IF(5=life_it,1,0)+Sens!D773*IF(4=life_it,1,0)+Sens!E773*IF(3=life_it,1,0)+Sens!F773*IF(2=life_it,1,0)+Sens!G773*IF(1=life_it,1,0)</f>
        <v>0</v>
      </c>
      <c r="I791" s="27" t="n">
        <f aca="false">Sens!C773*IF(6=life_it,1,0)+Sens!D773*IF(5=life_it,1,0)+Sens!E773*IF(4=life_it,1,0)+Sens!F773*IF(3=life_it,1,0)+Sens!G773*IF(2=life_it,1,0)+Sens!H773*IF(1=life_it,1,0)</f>
        <v>816.666666666667</v>
      </c>
      <c r="J791" s="27" t="n">
        <f aca="false">Sens!C773*IF(7=life_it,1,0)+Sens!D773*IF(6=life_it,1,0)+Sens!E773*IF(5=life_it,1,0)+Sens!F773*IF(4=life_it,1,0)+Sens!G773*IF(3=life_it,1,0)+Sens!H773*IF(2=life_it,1,0)+Sens!I773*IF(1=life_it,1,0)</f>
        <v>1233.33333333333</v>
      </c>
      <c r="K791" s="27" t="n">
        <f aca="false">Sens!C773*IF(8=life_it,1,0)+Sens!D773*IF(7=life_it,1,0)+Sens!E773*IF(6=life_it,1,0)+Sens!F773*IF(5=life_it,1,0)+Sens!G773*IF(4=life_it,1,0)+Sens!H773*IF(3=life_it,1,0)+Sens!I773*IF(2=life_it,1,0)+Sens!J773*IF(1=life_it,1,0)</f>
        <v>2450</v>
      </c>
      <c r="L791" s="1" t="s">
        <v>751</v>
      </c>
    </row>
    <row r="792" customFormat="false" ht="17.15" hidden="false" customHeight="false" outlineLevel="0" collapsed="false">
      <c r="A792" s="0" t="s">
        <v>752</v>
      </c>
      <c r="B792" s="0" t="s">
        <v>95</v>
      </c>
      <c r="C792" s="6" t="n">
        <f aca="false">Sens!C773*Sens!C790/1000</f>
        <v>22.5333845916667</v>
      </c>
      <c r="D792" s="6" t="n">
        <f aca="false">Sens!D773*Sens!D790/1000</f>
        <v>34.0300093833333</v>
      </c>
      <c r="E792" s="6" t="n">
        <f aca="false">Sens!E773*Sens!E790/1000</f>
        <v>67.600153775</v>
      </c>
      <c r="F792" s="6" t="n">
        <f aca="false">(Sens!F773+Sens!F791)*Sens!F790/1000</f>
        <v>130.923271871467</v>
      </c>
      <c r="G792" s="6" t="n">
        <f aca="false">(Sens!G773+Sens!G791)*Sens!G790/1000</f>
        <v>151.5545564832</v>
      </c>
      <c r="H792" s="6" t="n">
        <f aca="false">(Sens!H773+Sens!H791)*Sens!H790/1000</f>
        <v>156.0606619104</v>
      </c>
      <c r="I792" s="6" t="n">
        <f aca="false">(Sens!I773+Sens!I791)*Sens!I790/1000</f>
        <v>186.319337257067</v>
      </c>
      <c r="J792" s="6" t="n">
        <f aca="false">(Sens!J773+Sens!J791)*Sens!J790/1000</f>
        <v>201.757436923733</v>
      </c>
      <c r="K792" s="6" t="n">
        <f aca="false">(Sens!K773+Sens!K791)*Sens!K790/1000</f>
        <v>246.8366879504</v>
      </c>
    </row>
    <row r="793" customFormat="false" ht="17.15" hidden="false" customHeight="false" outlineLevel="0" collapsed="false">
      <c r="A793" s="0" t="s">
        <v>753</v>
      </c>
      <c r="B793" s="0" t="s">
        <v>95</v>
      </c>
      <c r="C793" s="6" t="n">
        <f aca="false">Sens!C773*self_build*tk_cxfac/1000</f>
        <v>6.2083</v>
      </c>
      <c r="D793" s="6" t="n">
        <f aca="false">Sens!D773*self_build*tk_cxfac/1000</f>
        <v>9.3758</v>
      </c>
      <c r="E793" s="6" t="n">
        <f aca="false">Sens!E773*self_build*tk_cxfac/1000</f>
        <v>18.6249</v>
      </c>
      <c r="F793" s="6" t="n">
        <f aca="false">Sens!F773*self_build*tk_cxfac/1000</f>
        <v>29.409604</v>
      </c>
      <c r="G793" s="6" t="n">
        <f aca="false">Sens!G773*self_build*tk_cxfac/1000</f>
        <v>32.019624</v>
      </c>
      <c r="H793" s="6" t="n">
        <f aca="false">Sens!H773*self_build*tk_cxfac/1000</f>
        <v>32.019624</v>
      </c>
      <c r="I793" s="6" t="n">
        <f aca="false">Sens!I773*self_build*tk_cxfac/1000</f>
        <v>32.019624</v>
      </c>
      <c r="J793" s="6" t="n">
        <f aca="false">Sens!J773*self_build*tk_cxfac/1000</f>
        <v>32.019624</v>
      </c>
      <c r="K793" s="6" t="n">
        <f aca="false">Sens!K773*self_build*tk_cxfac/1000</f>
        <v>32.019624</v>
      </c>
    </row>
    <row r="794" customFormat="false" ht="17.15" hidden="false" customHeight="false" outlineLevel="0" collapsed="false">
      <c r="A794" s="0" t="s">
        <v>754</v>
      </c>
      <c r="B794" s="0" t="s">
        <v>95</v>
      </c>
      <c r="F794" s="6" t="n">
        <f aca="false">MAX(0,capex_floor27-Sens!F792-Sens!F793-Sens!F881)</f>
        <v>8.28777689897088</v>
      </c>
      <c r="G794" s="6" t="n">
        <f aca="false">0</f>
        <v>0</v>
      </c>
      <c r="H794" s="6" t="n">
        <f aca="false">0</f>
        <v>0</v>
      </c>
      <c r="I794" s="6" t="n">
        <f aca="false">0</f>
        <v>0</v>
      </c>
      <c r="J794" s="6" t="n">
        <f aca="false">0</f>
        <v>0</v>
      </c>
      <c r="K794" s="6" t="n">
        <f aca="false">0</f>
        <v>0</v>
      </c>
      <c r="L794" s="1" t="s">
        <v>755</v>
      </c>
    </row>
    <row r="795" customFormat="false" ht="17.15" hidden="false" customHeight="false" outlineLevel="0" collapsed="false">
      <c r="A795" s="0" t="s">
        <v>756</v>
      </c>
      <c r="B795" s="0" t="s">
        <v>95</v>
      </c>
      <c r="C795" s="6" t="n">
        <f aca="false">Sens!C792</f>
        <v>22.5333845916667</v>
      </c>
      <c r="D795" s="6" t="n">
        <f aca="false">Sens!D792</f>
        <v>34.0300093833333</v>
      </c>
      <c r="E795" s="6" t="n">
        <f aca="false">Sens!E792</f>
        <v>67.600153775</v>
      </c>
      <c r="F795" s="6" t="n">
        <f aca="false">Sens!F792+Sens!F794</f>
        <v>139.211048770438</v>
      </c>
      <c r="G795" s="6" t="n">
        <f aca="false">Sens!G792+Sens!G794</f>
        <v>151.5545564832</v>
      </c>
      <c r="H795" s="6" t="n">
        <f aca="false">Sens!H792+Sens!H794</f>
        <v>156.0606619104</v>
      </c>
      <c r="I795" s="6" t="n">
        <f aca="false">Sens!I792+Sens!I794</f>
        <v>186.319337257067</v>
      </c>
      <c r="J795" s="6" t="n">
        <f aca="false">Sens!J792+Sens!J794</f>
        <v>201.757436923733</v>
      </c>
      <c r="K795" s="6" t="n">
        <f aca="false">Sens!K792+Sens!K794</f>
        <v>246.8366879504</v>
      </c>
    </row>
    <row r="796" customFormat="false" ht="17.15" hidden="false" customHeight="false" outlineLevel="0" collapsed="false">
      <c r="A796" s="0" t="s">
        <v>757</v>
      </c>
      <c r="B796" s="0" t="s">
        <v>95</v>
      </c>
      <c r="C796" s="6" t="n">
        <f aca="false">Sens!C795+Sens!C793</f>
        <v>28.7416845916667</v>
      </c>
      <c r="D796" s="6" t="n">
        <f aca="false">Sens!D795+Sens!D793</f>
        <v>43.4058093833333</v>
      </c>
      <c r="E796" s="6" t="n">
        <f aca="false">Sens!E795+Sens!E793</f>
        <v>86.225053775</v>
      </c>
      <c r="F796" s="6" t="n">
        <f aca="false">Sens!F795+Sens!F793</f>
        <v>168.620652770438</v>
      </c>
      <c r="G796" s="6" t="n">
        <f aca="false">Sens!G795+Sens!G793</f>
        <v>183.5741804832</v>
      </c>
      <c r="H796" s="6" t="n">
        <f aca="false">Sens!H795+Sens!H793</f>
        <v>188.0802859104</v>
      </c>
      <c r="I796" s="6" t="n">
        <f aca="false">Sens!I795+Sens!I793</f>
        <v>218.338961257067</v>
      </c>
      <c r="J796" s="6" t="n">
        <f aca="false">Sens!J795+Sens!J793</f>
        <v>233.777060923733</v>
      </c>
      <c r="K796" s="6" t="n">
        <f aca="false">Sens!K795+Sens!K793</f>
        <v>278.8563119504</v>
      </c>
      <c r="L796" s="11" t="s">
        <v>758</v>
      </c>
    </row>
    <row r="797" customFormat="false" ht="17.15" hidden="false" customHeight="false" outlineLevel="0" collapsed="false">
      <c r="A797" s="0" t="s">
        <v>759</v>
      </c>
      <c r="B797" s="0" t="s">
        <v>95</v>
      </c>
      <c r="E797" s="6" t="n">
        <f aca="false">(Sens!C795*IF(2&lt;life_it,1,IF(2=life_it,0.5,0))+Sens!D795*IF(1&lt;life_it,1,IF(1=life_it,0.5,0))+Sens!E795*0.5)/life_it</f>
        <v>15.0605784770833</v>
      </c>
      <c r="F797" s="6" t="n">
        <f aca="false">(Sens!C795*IF(3&lt;life_it,1,IF(3=life_it,0.5,0))+Sens!D795*IF(2&lt;life_it,1,IF(2=life_it,0.5,0))+Sens!E795*IF(1&lt;life_it,1,IF(1=life_it,0.5,0))+Sens!F795*0.5)/life_it</f>
        <v>32.2948453558698</v>
      </c>
      <c r="G797" s="6" t="n">
        <f aca="false">(Sens!C795*IF(4&lt;life_it,1,IF(4=life_it,0.5,0))+Sens!D795*IF(3&lt;life_it,1,IF(3=life_it,0.5,0))+Sens!E795*IF(2&lt;life_it,1,IF(2=life_it,0.5,0))+Sens!F795*IF(1&lt;life_it,1,IF(1=life_it,0.5,0))+Sens!G795*0.5)/life_it</f>
        <v>56.5253124603396</v>
      </c>
      <c r="H797" s="6" t="n">
        <f aca="false">(Sens!C795*IF(5&lt;life_it,1,IF(5=life_it,0.5,0))+Sens!D795*IF(4&lt;life_it,1,IF(4=life_it,0.5,0))+Sens!E795*IF(3&lt;life_it,1,IF(3=life_it,0.5,0))+Sens!F795*IF(2&lt;life_it,1,IF(2=life_it,0.5,0))+Sens!G795*IF(1&lt;life_it,1,IF(1=life_it,0.5,0))+Sens!H795*0.5)/life_it</f>
        <v>82.1599139931396</v>
      </c>
      <c r="I797" s="6" t="n">
        <f aca="false">(Sens!C795*IF(6&lt;life_it,1,IF(6=life_it,0.5,0))+Sens!D795*IF(5&lt;life_it,1,IF(5=life_it,0.5,0))+Sens!E795*IF(4&lt;life_it,1,IF(4=life_it,0.5,0))+Sens!F795*IF(3&lt;life_it,1,IF(3=life_it,0.5,0))+Sens!G795*IF(2&lt;life_it,1,IF(2=life_it,0.5,0))+Sens!H795*IF(1&lt;life_it,1,IF(1=life_it,0.5,0))+Sens!I795*0.5)/life_it</f>
        <v>108.813798541123</v>
      </c>
      <c r="J797" s="6" t="n">
        <f aca="false">(Sens!C795*IF(7&lt;life_it,1,IF(7=life_it,0.5,0))+Sens!D795*IF(6&lt;life_it,1,IF(6=life_it,0.5,0))+Sens!E795*IF(5&lt;life_it,1,IF(5=life_it,0.5,0))+Sens!F795*IF(4&lt;life_it,1,IF(4=life_it,0.5,0))+Sens!G795*IF(3&lt;life_it,1,IF(3=life_it,0.5,0))+Sens!H795*IF(2&lt;life_it,1,IF(2=life_it,0.5,0))+Sens!I795*IF(1&lt;life_it,1,IF(1=life_it,0.5,0))+Sens!J795*0.5)/life_it</f>
        <v>136.439913558273</v>
      </c>
      <c r="K797" s="6" t="n">
        <f aca="false">(Sens!C795*IF(8&lt;life_it,1,IF(8=life_it,0.5,0))+Sens!D795*IF(7&lt;life_it,1,IF(7=life_it,0.5,0))+Sens!E795*IF(6&lt;life_it,1,IF(6=life_it,0.5,0))+Sens!F795*IF(5&lt;life_it,1,IF(5=life_it,0.5,0))+Sens!G795*IF(4&lt;life_it,1,IF(4=life_it,0.5,0))+Sens!H795*IF(3&lt;life_it,1,IF(3=life_it,0.5,0))+Sens!I795*IF(2&lt;life_it,1,IF(2=life_it,0.5,0))+Sens!J795*IF(1&lt;life_it,1,IF(1=life_it,0.5,0))+Sens!K795*0.5)/life_it</f>
        <v>165.35357703459</v>
      </c>
    </row>
    <row r="798" customFormat="false" ht="17.15" hidden="false" customHeight="false" outlineLevel="0" collapsed="false">
      <c r="A798" s="0" t="s">
        <v>760</v>
      </c>
      <c r="B798" s="0" t="s">
        <v>95</v>
      </c>
      <c r="E798" s="6" t="n">
        <f aca="false">(Sens!C793*IF(2&lt;life_fac,1,IF(2=life_fac,0.5,0))+Sens!D793*IF(1&lt;life_fac,1,IF(1=life_fac,0.5,0))+Sens!E793*0.5)/life_fac</f>
        <v>1.2448275</v>
      </c>
      <c r="F798" s="6" t="n">
        <f aca="false">(Sens!C793*IF(3&lt;life_fac,1,IF(3=life_fac,0.5,0))+Sens!D793*IF(2&lt;life_fac,1,IF(2=life_fac,0.5,0))+Sens!E793*IF(1&lt;life_fac,1,IF(1=life_fac,0.5,0))+Sens!F793*0.5)/life_fac</f>
        <v>2.4456901</v>
      </c>
      <c r="G798" s="6" t="n">
        <f aca="false">(Sens!C793*IF(4&lt;life_fac,1,IF(4=life_fac,0.5,0))+Sens!D793*IF(3&lt;life_fac,1,IF(3=life_fac,0.5,0))+Sens!E793*IF(2&lt;life_fac,1,IF(2=life_fac,0.5,0))+Sens!F793*IF(1&lt;life_fac,1,IF(1=life_fac,0.5,0))+Sens!G793*0.5)/life_fac</f>
        <v>3.9814208</v>
      </c>
      <c r="H798" s="6" t="n">
        <f aca="false">(Sens!C793*IF(5&lt;life_fac,1,IF(5=life_fac,0.5,0))+Sens!D793*IF(4&lt;life_fac,1,IF(4=life_fac,0.5,0))+Sens!E793*IF(3&lt;life_fac,1,IF(3=life_fac,0.5,0))+Sens!F793*IF(2&lt;life_fac,1,IF(2=life_fac,0.5,0))+Sens!G793*IF(1&lt;life_fac,1,IF(1=life_fac,0.5,0))+Sens!H793*0.5)/life_fac</f>
        <v>5.582402</v>
      </c>
      <c r="I798" s="6" t="n">
        <f aca="false">(Sens!C793*IF(6&lt;life_fac,1,IF(6=life_fac,0.5,0))+Sens!D793*IF(5&lt;life_fac,1,IF(5=life_fac,0.5,0))+Sens!E793*IF(4&lt;life_fac,1,IF(4=life_fac,0.5,0))+Sens!F793*IF(3&lt;life_fac,1,IF(3=life_fac,0.5,0))+Sens!G793*IF(2&lt;life_fac,1,IF(2=life_fac,0.5,0))+Sens!H793*IF(1&lt;life_fac,1,IF(1=life_fac,0.5,0))+Sens!I793*0.5)/life_fac</f>
        <v>7.1833832</v>
      </c>
      <c r="J798" s="6" t="n">
        <f aca="false">(Sens!C793*IF(7&lt;life_fac,1,IF(7=life_fac,0.5,0))+Sens!D793*IF(6&lt;life_fac,1,IF(6=life_fac,0.5,0))+Sens!E793*IF(5&lt;life_fac,1,IF(5=life_fac,0.5,0))+Sens!F793*IF(4&lt;life_fac,1,IF(4=life_fac,0.5,0))+Sens!G793*IF(3&lt;life_fac,1,IF(3=life_fac,0.5,0))+Sens!H793*IF(2&lt;life_fac,1,IF(2=life_fac,0.5,0))+Sens!I793*IF(1&lt;life_fac,1,IF(1=life_fac,0.5,0))+Sens!J793*0.5)/life_fac</f>
        <v>8.7843644</v>
      </c>
      <c r="K798" s="6" t="n">
        <f aca="false">(Sens!C793*IF(8&lt;life_fac,1,IF(8=life_fac,0.5,0))+Sens!D793*IF(7&lt;life_fac,1,IF(7=life_fac,0.5,0))+Sens!E793*IF(6&lt;life_fac,1,IF(6=life_fac,0.5,0))+Sens!F793*IF(5&lt;life_fac,1,IF(5=life_fac,0.5,0))+Sens!G793*IF(4&lt;life_fac,1,IF(4=life_fac,0.5,0))+Sens!H793*IF(3&lt;life_fac,1,IF(3=life_fac,0.5,0))+Sens!I793*IF(2&lt;life_fac,1,IF(2=life_fac,0.5,0))+Sens!J793*IF(1&lt;life_fac,1,IF(1=life_fac,0.5,0))+Sens!K793*0.5)/life_fac</f>
        <v>10.3853456</v>
      </c>
    </row>
    <row r="799" customFormat="false" ht="17.15" hidden="false" customHeight="false" outlineLevel="0" collapsed="false">
      <c r="A799" s="0" t="s">
        <v>761</v>
      </c>
      <c r="B799" s="0" t="s">
        <v>95</v>
      </c>
      <c r="E799" s="6" t="n">
        <f aca="false">Sens!E797+Sens!E798</f>
        <v>16.3054059770833</v>
      </c>
      <c r="F799" s="6" t="n">
        <f aca="false">Sens!F797+Sens!F798</f>
        <v>34.7405354558698</v>
      </c>
      <c r="G799" s="6" t="n">
        <f aca="false">Sens!G797+Sens!G798</f>
        <v>60.5067332603396</v>
      </c>
      <c r="H799" s="6" t="n">
        <f aca="false">Sens!H797+Sens!H798</f>
        <v>87.7423159931396</v>
      </c>
      <c r="I799" s="6" t="n">
        <f aca="false">Sens!I797+Sens!I798</f>
        <v>115.997181741123</v>
      </c>
      <c r="J799" s="6" t="n">
        <f aca="false">Sens!J797+Sens!J798</f>
        <v>145.224277958273</v>
      </c>
      <c r="K799" s="6" t="n">
        <f aca="false">Sens!K797+Sens!K798</f>
        <v>175.73892263459</v>
      </c>
    </row>
    <row r="800" customFormat="false" ht="17.15" hidden="false" customHeight="false" outlineLevel="0" collapsed="false">
      <c r="A800" s="0" t="s">
        <v>762</v>
      </c>
      <c r="B800" s="0" t="s">
        <v>95</v>
      </c>
      <c r="E800" s="6" t="n">
        <f aca="false">Sens!E788-Sens!E787*Sens!E799</f>
        <v>8.92707889977379</v>
      </c>
      <c r="F800" s="6" t="n">
        <f aca="false">Sens!F788-Sens!F787*Sens!F799</f>
        <v>26.8747204619158</v>
      </c>
      <c r="G800" s="6" t="n">
        <f aca="false">Sens!G788-Sens!G787*Sens!G799</f>
        <v>43.6662957994604</v>
      </c>
      <c r="H800" s="6" t="n">
        <f aca="false">Sens!H788-Sens!H787*Sens!H799</f>
        <v>61.2995999985063</v>
      </c>
      <c r="I800" s="6" t="n">
        <f aca="false">Sens!I788-Sens!I787*Sens!I799</f>
        <v>78.4912088291602</v>
      </c>
      <c r="J800" s="6" t="n">
        <f aca="false">Sens!J788-Sens!J787*Sens!J799</f>
        <v>95.1882811726929</v>
      </c>
      <c r="K800" s="6" t="n">
        <f aca="false">Sens!K788-Sens!K787*Sens!K799</f>
        <v>111.165062265546</v>
      </c>
    </row>
    <row r="801" customFormat="false" ht="17.15" hidden="false" customHeight="false" outlineLevel="0" collapsed="false">
      <c r="A801" s="3" t="s">
        <v>1135</v>
      </c>
    </row>
    <row r="802" customFormat="false" ht="15" hidden="false" customHeight="false" outlineLevel="0" collapsed="false">
      <c r="A802" s="4" t="s">
        <v>43</v>
      </c>
      <c r="B802" s="4" t="s">
        <v>63</v>
      </c>
      <c r="C802" s="19" t="s">
        <v>710</v>
      </c>
      <c r="D802" s="19" t="s">
        <v>711</v>
      </c>
      <c r="E802" s="19" t="s">
        <v>712</v>
      </c>
      <c r="F802" s="19" t="s">
        <v>713</v>
      </c>
      <c r="G802" s="19" t="s">
        <v>714</v>
      </c>
      <c r="H802" s="19" t="s">
        <v>715</v>
      </c>
      <c r="I802" s="19" t="s">
        <v>716</v>
      </c>
      <c r="J802" s="19" t="s">
        <v>717</v>
      </c>
      <c r="K802" s="19" t="s">
        <v>718</v>
      </c>
      <c r="L802" s="4" t="s">
        <v>47</v>
      </c>
    </row>
    <row r="803" customFormat="false" ht="17.15" hidden="false" customHeight="false" outlineLevel="0" collapsed="false">
      <c r="A803" s="0" t="s">
        <v>780</v>
      </c>
      <c r="B803" s="0" t="s">
        <v>95</v>
      </c>
      <c r="D803" s="6" t="n">
        <f aca="false">Sens!D782</f>
        <v>12.9359794422418</v>
      </c>
      <c r="E803" s="6" t="n">
        <f aca="false">Sens!E782</f>
        <v>27.8095064661409</v>
      </c>
      <c r="F803" s="6" t="n">
        <f aca="false">Sens!F782</f>
        <v>63.3236075612023</v>
      </c>
      <c r="G803" s="6" t="n">
        <f aca="false">Sens!G782</f>
        <v>102.868122516912</v>
      </c>
      <c r="H803" s="6" t="n">
        <f aca="false">Sens!H782</f>
        <v>143.560975347405</v>
      </c>
      <c r="I803" s="6" t="n">
        <f aca="false">Sens!I782</f>
        <v>184.44219348695</v>
      </c>
      <c r="J803" s="6" t="n">
        <f aca="false">Sens!J782</f>
        <v>225.421879514728</v>
      </c>
      <c r="K803" s="6" t="n">
        <f aca="false">Sens!K782</f>
        <v>266.459489465464</v>
      </c>
    </row>
    <row r="804" customFormat="false" ht="17.15" hidden="false" customHeight="false" outlineLevel="0" collapsed="false">
      <c r="A804" s="0" t="s">
        <v>781</v>
      </c>
      <c r="B804" s="0" t="s">
        <v>95</v>
      </c>
      <c r="D804" s="6" t="n">
        <f aca="false">Q!L6-Sens!D803</f>
        <v>59.6740205577583</v>
      </c>
      <c r="E804" s="6" t="n">
        <f aca="false">Q!M6-Sens!E803</f>
        <v>74.1284935338591</v>
      </c>
      <c r="F804" s="6" t="n">
        <f aca="false">Sens!E804*(1+Sens!F805)</f>
        <v>90.0799497373663</v>
      </c>
      <c r="G804" s="6" t="n">
        <f aca="false">Sens!F804*(1+Sens!G805)</f>
        <v>107.02842520331</v>
      </c>
      <c r="H804" s="6" t="n">
        <f aca="false">Sens!G804*(1+Sens!H805)</f>
        <v>124.271982585636</v>
      </c>
      <c r="I804" s="6" t="n">
        <f aca="false">Sens!H804*(1+Sens!I805)</f>
        <v>140.933702381855</v>
      </c>
      <c r="J804" s="6" t="n">
        <f aca="false">Sens!I804*(1+Sens!J805)</f>
        <v>156.018867314332</v>
      </c>
      <c r="K804" s="6" t="n">
        <f aca="false">Sens!J804*(1+Sens!K805)</f>
        <v>168.500376699478</v>
      </c>
    </row>
    <row r="805" customFormat="false" ht="15" hidden="false" customHeight="false" outlineLevel="0" collapsed="false">
      <c r="A805" s="1" t="s">
        <v>782</v>
      </c>
      <c r="B805" s="0" t="s">
        <v>126</v>
      </c>
      <c r="E805" s="7" t="n">
        <f aca="false">Sens!E804/Sens!D804-1</f>
        <v>0.242223883039864</v>
      </c>
      <c r="F805" s="7" t="n">
        <f aca="false">Sens!$E$805+(glt_azo-Sens!$E$805)*MIN(1,1/n_conv)</f>
        <v>0.215186569199887</v>
      </c>
      <c r="G805" s="7" t="n">
        <f aca="false">Sens!$E$805+(glt_azo-Sens!$E$805)*MIN(1,2/n_conv)</f>
        <v>0.18814925535991</v>
      </c>
      <c r="H805" s="7" t="n">
        <f aca="false">Sens!$E$805+(glt_azo-Sens!$E$805)*MIN(1,3/n_conv)</f>
        <v>0.161111941519932</v>
      </c>
      <c r="I805" s="7" t="n">
        <f aca="false">Sens!$E$805+(glt_azo-Sens!$E$805)*MIN(1,4/n_conv)</f>
        <v>0.134074627679955</v>
      </c>
      <c r="J805" s="7" t="n">
        <f aca="false">Sens!$E$805+(glt_azo-Sens!$E$805)*MIN(1,5/n_conv)</f>
        <v>0.107037313839977</v>
      </c>
      <c r="K805" s="7" t="n">
        <f aca="false">Sens!$E$805+(glt_azo-Sens!$E$805)*MIN(1,6/n_conv)</f>
        <v>0.08</v>
      </c>
    </row>
    <row r="806" customFormat="false" ht="15" hidden="false" customHeight="false" outlineLevel="0" collapsed="false">
      <c r="A806" s="0" t="s">
        <v>783</v>
      </c>
      <c r="B806" s="0" t="s">
        <v>95</v>
      </c>
      <c r="D806" s="6" t="n">
        <f aca="false">Sens!D803+Sens!D804</f>
        <v>72.61</v>
      </c>
      <c r="E806" s="6" t="n">
        <f aca="false">Sens!E803+Sens!E804</f>
        <v>101.938</v>
      </c>
      <c r="F806" s="6" t="n">
        <f aca="false">Sens!F803+Sens!F804</f>
        <v>153.403557298569</v>
      </c>
      <c r="G806" s="6" t="n">
        <f aca="false">Sens!G803+Sens!G804</f>
        <v>209.896547720222</v>
      </c>
      <c r="H806" s="6" t="n">
        <f aca="false">Sens!H803+Sens!H804</f>
        <v>267.832957933041</v>
      </c>
      <c r="I806" s="6" t="n">
        <f aca="false">Sens!I803+Sens!I804</f>
        <v>325.375895868805</v>
      </c>
      <c r="J806" s="6" t="n">
        <f aca="false">Sens!J803+Sens!J804</f>
        <v>381.44074682906</v>
      </c>
      <c r="K806" s="6" t="n">
        <f aca="false">Sens!K803+Sens!K804</f>
        <v>434.959866164942</v>
      </c>
    </row>
    <row r="807" customFormat="false" ht="17.15" hidden="false" customHeight="false" outlineLevel="0" collapsed="false">
      <c r="A807" s="0" t="s">
        <v>784</v>
      </c>
      <c r="B807" s="1" t="s">
        <v>451</v>
      </c>
      <c r="C807" s="27" t="n">
        <f aca="false">cop_s24</f>
        <v>1</v>
      </c>
      <c r="D807" s="27" t="n">
        <f aca="false">cop_s25</f>
        <v>5</v>
      </c>
      <c r="E807" s="27" t="n">
        <f aca="false">cop_s26</f>
        <v>30</v>
      </c>
      <c r="F807" s="27" t="n">
        <f aca="false">Sens!E807+IF(2027&lt;=2029,cop_add_B,cop_add_B*cop_tail)</f>
        <v>50</v>
      </c>
      <c r="G807" s="27" t="n">
        <f aca="false">Sens!F807+IF(2028&lt;=2029,cop_add_B,cop_add_B*cop_tail)</f>
        <v>70</v>
      </c>
      <c r="H807" s="27" t="n">
        <f aca="false">Sens!G807+IF(2029&lt;=2029,cop_add_B,cop_add_B*cop_tail)</f>
        <v>90</v>
      </c>
      <c r="I807" s="27" t="n">
        <f aca="false">Sens!H807+IF(2030&lt;=2029,cop_add_B,cop_add_B*cop_tail)</f>
        <v>100</v>
      </c>
      <c r="J807" s="27" t="n">
        <f aca="false">Sens!I807+IF(2031&lt;=2029,cop_add_B,cop_add_B*cop_tail)</f>
        <v>110</v>
      </c>
      <c r="K807" s="27" t="n">
        <f aca="false">Sens!J807+IF(2032&lt;=2029,cop_add_B,cop_add_B*cop_tail)</f>
        <v>120</v>
      </c>
    </row>
    <row r="808" customFormat="false" ht="17.15" hidden="false" customHeight="false" outlineLevel="0" collapsed="false">
      <c r="A808" s="0" t="s">
        <v>785</v>
      </c>
      <c r="B808" s="0" t="s">
        <v>95</v>
      </c>
      <c r="D808" s="6" t="n">
        <f aca="false">(Sens!C807+Sens!D807)/2*cop_px*12/1000</f>
        <v>0.9</v>
      </c>
      <c r="E808" s="6" t="n">
        <f aca="false">(Sens!D807+Sens!E807)/2*cop_px*12/1000</f>
        <v>5.25</v>
      </c>
      <c r="F808" s="6" t="n">
        <f aca="false">(Sens!E807+Sens!F807)/2*cop_px*12/1000</f>
        <v>12</v>
      </c>
      <c r="G808" s="6" t="n">
        <f aca="false">(Sens!F807+Sens!G807)/2*cop_px*12/1000</f>
        <v>18</v>
      </c>
      <c r="H808" s="6" t="n">
        <f aca="false">(Sens!G807+Sens!H807)/2*cop_px*12/1000</f>
        <v>24</v>
      </c>
      <c r="I808" s="6" t="n">
        <f aca="false">(Sens!H807+Sens!I807)/2*cop_px*12/1000</f>
        <v>28.5</v>
      </c>
      <c r="J808" s="6" t="n">
        <f aca="false">(Sens!I807+Sens!J807)/2*cop_px*12/1000</f>
        <v>31.5</v>
      </c>
      <c r="K808" s="6" t="n">
        <f aca="false">(Sens!J807+Sens!K807)/2*cop_px*12/1000</f>
        <v>34.5</v>
      </c>
      <c r="L808" s="1" t="s">
        <v>786</v>
      </c>
    </row>
    <row r="809" customFormat="false" ht="17.15" hidden="false" customHeight="false" outlineLevel="0" collapsed="false">
      <c r="A809" s="0" t="s">
        <v>787</v>
      </c>
      <c r="B809" s="0" t="s">
        <v>95</v>
      </c>
      <c r="D809" s="6" t="n">
        <f aca="false">Q!L7-Sens!D808</f>
        <v>83.705</v>
      </c>
      <c r="E809" s="6" t="n">
        <f aca="false">Q!M7-Sens!E808</f>
        <v>95.049</v>
      </c>
      <c r="F809" s="6" t="n">
        <f aca="false">Sens!E809*(1+Sens!F810)</f>
        <v>106.89238776686</v>
      </c>
      <c r="G809" s="6" t="n">
        <f aca="false">Sens!F809*(1+Sens!G810)</f>
        <v>119.044168448684</v>
      </c>
      <c r="H809" s="6" t="n">
        <f aca="false">Sens!G809*(1+Sens!H810)</f>
        <v>131.277359388781</v>
      </c>
      <c r="I809" s="6" t="n">
        <f aca="false">Sens!H809*(1+Sens!I810)</f>
        <v>143.334028071957</v>
      </c>
      <c r="J809" s="6" t="n">
        <f aca="false">Sens!I809*(1+Sens!J810)</f>
        <v>154.932702785465</v>
      </c>
      <c r="K809" s="6" t="n">
        <f aca="false">Sens!J809*(1+Sens!K810)</f>
        <v>165.777991980448</v>
      </c>
    </row>
    <row r="810" customFormat="false" ht="15" hidden="false" customHeight="false" outlineLevel="0" collapsed="false">
      <c r="A810" s="1" t="s">
        <v>782</v>
      </c>
      <c r="B810" s="0" t="s">
        <v>126</v>
      </c>
      <c r="E810" s="7" t="n">
        <f aca="false">Sens!E809/Sens!D809-1</f>
        <v>0.135523564900544</v>
      </c>
      <c r="F810" s="7" t="n">
        <f aca="false">Sens!$E$810+(glt_m365b-Sens!$E$810)*MIN(1,1/n_conv)</f>
        <v>0.124602970750453</v>
      </c>
      <c r="G810" s="7" t="n">
        <f aca="false">Sens!$E$810+(glt_m365b-Sens!$E$810)*MIN(1,2/n_conv)</f>
        <v>0.113682376600363</v>
      </c>
      <c r="H810" s="7" t="n">
        <f aca="false">Sens!$E$810+(glt_m365b-Sens!$E$810)*MIN(1,3/n_conv)</f>
        <v>0.102761782450272</v>
      </c>
      <c r="I810" s="7" t="n">
        <f aca="false">Sens!$E$810+(glt_m365b-Sens!$E$810)*MIN(1,4/n_conv)</f>
        <v>0.0918411883001813</v>
      </c>
      <c r="J810" s="7" t="n">
        <f aca="false">Sens!$E$810+(glt_m365b-Sens!$E$810)*MIN(1,5/n_conv)</f>
        <v>0.0809205941500906</v>
      </c>
      <c r="K810" s="7" t="n">
        <f aca="false">Sens!$E$810+(glt_m365b-Sens!$E$810)*MIN(1,6/n_conv)</f>
        <v>0.07</v>
      </c>
    </row>
    <row r="811" customFormat="false" ht="15" hidden="false" customHeight="false" outlineLevel="0" collapsed="false">
      <c r="A811" s="0" t="s">
        <v>788</v>
      </c>
      <c r="B811" s="0" t="s">
        <v>95</v>
      </c>
      <c r="D811" s="6" t="n">
        <f aca="false">Sens!D809+Sens!D808</f>
        <v>84.605</v>
      </c>
      <c r="E811" s="6" t="n">
        <f aca="false">Sens!E809+Sens!E808</f>
        <v>100.299</v>
      </c>
      <c r="F811" s="6" t="n">
        <f aca="false">Sens!F809+Sens!F808</f>
        <v>118.89238776686</v>
      </c>
      <c r="G811" s="6" t="n">
        <f aca="false">Sens!G809+Sens!G808</f>
        <v>137.044168448684</v>
      </c>
      <c r="H811" s="6" t="n">
        <f aca="false">Sens!H809+Sens!H808</f>
        <v>155.277359388781</v>
      </c>
      <c r="I811" s="6" t="n">
        <f aca="false">Sens!I809+Sens!I808</f>
        <v>171.834028071957</v>
      </c>
      <c r="J811" s="6" t="n">
        <f aca="false">Sens!J809+Sens!J808</f>
        <v>186.432702785465</v>
      </c>
      <c r="K811" s="6" t="n">
        <f aca="false">Sens!K809+Sens!K808</f>
        <v>200.277991980448</v>
      </c>
    </row>
    <row r="812" customFormat="false" ht="15" hidden="false" customHeight="false" outlineLevel="0" collapsed="false">
      <c r="A812" s="0" t="s">
        <v>789</v>
      </c>
      <c r="B812" s="0" t="s">
        <v>95</v>
      </c>
      <c r="D812" s="6" t="n">
        <f aca="false">Q!L8</f>
        <v>35.391</v>
      </c>
      <c r="E812" s="6" t="n">
        <f aca="false">Q!M8</f>
        <v>37.285</v>
      </c>
      <c r="F812" s="6" t="n">
        <f aca="false">Sens!E812*(1+Sens!F813)</f>
        <v>39.0720834331704</v>
      </c>
      <c r="G812" s="6" t="n">
        <f aca="false">Sens!F812*(1+Sens!G813)</f>
        <v>40.726562953769</v>
      </c>
      <c r="H812" s="6" t="n">
        <f aca="false">Sens!G812*(1+Sens!H813)</f>
        <v>42.2235987259198</v>
      </c>
      <c r="I812" s="6" t="n">
        <f aca="false">Sens!H812*(1+Sens!I813)</f>
        <v>43.5397988077414</v>
      </c>
      <c r="J812" s="6" t="n">
        <f aca="false">Sens!I812*(1+Sens!J813)</f>
        <v>44.653811225693</v>
      </c>
      <c r="K812" s="6" t="n">
        <f aca="false">Sens!J812*(1+Sens!K813)</f>
        <v>45.5468874502068</v>
      </c>
    </row>
    <row r="813" customFormat="false" ht="15" hidden="false" customHeight="false" outlineLevel="0" collapsed="false">
      <c r="A813" s="1" t="s">
        <v>782</v>
      </c>
      <c r="B813" s="0" t="s">
        <v>126</v>
      </c>
      <c r="E813" s="7" t="n">
        <f aca="false">Sens!E812/Sens!D812-1</f>
        <v>0.0535164307309768</v>
      </c>
      <c r="F813" s="7" t="n">
        <f aca="false">Sens!$E$813+(glt_lic-Sens!$E$813)*MIN(1,1/n_conv)</f>
        <v>0.0479303589424807</v>
      </c>
      <c r="G813" s="7" t="n">
        <f aca="false">Sens!$E$813+(glt_lic-Sens!$E$813)*MIN(1,2/n_conv)</f>
        <v>0.0423442871539845</v>
      </c>
      <c r="H813" s="7" t="n">
        <f aca="false">Sens!$E$813+(glt_lic-Sens!$E$813)*MIN(1,3/n_conv)</f>
        <v>0.0367582153654884</v>
      </c>
      <c r="I813" s="7" t="n">
        <f aca="false">Sens!$E$813+(glt_lic-Sens!$E$813)*MIN(1,4/n_conv)</f>
        <v>0.0311721435769923</v>
      </c>
      <c r="J813" s="7" t="n">
        <f aca="false">Sens!$E$813+(glt_lic-Sens!$E$813)*MIN(1,5/n_conv)</f>
        <v>0.0255860717884961</v>
      </c>
      <c r="K813" s="7" t="n">
        <f aca="false">Sens!$E$813+(glt_lic-Sens!$E$813)*MIN(1,6/n_conv)</f>
        <v>0.02</v>
      </c>
    </row>
    <row r="814" customFormat="false" ht="15" hidden="false" customHeight="false" outlineLevel="0" collapsed="false">
      <c r="A814" s="0" t="s">
        <v>790</v>
      </c>
      <c r="B814" s="0" t="s">
        <v>95</v>
      </c>
      <c r="D814" s="6" t="n">
        <f aca="false">Q!L9</f>
        <v>18.417</v>
      </c>
      <c r="E814" s="6" t="n">
        <f aca="false">Q!M9</f>
        <v>20.345</v>
      </c>
      <c r="F814" s="6" t="n">
        <f aca="false">Sens!E814*(1+Sens!F815)</f>
        <v>22.3572203267814</v>
      </c>
      <c r="G814" s="6" t="n">
        <f aca="false">Sens!F814*(1+Sens!G815)</f>
        <v>24.4392124437232</v>
      </c>
      <c r="H814" s="6" t="n">
        <f aca="false">Sens!G814*(1+Sens!H815)</f>
        <v>26.5738052080665</v>
      </c>
      <c r="I814" s="6" t="n">
        <f aca="false">Sens!H814*(1+Sens!I815)</f>
        <v>28.7412169166967</v>
      </c>
      <c r="J814" s="6" t="n">
        <f aca="false">Sens!I814*(1+Sens!J815)</f>
        <v>30.9192545395413</v>
      </c>
      <c r="K814" s="6" t="n">
        <f aca="false">Sens!J814*(1+Sens!K815)</f>
        <v>33.0836023573092</v>
      </c>
    </row>
    <row r="815" customFormat="false" ht="15" hidden="false" customHeight="false" outlineLevel="0" collapsed="false">
      <c r="A815" s="1" t="s">
        <v>782</v>
      </c>
      <c r="B815" s="0" t="s">
        <v>126</v>
      </c>
      <c r="E815" s="7" t="n">
        <f aca="false">Sens!E814/Sens!D814-1</f>
        <v>0.104685888038225</v>
      </c>
      <c r="F815" s="7" t="n">
        <f aca="false">Sens!$E$815+(glt_ind-Sens!$E$815)*MIN(1,1/n_conv)</f>
        <v>0.0989049066985211</v>
      </c>
      <c r="G815" s="7" t="n">
        <f aca="false">Sens!$E$815+(glt_ind-Sens!$E$815)*MIN(1,2/n_conv)</f>
        <v>0.0931239253588169</v>
      </c>
      <c r="H815" s="7" t="n">
        <f aca="false">Sens!$E$815+(glt_ind-Sens!$E$815)*MIN(1,3/n_conv)</f>
        <v>0.0873429440191127</v>
      </c>
      <c r="I815" s="7" t="n">
        <f aca="false">Sens!$E$815+(glt_ind-Sens!$E$815)*MIN(1,4/n_conv)</f>
        <v>0.0815619626794085</v>
      </c>
      <c r="J815" s="7" t="n">
        <f aca="false">Sens!$E$815+(glt_ind-Sens!$E$815)*MIN(1,5/n_conv)</f>
        <v>0.0757809813397042</v>
      </c>
      <c r="K815" s="7" t="n">
        <f aca="false">Sens!$E$815+(glt_ind-Sens!$E$815)*MIN(1,6/n_conv)</f>
        <v>0.07</v>
      </c>
    </row>
    <row r="816" customFormat="false" ht="15" hidden="false" customHeight="false" outlineLevel="0" collapsed="false">
      <c r="A816" s="0" t="s">
        <v>791</v>
      </c>
      <c r="B816" s="0" t="s">
        <v>95</v>
      </c>
      <c r="D816" s="6" t="n">
        <f aca="false">Q!L10</f>
        <v>7.76</v>
      </c>
      <c r="E816" s="6" t="n">
        <f aca="false">Q!M10</f>
        <v>8.26</v>
      </c>
      <c r="F816" s="6" t="n">
        <f aca="false">Sens!E816*(1+Sens!F817)</f>
        <v>8.79988041237113</v>
      </c>
      <c r="G816" s="6" t="n">
        <f aca="false">Sens!F816*(1+Sens!G817)</f>
        <v>9.38321269125306</v>
      </c>
      <c r="H816" s="6" t="n">
        <f aca="false">Sens!G816*(1+Sens!H817)</f>
        <v>10.0139193587476</v>
      </c>
      <c r="I816" s="6" t="n">
        <f aca="false">Sens!H816*(1+Sens!I817)</f>
        <v>10.6963111830911</v>
      </c>
      <c r="J816" s="6" t="n">
        <f aca="false">Sens!I816*(1+Sens!J817)</f>
        <v>11.4351285534696</v>
      </c>
      <c r="K816" s="6" t="n">
        <f aca="false">Sens!J816*(1+Sens!K817)</f>
        <v>12.2355875522124</v>
      </c>
    </row>
    <row r="817" customFormat="false" ht="15" hidden="false" customHeight="false" outlineLevel="0" collapsed="false">
      <c r="A817" s="1" t="s">
        <v>782</v>
      </c>
      <c r="B817" s="0" t="s">
        <v>126</v>
      </c>
      <c r="E817" s="7" t="n">
        <f aca="false">Sens!E816/Sens!D816-1</f>
        <v>0.0644329896907216</v>
      </c>
      <c r="F817" s="7" t="n">
        <f aca="false">Sens!$E$817+(glt_fro-Sens!$E$817)*MIN(1,1/n_conv)</f>
        <v>0.065360824742268</v>
      </c>
      <c r="G817" s="7" t="n">
        <f aca="false">Sens!$E$817+(glt_fro-Sens!$E$817)*MIN(1,2/n_conv)</f>
        <v>0.0662886597938144</v>
      </c>
      <c r="H817" s="7" t="n">
        <f aca="false">Sens!$E$817+(glt_fro-Sens!$E$817)*MIN(1,3/n_conv)</f>
        <v>0.0672164948453608</v>
      </c>
      <c r="I817" s="7" t="n">
        <f aca="false">Sens!$E$817+(glt_fro-Sens!$E$817)*MIN(1,4/n_conv)</f>
        <v>0.0681443298969072</v>
      </c>
      <c r="J817" s="7" t="n">
        <f aca="false">Sens!$E$817+(glt_fro-Sens!$E$817)*MIN(1,5/n_conv)</f>
        <v>0.0690721649484536</v>
      </c>
      <c r="K817" s="7" t="n">
        <f aca="false">Sens!$E$817+(glt_fro-Sens!$E$817)*MIN(1,6/n_conv)</f>
        <v>0.07</v>
      </c>
    </row>
    <row r="818" customFormat="false" ht="15" hidden="false" customHeight="false" outlineLevel="0" collapsed="false">
      <c r="A818" s="0" t="s">
        <v>626</v>
      </c>
      <c r="B818" s="0" t="s">
        <v>95</v>
      </c>
      <c r="D818" s="6" t="n">
        <f aca="false">Sens!D806+Sens!D811+Sens!D812+Sens!D814+Sens!D816</f>
        <v>218.783</v>
      </c>
      <c r="E818" s="6" t="n">
        <f aca="false">Sens!E806+Sens!E811+Sens!E812+Sens!E814+Sens!E816</f>
        <v>268.127</v>
      </c>
      <c r="F818" s="6" t="n">
        <f aca="false">Sens!F806+Sens!F811+Sens!F812+Sens!F814+Sens!F816</f>
        <v>342.525129237751</v>
      </c>
      <c r="G818" s="6" t="n">
        <f aca="false">Sens!G806+Sens!G811+Sens!G812+Sens!G814+Sens!G816</f>
        <v>421.489704257651</v>
      </c>
      <c r="H818" s="6" t="n">
        <f aca="false">Sens!H806+Sens!H811+Sens!H812+Sens!H814+Sens!H816</f>
        <v>501.921640614556</v>
      </c>
      <c r="I818" s="6" t="n">
        <f aca="false">Sens!I806+Sens!I811+Sens!I812+Sens!I814+Sens!I816</f>
        <v>580.187250848291</v>
      </c>
      <c r="J818" s="6" t="n">
        <f aca="false">Sens!J806+Sens!J811+Sens!J812+Sens!J814+Sens!J816</f>
        <v>654.881643933229</v>
      </c>
      <c r="K818" s="6" t="n">
        <f aca="false">Sens!K806+Sens!K811+Sens!K812+Sens!K814+Sens!K816</f>
        <v>726.103935505119</v>
      </c>
    </row>
    <row r="819" customFormat="false" ht="15" hidden="false" customHeight="false" outlineLevel="0" collapsed="false">
      <c r="A819" s="0" t="s">
        <v>792</v>
      </c>
      <c r="B819" s="0" t="s">
        <v>95</v>
      </c>
      <c r="D819" s="6" t="n">
        <f aca="false">Q!L13</f>
        <v>22.171</v>
      </c>
      <c r="E819" s="6" t="n">
        <f aca="false">Q!M13</f>
        <v>24.835</v>
      </c>
      <c r="F819" s="6" t="n">
        <f aca="false">Sens!E819*(1+Sens!F820)</f>
        <v>27.6114901218559</v>
      </c>
      <c r="G819" s="6" t="n">
        <f aca="false">Sens!F819*(1+Sens!G820)</f>
        <v>30.4675667338515</v>
      </c>
      <c r="H819" s="6" t="n">
        <f aca="false">Sens!G819*(1+Sens!H820)</f>
        <v>33.3643766955789</v>
      </c>
      <c r="I819" s="6" t="n">
        <f aca="false">Sens!H819*(1+Sens!I820)</f>
        <v>36.2577016533691</v>
      </c>
      <c r="J819" s="6" t="n">
        <f aca="false">Sens!I819*(1+Sens!J820)</f>
        <v>39.0988367952171</v>
      </c>
      <c r="K819" s="6" t="n">
        <f aca="false">Sens!J819*(1+Sens!K820)</f>
        <v>41.8357553708823</v>
      </c>
    </row>
    <row r="820" customFormat="false" ht="15" hidden="false" customHeight="false" outlineLevel="0" collapsed="false">
      <c r="A820" s="1" t="s">
        <v>782</v>
      </c>
      <c r="B820" s="0" t="s">
        <v>126</v>
      </c>
      <c r="E820" s="7" t="n">
        <f aca="false">Sens!E819/Sens!D819-1</f>
        <v>0.120156961796942</v>
      </c>
      <c r="F820" s="7" t="n">
        <f aca="false">Sens!$E$820+(glt_srch-Sens!$E$820)*MIN(1,1/n_conv)</f>
        <v>0.111797468164118</v>
      </c>
      <c r="G820" s="7" t="n">
        <f aca="false">Sens!$E$820+(glt_srch-Sens!$E$820)*MIN(1,2/n_conv)</f>
        <v>0.103437974531295</v>
      </c>
      <c r="H820" s="7" t="n">
        <f aca="false">Sens!$E$820+(glt_srch-Sens!$E$820)*MIN(1,3/n_conv)</f>
        <v>0.095078480898471</v>
      </c>
      <c r="I820" s="7" t="n">
        <f aca="false">Sens!$E$820+(glt_srch-Sens!$E$820)*MIN(1,4/n_conv)</f>
        <v>0.0867189872656474</v>
      </c>
      <c r="J820" s="7" t="n">
        <f aca="false">Sens!$E$820+(glt_srch-Sens!$E$820)*MIN(1,5/n_conv)</f>
        <v>0.0783594936328237</v>
      </c>
      <c r="K820" s="7" t="n">
        <f aca="false">Sens!$E$820+(glt_srch-Sens!$E$820)*MIN(1,6/n_conv)</f>
        <v>0.07</v>
      </c>
    </row>
    <row r="821" customFormat="false" ht="15" hidden="false" customHeight="false" outlineLevel="0" collapsed="false">
      <c r="A821" s="0" t="s">
        <v>793</v>
      </c>
      <c r="B821" s="0" t="s">
        <v>95</v>
      </c>
      <c r="D821" s="6" t="n">
        <f aca="false">Q!L14</f>
        <v>23.455</v>
      </c>
      <c r="E821" s="6" t="n">
        <f aca="false">Q!M14</f>
        <v>21.79</v>
      </c>
      <c r="F821" s="6" t="n">
        <f aca="false">Sens!E821*(1+Sens!F822)</f>
        <v>20.5736277908051</v>
      </c>
      <c r="G821" s="6" t="n">
        <f aca="false">Sens!F821*(1+Sens!G822)</f>
        <v>19.7371452817919</v>
      </c>
      <c r="H821" s="6" t="n">
        <f aca="false">Sens!G821*(1+Sens!H822)</f>
        <v>19.2339764043138</v>
      </c>
      <c r="I821" s="6" t="n">
        <f aca="false">Sens!H821*(1+Sens!I822)</f>
        <v>19.0353086852681</v>
      </c>
      <c r="J821" s="6" t="n">
        <f aca="false">Sens!I821*(1+Sens!J822)</f>
        <v>19.1273539319129</v>
      </c>
      <c r="K821" s="6" t="n">
        <f aca="false">Sens!J821*(1+Sens!K822)</f>
        <v>19.5099010105511</v>
      </c>
    </row>
    <row r="822" customFormat="false" ht="15" hidden="false" customHeight="false" outlineLevel="0" collapsed="false">
      <c r="A822" s="1" t="s">
        <v>782</v>
      </c>
      <c r="B822" s="0" t="s">
        <v>126</v>
      </c>
      <c r="E822" s="7" t="n">
        <f aca="false">Sens!E821/Sens!D821-1</f>
        <v>-0.0709869963760392</v>
      </c>
      <c r="F822" s="7" t="n">
        <f aca="false">Sens!$E$822+(glt_xbox-Sens!$E$822)*MIN(1,1/n_conv)</f>
        <v>-0.0558224969800327</v>
      </c>
      <c r="G822" s="7" t="n">
        <f aca="false">Sens!$E$822+(glt_xbox-Sens!$E$822)*MIN(1,2/n_conv)</f>
        <v>-0.0406579975840262</v>
      </c>
      <c r="H822" s="7" t="n">
        <f aca="false">Sens!$E$822+(glt_xbox-Sens!$E$822)*MIN(1,3/n_conv)</f>
        <v>-0.0254934981880196</v>
      </c>
      <c r="I822" s="7" t="n">
        <f aca="false">Sens!$E$822+(glt_xbox-Sens!$E$822)*MIN(1,4/n_conv)</f>
        <v>-0.0103289987920131</v>
      </c>
      <c r="J822" s="7" t="n">
        <f aca="false">Sens!$E$822+(glt_xbox-Sens!$E$822)*MIN(1,5/n_conv)</f>
        <v>0.00483550060399347</v>
      </c>
      <c r="K822" s="7" t="n">
        <f aca="false">Sens!$E$822+(glt_xbox-Sens!$E$822)*MIN(1,6/n_conv)</f>
        <v>0.02</v>
      </c>
    </row>
    <row r="823" customFormat="false" ht="15" hidden="false" customHeight="false" outlineLevel="0" collapsed="false">
      <c r="A823" s="0" t="s">
        <v>794</v>
      </c>
      <c r="B823" s="0" t="s">
        <v>95</v>
      </c>
      <c r="D823" s="6" t="n">
        <f aca="false">Q!L15</f>
        <v>17.315</v>
      </c>
      <c r="E823" s="6" t="n">
        <f aca="false">Q!M15</f>
        <v>17.087</v>
      </c>
      <c r="F823" s="6" t="n">
        <f aca="false">Sens!E823*(1+Sens!F824)</f>
        <v>16.9564585436519</v>
      </c>
      <c r="G823" s="6" t="n">
        <f aca="false">Sens!F823*(1+Sens!G824)</f>
        <v>16.9206490624268</v>
      </c>
      <c r="H823" s="6" t="n">
        <f aca="false">Sens!G823*(1+Sens!H824)</f>
        <v>16.9784519149849</v>
      </c>
      <c r="I823" s="6" t="n">
        <f aca="false">Sens!H823*(1+Sens!I824)</f>
        <v>17.1303084701817</v>
      </c>
      <c r="J823" s="6" t="n">
        <f aca="false">Sens!I823*(1+Sens!J824)</f>
        <v>17.3782189407267</v>
      </c>
      <c r="K823" s="6" t="n">
        <f aca="false">Sens!J823*(1+Sens!K824)</f>
        <v>17.7257833195413</v>
      </c>
    </row>
    <row r="824" customFormat="false" ht="15" hidden="false" customHeight="false" outlineLevel="0" collapsed="false">
      <c r="A824" s="1" t="s">
        <v>782</v>
      </c>
      <c r="B824" s="0" t="s">
        <v>126</v>
      </c>
      <c r="E824" s="7" t="n">
        <f aca="false">Sens!E823/Sens!D823-1</f>
        <v>-0.0131677736066995</v>
      </c>
      <c r="F824" s="7" t="n">
        <f aca="false">Sens!$E$824+(glt_win-Sens!$E$824)*MIN(1,1/n_conv)</f>
        <v>-0.00763981133891627</v>
      </c>
      <c r="G824" s="7" t="n">
        <f aca="false">Sens!$E$824+(glt_win-Sens!$E$824)*MIN(1,2/n_conv)</f>
        <v>-0.00211184907113301</v>
      </c>
      <c r="H824" s="7" t="n">
        <f aca="false">Sens!$E$824+(glt_win-Sens!$E$824)*MIN(1,3/n_conv)</f>
        <v>0.00341611319665024</v>
      </c>
      <c r="I824" s="7" t="n">
        <f aca="false">Sens!$E$824+(glt_win-Sens!$E$824)*MIN(1,4/n_conv)</f>
        <v>0.00894407546443349</v>
      </c>
      <c r="J824" s="7" t="n">
        <f aca="false">Sens!$E$824+(glt_win-Sens!$E$824)*MIN(1,5/n_conv)</f>
        <v>0.0144720377322168</v>
      </c>
      <c r="K824" s="7" t="n">
        <f aca="false">Sens!$E$824+(glt_win-Sens!$E$824)*MIN(1,6/n_conv)</f>
        <v>0.02</v>
      </c>
    </row>
    <row r="825" customFormat="false" ht="15" hidden="false" customHeight="false" outlineLevel="0" collapsed="false">
      <c r="A825" s="0" t="s">
        <v>640</v>
      </c>
      <c r="B825" s="0" t="s">
        <v>95</v>
      </c>
      <c r="D825" s="6" t="n">
        <f aca="false">Sens!D819+Sens!D821+Sens!D823</f>
        <v>62.941</v>
      </c>
      <c r="E825" s="6" t="n">
        <f aca="false">Sens!E819+Sens!E821+Sens!E823</f>
        <v>63.712</v>
      </c>
      <c r="F825" s="6" t="n">
        <f aca="false">Sens!F819+Sens!F821+Sens!F823</f>
        <v>65.1415764563129</v>
      </c>
      <c r="G825" s="6" t="n">
        <f aca="false">Sens!G819+Sens!G821+Sens!G823</f>
        <v>67.1253610780702</v>
      </c>
      <c r="H825" s="6" t="n">
        <f aca="false">Sens!H819+Sens!H821+Sens!H823</f>
        <v>69.5768050148776</v>
      </c>
      <c r="I825" s="6" t="n">
        <f aca="false">Sens!I819+Sens!I821+Sens!I823</f>
        <v>72.4233188088189</v>
      </c>
      <c r="J825" s="6" t="n">
        <f aca="false">Sens!J819+Sens!J821+Sens!J823</f>
        <v>75.6044096678567</v>
      </c>
      <c r="K825" s="6" t="n">
        <f aca="false">Sens!K819+Sens!K821+Sens!K823</f>
        <v>79.0714397009747</v>
      </c>
    </row>
    <row r="826" customFormat="false" ht="15" hidden="false" customHeight="false" outlineLevel="0" collapsed="false">
      <c r="A826" s="1" t="s">
        <v>795</v>
      </c>
      <c r="B826" s="0" t="s">
        <v>95</v>
      </c>
      <c r="D826" s="6" t="n">
        <f aca="false">Sens!D818+Sens!D825</f>
        <v>281.724</v>
      </c>
      <c r="E826" s="6" t="n">
        <f aca="false">Sens!E818+Sens!E825</f>
        <v>331.839</v>
      </c>
      <c r="F826" s="6" t="n">
        <f aca="false">Sens!F818+Sens!F825</f>
        <v>407.666705694064</v>
      </c>
      <c r="G826" s="6" t="n">
        <f aca="false">Sens!G818+Sens!G825</f>
        <v>488.615065335721</v>
      </c>
      <c r="H826" s="6" t="n">
        <f aca="false">Sens!H818+Sens!H825</f>
        <v>571.498445629434</v>
      </c>
      <c r="I826" s="6" t="n">
        <f aca="false">Sens!I818+Sens!I825</f>
        <v>652.610569657109</v>
      </c>
      <c r="J826" s="6" t="n">
        <f aca="false">Sens!J818+Sens!J825</f>
        <v>730.486053601086</v>
      </c>
      <c r="K826" s="6" t="n">
        <f aca="false">Sens!K818+Sens!K825</f>
        <v>805.175375206093</v>
      </c>
    </row>
    <row r="827" customFormat="false" ht="15" hidden="false" customHeight="false" outlineLevel="0" collapsed="false">
      <c r="A827" s="22" t="s">
        <v>796</v>
      </c>
      <c r="B827" s="28" t="s">
        <v>95</v>
      </c>
      <c r="C827" s="28"/>
      <c r="D827" s="23" t="n">
        <f aca="false">(Sens!D806+Sens!D811+Sens!D812+Sens!D814+Sens!D816-Sens!D818)+(Sens!D819+Sens!D821+Sens!D823-Sens!D825)+(Sens!D818-Q!L5)+(Sens!D825-Q!L12)+(Sens!D806-Q!L6)+(Sens!D811-Q!L7)</f>
        <v>0</v>
      </c>
      <c r="E827" s="23" t="n">
        <f aca="false">(Sens!E806+Sens!E811+Sens!E812+Sens!E814+Sens!E816-Sens!E818)+(Sens!E819+Sens!E821+Sens!E823-Sens!E825)+(Sens!E818-Q!M5)+(Sens!E825-Q!M12)+(Sens!E806-Q!M6)+(Sens!E811-Q!M7)</f>
        <v>0</v>
      </c>
      <c r="F827" s="23" t="n">
        <f aca="false">(Sens!F806+Sens!F811+Sens!F812+Sens!F814+Sens!F816-Sens!F818)+(Sens!F819+Sens!F821+Sens!F823-Sens!F825)</f>
        <v>0</v>
      </c>
      <c r="G827" s="23" t="n">
        <f aca="false">(Sens!G806+Sens!G811+Sens!G812+Sens!G814+Sens!G816-Sens!G818)+(Sens!G819+Sens!G821+Sens!G823-Sens!G825)</f>
        <v>0</v>
      </c>
      <c r="H827" s="23" t="n">
        <f aca="false">(Sens!H806+Sens!H811+Sens!H812+Sens!H814+Sens!H816-Sens!H818)+(Sens!H819+Sens!H821+Sens!H823-Sens!H825)</f>
        <v>0</v>
      </c>
      <c r="I827" s="23" t="n">
        <f aca="false">(Sens!I806+Sens!I811+Sens!I812+Sens!I814+Sens!I816-Sens!I818)+(Sens!I819+Sens!I821+Sens!I823-Sens!I825)</f>
        <v>0</v>
      </c>
      <c r="J827" s="23" t="n">
        <f aca="false">(Sens!J806+Sens!J811+Sens!J812+Sens!J814+Sens!J816-Sens!J818)+(Sens!J819+Sens!J821+Sens!J823-Sens!J825)</f>
        <v>0</v>
      </c>
      <c r="K827" s="23" t="n">
        <f aca="false">(Sens!K806+Sens!K811+Sens!K812+Sens!K814+Sens!K816-Sens!K818)+(Sens!K819+Sens!K821+Sens!K823-Sens!K825)</f>
        <v>0</v>
      </c>
    </row>
    <row r="828" customFormat="false" ht="17.15" hidden="false" customHeight="false" outlineLevel="0" collapsed="false">
      <c r="A828" s="3" t="s">
        <v>1136</v>
      </c>
    </row>
    <row r="829" customFormat="false" ht="15" hidden="false" customHeight="false" outlineLevel="0" collapsed="false">
      <c r="A829" s="4" t="s">
        <v>43</v>
      </c>
      <c r="B829" s="4" t="s">
        <v>63</v>
      </c>
      <c r="C829" s="19" t="s">
        <v>710</v>
      </c>
      <c r="D829" s="19" t="s">
        <v>711</v>
      </c>
      <c r="E829" s="19" t="s">
        <v>712</v>
      </c>
      <c r="F829" s="19" t="s">
        <v>713</v>
      </c>
      <c r="G829" s="19" t="s">
        <v>714</v>
      </c>
      <c r="H829" s="19" t="s">
        <v>715</v>
      </c>
      <c r="I829" s="19" t="s">
        <v>716</v>
      </c>
      <c r="J829" s="19" t="s">
        <v>717</v>
      </c>
      <c r="K829" s="19" t="s">
        <v>718</v>
      </c>
      <c r="L829" s="4" t="s">
        <v>47</v>
      </c>
    </row>
    <row r="830" customFormat="false" ht="15" hidden="false" customHeight="false" outlineLevel="0" collapsed="false">
      <c r="A830" s="0" t="s">
        <v>783</v>
      </c>
      <c r="B830" s="0" t="s">
        <v>95</v>
      </c>
      <c r="D830" s="6" t="n">
        <f aca="false">Sens!D806</f>
        <v>72.61</v>
      </c>
      <c r="E830" s="6" t="n">
        <f aca="false">Sens!E806</f>
        <v>101.938</v>
      </c>
      <c r="F830" s="6" t="n">
        <f aca="false">Sens!F806</f>
        <v>153.403557298569</v>
      </c>
      <c r="G830" s="6" t="n">
        <f aca="false">Sens!G806</f>
        <v>209.896547720222</v>
      </c>
      <c r="H830" s="6" t="n">
        <f aca="false">Sens!H806</f>
        <v>267.832957933041</v>
      </c>
      <c r="I830" s="6" t="n">
        <f aca="false">Sens!I806</f>
        <v>325.375895868805</v>
      </c>
      <c r="J830" s="6" t="n">
        <f aca="false">Sens!J806</f>
        <v>381.44074682906</v>
      </c>
      <c r="K830" s="6" t="n">
        <f aca="false">Sens!K806</f>
        <v>434.959866164942</v>
      </c>
    </row>
    <row r="831" customFormat="false" ht="17.15" hidden="false" customHeight="false" outlineLevel="0" collapsed="false">
      <c r="A831" s="0" t="s">
        <v>780</v>
      </c>
      <c r="B831" s="0" t="s">
        <v>95</v>
      </c>
      <c r="D831" s="6" t="n">
        <f aca="false">Sens!D803</f>
        <v>12.9359794422418</v>
      </c>
      <c r="E831" s="6" t="n">
        <f aca="false">Sens!E803</f>
        <v>27.8095064661409</v>
      </c>
      <c r="F831" s="6" t="n">
        <f aca="false">Sens!F803</f>
        <v>63.3236075612023</v>
      </c>
      <c r="G831" s="6" t="n">
        <f aca="false">Sens!G803</f>
        <v>102.868122516912</v>
      </c>
      <c r="H831" s="6" t="n">
        <f aca="false">Sens!H803</f>
        <v>143.560975347405</v>
      </c>
      <c r="I831" s="6" t="n">
        <f aca="false">Sens!I803</f>
        <v>184.44219348695</v>
      </c>
      <c r="J831" s="6" t="n">
        <f aca="false">Sens!J803</f>
        <v>225.421879514728</v>
      </c>
      <c r="K831" s="6" t="n">
        <f aca="false">Sens!K803</f>
        <v>266.459489465464</v>
      </c>
    </row>
    <row r="832" customFormat="false" ht="17.15" hidden="false" customHeight="false" outlineLevel="0" collapsed="false">
      <c r="A832" s="0" t="s">
        <v>807</v>
      </c>
      <c r="B832" s="0" t="s">
        <v>95</v>
      </c>
      <c r="D832" s="6" t="n">
        <f aca="false">Sens!D804</f>
        <v>59.6740205577583</v>
      </c>
      <c r="E832" s="6" t="n">
        <f aca="false">Sens!E804</f>
        <v>74.1284935338591</v>
      </c>
      <c r="F832" s="6" t="n">
        <f aca="false">Sens!F804</f>
        <v>90.0799497373663</v>
      </c>
      <c r="G832" s="6" t="n">
        <f aca="false">Sens!G804</f>
        <v>107.02842520331</v>
      </c>
      <c r="H832" s="6" t="n">
        <f aca="false">Sens!H804</f>
        <v>124.271982585636</v>
      </c>
      <c r="I832" s="6" t="n">
        <f aca="false">Sens!I804</f>
        <v>140.933702381855</v>
      </c>
      <c r="J832" s="6" t="n">
        <f aca="false">Sens!J804</f>
        <v>156.018867314332</v>
      </c>
      <c r="K832" s="6" t="n">
        <f aca="false">Sens!K804</f>
        <v>168.500376699478</v>
      </c>
    </row>
    <row r="833" customFormat="false" ht="15" hidden="false" customHeight="false" outlineLevel="0" collapsed="false">
      <c r="A833" s="0" t="s">
        <v>788</v>
      </c>
      <c r="B833" s="0" t="s">
        <v>95</v>
      </c>
      <c r="D833" s="6" t="n">
        <f aca="false">Sens!D811</f>
        <v>84.605</v>
      </c>
      <c r="E833" s="6" t="n">
        <f aca="false">Sens!E811</f>
        <v>100.299</v>
      </c>
      <c r="F833" s="6" t="n">
        <f aca="false">Sens!F811</f>
        <v>118.89238776686</v>
      </c>
      <c r="G833" s="6" t="n">
        <f aca="false">Sens!G811</f>
        <v>137.044168448684</v>
      </c>
      <c r="H833" s="6" t="n">
        <f aca="false">Sens!H811</f>
        <v>155.277359388781</v>
      </c>
      <c r="I833" s="6" t="n">
        <f aca="false">Sens!I811</f>
        <v>171.834028071957</v>
      </c>
      <c r="J833" s="6" t="n">
        <f aca="false">Sens!J811</f>
        <v>186.432702785465</v>
      </c>
      <c r="K833" s="6" t="n">
        <f aca="false">Sens!K811</f>
        <v>200.277991980448</v>
      </c>
    </row>
    <row r="834" customFormat="false" ht="17.15" hidden="false" customHeight="false" outlineLevel="0" collapsed="false">
      <c r="A834" s="0" t="s">
        <v>808</v>
      </c>
      <c r="B834" s="0" t="s">
        <v>95</v>
      </c>
      <c r="D834" s="6" t="n">
        <f aca="false">Sens!D809</f>
        <v>83.705</v>
      </c>
      <c r="E834" s="6" t="n">
        <f aca="false">Sens!E809</f>
        <v>95.049</v>
      </c>
      <c r="F834" s="6" t="n">
        <f aca="false">Sens!F809</f>
        <v>106.89238776686</v>
      </c>
      <c r="G834" s="6" t="n">
        <f aca="false">Sens!G809</f>
        <v>119.044168448684</v>
      </c>
      <c r="H834" s="6" t="n">
        <f aca="false">Sens!H809</f>
        <v>131.277359388781</v>
      </c>
      <c r="I834" s="6" t="n">
        <f aca="false">Sens!I809</f>
        <v>143.334028071957</v>
      </c>
      <c r="J834" s="6" t="n">
        <f aca="false">Sens!J809</f>
        <v>154.932702785465</v>
      </c>
      <c r="K834" s="6" t="n">
        <f aca="false">Sens!K809</f>
        <v>165.777991980448</v>
      </c>
    </row>
    <row r="835" customFormat="false" ht="17.15" hidden="false" customHeight="false" outlineLevel="0" collapsed="false">
      <c r="A835" s="0" t="s">
        <v>809</v>
      </c>
      <c r="B835" s="0" t="s">
        <v>95</v>
      </c>
      <c r="D835" s="6" t="n">
        <f aca="false">Sens!D808</f>
        <v>0.9</v>
      </c>
      <c r="E835" s="6" t="n">
        <f aca="false">Sens!E808</f>
        <v>5.25</v>
      </c>
      <c r="F835" s="6" t="n">
        <f aca="false">Sens!F808</f>
        <v>12</v>
      </c>
      <c r="G835" s="6" t="n">
        <f aca="false">Sens!G808</f>
        <v>18</v>
      </c>
      <c r="H835" s="6" t="n">
        <f aca="false">Sens!H808</f>
        <v>24</v>
      </c>
      <c r="I835" s="6" t="n">
        <f aca="false">Sens!I808</f>
        <v>28.5</v>
      </c>
      <c r="J835" s="6" t="n">
        <f aca="false">Sens!J808</f>
        <v>31.5</v>
      </c>
      <c r="K835" s="6" t="n">
        <f aca="false">Sens!K808</f>
        <v>34.5</v>
      </c>
    </row>
    <row r="836" customFormat="false" ht="15" hidden="false" customHeight="false" outlineLevel="0" collapsed="false">
      <c r="A836" s="0" t="s">
        <v>789</v>
      </c>
      <c r="B836" s="0" t="s">
        <v>95</v>
      </c>
      <c r="D836" s="6" t="n">
        <f aca="false">Sens!D812</f>
        <v>35.391</v>
      </c>
      <c r="E836" s="6" t="n">
        <f aca="false">Sens!E812</f>
        <v>37.285</v>
      </c>
      <c r="F836" s="6" t="n">
        <f aca="false">Sens!F812</f>
        <v>39.0720834331704</v>
      </c>
      <c r="G836" s="6" t="n">
        <f aca="false">Sens!G812</f>
        <v>40.726562953769</v>
      </c>
      <c r="H836" s="6" t="n">
        <f aca="false">Sens!H812</f>
        <v>42.2235987259198</v>
      </c>
      <c r="I836" s="6" t="n">
        <f aca="false">Sens!I812</f>
        <v>43.5397988077414</v>
      </c>
      <c r="J836" s="6" t="n">
        <f aca="false">Sens!J812</f>
        <v>44.653811225693</v>
      </c>
      <c r="K836" s="6" t="n">
        <f aca="false">Sens!K812</f>
        <v>45.5468874502068</v>
      </c>
    </row>
    <row r="837" customFormat="false" ht="15" hidden="false" customHeight="false" outlineLevel="0" collapsed="false">
      <c r="A837" s="0" t="s">
        <v>790</v>
      </c>
      <c r="B837" s="0" t="s">
        <v>95</v>
      </c>
      <c r="D837" s="6" t="n">
        <f aca="false">Sens!D814</f>
        <v>18.417</v>
      </c>
      <c r="E837" s="6" t="n">
        <f aca="false">Sens!E814</f>
        <v>20.345</v>
      </c>
      <c r="F837" s="6" t="n">
        <f aca="false">Sens!F814</f>
        <v>22.3572203267814</v>
      </c>
      <c r="G837" s="6" t="n">
        <f aca="false">Sens!G814</f>
        <v>24.4392124437232</v>
      </c>
      <c r="H837" s="6" t="n">
        <f aca="false">Sens!H814</f>
        <v>26.5738052080665</v>
      </c>
      <c r="I837" s="6" t="n">
        <f aca="false">Sens!I814</f>
        <v>28.7412169166967</v>
      </c>
      <c r="J837" s="6" t="n">
        <f aca="false">Sens!J814</f>
        <v>30.9192545395413</v>
      </c>
      <c r="K837" s="6" t="n">
        <f aca="false">Sens!K814</f>
        <v>33.0836023573092</v>
      </c>
    </row>
    <row r="838" customFormat="false" ht="15" hidden="false" customHeight="false" outlineLevel="0" collapsed="false">
      <c r="A838" s="0" t="s">
        <v>791</v>
      </c>
      <c r="B838" s="0" t="s">
        <v>95</v>
      </c>
      <c r="D838" s="6" t="n">
        <f aca="false">Sens!D816</f>
        <v>7.76</v>
      </c>
      <c r="E838" s="6" t="n">
        <f aca="false">Sens!E816</f>
        <v>8.26</v>
      </c>
      <c r="F838" s="6" t="n">
        <f aca="false">Sens!F816</f>
        <v>8.79988041237113</v>
      </c>
      <c r="G838" s="6" t="n">
        <f aca="false">Sens!G816</f>
        <v>9.38321269125306</v>
      </c>
      <c r="H838" s="6" t="n">
        <f aca="false">Sens!H816</f>
        <v>10.0139193587476</v>
      </c>
      <c r="I838" s="6" t="n">
        <f aca="false">Sens!I816</f>
        <v>10.6963111830911</v>
      </c>
      <c r="J838" s="6" t="n">
        <f aca="false">Sens!J816</f>
        <v>11.4351285534696</v>
      </c>
      <c r="K838" s="6" t="n">
        <f aca="false">Sens!K816</f>
        <v>12.2355875522124</v>
      </c>
    </row>
    <row r="839" customFormat="false" ht="15" hidden="false" customHeight="false" outlineLevel="0" collapsed="false">
      <c r="A839" s="0" t="s">
        <v>626</v>
      </c>
      <c r="B839" s="0" t="s">
        <v>95</v>
      </c>
      <c r="D839" s="6" t="n">
        <f aca="false">Sens!D818</f>
        <v>218.783</v>
      </c>
      <c r="E839" s="6" t="n">
        <f aca="false">Sens!E818</f>
        <v>268.127</v>
      </c>
      <c r="F839" s="6" t="n">
        <f aca="false">Sens!F818</f>
        <v>342.525129237751</v>
      </c>
      <c r="G839" s="6" t="n">
        <f aca="false">Sens!G818</f>
        <v>421.489704257651</v>
      </c>
      <c r="H839" s="6" t="n">
        <f aca="false">Sens!H818</f>
        <v>501.921640614556</v>
      </c>
      <c r="I839" s="6" t="n">
        <f aca="false">Sens!I818</f>
        <v>580.187250848291</v>
      </c>
      <c r="J839" s="6" t="n">
        <f aca="false">Sens!J818</f>
        <v>654.881643933229</v>
      </c>
      <c r="K839" s="6" t="n">
        <f aca="false">Sens!K818</f>
        <v>726.103935505119</v>
      </c>
    </row>
    <row r="840" customFormat="false" ht="15" hidden="false" customHeight="false" outlineLevel="0" collapsed="false">
      <c r="A840" s="0" t="s">
        <v>792</v>
      </c>
      <c r="B840" s="0" t="s">
        <v>95</v>
      </c>
      <c r="D840" s="6" t="n">
        <f aca="false">Sens!D819</f>
        <v>22.171</v>
      </c>
      <c r="E840" s="6" t="n">
        <f aca="false">Sens!E819</f>
        <v>24.835</v>
      </c>
      <c r="F840" s="6" t="n">
        <f aca="false">Sens!F819</f>
        <v>27.6114901218559</v>
      </c>
      <c r="G840" s="6" t="n">
        <f aca="false">Sens!G819</f>
        <v>30.4675667338515</v>
      </c>
      <c r="H840" s="6" t="n">
        <f aca="false">Sens!H819</f>
        <v>33.3643766955789</v>
      </c>
      <c r="I840" s="6" t="n">
        <f aca="false">Sens!I819</f>
        <v>36.2577016533691</v>
      </c>
      <c r="J840" s="6" t="n">
        <f aca="false">Sens!J819</f>
        <v>39.0988367952171</v>
      </c>
      <c r="K840" s="6" t="n">
        <f aca="false">Sens!K819</f>
        <v>41.8357553708823</v>
      </c>
    </row>
    <row r="841" customFormat="false" ht="15" hidden="false" customHeight="false" outlineLevel="0" collapsed="false">
      <c r="A841" s="0" t="s">
        <v>793</v>
      </c>
      <c r="B841" s="0" t="s">
        <v>95</v>
      </c>
      <c r="D841" s="6" t="n">
        <f aca="false">Sens!D821</f>
        <v>23.455</v>
      </c>
      <c r="E841" s="6" t="n">
        <f aca="false">Sens!E821</f>
        <v>21.79</v>
      </c>
      <c r="F841" s="6" t="n">
        <f aca="false">Sens!F821</f>
        <v>20.5736277908051</v>
      </c>
      <c r="G841" s="6" t="n">
        <f aca="false">Sens!G821</f>
        <v>19.7371452817919</v>
      </c>
      <c r="H841" s="6" t="n">
        <f aca="false">Sens!H821</f>
        <v>19.2339764043138</v>
      </c>
      <c r="I841" s="6" t="n">
        <f aca="false">Sens!I821</f>
        <v>19.0353086852681</v>
      </c>
      <c r="J841" s="6" t="n">
        <f aca="false">Sens!J821</f>
        <v>19.1273539319129</v>
      </c>
      <c r="K841" s="6" t="n">
        <f aca="false">Sens!K821</f>
        <v>19.5099010105511</v>
      </c>
    </row>
    <row r="842" customFormat="false" ht="15" hidden="false" customHeight="false" outlineLevel="0" collapsed="false">
      <c r="A842" s="0" t="s">
        <v>794</v>
      </c>
      <c r="B842" s="0" t="s">
        <v>95</v>
      </c>
      <c r="D842" s="6" t="n">
        <f aca="false">Sens!D823</f>
        <v>17.315</v>
      </c>
      <c r="E842" s="6" t="n">
        <f aca="false">Sens!E823</f>
        <v>17.087</v>
      </c>
      <c r="F842" s="6" t="n">
        <f aca="false">Sens!F823</f>
        <v>16.9564585436519</v>
      </c>
      <c r="G842" s="6" t="n">
        <f aca="false">Sens!G823</f>
        <v>16.9206490624268</v>
      </c>
      <c r="H842" s="6" t="n">
        <f aca="false">Sens!H823</f>
        <v>16.9784519149849</v>
      </c>
      <c r="I842" s="6" t="n">
        <f aca="false">Sens!I823</f>
        <v>17.1303084701817</v>
      </c>
      <c r="J842" s="6" t="n">
        <f aca="false">Sens!J823</f>
        <v>17.3782189407267</v>
      </c>
      <c r="K842" s="6" t="n">
        <f aca="false">Sens!K823</f>
        <v>17.7257833195413</v>
      </c>
    </row>
    <row r="843" customFormat="false" ht="15" hidden="false" customHeight="false" outlineLevel="0" collapsed="false">
      <c r="A843" s="0" t="s">
        <v>640</v>
      </c>
      <c r="B843" s="0" t="s">
        <v>95</v>
      </c>
      <c r="D843" s="6" t="n">
        <f aca="false">Sens!D825</f>
        <v>62.941</v>
      </c>
      <c r="E843" s="6" t="n">
        <f aca="false">Sens!E825</f>
        <v>63.712</v>
      </c>
      <c r="F843" s="6" t="n">
        <f aca="false">Sens!F825</f>
        <v>65.1415764563129</v>
      </c>
      <c r="G843" s="6" t="n">
        <f aca="false">Sens!G825</f>
        <v>67.1253610780702</v>
      </c>
      <c r="H843" s="6" t="n">
        <f aca="false">Sens!H825</f>
        <v>69.5768050148776</v>
      </c>
      <c r="I843" s="6" t="n">
        <f aca="false">Sens!I825</f>
        <v>72.4233188088189</v>
      </c>
      <c r="J843" s="6" t="n">
        <f aca="false">Sens!J825</f>
        <v>75.6044096678567</v>
      </c>
      <c r="K843" s="6" t="n">
        <f aca="false">Sens!K825</f>
        <v>79.0714397009747</v>
      </c>
    </row>
    <row r="844" customFormat="false" ht="15" hidden="false" customHeight="false" outlineLevel="0" collapsed="false">
      <c r="A844" s="1" t="s">
        <v>810</v>
      </c>
      <c r="B844" s="0" t="s">
        <v>95</v>
      </c>
      <c r="D844" s="6" t="n">
        <f aca="false">Sens!D826</f>
        <v>281.724</v>
      </c>
      <c r="E844" s="6" t="n">
        <f aca="false">Sens!E826</f>
        <v>331.839</v>
      </c>
      <c r="F844" s="6" t="n">
        <f aca="false">Sens!F826</f>
        <v>407.666705694064</v>
      </c>
      <c r="G844" s="6" t="n">
        <f aca="false">Sens!G826</f>
        <v>488.615065335721</v>
      </c>
      <c r="H844" s="6" t="n">
        <f aca="false">Sens!H826</f>
        <v>571.498445629434</v>
      </c>
      <c r="I844" s="6" t="n">
        <f aca="false">Sens!I826</f>
        <v>652.610569657109</v>
      </c>
      <c r="J844" s="6" t="n">
        <f aca="false">Sens!J826</f>
        <v>730.486053601086</v>
      </c>
      <c r="K844" s="6" t="n">
        <f aca="false">Sens!K826</f>
        <v>805.175375206093</v>
      </c>
    </row>
    <row r="845" customFormat="false" ht="15" hidden="false" customHeight="false" outlineLevel="0" collapsed="false">
      <c r="A845" s="1" t="s">
        <v>811</v>
      </c>
      <c r="B845" s="0" t="s">
        <v>126</v>
      </c>
      <c r="E845" s="7" t="n">
        <f aca="false">Sens!E844/Sens!D844-1</f>
        <v>0.177886867998467</v>
      </c>
      <c r="F845" s="7" t="n">
        <f aca="false">Sens!F844/Sens!E844-1</f>
        <v>0.228507516277666</v>
      </c>
      <c r="G845" s="7" t="n">
        <f aca="false">Sens!G844/Sens!F844-1</f>
        <v>0.198565049612869</v>
      </c>
      <c r="H845" s="7" t="n">
        <f aca="false">Sens!H844/Sens!G844-1</f>
        <v>0.169629195196354</v>
      </c>
      <c r="I845" s="7" t="n">
        <f aca="false">Sens!I844/Sens!H844-1</f>
        <v>0.141928862008262</v>
      </c>
      <c r="J845" s="7" t="n">
        <f aca="false">Sens!J844/Sens!I844-1</f>
        <v>0.11932917970497</v>
      </c>
      <c r="K845" s="7" t="n">
        <f aca="false">Sens!K844/Sens!J844-1</f>
        <v>0.102246061012132</v>
      </c>
    </row>
    <row r="846" customFormat="false" ht="17.15" hidden="false" customHeight="false" outlineLevel="0" collapsed="false">
      <c r="A846" s="22" t="s">
        <v>812</v>
      </c>
      <c r="B846" s="28" t="s">
        <v>95</v>
      </c>
      <c r="C846" s="28"/>
      <c r="D846" s="23" t="n">
        <f aca="false">(Sens!D839+Sens!D843-Sens!D844)+(Sens!D831+Sens!D832-Sens!D830)+(Sens!D834+Sens!D835-Sens!D833)+(Sens!D844-Q!L18)</f>
        <v>0</v>
      </c>
      <c r="E846" s="23" t="n">
        <f aca="false">(Sens!E839+Sens!E843-Sens!E844)+(Sens!E831+Sens!E832-Sens!E830)+(Sens!E834+Sens!E835-Sens!E833)+(Sens!E844-Q!M18)</f>
        <v>0</v>
      </c>
      <c r="F846" s="23" t="n">
        <f aca="false">(Sens!F839+Sens!F843-Sens!F844)+(Sens!F831+Sens!F832-Sens!F830)+(Sens!F834+Sens!F835-Sens!F833)</f>
        <v>0</v>
      </c>
      <c r="G846" s="23" t="n">
        <f aca="false">(Sens!G839+Sens!G843-Sens!G844)+(Sens!G831+Sens!G832-Sens!G830)+(Sens!G834+Sens!G835-Sens!G833)</f>
        <v>0</v>
      </c>
      <c r="H846" s="23" t="n">
        <f aca="false">(Sens!H839+Sens!H843-Sens!H844)+(Sens!H831+Sens!H832-Sens!H830)+(Sens!H834+Sens!H835-Sens!H833)</f>
        <v>0</v>
      </c>
      <c r="I846" s="23" t="n">
        <f aca="false">(Sens!I839+Sens!I843-Sens!I844)+(Sens!I831+Sens!I832-Sens!I830)+(Sens!I834+Sens!I835-Sens!I833)</f>
        <v>0</v>
      </c>
      <c r="J846" s="23" t="n">
        <f aca="false">(Sens!J839+Sens!J843-Sens!J844)+(Sens!J831+Sens!J832-Sens!J830)+(Sens!J834+Sens!J835-Sens!J833)</f>
        <v>0</v>
      </c>
      <c r="K846" s="23" t="n">
        <f aca="false">(Sens!K839+Sens!K843-Sens!K844)+(Sens!K831+Sens!K832-Sens!K830)+(Sens!K834+Sens!K835-Sens!K833)</f>
        <v>0</v>
      </c>
    </row>
    <row r="847" customFormat="false" ht="17.15" hidden="false" customHeight="false" outlineLevel="0" collapsed="false">
      <c r="A847" s="0" t="s">
        <v>813</v>
      </c>
      <c r="B847" s="0" t="s">
        <v>126</v>
      </c>
      <c r="E847" s="7" t="n">
        <f aca="false">(Q!M21+Sens!E784+Sens!E785+Sens!E786+Sens!E799-Sens!E782)/(Q!M5-Sens!E782)</f>
        <v>0.570957350878296</v>
      </c>
      <c r="F847" s="7" t="n">
        <f aca="false">Sens!$E$847+dm_seg</f>
        <v>0.570957350878296</v>
      </c>
      <c r="G847" s="7" t="n">
        <f aca="false">Sens!$E$847+dm_seg</f>
        <v>0.570957350878296</v>
      </c>
      <c r="H847" s="7" t="n">
        <f aca="false">Sens!$E$847+dm_seg</f>
        <v>0.570957350878296</v>
      </c>
      <c r="I847" s="7" t="n">
        <f aca="false">Sens!$E$847+dm_seg</f>
        <v>0.570957350878296</v>
      </c>
      <c r="J847" s="7" t="n">
        <f aca="false">Sens!$E$847+dm_seg</f>
        <v>0.570957350878296</v>
      </c>
      <c r="K847" s="7" t="n">
        <f aca="false">Sens!$E$847+dm_seg</f>
        <v>0.570957350878296</v>
      </c>
      <c r="L847" s="11" t="s">
        <v>814</v>
      </c>
    </row>
    <row r="848" customFormat="false" ht="17.15" hidden="false" customHeight="false" outlineLevel="0" collapsed="false">
      <c r="A848" s="0" t="s">
        <v>654</v>
      </c>
      <c r="B848" s="0" t="s">
        <v>95</v>
      </c>
      <c r="D848" s="6" t="n">
        <f aca="false">Q!L21</f>
        <v>110.814</v>
      </c>
      <c r="E848" s="6" t="n">
        <f aca="false">Q!M21</f>
        <v>136.365</v>
      </c>
      <c r="F848" s="6" t="n">
        <f aca="false">Sens!F847*(Sens!F818-Sens!F782)+Sens!F782-(Sens!F784+Sens!F785+Sens!F786)-Sens!F799</f>
        <v>165.85773690669</v>
      </c>
      <c r="G848" s="6" t="n">
        <f aca="false">Sens!G847*(Sens!G818-Sens!G782)+Sens!G782-(Sens!G784+Sens!G785+Sens!G786)-Sens!G799</f>
        <v>190.598305564504</v>
      </c>
      <c r="H848" s="6" t="n">
        <f aca="false">Sens!H847*(Sens!H818-Sens!H782)+Sens!H782-(Sens!H784+Sens!H785+Sens!H786)-Sens!H799</f>
        <v>215.547899199157</v>
      </c>
      <c r="I848" s="6" t="n">
        <f aca="false">Sens!I847*(Sens!I818-Sens!I782)+Sens!I782-(Sens!I784+Sens!I785+Sens!I786)-Sens!I799</f>
        <v>238.291328631511</v>
      </c>
      <c r="J848" s="6" t="n">
        <f aca="false">Sens!J847*(Sens!J818-Sens!J782)+Sens!J782-(Sens!J784+Sens!J785+Sens!J786)-Sens!J799</f>
        <v>258.049651679207</v>
      </c>
      <c r="K848" s="6" t="n">
        <f aca="false">Sens!K847*(Sens!K818-Sens!K782)+Sens!K782-(Sens!K784+Sens!K785+Sens!K786)-Sens!K799</f>
        <v>274.553379388991</v>
      </c>
      <c r="L848" s="1" t="s">
        <v>815</v>
      </c>
    </row>
    <row r="849" customFormat="false" ht="17.15" hidden="false" customHeight="false" outlineLevel="0" collapsed="false">
      <c r="A849" s="0" t="s">
        <v>816</v>
      </c>
      <c r="B849" s="0" t="s">
        <v>126</v>
      </c>
      <c r="E849" s="7" t="n">
        <f aca="false">Q!M22/Q!M12</f>
        <v>0.296207935710698</v>
      </c>
      <c r="F849" s="7" t="n">
        <f aca="false">Sens!$E$849+dm_seg</f>
        <v>0.296207935710698</v>
      </c>
      <c r="G849" s="7" t="n">
        <f aca="false">Sens!$E$849+dm_seg</f>
        <v>0.296207935710698</v>
      </c>
      <c r="H849" s="7" t="n">
        <f aca="false">Sens!$E$849+dm_seg</f>
        <v>0.296207935710698</v>
      </c>
      <c r="I849" s="7" t="n">
        <f aca="false">Sens!$E$849+dm_seg</f>
        <v>0.296207935710698</v>
      </c>
      <c r="J849" s="7" t="n">
        <f aca="false">Sens!$E$849+dm_seg</f>
        <v>0.296207935710698</v>
      </c>
      <c r="K849" s="7" t="n">
        <f aca="false">Sens!$E$849+dm_seg</f>
        <v>0.296207935710698</v>
      </c>
      <c r="L849" s="11" t="s">
        <v>817</v>
      </c>
    </row>
    <row r="850" customFormat="false" ht="17.15" hidden="false" customHeight="false" outlineLevel="0" collapsed="false">
      <c r="A850" s="0" t="s">
        <v>656</v>
      </c>
      <c r="B850" s="0" t="s">
        <v>95</v>
      </c>
      <c r="D850" s="6" t="n">
        <f aca="false">Q!L22</f>
        <v>17.714</v>
      </c>
      <c r="E850" s="6" t="n">
        <f aca="false">Q!M22</f>
        <v>18.872</v>
      </c>
      <c r="F850" s="6" t="n">
        <f aca="false">Sens!F825*Sens!F849</f>
        <v>19.2954518910651</v>
      </c>
      <c r="G850" s="6" t="n">
        <f aca="false">Sens!G825*Sens!G849</f>
        <v>19.8830646387704</v>
      </c>
      <c r="H850" s="6" t="n">
        <f aca="false">Sens!H825*Sens!H849</f>
        <v>20.6092017868026</v>
      </c>
      <c r="I850" s="6" t="n">
        <f aca="false">Sens!I825*Sens!I849</f>
        <v>21.452361761678</v>
      </c>
      <c r="J850" s="6" t="n">
        <f aca="false">Sens!J825*Sens!J849</f>
        <v>22.3946261183418</v>
      </c>
      <c r="K850" s="6" t="n">
        <f aca="false">Sens!K825*Sens!K849</f>
        <v>23.4215879274986</v>
      </c>
    </row>
    <row r="851" customFormat="false" ht="15" hidden="false" customHeight="false" outlineLevel="0" collapsed="false">
      <c r="A851" s="1" t="s">
        <v>818</v>
      </c>
      <c r="B851" s="0" t="s">
        <v>95</v>
      </c>
      <c r="D851" s="6" t="n">
        <f aca="false">Sens!D848+Sens!D850</f>
        <v>128.528</v>
      </c>
      <c r="E851" s="6" t="n">
        <f aca="false">Sens!E848+Sens!E850</f>
        <v>155.237</v>
      </c>
      <c r="F851" s="6" t="n">
        <f aca="false">Sens!F848+Sens!F850</f>
        <v>185.153188797755</v>
      </c>
      <c r="G851" s="6" t="n">
        <f aca="false">Sens!G848+Sens!G850</f>
        <v>210.481370203275</v>
      </c>
      <c r="H851" s="6" t="n">
        <f aca="false">Sens!H848+Sens!H850</f>
        <v>236.157100985959</v>
      </c>
      <c r="I851" s="6" t="n">
        <f aca="false">Sens!I848+Sens!I850</f>
        <v>259.743690393189</v>
      </c>
      <c r="J851" s="6" t="n">
        <f aca="false">Sens!J848+Sens!J850</f>
        <v>280.444277797549</v>
      </c>
      <c r="K851" s="6" t="n">
        <f aca="false">Sens!K848+Sens!K850</f>
        <v>297.974967316489</v>
      </c>
    </row>
    <row r="852" customFormat="false" ht="15" hidden="false" customHeight="false" outlineLevel="0" collapsed="false">
      <c r="A852" s="22" t="s">
        <v>819</v>
      </c>
      <c r="B852" s="28" t="s">
        <v>95</v>
      </c>
      <c r="C852" s="28"/>
      <c r="D852" s="23" t="n">
        <f aca="false">Sens!D851-Q!L23</f>
        <v>0</v>
      </c>
      <c r="E852" s="23" t="n">
        <f aca="false">Sens!E851-Q!M23</f>
        <v>0</v>
      </c>
      <c r="F852" s="28"/>
      <c r="G852" s="28"/>
      <c r="H852" s="28"/>
      <c r="I852" s="28"/>
      <c r="J852" s="28"/>
      <c r="K852" s="28"/>
    </row>
    <row r="853" customFormat="false" ht="15" hidden="false" customHeight="false" outlineLevel="0" collapsed="false">
      <c r="A853" s="1" t="s">
        <v>820</v>
      </c>
      <c r="B853" s="0" t="s">
        <v>126</v>
      </c>
      <c r="D853" s="7" t="n">
        <f aca="false">Sens!D851/Sens!D844</f>
        <v>0.456219562408598</v>
      </c>
      <c r="E853" s="7" t="n">
        <f aca="false">Sens!E851/Sens!E844</f>
        <v>0.467808184089272</v>
      </c>
      <c r="F853" s="7" t="n">
        <f aca="false">Sens!F851/Sens!F844</f>
        <v>0.454177852180806</v>
      </c>
      <c r="G853" s="7" t="n">
        <f aca="false">Sens!G851/Sens!G844</f>
        <v>0.430771347704262</v>
      </c>
      <c r="H853" s="7" t="n">
        <f aca="false">Sens!H851/Sens!H844</f>
        <v>0.413224397707438</v>
      </c>
      <c r="I853" s="7" t="n">
        <f aca="false">Sens!I851/Sens!I844</f>
        <v>0.398007176821641</v>
      </c>
      <c r="J853" s="7" t="n">
        <f aca="false">Sens!J851/Sens!J844</f>
        <v>0.383914622893947</v>
      </c>
      <c r="K853" s="7" t="n">
        <f aca="false">Sens!K851/Sens!K844</f>
        <v>0.370074615409369</v>
      </c>
    </row>
    <row r="854" customFormat="false" ht="17.15" hidden="false" customHeight="false" outlineLevel="0" collapsed="false">
      <c r="A854" s="1" t="s">
        <v>821</v>
      </c>
      <c r="B854" s="0" t="s">
        <v>95</v>
      </c>
      <c r="E854" s="6" t="n">
        <f aca="false">Sens!E799</f>
        <v>16.3054059770833</v>
      </c>
      <c r="F854" s="6" t="n">
        <f aca="false">Sens!F799</f>
        <v>34.7405354558698</v>
      </c>
      <c r="G854" s="6" t="n">
        <f aca="false">Sens!G799</f>
        <v>60.5067332603396</v>
      </c>
      <c r="H854" s="6" t="n">
        <f aca="false">Sens!H799</f>
        <v>87.7423159931396</v>
      </c>
      <c r="I854" s="6" t="n">
        <f aca="false">Sens!I799</f>
        <v>115.997181741123</v>
      </c>
      <c r="J854" s="6" t="n">
        <f aca="false">Sens!J799</f>
        <v>145.224277958273</v>
      </c>
      <c r="K854" s="6" t="n">
        <f aca="false">Sens!K799</f>
        <v>175.73892263459</v>
      </c>
    </row>
    <row r="855" customFormat="false" ht="17.15" hidden="false" customHeight="false" outlineLevel="0" collapsed="false">
      <c r="A855" s="1" t="s">
        <v>822</v>
      </c>
      <c r="B855" s="0" t="s">
        <v>95</v>
      </c>
      <c r="E855" s="6" t="n">
        <f aca="false">Sens!E875</f>
        <v>22.2285940229167</v>
      </c>
      <c r="F855" s="6" t="n">
        <f aca="false">Sens!F875</f>
        <v>23.5636693435813</v>
      </c>
      <c r="G855" s="6" t="n">
        <f aca="false">Sens!G875</f>
        <v>25.3225917662621</v>
      </c>
      <c r="H855" s="6" t="n">
        <f aca="false">Sens!H875</f>
        <v>27.4714839540448</v>
      </c>
      <c r="I855" s="6" t="n">
        <f aca="false">Sens!I875</f>
        <v>29.9441755898047</v>
      </c>
      <c r="J855" s="6" t="n">
        <f aca="false">Sens!J875</f>
        <v>32.6578493558616</v>
      </c>
      <c r="K855" s="6" t="n">
        <f aca="false">Sens!K875</f>
        <v>35.5289346944749</v>
      </c>
    </row>
    <row r="856" customFormat="false" ht="17.15" hidden="false" customHeight="false" outlineLevel="0" collapsed="false">
      <c r="A856" s="1" t="s">
        <v>823</v>
      </c>
      <c r="B856" s="0" t="s">
        <v>95</v>
      </c>
      <c r="D856" s="6" t="n">
        <f aca="false">Q!L27</f>
        <v>-4.901</v>
      </c>
      <c r="E856" s="6" t="n">
        <f aca="false">Q!M27</f>
        <v>10.697</v>
      </c>
      <c r="F856" s="6" t="n">
        <f aca="false">oie_f</f>
        <v>-0.4</v>
      </c>
      <c r="G856" s="6" t="n">
        <f aca="false">oie_f</f>
        <v>-0.4</v>
      </c>
      <c r="H856" s="6" t="n">
        <f aca="false">oie_f</f>
        <v>-0.4</v>
      </c>
      <c r="I856" s="6" t="n">
        <f aca="false">oie_f</f>
        <v>-0.4</v>
      </c>
      <c r="J856" s="6" t="n">
        <f aca="false">oie_f</f>
        <v>-0.4</v>
      </c>
      <c r="K856" s="6" t="n">
        <f aca="false">oie_f</f>
        <v>-0.4</v>
      </c>
      <c r="L856" s="11" t="s">
        <v>824</v>
      </c>
    </row>
    <row r="857" customFormat="false" ht="15" hidden="false" customHeight="false" outlineLevel="0" collapsed="false">
      <c r="A857" s="1" t="s">
        <v>666</v>
      </c>
      <c r="B857" s="0" t="s">
        <v>95</v>
      </c>
      <c r="D857" s="6" t="n">
        <f aca="false">Sens!D851+Sens!D856</f>
        <v>123.627</v>
      </c>
      <c r="E857" s="6" t="n">
        <f aca="false">Sens!E851+Sens!E856</f>
        <v>165.934</v>
      </c>
      <c r="F857" s="6" t="n">
        <f aca="false">Sens!F851+Sens!F856</f>
        <v>184.753188797755</v>
      </c>
      <c r="G857" s="6" t="n">
        <f aca="false">Sens!G851+Sens!G856</f>
        <v>210.081370203275</v>
      </c>
      <c r="H857" s="6" t="n">
        <f aca="false">Sens!H851+Sens!H856</f>
        <v>235.757100985959</v>
      </c>
      <c r="I857" s="6" t="n">
        <f aca="false">Sens!I851+Sens!I856</f>
        <v>259.343690393189</v>
      </c>
      <c r="J857" s="6" t="n">
        <f aca="false">Sens!J851+Sens!J856</f>
        <v>280.044277797549</v>
      </c>
      <c r="K857" s="6" t="n">
        <f aca="false">Sens!K851+Sens!K856</f>
        <v>297.574967316489</v>
      </c>
    </row>
    <row r="858" customFormat="false" ht="15" hidden="false" customHeight="false" outlineLevel="0" collapsed="false">
      <c r="A858" s="1" t="s">
        <v>668</v>
      </c>
      <c r="B858" s="0" t="s">
        <v>95</v>
      </c>
      <c r="D858" s="6" t="n">
        <f aca="false">Q!L29</f>
        <v>21.795</v>
      </c>
      <c r="E858" s="6" t="n">
        <f aca="false">Q!M29</f>
        <v>32.185</v>
      </c>
      <c r="F858" s="6" t="n">
        <f aca="false">Sens!F857*tax_f</f>
        <v>36.9506377595509</v>
      </c>
      <c r="G858" s="6" t="n">
        <f aca="false">Sens!G857*tax_f</f>
        <v>42.0162740406549</v>
      </c>
      <c r="H858" s="6" t="n">
        <f aca="false">Sens!H857*tax_f</f>
        <v>47.1514201971919</v>
      </c>
      <c r="I858" s="6" t="n">
        <f aca="false">Sens!I857*tax_f</f>
        <v>51.8687380786379</v>
      </c>
      <c r="J858" s="6" t="n">
        <f aca="false">Sens!J857*tax_f</f>
        <v>56.0088555595097</v>
      </c>
      <c r="K858" s="6" t="n">
        <f aca="false">Sens!K857*tax_f</f>
        <v>59.5149934632979</v>
      </c>
    </row>
    <row r="859" customFormat="false" ht="15" hidden="false" customHeight="false" outlineLevel="0" collapsed="false">
      <c r="A859" s="1" t="s">
        <v>825</v>
      </c>
      <c r="B859" s="0" t="s">
        <v>95</v>
      </c>
      <c r="D859" s="6" t="n">
        <f aca="false">Sens!D857-Sens!D858</f>
        <v>101.832</v>
      </c>
      <c r="E859" s="6" t="n">
        <f aca="false">Sens!E857-Sens!E858</f>
        <v>133.749</v>
      </c>
      <c r="F859" s="6" t="n">
        <f aca="false">Sens!F857-Sens!F858</f>
        <v>147.802551038204</v>
      </c>
      <c r="G859" s="6" t="n">
        <f aca="false">Sens!G857-Sens!G858</f>
        <v>168.06509616262</v>
      </c>
      <c r="H859" s="6" t="n">
        <f aca="false">Sens!H857-Sens!H858</f>
        <v>188.605680788768</v>
      </c>
      <c r="I859" s="6" t="n">
        <f aca="false">Sens!I857-Sens!I858</f>
        <v>207.474952314551</v>
      </c>
      <c r="J859" s="6" t="n">
        <f aca="false">Sens!J857-Sens!J858</f>
        <v>224.035422238039</v>
      </c>
      <c r="K859" s="6" t="n">
        <f aca="false">Sens!K857-Sens!K858</f>
        <v>238.059973853192</v>
      </c>
    </row>
    <row r="860" customFormat="false" ht="17.15" hidden="false" customHeight="false" outlineLevel="0" collapsed="false">
      <c r="A860" s="1" t="s">
        <v>826</v>
      </c>
      <c r="B860" s="1" t="s">
        <v>79</v>
      </c>
      <c r="D860" s="18" t="n">
        <f aca="false">Q!L31</f>
        <v>7.465</v>
      </c>
      <c r="E860" s="18" t="n">
        <f aca="false">Q!M31</f>
        <v>7.453</v>
      </c>
      <c r="F860" s="18" t="n">
        <f aca="false">Sens!F897</f>
        <v>7.4735</v>
      </c>
      <c r="G860" s="18" t="n">
        <f aca="false">Sens!G897</f>
        <v>7.50856178761354</v>
      </c>
      <c r="H860" s="18" t="n">
        <f aca="false">Sens!H897</f>
        <v>7.52637516107703</v>
      </c>
      <c r="I860" s="18" t="n">
        <f aca="false">Sens!I897</f>
        <v>7.53815599308434</v>
      </c>
      <c r="J860" s="18" t="n">
        <f aca="false">Sens!J897</f>
        <v>7.55239750420222</v>
      </c>
      <c r="K860" s="18" t="n">
        <f aca="false">Sens!K897</f>
        <v>7.56891742190397</v>
      </c>
    </row>
    <row r="861" customFormat="false" ht="17.15" hidden="false" customHeight="false" outlineLevel="0" collapsed="false">
      <c r="A861" s="0" t="s">
        <v>827</v>
      </c>
      <c r="B861" s="0" t="s">
        <v>73</v>
      </c>
      <c r="D861" s="8" t="n">
        <f aca="false">Sens!D859/Sens!D860</f>
        <v>13.641259209645</v>
      </c>
      <c r="E861" s="8" t="n">
        <f aca="false">Sens!E859/Sens!E860</f>
        <v>17.9456594659869</v>
      </c>
      <c r="F861" s="8" t="n">
        <f aca="false">Sens!F859/Sens!F860</f>
        <v>19.7768851325622</v>
      </c>
      <c r="G861" s="8" t="n">
        <f aca="false">Sens!G859/Sens!G860</f>
        <v>22.3831275437951</v>
      </c>
      <c r="H861" s="8" t="n">
        <f aca="false">Sens!H859/Sens!H860</f>
        <v>25.0592983677122</v>
      </c>
      <c r="I861" s="8" t="n">
        <f aca="false">Sens!I859/Sens!I860</f>
        <v>27.5233031135059</v>
      </c>
      <c r="J861" s="8" t="n">
        <f aca="false">Sens!J859/Sens!J860</f>
        <v>29.6641460030915</v>
      </c>
      <c r="K861" s="8" t="n">
        <f aca="false">Sens!K859/Sens!K860</f>
        <v>31.452314853411</v>
      </c>
      <c r="L861" s="1" t="s">
        <v>828</v>
      </c>
    </row>
    <row r="862" customFormat="false" ht="17.15" hidden="false" customHeight="false" outlineLevel="0" collapsed="false">
      <c r="A862" s="0" t="s">
        <v>829</v>
      </c>
      <c r="B862" s="0" t="s">
        <v>126</v>
      </c>
      <c r="E862" s="7" t="n">
        <f aca="false">Sens!E861/Sens!D861-1</f>
        <v>0.315542736208578</v>
      </c>
      <c r="F862" s="7" t="n">
        <f aca="false">Sens!F861/Sens!E861-1</f>
        <v>0.102042818211622</v>
      </c>
      <c r="G862" s="7" t="n">
        <f aca="false">Sens!G861/Sens!F861-1</f>
        <v>0.131782249518238</v>
      </c>
      <c r="H862" s="7" t="n">
        <f aca="false">Sens!H861/Sens!G861-1</f>
        <v>0.119561970000883</v>
      </c>
      <c r="I862" s="7" t="n">
        <f aca="false">Sens!I861/Sens!H861-1</f>
        <v>0.0983269646914144</v>
      </c>
      <c r="J862" s="7" t="n">
        <f aca="false">Sens!J861/Sens!I861-1</f>
        <v>0.0777829201951821</v>
      </c>
      <c r="K862" s="7" t="n">
        <f aca="false">Sens!K861/Sens!J861-1</f>
        <v>0.0602804763074292</v>
      </c>
    </row>
    <row r="863" customFormat="false" ht="17.15" hidden="false" customHeight="false" outlineLevel="0" collapsed="false">
      <c r="A863" s="0" t="s">
        <v>763</v>
      </c>
      <c r="B863" s="0" t="s">
        <v>95</v>
      </c>
      <c r="E863" s="6" t="n">
        <f aca="false">Sens!E808</f>
        <v>5.25</v>
      </c>
      <c r="F863" s="6" t="n">
        <f aca="false">Sens!F808</f>
        <v>12</v>
      </c>
      <c r="G863" s="6" t="n">
        <f aca="false">Sens!G808</f>
        <v>18</v>
      </c>
      <c r="H863" s="6" t="n">
        <f aca="false">Sens!H808</f>
        <v>24</v>
      </c>
      <c r="I863" s="6" t="n">
        <f aca="false">Sens!I808</f>
        <v>28.5</v>
      </c>
      <c r="J863" s="6" t="n">
        <f aca="false">Sens!J808</f>
        <v>31.5</v>
      </c>
      <c r="K863" s="6" t="n">
        <f aca="false">Sens!K808</f>
        <v>34.5</v>
      </c>
    </row>
    <row r="864" customFormat="false" ht="17.15" hidden="false" customHeight="false" outlineLevel="0" collapsed="false">
      <c r="A864" s="0" t="s">
        <v>764</v>
      </c>
      <c r="B864" s="0" t="s">
        <v>95</v>
      </c>
      <c r="E864" s="6" t="n">
        <f aca="false">Sens!E788+Sens!E863*Sens!E847-Sens!E789-Sens!E799</f>
        <v>2.1514866143068</v>
      </c>
      <c r="F864" s="6" t="n">
        <f aca="false">Sens!F788+Sens!F863*Sens!F847-Sens!F789-Sens!F799</f>
        <v>13.2970639395976</v>
      </c>
      <c r="G864" s="6" t="n">
        <f aca="false">Sens!G788+Sens!G863*Sens!G847-Sens!G789-Sens!G799</f>
        <v>18.9562036369688</v>
      </c>
      <c r="H864" s="6" t="n">
        <f aca="false">Sens!H788+Sens!H863*Sens!H847-Sens!H789-Sens!H799</f>
        <v>24.6422195203196</v>
      </c>
      <c r="I864" s="6" t="n">
        <f aca="false">Sens!I788+Sens!I863*Sens!I847-Sens!I789-Sens!I799</f>
        <v>28.6100635573321</v>
      </c>
      <c r="J864" s="6" t="n">
        <f aca="false">Sens!J788+Sens!J863*Sens!J847-Sens!J789-Sens!J799</f>
        <v>30.8315988306689</v>
      </c>
      <c r="K864" s="6" t="n">
        <f aca="false">Sens!K788+Sens!K863*Sens!K847-Sens!K789-Sens!K799</f>
        <v>31.814032737569</v>
      </c>
    </row>
    <row r="865" customFormat="false" ht="17.15" hidden="false" customHeight="false" outlineLevel="0" collapsed="false">
      <c r="A865" s="0" t="s">
        <v>765</v>
      </c>
      <c r="B865" s="0" t="s">
        <v>95</v>
      </c>
      <c r="E865" s="6" t="n">
        <f aca="false">Sens!E771*(cxit_open+self_build*tk_cxfac)/1000*ai_net_open</f>
        <v>126.6980382</v>
      </c>
      <c r="F865" s="6" t="n">
        <f aca="false">Sens!E865+Sens!F796-Sens!F799</f>
        <v>260.578155514568</v>
      </c>
      <c r="G865" s="6" t="n">
        <f aca="false">Sens!F865+Sens!G796-Sens!G799</f>
        <v>383.645602737428</v>
      </c>
      <c r="H865" s="6" t="n">
        <f aca="false">Sens!G865+Sens!H796-Sens!H799</f>
        <v>483.983572654688</v>
      </c>
      <c r="I865" s="6" t="n">
        <f aca="false">Sens!H865+Sens!I796-Sens!I799</f>
        <v>586.325352170632</v>
      </c>
      <c r="J865" s="6" t="n">
        <f aca="false">Sens!I865+Sens!J796-Sens!J799</f>
        <v>674.878135136093</v>
      </c>
      <c r="K865" s="6" t="n">
        <f aca="false">Sens!J865+Sens!K796-Sens!K799</f>
        <v>777.995524451903</v>
      </c>
      <c r="L865" s="1" t="s">
        <v>766</v>
      </c>
    </row>
    <row r="866" customFormat="false" ht="17.15" hidden="false" customHeight="false" outlineLevel="0" collapsed="false">
      <c r="A866" s="0" t="s">
        <v>767</v>
      </c>
      <c r="B866" s="0" t="s">
        <v>126</v>
      </c>
      <c r="F866" s="7" t="n">
        <f aca="false">Sens!F864*(1-tax_f)/((Sens!E865+Sens!F865)/2)</f>
        <v>0.0549357348803025</v>
      </c>
      <c r="G866" s="7" t="n">
        <f aca="false">Sens!G864*(1-tax_f)/((Sens!F865+Sens!G865)/2)</f>
        <v>0.0470798001946493</v>
      </c>
      <c r="H866" s="7" t="n">
        <f aca="false">Sens!H864*(1-tax_f)/((Sens!G865+Sens!H865)/2)</f>
        <v>0.0454428600959534</v>
      </c>
      <c r="I866" s="7" t="n">
        <f aca="false">Sens!I864*(1-tax_f)/((Sens!H865+Sens!I865)/2)</f>
        <v>0.0427690553913696</v>
      </c>
      <c r="J866" s="7" t="n">
        <f aca="false">Sens!J864*(1-tax_f)/((Sens!I865+Sens!J865)/2)</f>
        <v>0.0391138770432793</v>
      </c>
      <c r="K866" s="7" t="n">
        <f aca="false">Sens!K864*(1-tax_f)/((Sens!J865+Sens!K865)/2)</f>
        <v>0.0350357046149114</v>
      </c>
    </row>
    <row r="867" customFormat="false" ht="17.15" hidden="false" customHeight="false" outlineLevel="0" collapsed="false">
      <c r="A867" s="1" t="s">
        <v>768</v>
      </c>
      <c r="B867" s="0" t="s">
        <v>126</v>
      </c>
      <c r="F867" s="7" t="n">
        <f aca="false">Sens!F800*(1-tax_f)/(Sens!F787*(Sens!E865+Sens!F865)/2)</f>
        <v>0.18505119187521</v>
      </c>
      <c r="G867" s="7" t="n">
        <f aca="false">Sens!G800*(1-tax_f)/(Sens!G787*(Sens!F865+Sens!G865)/2)</f>
        <v>0.180750017325005</v>
      </c>
      <c r="H867" s="7" t="n">
        <f aca="false">Sens!H800*(1-tax_f)/(Sens!H787*(Sens!G865+Sens!H865)/2)</f>
        <v>0.188404913795274</v>
      </c>
      <c r="I867" s="7" t="n">
        <f aca="false">Sens!I800*(1-tax_f)/(Sens!I787*(Sens!H865+Sens!I865)/2)</f>
        <v>0.19556025868443</v>
      </c>
      <c r="J867" s="7" t="n">
        <f aca="false">Sens!J800*(1-tax_f)/(Sens!J787*(Sens!I865+Sens!J865)/2)</f>
        <v>0.201264442269007</v>
      </c>
      <c r="K867" s="7" t="n">
        <f aca="false">Sens!K800*(1-tax_f)/(Sens!K787*(Sens!J865+Sens!K865)/2)</f>
        <v>0.204037126067466</v>
      </c>
    </row>
    <row r="868" customFormat="false" ht="17.15" hidden="false" customHeight="false" outlineLevel="0" collapsed="false">
      <c r="A868" s="0" t="s">
        <v>769</v>
      </c>
      <c r="B868" s="0" t="s">
        <v>208</v>
      </c>
      <c r="F868" s="7" t="n">
        <f aca="false">Sens!F866-wacc</f>
        <v>-0.0540274862699514</v>
      </c>
      <c r="G868" s="7" t="n">
        <f aca="false">Sens!G866-wacc</f>
        <v>-0.0618834209556046</v>
      </c>
      <c r="H868" s="7" t="n">
        <f aca="false">Sens!H866-wacc</f>
        <v>-0.0635203610543006</v>
      </c>
      <c r="I868" s="7" t="n">
        <f aca="false">Sens!I866-wacc</f>
        <v>-0.0661941657588844</v>
      </c>
      <c r="J868" s="7" t="n">
        <f aca="false">Sens!J866-wacc</f>
        <v>-0.0698493441069747</v>
      </c>
      <c r="K868" s="7" t="n">
        <f aca="false">Sens!K866-wacc</f>
        <v>-0.0739275165353426</v>
      </c>
    </row>
    <row r="869" customFormat="false" ht="17.15" hidden="false" customHeight="false" outlineLevel="0" collapsed="false">
      <c r="A869" s="0" t="s">
        <v>770</v>
      </c>
      <c r="B869" s="0" t="s">
        <v>95</v>
      </c>
      <c r="F869" s="6" t="n">
        <f aca="false">Sens!F864*(1-tax_f)-wacc*(Sens!E865+Sens!F865)/2</f>
        <v>-10.4617796192964</v>
      </c>
      <c r="G869" s="6" t="n">
        <f aca="false">Sens!G864*(1-tax_f)-wacc*(Sens!F865+Sens!G865)/2</f>
        <v>-19.933385010755</v>
      </c>
      <c r="H869" s="6" t="n">
        <f aca="false">Sens!H864*(1-tax_f)-wacc*(Sens!G865+Sens!H865)/2</f>
        <v>-27.5560592410762</v>
      </c>
      <c r="I869" s="6" t="n">
        <f aca="false">Sens!I864*(1-tax_f)-wacc*(Sens!H865+Sens!I865)/2</f>
        <v>-35.4241031915503</v>
      </c>
      <c r="J869" s="6" t="n">
        <f aca="false">Sens!J864*(1-tax_f)-wacc*(Sens!I865+Sens!J865)/2</f>
        <v>-44.047118186902</v>
      </c>
      <c r="K869" s="6" t="n">
        <f aca="false">Sens!K864*(1-tax_f)-wacc*(Sens!J865+Sens!K865)/2</f>
        <v>-53.7036707464777</v>
      </c>
    </row>
    <row r="870" customFormat="false" ht="17.15" hidden="false" customHeight="false" outlineLevel="0" collapsed="false">
      <c r="A870" s="1" t="s">
        <v>771</v>
      </c>
      <c r="B870" s="0" t="s">
        <v>95</v>
      </c>
      <c r="F870" s="6" t="n">
        <f aca="false">(Sens!E772+Sens!F772)/2*Sens!F779/1000</f>
        <v>26.7873066765967</v>
      </c>
      <c r="G870" s="6" t="n">
        <f aca="false">(Sens!F772+Sens!G772)/2*Sens!G779/1000</f>
        <v>45.4131817597218</v>
      </c>
      <c r="H870" s="6" t="n">
        <f aca="false">(Sens!G772+Sens!H772)/2*Sens!H779/1000</f>
        <v>65.3915129357971</v>
      </c>
      <c r="I870" s="6" t="n">
        <f aca="false">(Sens!H772+Sens!I772)/2*Sens!I779/1000</f>
        <v>85.5187419289299</v>
      </c>
      <c r="J870" s="6" t="n">
        <f aca="false">(Sens!I772+Sens!J772)/2*Sens!J779/1000</f>
        <v>105.723807195006</v>
      </c>
      <c r="K870" s="6" t="n">
        <f aca="false">(Sens!J772+Sens!K772)/2*Sens!K779/1000</f>
        <v>125.974659797015</v>
      </c>
      <c r="L870" s="1" t="s">
        <v>772</v>
      </c>
    </row>
    <row r="871" customFormat="false" ht="17.15" hidden="false" customHeight="false" outlineLevel="0" collapsed="false">
      <c r="A871" s="1" t="s">
        <v>773</v>
      </c>
      <c r="B871" s="0" t="s">
        <v>126</v>
      </c>
      <c r="F871" s="7" t="n">
        <f aca="false">(Sens!F788+Sens!F870-Sens!F789-Sens!F799)*(1-tax_f)/((Sens!E865+Sens!F865)/2)</f>
        <v>0.137298942491253</v>
      </c>
      <c r="G871" s="7" t="n">
        <f aca="false">(Sens!G788+Sens!G870-Sens!G789-Sens!G799)*(1-tax_f)/((Sens!F865+Sens!G865)/2)</f>
        <v>0.134343764601671</v>
      </c>
      <c r="H871" s="7" t="n">
        <f aca="false">(Sens!H788+Sens!H870-Sens!H789-Sens!H799)*(1-tax_f)/((Sens!G865+Sens!H865)/2)</f>
        <v>0.140761990398565</v>
      </c>
      <c r="I871" s="7" t="n">
        <f aca="false">(Sens!I788+Sens!I870-Sens!I789-Sens!I799)*(1-tax_f)/((Sens!H865+Sens!I865)/2)</f>
        <v>0.146285273294831</v>
      </c>
      <c r="J871" s="7" t="n">
        <f aca="false">(Sens!J788+Sens!J870-Sens!J789-Sens!J799)*(1-tax_f)/((Sens!I865+Sens!J865)/2)</f>
        <v>0.150421721051486</v>
      </c>
      <c r="K871" s="7" t="n">
        <f aca="false">(Sens!K788+Sens!K870-Sens!K789-Sens!K799)*(1-tax_f)/((Sens!J865+Sens!K865)/2)</f>
        <v>0.152074518543827</v>
      </c>
      <c r="L871" s="1" t="s">
        <v>774</v>
      </c>
    </row>
    <row r="872" customFormat="false" ht="17.15" hidden="false" customHeight="false" outlineLevel="0" collapsed="false">
      <c r="A872" s="3" t="s">
        <v>1137</v>
      </c>
    </row>
    <row r="873" customFormat="false" ht="15" hidden="false" customHeight="false" outlineLevel="0" collapsed="false">
      <c r="A873" s="4" t="s">
        <v>43</v>
      </c>
      <c r="B873" s="4" t="s">
        <v>63</v>
      </c>
      <c r="C873" s="19" t="s">
        <v>710</v>
      </c>
      <c r="D873" s="19" t="s">
        <v>711</v>
      </c>
      <c r="E873" s="19" t="s">
        <v>712</v>
      </c>
      <c r="F873" s="19" t="s">
        <v>713</v>
      </c>
      <c r="G873" s="19" t="s">
        <v>714</v>
      </c>
      <c r="H873" s="19" t="s">
        <v>715</v>
      </c>
      <c r="I873" s="19" t="s">
        <v>716</v>
      </c>
      <c r="J873" s="19" t="s">
        <v>717</v>
      </c>
      <c r="K873" s="19" t="s">
        <v>718</v>
      </c>
      <c r="L873" s="4" t="s">
        <v>47</v>
      </c>
    </row>
    <row r="874" customFormat="false" ht="15" hidden="false" customHeight="false" outlineLevel="0" collapsed="false">
      <c r="A874" s="1" t="s">
        <v>825</v>
      </c>
      <c r="B874" s="0" t="s">
        <v>95</v>
      </c>
      <c r="F874" s="6" t="n">
        <f aca="false">Sens!F859</f>
        <v>147.802551038204</v>
      </c>
      <c r="G874" s="6" t="n">
        <f aca="false">Sens!G859</f>
        <v>168.06509616262</v>
      </c>
      <c r="H874" s="6" t="n">
        <f aca="false">Sens!H859</f>
        <v>188.605680788768</v>
      </c>
      <c r="I874" s="6" t="n">
        <f aca="false">Sens!I859</f>
        <v>207.474952314551</v>
      </c>
      <c r="J874" s="6" t="n">
        <f aca="false">Sens!J859</f>
        <v>224.035422238039</v>
      </c>
      <c r="K874" s="6" t="n">
        <f aca="false">Sens!K859</f>
        <v>238.059973853192</v>
      </c>
    </row>
    <row r="875" customFormat="false" ht="17.15" hidden="false" customHeight="false" outlineLevel="0" collapsed="false">
      <c r="A875" s="1" t="s">
        <v>843</v>
      </c>
      <c r="B875" s="0" t="s">
        <v>95</v>
      </c>
      <c r="E875" s="6" t="n">
        <f aca="false">Q!M38-Sens!E799</f>
        <v>22.2285940229167</v>
      </c>
      <c r="F875" s="6" t="n">
        <f aca="false">Sens!E875*(1-1/life_nonai)+Sens!F881/life_nonai</f>
        <v>23.5636693435813</v>
      </c>
      <c r="G875" s="6" t="n">
        <f aca="false">Sens!F875*(1-1/life_nonai)+Sens!G881/life_nonai</f>
        <v>25.3225917662621</v>
      </c>
      <c r="H875" s="6" t="n">
        <f aca="false">Sens!G875*(1-1/life_nonai)+Sens!H881/life_nonai</f>
        <v>27.4714839540448</v>
      </c>
      <c r="I875" s="6" t="n">
        <f aca="false">Sens!H875*(1-1/life_nonai)+Sens!I881/life_nonai</f>
        <v>29.9441755898047</v>
      </c>
      <c r="J875" s="6" t="n">
        <f aca="false">Sens!I875*(1-1/life_nonai)+Sens!J881/life_nonai</f>
        <v>32.6578493558616</v>
      </c>
      <c r="K875" s="6" t="n">
        <f aca="false">Sens!J875*(1-1/life_nonai)+Sens!K881/life_nonai</f>
        <v>35.5289346944749</v>
      </c>
      <c r="L875" s="11" t="s">
        <v>844</v>
      </c>
    </row>
    <row r="876" customFormat="false" ht="17.15" hidden="false" customHeight="false" outlineLevel="0" collapsed="false">
      <c r="A876" s="1" t="s">
        <v>845</v>
      </c>
      <c r="B876" s="0" t="s">
        <v>95</v>
      </c>
      <c r="E876" s="6" t="n">
        <f aca="false">Sens!E799+Sens!E875</f>
        <v>38.534</v>
      </c>
      <c r="F876" s="6" t="n">
        <f aca="false">Sens!F799+Sens!F875</f>
        <v>58.304204799451</v>
      </c>
      <c r="G876" s="6" t="n">
        <f aca="false">Sens!G799+Sens!G875</f>
        <v>85.8293250266017</v>
      </c>
      <c r="H876" s="6" t="n">
        <f aca="false">Sens!H799+Sens!H875</f>
        <v>115.213799947184</v>
      </c>
      <c r="I876" s="6" t="n">
        <f aca="false">Sens!I799+Sens!I875</f>
        <v>145.941357330928</v>
      </c>
      <c r="J876" s="6" t="n">
        <f aca="false">Sens!J799+Sens!J875</f>
        <v>177.882127314135</v>
      </c>
      <c r="K876" s="6" t="n">
        <f aca="false">Sens!K799+Sens!K875</f>
        <v>211.267857329064</v>
      </c>
    </row>
    <row r="877" customFormat="false" ht="15" hidden="false" customHeight="false" outlineLevel="0" collapsed="false">
      <c r="A877" s="1" t="s">
        <v>685</v>
      </c>
      <c r="B877" s="0" t="s">
        <v>95</v>
      </c>
      <c r="F877" s="6" t="n">
        <f aca="false">Sens!F826*sbc_r</f>
        <v>15.2396357394244</v>
      </c>
      <c r="G877" s="6" t="n">
        <f aca="false">Sens!G826*sbc_r</f>
        <v>18.2656947661053</v>
      </c>
      <c r="H877" s="6" t="n">
        <f aca="false">Sens!H826*sbc_r</f>
        <v>21.364089868982</v>
      </c>
      <c r="I877" s="6" t="n">
        <f aca="false">Sens!I826*sbc_r</f>
        <v>24.3962708319289</v>
      </c>
      <c r="J877" s="6" t="n">
        <f aca="false">Sens!J826*sbc_r</f>
        <v>27.3074578181632</v>
      </c>
      <c r="K877" s="6" t="n">
        <f aca="false">Sens!K826*sbc_r</f>
        <v>30.0995378163253</v>
      </c>
    </row>
    <row r="878" customFormat="false" ht="17.15" hidden="false" customHeight="false" outlineLevel="0" collapsed="false">
      <c r="A878" s="1" t="s">
        <v>846</v>
      </c>
      <c r="B878" s="0" t="s">
        <v>95</v>
      </c>
      <c r="F878" s="6" t="n">
        <f aca="false">wc27</f>
        <v>-4.895</v>
      </c>
      <c r="G878" s="6" t="n">
        <f aca="false">0</f>
        <v>0</v>
      </c>
      <c r="H878" s="6" t="n">
        <f aca="false">0</f>
        <v>0</v>
      </c>
      <c r="I878" s="6" t="n">
        <f aca="false">0</f>
        <v>0</v>
      </c>
      <c r="J878" s="6" t="n">
        <f aca="false">0</f>
        <v>0</v>
      </c>
      <c r="K878" s="6" t="n">
        <f aca="false">0</f>
        <v>0</v>
      </c>
      <c r="L878" s="11" t="s">
        <v>847</v>
      </c>
    </row>
    <row r="879" customFormat="false" ht="15" hidden="false" customHeight="false" outlineLevel="0" collapsed="false">
      <c r="A879" s="1" t="s">
        <v>678</v>
      </c>
      <c r="B879" s="0" t="s">
        <v>95</v>
      </c>
      <c r="E879" s="6" t="n">
        <f aca="false">Q!M35</f>
        <v>182.935</v>
      </c>
      <c r="F879" s="6" t="n">
        <f aca="false">Sens!F874+Sens!F876+Sens!F877+Sens!F878</f>
        <v>216.451391577079</v>
      </c>
      <c r="G879" s="6" t="n">
        <f aca="false">Sens!G874+Sens!G876+Sens!G877+Sens!G878</f>
        <v>272.160115955327</v>
      </c>
      <c r="H879" s="6" t="n">
        <f aca="false">Sens!H874+Sens!H876+Sens!H877+Sens!H878</f>
        <v>325.183570604934</v>
      </c>
      <c r="I879" s="6" t="n">
        <f aca="false">Sens!I874+Sens!I876+Sens!I877+Sens!I878</f>
        <v>377.812580477408</v>
      </c>
      <c r="J879" s="6" t="n">
        <f aca="false">Sens!J874+Sens!J876+Sens!J877+Sens!J878</f>
        <v>429.225007370337</v>
      </c>
      <c r="K879" s="6" t="n">
        <f aca="false">Sens!K874+Sens!K876+Sens!K877+Sens!K878</f>
        <v>479.427368998581</v>
      </c>
    </row>
    <row r="880" customFormat="false" ht="17.15" hidden="false" customHeight="false" outlineLevel="0" collapsed="false">
      <c r="A880" s="0" t="s">
        <v>848</v>
      </c>
      <c r="B880" s="0" t="s">
        <v>95</v>
      </c>
      <c r="F880" s="6" t="n">
        <f aca="false">Sens!F796</f>
        <v>168.620652770438</v>
      </c>
      <c r="G880" s="6" t="n">
        <f aca="false">Sens!G796</f>
        <v>183.5741804832</v>
      </c>
      <c r="H880" s="6" t="n">
        <f aca="false">Sens!H796</f>
        <v>188.0802859104</v>
      </c>
      <c r="I880" s="6" t="n">
        <f aca="false">Sens!I796</f>
        <v>218.338961257067</v>
      </c>
      <c r="J880" s="6" t="n">
        <f aca="false">Sens!J796</f>
        <v>233.777060923733</v>
      </c>
      <c r="K880" s="6" t="n">
        <f aca="false">Sens!K796</f>
        <v>278.8563119504</v>
      </c>
    </row>
    <row r="881" customFormat="false" ht="17.15" hidden="false" customHeight="false" outlineLevel="0" collapsed="false">
      <c r="A881" s="1" t="s">
        <v>849</v>
      </c>
      <c r="B881" s="0" t="s">
        <v>95</v>
      </c>
      <c r="E881" s="6" t="n">
        <f aca="false">Sens!E804*cx_azo+Sens!E811*cx_m365+Sens!E812*cx_lic+(Sens!E814+Sens!E816)*cx_ind+Sens!E819*cx_srch+(Sens!E821+Sens!E823)*cx_dev</f>
        <v>30.1846587067718</v>
      </c>
      <c r="F881" s="6" t="n">
        <f aca="false">Sens!F804*cx_azo+Sens!F811*cx_m365+Sens!F812*cx_lic+(Sens!F814+Sens!F816)*cx_ind+Sens!F819*cx_srch+(Sens!F821+Sens!F823)*cx_dev</f>
        <v>35.5793472295625</v>
      </c>
      <c r="G881" s="6" t="n">
        <f aca="false">Sens!G804*cx_azo+Sens!G811*cx_m365+Sens!G812*cx_lic+(Sens!G814+Sens!G816)*cx_ind+Sens!G819*cx_srch+(Sens!G821+Sens!G823)*cx_dev</f>
        <v>41.1528935703892</v>
      </c>
      <c r="H881" s="6" t="n">
        <f aca="false">Sens!H804*cx_azo+Sens!H811*cx_m365+Sens!H812*cx_lic+(Sens!H814+Sens!H816)*cx_ind+Sens!H819*cx_srch+(Sens!H821+Sens!H823)*cx_dev</f>
        <v>46.8115136440897</v>
      </c>
      <c r="I881" s="6" t="n">
        <f aca="false">Sens!I804*cx_azo+Sens!I811*cx_m365+Sens!I812*cx_lic+(Sens!I814+Sens!I816)*cx_ind+Sens!I819*cx_srch+(Sens!I821+Sens!I823)*cx_dev</f>
        <v>52.1984003116439</v>
      </c>
      <c r="J881" s="6" t="n">
        <f aca="false">Sens!J804*cx_azo+Sens!J811*cx_m365+Sens!J812*cx_lic+(Sens!J814+Sens!J816)*cx_ind+Sens!J819*cx_srch+(Sens!J821+Sens!J823)*cx_dev</f>
        <v>57.0809132503738</v>
      </c>
      <c r="K881" s="6" t="n">
        <f aca="false">Sens!K804*cx_azo+Sens!K811*cx_m365+Sens!K812*cx_lic+(Sens!K814+Sens!K816)*cx_ind+Sens!K819*cx_srch+(Sens!K821+Sens!K823)*cx_dev</f>
        <v>61.368702741994</v>
      </c>
    </row>
    <row r="882" customFormat="false" ht="17.15" hidden="false" customHeight="false" outlineLevel="0" collapsed="false">
      <c r="A882" s="1" t="s">
        <v>850</v>
      </c>
      <c r="B882" s="0" t="s">
        <v>95</v>
      </c>
      <c r="E882" s="6" t="n">
        <f aca="false">Q!M42</f>
        <v>145.3</v>
      </c>
      <c r="F882" s="6" t="n">
        <f aca="false">Sens!F880+Sens!F881</f>
        <v>204.2</v>
      </c>
      <c r="G882" s="6" t="n">
        <f aca="false">Sens!G880+Sens!G881</f>
        <v>224.727074053589</v>
      </c>
      <c r="H882" s="6" t="n">
        <f aca="false">Sens!H880+Sens!H881</f>
        <v>234.89179955449</v>
      </c>
      <c r="I882" s="6" t="n">
        <f aca="false">Sens!I880+Sens!I881</f>
        <v>270.537361568711</v>
      </c>
      <c r="J882" s="6" t="n">
        <f aca="false">Sens!J880+Sens!J881</f>
        <v>290.857974174107</v>
      </c>
      <c r="K882" s="6" t="n">
        <f aca="false">Sens!K880+Sens!K881</f>
        <v>340.225014692394</v>
      </c>
      <c r="L882" s="1" t="s">
        <v>851</v>
      </c>
    </row>
    <row r="883" customFormat="false" ht="15" hidden="false" customHeight="false" outlineLevel="0" collapsed="false">
      <c r="A883" s="1" t="s">
        <v>852</v>
      </c>
      <c r="B883" s="0" t="s">
        <v>95</v>
      </c>
      <c r="E883" s="6" t="n">
        <f aca="false">fl_liab</f>
        <v>66.594</v>
      </c>
      <c r="F883" s="6" t="n">
        <f aca="false">Sens!E883-Sens!F884</f>
        <v>62.46973</v>
      </c>
      <c r="G883" s="6" t="n">
        <f aca="false">Sens!F883-Sens!G884</f>
        <v>57.98686785</v>
      </c>
      <c r="H883" s="6" t="n">
        <f aca="false">Sens!G883-Sens!H884</f>
        <v>53.92827690325</v>
      </c>
      <c r="I883" s="6" t="n">
        <f aca="false">Sens!H883-Sens!I884</f>
        <v>49.7850493638962</v>
      </c>
      <c r="J883" s="6" t="n">
        <f aca="false">Sens!I883-Sens!J884</f>
        <v>45.4823765852716</v>
      </c>
      <c r="K883" s="6" t="n">
        <f aca="false">Sens!J883-Sens!K884</f>
        <v>40.9860835316088</v>
      </c>
    </row>
    <row r="884" customFormat="false" ht="15" hidden="false" customHeight="false" outlineLevel="0" collapsed="false">
      <c r="A884" s="1" t="s">
        <v>853</v>
      </c>
      <c r="B884" s="0" t="s">
        <v>95</v>
      </c>
      <c r="F884" s="6" t="n">
        <f aca="false">fl_pay_27-Sens!E883*fl_rate</f>
        <v>4.12427</v>
      </c>
      <c r="G884" s="6" t="n">
        <f aca="false">fl_pay_28-Sens!F883*fl_rate</f>
        <v>4.48286215</v>
      </c>
      <c r="H884" s="6" t="n">
        <f aca="false">fl_pay_29-Sens!G883*fl_rate</f>
        <v>4.05859094675</v>
      </c>
      <c r="I884" s="6" t="n">
        <f aca="false">fl_pay_30-Sens!H883*fl_rate</f>
        <v>4.14322753935375</v>
      </c>
      <c r="J884" s="6" t="n">
        <f aca="false">fl_pay_31-Sens!I883*fl_rate</f>
        <v>4.30267277862467</v>
      </c>
      <c r="K884" s="6" t="n">
        <f aca="false">fl_pay_32-Sens!J883*fl_rate</f>
        <v>4.49629305366278</v>
      </c>
    </row>
    <row r="885" customFormat="false" ht="17.15" hidden="false" customHeight="false" outlineLevel="0" collapsed="false">
      <c r="A885" s="1" t="s">
        <v>854</v>
      </c>
      <c r="B885" s="0" t="s">
        <v>95</v>
      </c>
      <c r="E885" s="6" t="n">
        <f aca="false">Q!M35-Q!M36-Q!M43</f>
        <v>63.886</v>
      </c>
      <c r="F885" s="6" t="n">
        <f aca="false">Sens!F879-Sens!F882-Sens!F884</f>
        <v>8.12712157707923</v>
      </c>
      <c r="G885" s="6" t="n">
        <f aca="false">Sens!G879-Sens!G882-Sens!G884</f>
        <v>42.9501797517375</v>
      </c>
      <c r="H885" s="6" t="n">
        <f aca="false">Sens!H879-Sens!H882-Sens!H884</f>
        <v>86.2331801036944</v>
      </c>
      <c r="I885" s="6" t="n">
        <f aca="false">Sens!I879-Sens!I882-Sens!I884</f>
        <v>103.131991369343</v>
      </c>
      <c r="J885" s="6" t="n">
        <f aca="false">Sens!J879-Sens!J882-Sens!J884</f>
        <v>134.064360417605</v>
      </c>
      <c r="K885" s="6" t="n">
        <f aca="false">Sens!K879-Sens!K882-Sens!K884</f>
        <v>134.706061252525</v>
      </c>
      <c r="L885" s="11" t="s">
        <v>855</v>
      </c>
    </row>
    <row r="886" customFormat="false" ht="15" hidden="false" customHeight="false" outlineLevel="0" collapsed="false">
      <c r="A886" s="1" t="s">
        <v>856</v>
      </c>
      <c r="B886" s="0" t="s">
        <v>73</v>
      </c>
      <c r="F886" s="8" t="n">
        <f aca="false">dps_27</f>
        <v>3.85</v>
      </c>
      <c r="G886" s="8" t="n">
        <f aca="false">Sens!F886*(1+dps_g)</f>
        <v>4.158</v>
      </c>
      <c r="H886" s="8" t="n">
        <f aca="false">Sens!G886*(1+dps_g)</f>
        <v>4.49064</v>
      </c>
      <c r="I886" s="8" t="n">
        <f aca="false">Sens!H886*(1+dps_g)</f>
        <v>4.8498912</v>
      </c>
      <c r="J886" s="8" t="n">
        <f aca="false">Sens!I886*(1+dps_g)</f>
        <v>5.237882496</v>
      </c>
      <c r="K886" s="8" t="n">
        <f aca="false">Sens!J886*(1+dps_g)</f>
        <v>5.65691309568</v>
      </c>
    </row>
    <row r="887" customFormat="false" ht="17.15" hidden="false" customHeight="false" outlineLevel="0" collapsed="false">
      <c r="A887" s="1" t="s">
        <v>857</v>
      </c>
      <c r="B887" s="0" t="s">
        <v>95</v>
      </c>
      <c r="E887" s="6" t="n">
        <f aca="false">Q!M41</f>
        <v>26.445</v>
      </c>
      <c r="F887" s="6" t="n">
        <f aca="false">Sens!F886*Sens!E896</f>
        <v>28.59395</v>
      </c>
      <c r="G887" s="6" t="n">
        <f aca="false">Sens!G886*Sens!F896</f>
        <v>31.068576</v>
      </c>
      <c r="H887" s="6" t="n">
        <f aca="false">Sens!H886*Sens!G896</f>
        <v>33.6668830118577</v>
      </c>
      <c r="I887" s="6" t="n">
        <f aca="false">Sens!I886*Sens!H896</f>
        <v>36.4111728928058</v>
      </c>
      <c r="J887" s="6" t="n">
        <f aca="false">Sens!J886*Sens!I896</f>
        <v>39.3924655725497</v>
      </c>
      <c r="K887" s="6" t="n">
        <f aca="false">Sens!K886*Sens!J896</f>
        <v>42.6311180436587</v>
      </c>
      <c r="L887" s="1" t="s">
        <v>858</v>
      </c>
    </row>
    <row r="888" customFormat="false" ht="15" hidden="false" customHeight="false" outlineLevel="0" collapsed="false">
      <c r="A888" s="1" t="s">
        <v>859</v>
      </c>
      <c r="B888" s="0" t="s">
        <v>95</v>
      </c>
      <c r="E888" s="6" t="n">
        <f aca="false">Sens!E885-Sens!E887</f>
        <v>37.441</v>
      </c>
      <c r="F888" s="6" t="n">
        <f aca="false">Sens!F885-Sens!F887</f>
        <v>-20.4668284229208</v>
      </c>
      <c r="G888" s="6" t="n">
        <f aca="false">Sens!G885-Sens!G887</f>
        <v>11.8816037517375</v>
      </c>
      <c r="H888" s="6" t="n">
        <f aca="false">Sens!H885-Sens!H887</f>
        <v>52.5662970918367</v>
      </c>
      <c r="I888" s="6" t="n">
        <f aca="false">Sens!I885-Sens!I887</f>
        <v>66.7208184765377</v>
      </c>
      <c r="J888" s="6" t="n">
        <f aca="false">Sens!J885-Sens!J887</f>
        <v>94.6718948450553</v>
      </c>
      <c r="K888" s="6" t="n">
        <f aca="false">Sens!K885-Sens!K887</f>
        <v>92.0749432088658</v>
      </c>
    </row>
    <row r="889" customFormat="false" ht="15" hidden="false" customHeight="false" outlineLevel="0" collapsed="false">
      <c r="A889" s="1" t="s">
        <v>860</v>
      </c>
      <c r="B889" s="0" t="s">
        <v>95</v>
      </c>
      <c r="F889" s="6" t="n">
        <f aca="false">debt_mat_27</f>
        <v>9.25</v>
      </c>
      <c r="G889" s="6" t="n">
        <f aca="false">debt_mat_28</f>
        <v>0</v>
      </c>
      <c r="H889" s="6" t="n">
        <f aca="false">debt_mat_29</f>
        <v>2.001</v>
      </c>
      <c r="I889" s="6" t="n">
        <f aca="false">debt_mat_30</f>
        <v>0</v>
      </c>
      <c r="J889" s="6" t="n">
        <f aca="false">debt_mat_31</f>
        <v>0.5</v>
      </c>
      <c r="K889" s="6" t="n">
        <f aca="false">debt_mat_32</f>
        <v>0</v>
      </c>
    </row>
    <row r="890" customFormat="false" ht="15" hidden="false" customHeight="false" outlineLevel="0" collapsed="false">
      <c r="A890" s="1" t="s">
        <v>861</v>
      </c>
      <c r="B890" s="0" t="s">
        <v>95</v>
      </c>
      <c r="E890" s="6" t="n">
        <f aca="false">Q!M40</f>
        <v>22.271</v>
      </c>
      <c r="F890" s="6" t="n">
        <f aca="false">MAX(0,MIN(bb_target,Sens!E892+Sens!F888-Sens!F889-min_cash))</f>
        <v>0</v>
      </c>
      <c r="G890" s="6" t="n">
        <f aca="false">MAX(0,MIN(bb_target,Sens!F892+Sens!G888-Sens!G889-min_cash))</f>
        <v>11.8816037517375</v>
      </c>
      <c r="H890" s="6" t="n">
        <f aca="false">MAX(0,MIN(bb_target,Sens!G892+Sens!H888-Sens!H889-min_cash))</f>
        <v>22.271</v>
      </c>
      <c r="I890" s="6" t="n">
        <f aca="false">MAX(0,MIN(bb_target,Sens!H892+Sens!I888-Sens!I889-min_cash))</f>
        <v>22.271</v>
      </c>
      <c r="J890" s="6" t="n">
        <f aca="false">MAX(0,MIN(bb_target,Sens!I892+Sens!J888-Sens!J889-min_cash))</f>
        <v>22.271</v>
      </c>
      <c r="K890" s="6" t="n">
        <f aca="false">MAX(0,MIN(bb_target,Sens!J892+Sens!K888-Sens!K889-min_cash))</f>
        <v>22.271</v>
      </c>
    </row>
    <row r="891" customFormat="false" ht="15" hidden="false" customHeight="false" outlineLevel="0" collapsed="false">
      <c r="A891" s="1" t="s">
        <v>862</v>
      </c>
      <c r="B891" s="0" t="s">
        <v>95</v>
      </c>
      <c r="F891" s="6" t="n">
        <f aca="false">MAX(0,min_cash-(Sens!E892+Sens!F888-Sens!F889-Sens!F890))</f>
        <v>2.87382842292077</v>
      </c>
      <c r="G891" s="6" t="n">
        <f aca="false">MAX(0,min_cash-(Sens!F892+Sens!G888-Sens!G889-Sens!G890))</f>
        <v>0</v>
      </c>
      <c r="H891" s="6" t="n">
        <f aca="false">MAX(0,min_cash-(Sens!G892+Sens!H888-Sens!H889-Sens!H890))</f>
        <v>0</v>
      </c>
      <c r="I891" s="6" t="n">
        <f aca="false">MAX(0,min_cash-(Sens!H892+Sens!I888-Sens!I889-Sens!I890))</f>
        <v>0</v>
      </c>
      <c r="J891" s="6" t="n">
        <f aca="false">MAX(0,min_cash-(Sens!I892+Sens!J888-Sens!J889-Sens!J890))</f>
        <v>0</v>
      </c>
      <c r="K891" s="6" t="n">
        <f aca="false">MAX(0,min_cash-(Sens!J892+Sens!K888-Sens!K889-Sens!K890))</f>
        <v>0</v>
      </c>
    </row>
    <row r="892" customFormat="false" ht="15" hidden="false" customHeight="false" outlineLevel="0" collapsed="false">
      <c r="A892" s="1" t="s">
        <v>863</v>
      </c>
      <c r="B892" s="0" t="s">
        <v>95</v>
      </c>
      <c r="E892" s="6" t="n">
        <f aca="false">cash_open</f>
        <v>76.843</v>
      </c>
      <c r="F892" s="6" t="n">
        <f aca="false">Sens!E892+Sens!F888-Sens!F889-Sens!F890+Sens!F891</f>
        <v>50</v>
      </c>
      <c r="G892" s="6" t="n">
        <f aca="false">Sens!F892+Sens!G888-Sens!G889-Sens!G890+Sens!G891</f>
        <v>50</v>
      </c>
      <c r="H892" s="6" t="n">
        <f aca="false">Sens!G892+Sens!H888-Sens!H889-Sens!H890+Sens!H891</f>
        <v>78.2942970918367</v>
      </c>
      <c r="I892" s="6" t="n">
        <f aca="false">Sens!H892+Sens!I888-Sens!I889-Sens!I890+Sens!I891</f>
        <v>122.744115568374</v>
      </c>
      <c r="J892" s="6" t="n">
        <f aca="false">Sens!I892+Sens!J888-Sens!J889-Sens!J890+Sens!J891</f>
        <v>194.64501041343</v>
      </c>
      <c r="K892" s="6" t="n">
        <f aca="false">Sens!J892+Sens!K888-Sens!K889-Sens!K890+Sens!K891</f>
        <v>264.448953622295</v>
      </c>
    </row>
    <row r="893" customFormat="false" ht="15" hidden="false" customHeight="false" outlineLevel="0" collapsed="false">
      <c r="A893" s="1" t="s">
        <v>864</v>
      </c>
      <c r="B893" s="0" t="s">
        <v>95</v>
      </c>
      <c r="E893" s="6" t="n">
        <f aca="false">debt_face</f>
        <v>46.136</v>
      </c>
      <c r="F893" s="6" t="n">
        <f aca="false">Sens!E893-Sens!F889+Sens!F891</f>
        <v>39.7598284229208</v>
      </c>
      <c r="G893" s="6" t="n">
        <f aca="false">Sens!F893-Sens!G889+Sens!G891</f>
        <v>39.7598284229208</v>
      </c>
      <c r="H893" s="6" t="n">
        <f aca="false">Sens!G893-Sens!H889+Sens!H891</f>
        <v>37.7588284229208</v>
      </c>
      <c r="I893" s="6" t="n">
        <f aca="false">Sens!H893-Sens!I889+Sens!I891</f>
        <v>37.7588284229208</v>
      </c>
      <c r="J893" s="6" t="n">
        <f aca="false">Sens!I893-Sens!J889+Sens!J891</f>
        <v>37.2588284229208</v>
      </c>
      <c r="K893" s="6" t="n">
        <f aca="false">Sens!J893-Sens!K889+Sens!K891</f>
        <v>37.2588284229208</v>
      </c>
    </row>
    <row r="894" customFormat="false" ht="15" hidden="false" customHeight="false" outlineLevel="0" collapsed="false">
      <c r="A894" s="1" t="s">
        <v>865</v>
      </c>
      <c r="B894" s="0" t="s">
        <v>95</v>
      </c>
      <c r="E894" s="6" t="n">
        <f aca="false">Sens!E892-Sens!E893</f>
        <v>30.707</v>
      </c>
      <c r="F894" s="6" t="n">
        <f aca="false">Sens!F892-Sens!F893</f>
        <v>10.2401715770792</v>
      </c>
      <c r="G894" s="6" t="n">
        <f aca="false">Sens!G892-Sens!G893</f>
        <v>10.2401715770792</v>
      </c>
      <c r="H894" s="6" t="n">
        <f aca="false">Sens!H892-Sens!H893</f>
        <v>40.5354686689159</v>
      </c>
      <c r="I894" s="6" t="n">
        <f aca="false">Sens!I892-Sens!I893</f>
        <v>84.9852871454536</v>
      </c>
      <c r="J894" s="6" t="n">
        <f aca="false">Sens!J892-Sens!J893</f>
        <v>157.386181990509</v>
      </c>
      <c r="K894" s="6" t="n">
        <f aca="false">Sens!K892-Sens!K893</f>
        <v>227.190125199375</v>
      </c>
    </row>
    <row r="895" customFormat="false" ht="15" hidden="false" customHeight="false" outlineLevel="0" collapsed="false">
      <c r="A895" s="1" t="s">
        <v>866</v>
      </c>
      <c r="B895" s="0" t="s">
        <v>73</v>
      </c>
      <c r="F895" s="27" t="n">
        <f aca="false">px*(1+bb_g)^(1-0.5)</f>
        <v>553.494156066711</v>
      </c>
      <c r="G895" s="27" t="n">
        <f aca="false">px*(1+bb_g)^(2-0.5)</f>
        <v>597.773688552047</v>
      </c>
      <c r="H895" s="27" t="n">
        <f aca="false">px*(1+bb_g)^(3-0.5)</f>
        <v>645.595583636211</v>
      </c>
      <c r="I895" s="27" t="n">
        <f aca="false">px*(1+bb_g)^(4-0.5)</f>
        <v>697.243230327108</v>
      </c>
      <c r="J895" s="27" t="n">
        <f aca="false">px*(1+bb_g)^(5-0.5)</f>
        <v>753.022688753277</v>
      </c>
      <c r="K895" s="27" t="n">
        <f aca="false">px*(1+bb_g)^(6-0.5)</f>
        <v>813.264503853539</v>
      </c>
    </row>
    <row r="896" customFormat="false" ht="15" hidden="false" customHeight="false" outlineLevel="0" collapsed="false">
      <c r="A896" s="1" t="s">
        <v>867</v>
      </c>
      <c r="B896" s="1" t="s">
        <v>79</v>
      </c>
      <c r="E896" s="18" t="n">
        <f aca="false">sh_out26</f>
        <v>7.427</v>
      </c>
      <c r="F896" s="18" t="n">
        <f aca="false">Sens!E896+sh_iss-Sens!F890/Sens!F895</f>
        <v>7.472</v>
      </c>
      <c r="G896" s="18" t="n">
        <f aca="false">Sens!F896+sh_iss-Sens!G890/Sens!G895</f>
        <v>7.49712357522708</v>
      </c>
      <c r="H896" s="18" t="n">
        <f aca="false">Sens!G896+sh_iss-Sens!H890/Sens!H895</f>
        <v>7.50762674692698</v>
      </c>
      <c r="I896" s="18" t="n">
        <f aca="false">Sens!H896+sh_iss-Sens!I890/Sens!I895</f>
        <v>7.5206852392417</v>
      </c>
      <c r="J896" s="18" t="n">
        <f aca="false">Sens!I896+sh_iss-Sens!J890/Sens!J895</f>
        <v>7.53610976916274</v>
      </c>
      <c r="K896" s="18" t="n">
        <f aca="false">Sens!J896+sh_iss-Sens!K890/Sens!K895</f>
        <v>7.55372507464519</v>
      </c>
    </row>
    <row r="897" customFormat="false" ht="15" hidden="false" customHeight="false" outlineLevel="0" collapsed="false">
      <c r="A897" s="1" t="s">
        <v>868</v>
      </c>
      <c r="B897" s="1" t="s">
        <v>79</v>
      </c>
      <c r="E897" s="18" t="n">
        <f aca="false">sh_dil26</f>
        <v>7.453</v>
      </c>
      <c r="F897" s="18" t="n">
        <f aca="false">(Sens!E896+Sens!F896)/2+dil_gap</f>
        <v>7.4735</v>
      </c>
      <c r="G897" s="18" t="n">
        <f aca="false">(Sens!F896+Sens!G896)/2+dil_gap</f>
        <v>7.50856178761354</v>
      </c>
      <c r="H897" s="18" t="n">
        <f aca="false">(Sens!G896+Sens!H896)/2+dil_gap</f>
        <v>7.52637516107703</v>
      </c>
      <c r="I897" s="18" t="n">
        <f aca="false">(Sens!H896+Sens!I896)/2+dil_gap</f>
        <v>7.53815599308434</v>
      </c>
      <c r="J897" s="18" t="n">
        <f aca="false">(Sens!I896+Sens!J896)/2+dil_gap</f>
        <v>7.55239750420222</v>
      </c>
      <c r="K897" s="18" t="n">
        <f aca="false">(Sens!J896+Sens!K896)/2+dil_gap</f>
        <v>7.56891742190397</v>
      </c>
    </row>
    <row r="898" customFormat="false" ht="17.15" hidden="false" customHeight="false" outlineLevel="0" collapsed="false">
      <c r="A898" s="1" t="s">
        <v>869</v>
      </c>
      <c r="B898" s="0" t="s">
        <v>95</v>
      </c>
      <c r="C898" s="6" t="n">
        <f aca="false">SUM(Sens!F888:J888)</f>
        <v>205.373785742246</v>
      </c>
    </row>
    <row r="899" customFormat="false" ht="17.15" hidden="false" customHeight="false" outlineLevel="0" collapsed="false">
      <c r="A899" s="1" t="s">
        <v>836</v>
      </c>
      <c r="B899" s="1" t="s">
        <v>870</v>
      </c>
      <c r="C899" s="30" t="str">
        <f aca="false">IF(SUM(Sens!F891:J891)&gt;0.05,"需要舉債 "&amp;TEXT(SUM(Sens!F891:J891),"0.0")&amp;" 十億美元","不需舉債")&amp;"；"&amp;IF(SUM(Sens!F890:J890)&lt;5*bb_target-0.05,"回購較每年 "&amp;TEXT(bb_target,"0.0")&amp;" 的目標少 "&amp;TEXT(5*bb_target-SUM(Sens!F890:J890),"0.0")&amp;" 十億美元（"&amp;TEXT(COUNTIF(Sens!F890:J890,"&lt;"&amp;(bb_target-0.05)),"0")&amp;" 年減少）","回購不減")</f>
        <v>需要舉債 2.9 十億美元；回購較每年 22.3 的目標少 32.7 十億美元（2 年減少）</v>
      </c>
    </row>
    <row r="900" customFormat="false" ht="17.15" hidden="false" customHeight="false" outlineLevel="0" collapsed="false">
      <c r="A900" s="3" t="s">
        <v>1138</v>
      </c>
    </row>
    <row r="901" customFormat="false" ht="15" hidden="false" customHeight="false" outlineLevel="0" collapsed="false">
      <c r="A901" s="4" t="s">
        <v>43</v>
      </c>
      <c r="B901" s="4" t="s">
        <v>63</v>
      </c>
      <c r="C901" s="19" t="s">
        <v>710</v>
      </c>
      <c r="D901" s="19" t="s">
        <v>711</v>
      </c>
      <c r="E901" s="19" t="s">
        <v>712</v>
      </c>
      <c r="F901" s="19" t="s">
        <v>713</v>
      </c>
      <c r="G901" s="19" t="s">
        <v>714</v>
      </c>
      <c r="H901" s="19" t="s">
        <v>715</v>
      </c>
      <c r="I901" s="19" t="s">
        <v>716</v>
      </c>
      <c r="J901" s="19" t="s">
        <v>717</v>
      </c>
      <c r="K901" s="19" t="s">
        <v>718</v>
      </c>
      <c r="L901" s="4" t="s">
        <v>47</v>
      </c>
    </row>
    <row r="902" customFormat="false" ht="17.15" hidden="false" customHeight="false" outlineLevel="0" collapsed="false">
      <c r="A902" s="1" t="s">
        <v>938</v>
      </c>
      <c r="B902" s="1" t="s">
        <v>213</v>
      </c>
      <c r="F902" s="34" t="n">
        <f aca="false">1-0.5</f>
        <v>0.5</v>
      </c>
      <c r="G902" s="34" t="n">
        <f aca="false">2-0.5</f>
        <v>1.5</v>
      </c>
      <c r="H902" s="34" t="n">
        <f aca="false">3-0.5</f>
        <v>2.5</v>
      </c>
      <c r="I902" s="34" t="n">
        <f aca="false">4-0.5</f>
        <v>3.5</v>
      </c>
      <c r="J902" s="34" t="n">
        <f aca="false">5-0.5</f>
        <v>4.5</v>
      </c>
      <c r="K902" s="34" t="n">
        <f aca="false">6-0.5</f>
        <v>5.5</v>
      </c>
    </row>
    <row r="903" customFormat="false" ht="15" hidden="false" customHeight="false" outlineLevel="0" collapsed="false">
      <c r="A903" s="1" t="s">
        <v>939</v>
      </c>
      <c r="B903" s="0" t="s">
        <v>182</v>
      </c>
      <c r="F903" s="18" t="n">
        <f aca="false">1/(1+wacc)^Sens!F902</f>
        <v>0.949601579913219</v>
      </c>
      <c r="G903" s="18" t="n">
        <f aca="false">1/(1+wacc)^Sens!G902</f>
        <v>0.856296729956707</v>
      </c>
      <c r="H903" s="18" t="n">
        <f aca="false">1/(1+wacc)^Sens!H902</f>
        <v>0.772159719660069</v>
      </c>
      <c r="I903" s="18" t="n">
        <f aca="false">1/(1+wacc)^Sens!I902</f>
        <v>0.696289746073958</v>
      </c>
      <c r="J903" s="18" t="n">
        <f aca="false">1/(1+wacc)^Sens!J902</f>
        <v>0.627874516299776</v>
      </c>
      <c r="K903" s="18" t="n">
        <f aca="false">1/(1+wacc)^Sens!K902</f>
        <v>0.566181550771831</v>
      </c>
    </row>
    <row r="904" customFormat="false" ht="15" hidden="false" customHeight="false" outlineLevel="0" collapsed="false">
      <c r="A904" s="1" t="s">
        <v>940</v>
      </c>
      <c r="B904" s="0" t="s">
        <v>95</v>
      </c>
      <c r="F904" s="6" t="n">
        <f aca="false">Sens!F885*Sens!F903</f>
        <v>7.71752748974125</v>
      </c>
      <c r="G904" s="6" t="n">
        <f aca="false">Sens!G885*Sens!G903</f>
        <v>36.7780984724656</v>
      </c>
      <c r="H904" s="6" t="n">
        <f aca="false">Sens!H885*Sens!H903</f>
        <v>66.5857881742649</v>
      </c>
      <c r="I904" s="6" t="n">
        <f aca="false">Sens!I885*Sens!I903</f>
        <v>71.8097480826617</v>
      </c>
      <c r="J904" s="6" t="n">
        <f aca="false">Sens!J885*Sens!J903</f>
        <v>84.1755954502426</v>
      </c>
      <c r="K904" s="6" t="n">
        <f aca="false">Sens!K885*Sens!K903</f>
        <v>76.2680866583197</v>
      </c>
    </row>
    <row r="905" customFormat="false" ht="17.15" hidden="false" customHeight="false" outlineLevel="0" collapsed="false">
      <c r="A905" s="1" t="s">
        <v>941</v>
      </c>
      <c r="B905" s="0" t="s">
        <v>95</v>
      </c>
      <c r="C905" s="6" t="n">
        <f aca="false">SUM(Sens!F904:K904)</f>
        <v>343.334844327696</v>
      </c>
    </row>
    <row r="906" customFormat="false" ht="17.15" hidden="false" customHeight="false" outlineLevel="0" collapsed="false">
      <c r="A906" s="1" t="s">
        <v>942</v>
      </c>
      <c r="B906" s="0" t="s">
        <v>95</v>
      </c>
      <c r="C906" s="6" t="n">
        <f aca="false">Sens!K851*(1+g_tv)*(1-tax_f)</f>
        <v>245.531373068787</v>
      </c>
    </row>
    <row r="907" customFormat="false" ht="17.15" hidden="false" customHeight="false" outlineLevel="0" collapsed="false">
      <c r="A907" s="1" t="s">
        <v>943</v>
      </c>
      <c r="B907" s="0" t="s">
        <v>95</v>
      </c>
      <c r="C907" s="6" t="n">
        <f aca="false">Sens!$C$906*(1-g_tv/(wacc+ronic_prem))</f>
        <v>177.931121219529</v>
      </c>
    </row>
    <row r="908" customFormat="false" ht="17.15" hidden="false" customHeight="false" outlineLevel="0" collapsed="false">
      <c r="A908" s="1" t="s">
        <v>944</v>
      </c>
      <c r="B908" s="0" t="s">
        <v>95</v>
      </c>
      <c r="C908" s="6" t="n">
        <f aca="false">Sens!$C$907/(wacc-g_tv)</f>
        <v>2253.34172830862</v>
      </c>
    </row>
    <row r="909" customFormat="false" ht="15" hidden="false" customHeight="false" outlineLevel="0" collapsed="false">
      <c r="A909" s="1" t="s">
        <v>945</v>
      </c>
      <c r="B909" s="0" t="s">
        <v>95</v>
      </c>
      <c r="C909" s="6" t="n">
        <f aca="false">Sens!$C$908/(1+wacc)^6</f>
        <v>1211.50218389345</v>
      </c>
    </row>
    <row r="910" customFormat="false" ht="17.15" hidden="false" customHeight="false" outlineLevel="0" collapsed="false">
      <c r="A910" s="0" t="s">
        <v>877</v>
      </c>
      <c r="B910" s="0" t="s">
        <v>95</v>
      </c>
      <c r="C910" s="6" t="n">
        <f aca="false">Sens!$C$905+Sens!$C$909</f>
        <v>1554.83702822115</v>
      </c>
    </row>
    <row r="911" customFormat="false" ht="15" hidden="false" customHeight="false" outlineLevel="0" collapsed="false">
      <c r="A911" s="1" t="s">
        <v>878</v>
      </c>
      <c r="B911" s="0" t="s">
        <v>126</v>
      </c>
      <c r="C911" s="7" t="n">
        <f aca="false">Sens!$C$909/Sens!$C$910</f>
        <v>0.779182745139215</v>
      </c>
    </row>
    <row r="912" customFormat="false" ht="17.15" hidden="false" customHeight="false" outlineLevel="0" collapsed="false">
      <c r="A912" s="1" t="s">
        <v>946</v>
      </c>
      <c r="B912" s="0" t="s">
        <v>95</v>
      </c>
      <c r="C912" s="6" t="n">
        <f aca="false">Sens!$C$910+Sens!E894+oai_v</f>
        <v>1755.94402822115</v>
      </c>
    </row>
    <row r="913" customFormat="false" ht="17.15" hidden="false" customHeight="false" outlineLevel="0" collapsed="false">
      <c r="A913" s="0" t="s">
        <v>883</v>
      </c>
      <c r="B913" s="0" t="s">
        <v>73</v>
      </c>
      <c r="C913" s="5" t="n">
        <f aca="false">Sens!$C$912/sh_dil26</f>
        <v>235.602311582068</v>
      </c>
    </row>
    <row r="914" customFormat="false" ht="17.15" hidden="false" customHeight="false" outlineLevel="0" collapsed="false">
      <c r="A914" s="0" t="s">
        <v>947</v>
      </c>
      <c r="B914" s="0" t="s">
        <v>73</v>
      </c>
      <c r="C914" s="5" t="n">
        <f aca="false">Sens!$C$913*(1+wacc)^t_roll</f>
        <v>270.234572243486</v>
      </c>
    </row>
    <row r="915" customFormat="false" ht="17.15" hidden="false" customHeight="false" outlineLevel="0" collapsed="false">
      <c r="A915" s="1" t="s">
        <v>948</v>
      </c>
      <c r="B915" s="0" t="s">
        <v>126</v>
      </c>
      <c r="F915" s="7" t="n">
        <f aca="false">Sens!F875/(Sens!F826-Sens!F782)</f>
        <v>0.0684307874075333</v>
      </c>
      <c r="G915" s="7" t="n">
        <f aca="false">Sens!G875/(Sens!G826-Sens!G782)</f>
        <v>0.0656456058503526</v>
      </c>
      <c r="H915" s="7" t="n">
        <f aca="false">Sens!H875/(Sens!H826-Sens!H782)</f>
        <v>0.0641950889132003</v>
      </c>
      <c r="I915" s="7" t="n">
        <f aca="false">Sens!I875/(Sens!I826-Sens!I782)</f>
        <v>0.063960269667854</v>
      </c>
      <c r="J915" s="7" t="n">
        <f aca="false">Sens!J875/(Sens!J826-Sens!J782)</f>
        <v>0.0646607917002597</v>
      </c>
      <c r="K915" s="7" t="n">
        <f aca="false">Sens!K875/(Sens!K826-Sens!K782)</f>
        <v>0.0659511546529383</v>
      </c>
    </row>
    <row r="916" customFormat="false" ht="17.15" hidden="false" customHeight="false" outlineLevel="0" collapsed="false">
      <c r="A916" s="0" t="s">
        <v>949</v>
      </c>
      <c r="B916" s="0" t="s">
        <v>95</v>
      </c>
      <c r="F916" s="6" t="n">
        <f aca="false">Sens!F811*(al_m365+Sens!F915)</f>
        <v>79.4713323717639</v>
      </c>
      <c r="G916" s="6" t="n">
        <f aca="false">Sens!G811*(al_m365+Sens!G915)</f>
        <v>91.222848535282</v>
      </c>
      <c r="H916" s="6" t="n">
        <f aca="false">Sens!H811*(al_m365+Sens!H915)</f>
        <v>103.134459525438</v>
      </c>
      <c r="I916" s="6" t="n">
        <f aca="false">Sens!I811*(al_m365+Sens!I915)</f>
        <v>114.09096761677</v>
      </c>
      <c r="J916" s="6" t="n">
        <f aca="false">Sens!J811*(al_m365+Sens!J915)</f>
        <v>123.914507832207</v>
      </c>
      <c r="K916" s="6" t="n">
        <f aca="false">Sens!K811*(al_m365+Sens!K915)</f>
        <v>133.375360010951</v>
      </c>
    </row>
    <row r="917" customFormat="false" ht="17.15" hidden="false" customHeight="false" outlineLevel="0" collapsed="false">
      <c r="A917" s="0" t="s">
        <v>950</v>
      </c>
      <c r="B917" s="0" t="s">
        <v>95</v>
      </c>
      <c r="F917" s="6" t="n">
        <f aca="false">Sens!F812*(al_lic+Sens!F915)</f>
        <v>31.9777960098625</v>
      </c>
      <c r="G917" s="6" t="n">
        <f aca="false">Sens!G812*(al_lic+Sens!G915)</f>
        <v>33.2184421146294</v>
      </c>
      <c r="H917" s="6" t="n">
        <f aca="false">Sens!H812*(al_lic+Sens!H915)</f>
        <v>34.3782467188855</v>
      </c>
      <c r="I917" s="6" t="n">
        <f aca="false">Sens!I812*(al_lic+Sens!I915)</f>
        <v>35.4396663788333</v>
      </c>
      <c r="J917" s="6" t="n">
        <f aca="false">Sens!J812*(al_lic+Sens!J915)</f>
        <v>36.377709205557</v>
      </c>
      <c r="K917" s="6" t="n">
        <f aca="false">Sens!K812*(al_lic+Sens!K915)</f>
        <v>37.1640354058437</v>
      </c>
    </row>
    <row r="918" customFormat="false" ht="17.15" hidden="false" customHeight="false" outlineLevel="0" collapsed="false">
      <c r="A918" s="0" t="s">
        <v>951</v>
      </c>
      <c r="B918" s="0" t="s">
        <v>95</v>
      </c>
      <c r="F918" s="6" t="n">
        <f aca="false">Sens!F814*(al_ind+Sens!F915)</f>
        <v>8.23708828923978</v>
      </c>
      <c r="G918" s="6" t="n">
        <f aca="false">Sens!G814*(al_ind+Sens!G915)</f>
        <v>8.93609064049065</v>
      </c>
      <c r="H918" s="6" t="n">
        <f aca="false">Sens!H814*(al_ind+Sens!H915)</f>
        <v>9.67804935051386</v>
      </c>
      <c r="I918" s="6" t="n">
        <f aca="false">Sens!I814*(al_ind+Sens!I915)</f>
        <v>10.4606610595832</v>
      </c>
      <c r="J918" s="6" t="n">
        <f aca="false">Sens!J814*(al_ind+Sens!J915)</f>
        <v>11.275039839171</v>
      </c>
      <c r="K918" s="6" t="n">
        <f aca="false">Sens!K814*(al_ind+Sens!K915)</f>
        <v>12.106982482736</v>
      </c>
    </row>
    <row r="919" customFormat="false" ht="17.15" hidden="false" customHeight="false" outlineLevel="0" collapsed="false">
      <c r="A919" s="0" t="s">
        <v>952</v>
      </c>
      <c r="B919" s="0" t="s">
        <v>95</v>
      </c>
      <c r="F919" s="6" t="n">
        <f aca="false">Sens!F816*(al_fro+Sens!F915)</f>
        <v>3.24214686942203</v>
      </c>
      <c r="G919" s="6" t="n">
        <f aca="false">Sens!G816*(al_fro+Sens!G915)</f>
        <v>3.43093048931594</v>
      </c>
      <c r="H919" s="6" t="n">
        <f aca="false">Sens!H816*(al_fro+Sens!H915)</f>
        <v>3.6470202512287</v>
      </c>
      <c r="I919" s="6" t="n">
        <f aca="false">Sens!I816*(al_fro+Sens!I915)</f>
        <v>3.89303230264912</v>
      </c>
      <c r="J919" s="6" t="n">
        <f aca="false">Sens!J816*(al_fro+Sens!J915)</f>
        <v>4.16994303150246</v>
      </c>
      <c r="K919" s="6" t="n">
        <f aca="false">Sens!K816*(al_fro+Sens!K915)</f>
        <v>4.47762739258926</v>
      </c>
    </row>
    <row r="920" customFormat="false" ht="17.15" hidden="false" customHeight="false" outlineLevel="0" collapsed="false">
      <c r="A920" s="0" t="s">
        <v>953</v>
      </c>
      <c r="B920" s="0" t="s">
        <v>95</v>
      </c>
      <c r="F920" s="6" t="n">
        <f aca="false">Sens!F819*(al_srch+Sens!F915)</f>
        <v>10.1729230470907</v>
      </c>
      <c r="G920" s="6" t="n">
        <f aca="false">Sens!G819*(al_srch+Sens!G915)</f>
        <v>11.1403318971852</v>
      </c>
      <c r="H920" s="6" t="n">
        <f aca="false">Sens!H819*(al_srch+Sens!H915)</f>
        <v>12.1511421371799</v>
      </c>
      <c r="I920" s="6" t="n">
        <f aca="false">Sens!I819*(al_srch+Sens!I915)</f>
        <v>13.1963628712968</v>
      </c>
      <c r="J920" s="6" t="n">
        <f aca="false">Sens!J819*(al_srch+Sens!J915)</f>
        <v>14.2578127803031</v>
      </c>
      <c r="K920" s="6" t="n">
        <f aca="false">Sens!K819*(al_srch+Sens!K915)</f>
        <v>15.3098429837522</v>
      </c>
    </row>
    <row r="921" customFormat="false" ht="17.15" hidden="false" customHeight="false" outlineLevel="0" collapsed="false">
      <c r="A921" s="0" t="s">
        <v>954</v>
      </c>
      <c r="B921" s="0" t="s">
        <v>95</v>
      </c>
      <c r="F921" s="6" t="n">
        <f aca="false">Sens!F788</f>
        <v>47.7190417354376</v>
      </c>
      <c r="G921" s="6" t="n">
        <f aca="false">Sens!G788</f>
        <v>79.9703357556642</v>
      </c>
      <c r="H921" s="6" t="n">
        <f aca="false">Sens!H788</f>
        <v>113.94498959439</v>
      </c>
      <c r="I921" s="6" t="n">
        <f aca="false">Sens!I788</f>
        <v>148.089517873834</v>
      </c>
      <c r="J921" s="6" t="n">
        <f aca="false">Sens!J788</f>
        <v>182.322847947657</v>
      </c>
      <c r="K921" s="6" t="n">
        <f aca="false">Sens!K788</f>
        <v>216.6084158463</v>
      </c>
    </row>
    <row r="922" customFormat="false" ht="17.15" hidden="false" customHeight="false" outlineLevel="0" collapsed="false">
      <c r="A922" s="0" t="s">
        <v>955</v>
      </c>
      <c r="B922" s="0" t="s">
        <v>95</v>
      </c>
      <c r="F922" s="6" t="n">
        <f aca="false">Sens!F848+Sens!F799+Sens!F915*(Sens!F818-Sens!F782)</f>
        <v>219.704252336267</v>
      </c>
      <c r="G922" s="6" t="n">
        <f aca="false">Sens!G848+Sens!G799+Sens!G915*(Sens!G818-Sens!G782)</f>
        <v>272.021145595212</v>
      </c>
      <c r="H922" s="6" t="n">
        <f aca="false">Sens!H848+Sens!H799+Sens!H915*(Sens!H818-Sens!H782)</f>
        <v>326.295209962115</v>
      </c>
      <c r="I922" s="6" t="n">
        <f aca="false">Sens!I848+Sens!I799+Sens!I915*(Sens!I818-Sens!I782)</f>
        <v>379.600470961186</v>
      </c>
      <c r="J922" s="6" t="n">
        <f aca="false">Sens!J848+Sens!J799+Sens!J915*(Sens!J818-Sens!J782)</f>
        <v>431.043138008187</v>
      </c>
      <c r="K922" s="6" t="n">
        <f aca="false">Sens!K848+Sens!K799+Sens!K915*(Sens!K818-Sens!K782)</f>
        <v>480.606383969706</v>
      </c>
    </row>
    <row r="923" customFormat="false" ht="17.15" hidden="false" customHeight="false" outlineLevel="0" collapsed="false">
      <c r="A923" s="0" t="s">
        <v>956</v>
      </c>
      <c r="B923" s="0" t="s">
        <v>95</v>
      </c>
      <c r="F923" s="6" t="n">
        <f aca="false">Sens!F922-Sens!F916-Sens!F917-Sens!F918-Sens!F919-Sens!F921</f>
        <v>49.0568470605414</v>
      </c>
      <c r="G923" s="6" t="n">
        <f aca="false">Sens!G922-Sens!G916-Sens!G917-Sens!G918-Sens!G919-Sens!G921</f>
        <v>55.2424980598301</v>
      </c>
      <c r="H923" s="6" t="n">
        <f aca="false">Sens!H922-Sens!H916-Sens!H917-Sens!H918-Sens!H919-Sens!H921</f>
        <v>61.5124445216582</v>
      </c>
      <c r="I923" s="6" t="n">
        <f aca="false">Sens!I922-Sens!I916-Sens!I917-Sens!I918-Sens!I919-Sens!I921</f>
        <v>67.6266257295162</v>
      </c>
      <c r="J923" s="6" t="n">
        <f aca="false">Sens!J922-Sens!J916-Sens!J917-Sens!J918-Sens!J919-Sens!J921</f>
        <v>72.9830901520934</v>
      </c>
      <c r="K923" s="6" t="n">
        <f aca="false">Sens!K922-Sens!K916-Sens!K917-Sens!K918-Sens!K919-Sens!K921</f>
        <v>76.8739628312855</v>
      </c>
    </row>
    <row r="924" customFormat="false" ht="17.15" hidden="false" customHeight="false" outlineLevel="0" collapsed="false">
      <c r="A924" s="0" t="s">
        <v>957</v>
      </c>
      <c r="B924" s="0" t="s">
        <v>95</v>
      </c>
      <c r="F924" s="6" t="n">
        <f aca="false">Sens!F850+Sens!F915*Sens!F825</f>
        <v>23.7531412609386</v>
      </c>
      <c r="G924" s="6" t="n">
        <f aca="false">Sens!G850+Sens!G915*Sens!G825</f>
        <v>24.289549634664</v>
      </c>
      <c r="H924" s="6" t="n">
        <f aca="false">Sens!H850+Sens!H915*Sens!H825</f>
        <v>25.0756909710291</v>
      </c>
      <c r="I924" s="6" t="n">
        <f aca="false">Sens!I850+Sens!I915*Sens!I825</f>
        <v>26.084576762931</v>
      </c>
      <c r="J924" s="6" t="n">
        <f aca="false">Sens!J850+Sens!J915*Sens!J825</f>
        <v>27.2832671034962</v>
      </c>
      <c r="K924" s="6" t="n">
        <f aca="false">Sens!K850+Sens!K915*Sens!K825</f>
        <v>28.6364406758481</v>
      </c>
    </row>
    <row r="925" customFormat="false" ht="17.15" hidden="false" customHeight="false" outlineLevel="0" collapsed="false">
      <c r="A925" s="0" t="s">
        <v>958</v>
      </c>
      <c r="B925" s="0" t="s">
        <v>95</v>
      </c>
      <c r="F925" s="6" t="n">
        <f aca="false">(Sens!F924-Sens!F920)*Sens!F821/(Sens!F821+Sens!F823)</f>
        <v>7.4445433554226</v>
      </c>
      <c r="G925" s="6" t="n">
        <f aca="false">(Sens!G924-Sens!G920)*Sens!G821/(Sens!G821+Sens!G823)</f>
        <v>7.07975003595558</v>
      </c>
      <c r="H925" s="6" t="n">
        <f aca="false">(Sens!H924-Sens!H920)*Sens!H821/(Sens!H821+Sens!H823)</f>
        <v>6.86478313784268</v>
      </c>
      <c r="I925" s="6" t="n">
        <f aca="false">(Sens!I924-Sens!I920)*Sens!I821/(Sens!I821+Sens!I823)</f>
        <v>6.78354606184423</v>
      </c>
      <c r="J925" s="6" t="n">
        <f aca="false">(Sens!J924-Sens!J920)*Sens!J821/(Sens!J821+Sens!J823)</f>
        <v>6.82477921474853</v>
      </c>
      <c r="K925" s="6" t="n">
        <f aca="false">(Sens!K924-Sens!K920)*Sens!K821/(Sens!K821+Sens!K823)</f>
        <v>6.98256541964795</v>
      </c>
    </row>
    <row r="926" customFormat="false" ht="17.15" hidden="false" customHeight="false" outlineLevel="0" collapsed="false">
      <c r="A926" s="0" t="s">
        <v>959</v>
      </c>
      <c r="B926" s="0" t="s">
        <v>95</v>
      </c>
      <c r="F926" s="6" t="n">
        <f aca="false">Sens!F924-Sens!F920-Sens!F925</f>
        <v>6.1356748584253</v>
      </c>
      <c r="G926" s="6" t="n">
        <f aca="false">Sens!G924-Sens!G920-Sens!G925</f>
        <v>6.06946770152326</v>
      </c>
      <c r="H926" s="6" t="n">
        <f aca="false">Sens!H924-Sens!H920-Sens!H925</f>
        <v>6.05976569600657</v>
      </c>
      <c r="I926" s="6" t="n">
        <f aca="false">Sens!I924-Sens!I920-Sens!I925</f>
        <v>6.10466782979</v>
      </c>
      <c r="J926" s="6" t="n">
        <f aca="false">Sens!J924-Sens!J920-Sens!J925</f>
        <v>6.20067510844453</v>
      </c>
      <c r="K926" s="6" t="n">
        <f aca="false">Sens!K924-Sens!K920-Sens!K925</f>
        <v>6.34403227244794</v>
      </c>
    </row>
    <row r="927" customFormat="false" ht="17.15" hidden="false" customHeight="false" outlineLevel="0" collapsed="false">
      <c r="A927" s="1" t="s">
        <v>960</v>
      </c>
      <c r="B927" s="0" t="s">
        <v>95</v>
      </c>
      <c r="C927" s="6" t="n">
        <f aca="false">(w_ntm28*Sens!G921+(1-w_ntm28)*Sens!H921)*m_ai*1</f>
        <v>545.723534856774</v>
      </c>
    </row>
    <row r="928" customFormat="false" ht="17.15" hidden="false" customHeight="false" outlineLevel="0" collapsed="false">
      <c r="A928" s="1" t="s">
        <v>961</v>
      </c>
      <c r="B928" s="0" t="s">
        <v>95</v>
      </c>
      <c r="C928" s="6" t="n">
        <f aca="false">(w_ntm28*Sens!G923+(1-w_ntm28)*Sens!H923)*m_cloud*1</f>
        <v>791.464413302169</v>
      </c>
    </row>
    <row r="929" customFormat="false" ht="17.15" hidden="false" customHeight="false" outlineLevel="0" collapsed="false">
      <c r="A929" s="1" t="s">
        <v>962</v>
      </c>
      <c r="B929" s="0" t="s">
        <v>95</v>
      </c>
      <c r="C929" s="6" t="n">
        <f aca="false">(w_ntm28*Sens!G916+(1-w_ntm28)*Sens!H916)*m_sw*1</f>
        <v>1026.79623553955</v>
      </c>
    </row>
    <row r="930" customFormat="false" ht="17.15" hidden="false" customHeight="false" outlineLevel="0" collapsed="false">
      <c r="A930" s="1" t="s">
        <v>963</v>
      </c>
      <c r="B930" s="0" t="s">
        <v>95</v>
      </c>
      <c r="C930" s="6" t="n">
        <f aca="false">(w_ntm28*Sens!G917+(1-w_ntm28)*Sens!H917)*m_sw*1</f>
        <v>362.808640557625</v>
      </c>
    </row>
    <row r="931" customFormat="false" ht="17.15" hidden="false" customHeight="false" outlineLevel="0" collapsed="false">
      <c r="A931" s="1" t="s">
        <v>964</v>
      </c>
      <c r="B931" s="0" t="s">
        <v>95</v>
      </c>
      <c r="C931" s="6" t="n">
        <f aca="false">(w_ntm28*Sens!G918+(1-w_ntm28)*Sens!H918)*m_sw*1</f>
        <v>99.1003328352541</v>
      </c>
    </row>
    <row r="932" customFormat="false" ht="17.15" hidden="false" customHeight="false" outlineLevel="0" collapsed="false">
      <c r="A932" s="1" t="s">
        <v>965</v>
      </c>
      <c r="B932" s="0" t="s">
        <v>95</v>
      </c>
      <c r="C932" s="6" t="n">
        <f aca="false">(w_ntm28*Sens!G919+(1-w_ntm28)*Sens!H919)*m_sw*1</f>
        <v>37.8085281683974</v>
      </c>
    </row>
    <row r="933" customFormat="false" ht="17.15" hidden="false" customHeight="false" outlineLevel="0" collapsed="false">
      <c r="A933" s="1" t="s">
        <v>966</v>
      </c>
      <c r="B933" s="0" t="s">
        <v>95</v>
      </c>
      <c r="C933" s="6" t="n">
        <f aca="false">(w_ntm28*Sens!G920+(1-w_ntm28)*Sens!H920)*m_ads*1</f>
        <v>104.465412054013</v>
      </c>
    </row>
    <row r="934" customFormat="false" ht="17.15" hidden="false" customHeight="false" outlineLevel="0" collapsed="false">
      <c r="A934" s="1" t="s">
        <v>967</v>
      </c>
      <c r="B934" s="0" t="s">
        <v>95</v>
      </c>
      <c r="C934" s="6" t="n">
        <f aca="false">(w_ntm28*Sens!G925+(1-w_ntm28)*Sens!H925)*m_game*1</f>
        <v>88.5395066063557</v>
      </c>
    </row>
    <row r="935" customFormat="false" ht="17.15" hidden="false" customHeight="false" outlineLevel="0" collapsed="false">
      <c r="A935" s="1" t="s">
        <v>968</v>
      </c>
      <c r="B935" s="0" t="s">
        <v>95</v>
      </c>
      <c r="C935" s="6" t="n">
        <f aca="false">(w_ntm28*Sens!G926+(1-w_ntm28)*Sens!H926)*m_pc*1</f>
        <v>87.7798119250428</v>
      </c>
    </row>
    <row r="936" customFormat="false" ht="17.15" hidden="false" customHeight="false" outlineLevel="0" collapsed="false">
      <c r="A936" s="1" t="s">
        <v>969</v>
      </c>
      <c r="B936" s="0" t="s">
        <v>95</v>
      </c>
      <c r="C936" s="6" t="n">
        <f aca="false">Sens!$C$927+Sens!$C$928+Sens!$C$929+Sens!$C$930+Sens!$C$931+Sens!$C$932+Sens!$C$933+Sens!$C$934+Sens!$C$935</f>
        <v>3144.48641584518</v>
      </c>
    </row>
    <row r="937" customFormat="false" ht="17.15" hidden="false" customHeight="false" outlineLevel="0" collapsed="false">
      <c r="A937" s="1" t="s">
        <v>903</v>
      </c>
      <c r="B937" s="0" t="s">
        <v>95</v>
      </c>
      <c r="C937" s="6" t="n">
        <f aca="false">Sens!F894+oai_v-Sens!F883</f>
        <v>118.170441577079</v>
      </c>
      <c r="L937" s="1" t="s">
        <v>970</v>
      </c>
    </row>
    <row r="938" customFormat="false" ht="15" hidden="false" customHeight="false" outlineLevel="0" collapsed="false">
      <c r="A938" s="1" t="s">
        <v>904</v>
      </c>
      <c r="B938" s="0" t="s">
        <v>73</v>
      </c>
      <c r="C938" s="5" t="n">
        <f aca="false">(Sens!$C$936+Sens!$C$937)/Sens!F896</f>
        <v>436.651078348804</v>
      </c>
    </row>
    <row r="939" customFormat="false" ht="17.15" hidden="false" customHeight="false" outlineLevel="0" collapsed="false">
      <c r="A939" s="1" t="s">
        <v>971</v>
      </c>
      <c r="B939" s="0" t="s">
        <v>73</v>
      </c>
      <c r="C939" s="5" t="n">
        <f aca="false">w_dcf*Sens!$C$914+(1-w_dcf)*Sens!$C$938</f>
        <v>353.442825296145</v>
      </c>
    </row>
    <row r="940" customFormat="false" ht="17.15" hidden="false" customHeight="false" outlineLevel="0" collapsed="false">
      <c r="A940" s="3" t="s">
        <v>1139</v>
      </c>
    </row>
    <row r="941" customFormat="false" ht="15" hidden="false" customHeight="false" outlineLevel="0" collapsed="false">
      <c r="A941" s="4" t="s">
        <v>43</v>
      </c>
      <c r="B941" s="4" t="s">
        <v>63</v>
      </c>
      <c r="C941" s="19" t="s">
        <v>710</v>
      </c>
      <c r="D941" s="19" t="s">
        <v>711</v>
      </c>
      <c r="E941" s="19" t="s">
        <v>712</v>
      </c>
      <c r="F941" s="19" t="s">
        <v>713</v>
      </c>
      <c r="G941" s="19" t="s">
        <v>714</v>
      </c>
      <c r="H941" s="19" t="s">
        <v>715</v>
      </c>
      <c r="I941" s="19" t="s">
        <v>716</v>
      </c>
      <c r="J941" s="19" t="s">
        <v>717</v>
      </c>
      <c r="K941" s="19" t="s">
        <v>718</v>
      </c>
      <c r="L941" s="4" t="s">
        <v>47</v>
      </c>
    </row>
    <row r="942" customFormat="false" ht="17.15" hidden="false" customHeight="false" outlineLevel="0" collapsed="false">
      <c r="A942" s="1" t="s">
        <v>719</v>
      </c>
      <c r="B942" s="0" t="s">
        <v>340</v>
      </c>
      <c r="C942" s="27" t="n">
        <f aca="false">mw_ext_24</f>
        <v>640</v>
      </c>
      <c r="D942" s="27" t="n">
        <f aca="false">mw_ext_25</f>
        <v>1630</v>
      </c>
      <c r="E942" s="27" t="n">
        <f aca="false">mw_ext_26</f>
        <v>3250</v>
      </c>
      <c r="F942" s="27" t="n">
        <f aca="false">MIN(1000000000,Sens!E942+pace)</f>
        <v>5777.2</v>
      </c>
      <c r="G942" s="27" t="n">
        <f aca="false">MIN(1000000000,Sens!F942+pace)</f>
        <v>8304.4</v>
      </c>
      <c r="H942" s="27" t="n">
        <f aca="false">MIN(1000000000,Sens!G942+pace)</f>
        <v>10831.6</v>
      </c>
      <c r="I942" s="27" t="n">
        <f aca="false">MIN(1000000000,Sens!H942+pace)</f>
        <v>13358.8</v>
      </c>
      <c r="J942" s="27" t="n">
        <f aca="false">MIN(1000000000,Sens!I942+pace)</f>
        <v>15886</v>
      </c>
      <c r="K942" s="27" t="n">
        <f aca="false">MIN(1000000000,Sens!J942+pace)</f>
        <v>18413.2</v>
      </c>
      <c r="L942" s="11" t="s">
        <v>720</v>
      </c>
    </row>
    <row r="943" customFormat="false" ht="17.15" hidden="false" customHeight="false" outlineLevel="0" collapsed="false">
      <c r="A943" s="1" t="s">
        <v>721</v>
      </c>
      <c r="B943" s="0" t="s">
        <v>340</v>
      </c>
      <c r="C943" s="27" t="n">
        <f aca="false">rent_ext_24</f>
        <v>150</v>
      </c>
      <c r="D943" s="27" t="n">
        <f aca="false">rent_ext_25</f>
        <v>400</v>
      </c>
      <c r="E943" s="27" t="n">
        <f aca="false">rent_ext_26</f>
        <v>550</v>
      </c>
      <c r="F943" s="27" t="n">
        <f aca="false">rent_ext_f</f>
        <v>756</v>
      </c>
      <c r="G943" s="27" t="n">
        <f aca="false">rent_ext_f</f>
        <v>756</v>
      </c>
      <c r="H943" s="27" t="n">
        <f aca="false">rent_ext_f</f>
        <v>756</v>
      </c>
      <c r="I943" s="27" t="n">
        <f aca="false">rent_ext_f</f>
        <v>756</v>
      </c>
      <c r="J943" s="27" t="n">
        <f aca="false">rent_ext_f</f>
        <v>756</v>
      </c>
      <c r="K943" s="27" t="n">
        <f aca="false">rent_ext_f</f>
        <v>756</v>
      </c>
      <c r="L943" s="1" t="s">
        <v>722</v>
      </c>
    </row>
    <row r="944" customFormat="false" ht="17.15" hidden="false" customHeight="false" outlineLevel="0" collapsed="false">
      <c r="A944" s="1" t="s">
        <v>723</v>
      </c>
      <c r="B944" s="0" t="s">
        <v>340</v>
      </c>
      <c r="C944" s="27" t="n">
        <f aca="false">Sens!C942-Sens!C943</f>
        <v>490</v>
      </c>
      <c r="D944" s="27" t="n">
        <f aca="false">Sens!D942-Sens!D943</f>
        <v>1230</v>
      </c>
      <c r="E944" s="27" t="n">
        <f aca="false">Sens!E942-Sens!E943</f>
        <v>2700</v>
      </c>
      <c r="F944" s="27" t="n">
        <f aca="false">Sens!F942-Sens!F943</f>
        <v>5021.2</v>
      </c>
      <c r="G944" s="27" t="n">
        <f aca="false">Sens!G942-Sens!G943</f>
        <v>7548.4</v>
      </c>
      <c r="H944" s="27" t="n">
        <f aca="false">Sens!H942-Sens!H943</f>
        <v>10075.6</v>
      </c>
      <c r="I944" s="27" t="n">
        <f aca="false">Sens!I942-Sens!I943</f>
        <v>12602.8</v>
      </c>
      <c r="J944" s="27" t="n">
        <f aca="false">Sens!J942-Sens!J943</f>
        <v>15130</v>
      </c>
      <c r="K944" s="27" t="n">
        <f aca="false">Sens!K942-Sens!K943</f>
        <v>17657.2</v>
      </c>
    </row>
    <row r="945" customFormat="false" ht="17.15" hidden="false" customHeight="false" outlineLevel="0" collapsed="false">
      <c r="A945" s="1" t="s">
        <v>724</v>
      </c>
      <c r="B945" s="0" t="s">
        <v>340</v>
      </c>
      <c r="C945" s="27" t="n">
        <f aca="false">Sens!C944/ext_sh</f>
        <v>816.666666666667</v>
      </c>
      <c r="D945" s="27" t="n">
        <f aca="false">Sens!D944/ext_sh</f>
        <v>2050</v>
      </c>
      <c r="E945" s="27" t="n">
        <f aca="false">Sens!E944/ext_sh</f>
        <v>4500</v>
      </c>
      <c r="F945" s="27" t="n">
        <f aca="false">Sens!F944/ext_sh</f>
        <v>8368.66666666667</v>
      </c>
      <c r="G945" s="27" t="n">
        <f aca="false">Sens!G944/ext_sh</f>
        <v>12580.6666666667</v>
      </c>
      <c r="H945" s="27" t="n">
        <f aca="false">Sens!H944/ext_sh</f>
        <v>16792.6666666667</v>
      </c>
      <c r="I945" s="27" t="n">
        <f aca="false">Sens!I944/ext_sh</f>
        <v>21004.6666666667</v>
      </c>
      <c r="J945" s="27" t="n">
        <f aca="false">Sens!J944/ext_sh</f>
        <v>25216.6666666667</v>
      </c>
      <c r="K945" s="27" t="n">
        <f aca="false">Sens!K944/ext_sh</f>
        <v>29428.6666666667</v>
      </c>
      <c r="L945" s="1" t="s">
        <v>725</v>
      </c>
    </row>
    <row r="946" customFormat="false" ht="17.15" hidden="false" customHeight="false" outlineLevel="0" collapsed="false">
      <c r="A946" s="1" t="s">
        <v>726</v>
      </c>
      <c r="B946" s="0" t="s">
        <v>340</v>
      </c>
      <c r="C946" s="27" t="n">
        <f aca="false">Sens!C945-Sens!C944</f>
        <v>326.666666666667</v>
      </c>
      <c r="D946" s="27" t="n">
        <f aca="false">Sens!D945-Sens!D944</f>
        <v>820</v>
      </c>
      <c r="E946" s="27" t="n">
        <f aca="false">Sens!E945-Sens!E944</f>
        <v>1800</v>
      </c>
      <c r="F946" s="27" t="n">
        <f aca="false">Sens!F945-Sens!F944</f>
        <v>3347.46666666667</v>
      </c>
      <c r="G946" s="27" t="n">
        <f aca="false">Sens!G945-Sens!G944</f>
        <v>5032.26666666667</v>
      </c>
      <c r="H946" s="27" t="n">
        <f aca="false">Sens!H945-Sens!H944</f>
        <v>6717.06666666667</v>
      </c>
      <c r="I946" s="27" t="n">
        <f aca="false">Sens!I945-Sens!I944</f>
        <v>8401.86666666667</v>
      </c>
      <c r="J946" s="27" t="n">
        <f aca="false">Sens!J945-Sens!J944</f>
        <v>10086.6666666667</v>
      </c>
      <c r="K946" s="27" t="n">
        <f aca="false">Sens!K945-Sens!K944</f>
        <v>11771.4666666667</v>
      </c>
    </row>
    <row r="947" customFormat="false" ht="17.15" hidden="false" customHeight="false" outlineLevel="0" collapsed="false">
      <c r="A947" s="1" t="s">
        <v>727</v>
      </c>
      <c r="B947" s="0" t="s">
        <v>340</v>
      </c>
      <c r="C947" s="27" t="n">
        <f aca="false">Sens!C945</f>
        <v>816.666666666667</v>
      </c>
      <c r="D947" s="27" t="n">
        <f aca="false">Sens!D945-Sens!C945</f>
        <v>1233.33333333333</v>
      </c>
      <c r="E947" s="27" t="n">
        <f aca="false">Sens!E945-Sens!D945</f>
        <v>2450</v>
      </c>
      <c r="F947" s="27" t="n">
        <f aca="false">Sens!F945-Sens!E945</f>
        <v>3868.66666666667</v>
      </c>
      <c r="G947" s="27" t="n">
        <f aca="false">Sens!G945-Sens!F945</f>
        <v>4212</v>
      </c>
      <c r="H947" s="27" t="n">
        <f aca="false">Sens!H945-Sens!G945</f>
        <v>4212</v>
      </c>
      <c r="I947" s="27" t="n">
        <f aca="false">Sens!I945-Sens!H945</f>
        <v>4212</v>
      </c>
      <c r="J947" s="27" t="n">
        <f aca="false">Sens!J945-Sens!I945</f>
        <v>4212</v>
      </c>
      <c r="K947" s="27" t="n">
        <f aca="false">Sens!K945-Sens!J945</f>
        <v>4212</v>
      </c>
    </row>
    <row r="948" customFormat="false" ht="17.15" hidden="false" customHeight="false" outlineLevel="0" collapsed="false">
      <c r="A948" s="1" t="s">
        <v>728</v>
      </c>
      <c r="B948" s="0" t="s">
        <v>340</v>
      </c>
      <c r="D948" s="27" t="n">
        <f aca="false">Sens!D942-Sens!C942</f>
        <v>990</v>
      </c>
      <c r="E948" s="27" t="n">
        <f aca="false">Sens!E942-Sens!D942</f>
        <v>1620</v>
      </c>
      <c r="F948" s="27" t="n">
        <f aca="false">Sens!F942-Sens!E942</f>
        <v>2527.2</v>
      </c>
      <c r="G948" s="27" t="n">
        <f aca="false">Sens!G942-Sens!F942</f>
        <v>2527.2</v>
      </c>
      <c r="H948" s="27" t="n">
        <f aca="false">Sens!H942-Sens!G942</f>
        <v>2527.2</v>
      </c>
      <c r="I948" s="27" t="n">
        <f aca="false">Sens!I942-Sens!H942</f>
        <v>2527.2</v>
      </c>
      <c r="J948" s="27" t="n">
        <f aca="false">Sens!J942-Sens!I942</f>
        <v>2527.2</v>
      </c>
      <c r="K948" s="27" t="n">
        <f aca="false">Sens!K942-Sens!J942</f>
        <v>2527.2</v>
      </c>
    </row>
    <row r="949" customFormat="false" ht="17.15" hidden="false" customHeight="false" outlineLevel="0" collapsed="false">
      <c r="A949" s="1" t="s">
        <v>729</v>
      </c>
      <c r="B949" s="0" t="s">
        <v>340</v>
      </c>
      <c r="C949" s="27" t="n">
        <f aca="false">mix_h*Sens!C942</f>
        <v>128</v>
      </c>
      <c r="D949" s="27" t="n">
        <f aca="false">mix_h*Sens!D942</f>
        <v>326</v>
      </c>
      <c r="E949" s="27" t="n">
        <f aca="false">mix_h*Sens!E942</f>
        <v>650</v>
      </c>
      <c r="F949" s="27" t="n">
        <f aca="false">Sens!E949</f>
        <v>650</v>
      </c>
      <c r="G949" s="27" t="n">
        <f aca="false">Sens!F949</f>
        <v>650</v>
      </c>
      <c r="H949" s="27" t="n">
        <f aca="false">Sens!G949</f>
        <v>650</v>
      </c>
      <c r="I949" s="27" t="n">
        <f aca="false">Sens!H949</f>
        <v>650</v>
      </c>
      <c r="J949" s="27" t="n">
        <f aca="false">Sens!I949</f>
        <v>650</v>
      </c>
      <c r="K949" s="27" t="n">
        <f aca="false">Sens!J949</f>
        <v>650</v>
      </c>
    </row>
    <row r="950" customFormat="false" ht="17.15" hidden="false" customHeight="false" outlineLevel="0" collapsed="false">
      <c r="A950" s="1" t="s">
        <v>730</v>
      </c>
      <c r="B950" s="0" t="s">
        <v>340</v>
      </c>
      <c r="C950" s="27" t="n">
        <f aca="false">mix_g2*Sens!C942</f>
        <v>288</v>
      </c>
      <c r="D950" s="27" t="n">
        <f aca="false">mix_g2*Sens!D942</f>
        <v>733.5</v>
      </c>
      <c r="E950" s="27" t="n">
        <f aca="false">mix_g2*Sens!E942</f>
        <v>1462.5</v>
      </c>
      <c r="F950" s="27" t="n">
        <f aca="false">Sens!E950</f>
        <v>1462.5</v>
      </c>
      <c r="G950" s="27" t="n">
        <f aca="false">Sens!F950</f>
        <v>1462.5</v>
      </c>
      <c r="H950" s="27" t="n">
        <f aca="false">Sens!G950</f>
        <v>1462.5</v>
      </c>
      <c r="I950" s="27" t="n">
        <f aca="false">Sens!H950</f>
        <v>1462.5</v>
      </c>
      <c r="J950" s="27" t="n">
        <f aca="false">Sens!I950</f>
        <v>1462.5</v>
      </c>
      <c r="K950" s="27" t="n">
        <f aca="false">Sens!J950</f>
        <v>1462.5</v>
      </c>
    </row>
    <row r="951" customFormat="false" ht="17.15" hidden="false" customHeight="false" outlineLevel="0" collapsed="false">
      <c r="A951" s="1" t="s">
        <v>731</v>
      </c>
      <c r="B951" s="0" t="s">
        <v>340</v>
      </c>
      <c r="C951" s="27" t="n">
        <f aca="false">mix_g3*Sens!C942</f>
        <v>224</v>
      </c>
      <c r="D951" s="27" t="n">
        <f aca="false">mix_g3*Sens!D942</f>
        <v>570.5</v>
      </c>
      <c r="E951" s="27" t="n">
        <f aca="false">mix_g3*Sens!E942</f>
        <v>1137.5</v>
      </c>
      <c r="F951" s="27" t="n">
        <f aca="false">Sens!E951+Sens!F948*a_g3_27</f>
        <v>2906.54</v>
      </c>
      <c r="G951" s="27" t="n">
        <f aca="false">Sens!F951+Sens!G948*a_g3_28</f>
        <v>3664.7</v>
      </c>
      <c r="H951" s="27" t="n">
        <f aca="false">Sens!G951+Sens!H948*a_g3_29</f>
        <v>3917.42</v>
      </c>
      <c r="I951" s="27" t="n">
        <f aca="false">Sens!H951+Sens!I948*a_g3_29</f>
        <v>4170.14</v>
      </c>
      <c r="J951" s="27" t="n">
        <f aca="false">Sens!I951+Sens!J948*a_g3_29</f>
        <v>4422.86</v>
      </c>
      <c r="K951" s="27" t="n">
        <f aca="false">Sens!J951+Sens!K948*a_g3_29</f>
        <v>4675.58</v>
      </c>
    </row>
    <row r="952" customFormat="false" ht="17.15" hidden="false" customHeight="false" outlineLevel="0" collapsed="false">
      <c r="A952" s="1" t="s">
        <v>732</v>
      </c>
      <c r="B952" s="0" t="s">
        <v>340</v>
      </c>
      <c r="C952" s="27" t="n">
        <f aca="false">0</f>
        <v>0</v>
      </c>
      <c r="D952" s="27" t="n">
        <f aca="false">0</f>
        <v>0</v>
      </c>
      <c r="E952" s="27" t="n">
        <f aca="false">0</f>
        <v>0</v>
      </c>
      <c r="F952" s="27" t="n">
        <f aca="false">Sens!E952+Sens!F948*(1-a_g3_27)</f>
        <v>758.16</v>
      </c>
      <c r="G952" s="27" t="n">
        <f aca="false">Sens!F952+Sens!G948*(1-a_g3_28)</f>
        <v>2527.2</v>
      </c>
      <c r="H952" s="27" t="n">
        <f aca="false">Sens!G952+Sens!H948*(1-a_g3_29)</f>
        <v>4801.68</v>
      </c>
      <c r="I952" s="27" t="n">
        <f aca="false">Sens!H952+Sens!I948*(1-a_g3_29)</f>
        <v>7076.16</v>
      </c>
      <c r="J952" s="27" t="n">
        <f aca="false">Sens!I952+Sens!J948*(1-a_g3_29)</f>
        <v>9350.64</v>
      </c>
      <c r="K952" s="27" t="n">
        <f aca="false">Sens!J952+Sens!K948*(1-a_g3_29)</f>
        <v>11625.12</v>
      </c>
    </row>
    <row r="953" customFormat="false" ht="17.15" hidden="false" customHeight="false" outlineLevel="0" collapsed="false">
      <c r="A953" s="1" t="s">
        <v>733</v>
      </c>
      <c r="B953" s="0" t="s">
        <v>291</v>
      </c>
      <c r="C953" s="18" t="n">
        <f aca="false">(Sens!C949*tk_hold_h100+Sens!C950*tk_hold_gb200+Sens!C951*tk_hold_gb300+Sens!C952*tk_hold_vr200)/Sens!C942</f>
        <v>9.7235358126469</v>
      </c>
      <c r="D953" s="18" t="n">
        <f aca="false">(Sens!D949*tk_hold_h100+Sens!D950*tk_hold_gb200+Sens!D951*tk_hold_gb300+Sens!D952*tk_hold_vr200)/Sens!D942</f>
        <v>9.7235358126469</v>
      </c>
      <c r="E953" s="18" t="n">
        <f aca="false">(Sens!E949*tk_hold_h100+Sens!E950*tk_hold_gb200+Sens!E951*tk_hold_gb300+Sens!E952*tk_hold_vr200)/Sens!E942</f>
        <v>9.7235358126469</v>
      </c>
      <c r="F953" s="18" t="n">
        <f aca="false">(Sens!F949*tk_hold_h100+Sens!F950*tk_hold_gb200+Sens!F951*tk_hold_gb300+Sens!F952*tk_hold_vr200)/Sens!F942</f>
        <v>10.4079573161931</v>
      </c>
      <c r="G953" s="18" t="n">
        <f aca="false">(Sens!G949*tk_hold_h100+Sens!G950*tk_hold_gb200+Sens!G951*tk_hold_gb300+Sens!G952*tk_hold_vr200)/Sens!G942</f>
        <v>10.8388131109316</v>
      </c>
      <c r="H953" s="18" t="n">
        <f aca="false">(Sens!H949*tk_hold_h100+Sens!H950*tk_hold_gb200+Sens!H951*tk_hold_gb300+Sens!H952*tk_hold_vr200)/Sens!H942</f>
        <v>11.1311018388216</v>
      </c>
      <c r="I953" s="18" t="n">
        <f aca="false">(Sens!I949*tk_hold_h100+Sens!I950*tk_hold_gb200+Sens!I951*tk_hold_gb300+Sens!I952*tk_hold_vr200)/Sens!I942</f>
        <v>11.3128009818501</v>
      </c>
      <c r="J953" s="18" t="n">
        <f aca="false">(Sens!J949*tk_hold_h100+Sens!J950*tk_hold_gb200+Sens!J951*tk_hold_gb300+Sens!J952*tk_hold_vr200)/Sens!J942</f>
        <v>11.4366894646418</v>
      </c>
      <c r="K953" s="18" t="n">
        <f aca="false">(Sens!K949*tk_hold_h100+Sens!K950*tk_hold_gb200+Sens!K951*tk_hold_gb300+Sens!K952*tk_hold_vr200)/Sens!K942</f>
        <v>11.526570716348</v>
      </c>
    </row>
    <row r="954" customFormat="false" ht="17.15" hidden="false" customHeight="false" outlineLevel="0" collapsed="false">
      <c r="A954" s="0" t="s">
        <v>734</v>
      </c>
      <c r="B954" s="0" t="s">
        <v>182</v>
      </c>
      <c r="C954" s="18" t="n">
        <f aca="false">k_B</f>
        <v>1.17213932619116</v>
      </c>
      <c r="D954" s="18" t="n">
        <f aca="false">k_B</f>
        <v>1.17213932619116</v>
      </c>
      <c r="E954" s="18" t="n">
        <f aca="false">k_B</f>
        <v>1.17213932619116</v>
      </c>
      <c r="F954" s="18" t="n">
        <f aca="false">(k_B+((ls_C*k_long+(1-ls_C)*k_spot)-k_B)*MIN(1,1/3))*1.15</f>
        <v>1.24019746705172</v>
      </c>
      <c r="G954" s="18" t="n">
        <f aca="false">(k_B+((ls_C*k_long+(1-ls_C)*k_spot)-k_B)*MIN(1,2/3))*1.15</f>
        <v>1.1324347089836</v>
      </c>
      <c r="H954" s="18" t="n">
        <f aca="false">(k_B+((ls_C*k_long+(1-ls_C)*k_spot)-k_B)*MIN(1,3/3))*1.15</f>
        <v>1.02467195091549</v>
      </c>
      <c r="I954" s="18" t="n">
        <f aca="false">(k_B+((ls_C*k_long+(1-ls_C)*k_spot)-k_B)*MIN(1,4/3))*1.15</f>
        <v>1.02467195091549</v>
      </c>
      <c r="J954" s="18" t="n">
        <f aca="false">(k_B+((ls_C*k_long+(1-ls_C)*k_spot)-k_B)*MIN(1,5/3))*1.15</f>
        <v>1.02467195091549</v>
      </c>
      <c r="K954" s="18" t="n">
        <f aca="false">(k_B+((ls_C*k_long+(1-ls_C)*k_spot)-k_B)*MIN(1,6/3))*1.15</f>
        <v>1.02467195091549</v>
      </c>
      <c r="L954" s="1" t="s">
        <v>735</v>
      </c>
    </row>
    <row r="955" customFormat="false" ht="17.15" hidden="false" customHeight="false" outlineLevel="0" collapsed="false">
      <c r="A955" s="1" t="s">
        <v>736</v>
      </c>
      <c r="B955" s="0" t="s">
        <v>291</v>
      </c>
      <c r="C955" s="18" t="n">
        <f aca="false">Sens!C953*Sens!C954*chip_f</f>
        <v>11.3973387156315</v>
      </c>
      <c r="D955" s="18" t="n">
        <f aca="false">Sens!D953*Sens!D954*chip_f</f>
        <v>11.3973387156315</v>
      </c>
      <c r="E955" s="18" t="n">
        <f aca="false">Sens!E953*Sens!E954*chip_f</f>
        <v>11.3973387156315</v>
      </c>
      <c r="F955" s="18" t="n">
        <f aca="false">Sens!F953*Sens!F954*chip_f</f>
        <v>12.907922300725</v>
      </c>
      <c r="G955" s="18" t="n">
        <f aca="false">Sens!G953*Sens!G954*chip_f</f>
        <v>12.2742481710054</v>
      </c>
      <c r="H955" s="18" t="n">
        <f aca="false">Sens!H953*Sens!H954*chip_f</f>
        <v>11.4057278370243</v>
      </c>
      <c r="I955" s="18" t="n">
        <f aca="false">Sens!I953*Sens!I954*chip_f</f>
        <v>11.591909852391</v>
      </c>
      <c r="J955" s="18" t="n">
        <f aca="false">Sens!J953*Sens!J954*chip_f</f>
        <v>11.7188549057491</v>
      </c>
      <c r="K955" s="18" t="n">
        <f aca="false">Sens!K953*Sens!K954*chip_f</f>
        <v>11.8109537032856</v>
      </c>
      <c r="L955" s="1" t="s">
        <v>737</v>
      </c>
    </row>
    <row r="956" customFormat="false" ht="17.15" hidden="false" customHeight="false" outlineLevel="0" collapsed="false">
      <c r="A956" s="0" t="s">
        <v>738</v>
      </c>
      <c r="B956" s="0" t="s">
        <v>95</v>
      </c>
      <c r="D956" s="6" t="n">
        <f aca="false">(Sens!C942+Sens!D942)/2*Sens!D955/1000</f>
        <v>12.9359794422418</v>
      </c>
      <c r="E956" s="6" t="n">
        <f aca="false">(Sens!D942+Sens!E942)/2*Sens!E955/1000</f>
        <v>27.8095064661409</v>
      </c>
      <c r="F956" s="6" t="n">
        <f aca="false">(Sens!E942+Sens!F942)/2*Sens!F955/1000</f>
        <v>58.2611980965526</v>
      </c>
      <c r="G956" s="6" t="n">
        <f aca="false">(Sens!F942+Sens!G942)/2*Sens!G955/1000</f>
        <v>86.420526522415</v>
      </c>
      <c r="H956" s="6" t="n">
        <f aca="false">(Sens!G942+Sens!H942)/2*Sens!H955/1000</f>
        <v>109.130003944648</v>
      </c>
      <c r="I956" s="6" t="n">
        <f aca="false">(Sens!H942+Sens!I942)/2*Sens!I955/1000</f>
        <v>140.20646804664</v>
      </c>
      <c r="J956" s="6" t="n">
        <f aca="false">(Sens!I942+Sens!J942)/2*Sens!J955/1000</f>
        <v>171.357783973826</v>
      </c>
      <c r="K956" s="6" t="n">
        <f aca="false">(Sens!J942+Sens!K942)/2*Sens!K955/1000</f>
        <v>202.553131629867</v>
      </c>
      <c r="L956" s="11" t="s">
        <v>739</v>
      </c>
    </row>
    <row r="957" customFormat="false" ht="17.15" hidden="false" customHeight="false" outlineLevel="0" collapsed="false">
      <c r="A957" s="1" t="s">
        <v>740</v>
      </c>
      <c r="B957" s="0" t="s">
        <v>291</v>
      </c>
      <c r="C957" s="18" t="n">
        <f aca="false">(Sens!C949*tk_opex_h100+Sens!C950*tk_opex_gb200+Sens!C951*tk_opex_gb300+Sens!C952*tk_opex_vr200)/Sens!C942</f>
        <v>1.88636041306092</v>
      </c>
      <c r="D957" s="18" t="n">
        <f aca="false">(Sens!D949*tk_opex_h100+Sens!D950*tk_opex_gb200+Sens!D951*tk_opex_gb300+Sens!D952*tk_opex_vr200)/Sens!D942</f>
        <v>1.88636041306092</v>
      </c>
      <c r="E957" s="18" t="n">
        <f aca="false">(Sens!E949*tk_opex_h100+Sens!E950*tk_opex_gb200+Sens!E951*tk_opex_gb300+Sens!E952*tk_opex_vr200)/Sens!E942</f>
        <v>1.88636041306092</v>
      </c>
      <c r="F957" s="18" t="n">
        <f aca="false">(Sens!F949*tk_opex_h100+Sens!F950*tk_opex_gb200+Sens!F951*tk_opex_gb300+Sens!F952*tk_opex_vr200)/Sens!F942</f>
        <v>1.9430236476499</v>
      </c>
      <c r="G957" s="18" t="n">
        <f aca="false">(Sens!G949*tk_opex_h100+Sens!G950*tk_opex_gb200+Sens!G951*tk_opex_gb300+Sens!G952*tk_opex_vr200)/Sens!G942</f>
        <v>1.9786941852423</v>
      </c>
      <c r="H957" s="18" t="n">
        <f aca="false">(Sens!H949*tk_opex_h100+Sens!H950*tk_opex_gb200+Sens!H951*tk_opex_gb300+Sens!H952*tk_opex_vr200)/Sens!H942</f>
        <v>2.00289275976156</v>
      </c>
      <c r="I957" s="18" t="n">
        <f aca="false">(Sens!I949*tk_opex_h100+Sens!I950*tk_opex_gb200+Sens!I951*tk_opex_gb300+Sens!I952*tk_opex_vr200)/Sens!I942</f>
        <v>2.01793562605478</v>
      </c>
      <c r="J957" s="18" t="n">
        <f aca="false">(Sens!J949*tk_opex_h100+Sens!J950*tk_opex_gb200+Sens!J951*tk_opex_gb300+Sens!J952*tk_opex_vr200)/Sens!J942</f>
        <v>2.02819234961902</v>
      </c>
      <c r="K957" s="18" t="n">
        <f aca="false">(Sens!K949*tk_opex_h100+Sens!K950*tk_opex_gb200+Sens!K951*tk_opex_gb300+Sens!K952*tk_opex_vr200)/Sens!K942</f>
        <v>2.0356336155994</v>
      </c>
    </row>
    <row r="958" customFormat="false" ht="17.15" hidden="false" customHeight="false" outlineLevel="0" collapsed="false">
      <c r="A958" s="0" t="s">
        <v>741</v>
      </c>
      <c r="B958" s="0" t="s">
        <v>95</v>
      </c>
      <c r="D958" s="6" t="n">
        <f aca="false">(Sens!C945+Sens!D945)/2*Sens!D957/1000</f>
        <v>2.70378325872065</v>
      </c>
      <c r="E958" s="6" t="n">
        <f aca="false">(Sens!D945+Sens!E945)/2*Sens!E957/1000</f>
        <v>6.17783035277451</v>
      </c>
      <c r="F958" s="6" t="n">
        <f aca="false">(Sens!E945+Sens!F945)/2*Sens!F957/1000</f>
        <v>12.5020618235287</v>
      </c>
      <c r="G958" s="6" t="n">
        <f aca="false">(Sens!F945+Sens!G945)/2*Sens!G957/1000</f>
        <v>20.7261620256847</v>
      </c>
      <c r="H958" s="6" t="n">
        <f aca="false">(Sens!G945+Sens!H945)/2*Sens!H957/1000</f>
        <v>29.4158183316982</v>
      </c>
      <c r="I958" s="6" t="n">
        <f aca="false">(Sens!H945+Sens!I945)/2*Sens!I957/1000</f>
        <v>38.1362927516005</v>
      </c>
      <c r="J958" s="6" t="n">
        <f aca="false">(Sens!I945+Sens!J945)/2*Sens!J957/1000</f>
        <v>46.8728773279286</v>
      </c>
      <c r="K958" s="6" t="n">
        <f aca="false">(Sens!J945+Sens!K945)/2*Sens!K957/1000</f>
        <v>55.618938734484</v>
      </c>
    </row>
    <row r="959" customFormat="false" ht="17.15" hidden="false" customHeight="false" outlineLevel="0" collapsed="false">
      <c r="A959" s="0" t="s">
        <v>742</v>
      </c>
      <c r="B959" s="0" t="s">
        <v>95</v>
      </c>
      <c r="D959" s="6" t="n">
        <f aca="false">(Sens!C943+Sens!D943)/2*rent_mw/1000</f>
        <v>2.44475</v>
      </c>
      <c r="E959" s="6" t="n">
        <f aca="false">(Sens!D943+Sens!E943)/2*rent_mw/1000</f>
        <v>4.22275</v>
      </c>
      <c r="F959" s="6" t="n">
        <f aca="false">(Sens!E943+Sens!F943)/2*rent_mw/1000</f>
        <v>5.80517</v>
      </c>
      <c r="G959" s="6" t="n">
        <f aca="false">(Sens!F943+Sens!G943)/2*rent_mw/1000</f>
        <v>6.72084</v>
      </c>
      <c r="H959" s="6" t="n">
        <f aca="false">(Sens!G943+Sens!H943)/2*rent_mw/1000</f>
        <v>6.72084</v>
      </c>
      <c r="I959" s="6" t="n">
        <f aca="false">(Sens!H943+Sens!I943)/2*rent_mw/1000</f>
        <v>6.72084</v>
      </c>
      <c r="J959" s="6" t="n">
        <f aca="false">(Sens!I943+Sens!J943)/2*rent_mw/1000</f>
        <v>6.72084</v>
      </c>
      <c r="K959" s="6" t="n">
        <f aca="false">(Sens!J943+Sens!K943)/2*rent_mw/1000</f>
        <v>6.72084</v>
      </c>
    </row>
    <row r="960" customFormat="false" ht="17.15" hidden="false" customHeight="false" outlineLevel="0" collapsed="false">
      <c r="A960" s="0" t="s">
        <v>743</v>
      </c>
      <c r="B960" s="0" t="s">
        <v>95</v>
      </c>
      <c r="D960" s="6" t="n">
        <f aca="false">(Sens!C945+Sens!D945)/2*(1-self_build)*fac_rent/1000</f>
        <v>0.853242375631075</v>
      </c>
      <c r="E960" s="6" t="n">
        <f aca="false">(Sens!D945+Sens!E945)/2*(1-self_build)*fac_rent/1000</f>
        <v>1.94955961408728</v>
      </c>
      <c r="F960" s="6" t="n">
        <f aca="false">(Sens!E945+Sens!F945)/2*(1-self_build)*fac_rent/1000</f>
        <v>3.83026455274573</v>
      </c>
      <c r="G960" s="6" t="n">
        <f aca="false">(Sens!F945+Sens!G945)/2*(1-self_build)*fac_rent/1000</f>
        <v>6.23541590972812</v>
      </c>
      <c r="H960" s="6" t="n">
        <f aca="false">(Sens!G945+Sens!H945)/2*(1-self_build)*fac_rent/1000</f>
        <v>8.74275792332679</v>
      </c>
      <c r="I960" s="6" t="n">
        <f aca="false">(Sens!H945+Sens!I945)/2*(1-self_build)*fac_rent/1000</f>
        <v>11.2500999369255</v>
      </c>
      <c r="J960" s="6" t="n">
        <f aca="false">(Sens!I945+Sens!J945)/2*(1-self_build)*fac_rent/1000</f>
        <v>13.7574419505241</v>
      </c>
      <c r="K960" s="6" t="n">
        <f aca="false">(Sens!J945+Sens!K945)/2*(1-self_build)*fac_rent/1000</f>
        <v>16.2647839641228</v>
      </c>
      <c r="L960" s="11" t="s">
        <v>744</v>
      </c>
    </row>
    <row r="961" customFormat="false" ht="17.15" hidden="false" customHeight="false" outlineLevel="0" collapsed="false">
      <c r="A961" s="1" t="s">
        <v>745</v>
      </c>
      <c r="B961" s="0" t="s">
        <v>126</v>
      </c>
      <c r="D961" s="7" t="n">
        <f aca="false">(Sens!C944+Sens!D944)/(Sens!C945+Sens!D945)</f>
        <v>0.6</v>
      </c>
      <c r="E961" s="7" t="n">
        <f aca="false">(Sens!D944+Sens!E944)/(Sens!D945+Sens!E945)</f>
        <v>0.6</v>
      </c>
      <c r="F961" s="7" t="n">
        <f aca="false">(Sens!E944+Sens!F944)/(Sens!E945+Sens!F945)</f>
        <v>0.6</v>
      </c>
      <c r="G961" s="7" t="n">
        <f aca="false">(Sens!F944+Sens!G944)/(Sens!F945+Sens!G945)</f>
        <v>0.6</v>
      </c>
      <c r="H961" s="7" t="n">
        <f aca="false">(Sens!G944+Sens!H944)/(Sens!G945+Sens!H945)</f>
        <v>0.6</v>
      </c>
      <c r="I961" s="7" t="n">
        <f aca="false">(Sens!H944+Sens!I944)/(Sens!H945+Sens!I945)</f>
        <v>0.6</v>
      </c>
      <c r="J961" s="7" t="n">
        <f aca="false">(Sens!I944+Sens!J944)/(Sens!I945+Sens!J945)</f>
        <v>0.6</v>
      </c>
      <c r="K961" s="7" t="n">
        <f aca="false">(Sens!J944+Sens!K944)/(Sens!J945+Sens!K945)</f>
        <v>0.6</v>
      </c>
    </row>
    <row r="962" customFormat="false" ht="17.15" hidden="false" customHeight="false" outlineLevel="0" collapsed="false">
      <c r="A962" s="0" t="s">
        <v>746</v>
      </c>
      <c r="B962" s="0" t="s">
        <v>95</v>
      </c>
      <c r="D962" s="6" t="n">
        <f aca="false">Sens!D956-Sens!D961*(Sens!D958+Sens!D960)-Sens!D959</f>
        <v>8.35701406163072</v>
      </c>
      <c r="E962" s="6" t="n">
        <f aca="false">Sens!E956-Sens!E961*(Sens!E958+Sens!E960)-Sens!E959</f>
        <v>18.7103224860238</v>
      </c>
      <c r="F962" s="6" t="n">
        <f aca="false">Sens!F956-Sens!F961*(Sens!F958+Sens!F960)-Sens!F959</f>
        <v>42.6566322707879</v>
      </c>
      <c r="G962" s="6" t="n">
        <f aca="false">Sens!G956-Sens!G961*(Sens!G958+Sens!G960)-Sens!G959</f>
        <v>63.5227397611673</v>
      </c>
      <c r="H962" s="6" t="n">
        <f aca="false">Sens!H956-Sens!H961*(Sens!H958+Sens!H960)-Sens!H959</f>
        <v>79.5140181916334</v>
      </c>
      <c r="I962" s="6" t="n">
        <f aca="false">Sens!I956-Sens!I961*(Sens!I958+Sens!I960)-Sens!I959</f>
        <v>103.853792433524</v>
      </c>
      <c r="J962" s="6" t="n">
        <f aca="false">Sens!J956-Sens!J961*(Sens!J958+Sens!J960)-Sens!J959</f>
        <v>128.258752406754</v>
      </c>
      <c r="K962" s="6" t="n">
        <f aca="false">Sens!K956-Sens!K961*(Sens!K958+Sens!K960)-Sens!K959</f>
        <v>152.702058010703</v>
      </c>
    </row>
    <row r="963" customFormat="false" ht="17.15" hidden="false" customHeight="false" outlineLevel="0" collapsed="false">
      <c r="A963" s="1" t="s">
        <v>747</v>
      </c>
      <c r="B963" s="0" t="s">
        <v>95</v>
      </c>
      <c r="D963" s="6" t="n">
        <f aca="false">(1-Sens!D961)*(Sens!D958+Sens!D960)</f>
        <v>1.42281025374069</v>
      </c>
      <c r="E963" s="6" t="n">
        <f aca="false">(1-Sens!E961)*(Sens!E958+Sens!E960)</f>
        <v>3.25095598674472</v>
      </c>
      <c r="F963" s="6" t="n">
        <f aca="false">(1-Sens!F961)*(Sens!F958+Sens!F960)</f>
        <v>6.53293055050977</v>
      </c>
      <c r="G963" s="6" t="n">
        <f aca="false">(1-Sens!G961)*(Sens!G958+Sens!G960)</f>
        <v>10.7846311741651</v>
      </c>
      <c r="H963" s="6" t="n">
        <f aca="false">(1-Sens!H961)*(Sens!H958+Sens!H960)</f>
        <v>15.26343050201</v>
      </c>
      <c r="I963" s="6" t="n">
        <f aca="false">(1-Sens!I961)*(Sens!I958+Sens!I960)</f>
        <v>19.7545570754104</v>
      </c>
      <c r="J963" s="6" t="n">
        <f aca="false">(1-Sens!J961)*(Sens!J958+Sens!J960)</f>
        <v>24.2521277113811</v>
      </c>
      <c r="K963" s="6" t="n">
        <f aca="false">(1-Sens!K961)*(Sens!K958+Sens!K960)</f>
        <v>28.7534890794427</v>
      </c>
    </row>
    <row r="964" customFormat="false" ht="17.15" hidden="false" customHeight="false" outlineLevel="0" collapsed="false">
      <c r="A964" s="1" t="s">
        <v>748</v>
      </c>
      <c r="B964" s="0" t="s">
        <v>302</v>
      </c>
      <c r="C964" s="8" t="n">
        <f aca="false">cxit_open</f>
        <v>27.5918995</v>
      </c>
      <c r="D964" s="8" t="n">
        <f aca="false">cxit_open</f>
        <v>27.5918995</v>
      </c>
      <c r="E964" s="8" t="n">
        <f aca="false">cxit_open</f>
        <v>27.5918995</v>
      </c>
      <c r="F964" s="8" t="n">
        <f aca="false">(a_g3_27*tk_cxit_gb300+(1-a_g3_27)*tk_cxit_vr200)</f>
        <v>33.8419624</v>
      </c>
      <c r="G964" s="8" t="n">
        <f aca="false">(a_g3_28*tk_cxit_gb300+(1-a_g3_28)*tk_cxit_vr200)</f>
        <v>35.9816136</v>
      </c>
      <c r="H964" s="8" t="n">
        <f aca="false">(a_g3_29*tk_cxit_gb300+(1-a_g3_29)*tk_cxit_vr200)</f>
        <v>37.0514392</v>
      </c>
      <c r="I964" s="8" t="n">
        <f aca="false">(a_g3_29*tk_cxit_gb300+(1-a_g3_29)*tk_cxit_vr200)</f>
        <v>37.0514392</v>
      </c>
      <c r="J964" s="8" t="n">
        <f aca="false">(a_g3_29*tk_cxit_gb300+(1-a_g3_29)*tk_cxit_vr200)</f>
        <v>37.0514392</v>
      </c>
      <c r="K964" s="8" t="n">
        <f aca="false">(a_g3_29*tk_cxit_gb300+(1-a_g3_29)*tk_cxit_vr200)</f>
        <v>37.0514392</v>
      </c>
      <c r="L964" s="11" t="s">
        <v>749</v>
      </c>
    </row>
    <row r="965" customFormat="false" ht="17.15" hidden="false" customHeight="false" outlineLevel="0" collapsed="false">
      <c r="A965" s="0" t="s">
        <v>750</v>
      </c>
      <c r="B965" s="0" t="s">
        <v>340</v>
      </c>
      <c r="F965" s="27" t="n">
        <f aca="false">Sens!C947*IF(3=life_it,1,0)+Sens!D947*IF(2=life_it,1,0)+Sens!E947*IF(1=life_it,1,0)</f>
        <v>0</v>
      </c>
      <c r="G965" s="27" t="n">
        <f aca="false">Sens!C947*IF(4=life_it,1,0)+Sens!D947*IF(3=life_it,1,0)+Sens!E947*IF(2=life_it,1,0)+Sens!F947*IF(1=life_it,1,0)</f>
        <v>0</v>
      </c>
      <c r="H965" s="27" t="n">
        <f aca="false">Sens!C947*IF(5=life_it,1,0)+Sens!D947*IF(4=life_it,1,0)+Sens!E947*IF(3=life_it,1,0)+Sens!F947*IF(2=life_it,1,0)+Sens!G947*IF(1=life_it,1,0)</f>
        <v>0</v>
      </c>
      <c r="I965" s="27" t="n">
        <f aca="false">Sens!C947*IF(6=life_it,1,0)+Sens!D947*IF(5=life_it,1,0)+Sens!E947*IF(4=life_it,1,0)+Sens!F947*IF(3=life_it,1,0)+Sens!G947*IF(2=life_it,1,0)+Sens!H947*IF(1=life_it,1,0)</f>
        <v>816.666666666667</v>
      </c>
      <c r="J965" s="27" t="n">
        <f aca="false">Sens!C947*IF(7=life_it,1,0)+Sens!D947*IF(6=life_it,1,0)+Sens!E947*IF(5=life_it,1,0)+Sens!F947*IF(4=life_it,1,0)+Sens!G947*IF(3=life_it,1,0)+Sens!H947*IF(2=life_it,1,0)+Sens!I947*IF(1=life_it,1,0)</f>
        <v>1233.33333333333</v>
      </c>
      <c r="K965" s="27" t="n">
        <f aca="false">Sens!C947*IF(8=life_it,1,0)+Sens!D947*IF(7=life_it,1,0)+Sens!E947*IF(6=life_it,1,0)+Sens!F947*IF(5=life_it,1,0)+Sens!G947*IF(4=life_it,1,0)+Sens!H947*IF(3=life_it,1,0)+Sens!I947*IF(2=life_it,1,0)+Sens!J947*IF(1=life_it,1,0)</f>
        <v>2450</v>
      </c>
      <c r="L965" s="1" t="s">
        <v>751</v>
      </c>
    </row>
    <row r="966" customFormat="false" ht="17.15" hidden="false" customHeight="false" outlineLevel="0" collapsed="false">
      <c r="A966" s="0" t="s">
        <v>752</v>
      </c>
      <c r="B966" s="0" t="s">
        <v>95</v>
      </c>
      <c r="C966" s="6" t="n">
        <f aca="false">Sens!C947*Sens!C964/1000</f>
        <v>22.5333845916667</v>
      </c>
      <c r="D966" s="6" t="n">
        <f aca="false">Sens!D947*Sens!D964/1000</f>
        <v>34.0300093833333</v>
      </c>
      <c r="E966" s="6" t="n">
        <f aca="false">Sens!E947*Sens!E964/1000</f>
        <v>67.600153775</v>
      </c>
      <c r="F966" s="6" t="n">
        <f aca="false">(Sens!F947+Sens!F965)*Sens!F964/1000</f>
        <v>130.923271871467</v>
      </c>
      <c r="G966" s="6" t="n">
        <f aca="false">(Sens!G947+Sens!G965)*Sens!G964/1000</f>
        <v>151.5545564832</v>
      </c>
      <c r="H966" s="6" t="n">
        <f aca="false">(Sens!H947+Sens!H965)*Sens!H964/1000</f>
        <v>156.0606619104</v>
      </c>
      <c r="I966" s="6" t="n">
        <f aca="false">(Sens!I947+Sens!I965)*Sens!I964/1000</f>
        <v>186.319337257067</v>
      </c>
      <c r="J966" s="6" t="n">
        <f aca="false">(Sens!J947+Sens!J965)*Sens!J964/1000</f>
        <v>201.757436923733</v>
      </c>
      <c r="K966" s="6" t="n">
        <f aca="false">(Sens!K947+Sens!K965)*Sens!K964/1000</f>
        <v>246.8366879504</v>
      </c>
    </row>
    <row r="967" customFormat="false" ht="17.15" hidden="false" customHeight="false" outlineLevel="0" collapsed="false">
      <c r="A967" s="0" t="s">
        <v>753</v>
      </c>
      <c r="B967" s="0" t="s">
        <v>95</v>
      </c>
      <c r="C967" s="6" t="n">
        <f aca="false">Sens!C947*self_build*tk_cxfac/1000</f>
        <v>6.2083</v>
      </c>
      <c r="D967" s="6" t="n">
        <f aca="false">Sens!D947*self_build*tk_cxfac/1000</f>
        <v>9.3758</v>
      </c>
      <c r="E967" s="6" t="n">
        <f aca="false">Sens!E947*self_build*tk_cxfac/1000</f>
        <v>18.6249</v>
      </c>
      <c r="F967" s="6" t="n">
        <f aca="false">Sens!F947*self_build*tk_cxfac/1000</f>
        <v>29.409604</v>
      </c>
      <c r="G967" s="6" t="n">
        <f aca="false">Sens!G947*self_build*tk_cxfac/1000</f>
        <v>32.019624</v>
      </c>
      <c r="H967" s="6" t="n">
        <f aca="false">Sens!H947*self_build*tk_cxfac/1000</f>
        <v>32.019624</v>
      </c>
      <c r="I967" s="6" t="n">
        <f aca="false">Sens!I947*self_build*tk_cxfac/1000</f>
        <v>32.019624</v>
      </c>
      <c r="J967" s="6" t="n">
        <f aca="false">Sens!J947*self_build*tk_cxfac/1000</f>
        <v>32.019624</v>
      </c>
      <c r="K967" s="6" t="n">
        <f aca="false">Sens!K947*self_build*tk_cxfac/1000</f>
        <v>32.019624</v>
      </c>
    </row>
    <row r="968" customFormat="false" ht="17.15" hidden="false" customHeight="false" outlineLevel="0" collapsed="false">
      <c r="A968" s="0" t="s">
        <v>754</v>
      </c>
      <c r="B968" s="0" t="s">
        <v>95</v>
      </c>
      <c r="F968" s="6" t="n">
        <f aca="false">MAX(0,capex_floor27-Sens!F966-Sens!F967-Sens!F1055)</f>
        <v>8.43777689897088</v>
      </c>
      <c r="G968" s="6" t="n">
        <f aca="false">0</f>
        <v>0</v>
      </c>
      <c r="H968" s="6" t="n">
        <f aca="false">0</f>
        <v>0</v>
      </c>
      <c r="I968" s="6" t="n">
        <f aca="false">0</f>
        <v>0</v>
      </c>
      <c r="J968" s="6" t="n">
        <f aca="false">0</f>
        <v>0</v>
      </c>
      <c r="K968" s="6" t="n">
        <f aca="false">0</f>
        <v>0</v>
      </c>
      <c r="L968" s="1" t="s">
        <v>755</v>
      </c>
    </row>
    <row r="969" customFormat="false" ht="17.15" hidden="false" customHeight="false" outlineLevel="0" collapsed="false">
      <c r="A969" s="0" t="s">
        <v>756</v>
      </c>
      <c r="B969" s="0" t="s">
        <v>95</v>
      </c>
      <c r="C969" s="6" t="n">
        <f aca="false">Sens!C966</f>
        <v>22.5333845916667</v>
      </c>
      <c r="D969" s="6" t="n">
        <f aca="false">Sens!D966</f>
        <v>34.0300093833333</v>
      </c>
      <c r="E969" s="6" t="n">
        <f aca="false">Sens!E966</f>
        <v>67.600153775</v>
      </c>
      <c r="F969" s="6" t="n">
        <f aca="false">Sens!F966+Sens!F968</f>
        <v>139.361048770438</v>
      </c>
      <c r="G969" s="6" t="n">
        <f aca="false">Sens!G966+Sens!G968</f>
        <v>151.5545564832</v>
      </c>
      <c r="H969" s="6" t="n">
        <f aca="false">Sens!H966+Sens!H968</f>
        <v>156.0606619104</v>
      </c>
      <c r="I969" s="6" t="n">
        <f aca="false">Sens!I966+Sens!I968</f>
        <v>186.319337257067</v>
      </c>
      <c r="J969" s="6" t="n">
        <f aca="false">Sens!J966+Sens!J968</f>
        <v>201.757436923733</v>
      </c>
      <c r="K969" s="6" t="n">
        <f aca="false">Sens!K966+Sens!K968</f>
        <v>246.8366879504</v>
      </c>
    </row>
    <row r="970" customFormat="false" ht="17.15" hidden="false" customHeight="false" outlineLevel="0" collapsed="false">
      <c r="A970" s="0" t="s">
        <v>757</v>
      </c>
      <c r="B970" s="0" t="s">
        <v>95</v>
      </c>
      <c r="C970" s="6" t="n">
        <f aca="false">Sens!C969+Sens!C967</f>
        <v>28.7416845916667</v>
      </c>
      <c r="D970" s="6" t="n">
        <f aca="false">Sens!D969+Sens!D967</f>
        <v>43.4058093833333</v>
      </c>
      <c r="E970" s="6" t="n">
        <f aca="false">Sens!E969+Sens!E967</f>
        <v>86.225053775</v>
      </c>
      <c r="F970" s="6" t="n">
        <f aca="false">Sens!F969+Sens!F967</f>
        <v>168.770652770438</v>
      </c>
      <c r="G970" s="6" t="n">
        <f aca="false">Sens!G969+Sens!G967</f>
        <v>183.5741804832</v>
      </c>
      <c r="H970" s="6" t="n">
        <f aca="false">Sens!H969+Sens!H967</f>
        <v>188.0802859104</v>
      </c>
      <c r="I970" s="6" t="n">
        <f aca="false">Sens!I969+Sens!I967</f>
        <v>218.338961257067</v>
      </c>
      <c r="J970" s="6" t="n">
        <f aca="false">Sens!J969+Sens!J967</f>
        <v>233.777060923733</v>
      </c>
      <c r="K970" s="6" t="n">
        <f aca="false">Sens!K969+Sens!K967</f>
        <v>278.8563119504</v>
      </c>
      <c r="L970" s="11" t="s">
        <v>758</v>
      </c>
    </row>
    <row r="971" customFormat="false" ht="17.15" hidden="false" customHeight="false" outlineLevel="0" collapsed="false">
      <c r="A971" s="0" t="s">
        <v>759</v>
      </c>
      <c r="B971" s="0" t="s">
        <v>95</v>
      </c>
      <c r="E971" s="6" t="n">
        <f aca="false">(Sens!C969*IF(2&lt;life_it,1,IF(2=life_it,0.5,0))+Sens!D969*IF(1&lt;life_it,1,IF(1=life_it,0.5,0))+Sens!E969*0.5)/life_it</f>
        <v>15.0605784770833</v>
      </c>
      <c r="F971" s="6" t="n">
        <f aca="false">(Sens!C969*IF(3&lt;life_it,1,IF(3=life_it,0.5,0))+Sens!D969*IF(2&lt;life_it,1,IF(2=life_it,0.5,0))+Sens!E969*IF(1&lt;life_it,1,IF(1=life_it,0.5,0))+Sens!F969*0.5)/life_it</f>
        <v>32.3073453558698</v>
      </c>
      <c r="G971" s="6" t="n">
        <f aca="false">(Sens!C969*IF(4&lt;life_it,1,IF(4=life_it,0.5,0))+Sens!D969*IF(3&lt;life_it,1,IF(3=life_it,0.5,0))+Sens!E969*IF(2&lt;life_it,1,IF(2=life_it,0.5,0))+Sens!F969*IF(1&lt;life_it,1,IF(1=life_it,0.5,0))+Sens!G969*0.5)/life_it</f>
        <v>56.5503124603396</v>
      </c>
      <c r="H971" s="6" t="n">
        <f aca="false">(Sens!C969*IF(5&lt;life_it,1,IF(5=life_it,0.5,0))+Sens!D969*IF(4&lt;life_it,1,IF(4=life_it,0.5,0))+Sens!E969*IF(3&lt;life_it,1,IF(3=life_it,0.5,0))+Sens!F969*IF(2&lt;life_it,1,IF(2=life_it,0.5,0))+Sens!G969*IF(1&lt;life_it,1,IF(1=life_it,0.5,0))+Sens!H969*0.5)/life_it</f>
        <v>82.1849139931396</v>
      </c>
      <c r="I971" s="6" t="n">
        <f aca="false">(Sens!C969*IF(6&lt;life_it,1,IF(6=life_it,0.5,0))+Sens!D969*IF(5&lt;life_it,1,IF(5=life_it,0.5,0))+Sens!E969*IF(4&lt;life_it,1,IF(4=life_it,0.5,0))+Sens!F969*IF(3&lt;life_it,1,IF(3=life_it,0.5,0))+Sens!G969*IF(2&lt;life_it,1,IF(2=life_it,0.5,0))+Sens!H969*IF(1&lt;life_it,1,IF(1=life_it,0.5,0))+Sens!I969*0.5)/life_it</f>
        <v>108.838798541123</v>
      </c>
      <c r="J971" s="6" t="n">
        <f aca="false">(Sens!C969*IF(7&lt;life_it,1,IF(7=life_it,0.5,0))+Sens!D969*IF(6&lt;life_it,1,IF(6=life_it,0.5,0))+Sens!E969*IF(5&lt;life_it,1,IF(5=life_it,0.5,0))+Sens!F969*IF(4&lt;life_it,1,IF(4=life_it,0.5,0))+Sens!G969*IF(3&lt;life_it,1,IF(3=life_it,0.5,0))+Sens!H969*IF(2&lt;life_it,1,IF(2=life_it,0.5,0))+Sens!I969*IF(1&lt;life_it,1,IF(1=life_it,0.5,0))+Sens!J969*0.5)/life_it</f>
        <v>136.464913558273</v>
      </c>
      <c r="K971" s="6" t="n">
        <f aca="false">(Sens!C969*IF(8&lt;life_it,1,IF(8=life_it,0.5,0))+Sens!D969*IF(7&lt;life_it,1,IF(7=life_it,0.5,0))+Sens!E969*IF(6&lt;life_it,1,IF(6=life_it,0.5,0))+Sens!F969*IF(5&lt;life_it,1,IF(5=life_it,0.5,0))+Sens!G969*IF(4&lt;life_it,1,IF(4=life_it,0.5,0))+Sens!H969*IF(3&lt;life_it,1,IF(3=life_it,0.5,0))+Sens!I969*IF(2&lt;life_it,1,IF(2=life_it,0.5,0))+Sens!J969*IF(1&lt;life_it,1,IF(1=life_it,0.5,0))+Sens!K969*0.5)/life_it</f>
        <v>165.37857703459</v>
      </c>
    </row>
    <row r="972" customFormat="false" ht="17.15" hidden="false" customHeight="false" outlineLevel="0" collapsed="false">
      <c r="A972" s="0" t="s">
        <v>760</v>
      </c>
      <c r="B972" s="0" t="s">
        <v>95</v>
      </c>
      <c r="E972" s="6" t="n">
        <f aca="false">(Sens!C967*IF(2&lt;life_fac,1,IF(2=life_fac,0.5,0))+Sens!D967*IF(1&lt;life_fac,1,IF(1=life_fac,0.5,0))+Sens!E967*0.5)/life_fac</f>
        <v>1.2448275</v>
      </c>
      <c r="F972" s="6" t="n">
        <f aca="false">(Sens!C967*IF(3&lt;life_fac,1,IF(3=life_fac,0.5,0))+Sens!D967*IF(2&lt;life_fac,1,IF(2=life_fac,0.5,0))+Sens!E967*IF(1&lt;life_fac,1,IF(1=life_fac,0.5,0))+Sens!F967*0.5)/life_fac</f>
        <v>2.4456901</v>
      </c>
      <c r="G972" s="6" t="n">
        <f aca="false">(Sens!C967*IF(4&lt;life_fac,1,IF(4=life_fac,0.5,0))+Sens!D967*IF(3&lt;life_fac,1,IF(3=life_fac,0.5,0))+Sens!E967*IF(2&lt;life_fac,1,IF(2=life_fac,0.5,0))+Sens!F967*IF(1&lt;life_fac,1,IF(1=life_fac,0.5,0))+Sens!G967*0.5)/life_fac</f>
        <v>3.9814208</v>
      </c>
      <c r="H972" s="6" t="n">
        <f aca="false">(Sens!C967*IF(5&lt;life_fac,1,IF(5=life_fac,0.5,0))+Sens!D967*IF(4&lt;life_fac,1,IF(4=life_fac,0.5,0))+Sens!E967*IF(3&lt;life_fac,1,IF(3=life_fac,0.5,0))+Sens!F967*IF(2&lt;life_fac,1,IF(2=life_fac,0.5,0))+Sens!G967*IF(1&lt;life_fac,1,IF(1=life_fac,0.5,0))+Sens!H967*0.5)/life_fac</f>
        <v>5.582402</v>
      </c>
      <c r="I972" s="6" t="n">
        <f aca="false">(Sens!C967*IF(6&lt;life_fac,1,IF(6=life_fac,0.5,0))+Sens!D967*IF(5&lt;life_fac,1,IF(5=life_fac,0.5,0))+Sens!E967*IF(4&lt;life_fac,1,IF(4=life_fac,0.5,0))+Sens!F967*IF(3&lt;life_fac,1,IF(3=life_fac,0.5,0))+Sens!G967*IF(2&lt;life_fac,1,IF(2=life_fac,0.5,0))+Sens!H967*IF(1&lt;life_fac,1,IF(1=life_fac,0.5,0))+Sens!I967*0.5)/life_fac</f>
        <v>7.1833832</v>
      </c>
      <c r="J972" s="6" t="n">
        <f aca="false">(Sens!C967*IF(7&lt;life_fac,1,IF(7=life_fac,0.5,0))+Sens!D967*IF(6&lt;life_fac,1,IF(6=life_fac,0.5,0))+Sens!E967*IF(5&lt;life_fac,1,IF(5=life_fac,0.5,0))+Sens!F967*IF(4&lt;life_fac,1,IF(4=life_fac,0.5,0))+Sens!G967*IF(3&lt;life_fac,1,IF(3=life_fac,0.5,0))+Sens!H967*IF(2&lt;life_fac,1,IF(2=life_fac,0.5,0))+Sens!I967*IF(1&lt;life_fac,1,IF(1=life_fac,0.5,0))+Sens!J967*0.5)/life_fac</f>
        <v>8.7843644</v>
      </c>
      <c r="K972" s="6" t="n">
        <f aca="false">(Sens!C967*IF(8&lt;life_fac,1,IF(8=life_fac,0.5,0))+Sens!D967*IF(7&lt;life_fac,1,IF(7=life_fac,0.5,0))+Sens!E967*IF(6&lt;life_fac,1,IF(6=life_fac,0.5,0))+Sens!F967*IF(5&lt;life_fac,1,IF(5=life_fac,0.5,0))+Sens!G967*IF(4&lt;life_fac,1,IF(4=life_fac,0.5,0))+Sens!H967*IF(3&lt;life_fac,1,IF(3=life_fac,0.5,0))+Sens!I967*IF(2&lt;life_fac,1,IF(2=life_fac,0.5,0))+Sens!J967*IF(1&lt;life_fac,1,IF(1=life_fac,0.5,0))+Sens!K967*0.5)/life_fac</f>
        <v>10.3853456</v>
      </c>
    </row>
    <row r="973" customFormat="false" ht="17.15" hidden="false" customHeight="false" outlineLevel="0" collapsed="false">
      <c r="A973" s="0" t="s">
        <v>761</v>
      </c>
      <c r="B973" s="0" t="s">
        <v>95</v>
      </c>
      <c r="E973" s="6" t="n">
        <f aca="false">Sens!E971+Sens!E972</f>
        <v>16.3054059770833</v>
      </c>
      <c r="F973" s="6" t="n">
        <f aca="false">Sens!F971+Sens!F972</f>
        <v>34.7530354558698</v>
      </c>
      <c r="G973" s="6" t="n">
        <f aca="false">Sens!G971+Sens!G972</f>
        <v>60.5317332603396</v>
      </c>
      <c r="H973" s="6" t="n">
        <f aca="false">Sens!H971+Sens!H972</f>
        <v>87.7673159931396</v>
      </c>
      <c r="I973" s="6" t="n">
        <f aca="false">Sens!I971+Sens!I972</f>
        <v>116.022181741123</v>
      </c>
      <c r="J973" s="6" t="n">
        <f aca="false">Sens!J971+Sens!J972</f>
        <v>145.249277958273</v>
      </c>
      <c r="K973" s="6" t="n">
        <f aca="false">Sens!K971+Sens!K972</f>
        <v>175.76392263459</v>
      </c>
    </row>
    <row r="974" customFormat="false" ht="17.15" hidden="false" customHeight="false" outlineLevel="0" collapsed="false">
      <c r="A974" s="0" t="s">
        <v>762</v>
      </c>
      <c r="B974" s="0" t="s">
        <v>95</v>
      </c>
      <c r="E974" s="6" t="n">
        <f aca="false">Sens!E962-Sens!E961*Sens!E973</f>
        <v>8.92707889977379</v>
      </c>
      <c r="F974" s="6" t="n">
        <f aca="false">Sens!F962-Sens!F961*Sens!F973</f>
        <v>21.804810997266</v>
      </c>
      <c r="G974" s="6" t="n">
        <f aca="false">Sens!G962-Sens!G961*Sens!G973</f>
        <v>27.2036998049635</v>
      </c>
      <c r="H974" s="6" t="n">
        <f aca="false">Sens!H962-Sens!H961*Sens!H973</f>
        <v>26.8536285957496</v>
      </c>
      <c r="I974" s="6" t="n">
        <f aca="false">Sens!I962-Sens!I961*Sens!I973</f>
        <v>34.2404833888506</v>
      </c>
      <c r="J974" s="6" t="n">
        <f aca="false">Sens!J962-Sens!J961*Sens!J973</f>
        <v>41.1091856317903</v>
      </c>
      <c r="K974" s="6" t="n">
        <f aca="false">Sens!K962-Sens!K961*Sens!K973</f>
        <v>47.2437044299496</v>
      </c>
    </row>
    <row r="975" customFormat="false" ht="17.15" hidden="false" customHeight="false" outlineLevel="0" collapsed="false">
      <c r="A975" s="3" t="s">
        <v>1140</v>
      </c>
    </row>
    <row r="976" customFormat="false" ht="15" hidden="false" customHeight="false" outlineLevel="0" collapsed="false">
      <c r="A976" s="4" t="s">
        <v>43</v>
      </c>
      <c r="B976" s="4" t="s">
        <v>63</v>
      </c>
      <c r="C976" s="19" t="s">
        <v>710</v>
      </c>
      <c r="D976" s="19" t="s">
        <v>711</v>
      </c>
      <c r="E976" s="19" t="s">
        <v>712</v>
      </c>
      <c r="F976" s="19" t="s">
        <v>713</v>
      </c>
      <c r="G976" s="19" t="s">
        <v>714</v>
      </c>
      <c r="H976" s="19" t="s">
        <v>715</v>
      </c>
      <c r="I976" s="19" t="s">
        <v>716</v>
      </c>
      <c r="J976" s="19" t="s">
        <v>717</v>
      </c>
      <c r="K976" s="19" t="s">
        <v>718</v>
      </c>
      <c r="L976" s="4" t="s">
        <v>47</v>
      </c>
    </row>
    <row r="977" customFormat="false" ht="17.15" hidden="false" customHeight="false" outlineLevel="0" collapsed="false">
      <c r="A977" s="0" t="s">
        <v>780</v>
      </c>
      <c r="B977" s="0" t="s">
        <v>95</v>
      </c>
      <c r="D977" s="6" t="n">
        <f aca="false">Sens!D956</f>
        <v>12.9359794422418</v>
      </c>
      <c r="E977" s="6" t="n">
        <f aca="false">Sens!E956</f>
        <v>27.8095064661409</v>
      </c>
      <c r="F977" s="6" t="n">
        <f aca="false">Sens!F956</f>
        <v>58.2611980965526</v>
      </c>
      <c r="G977" s="6" t="n">
        <f aca="false">Sens!G956</f>
        <v>86.420526522415</v>
      </c>
      <c r="H977" s="6" t="n">
        <f aca="false">Sens!H956</f>
        <v>109.130003944648</v>
      </c>
      <c r="I977" s="6" t="n">
        <f aca="false">Sens!I956</f>
        <v>140.20646804664</v>
      </c>
      <c r="J977" s="6" t="n">
        <f aca="false">Sens!J956</f>
        <v>171.357783973826</v>
      </c>
      <c r="K977" s="6" t="n">
        <f aca="false">Sens!K956</f>
        <v>202.553131629867</v>
      </c>
    </row>
    <row r="978" customFormat="false" ht="17.15" hidden="false" customHeight="false" outlineLevel="0" collapsed="false">
      <c r="A978" s="0" t="s">
        <v>781</v>
      </c>
      <c r="B978" s="0" t="s">
        <v>95</v>
      </c>
      <c r="D978" s="6" t="n">
        <f aca="false">Q!L6-Sens!D977</f>
        <v>59.6740205577583</v>
      </c>
      <c r="E978" s="6" t="n">
        <f aca="false">Q!M6-Sens!E977</f>
        <v>74.1284935338591</v>
      </c>
      <c r="F978" s="6" t="n">
        <f aca="false">Sens!E978*(1+Sens!F979)</f>
        <v>90.0799497373663</v>
      </c>
      <c r="G978" s="6" t="n">
        <f aca="false">Sens!F978*(1+Sens!G979)</f>
        <v>107.02842520331</v>
      </c>
      <c r="H978" s="6" t="n">
        <f aca="false">Sens!G978*(1+Sens!H979)</f>
        <v>124.271982585636</v>
      </c>
      <c r="I978" s="6" t="n">
        <f aca="false">Sens!H978*(1+Sens!I979)</f>
        <v>140.933702381855</v>
      </c>
      <c r="J978" s="6" t="n">
        <f aca="false">Sens!I978*(1+Sens!J979)</f>
        <v>156.018867314332</v>
      </c>
      <c r="K978" s="6" t="n">
        <f aca="false">Sens!J978*(1+Sens!K979)</f>
        <v>168.500376699478</v>
      </c>
    </row>
    <row r="979" customFormat="false" ht="15" hidden="false" customHeight="false" outlineLevel="0" collapsed="false">
      <c r="A979" s="1" t="s">
        <v>782</v>
      </c>
      <c r="B979" s="0" t="s">
        <v>126</v>
      </c>
      <c r="E979" s="7" t="n">
        <f aca="false">Sens!E978/Sens!D978-1</f>
        <v>0.242223883039864</v>
      </c>
      <c r="F979" s="7" t="n">
        <f aca="false">Sens!$E$979+(glt_azo-Sens!$E$979)*MIN(1,1/n_conv)</f>
        <v>0.215186569199887</v>
      </c>
      <c r="G979" s="7" t="n">
        <f aca="false">Sens!$E$979+(glt_azo-Sens!$E$979)*MIN(1,2/n_conv)</f>
        <v>0.18814925535991</v>
      </c>
      <c r="H979" s="7" t="n">
        <f aca="false">Sens!$E$979+(glt_azo-Sens!$E$979)*MIN(1,3/n_conv)</f>
        <v>0.161111941519932</v>
      </c>
      <c r="I979" s="7" t="n">
        <f aca="false">Sens!$E$979+(glt_azo-Sens!$E$979)*MIN(1,4/n_conv)</f>
        <v>0.134074627679955</v>
      </c>
      <c r="J979" s="7" t="n">
        <f aca="false">Sens!$E$979+(glt_azo-Sens!$E$979)*MIN(1,5/n_conv)</f>
        <v>0.107037313839977</v>
      </c>
      <c r="K979" s="7" t="n">
        <f aca="false">Sens!$E$979+(glt_azo-Sens!$E$979)*MIN(1,6/n_conv)</f>
        <v>0.08</v>
      </c>
    </row>
    <row r="980" customFormat="false" ht="15" hidden="false" customHeight="false" outlineLevel="0" collapsed="false">
      <c r="A980" s="0" t="s">
        <v>783</v>
      </c>
      <c r="B980" s="0" t="s">
        <v>95</v>
      </c>
      <c r="D980" s="6" t="n">
        <f aca="false">Sens!D977+Sens!D978</f>
        <v>72.61</v>
      </c>
      <c r="E980" s="6" t="n">
        <f aca="false">Sens!E977+Sens!E978</f>
        <v>101.938</v>
      </c>
      <c r="F980" s="6" t="n">
        <f aca="false">Sens!F977+Sens!F978</f>
        <v>148.341147833919</v>
      </c>
      <c r="G980" s="6" t="n">
        <f aca="false">Sens!G977+Sens!G978</f>
        <v>193.448951725725</v>
      </c>
      <c r="H980" s="6" t="n">
        <f aca="false">Sens!H977+Sens!H978</f>
        <v>233.401986530284</v>
      </c>
      <c r="I980" s="6" t="n">
        <f aca="false">Sens!I977+Sens!I978</f>
        <v>281.140170428495</v>
      </c>
      <c r="J980" s="6" t="n">
        <f aca="false">Sens!J977+Sens!J978</f>
        <v>327.376651288157</v>
      </c>
      <c r="K980" s="6" t="n">
        <f aca="false">Sens!K977+Sens!K978</f>
        <v>371.053508329345</v>
      </c>
    </row>
    <row r="981" customFormat="false" ht="17.15" hidden="false" customHeight="false" outlineLevel="0" collapsed="false">
      <c r="A981" s="0" t="s">
        <v>784</v>
      </c>
      <c r="B981" s="1" t="s">
        <v>451</v>
      </c>
      <c r="C981" s="27" t="n">
        <f aca="false">cop_s24</f>
        <v>1</v>
      </c>
      <c r="D981" s="27" t="n">
        <f aca="false">cop_s25</f>
        <v>5</v>
      </c>
      <c r="E981" s="27" t="n">
        <f aca="false">cop_s26</f>
        <v>30</v>
      </c>
      <c r="F981" s="27" t="n">
        <f aca="false">Sens!E981+IF(2027&lt;=2029,cop_add_C,cop_add_C*cop_tail)</f>
        <v>40</v>
      </c>
      <c r="G981" s="27" t="n">
        <f aca="false">Sens!F981+IF(2028&lt;=2029,cop_add_C,cop_add_C*cop_tail)</f>
        <v>50</v>
      </c>
      <c r="H981" s="27" t="n">
        <f aca="false">Sens!G981+IF(2029&lt;=2029,cop_add_C,cop_add_C*cop_tail)</f>
        <v>60</v>
      </c>
      <c r="I981" s="27" t="n">
        <f aca="false">Sens!H981+IF(2030&lt;=2029,cop_add_C,cop_add_C*cop_tail)</f>
        <v>65</v>
      </c>
      <c r="J981" s="27" t="n">
        <f aca="false">Sens!I981+IF(2031&lt;=2029,cop_add_C,cop_add_C*cop_tail)</f>
        <v>70</v>
      </c>
      <c r="K981" s="27" t="n">
        <f aca="false">Sens!J981+IF(2032&lt;=2029,cop_add_C,cop_add_C*cop_tail)</f>
        <v>75</v>
      </c>
    </row>
    <row r="982" customFormat="false" ht="17.15" hidden="false" customHeight="false" outlineLevel="0" collapsed="false">
      <c r="A982" s="0" t="s">
        <v>785</v>
      </c>
      <c r="B982" s="0" t="s">
        <v>95</v>
      </c>
      <c r="D982" s="6" t="n">
        <f aca="false">(Sens!C981+Sens!D981)/2*cop_px*12/1000</f>
        <v>0.9</v>
      </c>
      <c r="E982" s="6" t="n">
        <f aca="false">(Sens!D981+Sens!E981)/2*cop_px*12/1000</f>
        <v>5.25</v>
      </c>
      <c r="F982" s="6" t="n">
        <f aca="false">(Sens!E981+Sens!F981)/2*cop_px*12/1000</f>
        <v>10.5</v>
      </c>
      <c r="G982" s="6" t="n">
        <f aca="false">(Sens!F981+Sens!G981)/2*cop_px*12/1000</f>
        <v>13.5</v>
      </c>
      <c r="H982" s="6" t="n">
        <f aca="false">(Sens!G981+Sens!H981)/2*cop_px*12/1000</f>
        <v>16.5</v>
      </c>
      <c r="I982" s="6" t="n">
        <f aca="false">(Sens!H981+Sens!I981)/2*cop_px*12/1000</f>
        <v>18.75</v>
      </c>
      <c r="J982" s="6" t="n">
        <f aca="false">(Sens!I981+Sens!J981)/2*cop_px*12/1000</f>
        <v>20.25</v>
      </c>
      <c r="K982" s="6" t="n">
        <f aca="false">(Sens!J981+Sens!K981)/2*cop_px*12/1000</f>
        <v>21.75</v>
      </c>
      <c r="L982" s="1" t="s">
        <v>786</v>
      </c>
    </row>
    <row r="983" customFormat="false" ht="17.15" hidden="false" customHeight="false" outlineLevel="0" collapsed="false">
      <c r="A983" s="0" t="s">
        <v>787</v>
      </c>
      <c r="B983" s="0" t="s">
        <v>95</v>
      </c>
      <c r="D983" s="6" t="n">
        <f aca="false">Q!L7-Sens!D982</f>
        <v>83.705</v>
      </c>
      <c r="E983" s="6" t="n">
        <f aca="false">Q!M7-Sens!E982</f>
        <v>95.049</v>
      </c>
      <c r="F983" s="6" t="n">
        <f aca="false">Sens!E983*(1+Sens!F984)</f>
        <v>106.89238776686</v>
      </c>
      <c r="G983" s="6" t="n">
        <f aca="false">Sens!F983*(1+Sens!G984)</f>
        <v>119.044168448684</v>
      </c>
      <c r="H983" s="6" t="n">
        <f aca="false">Sens!G983*(1+Sens!H984)</f>
        <v>131.277359388781</v>
      </c>
      <c r="I983" s="6" t="n">
        <f aca="false">Sens!H983*(1+Sens!I984)</f>
        <v>143.334028071957</v>
      </c>
      <c r="J983" s="6" t="n">
        <f aca="false">Sens!I983*(1+Sens!J984)</f>
        <v>154.932702785465</v>
      </c>
      <c r="K983" s="6" t="n">
        <f aca="false">Sens!J983*(1+Sens!K984)</f>
        <v>165.777991980448</v>
      </c>
    </row>
    <row r="984" customFormat="false" ht="15" hidden="false" customHeight="false" outlineLevel="0" collapsed="false">
      <c r="A984" s="1" t="s">
        <v>782</v>
      </c>
      <c r="B984" s="0" t="s">
        <v>126</v>
      </c>
      <c r="E984" s="7" t="n">
        <f aca="false">Sens!E983/Sens!D983-1</f>
        <v>0.135523564900544</v>
      </c>
      <c r="F984" s="7" t="n">
        <f aca="false">Sens!$E$984+(glt_m365b-Sens!$E$984)*MIN(1,1/n_conv)</f>
        <v>0.124602970750453</v>
      </c>
      <c r="G984" s="7" t="n">
        <f aca="false">Sens!$E$984+(glt_m365b-Sens!$E$984)*MIN(1,2/n_conv)</f>
        <v>0.113682376600363</v>
      </c>
      <c r="H984" s="7" t="n">
        <f aca="false">Sens!$E$984+(glt_m365b-Sens!$E$984)*MIN(1,3/n_conv)</f>
        <v>0.102761782450272</v>
      </c>
      <c r="I984" s="7" t="n">
        <f aca="false">Sens!$E$984+(glt_m365b-Sens!$E$984)*MIN(1,4/n_conv)</f>
        <v>0.0918411883001813</v>
      </c>
      <c r="J984" s="7" t="n">
        <f aca="false">Sens!$E$984+(glt_m365b-Sens!$E$984)*MIN(1,5/n_conv)</f>
        <v>0.0809205941500906</v>
      </c>
      <c r="K984" s="7" t="n">
        <f aca="false">Sens!$E$984+(glt_m365b-Sens!$E$984)*MIN(1,6/n_conv)</f>
        <v>0.07</v>
      </c>
    </row>
    <row r="985" customFormat="false" ht="15" hidden="false" customHeight="false" outlineLevel="0" collapsed="false">
      <c r="A985" s="0" t="s">
        <v>788</v>
      </c>
      <c r="B985" s="0" t="s">
        <v>95</v>
      </c>
      <c r="D985" s="6" t="n">
        <f aca="false">Sens!D983+Sens!D982</f>
        <v>84.605</v>
      </c>
      <c r="E985" s="6" t="n">
        <f aca="false">Sens!E983+Sens!E982</f>
        <v>100.299</v>
      </c>
      <c r="F985" s="6" t="n">
        <f aca="false">Sens!F983+Sens!F982</f>
        <v>117.39238776686</v>
      </c>
      <c r="G985" s="6" t="n">
        <f aca="false">Sens!G983+Sens!G982</f>
        <v>132.544168448684</v>
      </c>
      <c r="H985" s="6" t="n">
        <f aca="false">Sens!H983+Sens!H982</f>
        <v>147.777359388781</v>
      </c>
      <c r="I985" s="6" t="n">
        <f aca="false">Sens!I983+Sens!I982</f>
        <v>162.084028071957</v>
      </c>
      <c r="J985" s="6" t="n">
        <f aca="false">Sens!J983+Sens!J982</f>
        <v>175.182702785465</v>
      </c>
      <c r="K985" s="6" t="n">
        <f aca="false">Sens!K983+Sens!K982</f>
        <v>187.527991980448</v>
      </c>
    </row>
    <row r="986" customFormat="false" ht="15" hidden="false" customHeight="false" outlineLevel="0" collapsed="false">
      <c r="A986" s="0" t="s">
        <v>789</v>
      </c>
      <c r="B986" s="0" t="s">
        <v>95</v>
      </c>
      <c r="D986" s="6" t="n">
        <f aca="false">Q!L8</f>
        <v>35.391</v>
      </c>
      <c r="E986" s="6" t="n">
        <f aca="false">Q!M8</f>
        <v>37.285</v>
      </c>
      <c r="F986" s="6" t="n">
        <f aca="false">Sens!E986*(1+Sens!F987)</f>
        <v>39.0720834331704</v>
      </c>
      <c r="G986" s="6" t="n">
        <f aca="false">Sens!F986*(1+Sens!G987)</f>
        <v>40.726562953769</v>
      </c>
      <c r="H986" s="6" t="n">
        <f aca="false">Sens!G986*(1+Sens!H987)</f>
        <v>42.2235987259198</v>
      </c>
      <c r="I986" s="6" t="n">
        <f aca="false">Sens!H986*(1+Sens!I987)</f>
        <v>43.5397988077414</v>
      </c>
      <c r="J986" s="6" t="n">
        <f aca="false">Sens!I986*(1+Sens!J987)</f>
        <v>44.653811225693</v>
      </c>
      <c r="K986" s="6" t="n">
        <f aca="false">Sens!J986*(1+Sens!K987)</f>
        <v>45.5468874502068</v>
      </c>
    </row>
    <row r="987" customFormat="false" ht="15" hidden="false" customHeight="false" outlineLevel="0" collapsed="false">
      <c r="A987" s="1" t="s">
        <v>782</v>
      </c>
      <c r="B987" s="0" t="s">
        <v>126</v>
      </c>
      <c r="E987" s="7" t="n">
        <f aca="false">Sens!E986/Sens!D986-1</f>
        <v>0.0535164307309768</v>
      </c>
      <c r="F987" s="7" t="n">
        <f aca="false">Sens!$E$987+(glt_lic-Sens!$E$987)*MIN(1,1/n_conv)</f>
        <v>0.0479303589424807</v>
      </c>
      <c r="G987" s="7" t="n">
        <f aca="false">Sens!$E$987+(glt_lic-Sens!$E$987)*MIN(1,2/n_conv)</f>
        <v>0.0423442871539845</v>
      </c>
      <c r="H987" s="7" t="n">
        <f aca="false">Sens!$E$987+(glt_lic-Sens!$E$987)*MIN(1,3/n_conv)</f>
        <v>0.0367582153654884</v>
      </c>
      <c r="I987" s="7" t="n">
        <f aca="false">Sens!$E$987+(glt_lic-Sens!$E$987)*MIN(1,4/n_conv)</f>
        <v>0.0311721435769923</v>
      </c>
      <c r="J987" s="7" t="n">
        <f aca="false">Sens!$E$987+(glt_lic-Sens!$E$987)*MIN(1,5/n_conv)</f>
        <v>0.0255860717884961</v>
      </c>
      <c r="K987" s="7" t="n">
        <f aca="false">Sens!$E$987+(glt_lic-Sens!$E$987)*MIN(1,6/n_conv)</f>
        <v>0.02</v>
      </c>
    </row>
    <row r="988" customFormat="false" ht="15" hidden="false" customHeight="false" outlineLevel="0" collapsed="false">
      <c r="A988" s="0" t="s">
        <v>790</v>
      </c>
      <c r="B988" s="0" t="s">
        <v>95</v>
      </c>
      <c r="D988" s="6" t="n">
        <f aca="false">Q!L9</f>
        <v>18.417</v>
      </c>
      <c r="E988" s="6" t="n">
        <f aca="false">Q!M9</f>
        <v>20.345</v>
      </c>
      <c r="F988" s="6" t="n">
        <f aca="false">Sens!E988*(1+Sens!F989)</f>
        <v>22.3572203267814</v>
      </c>
      <c r="G988" s="6" t="n">
        <f aca="false">Sens!F988*(1+Sens!G989)</f>
        <v>24.4392124437232</v>
      </c>
      <c r="H988" s="6" t="n">
        <f aca="false">Sens!G988*(1+Sens!H989)</f>
        <v>26.5738052080665</v>
      </c>
      <c r="I988" s="6" t="n">
        <f aca="false">Sens!H988*(1+Sens!I989)</f>
        <v>28.7412169166967</v>
      </c>
      <c r="J988" s="6" t="n">
        <f aca="false">Sens!I988*(1+Sens!J989)</f>
        <v>30.9192545395413</v>
      </c>
      <c r="K988" s="6" t="n">
        <f aca="false">Sens!J988*(1+Sens!K989)</f>
        <v>33.0836023573092</v>
      </c>
    </row>
    <row r="989" customFormat="false" ht="15" hidden="false" customHeight="false" outlineLevel="0" collapsed="false">
      <c r="A989" s="1" t="s">
        <v>782</v>
      </c>
      <c r="B989" s="0" t="s">
        <v>126</v>
      </c>
      <c r="E989" s="7" t="n">
        <f aca="false">Sens!E988/Sens!D988-1</f>
        <v>0.104685888038225</v>
      </c>
      <c r="F989" s="7" t="n">
        <f aca="false">Sens!$E$989+(glt_ind-Sens!$E$989)*MIN(1,1/n_conv)</f>
        <v>0.0989049066985211</v>
      </c>
      <c r="G989" s="7" t="n">
        <f aca="false">Sens!$E$989+(glt_ind-Sens!$E$989)*MIN(1,2/n_conv)</f>
        <v>0.0931239253588169</v>
      </c>
      <c r="H989" s="7" t="n">
        <f aca="false">Sens!$E$989+(glt_ind-Sens!$E$989)*MIN(1,3/n_conv)</f>
        <v>0.0873429440191127</v>
      </c>
      <c r="I989" s="7" t="n">
        <f aca="false">Sens!$E$989+(glt_ind-Sens!$E$989)*MIN(1,4/n_conv)</f>
        <v>0.0815619626794085</v>
      </c>
      <c r="J989" s="7" t="n">
        <f aca="false">Sens!$E$989+(glt_ind-Sens!$E$989)*MIN(1,5/n_conv)</f>
        <v>0.0757809813397042</v>
      </c>
      <c r="K989" s="7" t="n">
        <f aca="false">Sens!$E$989+(glt_ind-Sens!$E$989)*MIN(1,6/n_conv)</f>
        <v>0.07</v>
      </c>
    </row>
    <row r="990" customFormat="false" ht="15" hidden="false" customHeight="false" outlineLevel="0" collapsed="false">
      <c r="A990" s="0" t="s">
        <v>791</v>
      </c>
      <c r="B990" s="0" t="s">
        <v>95</v>
      </c>
      <c r="D990" s="6" t="n">
        <f aca="false">Q!L10</f>
        <v>7.76</v>
      </c>
      <c r="E990" s="6" t="n">
        <f aca="false">Q!M10</f>
        <v>8.26</v>
      </c>
      <c r="F990" s="6" t="n">
        <f aca="false">Sens!E990*(1+Sens!F991)</f>
        <v>8.79988041237113</v>
      </c>
      <c r="G990" s="6" t="n">
        <f aca="false">Sens!F990*(1+Sens!G991)</f>
        <v>9.38321269125306</v>
      </c>
      <c r="H990" s="6" t="n">
        <f aca="false">Sens!G990*(1+Sens!H991)</f>
        <v>10.0139193587476</v>
      </c>
      <c r="I990" s="6" t="n">
        <f aca="false">Sens!H990*(1+Sens!I991)</f>
        <v>10.6963111830911</v>
      </c>
      <c r="J990" s="6" t="n">
        <f aca="false">Sens!I990*(1+Sens!J991)</f>
        <v>11.4351285534696</v>
      </c>
      <c r="K990" s="6" t="n">
        <f aca="false">Sens!J990*(1+Sens!K991)</f>
        <v>12.2355875522124</v>
      </c>
    </row>
    <row r="991" customFormat="false" ht="15" hidden="false" customHeight="false" outlineLevel="0" collapsed="false">
      <c r="A991" s="1" t="s">
        <v>782</v>
      </c>
      <c r="B991" s="0" t="s">
        <v>126</v>
      </c>
      <c r="E991" s="7" t="n">
        <f aca="false">Sens!E990/Sens!D990-1</f>
        <v>0.0644329896907216</v>
      </c>
      <c r="F991" s="7" t="n">
        <f aca="false">Sens!$E$991+(glt_fro-Sens!$E$991)*MIN(1,1/n_conv)</f>
        <v>0.065360824742268</v>
      </c>
      <c r="G991" s="7" t="n">
        <f aca="false">Sens!$E$991+(glt_fro-Sens!$E$991)*MIN(1,2/n_conv)</f>
        <v>0.0662886597938144</v>
      </c>
      <c r="H991" s="7" t="n">
        <f aca="false">Sens!$E$991+(glt_fro-Sens!$E$991)*MIN(1,3/n_conv)</f>
        <v>0.0672164948453608</v>
      </c>
      <c r="I991" s="7" t="n">
        <f aca="false">Sens!$E$991+(glt_fro-Sens!$E$991)*MIN(1,4/n_conv)</f>
        <v>0.0681443298969072</v>
      </c>
      <c r="J991" s="7" t="n">
        <f aca="false">Sens!$E$991+(glt_fro-Sens!$E$991)*MIN(1,5/n_conv)</f>
        <v>0.0690721649484536</v>
      </c>
      <c r="K991" s="7" t="n">
        <f aca="false">Sens!$E$991+(glt_fro-Sens!$E$991)*MIN(1,6/n_conv)</f>
        <v>0.07</v>
      </c>
    </row>
    <row r="992" customFormat="false" ht="15" hidden="false" customHeight="false" outlineLevel="0" collapsed="false">
      <c r="A992" s="0" t="s">
        <v>626</v>
      </c>
      <c r="B992" s="0" t="s">
        <v>95</v>
      </c>
      <c r="D992" s="6" t="n">
        <f aca="false">Sens!D980+Sens!D985+Sens!D986+Sens!D988+Sens!D990</f>
        <v>218.783</v>
      </c>
      <c r="E992" s="6" t="n">
        <f aca="false">Sens!E980+Sens!E985+Sens!E986+Sens!E988+Sens!E990</f>
        <v>268.127</v>
      </c>
      <c r="F992" s="6" t="n">
        <f aca="false">Sens!F980+Sens!F985+Sens!F986+Sens!F988+Sens!F990</f>
        <v>335.962719773102</v>
      </c>
      <c r="G992" s="6" t="n">
        <f aca="false">Sens!G980+Sens!G985+Sens!G986+Sens!G988+Sens!G990</f>
        <v>400.542108263154</v>
      </c>
      <c r="H992" s="6" t="n">
        <f aca="false">Sens!H980+Sens!H985+Sens!H986+Sens!H988+Sens!H990</f>
        <v>459.990669211799</v>
      </c>
      <c r="I992" s="6" t="n">
        <f aca="false">Sens!I980+Sens!I985+Sens!I986+Sens!I988+Sens!I990</f>
        <v>526.201525407981</v>
      </c>
      <c r="J992" s="6" t="n">
        <f aca="false">Sens!J980+Sens!J985+Sens!J986+Sens!J988+Sens!J990</f>
        <v>589.567548392326</v>
      </c>
      <c r="K992" s="6" t="n">
        <f aca="false">Sens!K980+Sens!K985+Sens!K986+Sens!K988+Sens!K990</f>
        <v>649.447577669522</v>
      </c>
    </row>
    <row r="993" customFormat="false" ht="15" hidden="false" customHeight="false" outlineLevel="0" collapsed="false">
      <c r="A993" s="0" t="s">
        <v>792</v>
      </c>
      <c r="B993" s="0" t="s">
        <v>95</v>
      </c>
      <c r="D993" s="6" t="n">
        <f aca="false">Q!L13</f>
        <v>22.171</v>
      </c>
      <c r="E993" s="6" t="n">
        <f aca="false">Q!M13</f>
        <v>24.835</v>
      </c>
      <c r="F993" s="6" t="n">
        <f aca="false">Sens!E993*(1+Sens!F994)</f>
        <v>27.6114901218559</v>
      </c>
      <c r="G993" s="6" t="n">
        <f aca="false">Sens!F993*(1+Sens!G994)</f>
        <v>30.4675667338515</v>
      </c>
      <c r="H993" s="6" t="n">
        <f aca="false">Sens!G993*(1+Sens!H994)</f>
        <v>33.3643766955789</v>
      </c>
      <c r="I993" s="6" t="n">
        <f aca="false">Sens!H993*(1+Sens!I994)</f>
        <v>36.2577016533691</v>
      </c>
      <c r="J993" s="6" t="n">
        <f aca="false">Sens!I993*(1+Sens!J994)</f>
        <v>39.0988367952171</v>
      </c>
      <c r="K993" s="6" t="n">
        <f aca="false">Sens!J993*(1+Sens!K994)</f>
        <v>41.8357553708823</v>
      </c>
    </row>
    <row r="994" customFormat="false" ht="15" hidden="false" customHeight="false" outlineLevel="0" collapsed="false">
      <c r="A994" s="1" t="s">
        <v>782</v>
      </c>
      <c r="B994" s="0" t="s">
        <v>126</v>
      </c>
      <c r="E994" s="7" t="n">
        <f aca="false">Sens!E993/Sens!D993-1</f>
        <v>0.120156961796942</v>
      </c>
      <c r="F994" s="7" t="n">
        <f aca="false">Sens!$E$994+(glt_srch-Sens!$E$994)*MIN(1,1/n_conv)</f>
        <v>0.111797468164118</v>
      </c>
      <c r="G994" s="7" t="n">
        <f aca="false">Sens!$E$994+(glt_srch-Sens!$E$994)*MIN(1,2/n_conv)</f>
        <v>0.103437974531295</v>
      </c>
      <c r="H994" s="7" t="n">
        <f aca="false">Sens!$E$994+(glt_srch-Sens!$E$994)*MIN(1,3/n_conv)</f>
        <v>0.095078480898471</v>
      </c>
      <c r="I994" s="7" t="n">
        <f aca="false">Sens!$E$994+(glt_srch-Sens!$E$994)*MIN(1,4/n_conv)</f>
        <v>0.0867189872656474</v>
      </c>
      <c r="J994" s="7" t="n">
        <f aca="false">Sens!$E$994+(glt_srch-Sens!$E$994)*MIN(1,5/n_conv)</f>
        <v>0.0783594936328237</v>
      </c>
      <c r="K994" s="7" t="n">
        <f aca="false">Sens!$E$994+(glt_srch-Sens!$E$994)*MIN(1,6/n_conv)</f>
        <v>0.07</v>
      </c>
    </row>
    <row r="995" customFormat="false" ht="15" hidden="false" customHeight="false" outlineLevel="0" collapsed="false">
      <c r="A995" s="0" t="s">
        <v>793</v>
      </c>
      <c r="B995" s="0" t="s">
        <v>95</v>
      </c>
      <c r="D995" s="6" t="n">
        <f aca="false">Q!L14</f>
        <v>23.455</v>
      </c>
      <c r="E995" s="6" t="n">
        <f aca="false">Q!M14</f>
        <v>21.79</v>
      </c>
      <c r="F995" s="6" t="n">
        <f aca="false">Sens!E995*(1+Sens!F996)</f>
        <v>20.5736277908051</v>
      </c>
      <c r="G995" s="6" t="n">
        <f aca="false">Sens!F995*(1+Sens!G996)</f>
        <v>19.7371452817919</v>
      </c>
      <c r="H995" s="6" t="n">
        <f aca="false">Sens!G995*(1+Sens!H996)</f>
        <v>19.2339764043138</v>
      </c>
      <c r="I995" s="6" t="n">
        <f aca="false">Sens!H995*(1+Sens!I996)</f>
        <v>19.0353086852681</v>
      </c>
      <c r="J995" s="6" t="n">
        <f aca="false">Sens!I995*(1+Sens!J996)</f>
        <v>19.1273539319129</v>
      </c>
      <c r="K995" s="6" t="n">
        <f aca="false">Sens!J995*(1+Sens!K996)</f>
        <v>19.5099010105511</v>
      </c>
    </row>
    <row r="996" customFormat="false" ht="15" hidden="false" customHeight="false" outlineLevel="0" collapsed="false">
      <c r="A996" s="1" t="s">
        <v>782</v>
      </c>
      <c r="B996" s="0" t="s">
        <v>126</v>
      </c>
      <c r="E996" s="7" t="n">
        <f aca="false">Sens!E995/Sens!D995-1</f>
        <v>-0.0709869963760392</v>
      </c>
      <c r="F996" s="7" t="n">
        <f aca="false">Sens!$E$996+(glt_xbox-Sens!$E$996)*MIN(1,1/n_conv)</f>
        <v>-0.0558224969800327</v>
      </c>
      <c r="G996" s="7" t="n">
        <f aca="false">Sens!$E$996+(glt_xbox-Sens!$E$996)*MIN(1,2/n_conv)</f>
        <v>-0.0406579975840262</v>
      </c>
      <c r="H996" s="7" t="n">
        <f aca="false">Sens!$E$996+(glt_xbox-Sens!$E$996)*MIN(1,3/n_conv)</f>
        <v>-0.0254934981880196</v>
      </c>
      <c r="I996" s="7" t="n">
        <f aca="false">Sens!$E$996+(glt_xbox-Sens!$E$996)*MIN(1,4/n_conv)</f>
        <v>-0.0103289987920131</v>
      </c>
      <c r="J996" s="7" t="n">
        <f aca="false">Sens!$E$996+(glt_xbox-Sens!$E$996)*MIN(1,5/n_conv)</f>
        <v>0.00483550060399347</v>
      </c>
      <c r="K996" s="7" t="n">
        <f aca="false">Sens!$E$996+(glt_xbox-Sens!$E$996)*MIN(1,6/n_conv)</f>
        <v>0.02</v>
      </c>
    </row>
    <row r="997" customFormat="false" ht="15" hidden="false" customHeight="false" outlineLevel="0" collapsed="false">
      <c r="A997" s="0" t="s">
        <v>794</v>
      </c>
      <c r="B997" s="0" t="s">
        <v>95</v>
      </c>
      <c r="D997" s="6" t="n">
        <f aca="false">Q!L15</f>
        <v>17.315</v>
      </c>
      <c r="E997" s="6" t="n">
        <f aca="false">Q!M15</f>
        <v>17.087</v>
      </c>
      <c r="F997" s="6" t="n">
        <f aca="false">Sens!E997*(1+Sens!F998)</f>
        <v>16.9564585436519</v>
      </c>
      <c r="G997" s="6" t="n">
        <f aca="false">Sens!F997*(1+Sens!G998)</f>
        <v>16.9206490624268</v>
      </c>
      <c r="H997" s="6" t="n">
        <f aca="false">Sens!G997*(1+Sens!H998)</f>
        <v>16.9784519149849</v>
      </c>
      <c r="I997" s="6" t="n">
        <f aca="false">Sens!H997*(1+Sens!I998)</f>
        <v>17.1303084701817</v>
      </c>
      <c r="J997" s="6" t="n">
        <f aca="false">Sens!I997*(1+Sens!J998)</f>
        <v>17.3782189407267</v>
      </c>
      <c r="K997" s="6" t="n">
        <f aca="false">Sens!J997*(1+Sens!K998)</f>
        <v>17.7257833195413</v>
      </c>
    </row>
    <row r="998" customFormat="false" ht="15" hidden="false" customHeight="false" outlineLevel="0" collapsed="false">
      <c r="A998" s="1" t="s">
        <v>782</v>
      </c>
      <c r="B998" s="0" t="s">
        <v>126</v>
      </c>
      <c r="E998" s="7" t="n">
        <f aca="false">Sens!E997/Sens!D997-1</f>
        <v>-0.0131677736066995</v>
      </c>
      <c r="F998" s="7" t="n">
        <f aca="false">Sens!$E$998+(glt_win-Sens!$E$998)*MIN(1,1/n_conv)</f>
        <v>-0.00763981133891627</v>
      </c>
      <c r="G998" s="7" t="n">
        <f aca="false">Sens!$E$998+(glt_win-Sens!$E$998)*MIN(1,2/n_conv)</f>
        <v>-0.00211184907113301</v>
      </c>
      <c r="H998" s="7" t="n">
        <f aca="false">Sens!$E$998+(glt_win-Sens!$E$998)*MIN(1,3/n_conv)</f>
        <v>0.00341611319665024</v>
      </c>
      <c r="I998" s="7" t="n">
        <f aca="false">Sens!$E$998+(glt_win-Sens!$E$998)*MIN(1,4/n_conv)</f>
        <v>0.00894407546443349</v>
      </c>
      <c r="J998" s="7" t="n">
        <f aca="false">Sens!$E$998+(glt_win-Sens!$E$998)*MIN(1,5/n_conv)</f>
        <v>0.0144720377322168</v>
      </c>
      <c r="K998" s="7" t="n">
        <f aca="false">Sens!$E$998+(glt_win-Sens!$E$998)*MIN(1,6/n_conv)</f>
        <v>0.02</v>
      </c>
    </row>
    <row r="999" customFormat="false" ht="15" hidden="false" customHeight="false" outlineLevel="0" collapsed="false">
      <c r="A999" s="0" t="s">
        <v>640</v>
      </c>
      <c r="B999" s="0" t="s">
        <v>95</v>
      </c>
      <c r="D999" s="6" t="n">
        <f aca="false">Sens!D993+Sens!D995+Sens!D997</f>
        <v>62.941</v>
      </c>
      <c r="E999" s="6" t="n">
        <f aca="false">Sens!E993+Sens!E995+Sens!E997</f>
        <v>63.712</v>
      </c>
      <c r="F999" s="6" t="n">
        <f aca="false">Sens!F993+Sens!F995+Sens!F997</f>
        <v>65.1415764563129</v>
      </c>
      <c r="G999" s="6" t="n">
        <f aca="false">Sens!G993+Sens!G995+Sens!G997</f>
        <v>67.1253610780702</v>
      </c>
      <c r="H999" s="6" t="n">
        <f aca="false">Sens!H993+Sens!H995+Sens!H997</f>
        <v>69.5768050148776</v>
      </c>
      <c r="I999" s="6" t="n">
        <f aca="false">Sens!I993+Sens!I995+Sens!I997</f>
        <v>72.4233188088189</v>
      </c>
      <c r="J999" s="6" t="n">
        <f aca="false">Sens!J993+Sens!J995+Sens!J997</f>
        <v>75.6044096678567</v>
      </c>
      <c r="K999" s="6" t="n">
        <f aca="false">Sens!K993+Sens!K995+Sens!K997</f>
        <v>79.0714397009747</v>
      </c>
    </row>
    <row r="1000" customFormat="false" ht="15" hidden="false" customHeight="false" outlineLevel="0" collapsed="false">
      <c r="A1000" s="1" t="s">
        <v>795</v>
      </c>
      <c r="B1000" s="0" t="s">
        <v>95</v>
      </c>
      <c r="D1000" s="6" t="n">
        <f aca="false">Sens!D992+Sens!D999</f>
        <v>281.724</v>
      </c>
      <c r="E1000" s="6" t="n">
        <f aca="false">Sens!E992+Sens!E999</f>
        <v>331.839</v>
      </c>
      <c r="F1000" s="6" t="n">
        <f aca="false">Sens!F992+Sens!F999</f>
        <v>401.104296229415</v>
      </c>
      <c r="G1000" s="6" t="n">
        <f aca="false">Sens!G992+Sens!G999</f>
        <v>467.667469341224</v>
      </c>
      <c r="H1000" s="6" t="n">
        <f aca="false">Sens!H992+Sens!H999</f>
        <v>529.567474226677</v>
      </c>
      <c r="I1000" s="6" t="n">
        <f aca="false">Sens!I992+Sens!I999</f>
        <v>598.6248442168</v>
      </c>
      <c r="J1000" s="6" t="n">
        <f aca="false">Sens!J992+Sens!J999</f>
        <v>665.171958060183</v>
      </c>
      <c r="K1000" s="6" t="n">
        <f aca="false">Sens!K992+Sens!K999</f>
        <v>728.519017370497</v>
      </c>
    </row>
    <row r="1001" customFormat="false" ht="15" hidden="false" customHeight="false" outlineLevel="0" collapsed="false">
      <c r="A1001" s="22" t="s">
        <v>796</v>
      </c>
      <c r="B1001" s="28" t="s">
        <v>95</v>
      </c>
      <c r="C1001" s="28"/>
      <c r="D1001" s="23" t="n">
        <f aca="false">(Sens!D980+Sens!D985+Sens!D986+Sens!D988+Sens!D990-Sens!D992)+(Sens!D993+Sens!D995+Sens!D997-Sens!D999)+(Sens!D992-Q!L5)+(Sens!D999-Q!L12)+(Sens!D980-Q!L6)+(Sens!D985-Q!L7)</f>
        <v>0</v>
      </c>
      <c r="E1001" s="23" t="n">
        <f aca="false">(Sens!E980+Sens!E985+Sens!E986+Sens!E988+Sens!E990-Sens!E992)+(Sens!E993+Sens!E995+Sens!E997-Sens!E999)+(Sens!E992-Q!M5)+(Sens!E999-Q!M12)+(Sens!E980-Q!M6)+(Sens!E985-Q!M7)</f>
        <v>0</v>
      </c>
      <c r="F1001" s="23" t="n">
        <f aca="false">(Sens!F980+Sens!F985+Sens!F986+Sens!F988+Sens!F990-Sens!F992)+(Sens!F993+Sens!F995+Sens!F997-Sens!F999)</f>
        <v>0</v>
      </c>
      <c r="G1001" s="23" t="n">
        <f aca="false">(Sens!G980+Sens!G985+Sens!G986+Sens!G988+Sens!G990-Sens!G992)+(Sens!G993+Sens!G995+Sens!G997-Sens!G999)</f>
        <v>0</v>
      </c>
      <c r="H1001" s="23" t="n">
        <f aca="false">(Sens!H980+Sens!H985+Sens!H986+Sens!H988+Sens!H990-Sens!H992)+(Sens!H993+Sens!H995+Sens!H997-Sens!H999)</f>
        <v>0</v>
      </c>
      <c r="I1001" s="23" t="n">
        <f aca="false">(Sens!I980+Sens!I985+Sens!I986+Sens!I988+Sens!I990-Sens!I992)+(Sens!I993+Sens!I995+Sens!I997-Sens!I999)</f>
        <v>0</v>
      </c>
      <c r="J1001" s="23" t="n">
        <f aca="false">(Sens!J980+Sens!J985+Sens!J986+Sens!J988+Sens!J990-Sens!J992)+(Sens!J993+Sens!J995+Sens!J997-Sens!J999)</f>
        <v>0</v>
      </c>
      <c r="K1001" s="23" t="n">
        <f aca="false">(Sens!K980+Sens!K985+Sens!K986+Sens!K988+Sens!K990-Sens!K992)+(Sens!K993+Sens!K995+Sens!K997-Sens!K999)</f>
        <v>0</v>
      </c>
    </row>
    <row r="1002" customFormat="false" ht="17.15" hidden="false" customHeight="false" outlineLevel="0" collapsed="false">
      <c r="A1002" s="3" t="s">
        <v>1141</v>
      </c>
    </row>
    <row r="1003" customFormat="false" ht="15" hidden="false" customHeight="false" outlineLevel="0" collapsed="false">
      <c r="A1003" s="4" t="s">
        <v>43</v>
      </c>
      <c r="B1003" s="4" t="s">
        <v>63</v>
      </c>
      <c r="C1003" s="19" t="s">
        <v>710</v>
      </c>
      <c r="D1003" s="19" t="s">
        <v>711</v>
      </c>
      <c r="E1003" s="19" t="s">
        <v>712</v>
      </c>
      <c r="F1003" s="19" t="s">
        <v>713</v>
      </c>
      <c r="G1003" s="19" t="s">
        <v>714</v>
      </c>
      <c r="H1003" s="19" t="s">
        <v>715</v>
      </c>
      <c r="I1003" s="19" t="s">
        <v>716</v>
      </c>
      <c r="J1003" s="19" t="s">
        <v>717</v>
      </c>
      <c r="K1003" s="19" t="s">
        <v>718</v>
      </c>
      <c r="L1003" s="4" t="s">
        <v>47</v>
      </c>
    </row>
    <row r="1004" customFormat="false" ht="15" hidden="false" customHeight="false" outlineLevel="0" collapsed="false">
      <c r="A1004" s="0" t="s">
        <v>783</v>
      </c>
      <c r="B1004" s="0" t="s">
        <v>95</v>
      </c>
      <c r="D1004" s="6" t="n">
        <f aca="false">Sens!D980</f>
        <v>72.61</v>
      </c>
      <c r="E1004" s="6" t="n">
        <f aca="false">Sens!E980</f>
        <v>101.938</v>
      </c>
      <c r="F1004" s="6" t="n">
        <f aca="false">Sens!F980</f>
        <v>148.341147833919</v>
      </c>
      <c r="G1004" s="6" t="n">
        <f aca="false">Sens!G980</f>
        <v>193.448951725725</v>
      </c>
      <c r="H1004" s="6" t="n">
        <f aca="false">Sens!H980</f>
        <v>233.401986530284</v>
      </c>
      <c r="I1004" s="6" t="n">
        <f aca="false">Sens!I980</f>
        <v>281.140170428495</v>
      </c>
      <c r="J1004" s="6" t="n">
        <f aca="false">Sens!J980</f>
        <v>327.376651288157</v>
      </c>
      <c r="K1004" s="6" t="n">
        <f aca="false">Sens!K980</f>
        <v>371.053508329345</v>
      </c>
    </row>
    <row r="1005" customFormat="false" ht="17.15" hidden="false" customHeight="false" outlineLevel="0" collapsed="false">
      <c r="A1005" s="0" t="s">
        <v>780</v>
      </c>
      <c r="B1005" s="0" t="s">
        <v>95</v>
      </c>
      <c r="D1005" s="6" t="n">
        <f aca="false">Sens!D977</f>
        <v>12.9359794422418</v>
      </c>
      <c r="E1005" s="6" t="n">
        <f aca="false">Sens!E977</f>
        <v>27.8095064661409</v>
      </c>
      <c r="F1005" s="6" t="n">
        <f aca="false">Sens!F977</f>
        <v>58.2611980965526</v>
      </c>
      <c r="G1005" s="6" t="n">
        <f aca="false">Sens!G977</f>
        <v>86.420526522415</v>
      </c>
      <c r="H1005" s="6" t="n">
        <f aca="false">Sens!H977</f>
        <v>109.130003944648</v>
      </c>
      <c r="I1005" s="6" t="n">
        <f aca="false">Sens!I977</f>
        <v>140.20646804664</v>
      </c>
      <c r="J1005" s="6" t="n">
        <f aca="false">Sens!J977</f>
        <v>171.357783973826</v>
      </c>
      <c r="K1005" s="6" t="n">
        <f aca="false">Sens!K977</f>
        <v>202.553131629867</v>
      </c>
    </row>
    <row r="1006" customFormat="false" ht="17.15" hidden="false" customHeight="false" outlineLevel="0" collapsed="false">
      <c r="A1006" s="0" t="s">
        <v>807</v>
      </c>
      <c r="B1006" s="0" t="s">
        <v>95</v>
      </c>
      <c r="D1006" s="6" t="n">
        <f aca="false">Sens!D978</f>
        <v>59.6740205577583</v>
      </c>
      <c r="E1006" s="6" t="n">
        <f aca="false">Sens!E978</f>
        <v>74.1284935338591</v>
      </c>
      <c r="F1006" s="6" t="n">
        <f aca="false">Sens!F978</f>
        <v>90.0799497373663</v>
      </c>
      <c r="G1006" s="6" t="n">
        <f aca="false">Sens!G978</f>
        <v>107.02842520331</v>
      </c>
      <c r="H1006" s="6" t="n">
        <f aca="false">Sens!H978</f>
        <v>124.271982585636</v>
      </c>
      <c r="I1006" s="6" t="n">
        <f aca="false">Sens!I978</f>
        <v>140.933702381855</v>
      </c>
      <c r="J1006" s="6" t="n">
        <f aca="false">Sens!J978</f>
        <v>156.018867314332</v>
      </c>
      <c r="K1006" s="6" t="n">
        <f aca="false">Sens!K978</f>
        <v>168.500376699478</v>
      </c>
    </row>
    <row r="1007" customFormat="false" ht="15" hidden="false" customHeight="false" outlineLevel="0" collapsed="false">
      <c r="A1007" s="0" t="s">
        <v>788</v>
      </c>
      <c r="B1007" s="0" t="s">
        <v>95</v>
      </c>
      <c r="D1007" s="6" t="n">
        <f aca="false">Sens!D985</f>
        <v>84.605</v>
      </c>
      <c r="E1007" s="6" t="n">
        <f aca="false">Sens!E985</f>
        <v>100.299</v>
      </c>
      <c r="F1007" s="6" t="n">
        <f aca="false">Sens!F985</f>
        <v>117.39238776686</v>
      </c>
      <c r="G1007" s="6" t="n">
        <f aca="false">Sens!G985</f>
        <v>132.544168448684</v>
      </c>
      <c r="H1007" s="6" t="n">
        <f aca="false">Sens!H985</f>
        <v>147.777359388781</v>
      </c>
      <c r="I1007" s="6" t="n">
        <f aca="false">Sens!I985</f>
        <v>162.084028071957</v>
      </c>
      <c r="J1007" s="6" t="n">
        <f aca="false">Sens!J985</f>
        <v>175.182702785465</v>
      </c>
      <c r="K1007" s="6" t="n">
        <f aca="false">Sens!K985</f>
        <v>187.527991980448</v>
      </c>
    </row>
    <row r="1008" customFormat="false" ht="17.15" hidden="false" customHeight="false" outlineLevel="0" collapsed="false">
      <c r="A1008" s="0" t="s">
        <v>808</v>
      </c>
      <c r="B1008" s="0" t="s">
        <v>95</v>
      </c>
      <c r="D1008" s="6" t="n">
        <f aca="false">Sens!D983</f>
        <v>83.705</v>
      </c>
      <c r="E1008" s="6" t="n">
        <f aca="false">Sens!E983</f>
        <v>95.049</v>
      </c>
      <c r="F1008" s="6" t="n">
        <f aca="false">Sens!F983</f>
        <v>106.89238776686</v>
      </c>
      <c r="G1008" s="6" t="n">
        <f aca="false">Sens!G983</f>
        <v>119.044168448684</v>
      </c>
      <c r="H1008" s="6" t="n">
        <f aca="false">Sens!H983</f>
        <v>131.277359388781</v>
      </c>
      <c r="I1008" s="6" t="n">
        <f aca="false">Sens!I983</f>
        <v>143.334028071957</v>
      </c>
      <c r="J1008" s="6" t="n">
        <f aca="false">Sens!J983</f>
        <v>154.932702785465</v>
      </c>
      <c r="K1008" s="6" t="n">
        <f aca="false">Sens!K983</f>
        <v>165.777991980448</v>
      </c>
    </row>
    <row r="1009" customFormat="false" ht="17.15" hidden="false" customHeight="false" outlineLevel="0" collapsed="false">
      <c r="A1009" s="0" t="s">
        <v>809</v>
      </c>
      <c r="B1009" s="0" t="s">
        <v>95</v>
      </c>
      <c r="D1009" s="6" t="n">
        <f aca="false">Sens!D982</f>
        <v>0.9</v>
      </c>
      <c r="E1009" s="6" t="n">
        <f aca="false">Sens!E982</f>
        <v>5.25</v>
      </c>
      <c r="F1009" s="6" t="n">
        <f aca="false">Sens!F982</f>
        <v>10.5</v>
      </c>
      <c r="G1009" s="6" t="n">
        <f aca="false">Sens!G982</f>
        <v>13.5</v>
      </c>
      <c r="H1009" s="6" t="n">
        <f aca="false">Sens!H982</f>
        <v>16.5</v>
      </c>
      <c r="I1009" s="6" t="n">
        <f aca="false">Sens!I982</f>
        <v>18.75</v>
      </c>
      <c r="J1009" s="6" t="n">
        <f aca="false">Sens!J982</f>
        <v>20.25</v>
      </c>
      <c r="K1009" s="6" t="n">
        <f aca="false">Sens!K982</f>
        <v>21.75</v>
      </c>
    </row>
    <row r="1010" customFormat="false" ht="15" hidden="false" customHeight="false" outlineLevel="0" collapsed="false">
      <c r="A1010" s="0" t="s">
        <v>789</v>
      </c>
      <c r="B1010" s="0" t="s">
        <v>95</v>
      </c>
      <c r="D1010" s="6" t="n">
        <f aca="false">Sens!D986</f>
        <v>35.391</v>
      </c>
      <c r="E1010" s="6" t="n">
        <f aca="false">Sens!E986</f>
        <v>37.285</v>
      </c>
      <c r="F1010" s="6" t="n">
        <f aca="false">Sens!F986</f>
        <v>39.0720834331704</v>
      </c>
      <c r="G1010" s="6" t="n">
        <f aca="false">Sens!G986</f>
        <v>40.726562953769</v>
      </c>
      <c r="H1010" s="6" t="n">
        <f aca="false">Sens!H986</f>
        <v>42.2235987259198</v>
      </c>
      <c r="I1010" s="6" t="n">
        <f aca="false">Sens!I986</f>
        <v>43.5397988077414</v>
      </c>
      <c r="J1010" s="6" t="n">
        <f aca="false">Sens!J986</f>
        <v>44.653811225693</v>
      </c>
      <c r="K1010" s="6" t="n">
        <f aca="false">Sens!K986</f>
        <v>45.5468874502068</v>
      </c>
    </row>
    <row r="1011" customFormat="false" ht="15" hidden="false" customHeight="false" outlineLevel="0" collapsed="false">
      <c r="A1011" s="0" t="s">
        <v>790</v>
      </c>
      <c r="B1011" s="0" t="s">
        <v>95</v>
      </c>
      <c r="D1011" s="6" t="n">
        <f aca="false">Sens!D988</f>
        <v>18.417</v>
      </c>
      <c r="E1011" s="6" t="n">
        <f aca="false">Sens!E988</f>
        <v>20.345</v>
      </c>
      <c r="F1011" s="6" t="n">
        <f aca="false">Sens!F988</f>
        <v>22.3572203267814</v>
      </c>
      <c r="G1011" s="6" t="n">
        <f aca="false">Sens!G988</f>
        <v>24.4392124437232</v>
      </c>
      <c r="H1011" s="6" t="n">
        <f aca="false">Sens!H988</f>
        <v>26.5738052080665</v>
      </c>
      <c r="I1011" s="6" t="n">
        <f aca="false">Sens!I988</f>
        <v>28.7412169166967</v>
      </c>
      <c r="J1011" s="6" t="n">
        <f aca="false">Sens!J988</f>
        <v>30.9192545395413</v>
      </c>
      <c r="K1011" s="6" t="n">
        <f aca="false">Sens!K988</f>
        <v>33.0836023573092</v>
      </c>
    </row>
    <row r="1012" customFormat="false" ht="15" hidden="false" customHeight="false" outlineLevel="0" collapsed="false">
      <c r="A1012" s="0" t="s">
        <v>791</v>
      </c>
      <c r="B1012" s="0" t="s">
        <v>95</v>
      </c>
      <c r="D1012" s="6" t="n">
        <f aca="false">Sens!D990</f>
        <v>7.76</v>
      </c>
      <c r="E1012" s="6" t="n">
        <f aca="false">Sens!E990</f>
        <v>8.26</v>
      </c>
      <c r="F1012" s="6" t="n">
        <f aca="false">Sens!F990</f>
        <v>8.79988041237113</v>
      </c>
      <c r="G1012" s="6" t="n">
        <f aca="false">Sens!G990</f>
        <v>9.38321269125306</v>
      </c>
      <c r="H1012" s="6" t="n">
        <f aca="false">Sens!H990</f>
        <v>10.0139193587476</v>
      </c>
      <c r="I1012" s="6" t="n">
        <f aca="false">Sens!I990</f>
        <v>10.6963111830911</v>
      </c>
      <c r="J1012" s="6" t="n">
        <f aca="false">Sens!J990</f>
        <v>11.4351285534696</v>
      </c>
      <c r="K1012" s="6" t="n">
        <f aca="false">Sens!K990</f>
        <v>12.2355875522124</v>
      </c>
    </row>
    <row r="1013" customFormat="false" ht="15" hidden="false" customHeight="false" outlineLevel="0" collapsed="false">
      <c r="A1013" s="0" t="s">
        <v>626</v>
      </c>
      <c r="B1013" s="0" t="s">
        <v>95</v>
      </c>
      <c r="D1013" s="6" t="n">
        <f aca="false">Sens!D992</f>
        <v>218.783</v>
      </c>
      <c r="E1013" s="6" t="n">
        <f aca="false">Sens!E992</f>
        <v>268.127</v>
      </c>
      <c r="F1013" s="6" t="n">
        <f aca="false">Sens!F992</f>
        <v>335.962719773102</v>
      </c>
      <c r="G1013" s="6" t="n">
        <f aca="false">Sens!G992</f>
        <v>400.542108263154</v>
      </c>
      <c r="H1013" s="6" t="n">
        <f aca="false">Sens!H992</f>
        <v>459.990669211799</v>
      </c>
      <c r="I1013" s="6" t="n">
        <f aca="false">Sens!I992</f>
        <v>526.201525407981</v>
      </c>
      <c r="J1013" s="6" t="n">
        <f aca="false">Sens!J992</f>
        <v>589.567548392326</v>
      </c>
      <c r="K1013" s="6" t="n">
        <f aca="false">Sens!K992</f>
        <v>649.447577669522</v>
      </c>
    </row>
    <row r="1014" customFormat="false" ht="15" hidden="false" customHeight="false" outlineLevel="0" collapsed="false">
      <c r="A1014" s="0" t="s">
        <v>792</v>
      </c>
      <c r="B1014" s="0" t="s">
        <v>95</v>
      </c>
      <c r="D1014" s="6" t="n">
        <f aca="false">Sens!D993</f>
        <v>22.171</v>
      </c>
      <c r="E1014" s="6" t="n">
        <f aca="false">Sens!E993</f>
        <v>24.835</v>
      </c>
      <c r="F1014" s="6" t="n">
        <f aca="false">Sens!F993</f>
        <v>27.6114901218559</v>
      </c>
      <c r="G1014" s="6" t="n">
        <f aca="false">Sens!G993</f>
        <v>30.4675667338515</v>
      </c>
      <c r="H1014" s="6" t="n">
        <f aca="false">Sens!H993</f>
        <v>33.3643766955789</v>
      </c>
      <c r="I1014" s="6" t="n">
        <f aca="false">Sens!I993</f>
        <v>36.2577016533691</v>
      </c>
      <c r="J1014" s="6" t="n">
        <f aca="false">Sens!J993</f>
        <v>39.0988367952171</v>
      </c>
      <c r="K1014" s="6" t="n">
        <f aca="false">Sens!K993</f>
        <v>41.8357553708823</v>
      </c>
    </row>
    <row r="1015" customFormat="false" ht="15" hidden="false" customHeight="false" outlineLevel="0" collapsed="false">
      <c r="A1015" s="0" t="s">
        <v>793</v>
      </c>
      <c r="B1015" s="0" t="s">
        <v>95</v>
      </c>
      <c r="D1015" s="6" t="n">
        <f aca="false">Sens!D995</f>
        <v>23.455</v>
      </c>
      <c r="E1015" s="6" t="n">
        <f aca="false">Sens!E995</f>
        <v>21.79</v>
      </c>
      <c r="F1015" s="6" t="n">
        <f aca="false">Sens!F995</f>
        <v>20.5736277908051</v>
      </c>
      <c r="G1015" s="6" t="n">
        <f aca="false">Sens!G995</f>
        <v>19.7371452817919</v>
      </c>
      <c r="H1015" s="6" t="n">
        <f aca="false">Sens!H995</f>
        <v>19.2339764043138</v>
      </c>
      <c r="I1015" s="6" t="n">
        <f aca="false">Sens!I995</f>
        <v>19.0353086852681</v>
      </c>
      <c r="J1015" s="6" t="n">
        <f aca="false">Sens!J995</f>
        <v>19.1273539319129</v>
      </c>
      <c r="K1015" s="6" t="n">
        <f aca="false">Sens!K995</f>
        <v>19.5099010105511</v>
      </c>
    </row>
    <row r="1016" customFormat="false" ht="15" hidden="false" customHeight="false" outlineLevel="0" collapsed="false">
      <c r="A1016" s="0" t="s">
        <v>794</v>
      </c>
      <c r="B1016" s="0" t="s">
        <v>95</v>
      </c>
      <c r="D1016" s="6" t="n">
        <f aca="false">Sens!D997</f>
        <v>17.315</v>
      </c>
      <c r="E1016" s="6" t="n">
        <f aca="false">Sens!E997</f>
        <v>17.087</v>
      </c>
      <c r="F1016" s="6" t="n">
        <f aca="false">Sens!F997</f>
        <v>16.9564585436519</v>
      </c>
      <c r="G1016" s="6" t="n">
        <f aca="false">Sens!G997</f>
        <v>16.9206490624268</v>
      </c>
      <c r="H1016" s="6" t="n">
        <f aca="false">Sens!H997</f>
        <v>16.9784519149849</v>
      </c>
      <c r="I1016" s="6" t="n">
        <f aca="false">Sens!I997</f>
        <v>17.1303084701817</v>
      </c>
      <c r="J1016" s="6" t="n">
        <f aca="false">Sens!J997</f>
        <v>17.3782189407267</v>
      </c>
      <c r="K1016" s="6" t="n">
        <f aca="false">Sens!K997</f>
        <v>17.7257833195413</v>
      </c>
    </row>
    <row r="1017" customFormat="false" ht="15" hidden="false" customHeight="false" outlineLevel="0" collapsed="false">
      <c r="A1017" s="0" t="s">
        <v>640</v>
      </c>
      <c r="B1017" s="0" t="s">
        <v>95</v>
      </c>
      <c r="D1017" s="6" t="n">
        <f aca="false">Sens!D999</f>
        <v>62.941</v>
      </c>
      <c r="E1017" s="6" t="n">
        <f aca="false">Sens!E999</f>
        <v>63.712</v>
      </c>
      <c r="F1017" s="6" t="n">
        <f aca="false">Sens!F999</f>
        <v>65.1415764563129</v>
      </c>
      <c r="G1017" s="6" t="n">
        <f aca="false">Sens!G999</f>
        <v>67.1253610780702</v>
      </c>
      <c r="H1017" s="6" t="n">
        <f aca="false">Sens!H999</f>
        <v>69.5768050148776</v>
      </c>
      <c r="I1017" s="6" t="n">
        <f aca="false">Sens!I999</f>
        <v>72.4233188088189</v>
      </c>
      <c r="J1017" s="6" t="n">
        <f aca="false">Sens!J999</f>
        <v>75.6044096678567</v>
      </c>
      <c r="K1017" s="6" t="n">
        <f aca="false">Sens!K999</f>
        <v>79.0714397009747</v>
      </c>
    </row>
    <row r="1018" customFormat="false" ht="15" hidden="false" customHeight="false" outlineLevel="0" collapsed="false">
      <c r="A1018" s="1" t="s">
        <v>810</v>
      </c>
      <c r="B1018" s="0" t="s">
        <v>95</v>
      </c>
      <c r="D1018" s="6" t="n">
        <f aca="false">Sens!D1000</f>
        <v>281.724</v>
      </c>
      <c r="E1018" s="6" t="n">
        <f aca="false">Sens!E1000</f>
        <v>331.839</v>
      </c>
      <c r="F1018" s="6" t="n">
        <f aca="false">Sens!F1000</f>
        <v>401.104296229415</v>
      </c>
      <c r="G1018" s="6" t="n">
        <f aca="false">Sens!G1000</f>
        <v>467.667469341224</v>
      </c>
      <c r="H1018" s="6" t="n">
        <f aca="false">Sens!H1000</f>
        <v>529.567474226677</v>
      </c>
      <c r="I1018" s="6" t="n">
        <f aca="false">Sens!I1000</f>
        <v>598.6248442168</v>
      </c>
      <c r="J1018" s="6" t="n">
        <f aca="false">Sens!J1000</f>
        <v>665.171958060183</v>
      </c>
      <c r="K1018" s="6" t="n">
        <f aca="false">Sens!K1000</f>
        <v>728.519017370497</v>
      </c>
    </row>
    <row r="1019" customFormat="false" ht="15" hidden="false" customHeight="false" outlineLevel="0" collapsed="false">
      <c r="A1019" s="1" t="s">
        <v>811</v>
      </c>
      <c r="B1019" s="0" t="s">
        <v>126</v>
      </c>
      <c r="E1019" s="7" t="n">
        <f aca="false">Sens!E1018/Sens!D1018-1</f>
        <v>0.177886867998467</v>
      </c>
      <c r="F1019" s="7" t="n">
        <f aca="false">Sens!F1018/Sens!E1018-1</f>
        <v>0.208731632597177</v>
      </c>
      <c r="G1019" s="7" t="n">
        <f aca="false">Sens!G1018/Sens!F1018-1</f>
        <v>0.165949788465338</v>
      </c>
      <c r="H1019" s="7" t="n">
        <f aca="false">Sens!H1018/Sens!G1018-1</f>
        <v>0.132359013494455</v>
      </c>
      <c r="I1019" s="7" t="n">
        <f aca="false">Sens!I1018/Sens!H1018-1</f>
        <v>0.130403344901359</v>
      </c>
      <c r="J1019" s="7" t="n">
        <f aca="false">Sens!J1018/Sens!I1018-1</f>
        <v>0.111166642157074</v>
      </c>
      <c r="K1019" s="7" t="n">
        <f aca="false">Sens!K1018/Sens!J1018-1</f>
        <v>0.0952341098308629</v>
      </c>
    </row>
    <row r="1020" customFormat="false" ht="17.15" hidden="false" customHeight="false" outlineLevel="0" collapsed="false">
      <c r="A1020" s="22" t="s">
        <v>812</v>
      </c>
      <c r="B1020" s="28" t="s">
        <v>95</v>
      </c>
      <c r="C1020" s="28"/>
      <c r="D1020" s="23" t="n">
        <f aca="false">(Sens!D1013+Sens!D1017-Sens!D1018)+(Sens!D1005+Sens!D1006-Sens!D1004)+(Sens!D1008+Sens!D1009-Sens!D1007)+(Sens!D1018-Q!L18)</f>
        <v>0</v>
      </c>
      <c r="E1020" s="23" t="n">
        <f aca="false">(Sens!E1013+Sens!E1017-Sens!E1018)+(Sens!E1005+Sens!E1006-Sens!E1004)+(Sens!E1008+Sens!E1009-Sens!E1007)+(Sens!E1018-Q!M18)</f>
        <v>0</v>
      </c>
      <c r="F1020" s="23" t="n">
        <f aca="false">(Sens!F1013+Sens!F1017-Sens!F1018)+(Sens!F1005+Sens!F1006-Sens!F1004)+(Sens!F1008+Sens!F1009-Sens!F1007)</f>
        <v>0</v>
      </c>
      <c r="G1020" s="23" t="n">
        <f aca="false">(Sens!G1013+Sens!G1017-Sens!G1018)+(Sens!G1005+Sens!G1006-Sens!G1004)+(Sens!G1008+Sens!G1009-Sens!G1007)</f>
        <v>0</v>
      </c>
      <c r="H1020" s="23" t="n">
        <f aca="false">(Sens!H1013+Sens!H1017-Sens!H1018)+(Sens!H1005+Sens!H1006-Sens!H1004)+(Sens!H1008+Sens!H1009-Sens!H1007)</f>
        <v>0</v>
      </c>
      <c r="I1020" s="23" t="n">
        <f aca="false">(Sens!I1013+Sens!I1017-Sens!I1018)+(Sens!I1005+Sens!I1006-Sens!I1004)+(Sens!I1008+Sens!I1009-Sens!I1007)</f>
        <v>0</v>
      </c>
      <c r="J1020" s="23" t="n">
        <f aca="false">(Sens!J1013+Sens!J1017-Sens!J1018)+(Sens!J1005+Sens!J1006-Sens!J1004)+(Sens!J1008+Sens!J1009-Sens!J1007)</f>
        <v>0</v>
      </c>
      <c r="K1020" s="23" t="n">
        <f aca="false">(Sens!K1013+Sens!K1017-Sens!K1018)+(Sens!K1005+Sens!K1006-Sens!K1004)+(Sens!K1008+Sens!K1009-Sens!K1007)</f>
        <v>0</v>
      </c>
    </row>
    <row r="1021" customFormat="false" ht="17.15" hidden="false" customHeight="false" outlineLevel="0" collapsed="false">
      <c r="A1021" s="0" t="s">
        <v>813</v>
      </c>
      <c r="B1021" s="0" t="s">
        <v>126</v>
      </c>
      <c r="E1021" s="7" t="n">
        <f aca="false">(Q!M21+Sens!E958+Sens!E959+Sens!E960+Sens!E973-Sens!E956)/(Q!M5-Sens!E956)</f>
        <v>0.570957350878296</v>
      </c>
      <c r="F1021" s="7" t="n">
        <f aca="false">Sens!$E$1021+dm_seg</f>
        <v>0.570957350878296</v>
      </c>
      <c r="G1021" s="7" t="n">
        <f aca="false">Sens!$E$1021+dm_seg</f>
        <v>0.570957350878296</v>
      </c>
      <c r="H1021" s="7" t="n">
        <f aca="false">Sens!$E$1021+dm_seg</f>
        <v>0.570957350878296</v>
      </c>
      <c r="I1021" s="7" t="n">
        <f aca="false">Sens!$E$1021+dm_seg</f>
        <v>0.570957350878296</v>
      </c>
      <c r="J1021" s="7" t="n">
        <f aca="false">Sens!$E$1021+dm_seg</f>
        <v>0.570957350878296</v>
      </c>
      <c r="K1021" s="7" t="n">
        <f aca="false">Sens!$E$1021+dm_seg</f>
        <v>0.570957350878296</v>
      </c>
      <c r="L1021" s="11" t="s">
        <v>814</v>
      </c>
    </row>
    <row r="1022" customFormat="false" ht="17.15" hidden="false" customHeight="false" outlineLevel="0" collapsed="false">
      <c r="A1022" s="0" t="s">
        <v>654</v>
      </c>
      <c r="B1022" s="0" t="s">
        <v>95</v>
      </c>
      <c r="D1022" s="6" t="n">
        <f aca="false">Q!L21</f>
        <v>110.814</v>
      </c>
      <c r="E1022" s="6" t="n">
        <f aca="false">Q!M21</f>
        <v>136.365</v>
      </c>
      <c r="F1022" s="6" t="n">
        <f aca="false">Sens!F1021*(Sens!F992-Sens!F956)+Sens!F956-(Sens!F958+Sens!F959+Sens!F960)-Sens!F973</f>
        <v>159.926391415723</v>
      </c>
      <c r="G1022" s="6" t="n">
        <f aca="false">Sens!G1021*(Sens!G992-Sens!G956)+Sens!G956-(Sens!G958+Sens!G959+Sens!G960)-Sens!G973</f>
        <v>171.556401491055</v>
      </c>
      <c r="H1022" s="6" t="n">
        <f aca="false">Sens!H1021*(Sens!H992-Sens!H956)+Sens!H956-(Sens!H958+Sens!H959+Sens!H960)-Sens!H973</f>
        <v>176.809747664813</v>
      </c>
      <c r="I1022" s="6" t="n">
        <f aca="false">Sens!I1021*(Sens!I992-Sens!I956)+Sens!I956-(Sens!I958+Sens!I959+Sens!I960)-Sens!I973</f>
        <v>188.463769020138</v>
      </c>
      <c r="J1022" s="6" t="n">
        <f aca="false">Sens!J1021*(Sens!J992-Sens!J956)+Sens!J956-(Sens!J958+Sens!J959+Sens!J960)-Sens!J973</f>
        <v>197.537285940923</v>
      </c>
      <c r="K1022" s="6" t="n">
        <f aca="false">Sens!K1021*(Sens!K992-Sens!K956)+Sens!K956-(Sens!K958+Sens!K959+Sens!K960)-Sens!K973</f>
        <v>203.342315329696</v>
      </c>
      <c r="L1022" s="1" t="s">
        <v>815</v>
      </c>
    </row>
    <row r="1023" customFormat="false" ht="17.15" hidden="false" customHeight="false" outlineLevel="0" collapsed="false">
      <c r="A1023" s="0" t="s">
        <v>816</v>
      </c>
      <c r="B1023" s="0" t="s">
        <v>126</v>
      </c>
      <c r="E1023" s="7" t="n">
        <f aca="false">Q!M22/Q!M12</f>
        <v>0.296207935710698</v>
      </c>
      <c r="F1023" s="7" t="n">
        <f aca="false">Sens!$E$1023+dm_seg</f>
        <v>0.296207935710698</v>
      </c>
      <c r="G1023" s="7" t="n">
        <f aca="false">Sens!$E$1023+dm_seg</f>
        <v>0.296207935710698</v>
      </c>
      <c r="H1023" s="7" t="n">
        <f aca="false">Sens!$E$1023+dm_seg</f>
        <v>0.296207935710698</v>
      </c>
      <c r="I1023" s="7" t="n">
        <f aca="false">Sens!$E$1023+dm_seg</f>
        <v>0.296207935710698</v>
      </c>
      <c r="J1023" s="7" t="n">
        <f aca="false">Sens!$E$1023+dm_seg</f>
        <v>0.296207935710698</v>
      </c>
      <c r="K1023" s="7" t="n">
        <f aca="false">Sens!$E$1023+dm_seg</f>
        <v>0.296207935710698</v>
      </c>
      <c r="L1023" s="11" t="s">
        <v>817</v>
      </c>
    </row>
    <row r="1024" customFormat="false" ht="17.15" hidden="false" customHeight="false" outlineLevel="0" collapsed="false">
      <c r="A1024" s="0" t="s">
        <v>656</v>
      </c>
      <c r="B1024" s="0" t="s">
        <v>95</v>
      </c>
      <c r="D1024" s="6" t="n">
        <f aca="false">Q!L22</f>
        <v>17.714</v>
      </c>
      <c r="E1024" s="6" t="n">
        <f aca="false">Q!M22</f>
        <v>18.872</v>
      </c>
      <c r="F1024" s="6" t="n">
        <f aca="false">Sens!F999*Sens!F1023</f>
        <v>19.2954518910651</v>
      </c>
      <c r="G1024" s="6" t="n">
        <f aca="false">Sens!G999*Sens!G1023</f>
        <v>19.8830646387704</v>
      </c>
      <c r="H1024" s="6" t="n">
        <f aca="false">Sens!H999*Sens!H1023</f>
        <v>20.6092017868026</v>
      </c>
      <c r="I1024" s="6" t="n">
        <f aca="false">Sens!I999*Sens!I1023</f>
        <v>21.452361761678</v>
      </c>
      <c r="J1024" s="6" t="n">
        <f aca="false">Sens!J999*Sens!J1023</f>
        <v>22.3946261183418</v>
      </c>
      <c r="K1024" s="6" t="n">
        <f aca="false">Sens!K999*Sens!K1023</f>
        <v>23.4215879274986</v>
      </c>
    </row>
    <row r="1025" customFormat="false" ht="15" hidden="false" customHeight="false" outlineLevel="0" collapsed="false">
      <c r="A1025" s="1" t="s">
        <v>818</v>
      </c>
      <c r="B1025" s="0" t="s">
        <v>95</v>
      </c>
      <c r="D1025" s="6" t="n">
        <f aca="false">Sens!D1022+Sens!D1024</f>
        <v>128.528</v>
      </c>
      <c r="E1025" s="6" t="n">
        <f aca="false">Sens!E1022+Sens!E1024</f>
        <v>155.237</v>
      </c>
      <c r="F1025" s="6" t="n">
        <f aca="false">Sens!F1022+Sens!F1024</f>
        <v>179.221843306788</v>
      </c>
      <c r="G1025" s="6" t="n">
        <f aca="false">Sens!G1022+Sens!G1024</f>
        <v>191.439466129826</v>
      </c>
      <c r="H1025" s="6" t="n">
        <f aca="false">Sens!H1022+Sens!H1024</f>
        <v>197.418949451616</v>
      </c>
      <c r="I1025" s="6" t="n">
        <f aca="false">Sens!I1022+Sens!I1024</f>
        <v>209.916130781816</v>
      </c>
      <c r="J1025" s="6" t="n">
        <f aca="false">Sens!J1022+Sens!J1024</f>
        <v>219.931912059265</v>
      </c>
      <c r="K1025" s="6" t="n">
        <f aca="false">Sens!K1022+Sens!K1024</f>
        <v>226.763903257194</v>
      </c>
    </row>
    <row r="1026" customFormat="false" ht="15" hidden="false" customHeight="false" outlineLevel="0" collapsed="false">
      <c r="A1026" s="22" t="s">
        <v>819</v>
      </c>
      <c r="B1026" s="28" t="s">
        <v>95</v>
      </c>
      <c r="C1026" s="28"/>
      <c r="D1026" s="23" t="n">
        <f aca="false">Sens!D1025-Q!L23</f>
        <v>0</v>
      </c>
      <c r="E1026" s="23" t="n">
        <f aca="false">Sens!E1025-Q!M23</f>
        <v>0</v>
      </c>
      <c r="F1026" s="28"/>
      <c r="G1026" s="28"/>
      <c r="H1026" s="28"/>
      <c r="I1026" s="28"/>
      <c r="J1026" s="28"/>
      <c r="K1026" s="28"/>
    </row>
    <row r="1027" customFormat="false" ht="15" hidden="false" customHeight="false" outlineLevel="0" collapsed="false">
      <c r="A1027" s="1" t="s">
        <v>820</v>
      </c>
      <c r="B1027" s="0" t="s">
        <v>126</v>
      </c>
      <c r="D1027" s="7" t="n">
        <f aca="false">Sens!D1025/Sens!D1018</f>
        <v>0.456219562408598</v>
      </c>
      <c r="E1027" s="7" t="n">
        <f aca="false">Sens!E1025/Sens!E1018</f>
        <v>0.467808184089272</v>
      </c>
      <c r="F1027" s="7" t="n">
        <f aca="false">Sens!F1025/Sens!F1018</f>
        <v>0.446821051261641</v>
      </c>
      <c r="G1027" s="7" t="n">
        <f aca="false">Sens!G1025/Sens!G1018</f>
        <v>0.409349545734911</v>
      </c>
      <c r="H1027" s="7" t="n">
        <f aca="false">Sens!H1025/Sens!H1018</f>
        <v>0.372792815004178</v>
      </c>
      <c r="I1027" s="7" t="n">
        <f aca="false">Sens!I1025/Sens!I1018</f>
        <v>0.350663913818105</v>
      </c>
      <c r="J1027" s="7" t="n">
        <f aca="false">Sens!J1025/Sens!J1018</f>
        <v>0.330639181935217</v>
      </c>
      <c r="K1027" s="7" t="n">
        <f aca="false">Sens!K1025/Sens!K1018</f>
        <v>0.311266964691837</v>
      </c>
    </row>
    <row r="1028" customFormat="false" ht="17.15" hidden="false" customHeight="false" outlineLevel="0" collapsed="false">
      <c r="A1028" s="1" t="s">
        <v>821</v>
      </c>
      <c r="B1028" s="0" t="s">
        <v>95</v>
      </c>
      <c r="E1028" s="6" t="n">
        <f aca="false">Sens!E973</f>
        <v>16.3054059770833</v>
      </c>
      <c r="F1028" s="6" t="n">
        <f aca="false">Sens!F973</f>
        <v>34.7530354558698</v>
      </c>
      <c r="G1028" s="6" t="n">
        <f aca="false">Sens!G973</f>
        <v>60.5317332603396</v>
      </c>
      <c r="H1028" s="6" t="n">
        <f aca="false">Sens!H973</f>
        <v>87.7673159931396</v>
      </c>
      <c r="I1028" s="6" t="n">
        <f aca="false">Sens!I973</f>
        <v>116.022181741123</v>
      </c>
      <c r="J1028" s="6" t="n">
        <f aca="false">Sens!J973</f>
        <v>145.249277958273</v>
      </c>
      <c r="K1028" s="6" t="n">
        <f aca="false">Sens!K973</f>
        <v>175.76392263459</v>
      </c>
    </row>
    <row r="1029" customFormat="false" ht="17.15" hidden="false" customHeight="false" outlineLevel="0" collapsed="false">
      <c r="A1029" s="1" t="s">
        <v>822</v>
      </c>
      <c r="B1029" s="0" t="s">
        <v>95</v>
      </c>
      <c r="E1029" s="6" t="n">
        <f aca="false">Sens!E1049</f>
        <v>22.2285940229167</v>
      </c>
      <c r="F1029" s="6" t="n">
        <f aca="false">Sens!F1049</f>
        <v>23.5486693435813</v>
      </c>
      <c r="G1029" s="6" t="n">
        <f aca="false">Sens!G1049</f>
        <v>25.264091766262</v>
      </c>
      <c r="H1029" s="6" t="n">
        <f aca="false">Sens!H1049</f>
        <v>27.3438339540448</v>
      </c>
      <c r="I1029" s="6" t="n">
        <f aca="false">Sens!I1049</f>
        <v>29.7317905898047</v>
      </c>
      <c r="J1029" s="6" t="n">
        <f aca="false">Sens!J1049</f>
        <v>32.3542028558616</v>
      </c>
      <c r="K1029" s="6" t="n">
        <f aca="false">Sens!K1049</f>
        <v>35.1281528444749</v>
      </c>
    </row>
    <row r="1030" customFormat="false" ht="17.15" hidden="false" customHeight="false" outlineLevel="0" collapsed="false">
      <c r="A1030" s="1" t="s">
        <v>823</v>
      </c>
      <c r="B1030" s="0" t="s">
        <v>95</v>
      </c>
      <c r="D1030" s="6" t="n">
        <f aca="false">Q!L27</f>
        <v>-4.901</v>
      </c>
      <c r="E1030" s="6" t="n">
        <f aca="false">Q!M27</f>
        <v>10.697</v>
      </c>
      <c r="F1030" s="6" t="n">
        <f aca="false">oie_f</f>
        <v>-0.4</v>
      </c>
      <c r="G1030" s="6" t="n">
        <f aca="false">oie_f</f>
        <v>-0.4</v>
      </c>
      <c r="H1030" s="6" t="n">
        <f aca="false">oie_f</f>
        <v>-0.4</v>
      </c>
      <c r="I1030" s="6" t="n">
        <f aca="false">oie_f</f>
        <v>-0.4</v>
      </c>
      <c r="J1030" s="6" t="n">
        <f aca="false">oie_f</f>
        <v>-0.4</v>
      </c>
      <c r="K1030" s="6" t="n">
        <f aca="false">oie_f</f>
        <v>-0.4</v>
      </c>
      <c r="L1030" s="11" t="s">
        <v>824</v>
      </c>
    </row>
    <row r="1031" customFormat="false" ht="15" hidden="false" customHeight="false" outlineLevel="0" collapsed="false">
      <c r="A1031" s="1" t="s">
        <v>666</v>
      </c>
      <c r="B1031" s="0" t="s">
        <v>95</v>
      </c>
      <c r="D1031" s="6" t="n">
        <f aca="false">Sens!D1025+Sens!D1030</f>
        <v>123.627</v>
      </c>
      <c r="E1031" s="6" t="n">
        <f aca="false">Sens!E1025+Sens!E1030</f>
        <v>165.934</v>
      </c>
      <c r="F1031" s="6" t="n">
        <f aca="false">Sens!F1025+Sens!F1030</f>
        <v>178.821843306788</v>
      </c>
      <c r="G1031" s="6" t="n">
        <f aca="false">Sens!G1025+Sens!G1030</f>
        <v>191.039466129826</v>
      </c>
      <c r="H1031" s="6" t="n">
        <f aca="false">Sens!H1025+Sens!H1030</f>
        <v>197.018949451616</v>
      </c>
      <c r="I1031" s="6" t="n">
        <f aca="false">Sens!I1025+Sens!I1030</f>
        <v>209.516130781816</v>
      </c>
      <c r="J1031" s="6" t="n">
        <f aca="false">Sens!J1025+Sens!J1030</f>
        <v>219.531912059265</v>
      </c>
      <c r="K1031" s="6" t="n">
        <f aca="false">Sens!K1025+Sens!K1030</f>
        <v>226.363903257194</v>
      </c>
    </row>
    <row r="1032" customFormat="false" ht="15" hidden="false" customHeight="false" outlineLevel="0" collapsed="false">
      <c r="A1032" s="1" t="s">
        <v>668</v>
      </c>
      <c r="B1032" s="0" t="s">
        <v>95</v>
      </c>
      <c r="D1032" s="6" t="n">
        <f aca="false">Q!L29</f>
        <v>21.795</v>
      </c>
      <c r="E1032" s="6" t="n">
        <f aca="false">Q!M29</f>
        <v>32.185</v>
      </c>
      <c r="F1032" s="6" t="n">
        <f aca="false">Sens!F1031*tax_f</f>
        <v>35.7643686613575</v>
      </c>
      <c r="G1032" s="6" t="n">
        <f aca="false">Sens!G1031*tax_f</f>
        <v>38.2078932259651</v>
      </c>
      <c r="H1032" s="6" t="n">
        <f aca="false">Sens!H1031*tax_f</f>
        <v>39.4037898903231</v>
      </c>
      <c r="I1032" s="6" t="n">
        <f aca="false">Sens!I1031*tax_f</f>
        <v>41.9032261563632</v>
      </c>
      <c r="J1032" s="6" t="n">
        <f aca="false">Sens!J1031*tax_f</f>
        <v>43.906382411853</v>
      </c>
      <c r="K1032" s="6" t="n">
        <f aca="false">Sens!K1031*tax_f</f>
        <v>45.2727806514389</v>
      </c>
    </row>
    <row r="1033" customFormat="false" ht="15" hidden="false" customHeight="false" outlineLevel="0" collapsed="false">
      <c r="A1033" s="1" t="s">
        <v>825</v>
      </c>
      <c r="B1033" s="0" t="s">
        <v>95</v>
      </c>
      <c r="D1033" s="6" t="n">
        <f aca="false">Sens!D1031-Sens!D1032</f>
        <v>101.832</v>
      </c>
      <c r="E1033" s="6" t="n">
        <f aca="false">Sens!E1031-Sens!E1032</f>
        <v>133.749</v>
      </c>
      <c r="F1033" s="6" t="n">
        <f aca="false">Sens!F1031-Sens!F1032</f>
        <v>143.05747464543</v>
      </c>
      <c r="G1033" s="6" t="n">
        <f aca="false">Sens!G1031-Sens!G1032</f>
        <v>152.83157290386</v>
      </c>
      <c r="H1033" s="6" t="n">
        <f aca="false">Sens!H1031-Sens!H1032</f>
        <v>157.615159561293</v>
      </c>
      <c r="I1033" s="6" t="n">
        <f aca="false">Sens!I1031-Sens!I1032</f>
        <v>167.612904625453</v>
      </c>
      <c r="J1033" s="6" t="n">
        <f aca="false">Sens!J1031-Sens!J1032</f>
        <v>175.625529647412</v>
      </c>
      <c r="K1033" s="6" t="n">
        <f aca="false">Sens!K1031-Sens!K1032</f>
        <v>181.091122605756</v>
      </c>
    </row>
    <row r="1034" customFormat="false" ht="17.15" hidden="false" customHeight="false" outlineLevel="0" collapsed="false">
      <c r="A1034" s="1" t="s">
        <v>826</v>
      </c>
      <c r="B1034" s="1" t="s">
        <v>79</v>
      </c>
      <c r="D1034" s="18" t="n">
        <f aca="false">Q!L31</f>
        <v>7.465</v>
      </c>
      <c r="E1034" s="18" t="n">
        <f aca="false">Q!M31</f>
        <v>7.453</v>
      </c>
      <c r="F1034" s="18" t="n">
        <f aca="false">Sens!F1071</f>
        <v>7.4735</v>
      </c>
      <c r="G1034" s="18" t="n">
        <f aca="false">Sens!G1071</f>
        <v>7.5185</v>
      </c>
      <c r="H1034" s="18" t="n">
        <f aca="false">Sens!H1071</f>
        <v>7.54912150956678</v>
      </c>
      <c r="I1034" s="18" t="n">
        <f aca="false">Sens!I1071</f>
        <v>7.56377226529092</v>
      </c>
      <c r="J1034" s="18" t="n">
        <f aca="false">Sens!J1071</f>
        <v>7.5780137764088</v>
      </c>
      <c r="K1034" s="18" t="n">
        <f aca="false">Sens!K1071</f>
        <v>7.59453369411054</v>
      </c>
    </row>
    <row r="1035" customFormat="false" ht="17.15" hidden="false" customHeight="false" outlineLevel="0" collapsed="false">
      <c r="A1035" s="0" t="s">
        <v>827</v>
      </c>
      <c r="B1035" s="0" t="s">
        <v>73</v>
      </c>
      <c r="D1035" s="8" t="n">
        <f aca="false">Sens!D1033/Sens!D1034</f>
        <v>13.641259209645</v>
      </c>
      <c r="E1035" s="8" t="n">
        <f aca="false">Sens!E1033/Sens!E1034</f>
        <v>17.9456594659869</v>
      </c>
      <c r="F1035" s="8" t="n">
        <f aca="false">Sens!F1033/Sens!F1034</f>
        <v>19.1419648953543</v>
      </c>
      <c r="G1035" s="8" t="n">
        <f aca="false">Sens!G1033/Sens!G1034</f>
        <v>20.3274021285975</v>
      </c>
      <c r="H1035" s="8" t="n">
        <f aca="false">Sens!H1033/Sens!H1034</f>
        <v>20.8786094331044</v>
      </c>
      <c r="I1035" s="8" t="n">
        <f aca="false">Sens!I1033/Sens!I1034</f>
        <v>22.1599618215113</v>
      </c>
      <c r="J1035" s="8" t="n">
        <f aca="false">Sens!J1033/Sens!J1034</f>
        <v>23.1756677711716</v>
      </c>
      <c r="K1035" s="8" t="n">
        <f aca="false">Sens!K1033/Sens!K1034</f>
        <v>23.8449297744494</v>
      </c>
      <c r="L1035" s="1" t="s">
        <v>828</v>
      </c>
    </row>
    <row r="1036" customFormat="false" ht="17.15" hidden="false" customHeight="false" outlineLevel="0" collapsed="false">
      <c r="A1036" s="0" t="s">
        <v>829</v>
      </c>
      <c r="B1036" s="0" t="s">
        <v>126</v>
      </c>
      <c r="E1036" s="7" t="n">
        <f aca="false">Sens!E1035/Sens!D1035-1</f>
        <v>0.315542736208578</v>
      </c>
      <c r="F1036" s="7" t="n">
        <f aca="false">Sens!F1035/Sens!E1035-1</f>
        <v>0.0666626618896238</v>
      </c>
      <c r="G1036" s="7" t="n">
        <f aca="false">Sens!G1035/Sens!F1035-1</f>
        <v>0.0619287121109997</v>
      </c>
      <c r="H1036" s="7" t="n">
        <f aca="false">Sens!H1035/Sens!G1035-1</f>
        <v>0.0271164657942915</v>
      </c>
      <c r="I1036" s="7" t="n">
        <f aca="false">Sens!I1035/Sens!H1035-1</f>
        <v>0.0613715387757203</v>
      </c>
      <c r="J1036" s="7" t="n">
        <f aca="false">Sens!J1035/Sens!I1035-1</f>
        <v>0.0458351849990255</v>
      </c>
      <c r="K1036" s="7" t="n">
        <f aca="false">Sens!K1035/Sens!J1035-1</f>
        <v>0.0288777872502231</v>
      </c>
    </row>
    <row r="1037" customFormat="false" ht="17.15" hidden="false" customHeight="false" outlineLevel="0" collapsed="false">
      <c r="A1037" s="0" t="s">
        <v>763</v>
      </c>
      <c r="B1037" s="0" t="s">
        <v>95</v>
      </c>
      <c r="E1037" s="6" t="n">
        <f aca="false">Sens!E982</f>
        <v>5.25</v>
      </c>
      <c r="F1037" s="6" t="n">
        <f aca="false">Sens!F982</f>
        <v>10.5</v>
      </c>
      <c r="G1037" s="6" t="n">
        <f aca="false">Sens!G982</f>
        <v>13.5</v>
      </c>
      <c r="H1037" s="6" t="n">
        <f aca="false">Sens!H982</f>
        <v>16.5</v>
      </c>
      <c r="I1037" s="6" t="n">
        <f aca="false">Sens!I982</f>
        <v>18.75</v>
      </c>
      <c r="J1037" s="6" t="n">
        <f aca="false">Sens!J982</f>
        <v>20.25</v>
      </c>
      <c r="K1037" s="6" t="n">
        <f aca="false">Sens!K982</f>
        <v>21.75</v>
      </c>
    </row>
    <row r="1038" customFormat="false" ht="17.15" hidden="false" customHeight="false" outlineLevel="0" collapsed="false">
      <c r="A1038" s="0" t="s">
        <v>764</v>
      </c>
      <c r="B1038" s="0" t="s">
        <v>95</v>
      </c>
      <c r="E1038" s="6" t="n">
        <f aca="false">Sens!E962+Sens!E1037*Sens!E1021-Sens!E963-Sens!E973</f>
        <v>2.1514866143068</v>
      </c>
      <c r="F1038" s="6" t="n">
        <f aca="false">Sens!F962+Sens!F1037*Sens!F1021-Sens!F963-Sens!F973</f>
        <v>7.36571844863046</v>
      </c>
      <c r="G1038" s="6" t="n">
        <f aca="false">Sens!G962+Sens!G1037*Sens!G1021-Sens!G963-Sens!G973</f>
        <v>-0.0857004364804297</v>
      </c>
      <c r="H1038" s="6" t="n">
        <f aca="false">Sens!H962+Sens!H1037*Sens!H1021-Sens!H963-Sens!H973</f>
        <v>-14.0959320140243</v>
      </c>
      <c r="I1038" s="6" t="n">
        <f aca="false">Sens!I962+Sens!I1037*Sens!I1021-Sens!I963-Sens!I973</f>
        <v>-21.2174960540409</v>
      </c>
      <c r="J1038" s="6" t="n">
        <f aca="false">Sens!J962+Sens!J1037*Sens!J1021-Sens!J963-Sens!J973</f>
        <v>-29.6807669076145</v>
      </c>
      <c r="K1038" s="6" t="n">
        <f aca="false">Sens!K962+Sens!K1037*Sens!K1021-Sens!K963-Sens!K973</f>
        <v>-39.397031321726</v>
      </c>
    </row>
    <row r="1039" customFormat="false" ht="17.15" hidden="false" customHeight="false" outlineLevel="0" collapsed="false">
      <c r="A1039" s="0" t="s">
        <v>765</v>
      </c>
      <c r="B1039" s="0" t="s">
        <v>95</v>
      </c>
      <c r="E1039" s="6" t="n">
        <f aca="false">Sens!E945*(cxit_open+self_build*tk_cxfac)/1000*ai_net_open</f>
        <v>126.6980382</v>
      </c>
      <c r="F1039" s="6" t="n">
        <f aca="false">Sens!E1039+Sens!F970-Sens!F973</f>
        <v>260.715655514568</v>
      </c>
      <c r="G1039" s="6" t="n">
        <f aca="false">Sens!F1039+Sens!G970-Sens!G973</f>
        <v>383.758102737428</v>
      </c>
      <c r="H1039" s="6" t="n">
        <f aca="false">Sens!G1039+Sens!H970-Sens!H973</f>
        <v>484.071072654689</v>
      </c>
      <c r="I1039" s="6" t="n">
        <f aca="false">Sens!H1039+Sens!I970-Sens!I973</f>
        <v>586.387852170632</v>
      </c>
      <c r="J1039" s="6" t="n">
        <f aca="false">Sens!I1039+Sens!J970-Sens!J973</f>
        <v>674.915635136093</v>
      </c>
      <c r="K1039" s="6" t="n">
        <f aca="false">Sens!J1039+Sens!K970-Sens!K973</f>
        <v>778.008024451903</v>
      </c>
      <c r="L1039" s="1" t="s">
        <v>766</v>
      </c>
    </row>
    <row r="1040" customFormat="false" ht="17.15" hidden="false" customHeight="false" outlineLevel="0" collapsed="false">
      <c r="A1040" s="0" t="s">
        <v>767</v>
      </c>
      <c r="B1040" s="0" t="s">
        <v>126</v>
      </c>
      <c r="F1040" s="7" t="n">
        <f aca="false">Sens!F1038*(1-tax_f)/((Sens!E1039+Sens!F1039)/2)</f>
        <v>0.0304200644143767</v>
      </c>
      <c r="G1040" s="7" t="n">
        <f aca="false">Sens!G1038*(1-tax_f)/((Sens!F1039+Sens!G1039)/2)</f>
        <v>-0.000212763819492976</v>
      </c>
      <c r="H1040" s="7" t="n">
        <f aca="false">Sens!H1038*(1-tax_f)/((Sens!G1039+Sens!H1039)/2)</f>
        <v>-0.0259883994015855</v>
      </c>
      <c r="I1040" s="7" t="n">
        <f aca="false">Sens!I1038*(1-tax_f)/((Sens!H1039+Sens!I1039)/2)</f>
        <v>-0.0317134949311625</v>
      </c>
      <c r="J1040" s="7" t="n">
        <f aca="false">Sens!J1038*(1-tax_f)/((Sens!I1039+Sens!J1039)/2)</f>
        <v>-0.037650912353844</v>
      </c>
      <c r="K1040" s="7" t="n">
        <f aca="false">Sens!K1038*(1-tax_f)/((Sens!J1039+Sens!K1039)/2)</f>
        <v>-0.0433851081567744</v>
      </c>
    </row>
    <row r="1041" customFormat="false" ht="17.15" hidden="false" customHeight="false" outlineLevel="0" collapsed="false">
      <c r="A1041" s="1" t="s">
        <v>768</v>
      </c>
      <c r="B1041" s="0" t="s">
        <v>126</v>
      </c>
      <c r="F1041" s="7" t="n">
        <f aca="false">Sens!F974*(1-tax_f)/(Sens!F961*(Sens!E1039+Sens!F1039)/2)</f>
        <v>0.150088041808393</v>
      </c>
      <c r="G1041" s="7" t="n">
        <f aca="false">Sens!G974*(1-tax_f)/(Sens!G961*(Sens!F1039+Sens!G1039)/2)</f>
        <v>0.112561913578392</v>
      </c>
      <c r="H1041" s="7" t="n">
        <f aca="false">Sens!H974*(1-tax_f)/(Sens!H961*(Sens!G1039+Sens!H1039)/2)</f>
        <v>0.0825158663546618</v>
      </c>
      <c r="I1041" s="7" t="n">
        <f aca="false">Sens!I974*(1-tax_f)/(Sens!I961*(Sens!H1039+Sens!I1039)/2)</f>
        <v>0.0852979536029384</v>
      </c>
      <c r="J1041" s="7" t="n">
        <f aca="false">Sens!J974*(1-tax_f)/(Sens!J961*(Sens!I1039+Sens!J1039)/2)</f>
        <v>0.0869136541057139</v>
      </c>
      <c r="K1041" s="7" t="n">
        <f aca="false">Sens!K974*(1-tax_f)/(Sens!K961*(Sens!J1039+Sens!K1039)/2)</f>
        <v>0.0867101385415693</v>
      </c>
    </row>
    <row r="1042" customFormat="false" ht="17.15" hidden="false" customHeight="false" outlineLevel="0" collapsed="false">
      <c r="A1042" s="0" t="s">
        <v>769</v>
      </c>
      <c r="B1042" s="0" t="s">
        <v>208</v>
      </c>
      <c r="F1042" s="7" t="n">
        <f aca="false">Sens!F1040-wacc</f>
        <v>-0.0785431567358773</v>
      </c>
      <c r="G1042" s="7" t="n">
        <f aca="false">Sens!G1040-wacc</f>
        <v>-0.109175984969747</v>
      </c>
      <c r="H1042" s="7" t="n">
        <f aca="false">Sens!H1040-wacc</f>
        <v>-0.134951620551839</v>
      </c>
      <c r="I1042" s="7" t="n">
        <f aca="false">Sens!I1040-wacc</f>
        <v>-0.140676716081416</v>
      </c>
      <c r="J1042" s="7" t="n">
        <f aca="false">Sens!J1040-wacc</f>
        <v>-0.146614133504098</v>
      </c>
      <c r="K1042" s="7" t="n">
        <f aca="false">Sens!K1040-wacc</f>
        <v>-0.152348329307028</v>
      </c>
    </row>
    <row r="1043" customFormat="false" ht="17.15" hidden="false" customHeight="false" outlineLevel="0" collapsed="false">
      <c r="A1043" s="0" t="s">
        <v>770</v>
      </c>
      <c r="B1043" s="0" t="s">
        <v>95</v>
      </c>
      <c r="F1043" s="6" t="n">
        <f aca="false">Sens!F1038*(1-tax_f)-wacc*(Sens!E1039+Sens!F1039)/2</f>
        <v>-15.2143472335242</v>
      </c>
      <c r="G1043" s="6" t="n">
        <f aca="false">Sens!G1038*(1-tax_f)-wacc*(Sens!F1039+Sens!G1039)/2</f>
        <v>-35.1805286721581</v>
      </c>
      <c r="H1043" s="6" t="n">
        <f aca="false">Sens!H1038*(1-tax_f)-wacc*(Sens!G1039+Sens!H1039)/2</f>
        <v>-58.5574767906663</v>
      </c>
      <c r="I1043" s="6" t="n">
        <f aca="false">Sens!I1038*(1-tax_f)-wacc*(Sens!H1039+Sens!I1039)/2</f>
        <v>-75.294323122235</v>
      </c>
      <c r="J1043" s="6" t="n">
        <f aca="false">Sens!J1038*(1-tax_f)-wacc*(Sens!I1039+Sens!J1039)/2</f>
        <v>-92.4624589385863</v>
      </c>
      <c r="K1043" s="6" t="n">
        <f aca="false">Sens!K1038*(1-tax_f)-wacc*(Sens!J1039+Sens!K1039)/2</f>
        <v>-110.675246074442</v>
      </c>
    </row>
    <row r="1044" customFormat="false" ht="17.15" hidden="false" customHeight="false" outlineLevel="0" collapsed="false">
      <c r="A1044" s="1" t="s">
        <v>771</v>
      </c>
      <c r="B1044" s="0" t="s">
        <v>95</v>
      </c>
      <c r="F1044" s="6" t="n">
        <f aca="false">(Sens!E946+Sens!F946)/2*Sens!F953/1000</f>
        <v>26.7873066765967</v>
      </c>
      <c r="G1044" s="6" t="n">
        <f aca="false">(Sens!F946+Sens!G946)/2*Sens!G953/1000</f>
        <v>45.4131817597218</v>
      </c>
      <c r="H1044" s="6" t="n">
        <f aca="false">(Sens!G946+Sens!H946)/2*Sens!H953/1000</f>
        <v>65.3915129357971</v>
      </c>
      <c r="I1044" s="6" t="n">
        <f aca="false">(Sens!H946+Sens!I946)/2*Sens!I953/1000</f>
        <v>85.5187419289299</v>
      </c>
      <c r="J1044" s="6" t="n">
        <f aca="false">(Sens!I946+Sens!J946)/2*Sens!J953/1000</f>
        <v>105.723807195006</v>
      </c>
      <c r="K1044" s="6" t="n">
        <f aca="false">(Sens!J946+Sens!K946)/2*Sens!K953/1000</f>
        <v>125.974659797015</v>
      </c>
      <c r="L1044" s="1" t="s">
        <v>772</v>
      </c>
    </row>
    <row r="1045" customFormat="false" ht="17.15" hidden="false" customHeight="false" outlineLevel="0" collapsed="false">
      <c r="A1045" s="1" t="s">
        <v>773</v>
      </c>
      <c r="B1045" s="0" t="s">
        <v>126</v>
      </c>
      <c r="F1045" s="7" t="n">
        <f aca="false">(Sens!F962+Sens!F1044-Sens!F963-Sens!F973)*(1-tax_f)/((Sens!E1039+Sens!F1039)/2)</f>
        <v>0.116291079630245</v>
      </c>
      <c r="G1045" s="7" t="n">
        <f aca="false">(Sens!G962+Sens!G1044-Sens!G963-Sens!G973)*(1-tax_f)/((Sens!F1039+Sens!G1039)/2)</f>
        <v>0.0933960313628154</v>
      </c>
      <c r="H1045" s="7" t="n">
        <f aca="false">(Sens!H962+Sens!H1044-Sens!H963-Sens!H973)*(1-tax_f)/((Sens!G1039+Sens!H1039)/2)</f>
        <v>0.0772037369927976</v>
      </c>
      <c r="I1045" s="7" t="n">
        <f aca="false">(Sens!I962+Sens!I1044-Sens!I963-Sens!I973)*(1-tax_f)/((Sens!H1039+Sens!I1039)/2)</f>
        <v>0.0801088868379204</v>
      </c>
      <c r="J1045" s="7" t="n">
        <f aca="false">(Sens!J962+Sens!J1044-Sens!J963-Sens!J973)*(1-tax_f)/((Sens!I1039+Sens!J1039)/2)</f>
        <v>0.0817962110860955</v>
      </c>
      <c r="K1045" s="7" t="n">
        <f aca="false">(Sens!K962+Sens!K1044-Sens!K963-Sens!K973)*(1-tax_f)/((Sens!J1039+Sens!K1039)/2)</f>
        <v>0.0816662933161571</v>
      </c>
      <c r="L1045" s="1" t="s">
        <v>774</v>
      </c>
    </row>
    <row r="1046" customFormat="false" ht="17.15" hidden="false" customHeight="false" outlineLevel="0" collapsed="false">
      <c r="A1046" s="3" t="s">
        <v>1142</v>
      </c>
    </row>
    <row r="1047" customFormat="false" ht="15" hidden="false" customHeight="false" outlineLevel="0" collapsed="false">
      <c r="A1047" s="4" t="s">
        <v>43</v>
      </c>
      <c r="B1047" s="4" t="s">
        <v>63</v>
      </c>
      <c r="C1047" s="19" t="s">
        <v>710</v>
      </c>
      <c r="D1047" s="19" t="s">
        <v>711</v>
      </c>
      <c r="E1047" s="19" t="s">
        <v>712</v>
      </c>
      <c r="F1047" s="19" t="s">
        <v>713</v>
      </c>
      <c r="G1047" s="19" t="s">
        <v>714</v>
      </c>
      <c r="H1047" s="19" t="s">
        <v>715</v>
      </c>
      <c r="I1047" s="19" t="s">
        <v>716</v>
      </c>
      <c r="J1047" s="19" t="s">
        <v>717</v>
      </c>
      <c r="K1047" s="19" t="s">
        <v>718</v>
      </c>
      <c r="L1047" s="4" t="s">
        <v>47</v>
      </c>
    </row>
    <row r="1048" customFormat="false" ht="15" hidden="false" customHeight="false" outlineLevel="0" collapsed="false">
      <c r="A1048" s="1" t="s">
        <v>825</v>
      </c>
      <c r="B1048" s="0" t="s">
        <v>95</v>
      </c>
      <c r="F1048" s="6" t="n">
        <f aca="false">Sens!F1033</f>
        <v>143.05747464543</v>
      </c>
      <c r="G1048" s="6" t="n">
        <f aca="false">Sens!G1033</f>
        <v>152.83157290386</v>
      </c>
      <c r="H1048" s="6" t="n">
        <f aca="false">Sens!H1033</f>
        <v>157.615159561293</v>
      </c>
      <c r="I1048" s="6" t="n">
        <f aca="false">Sens!I1033</f>
        <v>167.612904625453</v>
      </c>
      <c r="J1048" s="6" t="n">
        <f aca="false">Sens!J1033</f>
        <v>175.625529647412</v>
      </c>
      <c r="K1048" s="6" t="n">
        <f aca="false">Sens!K1033</f>
        <v>181.091122605756</v>
      </c>
    </row>
    <row r="1049" customFormat="false" ht="17.15" hidden="false" customHeight="false" outlineLevel="0" collapsed="false">
      <c r="A1049" s="1" t="s">
        <v>843</v>
      </c>
      <c r="B1049" s="0" t="s">
        <v>95</v>
      </c>
      <c r="E1049" s="6" t="n">
        <f aca="false">Q!M38-Sens!E973</f>
        <v>22.2285940229167</v>
      </c>
      <c r="F1049" s="6" t="n">
        <f aca="false">Sens!E1049*(1-1/life_nonai)+Sens!F1055/life_nonai</f>
        <v>23.5486693435813</v>
      </c>
      <c r="G1049" s="6" t="n">
        <f aca="false">Sens!F1049*(1-1/life_nonai)+Sens!G1055/life_nonai</f>
        <v>25.264091766262</v>
      </c>
      <c r="H1049" s="6" t="n">
        <f aca="false">Sens!G1049*(1-1/life_nonai)+Sens!H1055/life_nonai</f>
        <v>27.3438339540448</v>
      </c>
      <c r="I1049" s="6" t="n">
        <f aca="false">Sens!H1049*(1-1/life_nonai)+Sens!I1055/life_nonai</f>
        <v>29.7317905898047</v>
      </c>
      <c r="J1049" s="6" t="n">
        <f aca="false">Sens!I1049*(1-1/life_nonai)+Sens!J1055/life_nonai</f>
        <v>32.3542028558616</v>
      </c>
      <c r="K1049" s="6" t="n">
        <f aca="false">Sens!J1049*(1-1/life_nonai)+Sens!K1055/life_nonai</f>
        <v>35.1281528444749</v>
      </c>
      <c r="L1049" s="11" t="s">
        <v>844</v>
      </c>
    </row>
    <row r="1050" customFormat="false" ht="17.15" hidden="false" customHeight="false" outlineLevel="0" collapsed="false">
      <c r="A1050" s="1" t="s">
        <v>845</v>
      </c>
      <c r="B1050" s="0" t="s">
        <v>95</v>
      </c>
      <c r="E1050" s="6" t="n">
        <f aca="false">Sens!E973+Sens!E1049</f>
        <v>38.534</v>
      </c>
      <c r="F1050" s="6" t="n">
        <f aca="false">Sens!F973+Sens!F1049</f>
        <v>58.301704799451</v>
      </c>
      <c r="G1050" s="6" t="n">
        <f aca="false">Sens!G973+Sens!G1049</f>
        <v>85.7958250266017</v>
      </c>
      <c r="H1050" s="6" t="n">
        <f aca="false">Sens!H973+Sens!H1049</f>
        <v>115.111149947184</v>
      </c>
      <c r="I1050" s="6" t="n">
        <f aca="false">Sens!I973+Sens!I1049</f>
        <v>145.753972330928</v>
      </c>
      <c r="J1050" s="6" t="n">
        <f aca="false">Sens!J973+Sens!J1049</f>
        <v>177.603480814135</v>
      </c>
      <c r="K1050" s="6" t="n">
        <f aca="false">Sens!K973+Sens!K1049</f>
        <v>210.892075479064</v>
      </c>
    </row>
    <row r="1051" customFormat="false" ht="15" hidden="false" customHeight="false" outlineLevel="0" collapsed="false">
      <c r="A1051" s="1" t="s">
        <v>685</v>
      </c>
      <c r="B1051" s="0" t="s">
        <v>95</v>
      </c>
      <c r="F1051" s="6" t="n">
        <f aca="false">Sens!F1000*sbc_r</f>
        <v>14.994315902368</v>
      </c>
      <c r="G1051" s="6" t="n">
        <f aca="false">Sens!G1000*sbc_r</f>
        <v>17.4826194545484</v>
      </c>
      <c r="H1051" s="6" t="n">
        <f aca="false">Sens!H1000*sbc_r</f>
        <v>19.7966017188514</v>
      </c>
      <c r="I1051" s="6" t="n">
        <f aca="false">Sens!I1000*sbc_r</f>
        <v>22.3781448006696</v>
      </c>
      <c r="J1051" s="6" t="n">
        <f aca="false">Sens!J1000*sbc_r</f>
        <v>24.8658480158648</v>
      </c>
      <c r="K1051" s="6" t="n">
        <f aca="false">Sens!K1000*sbc_r</f>
        <v>27.2339249168452</v>
      </c>
    </row>
    <row r="1052" customFormat="false" ht="17.15" hidden="false" customHeight="false" outlineLevel="0" collapsed="false">
      <c r="A1052" s="1" t="s">
        <v>846</v>
      </c>
      <c r="B1052" s="0" t="s">
        <v>95</v>
      </c>
      <c r="F1052" s="6" t="n">
        <f aca="false">wc27</f>
        <v>-4.895</v>
      </c>
      <c r="G1052" s="6" t="n">
        <f aca="false">0</f>
        <v>0</v>
      </c>
      <c r="H1052" s="6" t="n">
        <f aca="false">0</f>
        <v>0</v>
      </c>
      <c r="I1052" s="6" t="n">
        <f aca="false">0</f>
        <v>0</v>
      </c>
      <c r="J1052" s="6" t="n">
        <f aca="false">0</f>
        <v>0</v>
      </c>
      <c r="K1052" s="6" t="n">
        <f aca="false">0</f>
        <v>0</v>
      </c>
      <c r="L1052" s="11" t="s">
        <v>847</v>
      </c>
    </row>
    <row r="1053" customFormat="false" ht="15" hidden="false" customHeight="false" outlineLevel="0" collapsed="false">
      <c r="A1053" s="1" t="s">
        <v>678</v>
      </c>
      <c r="B1053" s="0" t="s">
        <v>95</v>
      </c>
      <c r="E1053" s="6" t="n">
        <f aca="false">Q!M35</f>
        <v>182.935</v>
      </c>
      <c r="F1053" s="6" t="n">
        <f aca="false">Sens!F1048+Sens!F1050+Sens!F1051+Sens!F1052</f>
        <v>211.458495347249</v>
      </c>
      <c r="G1053" s="6" t="n">
        <f aca="false">Sens!G1048+Sens!G1050+Sens!G1051+Sens!G1052</f>
        <v>256.11001738501</v>
      </c>
      <c r="H1053" s="6" t="n">
        <f aca="false">Sens!H1048+Sens!H1050+Sens!H1051+Sens!H1052</f>
        <v>292.522911227328</v>
      </c>
      <c r="I1053" s="6" t="n">
        <f aca="false">Sens!I1048+Sens!I1050+Sens!I1051+Sens!I1052</f>
        <v>335.74502175705</v>
      </c>
      <c r="J1053" s="6" t="n">
        <f aca="false">Sens!J1048+Sens!J1050+Sens!J1051+Sens!J1052</f>
        <v>378.094858477411</v>
      </c>
      <c r="K1053" s="6" t="n">
        <f aca="false">Sens!K1048+Sens!K1050+Sens!K1051+Sens!K1052</f>
        <v>419.217123001665</v>
      </c>
    </row>
    <row r="1054" customFormat="false" ht="17.15" hidden="false" customHeight="false" outlineLevel="0" collapsed="false">
      <c r="A1054" s="0" t="s">
        <v>848</v>
      </c>
      <c r="B1054" s="0" t="s">
        <v>95</v>
      </c>
      <c r="F1054" s="6" t="n">
        <f aca="false">Sens!F970</f>
        <v>168.770652770438</v>
      </c>
      <c r="G1054" s="6" t="n">
        <f aca="false">Sens!G970</f>
        <v>183.5741804832</v>
      </c>
      <c r="H1054" s="6" t="n">
        <f aca="false">Sens!H970</f>
        <v>188.0802859104</v>
      </c>
      <c r="I1054" s="6" t="n">
        <f aca="false">Sens!I970</f>
        <v>218.338961257067</v>
      </c>
      <c r="J1054" s="6" t="n">
        <f aca="false">Sens!J970</f>
        <v>233.777060923733</v>
      </c>
      <c r="K1054" s="6" t="n">
        <f aca="false">Sens!K970</f>
        <v>278.8563119504</v>
      </c>
    </row>
    <row r="1055" customFormat="false" ht="17.15" hidden="false" customHeight="false" outlineLevel="0" collapsed="false">
      <c r="A1055" s="1" t="s">
        <v>849</v>
      </c>
      <c r="B1055" s="0" t="s">
        <v>95</v>
      </c>
      <c r="E1055" s="6" t="n">
        <f aca="false">Sens!E978*cx_azo+Sens!E985*cx_m365+Sens!E986*cx_lic+(Sens!E988+Sens!E990)*cx_ind+Sens!E993*cx_srch+(Sens!E995+Sens!E997)*cx_dev</f>
        <v>30.1846587067718</v>
      </c>
      <c r="F1055" s="6" t="n">
        <f aca="false">Sens!F978*cx_azo+Sens!F985*cx_m365+Sens!F986*cx_lic+(Sens!F988+Sens!F990)*cx_ind+Sens!F993*cx_srch+(Sens!F995+Sens!F997)*cx_dev</f>
        <v>35.4293472295625</v>
      </c>
      <c r="G1055" s="6" t="n">
        <f aca="false">Sens!G978*cx_azo+Sens!G985*cx_m365+Sens!G986*cx_lic+(Sens!G988+Sens!G990)*cx_ind+Sens!G993*cx_srch+(Sens!G995+Sens!G997)*cx_dev</f>
        <v>40.7028935703892</v>
      </c>
      <c r="H1055" s="6" t="n">
        <f aca="false">Sens!H978*cx_azo+Sens!H985*cx_m365+Sens!H986*cx_lic+(Sens!H988+Sens!H990)*cx_ind+Sens!H993*cx_srch+(Sens!H995+Sens!H997)*cx_dev</f>
        <v>46.0615136440897</v>
      </c>
      <c r="I1055" s="6" t="n">
        <f aca="false">Sens!I978*cx_azo+Sens!I985*cx_m365+Sens!I986*cx_lic+(Sens!I988+Sens!I990)*cx_ind+Sens!I993*cx_srch+(Sens!I995+Sens!I997)*cx_dev</f>
        <v>51.2234003116439</v>
      </c>
      <c r="J1055" s="6" t="n">
        <f aca="false">Sens!J978*cx_azo+Sens!J985*cx_m365+Sens!J986*cx_lic+(Sens!J988+Sens!J990)*cx_ind+Sens!J993*cx_srch+(Sens!J995+Sens!J997)*cx_dev</f>
        <v>55.9559132503738</v>
      </c>
      <c r="K1055" s="6" t="n">
        <f aca="false">Sens!K978*cx_azo+Sens!K985*cx_m365+Sens!K986*cx_lic+(Sens!K988+Sens!K990)*cx_ind+Sens!K993*cx_srch+(Sens!K995+Sens!K997)*cx_dev</f>
        <v>60.093702741994</v>
      </c>
    </row>
    <row r="1056" customFormat="false" ht="17.15" hidden="false" customHeight="false" outlineLevel="0" collapsed="false">
      <c r="A1056" s="1" t="s">
        <v>850</v>
      </c>
      <c r="B1056" s="0" t="s">
        <v>95</v>
      </c>
      <c r="E1056" s="6" t="n">
        <f aca="false">Q!M42</f>
        <v>145.3</v>
      </c>
      <c r="F1056" s="6" t="n">
        <f aca="false">Sens!F1054+Sens!F1055</f>
        <v>204.2</v>
      </c>
      <c r="G1056" s="6" t="n">
        <f aca="false">Sens!G1054+Sens!G1055</f>
        <v>224.277074053589</v>
      </c>
      <c r="H1056" s="6" t="n">
        <f aca="false">Sens!H1054+Sens!H1055</f>
        <v>234.14179955449</v>
      </c>
      <c r="I1056" s="6" t="n">
        <f aca="false">Sens!I1054+Sens!I1055</f>
        <v>269.562361568711</v>
      </c>
      <c r="J1056" s="6" t="n">
        <f aca="false">Sens!J1054+Sens!J1055</f>
        <v>289.732974174107</v>
      </c>
      <c r="K1056" s="6" t="n">
        <f aca="false">Sens!K1054+Sens!K1055</f>
        <v>338.950014692394</v>
      </c>
      <c r="L1056" s="1" t="s">
        <v>851</v>
      </c>
    </row>
    <row r="1057" customFormat="false" ht="15" hidden="false" customHeight="false" outlineLevel="0" collapsed="false">
      <c r="A1057" s="1" t="s">
        <v>852</v>
      </c>
      <c r="B1057" s="0" t="s">
        <v>95</v>
      </c>
      <c r="E1057" s="6" t="n">
        <f aca="false">fl_liab</f>
        <v>66.594</v>
      </c>
      <c r="F1057" s="6" t="n">
        <f aca="false">Sens!E1057-Sens!F1058</f>
        <v>62.46973</v>
      </c>
      <c r="G1057" s="6" t="n">
        <f aca="false">Sens!F1057-Sens!G1058</f>
        <v>57.98686785</v>
      </c>
      <c r="H1057" s="6" t="n">
        <f aca="false">Sens!G1057-Sens!H1058</f>
        <v>53.92827690325</v>
      </c>
      <c r="I1057" s="6" t="n">
        <f aca="false">Sens!H1057-Sens!I1058</f>
        <v>49.7850493638962</v>
      </c>
      <c r="J1057" s="6" t="n">
        <f aca="false">Sens!I1057-Sens!J1058</f>
        <v>45.4823765852716</v>
      </c>
      <c r="K1057" s="6" t="n">
        <f aca="false">Sens!J1057-Sens!K1058</f>
        <v>40.9860835316088</v>
      </c>
    </row>
    <row r="1058" customFormat="false" ht="15" hidden="false" customHeight="false" outlineLevel="0" collapsed="false">
      <c r="A1058" s="1" t="s">
        <v>853</v>
      </c>
      <c r="B1058" s="0" t="s">
        <v>95</v>
      </c>
      <c r="F1058" s="6" t="n">
        <f aca="false">fl_pay_27-Sens!E1057*fl_rate</f>
        <v>4.12427</v>
      </c>
      <c r="G1058" s="6" t="n">
        <f aca="false">fl_pay_28-Sens!F1057*fl_rate</f>
        <v>4.48286215</v>
      </c>
      <c r="H1058" s="6" t="n">
        <f aca="false">fl_pay_29-Sens!G1057*fl_rate</f>
        <v>4.05859094675</v>
      </c>
      <c r="I1058" s="6" t="n">
        <f aca="false">fl_pay_30-Sens!H1057*fl_rate</f>
        <v>4.14322753935375</v>
      </c>
      <c r="J1058" s="6" t="n">
        <f aca="false">fl_pay_31-Sens!I1057*fl_rate</f>
        <v>4.30267277862467</v>
      </c>
      <c r="K1058" s="6" t="n">
        <f aca="false">fl_pay_32-Sens!J1057*fl_rate</f>
        <v>4.49629305366278</v>
      </c>
    </row>
    <row r="1059" customFormat="false" ht="17.15" hidden="false" customHeight="false" outlineLevel="0" collapsed="false">
      <c r="A1059" s="1" t="s">
        <v>854</v>
      </c>
      <c r="B1059" s="0" t="s">
        <v>95</v>
      </c>
      <c r="E1059" s="6" t="n">
        <f aca="false">Q!M35-Q!M36-Q!M43</f>
        <v>63.886</v>
      </c>
      <c r="F1059" s="6" t="n">
        <f aca="false">Sens!F1053-Sens!F1056-Sens!F1058</f>
        <v>3.13422534724907</v>
      </c>
      <c r="G1059" s="6" t="n">
        <f aca="false">Sens!G1053-Sens!G1056-Sens!G1058</f>
        <v>27.3500811814212</v>
      </c>
      <c r="H1059" s="6" t="n">
        <f aca="false">Sens!H1053-Sens!H1056-Sens!H1058</f>
        <v>54.3225207260887</v>
      </c>
      <c r="I1059" s="6" t="n">
        <f aca="false">Sens!I1053-Sens!I1056-Sens!I1058</f>
        <v>62.0394326489857</v>
      </c>
      <c r="J1059" s="6" t="n">
        <f aca="false">Sens!J1053-Sens!J1056-Sens!J1058</f>
        <v>84.0592115246797</v>
      </c>
      <c r="K1059" s="6" t="n">
        <f aca="false">Sens!K1053-Sens!K1056-Sens!K1058</f>
        <v>75.7708152556084</v>
      </c>
      <c r="L1059" s="11" t="s">
        <v>855</v>
      </c>
    </row>
    <row r="1060" customFormat="false" ht="15" hidden="false" customHeight="false" outlineLevel="0" collapsed="false">
      <c r="A1060" s="1" t="s">
        <v>856</v>
      </c>
      <c r="B1060" s="0" t="s">
        <v>73</v>
      </c>
      <c r="F1060" s="8" t="n">
        <f aca="false">dps_27</f>
        <v>3.85</v>
      </c>
      <c r="G1060" s="8" t="n">
        <f aca="false">Sens!F1060*(1+dps_g)</f>
        <v>4.158</v>
      </c>
      <c r="H1060" s="8" t="n">
        <f aca="false">Sens!G1060*(1+dps_g)</f>
        <v>4.49064</v>
      </c>
      <c r="I1060" s="8" t="n">
        <f aca="false">Sens!H1060*(1+dps_g)</f>
        <v>4.8498912</v>
      </c>
      <c r="J1060" s="8" t="n">
        <f aca="false">Sens!I1060*(1+dps_g)</f>
        <v>5.237882496</v>
      </c>
      <c r="K1060" s="8" t="n">
        <f aca="false">Sens!J1060*(1+dps_g)</f>
        <v>5.65691309568</v>
      </c>
    </row>
    <row r="1061" customFormat="false" ht="17.15" hidden="false" customHeight="false" outlineLevel="0" collapsed="false">
      <c r="A1061" s="1" t="s">
        <v>857</v>
      </c>
      <c r="B1061" s="0" t="s">
        <v>95</v>
      </c>
      <c r="E1061" s="6" t="n">
        <f aca="false">Q!M41</f>
        <v>26.445</v>
      </c>
      <c r="F1061" s="6" t="n">
        <f aca="false">Sens!F1060*Sens!E1070</f>
        <v>28.59395</v>
      </c>
      <c r="G1061" s="6" t="n">
        <f aca="false">Sens!G1060*Sens!F1070</f>
        <v>31.068576</v>
      </c>
      <c r="H1061" s="6" t="n">
        <f aca="false">Sens!H1060*Sens!G1070</f>
        <v>33.75614088</v>
      </c>
      <c r="I1061" s="6" t="n">
        <f aca="false">Sens!I1060*Sens!H1070</f>
        <v>36.5354090259573</v>
      </c>
      <c r="J1061" s="6" t="n">
        <f aca="false">Sens!J1060*Sens!I1070</f>
        <v>39.5266405963533</v>
      </c>
      <c r="K1061" s="6" t="n">
        <f aca="false">Sens!K1060*Sens!J1070</f>
        <v>42.7760270693666</v>
      </c>
      <c r="L1061" s="1" t="s">
        <v>858</v>
      </c>
    </row>
    <row r="1062" customFormat="false" ht="15" hidden="false" customHeight="false" outlineLevel="0" collapsed="false">
      <c r="A1062" s="1" t="s">
        <v>859</v>
      </c>
      <c r="B1062" s="0" t="s">
        <v>95</v>
      </c>
      <c r="E1062" s="6" t="n">
        <f aca="false">Sens!E1059-Sens!E1061</f>
        <v>37.441</v>
      </c>
      <c r="F1062" s="6" t="n">
        <f aca="false">Sens!F1059-Sens!F1061</f>
        <v>-25.4597246527509</v>
      </c>
      <c r="G1062" s="6" t="n">
        <f aca="false">Sens!G1059-Sens!G1061</f>
        <v>-3.71849481857879</v>
      </c>
      <c r="H1062" s="6" t="n">
        <f aca="false">Sens!H1059-Sens!H1061</f>
        <v>20.5663798460887</v>
      </c>
      <c r="I1062" s="6" t="n">
        <f aca="false">Sens!I1059-Sens!I1061</f>
        <v>25.5040236230284</v>
      </c>
      <c r="J1062" s="6" t="n">
        <f aca="false">Sens!J1059-Sens!J1061</f>
        <v>44.5325709283264</v>
      </c>
      <c r="K1062" s="6" t="n">
        <f aca="false">Sens!K1059-Sens!K1061</f>
        <v>32.9947881862418</v>
      </c>
    </row>
    <row r="1063" customFormat="false" ht="15" hidden="false" customHeight="false" outlineLevel="0" collapsed="false">
      <c r="A1063" s="1" t="s">
        <v>860</v>
      </c>
      <c r="B1063" s="0" t="s">
        <v>95</v>
      </c>
      <c r="F1063" s="6" t="n">
        <f aca="false">debt_mat_27</f>
        <v>9.25</v>
      </c>
      <c r="G1063" s="6" t="n">
        <f aca="false">debt_mat_28</f>
        <v>0</v>
      </c>
      <c r="H1063" s="6" t="n">
        <f aca="false">debt_mat_29</f>
        <v>2.001</v>
      </c>
      <c r="I1063" s="6" t="n">
        <f aca="false">debt_mat_30</f>
        <v>0</v>
      </c>
      <c r="J1063" s="6" t="n">
        <f aca="false">debt_mat_31</f>
        <v>0.5</v>
      </c>
      <c r="K1063" s="6" t="n">
        <f aca="false">debt_mat_32</f>
        <v>0</v>
      </c>
    </row>
    <row r="1064" customFormat="false" ht="15" hidden="false" customHeight="false" outlineLevel="0" collapsed="false">
      <c r="A1064" s="1" t="s">
        <v>861</v>
      </c>
      <c r="B1064" s="0" t="s">
        <v>95</v>
      </c>
      <c r="E1064" s="6" t="n">
        <f aca="false">Q!M40</f>
        <v>22.271</v>
      </c>
      <c r="F1064" s="6" t="n">
        <f aca="false">MAX(0,MIN(bb_target,Sens!E1066+Sens!F1062-Sens!F1063-min_cash))</f>
        <v>0</v>
      </c>
      <c r="G1064" s="6" t="n">
        <f aca="false">MAX(0,MIN(bb_target,Sens!F1066+Sens!G1062-Sens!G1063-min_cash))</f>
        <v>0</v>
      </c>
      <c r="H1064" s="6" t="n">
        <f aca="false">MAX(0,MIN(bb_target,Sens!G1066+Sens!H1062-Sens!H1063-min_cash))</f>
        <v>18.5653798460887</v>
      </c>
      <c r="I1064" s="6" t="n">
        <f aca="false">MAX(0,MIN(bb_target,Sens!H1066+Sens!I1062-Sens!I1063-min_cash))</f>
        <v>22.271</v>
      </c>
      <c r="J1064" s="6" t="n">
        <f aca="false">MAX(0,MIN(bb_target,Sens!I1066+Sens!J1062-Sens!J1063-min_cash))</f>
        <v>22.271</v>
      </c>
      <c r="K1064" s="6" t="n">
        <f aca="false">MAX(0,MIN(bb_target,Sens!J1066+Sens!K1062-Sens!K1063-min_cash))</f>
        <v>22.271</v>
      </c>
    </row>
    <row r="1065" customFormat="false" ht="15" hidden="false" customHeight="false" outlineLevel="0" collapsed="false">
      <c r="A1065" s="1" t="s">
        <v>862</v>
      </c>
      <c r="B1065" s="0" t="s">
        <v>95</v>
      </c>
      <c r="F1065" s="6" t="n">
        <f aca="false">MAX(0,min_cash-(Sens!E1066+Sens!F1062-Sens!F1063-Sens!F1064))</f>
        <v>7.86672465275093</v>
      </c>
      <c r="G1065" s="6" t="n">
        <f aca="false">MAX(0,min_cash-(Sens!F1066+Sens!G1062-Sens!G1063-Sens!G1064))</f>
        <v>3.71849481857879</v>
      </c>
      <c r="H1065" s="6" t="n">
        <f aca="false">MAX(0,min_cash-(Sens!G1066+Sens!H1062-Sens!H1063-Sens!H1064))</f>
        <v>0</v>
      </c>
      <c r="I1065" s="6" t="n">
        <f aca="false">MAX(0,min_cash-(Sens!H1066+Sens!I1062-Sens!I1063-Sens!I1064))</f>
        <v>0</v>
      </c>
      <c r="J1065" s="6" t="n">
        <f aca="false">MAX(0,min_cash-(Sens!I1066+Sens!J1062-Sens!J1063-Sens!J1064))</f>
        <v>0</v>
      </c>
      <c r="K1065" s="6" t="n">
        <f aca="false">MAX(0,min_cash-(Sens!J1066+Sens!K1062-Sens!K1063-Sens!K1064))</f>
        <v>0</v>
      </c>
    </row>
    <row r="1066" customFormat="false" ht="15" hidden="false" customHeight="false" outlineLevel="0" collapsed="false">
      <c r="A1066" s="1" t="s">
        <v>863</v>
      </c>
      <c r="B1066" s="0" t="s">
        <v>95</v>
      </c>
      <c r="E1066" s="6" t="n">
        <f aca="false">cash_open</f>
        <v>76.843</v>
      </c>
      <c r="F1066" s="6" t="n">
        <f aca="false">Sens!E1066+Sens!F1062-Sens!F1063-Sens!F1064+Sens!F1065</f>
        <v>50</v>
      </c>
      <c r="G1066" s="6" t="n">
        <f aca="false">Sens!F1066+Sens!G1062-Sens!G1063-Sens!G1064+Sens!G1065</f>
        <v>50</v>
      </c>
      <c r="H1066" s="6" t="n">
        <f aca="false">Sens!G1066+Sens!H1062-Sens!H1063-Sens!H1064+Sens!H1065</f>
        <v>50</v>
      </c>
      <c r="I1066" s="6" t="n">
        <f aca="false">Sens!H1066+Sens!I1062-Sens!I1063-Sens!I1064+Sens!I1065</f>
        <v>53.2330236230284</v>
      </c>
      <c r="J1066" s="6" t="n">
        <f aca="false">Sens!I1066+Sens!J1062-Sens!J1063-Sens!J1064+Sens!J1065</f>
        <v>74.9945945513548</v>
      </c>
      <c r="K1066" s="6" t="n">
        <f aca="false">Sens!J1066+Sens!K1062-Sens!K1063-Sens!K1064+Sens!K1065</f>
        <v>85.7183827375966</v>
      </c>
    </row>
    <row r="1067" customFormat="false" ht="15" hidden="false" customHeight="false" outlineLevel="0" collapsed="false">
      <c r="A1067" s="1" t="s">
        <v>864</v>
      </c>
      <c r="B1067" s="0" t="s">
        <v>95</v>
      </c>
      <c r="E1067" s="6" t="n">
        <f aca="false">debt_face</f>
        <v>46.136</v>
      </c>
      <c r="F1067" s="6" t="n">
        <f aca="false">Sens!E1067-Sens!F1063+Sens!F1065</f>
        <v>44.7527246527509</v>
      </c>
      <c r="G1067" s="6" t="n">
        <f aca="false">Sens!F1067-Sens!G1063+Sens!G1065</f>
        <v>48.4712194713297</v>
      </c>
      <c r="H1067" s="6" t="n">
        <f aca="false">Sens!G1067-Sens!H1063+Sens!H1065</f>
        <v>46.4702194713297</v>
      </c>
      <c r="I1067" s="6" t="n">
        <f aca="false">Sens!H1067-Sens!I1063+Sens!I1065</f>
        <v>46.4702194713297</v>
      </c>
      <c r="J1067" s="6" t="n">
        <f aca="false">Sens!I1067-Sens!J1063+Sens!J1065</f>
        <v>45.9702194713297</v>
      </c>
      <c r="K1067" s="6" t="n">
        <f aca="false">Sens!J1067-Sens!K1063+Sens!K1065</f>
        <v>45.9702194713297</v>
      </c>
    </row>
    <row r="1068" customFormat="false" ht="15" hidden="false" customHeight="false" outlineLevel="0" collapsed="false">
      <c r="A1068" s="1" t="s">
        <v>865</v>
      </c>
      <c r="B1068" s="0" t="s">
        <v>95</v>
      </c>
      <c r="E1068" s="6" t="n">
        <f aca="false">Sens!E1066-Sens!E1067</f>
        <v>30.707</v>
      </c>
      <c r="F1068" s="6" t="n">
        <f aca="false">Sens!F1066-Sens!F1067</f>
        <v>5.24727534724907</v>
      </c>
      <c r="G1068" s="6" t="n">
        <f aca="false">Sens!G1066-Sens!G1067</f>
        <v>1.52878052867028</v>
      </c>
      <c r="H1068" s="6" t="n">
        <f aca="false">Sens!H1066-Sens!H1067</f>
        <v>3.52978052867027</v>
      </c>
      <c r="I1068" s="6" t="n">
        <f aca="false">Sens!I1066-Sens!I1067</f>
        <v>6.76280415169867</v>
      </c>
      <c r="J1068" s="6" t="n">
        <f aca="false">Sens!J1066-Sens!J1067</f>
        <v>29.0243750800251</v>
      </c>
      <c r="K1068" s="6" t="n">
        <f aca="false">Sens!K1066-Sens!K1067</f>
        <v>39.7481632662669</v>
      </c>
    </row>
    <row r="1069" customFormat="false" ht="15" hidden="false" customHeight="false" outlineLevel="0" collapsed="false">
      <c r="A1069" s="1" t="s">
        <v>866</v>
      </c>
      <c r="B1069" s="0" t="s">
        <v>73</v>
      </c>
      <c r="F1069" s="27" t="n">
        <f aca="false">px*(1+bb_g)^(1-0.5)</f>
        <v>553.494156066711</v>
      </c>
      <c r="G1069" s="27" t="n">
        <f aca="false">px*(1+bb_g)^(2-0.5)</f>
        <v>597.773688552047</v>
      </c>
      <c r="H1069" s="27" t="n">
        <f aca="false">px*(1+bb_g)^(3-0.5)</f>
        <v>645.595583636211</v>
      </c>
      <c r="I1069" s="27" t="n">
        <f aca="false">px*(1+bb_g)^(4-0.5)</f>
        <v>697.243230327108</v>
      </c>
      <c r="J1069" s="27" t="n">
        <f aca="false">px*(1+bb_g)^(5-0.5)</f>
        <v>753.022688753277</v>
      </c>
      <c r="K1069" s="27" t="n">
        <f aca="false">px*(1+bb_g)^(6-0.5)</f>
        <v>813.264503853539</v>
      </c>
    </row>
    <row r="1070" customFormat="false" ht="15" hidden="false" customHeight="false" outlineLevel="0" collapsed="false">
      <c r="A1070" s="1" t="s">
        <v>867</v>
      </c>
      <c r="B1070" s="1" t="s">
        <v>79</v>
      </c>
      <c r="E1070" s="18" t="n">
        <f aca="false">sh_out26</f>
        <v>7.427</v>
      </c>
      <c r="F1070" s="18" t="n">
        <f aca="false">Sens!E1070+sh_iss-Sens!F1064/Sens!F1069</f>
        <v>7.472</v>
      </c>
      <c r="G1070" s="18" t="n">
        <f aca="false">Sens!F1070+sh_iss-Sens!G1064/Sens!G1069</f>
        <v>7.517</v>
      </c>
      <c r="H1070" s="18" t="n">
        <f aca="false">Sens!G1070+sh_iss-Sens!H1064/Sens!H1069</f>
        <v>7.53324301913355</v>
      </c>
      <c r="I1070" s="18" t="n">
        <f aca="false">Sens!H1070+sh_iss-Sens!I1064/Sens!I1069</f>
        <v>7.54630151144828</v>
      </c>
      <c r="J1070" s="18" t="n">
        <f aca="false">Sens!I1070+sh_iss-Sens!J1064/Sens!J1069</f>
        <v>7.56172604136932</v>
      </c>
      <c r="K1070" s="18" t="n">
        <f aca="false">Sens!J1070+sh_iss-Sens!K1064/Sens!K1069</f>
        <v>7.57934134685176</v>
      </c>
    </row>
    <row r="1071" customFormat="false" ht="15" hidden="false" customHeight="false" outlineLevel="0" collapsed="false">
      <c r="A1071" s="1" t="s">
        <v>868</v>
      </c>
      <c r="B1071" s="1" t="s">
        <v>79</v>
      </c>
      <c r="E1071" s="18" t="n">
        <f aca="false">sh_dil26</f>
        <v>7.453</v>
      </c>
      <c r="F1071" s="18" t="n">
        <f aca="false">(Sens!E1070+Sens!F1070)/2+dil_gap</f>
        <v>7.4735</v>
      </c>
      <c r="G1071" s="18" t="n">
        <f aca="false">(Sens!F1070+Sens!G1070)/2+dil_gap</f>
        <v>7.5185</v>
      </c>
      <c r="H1071" s="18" t="n">
        <f aca="false">(Sens!G1070+Sens!H1070)/2+dil_gap</f>
        <v>7.54912150956678</v>
      </c>
      <c r="I1071" s="18" t="n">
        <f aca="false">(Sens!H1070+Sens!I1070)/2+dil_gap</f>
        <v>7.56377226529092</v>
      </c>
      <c r="J1071" s="18" t="n">
        <f aca="false">(Sens!I1070+Sens!J1070)/2+dil_gap</f>
        <v>7.5780137764088</v>
      </c>
      <c r="K1071" s="18" t="n">
        <f aca="false">(Sens!J1070+Sens!K1070)/2+dil_gap</f>
        <v>7.59453369411054</v>
      </c>
    </row>
    <row r="1072" customFormat="false" ht="17.15" hidden="false" customHeight="false" outlineLevel="0" collapsed="false">
      <c r="A1072" s="1" t="s">
        <v>869</v>
      </c>
      <c r="B1072" s="0" t="s">
        <v>95</v>
      </c>
      <c r="C1072" s="6" t="n">
        <f aca="false">SUM(Sens!F1062:J1062)</f>
        <v>61.4247549261138</v>
      </c>
    </row>
    <row r="1073" customFormat="false" ht="17.15" hidden="false" customHeight="false" outlineLevel="0" collapsed="false">
      <c r="A1073" s="1" t="s">
        <v>836</v>
      </c>
      <c r="B1073" s="1" t="s">
        <v>870</v>
      </c>
      <c r="C1073" s="30" t="str">
        <f aca="false">IF(SUM(Sens!F1065:J1065)&gt;0.05,"需要舉債 "&amp;TEXT(SUM(Sens!F1065:J1065),"0.0")&amp;" 十億美元","不需舉債")&amp;"；"&amp;IF(SUM(Sens!F1064:J1064)&lt;5*bb_target-0.05,"回購較每年 "&amp;TEXT(bb_target,"0.0")&amp;" 的目標少 "&amp;TEXT(5*bb_target-SUM(Sens!F1064:J1064),"0.0")&amp;" 十億美元（"&amp;TEXT(COUNTIF(Sens!F1064:J1064,"&lt;"&amp;(bb_target-0.05)),"0")&amp;" 年減少）","回購不減")</f>
        <v>需要舉債 11.6 十億美元；回購較每年 22.3 的目標少 48.2 十億美元（3 年減少）</v>
      </c>
    </row>
    <row r="1074" customFormat="false" ht="17.15" hidden="false" customHeight="false" outlineLevel="0" collapsed="false">
      <c r="A1074" s="3" t="s">
        <v>1143</v>
      </c>
    </row>
    <row r="1075" customFormat="false" ht="15" hidden="false" customHeight="false" outlineLevel="0" collapsed="false">
      <c r="A1075" s="4" t="s">
        <v>43</v>
      </c>
      <c r="B1075" s="4" t="s">
        <v>63</v>
      </c>
      <c r="C1075" s="19" t="s">
        <v>710</v>
      </c>
      <c r="D1075" s="19" t="s">
        <v>711</v>
      </c>
      <c r="E1075" s="19" t="s">
        <v>712</v>
      </c>
      <c r="F1075" s="19" t="s">
        <v>713</v>
      </c>
      <c r="G1075" s="19" t="s">
        <v>714</v>
      </c>
      <c r="H1075" s="19" t="s">
        <v>715</v>
      </c>
      <c r="I1075" s="19" t="s">
        <v>716</v>
      </c>
      <c r="J1075" s="19" t="s">
        <v>717</v>
      </c>
      <c r="K1075" s="19" t="s">
        <v>718</v>
      </c>
      <c r="L1075" s="4" t="s">
        <v>47</v>
      </c>
    </row>
    <row r="1076" customFormat="false" ht="17.15" hidden="false" customHeight="false" outlineLevel="0" collapsed="false">
      <c r="A1076" s="1" t="s">
        <v>938</v>
      </c>
      <c r="B1076" s="1" t="s">
        <v>213</v>
      </c>
      <c r="F1076" s="34" t="n">
        <f aca="false">1-0.5</f>
        <v>0.5</v>
      </c>
      <c r="G1076" s="34" t="n">
        <f aca="false">2-0.5</f>
        <v>1.5</v>
      </c>
      <c r="H1076" s="34" t="n">
        <f aca="false">3-0.5</f>
        <v>2.5</v>
      </c>
      <c r="I1076" s="34" t="n">
        <f aca="false">4-0.5</f>
        <v>3.5</v>
      </c>
      <c r="J1076" s="34" t="n">
        <f aca="false">5-0.5</f>
        <v>4.5</v>
      </c>
      <c r="K1076" s="34" t="n">
        <f aca="false">6-0.5</f>
        <v>5.5</v>
      </c>
    </row>
    <row r="1077" customFormat="false" ht="15" hidden="false" customHeight="false" outlineLevel="0" collapsed="false">
      <c r="A1077" s="1" t="s">
        <v>939</v>
      </c>
      <c r="B1077" s="0" t="s">
        <v>182</v>
      </c>
      <c r="F1077" s="18" t="n">
        <f aca="false">1/(1+wacc)^Sens!F1076</f>
        <v>0.949601579913219</v>
      </c>
      <c r="G1077" s="18" t="n">
        <f aca="false">1/(1+wacc)^Sens!G1076</f>
        <v>0.856296729956707</v>
      </c>
      <c r="H1077" s="18" t="n">
        <f aca="false">1/(1+wacc)^Sens!H1076</f>
        <v>0.772159719660069</v>
      </c>
      <c r="I1077" s="18" t="n">
        <f aca="false">1/(1+wacc)^Sens!I1076</f>
        <v>0.696289746073958</v>
      </c>
      <c r="J1077" s="18" t="n">
        <f aca="false">1/(1+wacc)^Sens!J1076</f>
        <v>0.627874516299776</v>
      </c>
      <c r="K1077" s="18" t="n">
        <f aca="false">1/(1+wacc)^Sens!K1076</f>
        <v>0.566181550771831</v>
      </c>
    </row>
    <row r="1078" customFormat="false" ht="15" hidden="false" customHeight="false" outlineLevel="0" collapsed="false">
      <c r="A1078" s="1" t="s">
        <v>940</v>
      </c>
      <c r="B1078" s="0" t="s">
        <v>95</v>
      </c>
      <c r="F1078" s="6" t="n">
        <f aca="false">Sens!F1059*Sens!F1077</f>
        <v>2.97626534155177</v>
      </c>
      <c r="G1078" s="6" t="n">
        <f aca="false">Sens!G1059*Sens!G1077</f>
        <v>23.4197850797014</v>
      </c>
      <c r="H1078" s="6" t="n">
        <f aca="false">Sens!H1059*Sens!H1077</f>
        <v>41.9456623750849</v>
      </c>
      <c r="I1078" s="6" t="n">
        <f aca="false">Sens!I1059*Sens!I1077</f>
        <v>43.1974208057346</v>
      </c>
      <c r="J1078" s="6" t="n">
        <f aca="false">Sens!J1059*Sens!J1077</f>
        <v>52.7786367765988</v>
      </c>
      <c r="K1078" s="6" t="n">
        <f aca="false">Sens!K1059*Sens!K1077</f>
        <v>42.9000376846663</v>
      </c>
    </row>
    <row r="1079" customFormat="false" ht="17.15" hidden="false" customHeight="false" outlineLevel="0" collapsed="false">
      <c r="A1079" s="1" t="s">
        <v>941</v>
      </c>
      <c r="B1079" s="0" t="s">
        <v>95</v>
      </c>
      <c r="C1079" s="6" t="n">
        <f aca="false">SUM(Sens!F1078:K1078)</f>
        <v>207.217808063338</v>
      </c>
    </row>
    <row r="1080" customFormat="false" ht="17.15" hidden="false" customHeight="false" outlineLevel="0" collapsed="false">
      <c r="A1080" s="1" t="s">
        <v>942</v>
      </c>
      <c r="B1080" s="0" t="s">
        <v>95</v>
      </c>
      <c r="C1080" s="6" t="n">
        <f aca="false">Sens!K1025*(1+g_tv)*(1-tax_f)</f>
        <v>186.853456283928</v>
      </c>
    </row>
    <row r="1081" customFormat="false" ht="17.15" hidden="false" customHeight="false" outlineLevel="0" collapsed="false">
      <c r="A1081" s="1" t="s">
        <v>943</v>
      </c>
      <c r="B1081" s="0" t="s">
        <v>95</v>
      </c>
      <c r="C1081" s="6" t="n">
        <f aca="false">Sens!$C$1080*(1-g_tv/(wacc+ronic_prem))</f>
        <v>135.408540932279</v>
      </c>
    </row>
    <row r="1082" customFormat="false" ht="17.15" hidden="false" customHeight="false" outlineLevel="0" collapsed="false">
      <c r="A1082" s="1" t="s">
        <v>944</v>
      </c>
      <c r="B1082" s="0" t="s">
        <v>95</v>
      </c>
      <c r="C1082" s="6" t="n">
        <f aca="false">Sens!$C$1081/(wacc-g_tv)</f>
        <v>1714.83051172164</v>
      </c>
    </row>
    <row r="1083" customFormat="false" ht="15" hidden="false" customHeight="false" outlineLevel="0" collapsed="false">
      <c r="A1083" s="1" t="s">
        <v>945</v>
      </c>
      <c r="B1083" s="0" t="s">
        <v>95</v>
      </c>
      <c r="C1083" s="6" t="n">
        <f aca="false">Sens!$C$1082/(1+wacc)^6</f>
        <v>921.973300302439</v>
      </c>
    </row>
    <row r="1084" customFormat="false" ht="17.15" hidden="false" customHeight="false" outlineLevel="0" collapsed="false">
      <c r="A1084" s="0" t="s">
        <v>877</v>
      </c>
      <c r="B1084" s="0" t="s">
        <v>95</v>
      </c>
      <c r="C1084" s="6" t="n">
        <f aca="false">Sens!$C$1079+Sens!$C$1083</f>
        <v>1129.19110836578</v>
      </c>
    </row>
    <row r="1085" customFormat="false" ht="15" hidden="false" customHeight="false" outlineLevel="0" collapsed="false">
      <c r="A1085" s="1" t="s">
        <v>878</v>
      </c>
      <c r="B1085" s="0" t="s">
        <v>126</v>
      </c>
      <c r="C1085" s="7" t="n">
        <f aca="false">Sens!$C$1083/Sens!$C$1084</f>
        <v>0.816490046256887</v>
      </c>
    </row>
    <row r="1086" customFormat="false" ht="17.15" hidden="false" customHeight="false" outlineLevel="0" collapsed="false">
      <c r="A1086" s="1" t="s">
        <v>946</v>
      </c>
      <c r="B1086" s="0" t="s">
        <v>95</v>
      </c>
      <c r="C1086" s="6" t="n">
        <f aca="false">Sens!$C$1084+Sens!E1068+oai_v</f>
        <v>1330.29810836578</v>
      </c>
    </row>
    <row r="1087" customFormat="false" ht="17.15" hidden="false" customHeight="false" outlineLevel="0" collapsed="false">
      <c r="A1087" s="0" t="s">
        <v>883</v>
      </c>
      <c r="B1087" s="0" t="s">
        <v>73</v>
      </c>
      <c r="C1087" s="5" t="n">
        <f aca="false">Sens!$C$1086/sh_dil26</f>
        <v>178.491628655008</v>
      </c>
    </row>
    <row r="1088" customFormat="false" ht="17.15" hidden="false" customHeight="false" outlineLevel="0" collapsed="false">
      <c r="A1088" s="0" t="s">
        <v>947</v>
      </c>
      <c r="B1088" s="0" t="s">
        <v>73</v>
      </c>
      <c r="C1088" s="5" t="n">
        <f aca="false">Sens!$C$1087*(1+wacc)^t_roll</f>
        <v>204.728928993669</v>
      </c>
    </row>
    <row r="1089" customFormat="false" ht="17.15" hidden="false" customHeight="false" outlineLevel="0" collapsed="false">
      <c r="A1089" s="1" t="s">
        <v>948</v>
      </c>
      <c r="B1089" s="0" t="s">
        <v>126</v>
      </c>
      <c r="F1089" s="7" t="n">
        <f aca="false">Sens!F1049/(Sens!F1000-Sens!F956)</f>
        <v>0.0686864325746334</v>
      </c>
      <c r="G1089" s="7" t="n">
        <f aca="false">Sens!G1049/(Sens!G1000-Sens!G956)</f>
        <v>0.066267001590801</v>
      </c>
      <c r="H1089" s="7" t="n">
        <f aca="false">Sens!H1049/(Sens!H1000-Sens!H956)</f>
        <v>0.0650366246750144</v>
      </c>
      <c r="I1089" s="7" t="n">
        <f aca="false">Sens!I1049/(Sens!I1000-Sens!I956)</f>
        <v>0.0648573271390164</v>
      </c>
      <c r="J1089" s="7" t="n">
        <f aca="false">Sens!J1049/(Sens!J1000-Sens!J956)</f>
        <v>0.0655189837669657</v>
      </c>
      <c r="K1089" s="7" t="n">
        <f aca="false">Sens!K1049/(Sens!K1000-Sens!K956)</f>
        <v>0.0667878921367872</v>
      </c>
    </row>
    <row r="1090" customFormat="false" ht="17.15" hidden="false" customHeight="false" outlineLevel="0" collapsed="false">
      <c r="A1090" s="0" t="s">
        <v>949</v>
      </c>
      <c r="B1090" s="0" t="s">
        <v>95</v>
      </c>
      <c r="F1090" s="6" t="n">
        <f aca="false">Sens!F985*(al_m365+Sens!F1089)</f>
        <v>78.4986969872395</v>
      </c>
      <c r="G1090" s="6" t="n">
        <f aca="false">Sens!G985*(al_m365+Sens!G1089)</f>
        <v>88.3098056906507</v>
      </c>
      <c r="H1090" s="6" t="n">
        <f aca="false">Sens!H985*(al_m365+Sens!H1089)</f>
        <v>98.2773562913015</v>
      </c>
      <c r="I1090" s="6" t="n">
        <f aca="false">Sens!I985*(al_m365+Sens!I1089)</f>
        <v>107.762753675846</v>
      </c>
      <c r="J1090" s="6" t="n">
        <f aca="false">Sens!J985*(al_m365+Sens!J1089)</f>
        <v>116.587414331333</v>
      </c>
      <c r="K1090" s="6" t="n">
        <f aca="false">Sens!K985*(al_m365+Sens!K1089)</f>
        <v>125.041394489287</v>
      </c>
    </row>
    <row r="1091" customFormat="false" ht="17.15" hidden="false" customHeight="false" outlineLevel="0" collapsed="false">
      <c r="A1091" s="0" t="s">
        <v>950</v>
      </c>
      <c r="B1091" s="0" t="s">
        <v>95</v>
      </c>
      <c r="F1091" s="6" t="n">
        <f aca="false">Sens!F986*(al_lic+Sens!F1089)</f>
        <v>31.9877845991607</v>
      </c>
      <c r="G1091" s="6" t="n">
        <f aca="false">Sens!G986*(al_lic+Sens!G1089)</f>
        <v>33.243749427372</v>
      </c>
      <c r="H1091" s="6" t="n">
        <f aca="false">Sens!H986*(al_lic+Sens!H1089)</f>
        <v>34.4137793872059</v>
      </c>
      <c r="I1091" s="6" t="n">
        <f aca="false">Sens!I986*(al_lic+Sens!I1089)</f>
        <v>35.4787240806467</v>
      </c>
      <c r="J1091" s="6" t="n">
        <f aca="false">Sens!J986*(al_lic+Sens!J1089)</f>
        <v>36.4160307520991</v>
      </c>
      <c r="K1091" s="6" t="n">
        <f aca="false">Sens!K986*(al_lic+Sens!K1089)</f>
        <v>37.2021461938459</v>
      </c>
    </row>
    <row r="1092" customFormat="false" ht="17.15" hidden="false" customHeight="false" outlineLevel="0" collapsed="false">
      <c r="A1092" s="0" t="s">
        <v>951</v>
      </c>
      <c r="B1092" s="0" t="s">
        <v>95</v>
      </c>
      <c r="F1092" s="6" t="n">
        <f aca="false">Sens!F988*(al_ind+Sens!F1089)</f>
        <v>8.24280380456612</v>
      </c>
      <c r="G1092" s="6" t="n">
        <f aca="false">Sens!G988*(al_ind+Sens!G1089)</f>
        <v>8.9512770630031</v>
      </c>
      <c r="H1092" s="6" t="n">
        <f aca="false">Sens!H988*(al_ind+Sens!H1089)</f>
        <v>9.70041215792393</v>
      </c>
      <c r="I1092" s="6" t="n">
        <f aca="false">Sens!I988*(al_ind+Sens!I1089)</f>
        <v>10.4864435829487</v>
      </c>
      <c r="J1092" s="6" t="n">
        <f aca="false">Sens!J988*(al_ind+Sens!J1089)</f>
        <v>11.3015744981253</v>
      </c>
      <c r="K1092" s="6" t="n">
        <f aca="false">Sens!K988*(al_ind+Sens!K1089)</f>
        <v>12.1346647729291</v>
      </c>
    </row>
    <row r="1093" customFormat="false" ht="17.15" hidden="false" customHeight="false" outlineLevel="0" collapsed="false">
      <c r="A1093" s="0" t="s">
        <v>952</v>
      </c>
      <c r="B1093" s="0" t="s">
        <v>95</v>
      </c>
      <c r="F1093" s="6" t="n">
        <f aca="false">Sens!F990*(al_fro+Sens!F1089)</f>
        <v>3.24439651632051</v>
      </c>
      <c r="G1093" s="6" t="n">
        <f aca="false">Sens!G990*(al_fro+Sens!G1089)</f>
        <v>3.43676117771401</v>
      </c>
      <c r="H1093" s="6" t="n">
        <f aca="false">Sens!H990*(al_fro+Sens!H1089)</f>
        <v>3.65544732248501</v>
      </c>
      <c r="I1093" s="6" t="n">
        <f aca="false">Sens!I990*(al_fro+Sens!I1089)</f>
        <v>3.90262750850979</v>
      </c>
      <c r="J1093" s="6" t="n">
        <f aca="false">Sens!J990*(al_fro+Sens!J1089)</f>
        <v>4.17975656810881</v>
      </c>
      <c r="K1093" s="6" t="n">
        <f aca="false">Sens!K990*(al_fro+Sens!K1089)</f>
        <v>4.48786536733111</v>
      </c>
    </row>
    <row r="1094" customFormat="false" ht="17.15" hidden="false" customHeight="false" outlineLevel="0" collapsed="false">
      <c r="A1094" s="0" t="s">
        <v>953</v>
      </c>
      <c r="B1094" s="0" t="s">
        <v>95</v>
      </c>
      <c r="F1094" s="6" t="n">
        <f aca="false">Sens!F993*(al_srch+Sens!F1089)</f>
        <v>10.1799817910968</v>
      </c>
      <c r="G1094" s="6" t="n">
        <f aca="false">Sens!G993*(al_srch+Sens!G1089)</f>
        <v>11.1592643133754</v>
      </c>
      <c r="H1094" s="6" t="n">
        <f aca="false">Sens!H993*(al_srch+Sens!H1089)</f>
        <v>12.1792194533398</v>
      </c>
      <c r="I1094" s="6" t="n">
        <f aca="false">Sens!I993*(al_srch+Sens!I1089)</f>
        <v>13.2288881134521</v>
      </c>
      <c r="J1094" s="6" t="n">
        <f aca="false">Sens!J993*(al_srch+Sens!J1089)</f>
        <v>14.2913670918582</v>
      </c>
      <c r="K1094" s="6" t="n">
        <f aca="false">Sens!K993*(al_srch+Sens!K1089)</f>
        <v>15.3448485284362</v>
      </c>
    </row>
    <row r="1095" customFormat="false" ht="17.15" hidden="false" customHeight="false" outlineLevel="0" collapsed="false">
      <c r="A1095" s="0" t="s">
        <v>954</v>
      </c>
      <c r="B1095" s="0" t="s">
        <v>95</v>
      </c>
      <c r="F1095" s="6" t="n">
        <f aca="false">Sens!F962</f>
        <v>42.6566322707879</v>
      </c>
      <c r="G1095" s="6" t="n">
        <f aca="false">Sens!G962</f>
        <v>63.5227397611673</v>
      </c>
      <c r="H1095" s="6" t="n">
        <f aca="false">Sens!H962</f>
        <v>79.5140181916334</v>
      </c>
      <c r="I1095" s="6" t="n">
        <f aca="false">Sens!I962</f>
        <v>103.853792433524</v>
      </c>
      <c r="J1095" s="6" t="n">
        <f aca="false">Sens!J962</f>
        <v>128.258752406754</v>
      </c>
      <c r="K1095" s="6" t="n">
        <f aca="false">Sens!K962</f>
        <v>152.702058010703</v>
      </c>
    </row>
    <row r="1096" customFormat="false" ht="17.15" hidden="false" customHeight="false" outlineLevel="0" collapsed="false">
      <c r="A1096" s="0" t="s">
        <v>955</v>
      </c>
      <c r="B1096" s="0" t="s">
        <v>95</v>
      </c>
      <c r="F1096" s="6" t="n">
        <f aca="false">Sens!F1022+Sens!F973+Sens!F1089*(Sens!F992-Sens!F956)</f>
        <v>213.753753716102</v>
      </c>
      <c r="G1096" s="6" t="n">
        <f aca="false">Sens!G1022+Sens!G973+Sens!G1089*(Sens!G992-Sens!G956)</f>
        <v>252.904030108313</v>
      </c>
      <c r="H1096" s="6" t="n">
        <f aca="false">Sens!H1022+Sens!H973+Sens!H1089*(Sens!H992-Sens!H956)</f>
        <v>287.395857058158</v>
      </c>
      <c r="I1096" s="6" t="n">
        <f aca="false">Sens!I1022+Sens!I973+Sens!I1089*(Sens!I992-Sens!I956)</f>
        <v>329.520558470589</v>
      </c>
      <c r="J1096" s="6" t="n">
        <f aca="false">Sens!J1022+Sens!J973+Sens!J1089*(Sens!J992-Sens!J956)</f>
        <v>370.187242665319</v>
      </c>
      <c r="K1096" s="6" t="n">
        <f aca="false">Sens!K1022+Sens!K973+Sens!K1089*(Sens!K992-Sens!K956)</f>
        <v>408.953376022911</v>
      </c>
    </row>
    <row r="1097" customFormat="false" ht="17.15" hidden="false" customHeight="false" outlineLevel="0" collapsed="false">
      <c r="A1097" s="0" t="s">
        <v>956</v>
      </c>
      <c r="B1097" s="0" t="s">
        <v>95</v>
      </c>
      <c r="F1097" s="6" t="n">
        <f aca="false">Sens!F1096-Sens!F1090-Sens!F1091-Sens!F1092-Sens!F1093-Sens!F1095</f>
        <v>49.123439538027</v>
      </c>
      <c r="G1097" s="6" t="n">
        <f aca="false">Sens!G1096-Sens!G1090-Sens!G1091-Sens!G1092-Sens!G1093-Sens!G1095</f>
        <v>55.4396969884061</v>
      </c>
      <c r="H1097" s="6" t="n">
        <f aca="false">Sens!H1096-Sens!H1090-Sens!H1091-Sens!H1092-Sens!H1093-Sens!H1095</f>
        <v>61.8348437076084</v>
      </c>
      <c r="I1097" s="6" t="n">
        <f aca="false">Sens!I1096-Sens!I1090-Sens!I1091-Sens!I1092-Sens!I1093-Sens!I1095</f>
        <v>68.036217189113</v>
      </c>
      <c r="J1097" s="6" t="n">
        <f aca="false">Sens!J1096-Sens!J1090-Sens!J1091-Sens!J1092-Sens!J1093-Sens!J1095</f>
        <v>73.4437141088982</v>
      </c>
      <c r="K1097" s="6" t="n">
        <f aca="false">Sens!K1096-Sens!K1090-Sens!K1091-Sens!K1092-Sens!K1093-Sens!K1095</f>
        <v>77.3852471888145</v>
      </c>
    </row>
    <row r="1098" customFormat="false" ht="17.15" hidden="false" customHeight="false" outlineLevel="0" collapsed="false">
      <c r="A1098" s="0" t="s">
        <v>957</v>
      </c>
      <c r="B1098" s="0" t="s">
        <v>95</v>
      </c>
      <c r="F1098" s="6" t="n">
        <f aca="false">Sens!F1024+Sens!F1089*Sens!F999</f>
        <v>23.7697943901369</v>
      </c>
      <c r="G1098" s="6" t="n">
        <f aca="false">Sens!G1024+Sens!G1089*Sens!G999</f>
        <v>24.331261048114</v>
      </c>
      <c r="H1098" s="6" t="n">
        <f aca="false">Sens!H1024+Sens!H1089*Sens!H999</f>
        <v>25.1342423406419</v>
      </c>
      <c r="I1098" s="6" t="n">
        <f aca="false">Sens!I1024+Sens!I1089*Sens!I999</f>
        <v>26.1495446421549</v>
      </c>
      <c r="J1098" s="6" t="n">
        <f aca="false">Sens!J1024+Sens!J1089*Sens!J999</f>
        <v>27.3481502080811</v>
      </c>
      <c r="K1098" s="6" t="n">
        <f aca="false">Sens!K1024+Sens!K1089*Sens!K999</f>
        <v>28.7026027133478</v>
      </c>
    </row>
    <row r="1099" customFormat="false" ht="17.15" hidden="false" customHeight="false" outlineLevel="0" collapsed="false">
      <c r="A1099" s="0" t="s">
        <v>958</v>
      </c>
      <c r="B1099" s="0" t="s">
        <v>95</v>
      </c>
      <c r="F1099" s="6" t="n">
        <f aca="false">(Sens!F1098-Sens!F1094)*Sens!F995/(Sens!F995+Sens!F997)</f>
        <v>7.44980290393703</v>
      </c>
      <c r="G1099" s="6" t="n">
        <f aca="false">(Sens!G1098-Sens!G1094)*Sens!G995/(Sens!G995+Sens!G997)</f>
        <v>7.09201461396229</v>
      </c>
      <c r="H1099" s="6" t="n">
        <f aca="false">(Sens!H1098-Sens!H1094)*Sens!H995/(Sens!H995+Sens!H997)</f>
        <v>6.8809692168288</v>
      </c>
      <c r="I1099" s="6" t="n">
        <f aca="false">(Sens!I1098-Sens!I1094)*Sens!I995/(Sens!I995+Sens!I997)</f>
        <v>6.80062182771623</v>
      </c>
      <c r="J1099" s="6" t="n">
        <f aca="false">(Sens!J1098-Sens!J1094)*Sens!J995/(Sens!J995+Sens!J997)</f>
        <v>6.84119415814997</v>
      </c>
      <c r="K1099" s="6" t="n">
        <f aca="false">(Sens!K1098-Sens!K1094)*Sens!K995/(Sens!K995+Sens!K997)</f>
        <v>6.99889008512966</v>
      </c>
    </row>
    <row r="1100" customFormat="false" ht="17.15" hidden="false" customHeight="false" outlineLevel="0" collapsed="false">
      <c r="A1100" s="0" t="s">
        <v>959</v>
      </c>
      <c r="B1100" s="0" t="s">
        <v>95</v>
      </c>
      <c r="F1100" s="6" t="n">
        <f aca="false">Sens!F1098-Sens!F1094-Sens!F1099</f>
        <v>6.14000969510312</v>
      </c>
      <c r="G1100" s="6" t="n">
        <f aca="false">Sens!G1098-Sens!G1094-Sens!G1099</f>
        <v>6.07998212077627</v>
      </c>
      <c r="H1100" s="6" t="n">
        <f aca="false">Sens!H1098-Sens!H1094-Sens!H1099</f>
        <v>6.07405367047327</v>
      </c>
      <c r="I1100" s="6" t="n">
        <f aca="false">Sens!I1098-Sens!I1094-Sens!I1099</f>
        <v>6.12003470098649</v>
      </c>
      <c r="J1100" s="6" t="n">
        <f aca="false">Sens!J1098-Sens!J1094-Sens!J1099</f>
        <v>6.21558895807294</v>
      </c>
      <c r="K1100" s="6" t="n">
        <f aca="false">Sens!K1098-Sens!K1094-Sens!K1099</f>
        <v>6.35886409978198</v>
      </c>
    </row>
    <row r="1101" customFormat="false" ht="17.15" hidden="false" customHeight="false" outlineLevel="0" collapsed="false">
      <c r="A1101" s="1" t="s">
        <v>960</v>
      </c>
      <c r="B1101" s="0" t="s">
        <v>95</v>
      </c>
      <c r="C1101" s="6" t="n">
        <f aca="false">(w_ntm28*Sens!G1095+(1-w_ntm28)*Sens!H1095)*m_ai*1</f>
        <v>412.155137549935</v>
      </c>
    </row>
    <row r="1102" customFormat="false" ht="17.15" hidden="false" customHeight="false" outlineLevel="0" collapsed="false">
      <c r="A1102" s="1" t="s">
        <v>961</v>
      </c>
      <c r="B1102" s="0" t="s">
        <v>95</v>
      </c>
      <c r="C1102" s="6" t="n">
        <f aca="false">(w_ntm28*Sens!G1097+(1-w_ntm28)*Sens!H1097)*m_cloud*1</f>
        <v>794.749076664173</v>
      </c>
    </row>
    <row r="1103" customFormat="false" ht="17.15" hidden="false" customHeight="false" outlineLevel="0" collapsed="false">
      <c r="A1103" s="1" t="s">
        <v>962</v>
      </c>
      <c r="B1103" s="0" t="s">
        <v>95</v>
      </c>
      <c r="C1103" s="6" t="n">
        <f aca="false">(w_ntm28*Sens!G1090+(1-w_ntm28)*Sens!H1090)*m_sw*1</f>
        <v>988.547672652094</v>
      </c>
    </row>
    <row r="1104" customFormat="false" ht="17.15" hidden="false" customHeight="false" outlineLevel="0" collapsed="false">
      <c r="A1104" s="1" t="s">
        <v>963</v>
      </c>
      <c r="B1104" s="0" t="s">
        <v>95</v>
      </c>
      <c r="C1104" s="6" t="n">
        <f aca="false">(w_ntm28*Sens!G1091+(1-w_ntm28)*Sens!H1091)*m_sw*1</f>
        <v>363.117661434282</v>
      </c>
    </row>
    <row r="1105" customFormat="false" ht="17.15" hidden="false" customHeight="false" outlineLevel="0" collapsed="false">
      <c r="A1105" s="1" t="s">
        <v>964</v>
      </c>
      <c r="B1105" s="0" t="s">
        <v>95</v>
      </c>
      <c r="C1105" s="6" t="n">
        <f aca="false">(w_ntm28*Sens!G1092+(1-w_ntm28)*Sens!H1092)*m_sw*1</f>
        <v>99.2894025954118</v>
      </c>
    </row>
    <row r="1106" customFormat="false" ht="17.15" hidden="false" customHeight="false" outlineLevel="0" collapsed="false">
      <c r="A1106" s="1" t="s">
        <v>965</v>
      </c>
      <c r="B1106" s="0" t="s">
        <v>95</v>
      </c>
      <c r="C1106" s="6" t="n">
        <f aca="false">(w_ntm28*Sens!G1093+(1-w_ntm28)*Sens!H1093)*m_sw*1</f>
        <v>37.8805648916295</v>
      </c>
    </row>
    <row r="1107" customFormat="false" ht="17.15" hidden="false" customHeight="false" outlineLevel="0" collapsed="false">
      <c r="A1107" s="1" t="s">
        <v>966</v>
      </c>
      <c r="B1107" s="0" t="s">
        <v>95</v>
      </c>
      <c r="C1107" s="6" t="n">
        <f aca="false">(w_ntm28*Sens!G1094+(1-w_ntm28)*Sens!H1094)*m_ads*1</f>
        <v>104.664819473916</v>
      </c>
    </row>
    <row r="1108" customFormat="false" ht="17.15" hidden="false" customHeight="false" outlineLevel="0" collapsed="false">
      <c r="A1108" s="1" t="s">
        <v>967</v>
      </c>
      <c r="B1108" s="0" t="s">
        <v>95</v>
      </c>
      <c r="C1108" s="6" t="n">
        <f aca="false">(w_ntm28*Sens!G1099+(1-w_ntm28)*Sens!H1099)*m_game*1</f>
        <v>88.7104201985522</v>
      </c>
    </row>
    <row r="1109" customFormat="false" ht="17.15" hidden="false" customHeight="false" outlineLevel="0" collapsed="false">
      <c r="A1109" s="1" t="s">
        <v>968</v>
      </c>
      <c r="B1109" s="0" t="s">
        <v>95</v>
      </c>
      <c r="C1109" s="6" t="n">
        <f aca="false">(w_ntm28*Sens!G1100+(1-w_ntm28)*Sens!H1100)*m_pc*1</f>
        <v>87.9496081595385</v>
      </c>
    </row>
    <row r="1110" customFormat="false" ht="17.15" hidden="false" customHeight="false" outlineLevel="0" collapsed="false">
      <c r="A1110" s="1" t="s">
        <v>969</v>
      </c>
      <c r="B1110" s="0" t="s">
        <v>95</v>
      </c>
      <c r="C1110" s="6" t="n">
        <f aca="false">Sens!$C$1101+Sens!$C$1102+Sens!$C$1103+Sens!$C$1104+Sens!$C$1105+Sens!$C$1106+Sens!$C$1107+Sens!$C$1108+Sens!$C$1109</f>
        <v>2977.06436361953</v>
      </c>
    </row>
    <row r="1111" customFormat="false" ht="17.15" hidden="false" customHeight="false" outlineLevel="0" collapsed="false">
      <c r="A1111" s="1" t="s">
        <v>903</v>
      </c>
      <c r="B1111" s="0" t="s">
        <v>95</v>
      </c>
      <c r="C1111" s="6" t="n">
        <f aca="false">Sens!F1068+oai_v-Sens!F1057</f>
        <v>113.177545347249</v>
      </c>
      <c r="L1111" s="1" t="s">
        <v>970</v>
      </c>
    </row>
    <row r="1112" customFormat="false" ht="15" hidden="false" customHeight="false" outlineLevel="0" collapsed="false">
      <c r="A1112" s="1" t="s">
        <v>904</v>
      </c>
      <c r="B1112" s="0" t="s">
        <v>73</v>
      </c>
      <c r="C1112" s="5" t="n">
        <f aca="false">(Sens!$C$1110+Sens!$C$1111)/Sens!F1070</f>
        <v>413.576272613327</v>
      </c>
    </row>
    <row r="1113" customFormat="false" ht="17.15" hidden="false" customHeight="false" outlineLevel="0" collapsed="false">
      <c r="A1113" s="1" t="s">
        <v>971</v>
      </c>
      <c r="B1113" s="0" t="s">
        <v>73</v>
      </c>
      <c r="C1113" s="5" t="n">
        <f aca="false">w_dcf*Sens!$C$1088+(1-w_dcf)*Sens!$C$1112</f>
        <v>309.152600803498</v>
      </c>
    </row>
    <row r="1114" customFormat="false" ht="17.15" hidden="false" customHeight="false" outlineLevel="0" collapsed="false">
      <c r="A1114" s="3" t="s">
        <v>1144</v>
      </c>
    </row>
    <row r="1115" customFormat="false" ht="15" hidden="false" customHeight="false" outlineLevel="0" collapsed="false">
      <c r="A1115" s="4" t="s">
        <v>43</v>
      </c>
      <c r="B1115" s="4" t="s">
        <v>63</v>
      </c>
      <c r="C1115" s="19" t="s">
        <v>710</v>
      </c>
      <c r="D1115" s="19" t="s">
        <v>711</v>
      </c>
      <c r="E1115" s="19" t="s">
        <v>712</v>
      </c>
      <c r="F1115" s="19" t="s">
        <v>713</v>
      </c>
      <c r="G1115" s="19" t="s">
        <v>714</v>
      </c>
      <c r="H1115" s="19" t="s">
        <v>715</v>
      </c>
      <c r="I1115" s="19" t="s">
        <v>716</v>
      </c>
      <c r="J1115" s="19" t="s">
        <v>717</v>
      </c>
      <c r="K1115" s="19" t="s">
        <v>718</v>
      </c>
      <c r="L1115" s="4" t="s">
        <v>47</v>
      </c>
    </row>
    <row r="1116" customFormat="false" ht="17.15" hidden="false" customHeight="false" outlineLevel="0" collapsed="false">
      <c r="A1116" s="1" t="s">
        <v>719</v>
      </c>
      <c r="B1116" s="0" t="s">
        <v>340</v>
      </c>
      <c r="C1116" s="27" t="n">
        <f aca="false">mw_ext_24</f>
        <v>640</v>
      </c>
      <c r="D1116" s="27" t="n">
        <f aca="false">mw_ext_25</f>
        <v>1630</v>
      </c>
      <c r="E1116" s="27" t="n">
        <f aca="false">mw_ext_26</f>
        <v>3250</v>
      </c>
      <c r="F1116" s="27" t="n">
        <f aca="false">MIN(1000000000,Sens!E1116+pace)</f>
        <v>5777.2</v>
      </c>
      <c r="G1116" s="27" t="n">
        <f aca="false">MIN(1000000000,Sens!F1116+pace)</f>
        <v>8304.4</v>
      </c>
      <c r="H1116" s="27" t="n">
        <f aca="false">MIN(1000000000,Sens!G1116+pace)</f>
        <v>10831.6</v>
      </c>
      <c r="I1116" s="27" t="n">
        <f aca="false">MIN(1000000000,Sens!H1116+pace)</f>
        <v>13358.8</v>
      </c>
      <c r="J1116" s="27" t="n">
        <f aca="false">MIN(1000000000,Sens!I1116+pace)</f>
        <v>15886</v>
      </c>
      <c r="K1116" s="27" t="n">
        <f aca="false">MIN(1000000000,Sens!J1116+pace)</f>
        <v>18413.2</v>
      </c>
      <c r="L1116" s="11" t="s">
        <v>720</v>
      </c>
    </row>
    <row r="1117" customFormat="false" ht="17.15" hidden="false" customHeight="false" outlineLevel="0" collapsed="false">
      <c r="A1117" s="1" t="s">
        <v>721</v>
      </c>
      <c r="B1117" s="0" t="s">
        <v>340</v>
      </c>
      <c r="C1117" s="27" t="n">
        <f aca="false">rent_ext_24</f>
        <v>150</v>
      </c>
      <c r="D1117" s="27" t="n">
        <f aca="false">rent_ext_25</f>
        <v>400</v>
      </c>
      <c r="E1117" s="27" t="n">
        <f aca="false">rent_ext_26</f>
        <v>550</v>
      </c>
      <c r="F1117" s="27" t="n">
        <f aca="false">rent_ext_f</f>
        <v>756</v>
      </c>
      <c r="G1117" s="27" t="n">
        <f aca="false">rent_ext_f</f>
        <v>756</v>
      </c>
      <c r="H1117" s="27" t="n">
        <f aca="false">rent_ext_f</f>
        <v>756</v>
      </c>
      <c r="I1117" s="27" t="n">
        <f aca="false">rent_ext_f</f>
        <v>756</v>
      </c>
      <c r="J1117" s="27" t="n">
        <f aca="false">rent_ext_f</f>
        <v>756</v>
      </c>
      <c r="K1117" s="27" t="n">
        <f aca="false">rent_ext_f</f>
        <v>756</v>
      </c>
      <c r="L1117" s="1" t="s">
        <v>722</v>
      </c>
    </row>
    <row r="1118" customFormat="false" ht="17.15" hidden="false" customHeight="false" outlineLevel="0" collapsed="false">
      <c r="A1118" s="1" t="s">
        <v>723</v>
      </c>
      <c r="B1118" s="0" t="s">
        <v>340</v>
      </c>
      <c r="C1118" s="27" t="n">
        <f aca="false">Sens!C1116-Sens!C1117</f>
        <v>490</v>
      </c>
      <c r="D1118" s="27" t="n">
        <f aca="false">Sens!D1116-Sens!D1117</f>
        <v>1230</v>
      </c>
      <c r="E1118" s="27" t="n">
        <f aca="false">Sens!E1116-Sens!E1117</f>
        <v>2700</v>
      </c>
      <c r="F1118" s="27" t="n">
        <f aca="false">Sens!F1116-Sens!F1117</f>
        <v>5021.2</v>
      </c>
      <c r="G1118" s="27" t="n">
        <f aca="false">Sens!G1116-Sens!G1117</f>
        <v>7548.4</v>
      </c>
      <c r="H1118" s="27" t="n">
        <f aca="false">Sens!H1116-Sens!H1117</f>
        <v>10075.6</v>
      </c>
      <c r="I1118" s="27" t="n">
        <f aca="false">Sens!I1116-Sens!I1117</f>
        <v>12602.8</v>
      </c>
      <c r="J1118" s="27" t="n">
        <f aca="false">Sens!J1116-Sens!J1117</f>
        <v>15130</v>
      </c>
      <c r="K1118" s="27" t="n">
        <f aca="false">Sens!K1116-Sens!K1117</f>
        <v>17657.2</v>
      </c>
    </row>
    <row r="1119" customFormat="false" ht="17.15" hidden="false" customHeight="false" outlineLevel="0" collapsed="false">
      <c r="A1119" s="1" t="s">
        <v>724</v>
      </c>
      <c r="B1119" s="0" t="s">
        <v>340</v>
      </c>
      <c r="C1119" s="27" t="n">
        <f aca="false">Sens!C1118/ext_sh_lo</f>
        <v>980</v>
      </c>
      <c r="D1119" s="27" t="n">
        <f aca="false">Sens!D1118/ext_sh_lo</f>
        <v>2460</v>
      </c>
      <c r="E1119" s="27" t="n">
        <f aca="false">Sens!E1118/ext_sh_lo</f>
        <v>5400</v>
      </c>
      <c r="F1119" s="27" t="n">
        <f aca="false">Sens!F1118/ext_sh_lo</f>
        <v>10042.4</v>
      </c>
      <c r="G1119" s="27" t="n">
        <f aca="false">Sens!G1118/ext_sh_lo</f>
        <v>15096.8</v>
      </c>
      <c r="H1119" s="27" t="n">
        <f aca="false">Sens!H1118/ext_sh_lo</f>
        <v>20151.2</v>
      </c>
      <c r="I1119" s="27" t="n">
        <f aca="false">Sens!I1118/ext_sh_lo</f>
        <v>25205.6</v>
      </c>
      <c r="J1119" s="27" t="n">
        <f aca="false">Sens!J1118/ext_sh_lo</f>
        <v>30260</v>
      </c>
      <c r="K1119" s="27" t="n">
        <f aca="false">Sens!K1118/ext_sh_lo</f>
        <v>35314.4</v>
      </c>
      <c r="L1119" s="1" t="s">
        <v>725</v>
      </c>
    </row>
    <row r="1120" customFormat="false" ht="17.15" hidden="false" customHeight="false" outlineLevel="0" collapsed="false">
      <c r="A1120" s="1" t="s">
        <v>726</v>
      </c>
      <c r="B1120" s="0" t="s">
        <v>340</v>
      </c>
      <c r="C1120" s="27" t="n">
        <f aca="false">Sens!C1119-Sens!C1118</f>
        <v>490</v>
      </c>
      <c r="D1120" s="27" t="n">
        <f aca="false">Sens!D1119-Sens!D1118</f>
        <v>1230</v>
      </c>
      <c r="E1120" s="27" t="n">
        <f aca="false">Sens!E1119-Sens!E1118</f>
        <v>2700</v>
      </c>
      <c r="F1120" s="27" t="n">
        <f aca="false">Sens!F1119-Sens!F1118</f>
        <v>5021.2</v>
      </c>
      <c r="G1120" s="27" t="n">
        <f aca="false">Sens!G1119-Sens!G1118</f>
        <v>7548.4</v>
      </c>
      <c r="H1120" s="27" t="n">
        <f aca="false">Sens!H1119-Sens!H1118</f>
        <v>10075.6</v>
      </c>
      <c r="I1120" s="27" t="n">
        <f aca="false">Sens!I1119-Sens!I1118</f>
        <v>12602.8</v>
      </c>
      <c r="J1120" s="27" t="n">
        <f aca="false">Sens!J1119-Sens!J1118</f>
        <v>15130</v>
      </c>
      <c r="K1120" s="27" t="n">
        <f aca="false">Sens!K1119-Sens!K1118</f>
        <v>17657.2</v>
      </c>
    </row>
    <row r="1121" customFormat="false" ht="17.15" hidden="false" customHeight="false" outlineLevel="0" collapsed="false">
      <c r="A1121" s="1" t="s">
        <v>727</v>
      </c>
      <c r="B1121" s="0" t="s">
        <v>340</v>
      </c>
      <c r="C1121" s="27" t="n">
        <f aca="false">Sens!C1119</f>
        <v>980</v>
      </c>
      <c r="D1121" s="27" t="n">
        <f aca="false">Sens!D1119-Sens!C1119</f>
        <v>1480</v>
      </c>
      <c r="E1121" s="27" t="n">
        <f aca="false">Sens!E1119-Sens!D1119</f>
        <v>2940</v>
      </c>
      <c r="F1121" s="27" t="n">
        <f aca="false">Sens!F1119-Sens!E1119</f>
        <v>4642.4</v>
      </c>
      <c r="G1121" s="27" t="n">
        <f aca="false">Sens!G1119-Sens!F1119</f>
        <v>5054.4</v>
      </c>
      <c r="H1121" s="27" t="n">
        <f aca="false">Sens!H1119-Sens!G1119</f>
        <v>5054.4</v>
      </c>
      <c r="I1121" s="27" t="n">
        <f aca="false">Sens!I1119-Sens!H1119</f>
        <v>5054.4</v>
      </c>
      <c r="J1121" s="27" t="n">
        <f aca="false">Sens!J1119-Sens!I1119</f>
        <v>5054.4</v>
      </c>
      <c r="K1121" s="27" t="n">
        <f aca="false">Sens!K1119-Sens!J1119</f>
        <v>5054.4</v>
      </c>
    </row>
    <row r="1122" customFormat="false" ht="17.15" hidden="false" customHeight="false" outlineLevel="0" collapsed="false">
      <c r="A1122" s="1" t="s">
        <v>728</v>
      </c>
      <c r="B1122" s="0" t="s">
        <v>340</v>
      </c>
      <c r="D1122" s="27" t="n">
        <f aca="false">Sens!D1116-Sens!C1116</f>
        <v>990</v>
      </c>
      <c r="E1122" s="27" t="n">
        <f aca="false">Sens!E1116-Sens!D1116</f>
        <v>1620</v>
      </c>
      <c r="F1122" s="27" t="n">
        <f aca="false">Sens!F1116-Sens!E1116</f>
        <v>2527.2</v>
      </c>
      <c r="G1122" s="27" t="n">
        <f aca="false">Sens!G1116-Sens!F1116</f>
        <v>2527.2</v>
      </c>
      <c r="H1122" s="27" t="n">
        <f aca="false">Sens!H1116-Sens!G1116</f>
        <v>2527.2</v>
      </c>
      <c r="I1122" s="27" t="n">
        <f aca="false">Sens!I1116-Sens!H1116</f>
        <v>2527.2</v>
      </c>
      <c r="J1122" s="27" t="n">
        <f aca="false">Sens!J1116-Sens!I1116</f>
        <v>2527.2</v>
      </c>
      <c r="K1122" s="27" t="n">
        <f aca="false">Sens!K1116-Sens!J1116</f>
        <v>2527.2</v>
      </c>
    </row>
    <row r="1123" customFormat="false" ht="17.15" hidden="false" customHeight="false" outlineLevel="0" collapsed="false">
      <c r="A1123" s="1" t="s">
        <v>729</v>
      </c>
      <c r="B1123" s="0" t="s">
        <v>340</v>
      </c>
      <c r="C1123" s="27" t="n">
        <f aca="false">mix_h*Sens!C1116</f>
        <v>128</v>
      </c>
      <c r="D1123" s="27" t="n">
        <f aca="false">mix_h*Sens!D1116</f>
        <v>326</v>
      </c>
      <c r="E1123" s="27" t="n">
        <f aca="false">mix_h*Sens!E1116</f>
        <v>650</v>
      </c>
      <c r="F1123" s="27" t="n">
        <f aca="false">Sens!E1123</f>
        <v>650</v>
      </c>
      <c r="G1123" s="27" t="n">
        <f aca="false">Sens!F1123</f>
        <v>650</v>
      </c>
      <c r="H1123" s="27" t="n">
        <f aca="false">Sens!G1123</f>
        <v>650</v>
      </c>
      <c r="I1123" s="27" t="n">
        <f aca="false">Sens!H1123</f>
        <v>650</v>
      </c>
      <c r="J1123" s="27" t="n">
        <f aca="false">Sens!I1123</f>
        <v>650</v>
      </c>
      <c r="K1123" s="27" t="n">
        <f aca="false">Sens!J1123</f>
        <v>650</v>
      </c>
    </row>
    <row r="1124" customFormat="false" ht="17.15" hidden="false" customHeight="false" outlineLevel="0" collapsed="false">
      <c r="A1124" s="1" t="s">
        <v>730</v>
      </c>
      <c r="B1124" s="0" t="s">
        <v>340</v>
      </c>
      <c r="C1124" s="27" t="n">
        <f aca="false">mix_g2*Sens!C1116</f>
        <v>288</v>
      </c>
      <c r="D1124" s="27" t="n">
        <f aca="false">mix_g2*Sens!D1116</f>
        <v>733.5</v>
      </c>
      <c r="E1124" s="27" t="n">
        <f aca="false">mix_g2*Sens!E1116</f>
        <v>1462.5</v>
      </c>
      <c r="F1124" s="27" t="n">
        <f aca="false">Sens!E1124</f>
        <v>1462.5</v>
      </c>
      <c r="G1124" s="27" t="n">
        <f aca="false">Sens!F1124</f>
        <v>1462.5</v>
      </c>
      <c r="H1124" s="27" t="n">
        <f aca="false">Sens!G1124</f>
        <v>1462.5</v>
      </c>
      <c r="I1124" s="27" t="n">
        <f aca="false">Sens!H1124</f>
        <v>1462.5</v>
      </c>
      <c r="J1124" s="27" t="n">
        <f aca="false">Sens!I1124</f>
        <v>1462.5</v>
      </c>
      <c r="K1124" s="27" t="n">
        <f aca="false">Sens!J1124</f>
        <v>1462.5</v>
      </c>
    </row>
    <row r="1125" customFormat="false" ht="17.15" hidden="false" customHeight="false" outlineLevel="0" collapsed="false">
      <c r="A1125" s="1" t="s">
        <v>731</v>
      </c>
      <c r="B1125" s="0" t="s">
        <v>340</v>
      </c>
      <c r="C1125" s="27" t="n">
        <f aca="false">mix_g3*Sens!C1116</f>
        <v>224</v>
      </c>
      <c r="D1125" s="27" t="n">
        <f aca="false">mix_g3*Sens!D1116</f>
        <v>570.5</v>
      </c>
      <c r="E1125" s="27" t="n">
        <f aca="false">mix_g3*Sens!E1116</f>
        <v>1137.5</v>
      </c>
      <c r="F1125" s="27" t="n">
        <f aca="false">Sens!E1125+Sens!F1122*a_g3_27</f>
        <v>2906.54</v>
      </c>
      <c r="G1125" s="27" t="n">
        <f aca="false">Sens!F1125+Sens!G1122*a_g3_28</f>
        <v>3664.7</v>
      </c>
      <c r="H1125" s="27" t="n">
        <f aca="false">Sens!G1125+Sens!H1122*a_g3_29</f>
        <v>3917.42</v>
      </c>
      <c r="I1125" s="27" t="n">
        <f aca="false">Sens!H1125+Sens!I1122*a_g3_29</f>
        <v>4170.14</v>
      </c>
      <c r="J1125" s="27" t="n">
        <f aca="false">Sens!I1125+Sens!J1122*a_g3_29</f>
        <v>4422.86</v>
      </c>
      <c r="K1125" s="27" t="n">
        <f aca="false">Sens!J1125+Sens!K1122*a_g3_29</f>
        <v>4675.58</v>
      </c>
    </row>
    <row r="1126" customFormat="false" ht="17.15" hidden="false" customHeight="false" outlineLevel="0" collapsed="false">
      <c r="A1126" s="1" t="s">
        <v>732</v>
      </c>
      <c r="B1126" s="0" t="s">
        <v>340</v>
      </c>
      <c r="C1126" s="27" t="n">
        <f aca="false">0</f>
        <v>0</v>
      </c>
      <c r="D1126" s="27" t="n">
        <f aca="false">0</f>
        <v>0</v>
      </c>
      <c r="E1126" s="27" t="n">
        <f aca="false">0</f>
        <v>0</v>
      </c>
      <c r="F1126" s="27" t="n">
        <f aca="false">Sens!E1126+Sens!F1122*(1-a_g3_27)</f>
        <v>758.16</v>
      </c>
      <c r="G1126" s="27" t="n">
        <f aca="false">Sens!F1126+Sens!G1122*(1-a_g3_28)</f>
        <v>2527.2</v>
      </c>
      <c r="H1126" s="27" t="n">
        <f aca="false">Sens!G1126+Sens!H1122*(1-a_g3_29)</f>
        <v>4801.68</v>
      </c>
      <c r="I1126" s="27" t="n">
        <f aca="false">Sens!H1126+Sens!I1122*(1-a_g3_29)</f>
        <v>7076.16</v>
      </c>
      <c r="J1126" s="27" t="n">
        <f aca="false">Sens!I1126+Sens!J1122*(1-a_g3_29)</f>
        <v>9350.64</v>
      </c>
      <c r="K1126" s="27" t="n">
        <f aca="false">Sens!J1126+Sens!K1122*(1-a_g3_29)</f>
        <v>11625.12</v>
      </c>
    </row>
    <row r="1127" customFormat="false" ht="17.15" hidden="false" customHeight="false" outlineLevel="0" collapsed="false">
      <c r="A1127" s="1" t="s">
        <v>733</v>
      </c>
      <c r="B1127" s="0" t="s">
        <v>291</v>
      </c>
      <c r="C1127" s="18" t="n">
        <f aca="false">(Sens!C1123*tk_hold_h100+Sens!C1124*tk_hold_gb200+Sens!C1125*tk_hold_gb300+Sens!C1126*tk_hold_vr200)/Sens!C1116</f>
        <v>9.7235358126469</v>
      </c>
      <c r="D1127" s="18" t="n">
        <f aca="false">(Sens!D1123*tk_hold_h100+Sens!D1124*tk_hold_gb200+Sens!D1125*tk_hold_gb300+Sens!D1126*tk_hold_vr200)/Sens!D1116</f>
        <v>9.7235358126469</v>
      </c>
      <c r="E1127" s="18" t="n">
        <f aca="false">(Sens!E1123*tk_hold_h100+Sens!E1124*tk_hold_gb200+Sens!E1125*tk_hold_gb300+Sens!E1126*tk_hold_vr200)/Sens!E1116</f>
        <v>9.7235358126469</v>
      </c>
      <c r="F1127" s="18" t="n">
        <f aca="false">(Sens!F1123*tk_hold_h100+Sens!F1124*tk_hold_gb200+Sens!F1125*tk_hold_gb300+Sens!F1126*tk_hold_vr200)/Sens!F1116</f>
        <v>10.4079573161931</v>
      </c>
      <c r="G1127" s="18" t="n">
        <f aca="false">(Sens!G1123*tk_hold_h100+Sens!G1124*tk_hold_gb200+Sens!G1125*tk_hold_gb300+Sens!G1126*tk_hold_vr200)/Sens!G1116</f>
        <v>10.8388131109316</v>
      </c>
      <c r="H1127" s="18" t="n">
        <f aca="false">(Sens!H1123*tk_hold_h100+Sens!H1124*tk_hold_gb200+Sens!H1125*tk_hold_gb300+Sens!H1126*tk_hold_vr200)/Sens!H1116</f>
        <v>11.1311018388216</v>
      </c>
      <c r="I1127" s="18" t="n">
        <f aca="false">(Sens!I1123*tk_hold_h100+Sens!I1124*tk_hold_gb200+Sens!I1125*tk_hold_gb300+Sens!I1126*tk_hold_vr200)/Sens!I1116</f>
        <v>11.3128009818501</v>
      </c>
      <c r="J1127" s="18" t="n">
        <f aca="false">(Sens!J1123*tk_hold_h100+Sens!J1124*tk_hold_gb200+Sens!J1125*tk_hold_gb300+Sens!J1126*tk_hold_vr200)/Sens!J1116</f>
        <v>11.4366894646418</v>
      </c>
      <c r="K1127" s="18" t="n">
        <f aca="false">(Sens!K1123*tk_hold_h100+Sens!K1124*tk_hold_gb200+Sens!K1125*tk_hold_gb300+Sens!K1126*tk_hold_vr200)/Sens!K1116</f>
        <v>11.526570716348</v>
      </c>
    </row>
    <row r="1128" customFormat="false" ht="17.15" hidden="false" customHeight="false" outlineLevel="0" collapsed="false">
      <c r="A1128" s="0" t="s">
        <v>734</v>
      </c>
      <c r="B1128" s="0" t="s">
        <v>182</v>
      </c>
      <c r="C1128" s="18" t="n">
        <f aca="false">k_B</f>
        <v>1.17213932619116</v>
      </c>
      <c r="D1128" s="18" t="n">
        <f aca="false">k_B</f>
        <v>1.17213932619116</v>
      </c>
      <c r="E1128" s="18" t="n">
        <f aca="false">k_B</f>
        <v>1.17213932619116</v>
      </c>
      <c r="F1128" s="18" t="n">
        <f aca="false">(k_B+((ls_A*k_long+(1-ls_A)*k_spot)-k_B)*MIN(1,1/3))*1</f>
        <v>1.25022828131298</v>
      </c>
      <c r="G1128" s="18" t="n">
        <f aca="false">(k_B+((ls_A*k_long+(1-ls_A)*k_spot)-k_B)*MIN(1,2/3))*1</f>
        <v>1.3283172364348</v>
      </c>
      <c r="H1128" s="18" t="n">
        <f aca="false">(k_B+((ls_A*k_long+(1-ls_A)*k_spot)-k_B)*MIN(1,3/3))*1</f>
        <v>1.40640619155662</v>
      </c>
      <c r="I1128" s="18" t="n">
        <f aca="false">(k_B+((ls_A*k_long+(1-ls_A)*k_spot)-k_B)*MIN(1,4/3))*1</f>
        <v>1.40640619155662</v>
      </c>
      <c r="J1128" s="18" t="n">
        <f aca="false">(k_B+((ls_A*k_long+(1-ls_A)*k_spot)-k_B)*MIN(1,5/3))*1</f>
        <v>1.40640619155662</v>
      </c>
      <c r="K1128" s="18" t="n">
        <f aca="false">(k_B+((ls_A*k_long+(1-ls_A)*k_spot)-k_B)*MIN(1,6/3))*1</f>
        <v>1.40640619155662</v>
      </c>
      <c r="L1128" s="1" t="s">
        <v>735</v>
      </c>
    </row>
    <row r="1129" customFormat="false" ht="17.15" hidden="false" customHeight="false" outlineLevel="0" collapsed="false">
      <c r="A1129" s="1" t="s">
        <v>736</v>
      </c>
      <c r="B1129" s="0" t="s">
        <v>291</v>
      </c>
      <c r="C1129" s="18" t="n">
        <f aca="false">Sens!C1127*Sens!C1128*chip_f</f>
        <v>11.3973387156315</v>
      </c>
      <c r="D1129" s="18" t="n">
        <f aca="false">Sens!D1127*Sens!D1128*chip_f</f>
        <v>11.3973387156315</v>
      </c>
      <c r="E1129" s="18" t="n">
        <f aca="false">Sens!E1127*Sens!E1128*chip_f</f>
        <v>11.3973387156315</v>
      </c>
      <c r="F1129" s="18" t="n">
        <f aca="false">Sens!F1127*Sens!F1128*chip_f</f>
        <v>13.0123225874029</v>
      </c>
      <c r="G1129" s="18" t="n">
        <f aca="false">Sens!G1127*Sens!G1128*chip_f</f>
        <v>14.3973822777458</v>
      </c>
      <c r="H1129" s="18" t="n">
        <f aca="false">Sens!H1127*Sens!H1128*chip_f</f>
        <v>15.6548505449659</v>
      </c>
      <c r="I1129" s="18" t="n">
        <f aca="false">Sens!I1127*Sens!I1128*chip_f</f>
        <v>15.9103933447218</v>
      </c>
      <c r="J1129" s="18" t="n">
        <f aca="false">Sens!J1127*Sens!J1128*chip_f</f>
        <v>16.0846308739825</v>
      </c>
      <c r="K1129" s="18" t="n">
        <f aca="false">Sens!K1127*Sens!K1128*chip_f</f>
        <v>16.211040422887</v>
      </c>
      <c r="L1129" s="1" t="s">
        <v>737</v>
      </c>
    </row>
    <row r="1130" customFormat="false" ht="17.15" hidden="false" customHeight="false" outlineLevel="0" collapsed="false">
      <c r="A1130" s="0" t="s">
        <v>738</v>
      </c>
      <c r="B1130" s="0" t="s">
        <v>95</v>
      </c>
      <c r="D1130" s="6" t="n">
        <f aca="false">(Sens!C1116+Sens!D1116)/2*Sens!D1129/1000</f>
        <v>12.9359794422418</v>
      </c>
      <c r="E1130" s="6" t="n">
        <f aca="false">(Sens!D1116+Sens!E1116)/2*Sens!E1129/1000</f>
        <v>27.8095064661409</v>
      </c>
      <c r="F1130" s="6" t="n">
        <f aca="false">(Sens!E1116+Sens!F1116)/2*Sens!F1129/1000</f>
        <v>58.7324192305018</v>
      </c>
      <c r="G1130" s="6" t="n">
        <f aca="false">(Sens!F1116+Sens!G1116)/2*Sens!G1129/1000</f>
        <v>101.369089141153</v>
      </c>
      <c r="H1130" s="6" t="n">
        <f aca="false">(Sens!G1116+Sens!H1116)/2*Sens!H1129/1000</f>
        <v>149.785610014234</v>
      </c>
      <c r="I1130" s="6" t="n">
        <f aca="false">(Sens!H1116+Sens!I1116)/2*Sens!I1129/1000</f>
        <v>192.439389583079</v>
      </c>
      <c r="J1130" s="6" t="n">
        <f aca="false">(Sens!I1116+Sens!J1116)/2*Sens!J1129/1000</f>
        <v>235.195906491722</v>
      </c>
      <c r="K1130" s="6" t="n">
        <f aca="false">(Sens!J1116+Sens!K1116)/2*Sens!K1129/1000</f>
        <v>278.012858836343</v>
      </c>
      <c r="L1130" s="11" t="s">
        <v>739</v>
      </c>
    </row>
    <row r="1131" customFormat="false" ht="17.15" hidden="false" customHeight="false" outlineLevel="0" collapsed="false">
      <c r="A1131" s="1" t="s">
        <v>740</v>
      </c>
      <c r="B1131" s="0" t="s">
        <v>291</v>
      </c>
      <c r="C1131" s="18" t="n">
        <f aca="false">(Sens!C1123*tk_opex_h100+Sens!C1124*tk_opex_gb200+Sens!C1125*tk_opex_gb300+Sens!C1126*tk_opex_vr200)/Sens!C1116</f>
        <v>1.88636041306092</v>
      </c>
      <c r="D1131" s="18" t="n">
        <f aca="false">(Sens!D1123*tk_opex_h100+Sens!D1124*tk_opex_gb200+Sens!D1125*tk_opex_gb300+Sens!D1126*tk_opex_vr200)/Sens!D1116</f>
        <v>1.88636041306092</v>
      </c>
      <c r="E1131" s="18" t="n">
        <f aca="false">(Sens!E1123*tk_opex_h100+Sens!E1124*tk_opex_gb200+Sens!E1125*tk_opex_gb300+Sens!E1126*tk_opex_vr200)/Sens!E1116</f>
        <v>1.88636041306092</v>
      </c>
      <c r="F1131" s="18" t="n">
        <f aca="false">(Sens!F1123*tk_opex_h100+Sens!F1124*tk_opex_gb200+Sens!F1125*tk_opex_gb300+Sens!F1126*tk_opex_vr200)/Sens!F1116</f>
        <v>1.9430236476499</v>
      </c>
      <c r="G1131" s="18" t="n">
        <f aca="false">(Sens!G1123*tk_opex_h100+Sens!G1124*tk_opex_gb200+Sens!G1125*tk_opex_gb300+Sens!G1126*tk_opex_vr200)/Sens!G1116</f>
        <v>1.9786941852423</v>
      </c>
      <c r="H1131" s="18" t="n">
        <f aca="false">(Sens!H1123*tk_opex_h100+Sens!H1124*tk_opex_gb200+Sens!H1125*tk_opex_gb300+Sens!H1126*tk_opex_vr200)/Sens!H1116</f>
        <v>2.00289275976156</v>
      </c>
      <c r="I1131" s="18" t="n">
        <f aca="false">(Sens!I1123*tk_opex_h100+Sens!I1124*tk_opex_gb200+Sens!I1125*tk_opex_gb300+Sens!I1126*tk_opex_vr200)/Sens!I1116</f>
        <v>2.01793562605478</v>
      </c>
      <c r="J1131" s="18" t="n">
        <f aca="false">(Sens!J1123*tk_opex_h100+Sens!J1124*tk_opex_gb200+Sens!J1125*tk_opex_gb300+Sens!J1126*tk_opex_vr200)/Sens!J1116</f>
        <v>2.02819234961902</v>
      </c>
      <c r="K1131" s="18" t="n">
        <f aca="false">(Sens!K1123*tk_opex_h100+Sens!K1124*tk_opex_gb200+Sens!K1125*tk_opex_gb300+Sens!K1126*tk_opex_vr200)/Sens!K1116</f>
        <v>2.0356336155994</v>
      </c>
    </row>
    <row r="1132" customFormat="false" ht="17.15" hidden="false" customHeight="false" outlineLevel="0" collapsed="false">
      <c r="A1132" s="0" t="s">
        <v>741</v>
      </c>
      <c r="B1132" s="0" t="s">
        <v>95</v>
      </c>
      <c r="D1132" s="6" t="n">
        <f aca="false">(Sens!C1119+Sens!D1119)/2*Sens!D1131/1000</f>
        <v>3.24453991046478</v>
      </c>
      <c r="E1132" s="6" t="n">
        <f aca="false">(Sens!D1119+Sens!E1119)/2*Sens!E1131/1000</f>
        <v>7.41339642332941</v>
      </c>
      <c r="F1132" s="6" t="n">
        <f aca="false">(Sens!E1119+Sens!F1119)/2*Sens!F1131/1000</f>
        <v>15.0024741882344</v>
      </c>
      <c r="G1132" s="6" t="n">
        <f aca="false">(Sens!F1119+Sens!G1119)/2*Sens!G1131/1000</f>
        <v>24.8713944308216</v>
      </c>
      <c r="H1132" s="6" t="n">
        <f aca="false">(Sens!G1119+Sens!H1119)/2*Sens!H1131/1000</f>
        <v>35.2989819980378</v>
      </c>
      <c r="I1132" s="6" t="n">
        <f aca="false">(Sens!H1119+Sens!I1119)/2*Sens!I1131/1000</f>
        <v>45.7635513019206</v>
      </c>
      <c r="J1132" s="6" t="n">
        <f aca="false">(Sens!I1119+Sens!J1119)/2*Sens!J1131/1000</f>
        <v>56.2474527935143</v>
      </c>
      <c r="K1132" s="6" t="n">
        <f aca="false">(Sens!J1119+Sens!K1119)/2*Sens!K1131/1000</f>
        <v>66.7427264813807</v>
      </c>
    </row>
    <row r="1133" customFormat="false" ht="17.15" hidden="false" customHeight="false" outlineLevel="0" collapsed="false">
      <c r="A1133" s="0" t="s">
        <v>742</v>
      </c>
      <c r="B1133" s="0" t="s">
        <v>95</v>
      </c>
      <c r="D1133" s="6" t="n">
        <f aca="false">(Sens!C1117+Sens!D1117)/2*rent_mw/1000</f>
        <v>2.44475</v>
      </c>
      <c r="E1133" s="6" t="n">
        <f aca="false">(Sens!D1117+Sens!E1117)/2*rent_mw/1000</f>
        <v>4.22275</v>
      </c>
      <c r="F1133" s="6" t="n">
        <f aca="false">(Sens!E1117+Sens!F1117)/2*rent_mw/1000</f>
        <v>5.80517</v>
      </c>
      <c r="G1133" s="6" t="n">
        <f aca="false">(Sens!F1117+Sens!G1117)/2*rent_mw/1000</f>
        <v>6.72084</v>
      </c>
      <c r="H1133" s="6" t="n">
        <f aca="false">(Sens!G1117+Sens!H1117)/2*rent_mw/1000</f>
        <v>6.72084</v>
      </c>
      <c r="I1133" s="6" t="n">
        <f aca="false">(Sens!H1117+Sens!I1117)/2*rent_mw/1000</f>
        <v>6.72084</v>
      </c>
      <c r="J1133" s="6" t="n">
        <f aca="false">(Sens!I1117+Sens!J1117)/2*rent_mw/1000</f>
        <v>6.72084</v>
      </c>
      <c r="K1133" s="6" t="n">
        <f aca="false">(Sens!J1117+Sens!K1117)/2*rent_mw/1000</f>
        <v>6.72084</v>
      </c>
    </row>
    <row r="1134" customFormat="false" ht="17.15" hidden="false" customHeight="false" outlineLevel="0" collapsed="false">
      <c r="A1134" s="0" t="s">
        <v>743</v>
      </c>
      <c r="B1134" s="0" t="s">
        <v>95</v>
      </c>
      <c r="D1134" s="6" t="n">
        <f aca="false">(Sens!C1119+Sens!D1119)/2*(1-self_build)*fac_rent/1000</f>
        <v>1.02389085075729</v>
      </c>
      <c r="E1134" s="6" t="n">
        <f aca="false">(Sens!D1119+Sens!E1119)/2*(1-self_build)*fac_rent/1000</f>
        <v>2.33947153690474</v>
      </c>
      <c r="F1134" s="6" t="n">
        <f aca="false">(Sens!E1119+Sens!F1119)/2*(1-self_build)*fac_rent/1000</f>
        <v>4.59631746329488</v>
      </c>
      <c r="G1134" s="6" t="n">
        <f aca="false">(Sens!F1119+Sens!G1119)/2*(1-self_build)*fac_rent/1000</f>
        <v>7.48249909167374</v>
      </c>
      <c r="H1134" s="6" t="n">
        <f aca="false">(Sens!G1119+Sens!H1119)/2*(1-self_build)*fac_rent/1000</f>
        <v>10.4913095079921</v>
      </c>
      <c r="I1134" s="6" t="n">
        <f aca="false">(Sens!H1119+Sens!I1119)/2*(1-self_build)*fac_rent/1000</f>
        <v>13.5001199243105</v>
      </c>
      <c r="J1134" s="6" t="n">
        <f aca="false">(Sens!I1119+Sens!J1119)/2*(1-self_build)*fac_rent/1000</f>
        <v>16.5089303406289</v>
      </c>
      <c r="K1134" s="6" t="n">
        <f aca="false">(Sens!J1119+Sens!K1119)/2*(1-self_build)*fac_rent/1000</f>
        <v>19.5177407569473</v>
      </c>
      <c r="L1134" s="11" t="s">
        <v>744</v>
      </c>
    </row>
    <row r="1135" customFormat="false" ht="17.15" hidden="false" customHeight="false" outlineLevel="0" collapsed="false">
      <c r="A1135" s="1" t="s">
        <v>745</v>
      </c>
      <c r="B1135" s="0" t="s">
        <v>126</v>
      </c>
      <c r="D1135" s="7" t="n">
        <f aca="false">(Sens!C1118+Sens!D1118)/(Sens!C1119+Sens!D1119)</f>
        <v>0.5</v>
      </c>
      <c r="E1135" s="7" t="n">
        <f aca="false">(Sens!D1118+Sens!E1118)/(Sens!D1119+Sens!E1119)</f>
        <v>0.5</v>
      </c>
      <c r="F1135" s="7" t="n">
        <f aca="false">(Sens!E1118+Sens!F1118)/(Sens!E1119+Sens!F1119)</f>
        <v>0.5</v>
      </c>
      <c r="G1135" s="7" t="n">
        <f aca="false">(Sens!F1118+Sens!G1118)/(Sens!F1119+Sens!G1119)</f>
        <v>0.5</v>
      </c>
      <c r="H1135" s="7" t="n">
        <f aca="false">(Sens!G1118+Sens!H1118)/(Sens!G1119+Sens!H1119)</f>
        <v>0.5</v>
      </c>
      <c r="I1135" s="7" t="n">
        <f aca="false">(Sens!H1118+Sens!I1118)/(Sens!H1119+Sens!I1119)</f>
        <v>0.5</v>
      </c>
      <c r="J1135" s="7" t="n">
        <f aca="false">(Sens!I1118+Sens!J1118)/(Sens!I1119+Sens!J1119)</f>
        <v>0.5</v>
      </c>
      <c r="K1135" s="7" t="n">
        <f aca="false">(Sens!J1118+Sens!K1118)/(Sens!J1119+Sens!K1119)</f>
        <v>0.5</v>
      </c>
    </row>
    <row r="1136" customFormat="false" ht="17.15" hidden="false" customHeight="false" outlineLevel="0" collapsed="false">
      <c r="A1136" s="0" t="s">
        <v>746</v>
      </c>
      <c r="B1136" s="0" t="s">
        <v>95</v>
      </c>
      <c r="D1136" s="6" t="n">
        <f aca="false">Sens!D1130-Sens!D1135*(Sens!D1132+Sens!D1134)-Sens!D1133</f>
        <v>8.35701406163072</v>
      </c>
      <c r="E1136" s="6" t="n">
        <f aca="false">Sens!E1130-Sens!E1135*(Sens!E1132+Sens!E1134)-Sens!E1133</f>
        <v>18.7103224860238</v>
      </c>
      <c r="F1136" s="6" t="n">
        <f aca="false">Sens!F1130-Sens!F1135*(Sens!F1132+Sens!F1134)-Sens!F1133</f>
        <v>43.1278534047371</v>
      </c>
      <c r="G1136" s="6" t="n">
        <f aca="false">Sens!G1130-Sens!G1135*(Sens!G1132+Sens!G1134)-Sens!G1133</f>
        <v>78.4713023799053</v>
      </c>
      <c r="H1136" s="6" t="n">
        <f aca="false">Sens!H1130-Sens!H1135*(Sens!H1132+Sens!H1134)-Sens!H1133</f>
        <v>120.169624261219</v>
      </c>
      <c r="I1136" s="6" t="n">
        <f aca="false">Sens!I1130-Sens!I1135*(Sens!I1132+Sens!I1134)-Sens!I1133</f>
        <v>156.086713969963</v>
      </c>
      <c r="J1136" s="6" t="n">
        <f aca="false">Sens!J1130-Sens!J1135*(Sens!J1132+Sens!J1134)-Sens!J1133</f>
        <v>192.09687492465</v>
      </c>
      <c r="K1136" s="6" t="n">
        <f aca="false">Sens!K1130-Sens!K1135*(Sens!K1132+Sens!K1134)-Sens!K1133</f>
        <v>228.161785217179</v>
      </c>
    </row>
    <row r="1137" customFormat="false" ht="17.15" hidden="false" customHeight="false" outlineLevel="0" collapsed="false">
      <c r="A1137" s="1" t="s">
        <v>747</v>
      </c>
      <c r="B1137" s="0" t="s">
        <v>95</v>
      </c>
      <c r="D1137" s="6" t="n">
        <f aca="false">(1-Sens!D1135)*(Sens!D1132+Sens!D1134)</f>
        <v>2.13421538061103</v>
      </c>
      <c r="E1137" s="6" t="n">
        <f aca="false">(1-Sens!E1135)*(Sens!E1132+Sens!E1134)</f>
        <v>4.87643398011707</v>
      </c>
      <c r="F1137" s="6" t="n">
        <f aca="false">(1-Sens!F1135)*(Sens!F1132+Sens!F1134)</f>
        <v>9.79939582576465</v>
      </c>
      <c r="G1137" s="6" t="n">
        <f aca="false">(1-Sens!G1135)*(Sens!G1132+Sens!G1134)</f>
        <v>16.1769467612477</v>
      </c>
      <c r="H1137" s="6" t="n">
        <f aca="false">(1-Sens!H1135)*(Sens!H1132+Sens!H1134)</f>
        <v>22.895145753015</v>
      </c>
      <c r="I1137" s="6" t="n">
        <f aca="false">(1-Sens!I1135)*(Sens!I1132+Sens!I1134)</f>
        <v>29.6318356131156</v>
      </c>
      <c r="J1137" s="6" t="n">
        <f aca="false">(1-Sens!J1135)*(Sens!J1132+Sens!J1134)</f>
        <v>36.3781915670716</v>
      </c>
      <c r="K1137" s="6" t="n">
        <f aca="false">(1-Sens!K1135)*(Sens!K1132+Sens!K1134)</f>
        <v>43.130233619164</v>
      </c>
    </row>
    <row r="1138" customFormat="false" ht="17.15" hidden="false" customHeight="false" outlineLevel="0" collapsed="false">
      <c r="A1138" s="1" t="s">
        <v>748</v>
      </c>
      <c r="B1138" s="0" t="s">
        <v>302</v>
      </c>
      <c r="C1138" s="8" t="n">
        <f aca="false">cxit_open</f>
        <v>27.5918995</v>
      </c>
      <c r="D1138" s="8" t="n">
        <f aca="false">cxit_open</f>
        <v>27.5918995</v>
      </c>
      <c r="E1138" s="8" t="n">
        <f aca="false">cxit_open</f>
        <v>27.5918995</v>
      </c>
      <c r="F1138" s="8" t="n">
        <f aca="false">(a_g3_27*tk_cxit_gb300+(1-a_g3_27)*tk_cxit_vr200)</f>
        <v>33.8419624</v>
      </c>
      <c r="G1138" s="8" t="n">
        <f aca="false">(a_g3_28*tk_cxit_gb300+(1-a_g3_28)*tk_cxit_vr200)</f>
        <v>35.9816136</v>
      </c>
      <c r="H1138" s="8" t="n">
        <f aca="false">(a_g3_29*tk_cxit_gb300+(1-a_g3_29)*tk_cxit_vr200)</f>
        <v>37.0514392</v>
      </c>
      <c r="I1138" s="8" t="n">
        <f aca="false">(a_g3_29*tk_cxit_gb300+(1-a_g3_29)*tk_cxit_vr200)</f>
        <v>37.0514392</v>
      </c>
      <c r="J1138" s="8" t="n">
        <f aca="false">(a_g3_29*tk_cxit_gb300+(1-a_g3_29)*tk_cxit_vr200)</f>
        <v>37.0514392</v>
      </c>
      <c r="K1138" s="8" t="n">
        <f aca="false">(a_g3_29*tk_cxit_gb300+(1-a_g3_29)*tk_cxit_vr200)</f>
        <v>37.0514392</v>
      </c>
      <c r="L1138" s="11" t="s">
        <v>749</v>
      </c>
    </row>
    <row r="1139" customFormat="false" ht="17.15" hidden="false" customHeight="false" outlineLevel="0" collapsed="false">
      <c r="A1139" s="0" t="s">
        <v>750</v>
      </c>
      <c r="B1139" s="0" t="s">
        <v>340</v>
      </c>
      <c r="F1139" s="27" t="n">
        <f aca="false">Sens!C1121*IF(3=life_it,1,0)+Sens!D1121*IF(2=life_it,1,0)+Sens!E1121*IF(1=life_it,1,0)</f>
        <v>0</v>
      </c>
      <c r="G1139" s="27" t="n">
        <f aca="false">Sens!C1121*IF(4=life_it,1,0)+Sens!D1121*IF(3=life_it,1,0)+Sens!E1121*IF(2=life_it,1,0)+Sens!F1121*IF(1=life_it,1,0)</f>
        <v>0</v>
      </c>
      <c r="H1139" s="27" t="n">
        <f aca="false">Sens!C1121*IF(5=life_it,1,0)+Sens!D1121*IF(4=life_it,1,0)+Sens!E1121*IF(3=life_it,1,0)+Sens!F1121*IF(2=life_it,1,0)+Sens!G1121*IF(1=life_it,1,0)</f>
        <v>0</v>
      </c>
      <c r="I1139" s="27" t="n">
        <f aca="false">Sens!C1121*IF(6=life_it,1,0)+Sens!D1121*IF(5=life_it,1,0)+Sens!E1121*IF(4=life_it,1,0)+Sens!F1121*IF(3=life_it,1,0)+Sens!G1121*IF(2=life_it,1,0)+Sens!H1121*IF(1=life_it,1,0)</f>
        <v>980</v>
      </c>
      <c r="J1139" s="27" t="n">
        <f aca="false">Sens!C1121*IF(7=life_it,1,0)+Sens!D1121*IF(6=life_it,1,0)+Sens!E1121*IF(5=life_it,1,0)+Sens!F1121*IF(4=life_it,1,0)+Sens!G1121*IF(3=life_it,1,0)+Sens!H1121*IF(2=life_it,1,0)+Sens!I1121*IF(1=life_it,1,0)</f>
        <v>1480</v>
      </c>
      <c r="K1139" s="27" t="n">
        <f aca="false">Sens!C1121*IF(8=life_it,1,0)+Sens!D1121*IF(7=life_it,1,0)+Sens!E1121*IF(6=life_it,1,0)+Sens!F1121*IF(5=life_it,1,0)+Sens!G1121*IF(4=life_it,1,0)+Sens!H1121*IF(3=life_it,1,0)+Sens!I1121*IF(2=life_it,1,0)+Sens!J1121*IF(1=life_it,1,0)</f>
        <v>2940</v>
      </c>
      <c r="L1139" s="1" t="s">
        <v>751</v>
      </c>
    </row>
    <row r="1140" customFormat="false" ht="17.15" hidden="false" customHeight="false" outlineLevel="0" collapsed="false">
      <c r="A1140" s="0" t="s">
        <v>752</v>
      </c>
      <c r="B1140" s="0" t="s">
        <v>95</v>
      </c>
      <c r="C1140" s="6" t="n">
        <f aca="false">Sens!C1121*Sens!C1138/1000</f>
        <v>27.04006151</v>
      </c>
      <c r="D1140" s="6" t="n">
        <f aca="false">Sens!D1121*Sens!D1138/1000</f>
        <v>40.83601126</v>
      </c>
      <c r="E1140" s="6" t="n">
        <f aca="false">Sens!E1121*Sens!E1138/1000</f>
        <v>81.12018453</v>
      </c>
      <c r="F1140" s="6" t="n">
        <f aca="false">(Sens!F1121+Sens!F1139)*Sens!F1138/1000</f>
        <v>157.10792624576</v>
      </c>
      <c r="G1140" s="6" t="n">
        <f aca="false">(Sens!G1121+Sens!G1139)*Sens!G1138/1000</f>
        <v>181.86546777984</v>
      </c>
      <c r="H1140" s="6" t="n">
        <f aca="false">(Sens!H1121+Sens!H1139)*Sens!H1138/1000</f>
        <v>187.27279429248</v>
      </c>
      <c r="I1140" s="6" t="n">
        <f aca="false">(Sens!I1121+Sens!I1139)*Sens!I1138/1000</f>
        <v>223.58320470848</v>
      </c>
      <c r="J1140" s="6" t="n">
        <f aca="false">(Sens!J1121+Sens!J1139)*Sens!J1138/1000</f>
        <v>242.10892430848</v>
      </c>
      <c r="K1140" s="6" t="n">
        <f aca="false">(Sens!K1121+Sens!K1139)*Sens!K1138/1000</f>
        <v>296.20402554048</v>
      </c>
    </row>
    <row r="1141" customFormat="false" ht="17.15" hidden="false" customHeight="false" outlineLevel="0" collapsed="false">
      <c r="A1141" s="0" t="s">
        <v>753</v>
      </c>
      <c r="B1141" s="0" t="s">
        <v>95</v>
      </c>
      <c r="C1141" s="6" t="n">
        <f aca="false">Sens!C1121*self_build*tk_cxfac/1000</f>
        <v>7.44996</v>
      </c>
      <c r="D1141" s="6" t="n">
        <f aca="false">Sens!D1121*self_build*tk_cxfac/1000</f>
        <v>11.25096</v>
      </c>
      <c r="E1141" s="6" t="n">
        <f aca="false">Sens!E1121*self_build*tk_cxfac/1000</f>
        <v>22.34988</v>
      </c>
      <c r="F1141" s="6" t="n">
        <f aca="false">Sens!F1121*self_build*tk_cxfac/1000</f>
        <v>35.2915248</v>
      </c>
      <c r="G1141" s="6" t="n">
        <f aca="false">Sens!G1121*self_build*tk_cxfac/1000</f>
        <v>38.4235488</v>
      </c>
      <c r="H1141" s="6" t="n">
        <f aca="false">Sens!H1121*self_build*tk_cxfac/1000</f>
        <v>38.4235488</v>
      </c>
      <c r="I1141" s="6" t="n">
        <f aca="false">Sens!I1121*self_build*tk_cxfac/1000</f>
        <v>38.4235488</v>
      </c>
      <c r="J1141" s="6" t="n">
        <f aca="false">Sens!J1121*self_build*tk_cxfac/1000</f>
        <v>38.4235488</v>
      </c>
      <c r="K1141" s="6" t="n">
        <f aca="false">Sens!K1121*self_build*tk_cxfac/1000</f>
        <v>38.4235488</v>
      </c>
    </row>
    <row r="1142" customFormat="false" ht="17.15" hidden="false" customHeight="false" outlineLevel="0" collapsed="false">
      <c r="A1142" s="0" t="s">
        <v>754</v>
      </c>
      <c r="B1142" s="0" t="s">
        <v>95</v>
      </c>
      <c r="F1142" s="6" t="n">
        <f aca="false">MAX(0,capex_floor27-Sens!F1140-Sens!F1141-Sens!F1229)</f>
        <v>0</v>
      </c>
      <c r="G1142" s="6" t="n">
        <f aca="false">0</f>
        <v>0</v>
      </c>
      <c r="H1142" s="6" t="n">
        <f aca="false">0</f>
        <v>0</v>
      </c>
      <c r="I1142" s="6" t="n">
        <f aca="false">0</f>
        <v>0</v>
      </c>
      <c r="J1142" s="6" t="n">
        <f aca="false">0</f>
        <v>0</v>
      </c>
      <c r="K1142" s="6" t="n">
        <f aca="false">0</f>
        <v>0</v>
      </c>
      <c r="L1142" s="1" t="s">
        <v>755</v>
      </c>
    </row>
    <row r="1143" customFormat="false" ht="17.15" hidden="false" customHeight="false" outlineLevel="0" collapsed="false">
      <c r="A1143" s="0" t="s">
        <v>756</v>
      </c>
      <c r="B1143" s="0" t="s">
        <v>95</v>
      </c>
      <c r="C1143" s="6" t="n">
        <f aca="false">Sens!C1140</f>
        <v>27.04006151</v>
      </c>
      <c r="D1143" s="6" t="n">
        <f aca="false">Sens!D1140</f>
        <v>40.83601126</v>
      </c>
      <c r="E1143" s="6" t="n">
        <f aca="false">Sens!E1140</f>
        <v>81.12018453</v>
      </c>
      <c r="F1143" s="6" t="n">
        <f aca="false">Sens!F1140+Sens!F1142</f>
        <v>157.10792624576</v>
      </c>
      <c r="G1143" s="6" t="n">
        <f aca="false">Sens!G1140+Sens!G1142</f>
        <v>181.86546777984</v>
      </c>
      <c r="H1143" s="6" t="n">
        <f aca="false">Sens!H1140+Sens!H1142</f>
        <v>187.27279429248</v>
      </c>
      <c r="I1143" s="6" t="n">
        <f aca="false">Sens!I1140+Sens!I1142</f>
        <v>223.58320470848</v>
      </c>
      <c r="J1143" s="6" t="n">
        <f aca="false">Sens!J1140+Sens!J1142</f>
        <v>242.10892430848</v>
      </c>
      <c r="K1143" s="6" t="n">
        <f aca="false">Sens!K1140+Sens!K1142</f>
        <v>296.20402554048</v>
      </c>
    </row>
    <row r="1144" customFormat="false" ht="17.15" hidden="false" customHeight="false" outlineLevel="0" collapsed="false">
      <c r="A1144" s="0" t="s">
        <v>757</v>
      </c>
      <c r="B1144" s="0" t="s">
        <v>95</v>
      </c>
      <c r="C1144" s="6" t="n">
        <f aca="false">Sens!C1143+Sens!C1141</f>
        <v>34.49002151</v>
      </c>
      <c r="D1144" s="6" t="n">
        <f aca="false">Sens!D1143+Sens!D1141</f>
        <v>52.08697126</v>
      </c>
      <c r="E1144" s="6" t="n">
        <f aca="false">Sens!E1143+Sens!E1141</f>
        <v>103.47006453</v>
      </c>
      <c r="F1144" s="6" t="n">
        <f aca="false">Sens!F1143+Sens!F1141</f>
        <v>192.39945104576</v>
      </c>
      <c r="G1144" s="6" t="n">
        <f aca="false">Sens!G1143+Sens!G1141</f>
        <v>220.28901657984</v>
      </c>
      <c r="H1144" s="6" t="n">
        <f aca="false">Sens!H1143+Sens!H1141</f>
        <v>225.69634309248</v>
      </c>
      <c r="I1144" s="6" t="n">
        <f aca="false">Sens!I1143+Sens!I1141</f>
        <v>262.00675350848</v>
      </c>
      <c r="J1144" s="6" t="n">
        <f aca="false">Sens!J1143+Sens!J1141</f>
        <v>280.53247310848</v>
      </c>
      <c r="K1144" s="6" t="n">
        <f aca="false">Sens!K1143+Sens!K1141</f>
        <v>334.62757434048</v>
      </c>
      <c r="L1144" s="11" t="s">
        <v>758</v>
      </c>
    </row>
    <row r="1145" customFormat="false" ht="17.15" hidden="false" customHeight="false" outlineLevel="0" collapsed="false">
      <c r="A1145" s="0" t="s">
        <v>759</v>
      </c>
      <c r="B1145" s="0" t="s">
        <v>95</v>
      </c>
      <c r="E1145" s="6" t="n">
        <f aca="false">(Sens!C1143*IF(2&lt;life_it,1,IF(2=life_it,0.5,0))+Sens!D1143*IF(1&lt;life_it,1,IF(1=life_it,0.5,0))+Sens!E1143*0.5)/life_it</f>
        <v>18.0726941725</v>
      </c>
      <c r="F1145" s="6" t="n">
        <f aca="false">(Sens!C1143*IF(3&lt;life_it,1,IF(3=life_it,0.5,0))+Sens!D1143*IF(2&lt;life_it,1,IF(2=life_it,0.5,0))+Sens!E1143*IF(1&lt;life_it,1,IF(1=life_it,0.5,0))+Sens!F1143*0.5)/life_it</f>
        <v>37.9250367371467</v>
      </c>
      <c r="G1145" s="6" t="n">
        <f aca="false">(Sens!C1143*IF(4&lt;life_it,1,IF(4=life_it,0.5,0))+Sens!D1143*IF(3&lt;life_it,1,IF(3=life_it,0.5,0))+Sens!E1143*IF(2&lt;life_it,1,IF(2=life_it,0.5,0))+Sens!F1143*IF(1&lt;life_it,1,IF(1=life_it,0.5,0))+Sens!G1143*0.5)/life_it</f>
        <v>66.1728195726133</v>
      </c>
      <c r="H1145" s="6" t="n">
        <f aca="false">(Sens!C1143*IF(5&lt;life_it,1,IF(5=life_it,0.5,0))+Sens!D1143*IF(4&lt;life_it,1,IF(4=life_it,0.5,0))+Sens!E1143*IF(3&lt;life_it,1,IF(3=life_it,0.5,0))+Sens!F1143*IF(2&lt;life_it,1,IF(2=life_it,0.5,0))+Sens!G1143*IF(1&lt;life_it,1,IF(1=life_it,0.5,0))+Sens!H1143*0.5)/life_it</f>
        <v>96.9343414119733</v>
      </c>
      <c r="I1145" s="6" t="n">
        <f aca="false">(Sens!C1143*IF(6&lt;life_it,1,IF(6=life_it,0.5,0))+Sens!D1143*IF(5&lt;life_it,1,IF(5=life_it,0.5,0))+Sens!E1143*IF(4&lt;life_it,1,IF(4=life_it,0.5,0))+Sens!F1143*IF(3&lt;life_it,1,IF(3=life_it,0.5,0))+Sens!G1143*IF(2&lt;life_it,1,IF(2=life_it,0.5,0))+Sens!H1143*IF(1&lt;life_it,1,IF(1=life_it,0.5,0))+Sens!I1143*0.5)/life_it</f>
        <v>128.919002869553</v>
      </c>
      <c r="J1145" s="6" t="n">
        <f aca="false">(Sens!C1143*IF(7&lt;life_it,1,IF(7=life_it,0.5,0))+Sens!D1143*IF(6&lt;life_it,1,IF(6=life_it,0.5,0))+Sens!E1143*IF(5&lt;life_it,1,IF(5=life_it,0.5,0))+Sens!F1143*IF(4&lt;life_it,1,IF(4=life_it,0.5,0))+Sens!G1143*IF(3&lt;life_it,1,IF(3=life_it,0.5,0))+Sens!H1143*IF(2&lt;life_it,1,IF(2=life_it,0.5,0))+Sens!I1143*IF(1&lt;life_it,1,IF(1=life_it,0.5,0))+Sens!J1143*0.5)/life_it</f>
        <v>162.070340890133</v>
      </c>
      <c r="K1145" s="6" t="n">
        <f aca="false">(Sens!C1143*IF(8&lt;life_it,1,IF(8=life_it,0.5,0))+Sens!D1143*IF(7&lt;life_it,1,IF(7=life_it,0.5,0))+Sens!E1143*IF(6&lt;life_it,1,IF(6=life_it,0.5,0))+Sens!F1143*IF(5&lt;life_it,1,IF(5=life_it,0.5,0))+Sens!G1143*IF(4&lt;life_it,1,IF(4=life_it,0.5,0))+Sens!H1143*IF(3&lt;life_it,1,IF(3=life_it,0.5,0))+Sens!I1143*IF(2&lt;life_it,1,IF(2=life_it,0.5,0))+Sens!J1143*IF(1&lt;life_it,1,IF(1=life_it,0.5,0))+Sens!K1143*0.5)/life_it</f>
        <v>196.766737061713</v>
      </c>
    </row>
    <row r="1146" customFormat="false" ht="17.15" hidden="false" customHeight="false" outlineLevel="0" collapsed="false">
      <c r="A1146" s="0" t="s">
        <v>760</v>
      </c>
      <c r="B1146" s="0" t="s">
        <v>95</v>
      </c>
      <c r="E1146" s="6" t="n">
        <f aca="false">(Sens!C1141*IF(2&lt;life_fac,1,IF(2=life_fac,0.5,0))+Sens!D1141*IF(1&lt;life_fac,1,IF(1=life_fac,0.5,0))+Sens!E1141*0.5)/life_fac</f>
        <v>1.493793</v>
      </c>
      <c r="F1146" s="6" t="n">
        <f aca="false">(Sens!C1141*IF(3&lt;life_fac,1,IF(3=life_fac,0.5,0))+Sens!D1141*IF(2&lt;life_fac,1,IF(2=life_fac,0.5,0))+Sens!E1141*IF(1&lt;life_fac,1,IF(1=life_fac,0.5,0))+Sens!F1141*0.5)/life_fac</f>
        <v>2.93482812</v>
      </c>
      <c r="G1146" s="6" t="n">
        <f aca="false">(Sens!C1141*IF(4&lt;life_fac,1,IF(4=life_fac,0.5,0))+Sens!D1141*IF(3&lt;life_fac,1,IF(3=life_fac,0.5,0))+Sens!E1141*IF(2&lt;life_fac,1,IF(2=life_fac,0.5,0))+Sens!F1141*IF(1&lt;life_fac,1,IF(1=life_fac,0.5,0))+Sens!G1141*0.5)/life_fac</f>
        <v>4.77770496</v>
      </c>
      <c r="H1146" s="6" t="n">
        <f aca="false">(Sens!C1141*IF(5&lt;life_fac,1,IF(5=life_fac,0.5,0))+Sens!D1141*IF(4&lt;life_fac,1,IF(4=life_fac,0.5,0))+Sens!E1141*IF(3&lt;life_fac,1,IF(3=life_fac,0.5,0))+Sens!F1141*IF(2&lt;life_fac,1,IF(2=life_fac,0.5,0))+Sens!G1141*IF(1&lt;life_fac,1,IF(1=life_fac,0.5,0))+Sens!H1141*0.5)/life_fac</f>
        <v>6.6988824</v>
      </c>
      <c r="I1146" s="6" t="n">
        <f aca="false">(Sens!C1141*IF(6&lt;life_fac,1,IF(6=life_fac,0.5,0))+Sens!D1141*IF(5&lt;life_fac,1,IF(5=life_fac,0.5,0))+Sens!E1141*IF(4&lt;life_fac,1,IF(4=life_fac,0.5,0))+Sens!F1141*IF(3&lt;life_fac,1,IF(3=life_fac,0.5,0))+Sens!G1141*IF(2&lt;life_fac,1,IF(2=life_fac,0.5,0))+Sens!H1141*IF(1&lt;life_fac,1,IF(1=life_fac,0.5,0))+Sens!I1141*0.5)/life_fac</f>
        <v>8.62005984</v>
      </c>
      <c r="J1146" s="6" t="n">
        <f aca="false">(Sens!C1141*IF(7&lt;life_fac,1,IF(7=life_fac,0.5,0))+Sens!D1141*IF(6&lt;life_fac,1,IF(6=life_fac,0.5,0))+Sens!E1141*IF(5&lt;life_fac,1,IF(5=life_fac,0.5,0))+Sens!F1141*IF(4&lt;life_fac,1,IF(4=life_fac,0.5,0))+Sens!G1141*IF(3&lt;life_fac,1,IF(3=life_fac,0.5,0))+Sens!H1141*IF(2&lt;life_fac,1,IF(2=life_fac,0.5,0))+Sens!I1141*IF(1&lt;life_fac,1,IF(1=life_fac,0.5,0))+Sens!J1141*0.5)/life_fac</f>
        <v>10.54123728</v>
      </c>
      <c r="K1146" s="6" t="n">
        <f aca="false">(Sens!C1141*IF(8&lt;life_fac,1,IF(8=life_fac,0.5,0))+Sens!D1141*IF(7&lt;life_fac,1,IF(7=life_fac,0.5,0))+Sens!E1141*IF(6&lt;life_fac,1,IF(6=life_fac,0.5,0))+Sens!F1141*IF(5&lt;life_fac,1,IF(5=life_fac,0.5,0))+Sens!G1141*IF(4&lt;life_fac,1,IF(4=life_fac,0.5,0))+Sens!H1141*IF(3&lt;life_fac,1,IF(3=life_fac,0.5,0))+Sens!I1141*IF(2&lt;life_fac,1,IF(2=life_fac,0.5,0))+Sens!J1141*IF(1&lt;life_fac,1,IF(1=life_fac,0.5,0))+Sens!K1141*0.5)/life_fac</f>
        <v>12.46241472</v>
      </c>
    </row>
    <row r="1147" customFormat="false" ht="17.15" hidden="false" customHeight="false" outlineLevel="0" collapsed="false">
      <c r="A1147" s="0" t="s">
        <v>761</v>
      </c>
      <c r="B1147" s="0" t="s">
        <v>95</v>
      </c>
      <c r="E1147" s="6" t="n">
        <f aca="false">Sens!E1145+Sens!E1146</f>
        <v>19.5664871725</v>
      </c>
      <c r="F1147" s="6" t="n">
        <f aca="false">Sens!F1145+Sens!F1146</f>
        <v>40.8598648571467</v>
      </c>
      <c r="G1147" s="6" t="n">
        <f aca="false">Sens!G1145+Sens!G1146</f>
        <v>70.9505245326133</v>
      </c>
      <c r="H1147" s="6" t="n">
        <f aca="false">Sens!H1145+Sens!H1146</f>
        <v>103.633223811973</v>
      </c>
      <c r="I1147" s="6" t="n">
        <f aca="false">Sens!I1145+Sens!I1146</f>
        <v>137.539062709553</v>
      </c>
      <c r="J1147" s="6" t="n">
        <f aca="false">Sens!J1145+Sens!J1146</f>
        <v>172.611578170133</v>
      </c>
      <c r="K1147" s="6" t="n">
        <f aca="false">Sens!K1145+Sens!K1146</f>
        <v>209.229151781713</v>
      </c>
    </row>
    <row r="1148" customFormat="false" ht="17.15" hidden="false" customHeight="false" outlineLevel="0" collapsed="false">
      <c r="A1148" s="0" t="s">
        <v>762</v>
      </c>
      <c r="B1148" s="0" t="s">
        <v>95</v>
      </c>
      <c r="E1148" s="6" t="n">
        <f aca="false">Sens!E1136-Sens!E1135*Sens!E1147</f>
        <v>8.92707889977379</v>
      </c>
      <c r="F1148" s="6" t="n">
        <f aca="false">Sens!F1136-Sens!F1135*Sens!F1147</f>
        <v>22.6979209761638</v>
      </c>
      <c r="G1148" s="6" t="n">
        <f aca="false">Sens!G1136-Sens!G1135*Sens!G1147</f>
        <v>42.9960401135986</v>
      </c>
      <c r="H1148" s="6" t="n">
        <f aca="false">Sens!H1136-Sens!H1135*Sens!H1147</f>
        <v>68.3530123552322</v>
      </c>
      <c r="I1148" s="6" t="n">
        <f aca="false">Sens!I1136-Sens!I1135*Sens!I1147</f>
        <v>87.3171826151868</v>
      </c>
      <c r="J1148" s="6" t="n">
        <f aca="false">Sens!J1136-Sens!J1135*Sens!J1147</f>
        <v>105.791085839584</v>
      </c>
      <c r="K1148" s="6" t="n">
        <f aca="false">Sens!K1136-Sens!K1135*Sens!K1147</f>
        <v>123.547209326322</v>
      </c>
    </row>
    <row r="1149" customFormat="false" ht="17.15" hidden="false" customHeight="false" outlineLevel="0" collapsed="false">
      <c r="A1149" s="3" t="s">
        <v>1145</v>
      </c>
    </row>
    <row r="1150" customFormat="false" ht="15" hidden="false" customHeight="false" outlineLevel="0" collapsed="false">
      <c r="A1150" s="4" t="s">
        <v>43</v>
      </c>
      <c r="B1150" s="4" t="s">
        <v>63</v>
      </c>
      <c r="C1150" s="19" t="s">
        <v>710</v>
      </c>
      <c r="D1150" s="19" t="s">
        <v>711</v>
      </c>
      <c r="E1150" s="19" t="s">
        <v>712</v>
      </c>
      <c r="F1150" s="19" t="s">
        <v>713</v>
      </c>
      <c r="G1150" s="19" t="s">
        <v>714</v>
      </c>
      <c r="H1150" s="19" t="s">
        <v>715</v>
      </c>
      <c r="I1150" s="19" t="s">
        <v>716</v>
      </c>
      <c r="J1150" s="19" t="s">
        <v>717</v>
      </c>
      <c r="K1150" s="19" t="s">
        <v>718</v>
      </c>
      <c r="L1150" s="4" t="s">
        <v>47</v>
      </c>
    </row>
    <row r="1151" customFormat="false" ht="17.15" hidden="false" customHeight="false" outlineLevel="0" collapsed="false">
      <c r="A1151" s="0" t="s">
        <v>780</v>
      </c>
      <c r="B1151" s="0" t="s">
        <v>95</v>
      </c>
      <c r="D1151" s="6" t="n">
        <f aca="false">Sens!D1130</f>
        <v>12.9359794422418</v>
      </c>
      <c r="E1151" s="6" t="n">
        <f aca="false">Sens!E1130</f>
        <v>27.8095064661409</v>
      </c>
      <c r="F1151" s="6" t="n">
        <f aca="false">Sens!F1130</f>
        <v>58.7324192305018</v>
      </c>
      <c r="G1151" s="6" t="n">
        <f aca="false">Sens!G1130</f>
        <v>101.369089141153</v>
      </c>
      <c r="H1151" s="6" t="n">
        <f aca="false">Sens!H1130</f>
        <v>149.785610014234</v>
      </c>
      <c r="I1151" s="6" t="n">
        <f aca="false">Sens!I1130</f>
        <v>192.439389583079</v>
      </c>
      <c r="J1151" s="6" t="n">
        <f aca="false">Sens!J1130</f>
        <v>235.195906491722</v>
      </c>
      <c r="K1151" s="6" t="n">
        <f aca="false">Sens!K1130</f>
        <v>278.012858836343</v>
      </c>
    </row>
    <row r="1152" customFormat="false" ht="17.15" hidden="false" customHeight="false" outlineLevel="0" collapsed="false">
      <c r="A1152" s="0" t="s">
        <v>781</v>
      </c>
      <c r="B1152" s="0" t="s">
        <v>95</v>
      </c>
      <c r="D1152" s="6" t="n">
        <f aca="false">Q!L6-Sens!D1151</f>
        <v>59.6740205577583</v>
      </c>
      <c r="E1152" s="6" t="n">
        <f aca="false">Q!M6-Sens!E1151</f>
        <v>74.1284935338591</v>
      </c>
      <c r="F1152" s="6" t="n">
        <f aca="false">Sens!E1152*(1+Sens!F1153)</f>
        <v>90.0799497373663</v>
      </c>
      <c r="G1152" s="6" t="n">
        <f aca="false">Sens!F1152*(1+Sens!G1153)</f>
        <v>107.02842520331</v>
      </c>
      <c r="H1152" s="6" t="n">
        <f aca="false">Sens!G1152*(1+Sens!H1153)</f>
        <v>124.271982585636</v>
      </c>
      <c r="I1152" s="6" t="n">
        <f aca="false">Sens!H1152*(1+Sens!I1153)</f>
        <v>140.933702381855</v>
      </c>
      <c r="J1152" s="6" t="n">
        <f aca="false">Sens!I1152*(1+Sens!J1153)</f>
        <v>156.018867314332</v>
      </c>
      <c r="K1152" s="6" t="n">
        <f aca="false">Sens!J1152*(1+Sens!K1153)</f>
        <v>168.500376699478</v>
      </c>
    </row>
    <row r="1153" customFormat="false" ht="15" hidden="false" customHeight="false" outlineLevel="0" collapsed="false">
      <c r="A1153" s="1" t="s">
        <v>782</v>
      </c>
      <c r="B1153" s="0" t="s">
        <v>126</v>
      </c>
      <c r="E1153" s="7" t="n">
        <f aca="false">Sens!E1152/Sens!D1152-1</f>
        <v>0.242223883039864</v>
      </c>
      <c r="F1153" s="7" t="n">
        <f aca="false">Sens!$E$1153+(glt_azo-Sens!$E$1153)*MIN(1,1/n_conv)</f>
        <v>0.215186569199887</v>
      </c>
      <c r="G1153" s="7" t="n">
        <f aca="false">Sens!$E$1153+(glt_azo-Sens!$E$1153)*MIN(1,2/n_conv)</f>
        <v>0.18814925535991</v>
      </c>
      <c r="H1153" s="7" t="n">
        <f aca="false">Sens!$E$1153+(glt_azo-Sens!$E$1153)*MIN(1,3/n_conv)</f>
        <v>0.161111941519932</v>
      </c>
      <c r="I1153" s="7" t="n">
        <f aca="false">Sens!$E$1153+(glt_azo-Sens!$E$1153)*MIN(1,4/n_conv)</f>
        <v>0.134074627679955</v>
      </c>
      <c r="J1153" s="7" t="n">
        <f aca="false">Sens!$E$1153+(glt_azo-Sens!$E$1153)*MIN(1,5/n_conv)</f>
        <v>0.107037313839977</v>
      </c>
      <c r="K1153" s="7" t="n">
        <f aca="false">Sens!$E$1153+(glt_azo-Sens!$E$1153)*MIN(1,6/n_conv)</f>
        <v>0.08</v>
      </c>
    </row>
    <row r="1154" customFormat="false" ht="15" hidden="false" customHeight="false" outlineLevel="0" collapsed="false">
      <c r="A1154" s="0" t="s">
        <v>783</v>
      </c>
      <c r="B1154" s="0" t="s">
        <v>95</v>
      </c>
      <c r="D1154" s="6" t="n">
        <f aca="false">Sens!D1151+Sens!D1152</f>
        <v>72.61</v>
      </c>
      <c r="E1154" s="6" t="n">
        <f aca="false">Sens!E1151+Sens!E1152</f>
        <v>101.938</v>
      </c>
      <c r="F1154" s="6" t="n">
        <f aca="false">Sens!F1151+Sens!F1152</f>
        <v>148.812368967868</v>
      </c>
      <c r="G1154" s="6" t="n">
        <f aca="false">Sens!G1151+Sens!G1152</f>
        <v>208.397514344463</v>
      </c>
      <c r="H1154" s="6" t="n">
        <f aca="false">Sens!H1151+Sens!H1152</f>
        <v>274.05759259987</v>
      </c>
      <c r="I1154" s="6" t="n">
        <f aca="false">Sens!I1151+Sens!I1152</f>
        <v>333.373091964934</v>
      </c>
      <c r="J1154" s="6" t="n">
        <f aca="false">Sens!J1151+Sens!J1152</f>
        <v>391.214773806054</v>
      </c>
      <c r="K1154" s="6" t="n">
        <f aca="false">Sens!K1151+Sens!K1152</f>
        <v>446.513235535821</v>
      </c>
    </row>
    <row r="1155" customFormat="false" ht="17.15" hidden="false" customHeight="false" outlineLevel="0" collapsed="false">
      <c r="A1155" s="0" t="s">
        <v>784</v>
      </c>
      <c r="B1155" s="1" t="s">
        <v>451</v>
      </c>
      <c r="C1155" s="27" t="n">
        <f aca="false">cop_s24</f>
        <v>1</v>
      </c>
      <c r="D1155" s="27" t="n">
        <f aca="false">cop_s25</f>
        <v>5</v>
      </c>
      <c r="E1155" s="27" t="n">
        <f aca="false">cop_s26</f>
        <v>30</v>
      </c>
      <c r="F1155" s="27" t="n">
        <f aca="false">Sens!E1155+IF(2027&lt;=2029,cop_add_A,cop_add_A*cop_tail)</f>
        <v>60</v>
      </c>
      <c r="G1155" s="27" t="n">
        <f aca="false">Sens!F1155+IF(2028&lt;=2029,cop_add_A,cop_add_A*cop_tail)</f>
        <v>90</v>
      </c>
      <c r="H1155" s="27" t="n">
        <f aca="false">Sens!G1155+IF(2029&lt;=2029,cop_add_A,cop_add_A*cop_tail)</f>
        <v>120</v>
      </c>
      <c r="I1155" s="27" t="n">
        <f aca="false">Sens!H1155+IF(2030&lt;=2029,cop_add_A,cop_add_A*cop_tail)</f>
        <v>135</v>
      </c>
      <c r="J1155" s="27" t="n">
        <f aca="false">Sens!I1155+IF(2031&lt;=2029,cop_add_A,cop_add_A*cop_tail)</f>
        <v>150</v>
      </c>
      <c r="K1155" s="27" t="n">
        <f aca="false">Sens!J1155+IF(2032&lt;=2029,cop_add_A,cop_add_A*cop_tail)</f>
        <v>165</v>
      </c>
    </row>
    <row r="1156" customFormat="false" ht="17.15" hidden="false" customHeight="false" outlineLevel="0" collapsed="false">
      <c r="A1156" s="0" t="s">
        <v>785</v>
      </c>
      <c r="B1156" s="0" t="s">
        <v>95</v>
      </c>
      <c r="D1156" s="6" t="n">
        <f aca="false">(Sens!C1155+Sens!D1155)/2*cop_px*12/1000</f>
        <v>0.9</v>
      </c>
      <c r="E1156" s="6" t="n">
        <f aca="false">(Sens!D1155+Sens!E1155)/2*cop_px*12/1000</f>
        <v>5.25</v>
      </c>
      <c r="F1156" s="6" t="n">
        <f aca="false">(Sens!E1155+Sens!F1155)/2*cop_px*12/1000</f>
        <v>13.5</v>
      </c>
      <c r="G1156" s="6" t="n">
        <f aca="false">(Sens!F1155+Sens!G1155)/2*cop_px*12/1000</f>
        <v>22.5</v>
      </c>
      <c r="H1156" s="6" t="n">
        <f aca="false">(Sens!G1155+Sens!H1155)/2*cop_px*12/1000</f>
        <v>31.5</v>
      </c>
      <c r="I1156" s="6" t="n">
        <f aca="false">(Sens!H1155+Sens!I1155)/2*cop_px*12/1000</f>
        <v>38.25</v>
      </c>
      <c r="J1156" s="6" t="n">
        <f aca="false">(Sens!I1155+Sens!J1155)/2*cop_px*12/1000</f>
        <v>42.75</v>
      </c>
      <c r="K1156" s="6" t="n">
        <f aca="false">(Sens!J1155+Sens!K1155)/2*cop_px*12/1000</f>
        <v>47.25</v>
      </c>
      <c r="L1156" s="1" t="s">
        <v>786</v>
      </c>
    </row>
    <row r="1157" customFormat="false" ht="17.15" hidden="false" customHeight="false" outlineLevel="0" collapsed="false">
      <c r="A1157" s="0" t="s">
        <v>787</v>
      </c>
      <c r="B1157" s="0" t="s">
        <v>95</v>
      </c>
      <c r="D1157" s="6" t="n">
        <f aca="false">Q!L7-Sens!D1156</f>
        <v>83.705</v>
      </c>
      <c r="E1157" s="6" t="n">
        <f aca="false">Q!M7-Sens!E1156</f>
        <v>95.049</v>
      </c>
      <c r="F1157" s="6" t="n">
        <f aca="false">Sens!E1157*(1+Sens!F1158)</f>
        <v>106.89238776686</v>
      </c>
      <c r="G1157" s="6" t="n">
        <f aca="false">Sens!F1157*(1+Sens!G1158)</f>
        <v>119.044168448684</v>
      </c>
      <c r="H1157" s="6" t="n">
        <f aca="false">Sens!G1157*(1+Sens!H1158)</f>
        <v>131.277359388781</v>
      </c>
      <c r="I1157" s="6" t="n">
        <f aca="false">Sens!H1157*(1+Sens!I1158)</f>
        <v>143.334028071957</v>
      </c>
      <c r="J1157" s="6" t="n">
        <f aca="false">Sens!I1157*(1+Sens!J1158)</f>
        <v>154.932702785465</v>
      </c>
      <c r="K1157" s="6" t="n">
        <f aca="false">Sens!J1157*(1+Sens!K1158)</f>
        <v>165.777991980448</v>
      </c>
    </row>
    <row r="1158" customFormat="false" ht="15" hidden="false" customHeight="false" outlineLevel="0" collapsed="false">
      <c r="A1158" s="1" t="s">
        <v>782</v>
      </c>
      <c r="B1158" s="0" t="s">
        <v>126</v>
      </c>
      <c r="E1158" s="7" t="n">
        <f aca="false">Sens!E1157/Sens!D1157-1</f>
        <v>0.135523564900544</v>
      </c>
      <c r="F1158" s="7" t="n">
        <f aca="false">Sens!$E$1158+(glt_m365b-Sens!$E$1158)*MIN(1,1/n_conv)</f>
        <v>0.124602970750453</v>
      </c>
      <c r="G1158" s="7" t="n">
        <f aca="false">Sens!$E$1158+(glt_m365b-Sens!$E$1158)*MIN(1,2/n_conv)</f>
        <v>0.113682376600363</v>
      </c>
      <c r="H1158" s="7" t="n">
        <f aca="false">Sens!$E$1158+(glt_m365b-Sens!$E$1158)*MIN(1,3/n_conv)</f>
        <v>0.102761782450272</v>
      </c>
      <c r="I1158" s="7" t="n">
        <f aca="false">Sens!$E$1158+(glt_m365b-Sens!$E$1158)*MIN(1,4/n_conv)</f>
        <v>0.0918411883001813</v>
      </c>
      <c r="J1158" s="7" t="n">
        <f aca="false">Sens!$E$1158+(glt_m365b-Sens!$E$1158)*MIN(1,5/n_conv)</f>
        <v>0.0809205941500906</v>
      </c>
      <c r="K1158" s="7" t="n">
        <f aca="false">Sens!$E$1158+(glt_m365b-Sens!$E$1158)*MIN(1,6/n_conv)</f>
        <v>0.07</v>
      </c>
    </row>
    <row r="1159" customFormat="false" ht="15" hidden="false" customHeight="false" outlineLevel="0" collapsed="false">
      <c r="A1159" s="0" t="s">
        <v>788</v>
      </c>
      <c r="B1159" s="0" t="s">
        <v>95</v>
      </c>
      <c r="D1159" s="6" t="n">
        <f aca="false">Sens!D1157+Sens!D1156</f>
        <v>84.605</v>
      </c>
      <c r="E1159" s="6" t="n">
        <f aca="false">Sens!E1157+Sens!E1156</f>
        <v>100.299</v>
      </c>
      <c r="F1159" s="6" t="n">
        <f aca="false">Sens!F1157+Sens!F1156</f>
        <v>120.39238776686</v>
      </c>
      <c r="G1159" s="6" t="n">
        <f aca="false">Sens!G1157+Sens!G1156</f>
        <v>141.544168448684</v>
      </c>
      <c r="H1159" s="6" t="n">
        <f aca="false">Sens!H1157+Sens!H1156</f>
        <v>162.777359388781</v>
      </c>
      <c r="I1159" s="6" t="n">
        <f aca="false">Sens!I1157+Sens!I1156</f>
        <v>181.584028071957</v>
      </c>
      <c r="J1159" s="6" t="n">
        <f aca="false">Sens!J1157+Sens!J1156</f>
        <v>197.682702785465</v>
      </c>
      <c r="K1159" s="6" t="n">
        <f aca="false">Sens!K1157+Sens!K1156</f>
        <v>213.027991980448</v>
      </c>
    </row>
    <row r="1160" customFormat="false" ht="15" hidden="false" customHeight="false" outlineLevel="0" collapsed="false">
      <c r="A1160" s="0" t="s">
        <v>789</v>
      </c>
      <c r="B1160" s="0" t="s">
        <v>95</v>
      </c>
      <c r="D1160" s="6" t="n">
        <f aca="false">Q!L8</f>
        <v>35.391</v>
      </c>
      <c r="E1160" s="6" t="n">
        <f aca="false">Q!M8</f>
        <v>37.285</v>
      </c>
      <c r="F1160" s="6" t="n">
        <f aca="false">Sens!E1160*(1+Sens!F1161)</f>
        <v>39.0720834331704</v>
      </c>
      <c r="G1160" s="6" t="n">
        <f aca="false">Sens!F1160*(1+Sens!G1161)</f>
        <v>40.726562953769</v>
      </c>
      <c r="H1160" s="6" t="n">
        <f aca="false">Sens!G1160*(1+Sens!H1161)</f>
        <v>42.2235987259198</v>
      </c>
      <c r="I1160" s="6" t="n">
        <f aca="false">Sens!H1160*(1+Sens!I1161)</f>
        <v>43.5397988077414</v>
      </c>
      <c r="J1160" s="6" t="n">
        <f aca="false">Sens!I1160*(1+Sens!J1161)</f>
        <v>44.653811225693</v>
      </c>
      <c r="K1160" s="6" t="n">
        <f aca="false">Sens!J1160*(1+Sens!K1161)</f>
        <v>45.5468874502068</v>
      </c>
    </row>
    <row r="1161" customFormat="false" ht="15" hidden="false" customHeight="false" outlineLevel="0" collapsed="false">
      <c r="A1161" s="1" t="s">
        <v>782</v>
      </c>
      <c r="B1161" s="0" t="s">
        <v>126</v>
      </c>
      <c r="E1161" s="7" t="n">
        <f aca="false">Sens!E1160/Sens!D1160-1</f>
        <v>0.0535164307309768</v>
      </c>
      <c r="F1161" s="7" t="n">
        <f aca="false">Sens!$E$1161+(glt_lic-Sens!$E$1161)*MIN(1,1/n_conv)</f>
        <v>0.0479303589424807</v>
      </c>
      <c r="G1161" s="7" t="n">
        <f aca="false">Sens!$E$1161+(glt_lic-Sens!$E$1161)*MIN(1,2/n_conv)</f>
        <v>0.0423442871539845</v>
      </c>
      <c r="H1161" s="7" t="n">
        <f aca="false">Sens!$E$1161+(glt_lic-Sens!$E$1161)*MIN(1,3/n_conv)</f>
        <v>0.0367582153654884</v>
      </c>
      <c r="I1161" s="7" t="n">
        <f aca="false">Sens!$E$1161+(glt_lic-Sens!$E$1161)*MIN(1,4/n_conv)</f>
        <v>0.0311721435769923</v>
      </c>
      <c r="J1161" s="7" t="n">
        <f aca="false">Sens!$E$1161+(glt_lic-Sens!$E$1161)*MIN(1,5/n_conv)</f>
        <v>0.0255860717884961</v>
      </c>
      <c r="K1161" s="7" t="n">
        <f aca="false">Sens!$E$1161+(glt_lic-Sens!$E$1161)*MIN(1,6/n_conv)</f>
        <v>0.02</v>
      </c>
    </row>
    <row r="1162" customFormat="false" ht="15" hidden="false" customHeight="false" outlineLevel="0" collapsed="false">
      <c r="A1162" s="0" t="s">
        <v>790</v>
      </c>
      <c r="B1162" s="0" t="s">
        <v>95</v>
      </c>
      <c r="D1162" s="6" t="n">
        <f aca="false">Q!L9</f>
        <v>18.417</v>
      </c>
      <c r="E1162" s="6" t="n">
        <f aca="false">Q!M9</f>
        <v>20.345</v>
      </c>
      <c r="F1162" s="6" t="n">
        <f aca="false">Sens!E1162*(1+Sens!F1163)</f>
        <v>22.3572203267814</v>
      </c>
      <c r="G1162" s="6" t="n">
        <f aca="false">Sens!F1162*(1+Sens!G1163)</f>
        <v>24.4392124437232</v>
      </c>
      <c r="H1162" s="6" t="n">
        <f aca="false">Sens!G1162*(1+Sens!H1163)</f>
        <v>26.5738052080665</v>
      </c>
      <c r="I1162" s="6" t="n">
        <f aca="false">Sens!H1162*(1+Sens!I1163)</f>
        <v>28.7412169166967</v>
      </c>
      <c r="J1162" s="6" t="n">
        <f aca="false">Sens!I1162*(1+Sens!J1163)</f>
        <v>30.9192545395413</v>
      </c>
      <c r="K1162" s="6" t="n">
        <f aca="false">Sens!J1162*(1+Sens!K1163)</f>
        <v>33.0836023573092</v>
      </c>
    </row>
    <row r="1163" customFormat="false" ht="15" hidden="false" customHeight="false" outlineLevel="0" collapsed="false">
      <c r="A1163" s="1" t="s">
        <v>782</v>
      </c>
      <c r="B1163" s="0" t="s">
        <v>126</v>
      </c>
      <c r="E1163" s="7" t="n">
        <f aca="false">Sens!E1162/Sens!D1162-1</f>
        <v>0.104685888038225</v>
      </c>
      <c r="F1163" s="7" t="n">
        <f aca="false">Sens!$E$1163+(glt_ind-Sens!$E$1163)*MIN(1,1/n_conv)</f>
        <v>0.0989049066985211</v>
      </c>
      <c r="G1163" s="7" t="n">
        <f aca="false">Sens!$E$1163+(glt_ind-Sens!$E$1163)*MIN(1,2/n_conv)</f>
        <v>0.0931239253588169</v>
      </c>
      <c r="H1163" s="7" t="n">
        <f aca="false">Sens!$E$1163+(glt_ind-Sens!$E$1163)*MIN(1,3/n_conv)</f>
        <v>0.0873429440191127</v>
      </c>
      <c r="I1163" s="7" t="n">
        <f aca="false">Sens!$E$1163+(glt_ind-Sens!$E$1163)*MIN(1,4/n_conv)</f>
        <v>0.0815619626794085</v>
      </c>
      <c r="J1163" s="7" t="n">
        <f aca="false">Sens!$E$1163+(glt_ind-Sens!$E$1163)*MIN(1,5/n_conv)</f>
        <v>0.0757809813397042</v>
      </c>
      <c r="K1163" s="7" t="n">
        <f aca="false">Sens!$E$1163+(glt_ind-Sens!$E$1163)*MIN(1,6/n_conv)</f>
        <v>0.07</v>
      </c>
    </row>
    <row r="1164" customFormat="false" ht="15" hidden="false" customHeight="false" outlineLevel="0" collapsed="false">
      <c r="A1164" s="0" t="s">
        <v>791</v>
      </c>
      <c r="B1164" s="0" t="s">
        <v>95</v>
      </c>
      <c r="D1164" s="6" t="n">
        <f aca="false">Q!L10</f>
        <v>7.76</v>
      </c>
      <c r="E1164" s="6" t="n">
        <f aca="false">Q!M10</f>
        <v>8.26</v>
      </c>
      <c r="F1164" s="6" t="n">
        <f aca="false">Sens!E1164*(1+Sens!F1165)</f>
        <v>8.79988041237113</v>
      </c>
      <c r="G1164" s="6" t="n">
        <f aca="false">Sens!F1164*(1+Sens!G1165)</f>
        <v>9.38321269125306</v>
      </c>
      <c r="H1164" s="6" t="n">
        <f aca="false">Sens!G1164*(1+Sens!H1165)</f>
        <v>10.0139193587476</v>
      </c>
      <c r="I1164" s="6" t="n">
        <f aca="false">Sens!H1164*(1+Sens!I1165)</f>
        <v>10.6963111830911</v>
      </c>
      <c r="J1164" s="6" t="n">
        <f aca="false">Sens!I1164*(1+Sens!J1165)</f>
        <v>11.4351285534696</v>
      </c>
      <c r="K1164" s="6" t="n">
        <f aca="false">Sens!J1164*(1+Sens!K1165)</f>
        <v>12.2355875522124</v>
      </c>
    </row>
    <row r="1165" customFormat="false" ht="15" hidden="false" customHeight="false" outlineLevel="0" collapsed="false">
      <c r="A1165" s="1" t="s">
        <v>782</v>
      </c>
      <c r="B1165" s="0" t="s">
        <v>126</v>
      </c>
      <c r="E1165" s="7" t="n">
        <f aca="false">Sens!E1164/Sens!D1164-1</f>
        <v>0.0644329896907216</v>
      </c>
      <c r="F1165" s="7" t="n">
        <f aca="false">Sens!$E$1165+(glt_fro-Sens!$E$1165)*MIN(1,1/n_conv)</f>
        <v>0.065360824742268</v>
      </c>
      <c r="G1165" s="7" t="n">
        <f aca="false">Sens!$E$1165+(glt_fro-Sens!$E$1165)*MIN(1,2/n_conv)</f>
        <v>0.0662886597938144</v>
      </c>
      <c r="H1165" s="7" t="n">
        <f aca="false">Sens!$E$1165+(glt_fro-Sens!$E$1165)*MIN(1,3/n_conv)</f>
        <v>0.0672164948453608</v>
      </c>
      <c r="I1165" s="7" t="n">
        <f aca="false">Sens!$E$1165+(glt_fro-Sens!$E$1165)*MIN(1,4/n_conv)</f>
        <v>0.0681443298969072</v>
      </c>
      <c r="J1165" s="7" t="n">
        <f aca="false">Sens!$E$1165+(glt_fro-Sens!$E$1165)*MIN(1,5/n_conv)</f>
        <v>0.0690721649484536</v>
      </c>
      <c r="K1165" s="7" t="n">
        <f aca="false">Sens!$E$1165+(glt_fro-Sens!$E$1165)*MIN(1,6/n_conv)</f>
        <v>0.07</v>
      </c>
    </row>
    <row r="1166" customFormat="false" ht="15" hidden="false" customHeight="false" outlineLevel="0" collapsed="false">
      <c r="A1166" s="0" t="s">
        <v>626</v>
      </c>
      <c r="B1166" s="0" t="s">
        <v>95</v>
      </c>
      <c r="D1166" s="6" t="n">
        <f aca="false">Sens!D1154+Sens!D1159+Sens!D1160+Sens!D1162+Sens!D1164</f>
        <v>218.783</v>
      </c>
      <c r="E1166" s="6" t="n">
        <f aca="false">Sens!E1154+Sens!E1159+Sens!E1160+Sens!E1162+Sens!E1164</f>
        <v>268.127</v>
      </c>
      <c r="F1166" s="6" t="n">
        <f aca="false">Sens!F1154+Sens!F1159+Sens!F1160+Sens!F1162+Sens!F1164</f>
        <v>339.433940907051</v>
      </c>
      <c r="G1166" s="6" t="n">
        <f aca="false">Sens!G1154+Sens!G1159+Sens!G1160+Sens!G1162+Sens!G1164</f>
        <v>424.490670881892</v>
      </c>
      <c r="H1166" s="6" t="n">
        <f aca="false">Sens!H1154+Sens!H1159+Sens!H1160+Sens!H1162+Sens!H1164</f>
        <v>515.646275281385</v>
      </c>
      <c r="I1166" s="6" t="n">
        <f aca="false">Sens!I1154+Sens!I1159+Sens!I1160+Sens!I1162+Sens!I1164</f>
        <v>597.93444694442</v>
      </c>
      <c r="J1166" s="6" t="n">
        <f aca="false">Sens!J1154+Sens!J1159+Sens!J1160+Sens!J1162+Sens!J1164</f>
        <v>675.905670910223</v>
      </c>
      <c r="K1166" s="6" t="n">
        <f aca="false">Sens!K1154+Sens!K1159+Sens!K1160+Sens!K1162+Sens!K1164</f>
        <v>750.407304875998</v>
      </c>
    </row>
    <row r="1167" customFormat="false" ht="15" hidden="false" customHeight="false" outlineLevel="0" collapsed="false">
      <c r="A1167" s="0" t="s">
        <v>792</v>
      </c>
      <c r="B1167" s="0" t="s">
        <v>95</v>
      </c>
      <c r="D1167" s="6" t="n">
        <f aca="false">Q!L13</f>
        <v>22.171</v>
      </c>
      <c r="E1167" s="6" t="n">
        <f aca="false">Q!M13</f>
        <v>24.835</v>
      </c>
      <c r="F1167" s="6" t="n">
        <f aca="false">Sens!E1167*(1+Sens!F1168)</f>
        <v>27.6114901218559</v>
      </c>
      <c r="G1167" s="6" t="n">
        <f aca="false">Sens!F1167*(1+Sens!G1168)</f>
        <v>30.4675667338515</v>
      </c>
      <c r="H1167" s="6" t="n">
        <f aca="false">Sens!G1167*(1+Sens!H1168)</f>
        <v>33.3643766955789</v>
      </c>
      <c r="I1167" s="6" t="n">
        <f aca="false">Sens!H1167*(1+Sens!I1168)</f>
        <v>36.2577016533691</v>
      </c>
      <c r="J1167" s="6" t="n">
        <f aca="false">Sens!I1167*(1+Sens!J1168)</f>
        <v>39.0988367952171</v>
      </c>
      <c r="K1167" s="6" t="n">
        <f aca="false">Sens!J1167*(1+Sens!K1168)</f>
        <v>41.8357553708823</v>
      </c>
    </row>
    <row r="1168" customFormat="false" ht="15" hidden="false" customHeight="false" outlineLevel="0" collapsed="false">
      <c r="A1168" s="1" t="s">
        <v>782</v>
      </c>
      <c r="B1168" s="0" t="s">
        <v>126</v>
      </c>
      <c r="E1168" s="7" t="n">
        <f aca="false">Sens!E1167/Sens!D1167-1</f>
        <v>0.120156961796942</v>
      </c>
      <c r="F1168" s="7" t="n">
        <f aca="false">Sens!$E$1168+(glt_srch-Sens!$E$1168)*MIN(1,1/n_conv)</f>
        <v>0.111797468164118</v>
      </c>
      <c r="G1168" s="7" t="n">
        <f aca="false">Sens!$E$1168+(glt_srch-Sens!$E$1168)*MIN(1,2/n_conv)</f>
        <v>0.103437974531295</v>
      </c>
      <c r="H1168" s="7" t="n">
        <f aca="false">Sens!$E$1168+(glt_srch-Sens!$E$1168)*MIN(1,3/n_conv)</f>
        <v>0.095078480898471</v>
      </c>
      <c r="I1168" s="7" t="n">
        <f aca="false">Sens!$E$1168+(glt_srch-Sens!$E$1168)*MIN(1,4/n_conv)</f>
        <v>0.0867189872656474</v>
      </c>
      <c r="J1168" s="7" t="n">
        <f aca="false">Sens!$E$1168+(glt_srch-Sens!$E$1168)*MIN(1,5/n_conv)</f>
        <v>0.0783594936328237</v>
      </c>
      <c r="K1168" s="7" t="n">
        <f aca="false">Sens!$E$1168+(glt_srch-Sens!$E$1168)*MIN(1,6/n_conv)</f>
        <v>0.07</v>
      </c>
    </row>
    <row r="1169" customFormat="false" ht="15" hidden="false" customHeight="false" outlineLevel="0" collapsed="false">
      <c r="A1169" s="0" t="s">
        <v>793</v>
      </c>
      <c r="B1169" s="0" t="s">
        <v>95</v>
      </c>
      <c r="D1169" s="6" t="n">
        <f aca="false">Q!L14</f>
        <v>23.455</v>
      </c>
      <c r="E1169" s="6" t="n">
        <f aca="false">Q!M14</f>
        <v>21.79</v>
      </c>
      <c r="F1169" s="6" t="n">
        <f aca="false">Sens!E1169*(1+Sens!F1170)</f>
        <v>20.5736277908051</v>
      </c>
      <c r="G1169" s="6" t="n">
        <f aca="false">Sens!F1169*(1+Sens!G1170)</f>
        <v>19.7371452817919</v>
      </c>
      <c r="H1169" s="6" t="n">
        <f aca="false">Sens!G1169*(1+Sens!H1170)</f>
        <v>19.2339764043138</v>
      </c>
      <c r="I1169" s="6" t="n">
        <f aca="false">Sens!H1169*(1+Sens!I1170)</f>
        <v>19.0353086852681</v>
      </c>
      <c r="J1169" s="6" t="n">
        <f aca="false">Sens!I1169*(1+Sens!J1170)</f>
        <v>19.1273539319129</v>
      </c>
      <c r="K1169" s="6" t="n">
        <f aca="false">Sens!J1169*(1+Sens!K1170)</f>
        <v>19.5099010105511</v>
      </c>
    </row>
    <row r="1170" customFormat="false" ht="15" hidden="false" customHeight="false" outlineLevel="0" collapsed="false">
      <c r="A1170" s="1" t="s">
        <v>782</v>
      </c>
      <c r="B1170" s="0" t="s">
        <v>126</v>
      </c>
      <c r="E1170" s="7" t="n">
        <f aca="false">Sens!E1169/Sens!D1169-1</f>
        <v>-0.0709869963760392</v>
      </c>
      <c r="F1170" s="7" t="n">
        <f aca="false">Sens!$E$1170+(glt_xbox-Sens!$E$1170)*MIN(1,1/n_conv)</f>
        <v>-0.0558224969800327</v>
      </c>
      <c r="G1170" s="7" t="n">
        <f aca="false">Sens!$E$1170+(glt_xbox-Sens!$E$1170)*MIN(1,2/n_conv)</f>
        <v>-0.0406579975840262</v>
      </c>
      <c r="H1170" s="7" t="n">
        <f aca="false">Sens!$E$1170+(glt_xbox-Sens!$E$1170)*MIN(1,3/n_conv)</f>
        <v>-0.0254934981880196</v>
      </c>
      <c r="I1170" s="7" t="n">
        <f aca="false">Sens!$E$1170+(glt_xbox-Sens!$E$1170)*MIN(1,4/n_conv)</f>
        <v>-0.0103289987920131</v>
      </c>
      <c r="J1170" s="7" t="n">
        <f aca="false">Sens!$E$1170+(glt_xbox-Sens!$E$1170)*MIN(1,5/n_conv)</f>
        <v>0.00483550060399347</v>
      </c>
      <c r="K1170" s="7" t="n">
        <f aca="false">Sens!$E$1170+(glt_xbox-Sens!$E$1170)*MIN(1,6/n_conv)</f>
        <v>0.02</v>
      </c>
    </row>
    <row r="1171" customFormat="false" ht="15" hidden="false" customHeight="false" outlineLevel="0" collapsed="false">
      <c r="A1171" s="0" t="s">
        <v>794</v>
      </c>
      <c r="B1171" s="0" t="s">
        <v>95</v>
      </c>
      <c r="D1171" s="6" t="n">
        <f aca="false">Q!L15</f>
        <v>17.315</v>
      </c>
      <c r="E1171" s="6" t="n">
        <f aca="false">Q!M15</f>
        <v>17.087</v>
      </c>
      <c r="F1171" s="6" t="n">
        <f aca="false">Sens!E1171*(1+Sens!F1172)</f>
        <v>16.9564585436519</v>
      </c>
      <c r="G1171" s="6" t="n">
        <f aca="false">Sens!F1171*(1+Sens!G1172)</f>
        <v>16.9206490624268</v>
      </c>
      <c r="H1171" s="6" t="n">
        <f aca="false">Sens!G1171*(1+Sens!H1172)</f>
        <v>16.9784519149849</v>
      </c>
      <c r="I1171" s="6" t="n">
        <f aca="false">Sens!H1171*(1+Sens!I1172)</f>
        <v>17.1303084701817</v>
      </c>
      <c r="J1171" s="6" t="n">
        <f aca="false">Sens!I1171*(1+Sens!J1172)</f>
        <v>17.3782189407267</v>
      </c>
      <c r="K1171" s="6" t="n">
        <f aca="false">Sens!J1171*(1+Sens!K1172)</f>
        <v>17.7257833195413</v>
      </c>
    </row>
    <row r="1172" customFormat="false" ht="15" hidden="false" customHeight="false" outlineLevel="0" collapsed="false">
      <c r="A1172" s="1" t="s">
        <v>782</v>
      </c>
      <c r="B1172" s="0" t="s">
        <v>126</v>
      </c>
      <c r="E1172" s="7" t="n">
        <f aca="false">Sens!E1171/Sens!D1171-1</f>
        <v>-0.0131677736066995</v>
      </c>
      <c r="F1172" s="7" t="n">
        <f aca="false">Sens!$E$1172+(glt_win-Sens!$E$1172)*MIN(1,1/n_conv)</f>
        <v>-0.00763981133891627</v>
      </c>
      <c r="G1172" s="7" t="n">
        <f aca="false">Sens!$E$1172+(glt_win-Sens!$E$1172)*MIN(1,2/n_conv)</f>
        <v>-0.00211184907113301</v>
      </c>
      <c r="H1172" s="7" t="n">
        <f aca="false">Sens!$E$1172+(glt_win-Sens!$E$1172)*MIN(1,3/n_conv)</f>
        <v>0.00341611319665024</v>
      </c>
      <c r="I1172" s="7" t="n">
        <f aca="false">Sens!$E$1172+(glt_win-Sens!$E$1172)*MIN(1,4/n_conv)</f>
        <v>0.00894407546443349</v>
      </c>
      <c r="J1172" s="7" t="n">
        <f aca="false">Sens!$E$1172+(glt_win-Sens!$E$1172)*MIN(1,5/n_conv)</f>
        <v>0.0144720377322168</v>
      </c>
      <c r="K1172" s="7" t="n">
        <f aca="false">Sens!$E$1172+(glt_win-Sens!$E$1172)*MIN(1,6/n_conv)</f>
        <v>0.02</v>
      </c>
    </row>
    <row r="1173" customFormat="false" ht="15" hidden="false" customHeight="false" outlineLevel="0" collapsed="false">
      <c r="A1173" s="0" t="s">
        <v>640</v>
      </c>
      <c r="B1173" s="0" t="s">
        <v>95</v>
      </c>
      <c r="D1173" s="6" t="n">
        <f aca="false">Sens!D1167+Sens!D1169+Sens!D1171</f>
        <v>62.941</v>
      </c>
      <c r="E1173" s="6" t="n">
        <f aca="false">Sens!E1167+Sens!E1169+Sens!E1171</f>
        <v>63.712</v>
      </c>
      <c r="F1173" s="6" t="n">
        <f aca="false">Sens!F1167+Sens!F1169+Sens!F1171</f>
        <v>65.1415764563129</v>
      </c>
      <c r="G1173" s="6" t="n">
        <f aca="false">Sens!G1167+Sens!G1169+Sens!G1171</f>
        <v>67.1253610780702</v>
      </c>
      <c r="H1173" s="6" t="n">
        <f aca="false">Sens!H1167+Sens!H1169+Sens!H1171</f>
        <v>69.5768050148776</v>
      </c>
      <c r="I1173" s="6" t="n">
        <f aca="false">Sens!I1167+Sens!I1169+Sens!I1171</f>
        <v>72.4233188088189</v>
      </c>
      <c r="J1173" s="6" t="n">
        <f aca="false">Sens!J1167+Sens!J1169+Sens!J1171</f>
        <v>75.6044096678567</v>
      </c>
      <c r="K1173" s="6" t="n">
        <f aca="false">Sens!K1167+Sens!K1169+Sens!K1171</f>
        <v>79.0714397009747</v>
      </c>
    </row>
    <row r="1174" customFormat="false" ht="15" hidden="false" customHeight="false" outlineLevel="0" collapsed="false">
      <c r="A1174" s="1" t="s">
        <v>795</v>
      </c>
      <c r="B1174" s="0" t="s">
        <v>95</v>
      </c>
      <c r="D1174" s="6" t="n">
        <f aca="false">Sens!D1166+Sens!D1173</f>
        <v>281.724</v>
      </c>
      <c r="E1174" s="6" t="n">
        <f aca="false">Sens!E1166+Sens!E1173</f>
        <v>331.839</v>
      </c>
      <c r="F1174" s="6" t="n">
        <f aca="false">Sens!F1166+Sens!F1173</f>
        <v>404.575517363364</v>
      </c>
      <c r="G1174" s="6" t="n">
        <f aca="false">Sens!G1166+Sens!G1173</f>
        <v>491.616031959962</v>
      </c>
      <c r="H1174" s="6" t="n">
        <f aca="false">Sens!H1166+Sens!H1173</f>
        <v>585.223080296262</v>
      </c>
      <c r="I1174" s="6" t="n">
        <f aca="false">Sens!I1166+Sens!I1173</f>
        <v>670.357765753239</v>
      </c>
      <c r="J1174" s="6" t="n">
        <f aca="false">Sens!J1166+Sens!J1173</f>
        <v>751.510080578079</v>
      </c>
      <c r="K1174" s="6" t="n">
        <f aca="false">Sens!K1166+Sens!K1173</f>
        <v>829.478744576972</v>
      </c>
    </row>
    <row r="1175" customFormat="false" ht="15" hidden="false" customHeight="false" outlineLevel="0" collapsed="false">
      <c r="A1175" s="22" t="s">
        <v>796</v>
      </c>
      <c r="B1175" s="28" t="s">
        <v>95</v>
      </c>
      <c r="C1175" s="28"/>
      <c r="D1175" s="23" t="n">
        <f aca="false">(Sens!D1154+Sens!D1159+Sens!D1160+Sens!D1162+Sens!D1164-Sens!D1166)+(Sens!D1167+Sens!D1169+Sens!D1171-Sens!D1173)+(Sens!D1166-Q!L5)+(Sens!D1173-Q!L12)+(Sens!D1154-Q!L6)+(Sens!D1159-Q!L7)</f>
        <v>0</v>
      </c>
      <c r="E1175" s="23" t="n">
        <f aca="false">(Sens!E1154+Sens!E1159+Sens!E1160+Sens!E1162+Sens!E1164-Sens!E1166)+(Sens!E1167+Sens!E1169+Sens!E1171-Sens!E1173)+(Sens!E1166-Q!M5)+(Sens!E1173-Q!M12)+(Sens!E1154-Q!M6)+(Sens!E1159-Q!M7)</f>
        <v>0</v>
      </c>
      <c r="F1175" s="23" t="n">
        <f aca="false">(Sens!F1154+Sens!F1159+Sens!F1160+Sens!F1162+Sens!F1164-Sens!F1166)+(Sens!F1167+Sens!F1169+Sens!F1171-Sens!F1173)</f>
        <v>0</v>
      </c>
      <c r="G1175" s="23" t="n">
        <f aca="false">(Sens!G1154+Sens!G1159+Sens!G1160+Sens!G1162+Sens!G1164-Sens!G1166)+(Sens!G1167+Sens!G1169+Sens!G1171-Sens!G1173)</f>
        <v>0</v>
      </c>
      <c r="H1175" s="23" t="n">
        <f aca="false">(Sens!H1154+Sens!H1159+Sens!H1160+Sens!H1162+Sens!H1164-Sens!H1166)+(Sens!H1167+Sens!H1169+Sens!H1171-Sens!H1173)</f>
        <v>0</v>
      </c>
      <c r="I1175" s="23" t="n">
        <f aca="false">(Sens!I1154+Sens!I1159+Sens!I1160+Sens!I1162+Sens!I1164-Sens!I1166)+(Sens!I1167+Sens!I1169+Sens!I1171-Sens!I1173)</f>
        <v>0</v>
      </c>
      <c r="J1175" s="23" t="n">
        <f aca="false">(Sens!J1154+Sens!J1159+Sens!J1160+Sens!J1162+Sens!J1164-Sens!J1166)+(Sens!J1167+Sens!J1169+Sens!J1171-Sens!J1173)</f>
        <v>0</v>
      </c>
      <c r="K1175" s="23" t="n">
        <f aca="false">(Sens!K1154+Sens!K1159+Sens!K1160+Sens!K1162+Sens!K1164-Sens!K1166)+(Sens!K1167+Sens!K1169+Sens!K1171-Sens!K1173)</f>
        <v>0</v>
      </c>
    </row>
    <row r="1176" customFormat="false" ht="17.15" hidden="false" customHeight="false" outlineLevel="0" collapsed="false">
      <c r="A1176" s="3" t="s">
        <v>1146</v>
      </c>
    </row>
    <row r="1177" customFormat="false" ht="15" hidden="false" customHeight="false" outlineLevel="0" collapsed="false">
      <c r="A1177" s="4" t="s">
        <v>43</v>
      </c>
      <c r="B1177" s="4" t="s">
        <v>63</v>
      </c>
      <c r="C1177" s="19" t="s">
        <v>710</v>
      </c>
      <c r="D1177" s="19" t="s">
        <v>711</v>
      </c>
      <c r="E1177" s="19" t="s">
        <v>712</v>
      </c>
      <c r="F1177" s="19" t="s">
        <v>713</v>
      </c>
      <c r="G1177" s="19" t="s">
        <v>714</v>
      </c>
      <c r="H1177" s="19" t="s">
        <v>715</v>
      </c>
      <c r="I1177" s="19" t="s">
        <v>716</v>
      </c>
      <c r="J1177" s="19" t="s">
        <v>717</v>
      </c>
      <c r="K1177" s="19" t="s">
        <v>718</v>
      </c>
      <c r="L1177" s="4" t="s">
        <v>47</v>
      </c>
    </row>
    <row r="1178" customFormat="false" ht="15" hidden="false" customHeight="false" outlineLevel="0" collapsed="false">
      <c r="A1178" s="0" t="s">
        <v>783</v>
      </c>
      <c r="B1178" s="0" t="s">
        <v>95</v>
      </c>
      <c r="D1178" s="6" t="n">
        <f aca="false">Sens!D1154</f>
        <v>72.61</v>
      </c>
      <c r="E1178" s="6" t="n">
        <f aca="false">Sens!E1154</f>
        <v>101.938</v>
      </c>
      <c r="F1178" s="6" t="n">
        <f aca="false">Sens!F1154</f>
        <v>148.812368967868</v>
      </c>
      <c r="G1178" s="6" t="n">
        <f aca="false">Sens!G1154</f>
        <v>208.397514344463</v>
      </c>
      <c r="H1178" s="6" t="n">
        <f aca="false">Sens!H1154</f>
        <v>274.05759259987</v>
      </c>
      <c r="I1178" s="6" t="n">
        <f aca="false">Sens!I1154</f>
        <v>333.373091964934</v>
      </c>
      <c r="J1178" s="6" t="n">
        <f aca="false">Sens!J1154</f>
        <v>391.214773806054</v>
      </c>
      <c r="K1178" s="6" t="n">
        <f aca="false">Sens!K1154</f>
        <v>446.513235535821</v>
      </c>
    </row>
    <row r="1179" customFormat="false" ht="17.15" hidden="false" customHeight="false" outlineLevel="0" collapsed="false">
      <c r="A1179" s="0" t="s">
        <v>780</v>
      </c>
      <c r="B1179" s="0" t="s">
        <v>95</v>
      </c>
      <c r="D1179" s="6" t="n">
        <f aca="false">Sens!D1151</f>
        <v>12.9359794422418</v>
      </c>
      <c r="E1179" s="6" t="n">
        <f aca="false">Sens!E1151</f>
        <v>27.8095064661409</v>
      </c>
      <c r="F1179" s="6" t="n">
        <f aca="false">Sens!F1151</f>
        <v>58.7324192305018</v>
      </c>
      <c r="G1179" s="6" t="n">
        <f aca="false">Sens!G1151</f>
        <v>101.369089141153</v>
      </c>
      <c r="H1179" s="6" t="n">
        <f aca="false">Sens!H1151</f>
        <v>149.785610014234</v>
      </c>
      <c r="I1179" s="6" t="n">
        <f aca="false">Sens!I1151</f>
        <v>192.439389583079</v>
      </c>
      <c r="J1179" s="6" t="n">
        <f aca="false">Sens!J1151</f>
        <v>235.195906491722</v>
      </c>
      <c r="K1179" s="6" t="n">
        <f aca="false">Sens!K1151</f>
        <v>278.012858836343</v>
      </c>
    </row>
    <row r="1180" customFormat="false" ht="17.15" hidden="false" customHeight="false" outlineLevel="0" collapsed="false">
      <c r="A1180" s="0" t="s">
        <v>807</v>
      </c>
      <c r="B1180" s="0" t="s">
        <v>95</v>
      </c>
      <c r="D1180" s="6" t="n">
        <f aca="false">Sens!D1152</f>
        <v>59.6740205577583</v>
      </c>
      <c r="E1180" s="6" t="n">
        <f aca="false">Sens!E1152</f>
        <v>74.1284935338591</v>
      </c>
      <c r="F1180" s="6" t="n">
        <f aca="false">Sens!F1152</f>
        <v>90.0799497373663</v>
      </c>
      <c r="G1180" s="6" t="n">
        <f aca="false">Sens!G1152</f>
        <v>107.02842520331</v>
      </c>
      <c r="H1180" s="6" t="n">
        <f aca="false">Sens!H1152</f>
        <v>124.271982585636</v>
      </c>
      <c r="I1180" s="6" t="n">
        <f aca="false">Sens!I1152</f>
        <v>140.933702381855</v>
      </c>
      <c r="J1180" s="6" t="n">
        <f aca="false">Sens!J1152</f>
        <v>156.018867314332</v>
      </c>
      <c r="K1180" s="6" t="n">
        <f aca="false">Sens!K1152</f>
        <v>168.500376699478</v>
      </c>
    </row>
    <row r="1181" customFormat="false" ht="15" hidden="false" customHeight="false" outlineLevel="0" collapsed="false">
      <c r="A1181" s="0" t="s">
        <v>788</v>
      </c>
      <c r="B1181" s="0" t="s">
        <v>95</v>
      </c>
      <c r="D1181" s="6" t="n">
        <f aca="false">Sens!D1159</f>
        <v>84.605</v>
      </c>
      <c r="E1181" s="6" t="n">
        <f aca="false">Sens!E1159</f>
        <v>100.299</v>
      </c>
      <c r="F1181" s="6" t="n">
        <f aca="false">Sens!F1159</f>
        <v>120.39238776686</v>
      </c>
      <c r="G1181" s="6" t="n">
        <f aca="false">Sens!G1159</f>
        <v>141.544168448684</v>
      </c>
      <c r="H1181" s="6" t="n">
        <f aca="false">Sens!H1159</f>
        <v>162.777359388781</v>
      </c>
      <c r="I1181" s="6" t="n">
        <f aca="false">Sens!I1159</f>
        <v>181.584028071957</v>
      </c>
      <c r="J1181" s="6" t="n">
        <f aca="false">Sens!J1159</f>
        <v>197.682702785465</v>
      </c>
      <c r="K1181" s="6" t="n">
        <f aca="false">Sens!K1159</f>
        <v>213.027991980448</v>
      </c>
    </row>
    <row r="1182" customFormat="false" ht="17.15" hidden="false" customHeight="false" outlineLevel="0" collapsed="false">
      <c r="A1182" s="0" t="s">
        <v>808</v>
      </c>
      <c r="B1182" s="0" t="s">
        <v>95</v>
      </c>
      <c r="D1182" s="6" t="n">
        <f aca="false">Sens!D1157</f>
        <v>83.705</v>
      </c>
      <c r="E1182" s="6" t="n">
        <f aca="false">Sens!E1157</f>
        <v>95.049</v>
      </c>
      <c r="F1182" s="6" t="n">
        <f aca="false">Sens!F1157</f>
        <v>106.89238776686</v>
      </c>
      <c r="G1182" s="6" t="n">
        <f aca="false">Sens!G1157</f>
        <v>119.044168448684</v>
      </c>
      <c r="H1182" s="6" t="n">
        <f aca="false">Sens!H1157</f>
        <v>131.277359388781</v>
      </c>
      <c r="I1182" s="6" t="n">
        <f aca="false">Sens!I1157</f>
        <v>143.334028071957</v>
      </c>
      <c r="J1182" s="6" t="n">
        <f aca="false">Sens!J1157</f>
        <v>154.932702785465</v>
      </c>
      <c r="K1182" s="6" t="n">
        <f aca="false">Sens!K1157</f>
        <v>165.777991980448</v>
      </c>
    </row>
    <row r="1183" customFormat="false" ht="17.15" hidden="false" customHeight="false" outlineLevel="0" collapsed="false">
      <c r="A1183" s="0" t="s">
        <v>809</v>
      </c>
      <c r="B1183" s="0" t="s">
        <v>95</v>
      </c>
      <c r="D1183" s="6" t="n">
        <f aca="false">Sens!D1156</f>
        <v>0.9</v>
      </c>
      <c r="E1183" s="6" t="n">
        <f aca="false">Sens!E1156</f>
        <v>5.25</v>
      </c>
      <c r="F1183" s="6" t="n">
        <f aca="false">Sens!F1156</f>
        <v>13.5</v>
      </c>
      <c r="G1183" s="6" t="n">
        <f aca="false">Sens!G1156</f>
        <v>22.5</v>
      </c>
      <c r="H1183" s="6" t="n">
        <f aca="false">Sens!H1156</f>
        <v>31.5</v>
      </c>
      <c r="I1183" s="6" t="n">
        <f aca="false">Sens!I1156</f>
        <v>38.25</v>
      </c>
      <c r="J1183" s="6" t="n">
        <f aca="false">Sens!J1156</f>
        <v>42.75</v>
      </c>
      <c r="K1183" s="6" t="n">
        <f aca="false">Sens!K1156</f>
        <v>47.25</v>
      </c>
    </row>
    <row r="1184" customFormat="false" ht="15" hidden="false" customHeight="false" outlineLevel="0" collapsed="false">
      <c r="A1184" s="0" t="s">
        <v>789</v>
      </c>
      <c r="B1184" s="0" t="s">
        <v>95</v>
      </c>
      <c r="D1184" s="6" t="n">
        <f aca="false">Sens!D1160</f>
        <v>35.391</v>
      </c>
      <c r="E1184" s="6" t="n">
        <f aca="false">Sens!E1160</f>
        <v>37.285</v>
      </c>
      <c r="F1184" s="6" t="n">
        <f aca="false">Sens!F1160</f>
        <v>39.0720834331704</v>
      </c>
      <c r="G1184" s="6" t="n">
        <f aca="false">Sens!G1160</f>
        <v>40.726562953769</v>
      </c>
      <c r="H1184" s="6" t="n">
        <f aca="false">Sens!H1160</f>
        <v>42.2235987259198</v>
      </c>
      <c r="I1184" s="6" t="n">
        <f aca="false">Sens!I1160</f>
        <v>43.5397988077414</v>
      </c>
      <c r="J1184" s="6" t="n">
        <f aca="false">Sens!J1160</f>
        <v>44.653811225693</v>
      </c>
      <c r="K1184" s="6" t="n">
        <f aca="false">Sens!K1160</f>
        <v>45.5468874502068</v>
      </c>
    </row>
    <row r="1185" customFormat="false" ht="15" hidden="false" customHeight="false" outlineLevel="0" collapsed="false">
      <c r="A1185" s="0" t="s">
        <v>790</v>
      </c>
      <c r="B1185" s="0" t="s">
        <v>95</v>
      </c>
      <c r="D1185" s="6" t="n">
        <f aca="false">Sens!D1162</f>
        <v>18.417</v>
      </c>
      <c r="E1185" s="6" t="n">
        <f aca="false">Sens!E1162</f>
        <v>20.345</v>
      </c>
      <c r="F1185" s="6" t="n">
        <f aca="false">Sens!F1162</f>
        <v>22.3572203267814</v>
      </c>
      <c r="G1185" s="6" t="n">
        <f aca="false">Sens!G1162</f>
        <v>24.4392124437232</v>
      </c>
      <c r="H1185" s="6" t="n">
        <f aca="false">Sens!H1162</f>
        <v>26.5738052080665</v>
      </c>
      <c r="I1185" s="6" t="n">
        <f aca="false">Sens!I1162</f>
        <v>28.7412169166967</v>
      </c>
      <c r="J1185" s="6" t="n">
        <f aca="false">Sens!J1162</f>
        <v>30.9192545395413</v>
      </c>
      <c r="K1185" s="6" t="n">
        <f aca="false">Sens!K1162</f>
        <v>33.0836023573092</v>
      </c>
    </row>
    <row r="1186" customFormat="false" ht="15" hidden="false" customHeight="false" outlineLevel="0" collapsed="false">
      <c r="A1186" s="0" t="s">
        <v>791</v>
      </c>
      <c r="B1186" s="0" t="s">
        <v>95</v>
      </c>
      <c r="D1186" s="6" t="n">
        <f aca="false">Sens!D1164</f>
        <v>7.76</v>
      </c>
      <c r="E1186" s="6" t="n">
        <f aca="false">Sens!E1164</f>
        <v>8.26</v>
      </c>
      <c r="F1186" s="6" t="n">
        <f aca="false">Sens!F1164</f>
        <v>8.79988041237113</v>
      </c>
      <c r="G1186" s="6" t="n">
        <f aca="false">Sens!G1164</f>
        <v>9.38321269125306</v>
      </c>
      <c r="H1186" s="6" t="n">
        <f aca="false">Sens!H1164</f>
        <v>10.0139193587476</v>
      </c>
      <c r="I1186" s="6" t="n">
        <f aca="false">Sens!I1164</f>
        <v>10.6963111830911</v>
      </c>
      <c r="J1186" s="6" t="n">
        <f aca="false">Sens!J1164</f>
        <v>11.4351285534696</v>
      </c>
      <c r="K1186" s="6" t="n">
        <f aca="false">Sens!K1164</f>
        <v>12.2355875522124</v>
      </c>
    </row>
    <row r="1187" customFormat="false" ht="15" hidden="false" customHeight="false" outlineLevel="0" collapsed="false">
      <c r="A1187" s="0" t="s">
        <v>626</v>
      </c>
      <c r="B1187" s="0" t="s">
        <v>95</v>
      </c>
      <c r="D1187" s="6" t="n">
        <f aca="false">Sens!D1166</f>
        <v>218.783</v>
      </c>
      <c r="E1187" s="6" t="n">
        <f aca="false">Sens!E1166</f>
        <v>268.127</v>
      </c>
      <c r="F1187" s="6" t="n">
        <f aca="false">Sens!F1166</f>
        <v>339.433940907051</v>
      </c>
      <c r="G1187" s="6" t="n">
        <f aca="false">Sens!G1166</f>
        <v>424.490670881892</v>
      </c>
      <c r="H1187" s="6" t="n">
        <f aca="false">Sens!H1166</f>
        <v>515.646275281385</v>
      </c>
      <c r="I1187" s="6" t="n">
        <f aca="false">Sens!I1166</f>
        <v>597.93444694442</v>
      </c>
      <c r="J1187" s="6" t="n">
        <f aca="false">Sens!J1166</f>
        <v>675.905670910223</v>
      </c>
      <c r="K1187" s="6" t="n">
        <f aca="false">Sens!K1166</f>
        <v>750.407304875998</v>
      </c>
    </row>
    <row r="1188" customFormat="false" ht="15" hidden="false" customHeight="false" outlineLevel="0" collapsed="false">
      <c r="A1188" s="0" t="s">
        <v>792</v>
      </c>
      <c r="B1188" s="0" t="s">
        <v>95</v>
      </c>
      <c r="D1188" s="6" t="n">
        <f aca="false">Sens!D1167</f>
        <v>22.171</v>
      </c>
      <c r="E1188" s="6" t="n">
        <f aca="false">Sens!E1167</f>
        <v>24.835</v>
      </c>
      <c r="F1188" s="6" t="n">
        <f aca="false">Sens!F1167</f>
        <v>27.6114901218559</v>
      </c>
      <c r="G1188" s="6" t="n">
        <f aca="false">Sens!G1167</f>
        <v>30.4675667338515</v>
      </c>
      <c r="H1188" s="6" t="n">
        <f aca="false">Sens!H1167</f>
        <v>33.3643766955789</v>
      </c>
      <c r="I1188" s="6" t="n">
        <f aca="false">Sens!I1167</f>
        <v>36.2577016533691</v>
      </c>
      <c r="J1188" s="6" t="n">
        <f aca="false">Sens!J1167</f>
        <v>39.0988367952171</v>
      </c>
      <c r="K1188" s="6" t="n">
        <f aca="false">Sens!K1167</f>
        <v>41.8357553708823</v>
      </c>
    </row>
    <row r="1189" customFormat="false" ht="15" hidden="false" customHeight="false" outlineLevel="0" collapsed="false">
      <c r="A1189" s="0" t="s">
        <v>793</v>
      </c>
      <c r="B1189" s="0" t="s">
        <v>95</v>
      </c>
      <c r="D1189" s="6" t="n">
        <f aca="false">Sens!D1169</f>
        <v>23.455</v>
      </c>
      <c r="E1189" s="6" t="n">
        <f aca="false">Sens!E1169</f>
        <v>21.79</v>
      </c>
      <c r="F1189" s="6" t="n">
        <f aca="false">Sens!F1169</f>
        <v>20.5736277908051</v>
      </c>
      <c r="G1189" s="6" t="n">
        <f aca="false">Sens!G1169</f>
        <v>19.7371452817919</v>
      </c>
      <c r="H1189" s="6" t="n">
        <f aca="false">Sens!H1169</f>
        <v>19.2339764043138</v>
      </c>
      <c r="I1189" s="6" t="n">
        <f aca="false">Sens!I1169</f>
        <v>19.0353086852681</v>
      </c>
      <c r="J1189" s="6" t="n">
        <f aca="false">Sens!J1169</f>
        <v>19.1273539319129</v>
      </c>
      <c r="K1189" s="6" t="n">
        <f aca="false">Sens!K1169</f>
        <v>19.5099010105511</v>
      </c>
    </row>
    <row r="1190" customFormat="false" ht="15" hidden="false" customHeight="false" outlineLevel="0" collapsed="false">
      <c r="A1190" s="0" t="s">
        <v>794</v>
      </c>
      <c r="B1190" s="0" t="s">
        <v>95</v>
      </c>
      <c r="D1190" s="6" t="n">
        <f aca="false">Sens!D1171</f>
        <v>17.315</v>
      </c>
      <c r="E1190" s="6" t="n">
        <f aca="false">Sens!E1171</f>
        <v>17.087</v>
      </c>
      <c r="F1190" s="6" t="n">
        <f aca="false">Sens!F1171</f>
        <v>16.9564585436519</v>
      </c>
      <c r="G1190" s="6" t="n">
        <f aca="false">Sens!G1171</f>
        <v>16.9206490624268</v>
      </c>
      <c r="H1190" s="6" t="n">
        <f aca="false">Sens!H1171</f>
        <v>16.9784519149849</v>
      </c>
      <c r="I1190" s="6" t="n">
        <f aca="false">Sens!I1171</f>
        <v>17.1303084701817</v>
      </c>
      <c r="J1190" s="6" t="n">
        <f aca="false">Sens!J1171</f>
        <v>17.3782189407267</v>
      </c>
      <c r="K1190" s="6" t="n">
        <f aca="false">Sens!K1171</f>
        <v>17.7257833195413</v>
      </c>
    </row>
    <row r="1191" customFormat="false" ht="15" hidden="false" customHeight="false" outlineLevel="0" collapsed="false">
      <c r="A1191" s="0" t="s">
        <v>640</v>
      </c>
      <c r="B1191" s="0" t="s">
        <v>95</v>
      </c>
      <c r="D1191" s="6" t="n">
        <f aca="false">Sens!D1173</f>
        <v>62.941</v>
      </c>
      <c r="E1191" s="6" t="n">
        <f aca="false">Sens!E1173</f>
        <v>63.712</v>
      </c>
      <c r="F1191" s="6" t="n">
        <f aca="false">Sens!F1173</f>
        <v>65.1415764563129</v>
      </c>
      <c r="G1191" s="6" t="n">
        <f aca="false">Sens!G1173</f>
        <v>67.1253610780702</v>
      </c>
      <c r="H1191" s="6" t="n">
        <f aca="false">Sens!H1173</f>
        <v>69.5768050148776</v>
      </c>
      <c r="I1191" s="6" t="n">
        <f aca="false">Sens!I1173</f>
        <v>72.4233188088189</v>
      </c>
      <c r="J1191" s="6" t="n">
        <f aca="false">Sens!J1173</f>
        <v>75.6044096678567</v>
      </c>
      <c r="K1191" s="6" t="n">
        <f aca="false">Sens!K1173</f>
        <v>79.0714397009747</v>
      </c>
    </row>
    <row r="1192" customFormat="false" ht="15" hidden="false" customHeight="false" outlineLevel="0" collapsed="false">
      <c r="A1192" s="1" t="s">
        <v>810</v>
      </c>
      <c r="B1192" s="0" t="s">
        <v>95</v>
      </c>
      <c r="D1192" s="6" t="n">
        <f aca="false">Sens!D1174</f>
        <v>281.724</v>
      </c>
      <c r="E1192" s="6" t="n">
        <f aca="false">Sens!E1174</f>
        <v>331.839</v>
      </c>
      <c r="F1192" s="6" t="n">
        <f aca="false">Sens!F1174</f>
        <v>404.575517363364</v>
      </c>
      <c r="G1192" s="6" t="n">
        <f aca="false">Sens!G1174</f>
        <v>491.616031959962</v>
      </c>
      <c r="H1192" s="6" t="n">
        <f aca="false">Sens!H1174</f>
        <v>585.223080296262</v>
      </c>
      <c r="I1192" s="6" t="n">
        <f aca="false">Sens!I1174</f>
        <v>670.357765753239</v>
      </c>
      <c r="J1192" s="6" t="n">
        <f aca="false">Sens!J1174</f>
        <v>751.510080578079</v>
      </c>
      <c r="K1192" s="6" t="n">
        <f aca="false">Sens!K1174</f>
        <v>829.478744576972</v>
      </c>
    </row>
    <row r="1193" customFormat="false" ht="15" hidden="false" customHeight="false" outlineLevel="0" collapsed="false">
      <c r="A1193" s="1" t="s">
        <v>811</v>
      </c>
      <c r="B1193" s="0" t="s">
        <v>126</v>
      </c>
      <c r="E1193" s="7" t="n">
        <f aca="false">Sens!E1192/Sens!D1192-1</f>
        <v>0.177886867998467</v>
      </c>
      <c r="F1193" s="7" t="n">
        <f aca="false">Sens!F1192/Sens!E1192-1</f>
        <v>0.219192190680914</v>
      </c>
      <c r="G1193" s="7" t="n">
        <f aca="false">Sens!G1192/Sens!F1192-1</f>
        <v>0.215140340581766</v>
      </c>
      <c r="H1193" s="7" t="n">
        <f aca="false">Sens!H1192/Sens!G1192-1</f>
        <v>0.19040682616291</v>
      </c>
      <c r="I1193" s="7" t="n">
        <f aca="false">Sens!I1192/Sens!H1192-1</f>
        <v>0.14547390272762</v>
      </c>
      <c r="J1193" s="7" t="n">
        <f aca="false">Sens!J1192/Sens!I1192-1</f>
        <v>0.121058215434641</v>
      </c>
      <c r="K1193" s="7" t="n">
        <f aca="false">Sens!K1192/Sens!J1192-1</f>
        <v>0.103749325543202</v>
      </c>
    </row>
    <row r="1194" customFormat="false" ht="17.15" hidden="false" customHeight="false" outlineLevel="0" collapsed="false">
      <c r="A1194" s="22" t="s">
        <v>812</v>
      </c>
      <c r="B1194" s="28" t="s">
        <v>95</v>
      </c>
      <c r="C1194" s="28"/>
      <c r="D1194" s="23" t="n">
        <f aca="false">(Sens!D1187+Sens!D1191-Sens!D1192)+(Sens!D1179+Sens!D1180-Sens!D1178)+(Sens!D1182+Sens!D1183-Sens!D1181)+(Sens!D1192-Q!L18)</f>
        <v>0</v>
      </c>
      <c r="E1194" s="23" t="n">
        <f aca="false">(Sens!E1187+Sens!E1191-Sens!E1192)+(Sens!E1179+Sens!E1180-Sens!E1178)+(Sens!E1182+Sens!E1183-Sens!E1181)+(Sens!E1192-Q!M18)</f>
        <v>0</v>
      </c>
      <c r="F1194" s="23" t="n">
        <f aca="false">(Sens!F1187+Sens!F1191-Sens!F1192)+(Sens!F1179+Sens!F1180-Sens!F1178)+(Sens!F1182+Sens!F1183-Sens!F1181)</f>
        <v>0</v>
      </c>
      <c r="G1194" s="23" t="n">
        <f aca="false">(Sens!G1187+Sens!G1191-Sens!G1192)+(Sens!G1179+Sens!G1180-Sens!G1178)+(Sens!G1182+Sens!G1183-Sens!G1181)</f>
        <v>0</v>
      </c>
      <c r="H1194" s="23" t="n">
        <f aca="false">(Sens!H1187+Sens!H1191-Sens!H1192)+(Sens!H1179+Sens!H1180-Sens!H1178)+(Sens!H1182+Sens!H1183-Sens!H1181)</f>
        <v>0</v>
      </c>
      <c r="I1194" s="23" t="n">
        <f aca="false">(Sens!I1187+Sens!I1191-Sens!I1192)+(Sens!I1179+Sens!I1180-Sens!I1178)+(Sens!I1182+Sens!I1183-Sens!I1181)</f>
        <v>0</v>
      </c>
      <c r="J1194" s="23" t="n">
        <f aca="false">(Sens!J1187+Sens!J1191-Sens!J1192)+(Sens!J1179+Sens!J1180-Sens!J1178)+(Sens!J1182+Sens!J1183-Sens!J1181)</f>
        <v>0</v>
      </c>
      <c r="K1194" s="23" t="n">
        <f aca="false">(Sens!K1187+Sens!K1191-Sens!K1192)+(Sens!K1179+Sens!K1180-Sens!K1178)+(Sens!K1182+Sens!K1183-Sens!K1181)</f>
        <v>0</v>
      </c>
    </row>
    <row r="1195" customFormat="false" ht="17.15" hidden="false" customHeight="false" outlineLevel="0" collapsed="false">
      <c r="A1195" s="0" t="s">
        <v>813</v>
      </c>
      <c r="B1195" s="0" t="s">
        <v>126</v>
      </c>
      <c r="E1195" s="7" t="n">
        <f aca="false">(Q!M21+Sens!E1132+Sens!E1133+Sens!E1134+Sens!E1147-Sens!E1130)/(Q!M5-Sens!E1130)</f>
        <v>0.591291114837517</v>
      </c>
      <c r="F1195" s="7" t="n">
        <f aca="false">Sens!$E$1195+dm_seg</f>
        <v>0.591291114837517</v>
      </c>
      <c r="G1195" s="7" t="n">
        <f aca="false">Sens!$E$1195+dm_seg</f>
        <v>0.591291114837517</v>
      </c>
      <c r="H1195" s="7" t="n">
        <f aca="false">Sens!$E$1195+dm_seg</f>
        <v>0.591291114837517</v>
      </c>
      <c r="I1195" s="7" t="n">
        <f aca="false">Sens!$E$1195+dm_seg</f>
        <v>0.591291114837517</v>
      </c>
      <c r="J1195" s="7" t="n">
        <f aca="false">Sens!$E$1195+dm_seg</f>
        <v>0.591291114837517</v>
      </c>
      <c r="K1195" s="7" t="n">
        <f aca="false">Sens!$E$1195+dm_seg</f>
        <v>0.591291114837517</v>
      </c>
      <c r="L1195" s="11" t="s">
        <v>814</v>
      </c>
    </row>
    <row r="1196" customFormat="false" ht="17.15" hidden="false" customHeight="false" outlineLevel="0" collapsed="false">
      <c r="A1196" s="0" t="s">
        <v>654</v>
      </c>
      <c r="B1196" s="0" t="s">
        <v>95</v>
      </c>
      <c r="D1196" s="6" t="n">
        <f aca="false">Q!L21</f>
        <v>110.814</v>
      </c>
      <c r="E1196" s="6" t="n">
        <f aca="false">Q!M21</f>
        <v>136.365</v>
      </c>
      <c r="F1196" s="6" t="n">
        <f aca="false">Sens!F1195*(Sens!F1166-Sens!F1130)+Sens!F1130-(Sens!F1132+Sens!F1133+Sens!F1134)-Sens!F1147</f>
        <v>158.44490841054</v>
      </c>
      <c r="G1196" s="6" t="n">
        <f aca="false">Sens!G1195*(Sens!G1166-Sens!G1130)+Sens!G1130-(Sens!G1132+Sens!G1133+Sens!G1134)-Sens!G1147</f>
        <v>182.402751381588</v>
      </c>
      <c r="H1196" s="6" t="n">
        <f aca="false">Sens!H1195*(Sens!H1166-Sens!H1130)+Sens!H1130-(Sens!H1132+Sens!H1133+Sens!H1134)-Sens!H1147</f>
        <v>209.97141533724</v>
      </c>
      <c r="I1196" s="6" t="n">
        <f aca="false">Sens!I1195*(Sens!I1166-Sens!I1130)+Sens!I1130-(Sens!I1132+Sens!I1133+Sens!I1134)-Sens!I1147</f>
        <v>228.681440175585</v>
      </c>
      <c r="J1196" s="6" t="n">
        <f aca="false">Sens!J1195*(Sens!J1166-Sens!J1130)+Sens!J1130-(Sens!J1132+Sens!J1133+Sens!J1134)-Sens!J1147</f>
        <v>243.69487311024</v>
      </c>
      <c r="K1196" s="6" t="n">
        <f aca="false">Sens!K1195*(Sens!K1166-Sens!K1130)+Sens!K1130-(Sens!K1132+Sens!K1133+Sens!K1134)-Sens!K1147</f>
        <v>255.12503845814</v>
      </c>
      <c r="L1196" s="1" t="s">
        <v>815</v>
      </c>
    </row>
    <row r="1197" customFormat="false" ht="17.15" hidden="false" customHeight="false" outlineLevel="0" collapsed="false">
      <c r="A1197" s="0" t="s">
        <v>816</v>
      </c>
      <c r="B1197" s="0" t="s">
        <v>126</v>
      </c>
      <c r="E1197" s="7" t="n">
        <f aca="false">Q!M22/Q!M12</f>
        <v>0.296207935710698</v>
      </c>
      <c r="F1197" s="7" t="n">
        <f aca="false">Sens!$E$1197+dm_seg</f>
        <v>0.296207935710698</v>
      </c>
      <c r="G1197" s="7" t="n">
        <f aca="false">Sens!$E$1197+dm_seg</f>
        <v>0.296207935710698</v>
      </c>
      <c r="H1197" s="7" t="n">
        <f aca="false">Sens!$E$1197+dm_seg</f>
        <v>0.296207935710698</v>
      </c>
      <c r="I1197" s="7" t="n">
        <f aca="false">Sens!$E$1197+dm_seg</f>
        <v>0.296207935710698</v>
      </c>
      <c r="J1197" s="7" t="n">
        <f aca="false">Sens!$E$1197+dm_seg</f>
        <v>0.296207935710698</v>
      </c>
      <c r="K1197" s="7" t="n">
        <f aca="false">Sens!$E$1197+dm_seg</f>
        <v>0.296207935710698</v>
      </c>
      <c r="L1197" s="11" t="s">
        <v>817</v>
      </c>
    </row>
    <row r="1198" customFormat="false" ht="17.15" hidden="false" customHeight="false" outlineLevel="0" collapsed="false">
      <c r="A1198" s="0" t="s">
        <v>656</v>
      </c>
      <c r="B1198" s="0" t="s">
        <v>95</v>
      </c>
      <c r="D1198" s="6" t="n">
        <f aca="false">Q!L22</f>
        <v>17.714</v>
      </c>
      <c r="E1198" s="6" t="n">
        <f aca="false">Q!M22</f>
        <v>18.872</v>
      </c>
      <c r="F1198" s="6" t="n">
        <f aca="false">Sens!F1173*Sens!F1197</f>
        <v>19.2954518910651</v>
      </c>
      <c r="G1198" s="6" t="n">
        <f aca="false">Sens!G1173*Sens!G1197</f>
        <v>19.8830646387704</v>
      </c>
      <c r="H1198" s="6" t="n">
        <f aca="false">Sens!H1173*Sens!H1197</f>
        <v>20.6092017868026</v>
      </c>
      <c r="I1198" s="6" t="n">
        <f aca="false">Sens!I1173*Sens!I1197</f>
        <v>21.452361761678</v>
      </c>
      <c r="J1198" s="6" t="n">
        <f aca="false">Sens!J1173*Sens!J1197</f>
        <v>22.3946261183418</v>
      </c>
      <c r="K1198" s="6" t="n">
        <f aca="false">Sens!K1173*Sens!K1197</f>
        <v>23.4215879274986</v>
      </c>
    </row>
    <row r="1199" customFormat="false" ht="15" hidden="false" customHeight="false" outlineLevel="0" collapsed="false">
      <c r="A1199" s="1" t="s">
        <v>818</v>
      </c>
      <c r="B1199" s="0" t="s">
        <v>95</v>
      </c>
      <c r="D1199" s="6" t="n">
        <f aca="false">Sens!D1196+Sens!D1198</f>
        <v>128.528</v>
      </c>
      <c r="E1199" s="6" t="n">
        <f aca="false">Sens!E1196+Sens!E1198</f>
        <v>155.237</v>
      </c>
      <c r="F1199" s="6" t="n">
        <f aca="false">Sens!F1196+Sens!F1198</f>
        <v>177.740360301605</v>
      </c>
      <c r="G1199" s="6" t="n">
        <f aca="false">Sens!G1196+Sens!G1198</f>
        <v>202.285816020358</v>
      </c>
      <c r="H1199" s="6" t="n">
        <f aca="false">Sens!H1196+Sens!H1198</f>
        <v>230.580617124042</v>
      </c>
      <c r="I1199" s="6" t="n">
        <f aca="false">Sens!I1196+Sens!I1198</f>
        <v>250.133801937263</v>
      </c>
      <c r="J1199" s="6" t="n">
        <f aca="false">Sens!J1196+Sens!J1198</f>
        <v>266.089499228582</v>
      </c>
      <c r="K1199" s="6" t="n">
        <f aca="false">Sens!K1196+Sens!K1198</f>
        <v>278.546626385639</v>
      </c>
    </row>
    <row r="1200" customFormat="false" ht="15" hidden="false" customHeight="false" outlineLevel="0" collapsed="false">
      <c r="A1200" s="22" t="s">
        <v>819</v>
      </c>
      <c r="B1200" s="28" t="s">
        <v>95</v>
      </c>
      <c r="C1200" s="28"/>
      <c r="D1200" s="23" t="n">
        <f aca="false">Sens!D1199-Q!L23</f>
        <v>0</v>
      </c>
      <c r="E1200" s="23" t="n">
        <f aca="false">Sens!E1199-Q!M23</f>
        <v>0</v>
      </c>
      <c r="F1200" s="28"/>
      <c r="G1200" s="28"/>
      <c r="H1200" s="28"/>
      <c r="I1200" s="28"/>
      <c r="J1200" s="28"/>
      <c r="K1200" s="28"/>
    </row>
    <row r="1201" customFormat="false" ht="15" hidden="false" customHeight="false" outlineLevel="0" collapsed="false">
      <c r="A1201" s="1" t="s">
        <v>820</v>
      </c>
      <c r="B1201" s="0" t="s">
        <v>126</v>
      </c>
      <c r="D1201" s="7" t="n">
        <f aca="false">Sens!D1199/Sens!D1192</f>
        <v>0.456219562408598</v>
      </c>
      <c r="E1201" s="7" t="n">
        <f aca="false">Sens!E1199/Sens!E1192</f>
        <v>0.467808184089272</v>
      </c>
      <c r="F1201" s="7" t="n">
        <f aca="false">Sens!F1199/Sens!F1192</f>
        <v>0.439325546587561</v>
      </c>
      <c r="G1201" s="7" t="n">
        <f aca="false">Sens!G1199/Sens!G1192</f>
        <v>0.411471154050632</v>
      </c>
      <c r="H1201" s="7" t="n">
        <f aca="false">Sens!H1199/Sens!H1192</f>
        <v>0.394004653759236</v>
      </c>
      <c r="I1201" s="7" t="n">
        <f aca="false">Sens!I1199/Sens!I1192</f>
        <v>0.373134786700357</v>
      </c>
      <c r="J1201" s="7" t="n">
        <f aca="false">Sens!J1199/Sens!J1192</f>
        <v>0.354073093768615</v>
      </c>
      <c r="K1201" s="7" t="n">
        <f aca="false">Sens!K1199/Sens!K1192</f>
        <v>0.335809239485329</v>
      </c>
    </row>
    <row r="1202" customFormat="false" ht="17.15" hidden="false" customHeight="false" outlineLevel="0" collapsed="false">
      <c r="A1202" s="1" t="s">
        <v>821</v>
      </c>
      <c r="B1202" s="0" t="s">
        <v>95</v>
      </c>
      <c r="E1202" s="6" t="n">
        <f aca="false">Sens!E1147</f>
        <v>19.5664871725</v>
      </c>
      <c r="F1202" s="6" t="n">
        <f aca="false">Sens!F1147</f>
        <v>40.8598648571467</v>
      </c>
      <c r="G1202" s="6" t="n">
        <f aca="false">Sens!G1147</f>
        <v>70.9505245326133</v>
      </c>
      <c r="H1202" s="6" t="n">
        <f aca="false">Sens!H1147</f>
        <v>103.633223811973</v>
      </c>
      <c r="I1202" s="6" t="n">
        <f aca="false">Sens!I1147</f>
        <v>137.539062709553</v>
      </c>
      <c r="J1202" s="6" t="n">
        <f aca="false">Sens!J1147</f>
        <v>172.611578170133</v>
      </c>
      <c r="K1202" s="6" t="n">
        <f aca="false">Sens!K1147</f>
        <v>209.229151781713</v>
      </c>
    </row>
    <row r="1203" customFormat="false" ht="17.15" hidden="false" customHeight="false" outlineLevel="0" collapsed="false">
      <c r="A1203" s="1" t="s">
        <v>822</v>
      </c>
      <c r="B1203" s="0" t="s">
        <v>95</v>
      </c>
      <c r="E1203" s="6" t="n">
        <f aca="false">Sens!E1223</f>
        <v>18.9675128275</v>
      </c>
      <c r="F1203" s="6" t="n">
        <f aca="false">Sens!F1223</f>
        <v>20.6436962677062</v>
      </c>
      <c r="G1203" s="6" t="n">
        <f aca="false">Sens!G1223</f>
        <v>22.7396159979745</v>
      </c>
      <c r="H1203" s="6" t="n">
        <f aca="false">Sens!H1223</f>
        <v>25.2218057625861</v>
      </c>
      <c r="I1203" s="6" t="n">
        <f aca="false">Sens!I1223</f>
        <v>28.0169652174918</v>
      </c>
      <c r="J1203" s="6" t="n">
        <f aca="false">Sens!J1223</f>
        <v>31.03586002078</v>
      </c>
      <c r="K1203" s="6" t="n">
        <f aca="false">Sens!K1223</f>
        <v>34.1966442929014</v>
      </c>
    </row>
    <row r="1204" customFormat="false" ht="17.15" hidden="false" customHeight="false" outlineLevel="0" collapsed="false">
      <c r="A1204" s="1" t="s">
        <v>823</v>
      </c>
      <c r="B1204" s="0" t="s">
        <v>95</v>
      </c>
      <c r="D1204" s="6" t="n">
        <f aca="false">Q!L27</f>
        <v>-4.901</v>
      </c>
      <c r="E1204" s="6" t="n">
        <f aca="false">Q!M27</f>
        <v>10.697</v>
      </c>
      <c r="F1204" s="6" t="n">
        <f aca="false">oie_f</f>
        <v>-0.4</v>
      </c>
      <c r="G1204" s="6" t="n">
        <f aca="false">oie_f</f>
        <v>-0.4</v>
      </c>
      <c r="H1204" s="6" t="n">
        <f aca="false">oie_f</f>
        <v>-0.4</v>
      </c>
      <c r="I1204" s="6" t="n">
        <f aca="false">oie_f</f>
        <v>-0.4</v>
      </c>
      <c r="J1204" s="6" t="n">
        <f aca="false">oie_f</f>
        <v>-0.4</v>
      </c>
      <c r="K1204" s="6" t="n">
        <f aca="false">oie_f</f>
        <v>-0.4</v>
      </c>
      <c r="L1204" s="11" t="s">
        <v>824</v>
      </c>
    </row>
    <row r="1205" customFormat="false" ht="15" hidden="false" customHeight="false" outlineLevel="0" collapsed="false">
      <c r="A1205" s="1" t="s">
        <v>666</v>
      </c>
      <c r="B1205" s="0" t="s">
        <v>95</v>
      </c>
      <c r="D1205" s="6" t="n">
        <f aca="false">Sens!D1199+Sens!D1204</f>
        <v>123.627</v>
      </c>
      <c r="E1205" s="6" t="n">
        <f aca="false">Sens!E1199+Sens!E1204</f>
        <v>165.934</v>
      </c>
      <c r="F1205" s="6" t="n">
        <f aca="false">Sens!F1199+Sens!F1204</f>
        <v>177.340360301605</v>
      </c>
      <c r="G1205" s="6" t="n">
        <f aca="false">Sens!G1199+Sens!G1204</f>
        <v>201.885816020358</v>
      </c>
      <c r="H1205" s="6" t="n">
        <f aca="false">Sens!H1199+Sens!H1204</f>
        <v>230.180617124042</v>
      </c>
      <c r="I1205" s="6" t="n">
        <f aca="false">Sens!I1199+Sens!I1204</f>
        <v>249.733801937263</v>
      </c>
      <c r="J1205" s="6" t="n">
        <f aca="false">Sens!J1199+Sens!J1204</f>
        <v>265.689499228582</v>
      </c>
      <c r="K1205" s="6" t="n">
        <f aca="false">Sens!K1199+Sens!K1204</f>
        <v>278.146626385639</v>
      </c>
    </row>
    <row r="1206" customFormat="false" ht="15" hidden="false" customHeight="false" outlineLevel="0" collapsed="false">
      <c r="A1206" s="1" t="s">
        <v>668</v>
      </c>
      <c r="B1206" s="0" t="s">
        <v>95</v>
      </c>
      <c r="D1206" s="6" t="n">
        <f aca="false">Q!L29</f>
        <v>21.795</v>
      </c>
      <c r="E1206" s="6" t="n">
        <f aca="false">Q!M29</f>
        <v>32.185</v>
      </c>
      <c r="F1206" s="6" t="n">
        <f aca="false">Sens!F1205*tax_f</f>
        <v>35.468072060321</v>
      </c>
      <c r="G1206" s="6" t="n">
        <f aca="false">Sens!G1205*tax_f</f>
        <v>40.3771632040716</v>
      </c>
      <c r="H1206" s="6" t="n">
        <f aca="false">Sens!H1205*tax_f</f>
        <v>46.0361234248085</v>
      </c>
      <c r="I1206" s="6" t="n">
        <f aca="false">Sens!I1205*tax_f</f>
        <v>49.9467603874525</v>
      </c>
      <c r="J1206" s="6" t="n">
        <f aca="false">Sens!J1205*tax_f</f>
        <v>53.1378998457164</v>
      </c>
      <c r="K1206" s="6" t="n">
        <f aca="false">Sens!K1205*tax_f</f>
        <v>55.6293252771278</v>
      </c>
    </row>
    <row r="1207" customFormat="false" ht="15" hidden="false" customHeight="false" outlineLevel="0" collapsed="false">
      <c r="A1207" s="1" t="s">
        <v>825</v>
      </c>
      <c r="B1207" s="0" t="s">
        <v>95</v>
      </c>
      <c r="D1207" s="6" t="n">
        <f aca="false">Sens!D1205-Sens!D1206</f>
        <v>101.832</v>
      </c>
      <c r="E1207" s="6" t="n">
        <f aca="false">Sens!E1205-Sens!E1206</f>
        <v>133.749</v>
      </c>
      <c r="F1207" s="6" t="n">
        <f aca="false">Sens!F1205-Sens!F1206</f>
        <v>141.872288241284</v>
      </c>
      <c r="G1207" s="6" t="n">
        <f aca="false">Sens!G1205-Sens!G1206</f>
        <v>161.508652816286</v>
      </c>
      <c r="H1207" s="6" t="n">
        <f aca="false">Sens!H1205-Sens!H1206</f>
        <v>184.144493699234</v>
      </c>
      <c r="I1207" s="6" t="n">
        <f aca="false">Sens!I1205-Sens!I1206</f>
        <v>199.78704154981</v>
      </c>
      <c r="J1207" s="6" t="n">
        <f aca="false">Sens!J1205-Sens!J1206</f>
        <v>212.551599382866</v>
      </c>
      <c r="K1207" s="6" t="n">
        <f aca="false">Sens!K1205-Sens!K1206</f>
        <v>222.517301108511</v>
      </c>
    </row>
    <row r="1208" customFormat="false" ht="17.15" hidden="false" customHeight="false" outlineLevel="0" collapsed="false">
      <c r="A1208" s="1" t="s">
        <v>826</v>
      </c>
      <c r="B1208" s="1" t="s">
        <v>79</v>
      </c>
      <c r="D1208" s="18" t="n">
        <f aca="false">Q!L31</f>
        <v>7.465</v>
      </c>
      <c r="E1208" s="18" t="n">
        <f aca="false">Q!M31</f>
        <v>7.453</v>
      </c>
      <c r="F1208" s="18" t="n">
        <f aca="false">Sens!F1245</f>
        <v>7.4735</v>
      </c>
      <c r="G1208" s="18" t="n">
        <f aca="false">Sens!G1245</f>
        <v>7.5185</v>
      </c>
      <c r="H1208" s="18" t="n">
        <f aca="false">Sens!H1245</f>
        <v>7.54661397454561</v>
      </c>
      <c r="I1208" s="18" t="n">
        <f aca="false">Sens!I1245</f>
        <v>7.55875719524859</v>
      </c>
      <c r="J1208" s="18" t="n">
        <f aca="false">Sens!J1245</f>
        <v>7.57299870636647</v>
      </c>
      <c r="K1208" s="18" t="n">
        <f aca="false">Sens!K1245</f>
        <v>7.58951862406821</v>
      </c>
    </row>
    <row r="1209" customFormat="false" ht="17.15" hidden="false" customHeight="false" outlineLevel="0" collapsed="false">
      <c r="A1209" s="0" t="s">
        <v>827</v>
      </c>
      <c r="B1209" s="0" t="s">
        <v>73</v>
      </c>
      <c r="D1209" s="8" t="n">
        <f aca="false">Sens!D1207/Sens!D1208</f>
        <v>13.641259209645</v>
      </c>
      <c r="E1209" s="8" t="n">
        <f aca="false">Sens!E1207/Sens!E1208</f>
        <v>17.9456594659869</v>
      </c>
      <c r="F1209" s="8" t="n">
        <f aca="false">Sens!F1207/Sens!F1208</f>
        <v>18.9833797071364</v>
      </c>
      <c r="G1209" s="8" t="n">
        <f aca="false">Sens!G1207/Sens!G1208</f>
        <v>21.4814993437902</v>
      </c>
      <c r="H1209" s="8" t="n">
        <f aca="false">Sens!H1207/Sens!H1208</f>
        <v>24.4009425048565</v>
      </c>
      <c r="I1209" s="8" t="n">
        <f aca="false">Sens!I1207/Sens!I1208</f>
        <v>26.4312024303937</v>
      </c>
      <c r="J1209" s="8" t="n">
        <f aca="false">Sens!J1207/Sens!J1208</f>
        <v>28.0670323110154</v>
      </c>
      <c r="K1209" s="8" t="n">
        <f aca="false">Sens!K1207/Sens!K1208</f>
        <v>29.3190269542069</v>
      </c>
      <c r="L1209" s="1" t="s">
        <v>828</v>
      </c>
    </row>
    <row r="1210" customFormat="false" ht="17.15" hidden="false" customHeight="false" outlineLevel="0" collapsed="false">
      <c r="A1210" s="0" t="s">
        <v>829</v>
      </c>
      <c r="B1210" s="0" t="s">
        <v>126</v>
      </c>
      <c r="E1210" s="7" t="n">
        <f aca="false">Sens!E1209/Sens!D1209-1</f>
        <v>0.315542736208578</v>
      </c>
      <c r="F1210" s="7" t="n">
        <f aca="false">Sens!F1209/Sens!E1209-1</f>
        <v>0.057825695573706</v>
      </c>
      <c r="G1210" s="7" t="n">
        <f aca="false">Sens!G1209/Sens!F1209-1</f>
        <v>0.131595093981851</v>
      </c>
      <c r="H1210" s="7" t="n">
        <f aca="false">Sens!H1209/Sens!G1209-1</f>
        <v>0.135904999662431</v>
      </c>
      <c r="I1210" s="7" t="n">
        <f aca="false">Sens!I1209/Sens!H1209-1</f>
        <v>0.0832041600496829</v>
      </c>
      <c r="J1210" s="7" t="n">
        <f aca="false">Sens!J1209/Sens!I1209-1</f>
        <v>0.0618901045054483</v>
      </c>
      <c r="K1210" s="7" t="n">
        <f aca="false">Sens!K1209/Sens!J1209-1</f>
        <v>0.0446073040183916</v>
      </c>
    </row>
    <row r="1211" customFormat="false" ht="17.15" hidden="false" customHeight="false" outlineLevel="0" collapsed="false">
      <c r="A1211" s="0" t="s">
        <v>763</v>
      </c>
      <c r="B1211" s="0" t="s">
        <v>95</v>
      </c>
      <c r="E1211" s="6" t="n">
        <f aca="false">Sens!E1156</f>
        <v>5.25</v>
      </c>
      <c r="F1211" s="6" t="n">
        <f aca="false">Sens!F1156</f>
        <v>13.5</v>
      </c>
      <c r="G1211" s="6" t="n">
        <f aca="false">Sens!G1156</f>
        <v>22.5</v>
      </c>
      <c r="H1211" s="6" t="n">
        <f aca="false">Sens!H1156</f>
        <v>31.5</v>
      </c>
      <c r="I1211" s="6" t="n">
        <f aca="false">Sens!I1156</f>
        <v>38.25</v>
      </c>
      <c r="J1211" s="6" t="n">
        <f aca="false">Sens!J1156</f>
        <v>42.75</v>
      </c>
      <c r="K1211" s="6" t="n">
        <f aca="false">Sens!K1156</f>
        <v>47.25</v>
      </c>
    </row>
    <row r="1212" customFormat="false" ht="17.15" hidden="false" customHeight="false" outlineLevel="0" collapsed="false">
      <c r="A1212" s="0" t="s">
        <v>764</v>
      </c>
      <c r="B1212" s="0" t="s">
        <v>95</v>
      </c>
      <c r="E1212" s="6" t="n">
        <f aca="false">Sens!E1136+Sens!E1211*Sens!E1195-Sens!E1137-Sens!E1147</f>
        <v>-2.62832031369632</v>
      </c>
      <c r="F1212" s="6" t="n">
        <f aca="false">Sens!F1136+Sens!F1211*Sens!F1195-Sens!F1137-Sens!F1147</f>
        <v>0.451022772132262</v>
      </c>
      <c r="G1212" s="6" t="n">
        <f aca="false">Sens!G1136+Sens!G1211*Sens!G1195-Sens!G1137-Sens!G1147</f>
        <v>4.64788116988839</v>
      </c>
      <c r="H1212" s="6" t="n">
        <f aca="false">Sens!H1136+Sens!H1211*Sens!H1195-Sens!H1137-Sens!H1147</f>
        <v>12.2669248136124</v>
      </c>
      <c r="I1212" s="6" t="n">
        <f aca="false">Sens!I1136+Sens!I1211*Sens!I1195-Sens!I1137-Sens!I1147</f>
        <v>11.5327007898296</v>
      </c>
      <c r="J1212" s="6" t="n">
        <f aca="false">Sens!J1136+Sens!J1211*Sens!J1195-Sens!J1137-Sens!J1147</f>
        <v>8.38480034674936</v>
      </c>
      <c r="K1212" s="6" t="n">
        <f aca="false">Sens!K1136+Sens!K1211*Sens!K1195-Sens!K1137-Sens!K1147</f>
        <v>3.74090499237443</v>
      </c>
    </row>
    <row r="1213" customFormat="false" ht="17.15" hidden="false" customHeight="false" outlineLevel="0" collapsed="false">
      <c r="A1213" s="0" t="s">
        <v>765</v>
      </c>
      <c r="B1213" s="0" t="s">
        <v>95</v>
      </c>
      <c r="E1213" s="6" t="n">
        <f aca="false">Sens!E1119*(cxit_open+self_build*tk_cxfac)/1000*ai_net_open</f>
        <v>152.03764584</v>
      </c>
      <c r="F1213" s="6" t="n">
        <f aca="false">Sens!E1213+Sens!F1144-Sens!F1147</f>
        <v>303.577232028613</v>
      </c>
      <c r="G1213" s="6" t="n">
        <f aca="false">Sens!F1213+Sens!G1144-Sens!G1147</f>
        <v>452.91572407584</v>
      </c>
      <c r="H1213" s="6" t="n">
        <f aca="false">Sens!G1213+Sens!H1144-Sens!H1147</f>
        <v>574.978843356347</v>
      </c>
      <c r="I1213" s="6" t="n">
        <f aca="false">Sens!H1213+Sens!I1144-Sens!I1147</f>
        <v>699.446534155273</v>
      </c>
      <c r="J1213" s="6" t="n">
        <f aca="false">Sens!I1213+Sens!J1144-Sens!J1147</f>
        <v>807.36742909362</v>
      </c>
      <c r="K1213" s="6" t="n">
        <f aca="false">Sens!J1213+Sens!K1144-Sens!K1147</f>
        <v>932.765851652387</v>
      </c>
      <c r="L1213" s="1" t="s">
        <v>766</v>
      </c>
    </row>
    <row r="1214" customFormat="false" ht="17.15" hidden="false" customHeight="false" outlineLevel="0" collapsed="false">
      <c r="A1214" s="0" t="s">
        <v>767</v>
      </c>
      <c r="B1214" s="0" t="s">
        <v>126</v>
      </c>
      <c r="F1214" s="7" t="n">
        <f aca="false">Sens!F1212*(1-tax_f)/((Sens!E1213+Sens!F1213)/2)</f>
        <v>0.00158387372859172</v>
      </c>
      <c r="G1214" s="7" t="n">
        <f aca="false">Sens!G1212*(1-tax_f)/((Sens!F1213+Sens!G1213)/2)</f>
        <v>0.00983037556637159</v>
      </c>
      <c r="H1214" s="7" t="n">
        <f aca="false">Sens!H1212*(1-tax_f)/((Sens!G1213+Sens!H1213)/2)</f>
        <v>0.0190944483253869</v>
      </c>
      <c r="I1214" s="7" t="n">
        <f aca="false">Sens!I1212*(1-tax_f)/((Sens!H1213+Sens!I1213)/2)</f>
        <v>0.0144789342627157</v>
      </c>
      <c r="J1214" s="7" t="n">
        <f aca="false">Sens!J1212*(1-tax_f)/((Sens!I1213+Sens!J1213)/2)</f>
        <v>0.0089033423382094</v>
      </c>
      <c r="K1214" s="7" t="n">
        <f aca="false">Sens!K1212*(1-tax_f)/((Sens!J1213+Sens!K1213)/2)</f>
        <v>0.00343964916597255</v>
      </c>
    </row>
    <row r="1215" customFormat="false" ht="17.15" hidden="false" customHeight="false" outlineLevel="0" collapsed="false">
      <c r="A1215" s="1" t="s">
        <v>768</v>
      </c>
      <c r="B1215" s="0" t="s">
        <v>126</v>
      </c>
      <c r="F1215" s="7" t="n">
        <f aca="false">Sens!F1148*(1-tax_f)/(Sens!F1135*(Sens!E1213+Sens!F1213)/2)</f>
        <v>0.159418295257403</v>
      </c>
      <c r="G1215" s="7" t="n">
        <f aca="false">Sens!G1148*(1-tax_f)/(Sens!G1135*(Sens!F1213+Sens!G1213)/2)</f>
        <v>0.181875227327983</v>
      </c>
      <c r="H1215" s="7" t="n">
        <f aca="false">Sens!H1148*(1-tax_f)/(Sens!H1135*(Sens!G1213+Sens!H1213)/2)</f>
        <v>0.212793847216411</v>
      </c>
      <c r="I1215" s="7" t="n">
        <f aca="false">Sens!I1148*(1-tax_f)/(Sens!I1135*(Sens!H1213+Sens!I1213)/2)</f>
        <v>0.219247818898718</v>
      </c>
      <c r="J1215" s="7" t="n">
        <f aca="false">Sens!J1148*(1-tax_f)/(Sens!J1135*(Sens!I1213+Sens!J1213)/2)</f>
        <v>0.2246670676961</v>
      </c>
      <c r="K1215" s="7" t="n">
        <f aca="false">Sens!K1148*(1-tax_f)/(Sens!K1135*(Sens!J1213+Sens!K1213)/2)</f>
        <v>0.227195855753499</v>
      </c>
    </row>
    <row r="1216" customFormat="false" ht="17.15" hidden="false" customHeight="false" outlineLevel="0" collapsed="false">
      <c r="A1216" s="0" t="s">
        <v>769</v>
      </c>
      <c r="B1216" s="0" t="s">
        <v>208</v>
      </c>
      <c r="F1216" s="7" t="n">
        <f aca="false">Sens!F1214-wacc</f>
        <v>-0.107379347421662</v>
      </c>
      <c r="G1216" s="7" t="n">
        <f aca="false">Sens!G1214-wacc</f>
        <v>-0.0991328455838824</v>
      </c>
      <c r="H1216" s="7" t="n">
        <f aca="false">Sens!H1214-wacc</f>
        <v>-0.0898687728248671</v>
      </c>
      <c r="I1216" s="7" t="n">
        <f aca="false">Sens!I1214-wacc</f>
        <v>-0.0944842868875383</v>
      </c>
      <c r="J1216" s="7" t="n">
        <f aca="false">Sens!J1214-wacc</f>
        <v>-0.100059878812045</v>
      </c>
      <c r="K1216" s="7" t="n">
        <f aca="false">Sens!K1214-wacc</f>
        <v>-0.105523571984281</v>
      </c>
    </row>
    <row r="1217" customFormat="false" ht="17.15" hidden="false" customHeight="false" outlineLevel="0" collapsed="false">
      <c r="A1217" s="0" t="s">
        <v>770</v>
      </c>
      <c r="B1217" s="0" t="s">
        <v>95</v>
      </c>
      <c r="F1217" s="6" t="n">
        <f aca="false">Sens!F1212*(1-tax_f)-wacc*(Sens!E1213+Sens!F1213)/2</f>
        <v>-24.461814130566</v>
      </c>
      <c r="G1217" s="6" t="n">
        <f aca="false">Sens!G1212*(1-tax_f)-wacc*(Sens!F1213+Sens!G1213)/2</f>
        <v>-37.4966497013987</v>
      </c>
      <c r="H1217" s="6" t="n">
        <f aca="false">Sens!H1212*(1-tax_f)-wacc*(Sens!G1213+Sens!H1213)/2</f>
        <v>-46.1878116842391</v>
      </c>
      <c r="I1217" s="6" t="n">
        <f aca="false">Sens!I1212*(1-tax_f)-wacc*(Sens!H1213+Sens!I1213)/2</f>
        <v>-60.2065864927836</v>
      </c>
      <c r="J1217" s="6" t="n">
        <f aca="false">Sens!J1212*(1-tax_f)-wacc*(Sens!I1213+Sens!J1213)/2</f>
        <v>-75.3858112774904</v>
      </c>
      <c r="K1217" s="6" t="n">
        <f aca="false">Sens!K1212*(1-tax_f)-wacc*(Sens!J1213+Sens!K1213)/2</f>
        <v>-91.8125397565225</v>
      </c>
    </row>
    <row r="1218" customFormat="false" ht="17.15" hidden="false" customHeight="false" outlineLevel="0" collapsed="false">
      <c r="A1218" s="1" t="s">
        <v>771</v>
      </c>
      <c r="B1218" s="0" t="s">
        <v>95</v>
      </c>
      <c r="F1218" s="6" t="n">
        <f aca="false">(Sens!E1120+Sens!F1120)/2*Sens!F1127/1000</f>
        <v>40.1809600148951</v>
      </c>
      <c r="G1218" s="6" t="n">
        <f aca="false">(Sens!F1120+Sens!G1120)/2*Sens!G1127/1000</f>
        <v>68.1197726395826</v>
      </c>
      <c r="H1218" s="6" t="n">
        <f aca="false">(Sens!G1120+Sens!H1120)/2*Sens!H1127/1000</f>
        <v>98.0872694036957</v>
      </c>
      <c r="I1218" s="6" t="n">
        <f aca="false">(Sens!H1120+Sens!I1120)/2*Sens!I1127/1000</f>
        <v>128.278112893395</v>
      </c>
      <c r="J1218" s="6" t="n">
        <f aca="false">(Sens!I1120+Sens!J1120)/2*Sens!J1127/1000</f>
        <v>158.585710792509</v>
      </c>
      <c r="K1218" s="6" t="n">
        <f aca="false">(Sens!J1120+Sens!K1120)/2*Sens!K1127/1000</f>
        <v>188.961989695522</v>
      </c>
      <c r="L1218" s="1" t="s">
        <v>772</v>
      </c>
    </row>
    <row r="1219" customFormat="false" ht="17.15" hidden="false" customHeight="false" outlineLevel="0" collapsed="false">
      <c r="A1219" s="1" t="s">
        <v>773</v>
      </c>
      <c r="B1219" s="0" t="s">
        <v>126</v>
      </c>
      <c r="F1219" s="7" t="n">
        <f aca="false">(Sens!F1136+Sens!F1218-Sens!F1137-Sens!F1147)*(1-tax_f)/((Sens!E1213+Sens!F1213)/2)</f>
        <v>0.114656669297392</v>
      </c>
      <c r="G1219" s="7" t="n">
        <f aca="false">(Sens!G1136+Sens!G1218-Sens!G1137-Sens!G1147)*(1-tax_f)/((Sens!F1213+Sens!G1213)/2)</f>
        <v>0.125766889424766</v>
      </c>
      <c r="H1219" s="7" t="n">
        <f aca="false">(Sens!H1136+Sens!H1218-Sens!H1137-Sens!H1147)*(1-tax_f)/((Sens!G1213+Sens!H1213)/2)</f>
        <v>0.142782774819524</v>
      </c>
      <c r="I1219" s="7" t="n">
        <f aca="false">(Sens!I1136+Sens!I1218-Sens!I1137-Sens!I1147)*(1-tax_f)/((Sens!H1213+Sens!I1213)/2)</f>
        <v>0.14713320134226</v>
      </c>
      <c r="J1219" s="7" t="n">
        <f aca="false">(Sens!J1136+Sens!J1218-Sens!J1137-Sens!J1147)*(1-tax_f)/((Sens!I1213+Sens!J1213)/2)</f>
        <v>0.15045553804075</v>
      </c>
      <c r="K1219" s="7" t="n">
        <f aca="false">(Sens!K1136+Sens!K1218-Sens!K1137-Sens!K1147)*(1-tax_f)/((Sens!J1213+Sens!K1213)/2)</f>
        <v>0.151495880307457</v>
      </c>
      <c r="L1219" s="1" t="s">
        <v>774</v>
      </c>
    </row>
    <row r="1220" customFormat="false" ht="17.15" hidden="false" customHeight="false" outlineLevel="0" collapsed="false">
      <c r="A1220" s="3" t="s">
        <v>1147</v>
      </c>
    </row>
    <row r="1221" customFormat="false" ht="15" hidden="false" customHeight="false" outlineLevel="0" collapsed="false">
      <c r="A1221" s="4" t="s">
        <v>43</v>
      </c>
      <c r="B1221" s="4" t="s">
        <v>63</v>
      </c>
      <c r="C1221" s="19" t="s">
        <v>710</v>
      </c>
      <c r="D1221" s="19" t="s">
        <v>711</v>
      </c>
      <c r="E1221" s="19" t="s">
        <v>712</v>
      </c>
      <c r="F1221" s="19" t="s">
        <v>713</v>
      </c>
      <c r="G1221" s="19" t="s">
        <v>714</v>
      </c>
      <c r="H1221" s="19" t="s">
        <v>715</v>
      </c>
      <c r="I1221" s="19" t="s">
        <v>716</v>
      </c>
      <c r="J1221" s="19" t="s">
        <v>717</v>
      </c>
      <c r="K1221" s="19" t="s">
        <v>718</v>
      </c>
      <c r="L1221" s="4" t="s">
        <v>47</v>
      </c>
    </row>
    <row r="1222" customFormat="false" ht="15" hidden="false" customHeight="false" outlineLevel="0" collapsed="false">
      <c r="A1222" s="1" t="s">
        <v>825</v>
      </c>
      <c r="B1222" s="0" t="s">
        <v>95</v>
      </c>
      <c r="F1222" s="6" t="n">
        <f aca="false">Sens!F1207</f>
        <v>141.872288241284</v>
      </c>
      <c r="G1222" s="6" t="n">
        <f aca="false">Sens!G1207</f>
        <v>161.508652816286</v>
      </c>
      <c r="H1222" s="6" t="n">
        <f aca="false">Sens!H1207</f>
        <v>184.144493699234</v>
      </c>
      <c r="I1222" s="6" t="n">
        <f aca="false">Sens!I1207</f>
        <v>199.78704154981</v>
      </c>
      <c r="J1222" s="6" t="n">
        <f aca="false">Sens!J1207</f>
        <v>212.551599382866</v>
      </c>
      <c r="K1222" s="6" t="n">
        <f aca="false">Sens!K1207</f>
        <v>222.517301108511</v>
      </c>
    </row>
    <row r="1223" customFormat="false" ht="17.15" hidden="false" customHeight="false" outlineLevel="0" collapsed="false">
      <c r="A1223" s="1" t="s">
        <v>843</v>
      </c>
      <c r="B1223" s="0" t="s">
        <v>95</v>
      </c>
      <c r="E1223" s="6" t="n">
        <f aca="false">Q!M38-Sens!E1147</f>
        <v>18.9675128275</v>
      </c>
      <c r="F1223" s="6" t="n">
        <f aca="false">Sens!E1223*(1-1/life_nonai)+Sens!F1229/life_nonai</f>
        <v>20.6436962677062</v>
      </c>
      <c r="G1223" s="6" t="n">
        <f aca="false">Sens!F1223*(1-1/life_nonai)+Sens!G1229/life_nonai</f>
        <v>22.7396159979745</v>
      </c>
      <c r="H1223" s="6" t="n">
        <f aca="false">Sens!G1223*(1-1/life_nonai)+Sens!H1229/life_nonai</f>
        <v>25.2218057625861</v>
      </c>
      <c r="I1223" s="6" t="n">
        <f aca="false">Sens!H1223*(1-1/life_nonai)+Sens!I1229/life_nonai</f>
        <v>28.0169652174918</v>
      </c>
      <c r="J1223" s="6" t="n">
        <f aca="false">Sens!I1223*(1-1/life_nonai)+Sens!J1229/life_nonai</f>
        <v>31.03586002078</v>
      </c>
      <c r="K1223" s="6" t="n">
        <f aca="false">Sens!J1223*(1-1/life_nonai)+Sens!K1229/life_nonai</f>
        <v>34.1966442929014</v>
      </c>
      <c r="L1223" s="11" t="s">
        <v>844</v>
      </c>
    </row>
    <row r="1224" customFormat="false" ht="17.15" hidden="false" customHeight="false" outlineLevel="0" collapsed="false">
      <c r="A1224" s="1" t="s">
        <v>845</v>
      </c>
      <c r="B1224" s="0" t="s">
        <v>95</v>
      </c>
      <c r="E1224" s="6" t="n">
        <f aca="false">Sens!E1147+Sens!E1223</f>
        <v>38.534</v>
      </c>
      <c r="F1224" s="6" t="n">
        <f aca="false">Sens!F1147+Sens!F1223</f>
        <v>61.5035611248529</v>
      </c>
      <c r="G1224" s="6" t="n">
        <f aca="false">Sens!G1147+Sens!G1223</f>
        <v>93.6901405305879</v>
      </c>
      <c r="H1224" s="6" t="n">
        <f aca="false">Sens!H1147+Sens!H1223</f>
        <v>128.855029574559</v>
      </c>
      <c r="I1224" s="6" t="n">
        <f aca="false">Sens!I1147+Sens!I1223</f>
        <v>165.556027927045</v>
      </c>
      <c r="J1224" s="6" t="n">
        <f aca="false">Sens!J1147+Sens!J1223</f>
        <v>203.647438190913</v>
      </c>
      <c r="K1224" s="6" t="n">
        <f aca="false">Sens!K1147+Sens!K1223</f>
        <v>243.425796074615</v>
      </c>
    </row>
    <row r="1225" customFormat="false" ht="15" hidden="false" customHeight="false" outlineLevel="0" collapsed="false">
      <c r="A1225" s="1" t="s">
        <v>685</v>
      </c>
      <c r="B1225" s="0" t="s">
        <v>95</v>
      </c>
      <c r="F1225" s="6" t="n">
        <f aca="false">Sens!F1174*sbc_r</f>
        <v>15.1240791253967</v>
      </c>
      <c r="G1225" s="6" t="n">
        <f aca="false">Sens!G1174*sbc_r</f>
        <v>18.3778786594202</v>
      </c>
      <c r="H1225" s="6" t="n">
        <f aca="false">Sens!H1174*sbc_r</f>
        <v>21.8771522065674</v>
      </c>
      <c r="I1225" s="6" t="n">
        <f aca="false">Sens!I1174*sbc_r</f>
        <v>25.059706918623</v>
      </c>
      <c r="J1225" s="6" t="n">
        <f aca="false">Sens!J1174*sbc_r</f>
        <v>28.0933903175066</v>
      </c>
      <c r="K1225" s="6" t="n">
        <f aca="false">Sens!K1174*sbc_r</f>
        <v>31.0080606151698</v>
      </c>
    </row>
    <row r="1226" customFormat="false" ht="17.15" hidden="false" customHeight="false" outlineLevel="0" collapsed="false">
      <c r="A1226" s="1" t="s">
        <v>846</v>
      </c>
      <c r="B1226" s="0" t="s">
        <v>95</v>
      </c>
      <c r="F1226" s="6" t="n">
        <f aca="false">wc27</f>
        <v>-4.895</v>
      </c>
      <c r="G1226" s="6" t="n">
        <f aca="false">0</f>
        <v>0</v>
      </c>
      <c r="H1226" s="6" t="n">
        <f aca="false">0</f>
        <v>0</v>
      </c>
      <c r="I1226" s="6" t="n">
        <f aca="false">0</f>
        <v>0</v>
      </c>
      <c r="J1226" s="6" t="n">
        <f aca="false">0</f>
        <v>0</v>
      </c>
      <c r="K1226" s="6" t="n">
        <f aca="false">0</f>
        <v>0</v>
      </c>
      <c r="L1226" s="11" t="s">
        <v>847</v>
      </c>
    </row>
    <row r="1227" customFormat="false" ht="15" hidden="false" customHeight="false" outlineLevel="0" collapsed="false">
      <c r="A1227" s="1" t="s">
        <v>678</v>
      </c>
      <c r="B1227" s="0" t="s">
        <v>95</v>
      </c>
      <c r="E1227" s="6" t="n">
        <f aca="false">Q!M35</f>
        <v>182.935</v>
      </c>
      <c r="F1227" s="6" t="n">
        <f aca="false">Sens!F1222+Sens!F1224+Sens!F1225+Sens!F1226</f>
        <v>213.604928491534</v>
      </c>
      <c r="G1227" s="6" t="n">
        <f aca="false">Sens!G1222+Sens!G1224+Sens!G1225+Sens!G1226</f>
        <v>273.576672006295</v>
      </c>
      <c r="H1227" s="6" t="n">
        <f aca="false">Sens!H1222+Sens!H1224+Sens!H1225+Sens!H1226</f>
        <v>334.876675480361</v>
      </c>
      <c r="I1227" s="6" t="n">
        <f aca="false">Sens!I1222+Sens!I1224+Sens!I1225+Sens!I1226</f>
        <v>390.402776395478</v>
      </c>
      <c r="J1227" s="6" t="n">
        <f aca="false">Sens!J1222+Sens!J1224+Sens!J1225+Sens!J1226</f>
        <v>444.292427891285</v>
      </c>
      <c r="K1227" s="6" t="n">
        <f aca="false">Sens!K1222+Sens!K1224+Sens!K1225+Sens!K1226</f>
        <v>496.951157798296</v>
      </c>
    </row>
    <row r="1228" customFormat="false" ht="17.15" hidden="false" customHeight="false" outlineLevel="0" collapsed="false">
      <c r="A1228" s="0" t="s">
        <v>848</v>
      </c>
      <c r="B1228" s="0" t="s">
        <v>95</v>
      </c>
      <c r="F1228" s="6" t="n">
        <f aca="false">Sens!F1144</f>
        <v>192.39945104576</v>
      </c>
      <c r="G1228" s="6" t="n">
        <f aca="false">Sens!G1144</f>
        <v>220.28901657984</v>
      </c>
      <c r="H1228" s="6" t="n">
        <f aca="false">Sens!H1144</f>
        <v>225.69634309248</v>
      </c>
      <c r="I1228" s="6" t="n">
        <f aca="false">Sens!I1144</f>
        <v>262.00675350848</v>
      </c>
      <c r="J1228" s="6" t="n">
        <f aca="false">Sens!J1144</f>
        <v>280.53247310848</v>
      </c>
      <c r="K1228" s="6" t="n">
        <f aca="false">Sens!K1144</f>
        <v>334.62757434048</v>
      </c>
    </row>
    <row r="1229" customFormat="false" ht="17.15" hidden="false" customHeight="false" outlineLevel="0" collapsed="false">
      <c r="A1229" s="1" t="s">
        <v>849</v>
      </c>
      <c r="B1229" s="0" t="s">
        <v>95</v>
      </c>
      <c r="E1229" s="6" t="n">
        <f aca="false">Sens!E1152*cx_azo+Sens!E1159*cx_m365+Sens!E1160*cx_lic+(Sens!E1162+Sens!E1164)*cx_ind+Sens!E1167*cx_srch+(Sens!E1169+Sens!E1171)*cx_dev</f>
        <v>30.1846587067718</v>
      </c>
      <c r="F1229" s="6" t="n">
        <f aca="false">Sens!F1152*cx_azo+Sens!F1159*cx_m365+Sens!F1160*cx_lic+(Sens!F1162+Sens!F1164)*cx_ind+Sens!F1167*cx_srch+(Sens!F1169+Sens!F1171)*cx_dev</f>
        <v>35.7293472295625</v>
      </c>
      <c r="G1229" s="6" t="n">
        <f aca="false">Sens!G1152*cx_azo+Sens!G1159*cx_m365+Sens!G1160*cx_lic+(Sens!G1162+Sens!G1164)*cx_ind+Sens!G1167*cx_srch+(Sens!G1169+Sens!G1171)*cx_dev</f>
        <v>41.6028935703892</v>
      </c>
      <c r="H1229" s="6" t="n">
        <f aca="false">Sens!H1152*cx_azo+Sens!H1159*cx_m365+Sens!H1160*cx_lic+(Sens!H1162+Sens!H1164)*cx_ind+Sens!H1167*cx_srch+(Sens!H1169+Sens!H1171)*cx_dev</f>
        <v>47.5615136440897</v>
      </c>
      <c r="I1229" s="6" t="n">
        <f aca="false">Sens!I1152*cx_azo+Sens!I1159*cx_m365+Sens!I1160*cx_lic+(Sens!I1162+Sens!I1164)*cx_ind+Sens!I1167*cx_srch+(Sens!I1169+Sens!I1171)*cx_dev</f>
        <v>53.1734003116439</v>
      </c>
      <c r="J1229" s="6" t="n">
        <f aca="false">Sens!J1152*cx_azo+Sens!J1159*cx_m365+Sens!J1160*cx_lic+(Sens!J1162+Sens!J1164)*cx_ind+Sens!J1167*cx_srch+(Sens!J1169+Sens!J1171)*cx_dev</f>
        <v>58.2059132503738</v>
      </c>
      <c r="K1229" s="6" t="n">
        <f aca="false">Sens!K1152*cx_azo+Sens!K1159*cx_m365+Sens!K1160*cx_lic+(Sens!K1162+Sens!K1164)*cx_ind+Sens!K1167*cx_srch+(Sens!K1169+Sens!K1171)*cx_dev</f>
        <v>62.643702741994</v>
      </c>
    </row>
    <row r="1230" customFormat="false" ht="17.15" hidden="false" customHeight="false" outlineLevel="0" collapsed="false">
      <c r="A1230" s="1" t="s">
        <v>850</v>
      </c>
      <c r="B1230" s="0" t="s">
        <v>95</v>
      </c>
      <c r="E1230" s="6" t="n">
        <f aca="false">Q!M42</f>
        <v>145.3</v>
      </c>
      <c r="F1230" s="6" t="n">
        <f aca="false">Sens!F1228+Sens!F1229</f>
        <v>228.128798275322</v>
      </c>
      <c r="G1230" s="6" t="n">
        <f aca="false">Sens!G1228+Sens!G1229</f>
        <v>261.891910150229</v>
      </c>
      <c r="H1230" s="6" t="n">
        <f aca="false">Sens!H1228+Sens!H1229</f>
        <v>273.25785673657</v>
      </c>
      <c r="I1230" s="6" t="n">
        <f aca="false">Sens!I1228+Sens!I1229</f>
        <v>315.180153820124</v>
      </c>
      <c r="J1230" s="6" t="n">
        <f aca="false">Sens!J1228+Sens!J1229</f>
        <v>338.738386358854</v>
      </c>
      <c r="K1230" s="6" t="n">
        <f aca="false">Sens!K1228+Sens!K1229</f>
        <v>397.271277082474</v>
      </c>
      <c r="L1230" s="1" t="s">
        <v>851</v>
      </c>
    </row>
    <row r="1231" customFormat="false" ht="15" hidden="false" customHeight="false" outlineLevel="0" collapsed="false">
      <c r="A1231" s="1" t="s">
        <v>852</v>
      </c>
      <c r="B1231" s="0" t="s">
        <v>95</v>
      </c>
      <c r="E1231" s="6" t="n">
        <f aca="false">fl_liab</f>
        <v>66.594</v>
      </c>
      <c r="F1231" s="6" t="n">
        <f aca="false">Sens!E1231-Sens!F1232</f>
        <v>62.46973</v>
      </c>
      <c r="G1231" s="6" t="n">
        <f aca="false">Sens!F1231-Sens!G1232</f>
        <v>57.98686785</v>
      </c>
      <c r="H1231" s="6" t="n">
        <f aca="false">Sens!G1231-Sens!H1232</f>
        <v>53.92827690325</v>
      </c>
      <c r="I1231" s="6" t="n">
        <f aca="false">Sens!H1231-Sens!I1232</f>
        <v>49.7850493638962</v>
      </c>
      <c r="J1231" s="6" t="n">
        <f aca="false">Sens!I1231-Sens!J1232</f>
        <v>45.4823765852716</v>
      </c>
      <c r="K1231" s="6" t="n">
        <f aca="false">Sens!J1231-Sens!K1232</f>
        <v>40.9860835316088</v>
      </c>
    </row>
    <row r="1232" customFormat="false" ht="15" hidden="false" customHeight="false" outlineLevel="0" collapsed="false">
      <c r="A1232" s="1" t="s">
        <v>853</v>
      </c>
      <c r="B1232" s="0" t="s">
        <v>95</v>
      </c>
      <c r="F1232" s="6" t="n">
        <f aca="false">fl_pay_27-Sens!E1231*fl_rate</f>
        <v>4.12427</v>
      </c>
      <c r="G1232" s="6" t="n">
        <f aca="false">fl_pay_28-Sens!F1231*fl_rate</f>
        <v>4.48286215</v>
      </c>
      <c r="H1232" s="6" t="n">
        <f aca="false">fl_pay_29-Sens!G1231*fl_rate</f>
        <v>4.05859094675</v>
      </c>
      <c r="I1232" s="6" t="n">
        <f aca="false">fl_pay_30-Sens!H1231*fl_rate</f>
        <v>4.14322753935375</v>
      </c>
      <c r="J1232" s="6" t="n">
        <f aca="false">fl_pay_31-Sens!I1231*fl_rate</f>
        <v>4.30267277862467</v>
      </c>
      <c r="K1232" s="6" t="n">
        <f aca="false">fl_pay_32-Sens!J1231*fl_rate</f>
        <v>4.49629305366278</v>
      </c>
    </row>
    <row r="1233" customFormat="false" ht="17.15" hidden="false" customHeight="false" outlineLevel="0" collapsed="false">
      <c r="A1233" s="1" t="s">
        <v>854</v>
      </c>
      <c r="B1233" s="0" t="s">
        <v>95</v>
      </c>
      <c r="E1233" s="6" t="n">
        <f aca="false">Q!M35-Q!M36-Q!M43</f>
        <v>63.886</v>
      </c>
      <c r="F1233" s="6" t="n">
        <f aca="false">Sens!F1227-Sens!F1230-Sens!F1232</f>
        <v>-18.6481397837889</v>
      </c>
      <c r="G1233" s="6" t="n">
        <f aca="false">Sens!G1227-Sens!G1230-Sens!G1232</f>
        <v>7.20189970606528</v>
      </c>
      <c r="H1233" s="6" t="n">
        <f aca="false">Sens!H1227-Sens!H1230-Sens!H1232</f>
        <v>57.5602277970412</v>
      </c>
      <c r="I1233" s="6" t="n">
        <f aca="false">Sens!I1227-Sens!I1230-Sens!I1232</f>
        <v>71.0793950360006</v>
      </c>
      <c r="J1233" s="6" t="n">
        <f aca="false">Sens!J1227-Sens!J1230-Sens!J1232</f>
        <v>101.251368753807</v>
      </c>
      <c r="K1233" s="6" t="n">
        <f aca="false">Sens!K1227-Sens!K1230-Sens!K1232</f>
        <v>95.1835876621589</v>
      </c>
      <c r="L1233" s="11" t="s">
        <v>855</v>
      </c>
    </row>
    <row r="1234" customFormat="false" ht="15" hidden="false" customHeight="false" outlineLevel="0" collapsed="false">
      <c r="A1234" s="1" t="s">
        <v>856</v>
      </c>
      <c r="B1234" s="0" t="s">
        <v>73</v>
      </c>
      <c r="F1234" s="8" t="n">
        <f aca="false">dps_27</f>
        <v>3.85</v>
      </c>
      <c r="G1234" s="8" t="n">
        <f aca="false">Sens!F1234*(1+dps_g)</f>
        <v>4.158</v>
      </c>
      <c r="H1234" s="8" t="n">
        <f aca="false">Sens!G1234*(1+dps_g)</f>
        <v>4.49064</v>
      </c>
      <c r="I1234" s="8" t="n">
        <f aca="false">Sens!H1234*(1+dps_g)</f>
        <v>4.8498912</v>
      </c>
      <c r="J1234" s="8" t="n">
        <f aca="false">Sens!I1234*(1+dps_g)</f>
        <v>5.237882496</v>
      </c>
      <c r="K1234" s="8" t="n">
        <f aca="false">Sens!J1234*(1+dps_g)</f>
        <v>5.65691309568</v>
      </c>
    </row>
    <row r="1235" customFormat="false" ht="17.15" hidden="false" customHeight="false" outlineLevel="0" collapsed="false">
      <c r="A1235" s="1" t="s">
        <v>857</v>
      </c>
      <c r="B1235" s="0" t="s">
        <v>95</v>
      </c>
      <c r="E1235" s="6" t="n">
        <f aca="false">Q!M41</f>
        <v>26.445</v>
      </c>
      <c r="F1235" s="6" t="n">
        <f aca="false">Sens!F1234*Sens!E1244</f>
        <v>28.59395</v>
      </c>
      <c r="G1235" s="6" t="n">
        <f aca="false">Sens!G1234*Sens!F1244</f>
        <v>31.068576</v>
      </c>
      <c r="H1235" s="6" t="n">
        <f aca="false">Sens!H1234*Sens!G1244</f>
        <v>33.75614088</v>
      </c>
      <c r="I1235" s="6" t="n">
        <f aca="false">Sens!I1234*Sens!H1244</f>
        <v>36.5110864818916</v>
      </c>
      <c r="J1235" s="6" t="n">
        <f aca="false">Sens!J1234*Sens!I1244</f>
        <v>39.5003722487624</v>
      </c>
      <c r="K1235" s="6" t="n">
        <f aca="false">Sens!K1234*Sens!J1244</f>
        <v>42.7476572539684</v>
      </c>
      <c r="L1235" s="1" t="s">
        <v>858</v>
      </c>
    </row>
    <row r="1236" customFormat="false" ht="15" hidden="false" customHeight="false" outlineLevel="0" collapsed="false">
      <c r="A1236" s="1" t="s">
        <v>859</v>
      </c>
      <c r="B1236" s="0" t="s">
        <v>95</v>
      </c>
      <c r="E1236" s="6" t="n">
        <f aca="false">Sens!E1233-Sens!E1235</f>
        <v>37.441</v>
      </c>
      <c r="F1236" s="6" t="n">
        <f aca="false">Sens!F1233-Sens!F1235</f>
        <v>-47.2420897837889</v>
      </c>
      <c r="G1236" s="6" t="n">
        <f aca="false">Sens!G1233-Sens!G1235</f>
        <v>-23.8666762939347</v>
      </c>
      <c r="H1236" s="6" t="n">
        <f aca="false">Sens!H1233-Sens!H1235</f>
        <v>23.8040869170412</v>
      </c>
      <c r="I1236" s="6" t="n">
        <f aca="false">Sens!I1233-Sens!I1235</f>
        <v>34.568308554109</v>
      </c>
      <c r="J1236" s="6" t="n">
        <f aca="false">Sens!J1233-Sens!J1235</f>
        <v>61.7509965050446</v>
      </c>
      <c r="K1236" s="6" t="n">
        <f aca="false">Sens!K1233-Sens!K1235</f>
        <v>52.4359304081905</v>
      </c>
    </row>
    <row r="1237" customFormat="false" ht="15" hidden="false" customHeight="false" outlineLevel="0" collapsed="false">
      <c r="A1237" s="1" t="s">
        <v>860</v>
      </c>
      <c r="B1237" s="0" t="s">
        <v>95</v>
      </c>
      <c r="F1237" s="6" t="n">
        <f aca="false">debt_mat_27</f>
        <v>9.25</v>
      </c>
      <c r="G1237" s="6" t="n">
        <f aca="false">debt_mat_28</f>
        <v>0</v>
      </c>
      <c r="H1237" s="6" t="n">
        <f aca="false">debt_mat_29</f>
        <v>2.001</v>
      </c>
      <c r="I1237" s="6" t="n">
        <f aca="false">debt_mat_30</f>
        <v>0</v>
      </c>
      <c r="J1237" s="6" t="n">
        <f aca="false">debt_mat_31</f>
        <v>0.5</v>
      </c>
      <c r="K1237" s="6" t="n">
        <f aca="false">debt_mat_32</f>
        <v>0</v>
      </c>
    </row>
    <row r="1238" customFormat="false" ht="15" hidden="false" customHeight="false" outlineLevel="0" collapsed="false">
      <c r="A1238" s="1" t="s">
        <v>861</v>
      </c>
      <c r="B1238" s="0" t="s">
        <v>95</v>
      </c>
      <c r="E1238" s="6" t="n">
        <f aca="false">Q!M40</f>
        <v>22.271</v>
      </c>
      <c r="F1238" s="6" t="n">
        <f aca="false">MAX(0,MIN(bb_target,Sens!E1240+Sens!F1236-Sens!F1237-min_cash))</f>
        <v>0</v>
      </c>
      <c r="G1238" s="6" t="n">
        <f aca="false">MAX(0,MIN(bb_target,Sens!F1240+Sens!G1236-Sens!G1237-min_cash))</f>
        <v>0</v>
      </c>
      <c r="H1238" s="6" t="n">
        <f aca="false">MAX(0,MIN(bb_target,Sens!G1240+Sens!H1236-Sens!H1237-min_cash))</f>
        <v>21.8030869170412</v>
      </c>
      <c r="I1238" s="6" t="n">
        <f aca="false">MAX(0,MIN(bb_target,Sens!H1240+Sens!I1236-Sens!I1237-min_cash))</f>
        <v>22.271</v>
      </c>
      <c r="J1238" s="6" t="n">
        <f aca="false">MAX(0,MIN(bb_target,Sens!I1240+Sens!J1236-Sens!J1237-min_cash))</f>
        <v>22.271</v>
      </c>
      <c r="K1238" s="6" t="n">
        <f aca="false">MAX(0,MIN(bb_target,Sens!J1240+Sens!K1236-Sens!K1237-min_cash))</f>
        <v>22.271</v>
      </c>
    </row>
    <row r="1239" customFormat="false" ht="15" hidden="false" customHeight="false" outlineLevel="0" collapsed="false">
      <c r="A1239" s="1" t="s">
        <v>862</v>
      </c>
      <c r="B1239" s="0" t="s">
        <v>95</v>
      </c>
      <c r="F1239" s="6" t="n">
        <f aca="false">MAX(0,min_cash-(Sens!E1240+Sens!F1236-Sens!F1237-Sens!F1238))</f>
        <v>29.6490897837889</v>
      </c>
      <c r="G1239" s="6" t="n">
        <f aca="false">MAX(0,min_cash-(Sens!F1240+Sens!G1236-Sens!G1237-Sens!G1238))</f>
        <v>23.8666762939347</v>
      </c>
      <c r="H1239" s="6" t="n">
        <f aca="false">MAX(0,min_cash-(Sens!G1240+Sens!H1236-Sens!H1237-Sens!H1238))</f>
        <v>0</v>
      </c>
      <c r="I1239" s="6" t="n">
        <f aca="false">MAX(0,min_cash-(Sens!H1240+Sens!I1236-Sens!I1237-Sens!I1238))</f>
        <v>0</v>
      </c>
      <c r="J1239" s="6" t="n">
        <f aca="false">MAX(0,min_cash-(Sens!I1240+Sens!J1236-Sens!J1237-Sens!J1238))</f>
        <v>0</v>
      </c>
      <c r="K1239" s="6" t="n">
        <f aca="false">MAX(0,min_cash-(Sens!J1240+Sens!K1236-Sens!K1237-Sens!K1238))</f>
        <v>0</v>
      </c>
    </row>
    <row r="1240" customFormat="false" ht="15" hidden="false" customHeight="false" outlineLevel="0" collapsed="false">
      <c r="A1240" s="1" t="s">
        <v>863</v>
      </c>
      <c r="B1240" s="0" t="s">
        <v>95</v>
      </c>
      <c r="E1240" s="6" t="n">
        <f aca="false">cash_open</f>
        <v>76.843</v>
      </c>
      <c r="F1240" s="6" t="n">
        <f aca="false">Sens!E1240+Sens!F1236-Sens!F1237-Sens!F1238+Sens!F1239</f>
        <v>50</v>
      </c>
      <c r="G1240" s="6" t="n">
        <f aca="false">Sens!F1240+Sens!G1236-Sens!G1237-Sens!G1238+Sens!G1239</f>
        <v>50</v>
      </c>
      <c r="H1240" s="6" t="n">
        <f aca="false">Sens!G1240+Sens!H1236-Sens!H1237-Sens!H1238+Sens!H1239</f>
        <v>50</v>
      </c>
      <c r="I1240" s="6" t="n">
        <f aca="false">Sens!H1240+Sens!I1236-Sens!I1237-Sens!I1238+Sens!I1239</f>
        <v>62.297308554109</v>
      </c>
      <c r="J1240" s="6" t="n">
        <f aca="false">Sens!I1240+Sens!J1236-Sens!J1237-Sens!J1238+Sens!J1239</f>
        <v>101.277305059154</v>
      </c>
      <c r="K1240" s="6" t="n">
        <f aca="false">Sens!J1240+Sens!K1236-Sens!K1237-Sens!K1238+Sens!K1239</f>
        <v>131.442235467344</v>
      </c>
    </row>
    <row r="1241" customFormat="false" ht="15" hidden="false" customHeight="false" outlineLevel="0" collapsed="false">
      <c r="A1241" s="1" t="s">
        <v>864</v>
      </c>
      <c r="B1241" s="0" t="s">
        <v>95</v>
      </c>
      <c r="E1241" s="6" t="n">
        <f aca="false">debt_face</f>
        <v>46.136</v>
      </c>
      <c r="F1241" s="6" t="n">
        <f aca="false">Sens!E1241-Sens!F1237+Sens!F1239</f>
        <v>66.5350897837889</v>
      </c>
      <c r="G1241" s="6" t="n">
        <f aca="false">Sens!F1241-Sens!G1237+Sens!G1239</f>
        <v>90.4017660777236</v>
      </c>
      <c r="H1241" s="6" t="n">
        <f aca="false">Sens!G1241-Sens!H1237+Sens!H1239</f>
        <v>88.4007660777236</v>
      </c>
      <c r="I1241" s="6" t="n">
        <f aca="false">Sens!H1241-Sens!I1237+Sens!I1239</f>
        <v>88.4007660777236</v>
      </c>
      <c r="J1241" s="6" t="n">
        <f aca="false">Sens!I1241-Sens!J1237+Sens!J1239</f>
        <v>87.9007660777236</v>
      </c>
      <c r="K1241" s="6" t="n">
        <f aca="false">Sens!J1241-Sens!K1237+Sens!K1239</f>
        <v>87.9007660777236</v>
      </c>
    </row>
    <row r="1242" customFormat="false" ht="15" hidden="false" customHeight="false" outlineLevel="0" collapsed="false">
      <c r="A1242" s="1" t="s">
        <v>865</v>
      </c>
      <c r="B1242" s="0" t="s">
        <v>95</v>
      </c>
      <c r="E1242" s="6" t="n">
        <f aca="false">Sens!E1240-Sens!E1241</f>
        <v>30.707</v>
      </c>
      <c r="F1242" s="6" t="n">
        <f aca="false">Sens!F1240-Sens!F1241</f>
        <v>-16.5350897837889</v>
      </c>
      <c r="G1242" s="6" t="n">
        <f aca="false">Sens!G1240-Sens!G1241</f>
        <v>-40.4017660777236</v>
      </c>
      <c r="H1242" s="6" t="n">
        <f aca="false">Sens!H1240-Sens!H1241</f>
        <v>-38.4007660777236</v>
      </c>
      <c r="I1242" s="6" t="n">
        <f aca="false">Sens!I1240-Sens!I1241</f>
        <v>-26.1034575236146</v>
      </c>
      <c r="J1242" s="6" t="n">
        <f aca="false">Sens!J1240-Sens!J1241</f>
        <v>13.37653898143</v>
      </c>
      <c r="K1242" s="6" t="n">
        <f aca="false">Sens!K1240-Sens!K1241</f>
        <v>43.5414693896205</v>
      </c>
    </row>
    <row r="1243" customFormat="false" ht="15" hidden="false" customHeight="false" outlineLevel="0" collapsed="false">
      <c r="A1243" s="1" t="s">
        <v>866</v>
      </c>
      <c r="B1243" s="0" t="s">
        <v>73</v>
      </c>
      <c r="F1243" s="27" t="n">
        <f aca="false">px*(1+bb_g)^(1-0.5)</f>
        <v>553.494156066711</v>
      </c>
      <c r="G1243" s="27" t="n">
        <f aca="false">px*(1+bb_g)^(2-0.5)</f>
        <v>597.773688552047</v>
      </c>
      <c r="H1243" s="27" t="n">
        <f aca="false">px*(1+bb_g)^(3-0.5)</f>
        <v>645.595583636211</v>
      </c>
      <c r="I1243" s="27" t="n">
        <f aca="false">px*(1+bb_g)^(4-0.5)</f>
        <v>697.243230327108</v>
      </c>
      <c r="J1243" s="27" t="n">
        <f aca="false">px*(1+bb_g)^(5-0.5)</f>
        <v>753.022688753277</v>
      </c>
      <c r="K1243" s="27" t="n">
        <f aca="false">px*(1+bb_g)^(6-0.5)</f>
        <v>813.264503853539</v>
      </c>
    </row>
    <row r="1244" customFormat="false" ht="15" hidden="false" customHeight="false" outlineLevel="0" collapsed="false">
      <c r="A1244" s="1" t="s">
        <v>867</v>
      </c>
      <c r="B1244" s="1" t="s">
        <v>79</v>
      </c>
      <c r="E1244" s="18" t="n">
        <f aca="false">sh_out26</f>
        <v>7.427</v>
      </c>
      <c r="F1244" s="18" t="n">
        <f aca="false">Sens!E1244+sh_iss-Sens!F1238/Sens!F1243</f>
        <v>7.472</v>
      </c>
      <c r="G1244" s="18" t="n">
        <f aca="false">Sens!F1244+sh_iss-Sens!G1238/Sens!G1243</f>
        <v>7.517</v>
      </c>
      <c r="H1244" s="18" t="n">
        <f aca="false">Sens!G1244+sh_iss-Sens!H1238/Sens!H1243</f>
        <v>7.52822794909123</v>
      </c>
      <c r="I1244" s="18" t="n">
        <f aca="false">Sens!H1244+sh_iss-Sens!I1238/Sens!I1243</f>
        <v>7.54128644140595</v>
      </c>
      <c r="J1244" s="18" t="n">
        <f aca="false">Sens!I1244+sh_iss-Sens!J1238/Sens!J1243</f>
        <v>7.55671097132699</v>
      </c>
      <c r="K1244" s="18" t="n">
        <f aca="false">Sens!J1244+sh_iss-Sens!K1238/Sens!K1243</f>
        <v>7.57432627680944</v>
      </c>
    </row>
    <row r="1245" customFormat="false" ht="15" hidden="false" customHeight="false" outlineLevel="0" collapsed="false">
      <c r="A1245" s="1" t="s">
        <v>868</v>
      </c>
      <c r="B1245" s="1" t="s">
        <v>79</v>
      </c>
      <c r="E1245" s="18" t="n">
        <f aca="false">sh_dil26</f>
        <v>7.453</v>
      </c>
      <c r="F1245" s="18" t="n">
        <f aca="false">(Sens!E1244+Sens!F1244)/2+dil_gap</f>
        <v>7.4735</v>
      </c>
      <c r="G1245" s="18" t="n">
        <f aca="false">(Sens!F1244+Sens!G1244)/2+dil_gap</f>
        <v>7.5185</v>
      </c>
      <c r="H1245" s="18" t="n">
        <f aca="false">(Sens!G1244+Sens!H1244)/2+dil_gap</f>
        <v>7.54661397454561</v>
      </c>
      <c r="I1245" s="18" t="n">
        <f aca="false">(Sens!H1244+Sens!I1244)/2+dil_gap</f>
        <v>7.55875719524859</v>
      </c>
      <c r="J1245" s="18" t="n">
        <f aca="false">(Sens!I1244+Sens!J1244)/2+dil_gap</f>
        <v>7.57299870636647</v>
      </c>
      <c r="K1245" s="18" t="n">
        <f aca="false">(Sens!J1244+Sens!K1244)/2+dil_gap</f>
        <v>7.58951862406821</v>
      </c>
    </row>
    <row r="1246" customFormat="false" ht="17.15" hidden="false" customHeight="false" outlineLevel="0" collapsed="false">
      <c r="A1246" s="1" t="s">
        <v>869</v>
      </c>
      <c r="B1246" s="0" t="s">
        <v>95</v>
      </c>
      <c r="C1246" s="6" t="n">
        <f aca="false">SUM(Sens!F1236:J1236)</f>
        <v>49.0146258984711</v>
      </c>
    </row>
    <row r="1247" customFormat="false" ht="17.15" hidden="false" customHeight="false" outlineLevel="0" collapsed="false">
      <c r="A1247" s="1" t="s">
        <v>836</v>
      </c>
      <c r="B1247" s="1" t="s">
        <v>870</v>
      </c>
      <c r="C1247" s="30" t="str">
        <f aca="false">IF(SUM(Sens!F1239:J1239)&gt;0.05,"需要舉債 "&amp;TEXT(SUM(Sens!F1239:J1239),"0.0")&amp;" 十億美元","不需舉債")&amp;"；"&amp;IF(SUM(Sens!F1238:J1238)&lt;5*bb_target-0.05,"回購較每年 "&amp;TEXT(bb_target,"0.0")&amp;" 的目標少 "&amp;TEXT(5*bb_target-SUM(Sens!F1238:J1238),"0.0")&amp;" 十億美元（"&amp;TEXT(COUNTIF(Sens!F1238:J1238,"&lt;"&amp;(bb_target-0.05)),"0")&amp;" 年減少）","回購不減")</f>
        <v>需要舉債 53.5 十億美元；回購較每年 22.3 的目標少 45.0 十億美元（3 年減少）</v>
      </c>
    </row>
    <row r="1248" customFormat="false" ht="17.15" hidden="false" customHeight="false" outlineLevel="0" collapsed="false">
      <c r="A1248" s="3" t="s">
        <v>1148</v>
      </c>
    </row>
    <row r="1249" customFormat="false" ht="15" hidden="false" customHeight="false" outlineLevel="0" collapsed="false">
      <c r="A1249" s="4" t="s">
        <v>43</v>
      </c>
      <c r="B1249" s="4" t="s">
        <v>63</v>
      </c>
      <c r="C1249" s="19" t="s">
        <v>710</v>
      </c>
      <c r="D1249" s="19" t="s">
        <v>711</v>
      </c>
      <c r="E1249" s="19" t="s">
        <v>712</v>
      </c>
      <c r="F1249" s="19" t="s">
        <v>713</v>
      </c>
      <c r="G1249" s="19" t="s">
        <v>714</v>
      </c>
      <c r="H1249" s="19" t="s">
        <v>715</v>
      </c>
      <c r="I1249" s="19" t="s">
        <v>716</v>
      </c>
      <c r="J1249" s="19" t="s">
        <v>717</v>
      </c>
      <c r="K1249" s="19" t="s">
        <v>718</v>
      </c>
      <c r="L1249" s="4" t="s">
        <v>47</v>
      </c>
    </row>
    <row r="1250" customFormat="false" ht="17.15" hidden="false" customHeight="false" outlineLevel="0" collapsed="false">
      <c r="A1250" s="1" t="s">
        <v>938</v>
      </c>
      <c r="B1250" s="1" t="s">
        <v>213</v>
      </c>
      <c r="F1250" s="34" t="n">
        <f aca="false">1-0.5</f>
        <v>0.5</v>
      </c>
      <c r="G1250" s="34" t="n">
        <f aca="false">2-0.5</f>
        <v>1.5</v>
      </c>
      <c r="H1250" s="34" t="n">
        <f aca="false">3-0.5</f>
        <v>2.5</v>
      </c>
      <c r="I1250" s="34" t="n">
        <f aca="false">4-0.5</f>
        <v>3.5</v>
      </c>
      <c r="J1250" s="34" t="n">
        <f aca="false">5-0.5</f>
        <v>4.5</v>
      </c>
      <c r="K1250" s="34" t="n">
        <f aca="false">6-0.5</f>
        <v>5.5</v>
      </c>
    </row>
    <row r="1251" customFormat="false" ht="15" hidden="false" customHeight="false" outlineLevel="0" collapsed="false">
      <c r="A1251" s="1" t="s">
        <v>939</v>
      </c>
      <c r="B1251" s="0" t="s">
        <v>182</v>
      </c>
      <c r="F1251" s="18" t="n">
        <f aca="false">1/(1+wacc)^Sens!F1250</f>
        <v>0.949601579913219</v>
      </c>
      <c r="G1251" s="18" t="n">
        <f aca="false">1/(1+wacc)^Sens!G1250</f>
        <v>0.856296729956707</v>
      </c>
      <c r="H1251" s="18" t="n">
        <f aca="false">1/(1+wacc)^Sens!H1250</f>
        <v>0.772159719660069</v>
      </c>
      <c r="I1251" s="18" t="n">
        <f aca="false">1/(1+wacc)^Sens!I1250</f>
        <v>0.696289746073958</v>
      </c>
      <c r="J1251" s="18" t="n">
        <f aca="false">1/(1+wacc)^Sens!J1250</f>
        <v>0.627874516299776</v>
      </c>
      <c r="K1251" s="18" t="n">
        <f aca="false">1/(1+wacc)^Sens!K1250</f>
        <v>0.566181550771831</v>
      </c>
    </row>
    <row r="1252" customFormat="false" ht="15" hidden="false" customHeight="false" outlineLevel="0" collapsed="false">
      <c r="A1252" s="1" t="s">
        <v>940</v>
      </c>
      <c r="B1252" s="0" t="s">
        <v>95</v>
      </c>
      <c r="F1252" s="6" t="n">
        <f aca="false">Sens!F1233*Sens!F1251</f>
        <v>-17.7083030011284</v>
      </c>
      <c r="G1252" s="6" t="n">
        <f aca="false">Sens!G1233*Sens!G1251</f>
        <v>6.16696316777987</v>
      </c>
      <c r="H1252" s="6" t="n">
        <f aca="false">Sens!H1233*Sens!H1251</f>
        <v>44.445689359333</v>
      </c>
      <c r="I1252" s="6" t="n">
        <f aca="false">Sens!I1233*Sens!I1251</f>
        <v>49.4918539207074</v>
      </c>
      <c r="J1252" s="6" t="n">
        <f aca="false">Sens!J1233*Sens!J1251</f>
        <v>63.5731541809868</v>
      </c>
      <c r="K1252" s="6" t="n">
        <f aca="false">Sens!K1233*Sens!K1251</f>
        <v>53.8911912705877</v>
      </c>
    </row>
    <row r="1253" customFormat="false" ht="17.15" hidden="false" customHeight="false" outlineLevel="0" collapsed="false">
      <c r="A1253" s="1" t="s">
        <v>941</v>
      </c>
      <c r="B1253" s="0" t="s">
        <v>95</v>
      </c>
      <c r="C1253" s="6" t="n">
        <f aca="false">SUM(Sens!F1252:K1252)</f>
        <v>199.860548898266</v>
      </c>
    </row>
    <row r="1254" customFormat="false" ht="17.15" hidden="false" customHeight="false" outlineLevel="0" collapsed="false">
      <c r="A1254" s="1" t="s">
        <v>942</v>
      </c>
      <c r="B1254" s="0" t="s">
        <v>95</v>
      </c>
      <c r="C1254" s="6" t="n">
        <f aca="false">Sens!K1199*(1+g_tv)*(1-tax_f)</f>
        <v>229.522420141766</v>
      </c>
    </row>
    <row r="1255" customFormat="false" ht="17.15" hidden="false" customHeight="false" outlineLevel="0" collapsed="false">
      <c r="A1255" s="1" t="s">
        <v>943</v>
      </c>
      <c r="B1255" s="0" t="s">
        <v>95</v>
      </c>
      <c r="C1255" s="6" t="n">
        <f aca="false">Sens!$C$1254*(1-g_tv/(wacc+ronic_prem))</f>
        <v>166.32978934795</v>
      </c>
    </row>
    <row r="1256" customFormat="false" ht="17.15" hidden="false" customHeight="false" outlineLevel="0" collapsed="false">
      <c r="A1256" s="1" t="s">
        <v>944</v>
      </c>
      <c r="B1256" s="0" t="s">
        <v>95</v>
      </c>
      <c r="C1256" s="6" t="n">
        <f aca="false">Sens!$C$1255/(wacc-g_tv)</f>
        <v>2106.42102646055</v>
      </c>
    </row>
    <row r="1257" customFormat="false" ht="15" hidden="false" customHeight="false" outlineLevel="0" collapsed="false">
      <c r="A1257" s="1" t="s">
        <v>945</v>
      </c>
      <c r="B1257" s="0" t="s">
        <v>95</v>
      </c>
      <c r="C1257" s="6" t="n">
        <f aca="false">Sens!$C$1256/(1+wacc)^6</f>
        <v>1132.51072471443</v>
      </c>
    </row>
    <row r="1258" customFormat="false" ht="17.15" hidden="false" customHeight="false" outlineLevel="0" collapsed="false">
      <c r="A1258" s="0" t="s">
        <v>877</v>
      </c>
      <c r="B1258" s="0" t="s">
        <v>95</v>
      </c>
      <c r="C1258" s="6" t="n">
        <f aca="false">Sens!$C$1253+Sens!$C$1257</f>
        <v>1332.37127361269</v>
      </c>
    </row>
    <row r="1259" customFormat="false" ht="15" hidden="false" customHeight="false" outlineLevel="0" collapsed="false">
      <c r="A1259" s="1" t="s">
        <v>878</v>
      </c>
      <c r="B1259" s="0" t="s">
        <v>126</v>
      </c>
      <c r="C1259" s="7" t="n">
        <f aca="false">Sens!$C$1257/Sens!$C$1258</f>
        <v>0.84999635397696</v>
      </c>
    </row>
    <row r="1260" customFormat="false" ht="17.15" hidden="false" customHeight="false" outlineLevel="0" collapsed="false">
      <c r="A1260" s="1" t="s">
        <v>946</v>
      </c>
      <c r="B1260" s="0" t="s">
        <v>95</v>
      </c>
      <c r="C1260" s="6" t="n">
        <f aca="false">Sens!$C$1258+Sens!E1242+oai_v</f>
        <v>1533.47827361269</v>
      </c>
    </row>
    <row r="1261" customFormat="false" ht="17.15" hidden="false" customHeight="false" outlineLevel="0" collapsed="false">
      <c r="A1261" s="0" t="s">
        <v>883</v>
      </c>
      <c r="B1261" s="0" t="s">
        <v>73</v>
      </c>
      <c r="C1261" s="5" t="n">
        <f aca="false">Sens!$C$1260/sh_dil26</f>
        <v>205.753156260928</v>
      </c>
    </row>
    <row r="1262" customFormat="false" ht="17.15" hidden="false" customHeight="false" outlineLevel="0" collapsed="false">
      <c r="A1262" s="0" t="s">
        <v>947</v>
      </c>
      <c r="B1262" s="0" t="s">
        <v>73</v>
      </c>
      <c r="C1262" s="5" t="n">
        <f aca="false">Sens!$C$1261*(1+wacc)^t_roll</f>
        <v>235.997753148323</v>
      </c>
    </row>
    <row r="1263" customFormat="false" ht="17.15" hidden="false" customHeight="false" outlineLevel="0" collapsed="false">
      <c r="A1263" s="1" t="s">
        <v>948</v>
      </c>
      <c r="B1263" s="0" t="s">
        <v>126</v>
      </c>
      <c r="F1263" s="7" t="n">
        <f aca="false">Sens!F1223/(Sens!F1174-Sens!F1130)</f>
        <v>0.0596909303067126</v>
      </c>
      <c r="G1263" s="7" t="n">
        <f aca="false">Sens!G1223/(Sens!G1174-Sens!G1130)</f>
        <v>0.0582698120162661</v>
      </c>
      <c r="H1263" s="7" t="n">
        <f aca="false">Sens!H1223/(Sens!H1174-Sens!H1130)</f>
        <v>0.0579229108286206</v>
      </c>
      <c r="I1263" s="7" t="n">
        <f aca="false">Sens!I1223/(Sens!I1174-Sens!I1130)</f>
        <v>0.0586229084598257</v>
      </c>
      <c r="J1263" s="7" t="n">
        <f aca="false">Sens!J1223/(Sens!J1174-Sens!J1130)</f>
        <v>0.0601104164449862</v>
      </c>
      <c r="K1263" s="7" t="n">
        <f aca="false">Sens!K1223/(Sens!K1174-Sens!K1130)</f>
        <v>0.0620104437593174</v>
      </c>
    </row>
    <row r="1264" customFormat="false" ht="17.15" hidden="false" customHeight="false" outlineLevel="0" collapsed="false">
      <c r="A1264" s="0" t="s">
        <v>949</v>
      </c>
      <c r="B1264" s="0" t="s">
        <v>95</v>
      </c>
      <c r="F1264" s="6" t="n">
        <f aca="false">Sens!F1159*(al_m365+Sens!F1263)</f>
        <v>79.4217662877663</v>
      </c>
      <c r="G1264" s="6" t="n">
        <f aca="false">Sens!G1159*(al_m365+Sens!G1263)</f>
        <v>93.1742531567139</v>
      </c>
      <c r="H1264" s="6" t="n">
        <f aca="false">Sens!H1159*(al_m365+Sens!H1263)</f>
        <v>107.094954106063</v>
      </c>
      <c r="I1264" s="6" t="n">
        <f aca="false">Sens!I1159*(al_m365+Sens!I1263)</f>
        <v>119.595400698603</v>
      </c>
      <c r="J1264" s="6" t="n">
        <f aca="false">Sens!J1159*(al_m365+Sens!J1263)</f>
        <v>130.492411259684</v>
      </c>
      <c r="K1264" s="6" t="n">
        <f aca="false">Sens!K1159*(al_m365+Sens!K1263)</f>
        <v>141.026755504133</v>
      </c>
    </row>
    <row r="1265" customFormat="false" ht="17.15" hidden="false" customHeight="false" outlineLevel="0" collapsed="false">
      <c r="A1265" s="0" t="s">
        <v>950</v>
      </c>
      <c r="B1265" s="0" t="s">
        <v>95</v>
      </c>
      <c r="F1265" s="6" t="n">
        <f aca="false">Sens!F1160*(al_lic+Sens!F1263)</f>
        <v>31.6363115840252</v>
      </c>
      <c r="G1265" s="6" t="n">
        <f aca="false">Sens!G1160*(al_lic+Sens!G1263)</f>
        <v>32.9180513827115</v>
      </c>
      <c r="H1265" s="6" t="n">
        <f aca="false">Sens!H1160*(al_lic+Sens!H1263)</f>
        <v>34.1134127883047</v>
      </c>
      <c r="I1265" s="6" t="n">
        <f aca="false">Sens!I1160*(al_lic+Sens!I1263)</f>
        <v>35.2072787456715</v>
      </c>
      <c r="J1265" s="6" t="n">
        <f aca="false">Sens!J1160*(al_lic+Sens!J1263)</f>
        <v>36.1745176079019</v>
      </c>
      <c r="K1265" s="6" t="n">
        <f aca="false">Sens!K1160*(al_lic+Sens!K1263)</f>
        <v>36.9845482902981</v>
      </c>
    </row>
    <row r="1266" customFormat="false" ht="17.15" hidden="false" customHeight="false" outlineLevel="0" collapsed="false">
      <c r="A1266" s="0" t="s">
        <v>951</v>
      </c>
      <c r="B1266" s="0" t="s">
        <v>95</v>
      </c>
      <c r="F1266" s="6" t="n">
        <f aca="false">Sens!F1162*(al_ind+Sens!F1263)</f>
        <v>8.04168937841215</v>
      </c>
      <c r="G1266" s="6" t="n">
        <f aca="false">Sens!G1162*(al_ind+Sens!G1263)</f>
        <v>8.75583204803831</v>
      </c>
      <c r="H1266" s="6" t="n">
        <f aca="false">Sens!H1162*(al_ind+Sens!H1263)</f>
        <v>9.51137371186393</v>
      </c>
      <c r="I1266" s="6" t="n">
        <f aca="false">Sens!I1162*(al_ind+Sens!I1263)</f>
        <v>10.3072588033405</v>
      </c>
      <c r="J1266" s="6" t="n">
        <f aca="false">Sens!J1162*(al_ind+Sens!J1263)</f>
        <v>11.1343456284028</v>
      </c>
      <c r="K1266" s="6" t="n">
        <f aca="false">Sens!K1162*(al_ind+Sens!K1263)</f>
        <v>11.9766095705263</v>
      </c>
    </row>
    <row r="1267" customFormat="false" ht="17.15" hidden="false" customHeight="false" outlineLevel="0" collapsed="false">
      <c r="A1267" s="0" t="s">
        <v>952</v>
      </c>
      <c r="B1267" s="0" t="s">
        <v>95</v>
      </c>
      <c r="F1267" s="6" t="n">
        <f aca="false">Sens!F1164*(al_fro+Sens!F1263)</f>
        <v>3.16523717211359</v>
      </c>
      <c r="G1267" s="6" t="n">
        <f aca="false">Sens!G1164*(al_fro+Sens!G1263)</f>
        <v>3.36172184700387</v>
      </c>
      <c r="H1267" s="6" t="n">
        <f aca="false">Sens!H1164*(al_fro+Sens!H1263)</f>
        <v>3.58421116568601</v>
      </c>
      <c r="I1267" s="6" t="n">
        <f aca="false">Sens!I1164*(al_fro+Sens!I1263)</f>
        <v>3.8359422262715</v>
      </c>
      <c r="J1267" s="6" t="n">
        <f aca="false">Sens!J1164*(al_fro+Sens!J1263)</f>
        <v>4.11790890549188</v>
      </c>
      <c r="K1267" s="6" t="n">
        <f aca="false">Sens!K1164*(al_fro+Sens!K1263)</f>
        <v>4.42941047943241</v>
      </c>
    </row>
    <row r="1268" customFormat="false" ht="17.15" hidden="false" customHeight="false" outlineLevel="0" collapsed="false">
      <c r="A1268" s="0" t="s">
        <v>953</v>
      </c>
      <c r="B1268" s="0" t="s">
        <v>95</v>
      </c>
      <c r="F1268" s="6" t="n">
        <f aca="false">Sens!F1167*(al_srch+Sens!F1263)</f>
        <v>9.93160256908495</v>
      </c>
      <c r="G1268" s="6" t="n">
        <f aca="false">Sens!G1167*(al_srch+Sens!G1263)</f>
        <v>10.91560940633</v>
      </c>
      <c r="H1268" s="6" t="n">
        <f aca="false">Sens!H1167*(al_srch+Sens!H1263)</f>
        <v>11.9418748248642</v>
      </c>
      <c r="I1268" s="6" t="n">
        <f aca="false">Sens!I1167*(al_srch+Sens!I1263)</f>
        <v>13.0028424209998</v>
      </c>
      <c r="J1268" s="6" t="n">
        <f aca="false">Sens!J1167*(al_srch+Sens!J1263)</f>
        <v>14.0798984008402</v>
      </c>
      <c r="K1268" s="6" t="n">
        <f aca="false">Sens!K1167*(al_srch+Sens!K1263)</f>
        <v>15.1449803668193</v>
      </c>
    </row>
    <row r="1269" customFormat="false" ht="17.15" hidden="false" customHeight="false" outlineLevel="0" collapsed="false">
      <c r="A1269" s="0" t="s">
        <v>954</v>
      </c>
      <c r="B1269" s="0" t="s">
        <v>95</v>
      </c>
      <c r="F1269" s="6" t="n">
        <f aca="false">Sens!F1136</f>
        <v>43.1278534047371</v>
      </c>
      <c r="G1269" s="6" t="n">
        <f aca="false">Sens!G1136</f>
        <v>78.4713023799053</v>
      </c>
      <c r="H1269" s="6" t="n">
        <f aca="false">Sens!H1136</f>
        <v>120.169624261219</v>
      </c>
      <c r="I1269" s="6" t="n">
        <f aca="false">Sens!I1136</f>
        <v>156.086713969963</v>
      </c>
      <c r="J1269" s="6" t="n">
        <f aca="false">Sens!J1136</f>
        <v>192.09687492465</v>
      </c>
      <c r="K1269" s="6" t="n">
        <f aca="false">Sens!K1136</f>
        <v>228.161785217179</v>
      </c>
    </row>
    <row r="1270" customFormat="false" ht="17.15" hidden="false" customHeight="false" outlineLevel="0" collapsed="false">
      <c r="A1270" s="0" t="s">
        <v>955</v>
      </c>
      <c r="B1270" s="0" t="s">
        <v>95</v>
      </c>
      <c r="F1270" s="6" t="n">
        <f aca="false">Sens!F1196+Sens!F1147+Sens!F1263*(Sens!F1166-Sens!F1130)</f>
        <v>216.06010823507</v>
      </c>
      <c r="G1270" s="6" t="n">
        <f aca="false">Sens!G1196+Sens!G1147+Sens!G1263*(Sens!G1166-Sens!G1130)</f>
        <v>272.181509740632</v>
      </c>
      <c r="H1270" s="6" t="n">
        <f aca="false">Sens!H1196+Sens!H1147+Sens!H1263*(Sens!H1166-Sens!H1130)</f>
        <v>334.796353839182</v>
      </c>
      <c r="I1270" s="6" t="n">
        <f aca="false">Sens!I1196+Sens!I1147+Sens!I1263*(Sens!I1166-Sens!I1130)</f>
        <v>389.991802513744</v>
      </c>
      <c r="J1270" s="6" t="n">
        <f aca="false">Sens!J1196+Sens!J1147+Sens!J1263*(Sens!J1166-Sens!J1130)</f>
        <v>442.797698750941</v>
      </c>
      <c r="K1270" s="6" t="n">
        <f aca="false">Sens!K1196+Sens!K1147+Sens!K1263*(Sens!K1166-Sens!K1130)</f>
        <v>493.647579468209</v>
      </c>
    </row>
    <row r="1271" customFormat="false" ht="17.15" hidden="false" customHeight="false" outlineLevel="0" collapsed="false">
      <c r="A1271" s="0" t="s">
        <v>956</v>
      </c>
      <c r="B1271" s="0" t="s">
        <v>95</v>
      </c>
      <c r="F1271" s="6" t="n">
        <f aca="false">Sens!F1270-Sens!F1264-Sens!F1265-Sens!F1266-Sens!F1267-Sens!F1269</f>
        <v>50.6672504080153</v>
      </c>
      <c r="G1271" s="6" t="n">
        <f aca="false">Sens!G1270-Sens!G1264-Sens!G1265-Sens!G1266-Sens!G1267-Sens!G1269</f>
        <v>55.5003489262595</v>
      </c>
      <c r="H1271" s="6" t="n">
        <f aca="false">Sens!H1270-Sens!H1264-Sens!H1265-Sens!H1266-Sens!H1267-Sens!H1269</f>
        <v>60.3227778060452</v>
      </c>
      <c r="I1271" s="6" t="n">
        <f aca="false">Sens!I1270-Sens!I1264-Sens!I1265-Sens!I1266-Sens!I1267-Sens!I1269</f>
        <v>64.9592080698938</v>
      </c>
      <c r="J1271" s="6" t="n">
        <f aca="false">Sens!J1270-Sens!J1264-Sens!J1265-Sens!J1266-Sens!J1267-Sens!J1269</f>
        <v>68.7816404248103</v>
      </c>
      <c r="K1271" s="6" t="n">
        <f aca="false">Sens!K1270-Sens!K1264-Sens!K1265-Sens!K1266-Sens!K1267-Sens!K1269</f>
        <v>71.0684704066407</v>
      </c>
    </row>
    <row r="1272" customFormat="false" ht="17.15" hidden="false" customHeight="false" outlineLevel="0" collapsed="false">
      <c r="A1272" s="0" t="s">
        <v>957</v>
      </c>
      <c r="B1272" s="0" t="s">
        <v>95</v>
      </c>
      <c r="F1272" s="6" t="n">
        <f aca="false">Sens!F1198+Sens!F1263*Sens!F1173</f>
        <v>23.1838131913882</v>
      </c>
      <c r="G1272" s="6" t="n">
        <f aca="false">Sens!G1198+Sens!G1263*Sens!G1173</f>
        <v>23.7944468103136</v>
      </c>
      <c r="H1272" s="6" t="n">
        <f aca="false">Sens!H1198+Sens!H1263*Sens!H1173</f>
        <v>24.6392928594197</v>
      </c>
      <c r="I1272" s="6" t="n">
        <f aca="false">Sens!I1198+Sens!I1263*Sens!I1173</f>
        <v>25.6980273505642</v>
      </c>
      <c r="J1272" s="6" t="n">
        <f aca="false">Sens!J1198+Sens!J1263*Sens!J1173</f>
        <v>26.939238668554</v>
      </c>
      <c r="K1272" s="6" t="n">
        <f aca="false">Sens!K1198+Sens!K1263*Sens!K1173</f>
        <v>28.3248429920442</v>
      </c>
    </row>
    <row r="1273" customFormat="false" ht="17.15" hidden="false" customHeight="false" outlineLevel="0" collapsed="false">
      <c r="A1273" s="0" t="s">
        <v>958</v>
      </c>
      <c r="B1273" s="0" t="s">
        <v>95</v>
      </c>
      <c r="F1273" s="6" t="n">
        <f aca="false">(Sens!F1272-Sens!F1268)*Sens!F1169/(Sens!F1169+Sens!F1171)</f>
        <v>7.26473278848549</v>
      </c>
      <c r="G1273" s="6" t="n">
        <f aca="false">(Sens!G1272-Sens!G1268)*Sens!G1169/(Sens!G1169+Sens!G1171)</f>
        <v>6.93417292148367</v>
      </c>
      <c r="H1273" s="6" t="n">
        <f aca="false">(Sens!H1272-Sens!H1268)*Sens!H1169/(Sens!H1169+Sens!H1171)</f>
        <v>6.74414421256022</v>
      </c>
      <c r="I1273" s="6" t="n">
        <f aca="false">(Sens!I1272-Sens!I1268)*Sens!I1169/(Sens!I1169+Sens!I1171)</f>
        <v>6.68194774368464</v>
      </c>
      <c r="J1273" s="6" t="n">
        <f aca="false">(Sens!J1272-Sens!J1268)*Sens!J1169/(Sens!J1169+Sens!J1171)</f>
        <v>6.73774257671789</v>
      </c>
      <c r="K1273" s="6" t="n">
        <f aca="false">(Sens!K1272-Sens!K1268)*Sens!K1169/(Sens!K1169+Sens!K1171)</f>
        <v>6.9056825402022</v>
      </c>
    </row>
    <row r="1274" customFormat="false" ht="17.15" hidden="false" customHeight="false" outlineLevel="0" collapsed="false">
      <c r="A1274" s="0" t="s">
        <v>959</v>
      </c>
      <c r="B1274" s="0" t="s">
        <v>95</v>
      </c>
      <c r="F1274" s="6" t="n">
        <f aca="false">Sens!F1272-Sens!F1268-Sens!F1273</f>
        <v>5.98747783381779</v>
      </c>
      <c r="G1274" s="6" t="n">
        <f aca="false">Sens!G1272-Sens!G1268-Sens!G1273</f>
        <v>5.94466448249987</v>
      </c>
      <c r="H1274" s="6" t="n">
        <f aca="false">Sens!H1272-Sens!H1268-Sens!H1273</f>
        <v>5.95327382199531</v>
      </c>
      <c r="I1274" s="6" t="n">
        <f aca="false">Sens!I1272-Sens!I1268-Sens!I1273</f>
        <v>6.01323718587969</v>
      </c>
      <c r="J1274" s="6" t="n">
        <f aca="false">Sens!J1272-Sens!J1268-Sens!J1273</f>
        <v>6.12159769099592</v>
      </c>
      <c r="K1274" s="6" t="n">
        <f aca="false">Sens!K1272-Sens!K1268-Sens!K1273</f>
        <v>6.27418008502266</v>
      </c>
    </row>
    <row r="1275" customFormat="false" ht="17.15" hidden="false" customHeight="false" outlineLevel="0" collapsed="false">
      <c r="A1275" s="1" t="s">
        <v>960</v>
      </c>
      <c r="B1275" s="0" t="s">
        <v>95</v>
      </c>
      <c r="C1275" s="6" t="n">
        <f aca="false">(w_ntm28*Sens!G1269+(1-w_ntm28)*Sens!H1269)*m_ai*1</f>
        <v>551.711134531404</v>
      </c>
    </row>
    <row r="1276" customFormat="false" ht="17.15" hidden="false" customHeight="false" outlineLevel="0" collapsed="false">
      <c r="A1276" s="1" t="s">
        <v>961</v>
      </c>
      <c r="B1276" s="0" t="s">
        <v>95</v>
      </c>
      <c r="C1276" s="6" t="n">
        <f aca="false">(w_ntm28*Sens!G1271+(1-w_ntm28)*Sens!H1271)*m_cloud*1</f>
        <v>788.560641667754</v>
      </c>
    </row>
    <row r="1277" customFormat="false" ht="17.15" hidden="false" customHeight="false" outlineLevel="0" collapsed="false">
      <c r="A1277" s="1" t="s">
        <v>962</v>
      </c>
      <c r="B1277" s="0" t="s">
        <v>95</v>
      </c>
      <c r="C1277" s="6" t="n">
        <f aca="false">(w_ntm28*Sens!G1264+(1-w_ntm28)*Sens!H1264)*m_sw*1</f>
        <v>1054.88615680443</v>
      </c>
    </row>
    <row r="1278" customFormat="false" ht="17.15" hidden="false" customHeight="false" outlineLevel="0" collapsed="false">
      <c r="A1278" s="1" t="s">
        <v>963</v>
      </c>
      <c r="B1278" s="0" t="s">
        <v>95</v>
      </c>
      <c r="C1278" s="6" t="n">
        <f aca="false">(w_ntm28*Sens!G1265+(1-w_ntm28)*Sens!H1265)*m_sw*1</f>
        <v>359.68856746832</v>
      </c>
    </row>
    <row r="1279" customFormat="false" ht="17.15" hidden="false" customHeight="false" outlineLevel="0" collapsed="false">
      <c r="A1279" s="1" t="s">
        <v>964</v>
      </c>
      <c r="B1279" s="0" t="s">
        <v>95</v>
      </c>
      <c r="C1279" s="6" t="n">
        <f aca="false">(w_ntm28*Sens!G1266+(1-w_ntm28)*Sens!H1266)*m_sw*1</f>
        <v>97.2009650130038</v>
      </c>
    </row>
    <row r="1280" customFormat="false" ht="17.15" hidden="false" customHeight="false" outlineLevel="0" collapsed="false">
      <c r="A1280" s="1" t="s">
        <v>965</v>
      </c>
      <c r="B1280" s="0" t="s">
        <v>95</v>
      </c>
      <c r="C1280" s="6" t="n">
        <f aca="false">(w_ntm28*Sens!G1267+(1-w_ntm28)*Sens!H1267)*m_sw*1</f>
        <v>37.08341892772</v>
      </c>
    </row>
    <row r="1281" customFormat="false" ht="17.15" hidden="false" customHeight="false" outlineLevel="0" collapsed="false">
      <c r="A1281" s="1" t="s">
        <v>966</v>
      </c>
      <c r="B1281" s="0" t="s">
        <v>95</v>
      </c>
      <c r="C1281" s="6" t="n">
        <f aca="false">(w_ntm28*Sens!G1268+(1-w_ntm28)*Sens!H1268)*m_ads*1</f>
        <v>102.463707991984</v>
      </c>
    </row>
    <row r="1282" customFormat="false" ht="17.15" hidden="false" customHeight="false" outlineLevel="0" collapsed="false">
      <c r="A1282" s="1" t="s">
        <v>967</v>
      </c>
      <c r="B1282" s="0" t="s">
        <v>95</v>
      </c>
      <c r="C1282" s="6" t="n">
        <f aca="false">(w_ntm28*Sens!G1273+(1-w_ntm28)*Sens!H1273)*m_game*1</f>
        <v>86.8026933516073</v>
      </c>
    </row>
    <row r="1283" customFormat="false" ht="17.15" hidden="false" customHeight="false" outlineLevel="0" collapsed="false">
      <c r="A1283" s="1" t="s">
        <v>968</v>
      </c>
      <c r="B1283" s="0" t="s">
        <v>95</v>
      </c>
      <c r="C1283" s="6" t="n">
        <f aca="false">(w_ntm28*Sens!G1274+(1-w_ntm28)*Sens!H1274)*m_pc*1</f>
        <v>86.0595693160604</v>
      </c>
    </row>
    <row r="1284" customFormat="false" ht="17.15" hidden="false" customHeight="false" outlineLevel="0" collapsed="false">
      <c r="A1284" s="1" t="s">
        <v>969</v>
      </c>
      <c r="B1284" s="0" t="s">
        <v>95</v>
      </c>
      <c r="C1284" s="6" t="n">
        <f aca="false">Sens!$C$1275+Sens!$C$1276+Sens!$C$1277+Sens!$C$1278+Sens!$C$1279+Sens!$C$1280+Sens!$C$1281+Sens!$C$1282+Sens!$C$1283</f>
        <v>3164.45685507228</v>
      </c>
    </row>
    <row r="1285" customFormat="false" ht="17.15" hidden="false" customHeight="false" outlineLevel="0" collapsed="false">
      <c r="A1285" s="1" t="s">
        <v>903</v>
      </c>
      <c r="B1285" s="0" t="s">
        <v>95</v>
      </c>
      <c r="C1285" s="6" t="n">
        <f aca="false">Sens!F1242+oai_v-Sens!F1231</f>
        <v>91.3951802162111</v>
      </c>
      <c r="L1285" s="1" t="s">
        <v>970</v>
      </c>
    </row>
    <row r="1286" customFormat="false" ht="15" hidden="false" customHeight="false" outlineLevel="0" collapsed="false">
      <c r="A1286" s="1" t="s">
        <v>904</v>
      </c>
      <c r="B1286" s="0" t="s">
        <v>73</v>
      </c>
      <c r="C1286" s="5" t="n">
        <f aca="false">(Sens!$C$1284+Sens!$C$1285)/Sens!F1244</f>
        <v>435.74036874846</v>
      </c>
    </row>
    <row r="1287" customFormat="false" ht="17.15" hidden="false" customHeight="false" outlineLevel="0" collapsed="false">
      <c r="A1287" s="1" t="s">
        <v>971</v>
      </c>
      <c r="B1287" s="0" t="s">
        <v>73</v>
      </c>
      <c r="C1287" s="5" t="n">
        <f aca="false">w_dcf*Sens!$C$1262+(1-w_dcf)*Sens!$C$1286</f>
        <v>335.869060948391</v>
      </c>
    </row>
    <row r="1288" customFormat="false" ht="17.15" hidden="false" customHeight="false" outlineLevel="0" collapsed="false">
      <c r="A1288" s="3" t="s">
        <v>1149</v>
      </c>
    </row>
    <row r="1289" customFormat="false" ht="15" hidden="false" customHeight="false" outlineLevel="0" collapsed="false">
      <c r="A1289" s="4" t="s">
        <v>43</v>
      </c>
      <c r="B1289" s="4" t="s">
        <v>63</v>
      </c>
      <c r="C1289" s="19" t="s">
        <v>710</v>
      </c>
      <c r="D1289" s="19" t="s">
        <v>711</v>
      </c>
      <c r="E1289" s="19" t="s">
        <v>712</v>
      </c>
      <c r="F1289" s="19" t="s">
        <v>713</v>
      </c>
      <c r="G1289" s="19" t="s">
        <v>714</v>
      </c>
      <c r="H1289" s="19" t="s">
        <v>715</v>
      </c>
      <c r="I1289" s="19" t="s">
        <v>716</v>
      </c>
      <c r="J1289" s="19" t="s">
        <v>717</v>
      </c>
      <c r="K1289" s="19" t="s">
        <v>718</v>
      </c>
      <c r="L1289" s="4" t="s">
        <v>47</v>
      </c>
    </row>
    <row r="1290" customFormat="false" ht="17.15" hidden="false" customHeight="false" outlineLevel="0" collapsed="false">
      <c r="A1290" s="1" t="s">
        <v>719</v>
      </c>
      <c r="B1290" s="0" t="s">
        <v>340</v>
      </c>
      <c r="C1290" s="27" t="n">
        <f aca="false">mw_ext_24</f>
        <v>640</v>
      </c>
      <c r="D1290" s="27" t="n">
        <f aca="false">mw_ext_25</f>
        <v>1630</v>
      </c>
      <c r="E1290" s="27" t="n">
        <f aca="false">mw_ext_26</f>
        <v>3250</v>
      </c>
      <c r="F1290" s="27" t="n">
        <f aca="false">MIN(1000000000,Sens!E1290+pace)</f>
        <v>5777.2</v>
      </c>
      <c r="G1290" s="27" t="n">
        <f aca="false">MIN(1000000000,Sens!F1290+pace)</f>
        <v>8304.4</v>
      </c>
      <c r="H1290" s="27" t="n">
        <f aca="false">MIN(1000000000,Sens!G1290+pace)</f>
        <v>10831.6</v>
      </c>
      <c r="I1290" s="27" t="n">
        <f aca="false">MIN(1000000000,Sens!H1290+pace)</f>
        <v>13358.8</v>
      </c>
      <c r="J1290" s="27" t="n">
        <f aca="false">MIN(1000000000,Sens!I1290+pace)</f>
        <v>15886</v>
      </c>
      <c r="K1290" s="27" t="n">
        <f aca="false">MIN(1000000000,Sens!J1290+pace)</f>
        <v>18413.2</v>
      </c>
      <c r="L1290" s="11" t="s">
        <v>720</v>
      </c>
    </row>
    <row r="1291" customFormat="false" ht="17.15" hidden="false" customHeight="false" outlineLevel="0" collapsed="false">
      <c r="A1291" s="1" t="s">
        <v>721</v>
      </c>
      <c r="B1291" s="0" t="s">
        <v>340</v>
      </c>
      <c r="C1291" s="27" t="n">
        <f aca="false">rent_ext_24</f>
        <v>150</v>
      </c>
      <c r="D1291" s="27" t="n">
        <f aca="false">rent_ext_25</f>
        <v>400</v>
      </c>
      <c r="E1291" s="27" t="n">
        <f aca="false">rent_ext_26</f>
        <v>550</v>
      </c>
      <c r="F1291" s="27" t="n">
        <f aca="false">rent_ext_f</f>
        <v>756</v>
      </c>
      <c r="G1291" s="27" t="n">
        <f aca="false">rent_ext_f</f>
        <v>756</v>
      </c>
      <c r="H1291" s="27" t="n">
        <f aca="false">rent_ext_f</f>
        <v>756</v>
      </c>
      <c r="I1291" s="27" t="n">
        <f aca="false">rent_ext_f</f>
        <v>756</v>
      </c>
      <c r="J1291" s="27" t="n">
        <f aca="false">rent_ext_f</f>
        <v>756</v>
      </c>
      <c r="K1291" s="27" t="n">
        <f aca="false">rent_ext_f</f>
        <v>756</v>
      </c>
      <c r="L1291" s="1" t="s">
        <v>722</v>
      </c>
    </row>
    <row r="1292" customFormat="false" ht="17.15" hidden="false" customHeight="false" outlineLevel="0" collapsed="false">
      <c r="A1292" s="1" t="s">
        <v>723</v>
      </c>
      <c r="B1292" s="0" t="s">
        <v>340</v>
      </c>
      <c r="C1292" s="27" t="n">
        <f aca="false">Sens!C1290-Sens!C1291</f>
        <v>490</v>
      </c>
      <c r="D1292" s="27" t="n">
        <f aca="false">Sens!D1290-Sens!D1291</f>
        <v>1230</v>
      </c>
      <c r="E1292" s="27" t="n">
        <f aca="false">Sens!E1290-Sens!E1291</f>
        <v>2700</v>
      </c>
      <c r="F1292" s="27" t="n">
        <f aca="false">Sens!F1290-Sens!F1291</f>
        <v>5021.2</v>
      </c>
      <c r="G1292" s="27" t="n">
        <f aca="false">Sens!G1290-Sens!G1291</f>
        <v>7548.4</v>
      </c>
      <c r="H1292" s="27" t="n">
        <f aca="false">Sens!H1290-Sens!H1291</f>
        <v>10075.6</v>
      </c>
      <c r="I1292" s="27" t="n">
        <f aca="false">Sens!I1290-Sens!I1291</f>
        <v>12602.8</v>
      </c>
      <c r="J1292" s="27" t="n">
        <f aca="false">Sens!J1290-Sens!J1291</f>
        <v>15130</v>
      </c>
      <c r="K1292" s="27" t="n">
        <f aca="false">Sens!K1290-Sens!K1291</f>
        <v>17657.2</v>
      </c>
    </row>
    <row r="1293" customFormat="false" ht="17.15" hidden="false" customHeight="false" outlineLevel="0" collapsed="false">
      <c r="A1293" s="1" t="s">
        <v>724</v>
      </c>
      <c r="B1293" s="0" t="s">
        <v>340</v>
      </c>
      <c r="C1293" s="27" t="n">
        <f aca="false">Sens!C1292/ext_sh_lo</f>
        <v>980</v>
      </c>
      <c r="D1293" s="27" t="n">
        <f aca="false">Sens!D1292/ext_sh_lo</f>
        <v>2460</v>
      </c>
      <c r="E1293" s="27" t="n">
        <f aca="false">Sens!E1292/ext_sh_lo</f>
        <v>5400</v>
      </c>
      <c r="F1293" s="27" t="n">
        <f aca="false">Sens!F1292/ext_sh_lo</f>
        <v>10042.4</v>
      </c>
      <c r="G1293" s="27" t="n">
        <f aca="false">Sens!G1292/ext_sh_lo</f>
        <v>15096.8</v>
      </c>
      <c r="H1293" s="27" t="n">
        <f aca="false">Sens!H1292/ext_sh_lo</f>
        <v>20151.2</v>
      </c>
      <c r="I1293" s="27" t="n">
        <f aca="false">Sens!I1292/ext_sh_lo</f>
        <v>25205.6</v>
      </c>
      <c r="J1293" s="27" t="n">
        <f aca="false">Sens!J1292/ext_sh_lo</f>
        <v>30260</v>
      </c>
      <c r="K1293" s="27" t="n">
        <f aca="false">Sens!K1292/ext_sh_lo</f>
        <v>35314.4</v>
      </c>
      <c r="L1293" s="1" t="s">
        <v>725</v>
      </c>
    </row>
    <row r="1294" customFormat="false" ht="17.15" hidden="false" customHeight="false" outlineLevel="0" collapsed="false">
      <c r="A1294" s="1" t="s">
        <v>726</v>
      </c>
      <c r="B1294" s="0" t="s">
        <v>340</v>
      </c>
      <c r="C1294" s="27" t="n">
        <f aca="false">Sens!C1293-Sens!C1292</f>
        <v>490</v>
      </c>
      <c r="D1294" s="27" t="n">
        <f aca="false">Sens!D1293-Sens!D1292</f>
        <v>1230</v>
      </c>
      <c r="E1294" s="27" t="n">
        <f aca="false">Sens!E1293-Sens!E1292</f>
        <v>2700</v>
      </c>
      <c r="F1294" s="27" t="n">
        <f aca="false">Sens!F1293-Sens!F1292</f>
        <v>5021.2</v>
      </c>
      <c r="G1294" s="27" t="n">
        <f aca="false">Sens!G1293-Sens!G1292</f>
        <v>7548.4</v>
      </c>
      <c r="H1294" s="27" t="n">
        <f aca="false">Sens!H1293-Sens!H1292</f>
        <v>10075.6</v>
      </c>
      <c r="I1294" s="27" t="n">
        <f aca="false">Sens!I1293-Sens!I1292</f>
        <v>12602.8</v>
      </c>
      <c r="J1294" s="27" t="n">
        <f aca="false">Sens!J1293-Sens!J1292</f>
        <v>15130</v>
      </c>
      <c r="K1294" s="27" t="n">
        <f aca="false">Sens!K1293-Sens!K1292</f>
        <v>17657.2</v>
      </c>
    </row>
    <row r="1295" customFormat="false" ht="17.15" hidden="false" customHeight="false" outlineLevel="0" collapsed="false">
      <c r="A1295" s="1" t="s">
        <v>727</v>
      </c>
      <c r="B1295" s="0" t="s">
        <v>340</v>
      </c>
      <c r="C1295" s="27" t="n">
        <f aca="false">Sens!C1293</f>
        <v>980</v>
      </c>
      <c r="D1295" s="27" t="n">
        <f aca="false">Sens!D1293-Sens!C1293</f>
        <v>1480</v>
      </c>
      <c r="E1295" s="27" t="n">
        <f aca="false">Sens!E1293-Sens!D1293</f>
        <v>2940</v>
      </c>
      <c r="F1295" s="27" t="n">
        <f aca="false">Sens!F1293-Sens!E1293</f>
        <v>4642.4</v>
      </c>
      <c r="G1295" s="27" t="n">
        <f aca="false">Sens!G1293-Sens!F1293</f>
        <v>5054.4</v>
      </c>
      <c r="H1295" s="27" t="n">
        <f aca="false">Sens!H1293-Sens!G1293</f>
        <v>5054.4</v>
      </c>
      <c r="I1295" s="27" t="n">
        <f aca="false">Sens!I1293-Sens!H1293</f>
        <v>5054.4</v>
      </c>
      <c r="J1295" s="27" t="n">
        <f aca="false">Sens!J1293-Sens!I1293</f>
        <v>5054.4</v>
      </c>
      <c r="K1295" s="27" t="n">
        <f aca="false">Sens!K1293-Sens!J1293</f>
        <v>5054.4</v>
      </c>
    </row>
    <row r="1296" customFormat="false" ht="17.15" hidden="false" customHeight="false" outlineLevel="0" collapsed="false">
      <c r="A1296" s="1" t="s">
        <v>728</v>
      </c>
      <c r="B1296" s="0" t="s">
        <v>340</v>
      </c>
      <c r="D1296" s="27" t="n">
        <f aca="false">Sens!D1290-Sens!C1290</f>
        <v>990</v>
      </c>
      <c r="E1296" s="27" t="n">
        <f aca="false">Sens!E1290-Sens!D1290</f>
        <v>1620</v>
      </c>
      <c r="F1296" s="27" t="n">
        <f aca="false">Sens!F1290-Sens!E1290</f>
        <v>2527.2</v>
      </c>
      <c r="G1296" s="27" t="n">
        <f aca="false">Sens!G1290-Sens!F1290</f>
        <v>2527.2</v>
      </c>
      <c r="H1296" s="27" t="n">
        <f aca="false">Sens!H1290-Sens!G1290</f>
        <v>2527.2</v>
      </c>
      <c r="I1296" s="27" t="n">
        <f aca="false">Sens!I1290-Sens!H1290</f>
        <v>2527.2</v>
      </c>
      <c r="J1296" s="27" t="n">
        <f aca="false">Sens!J1290-Sens!I1290</f>
        <v>2527.2</v>
      </c>
      <c r="K1296" s="27" t="n">
        <f aca="false">Sens!K1290-Sens!J1290</f>
        <v>2527.2</v>
      </c>
    </row>
    <row r="1297" customFormat="false" ht="17.15" hidden="false" customHeight="false" outlineLevel="0" collapsed="false">
      <c r="A1297" s="1" t="s">
        <v>729</v>
      </c>
      <c r="B1297" s="0" t="s">
        <v>340</v>
      </c>
      <c r="C1297" s="27" t="n">
        <f aca="false">mix_h*Sens!C1290</f>
        <v>128</v>
      </c>
      <c r="D1297" s="27" t="n">
        <f aca="false">mix_h*Sens!D1290</f>
        <v>326</v>
      </c>
      <c r="E1297" s="27" t="n">
        <f aca="false">mix_h*Sens!E1290</f>
        <v>650</v>
      </c>
      <c r="F1297" s="27" t="n">
        <f aca="false">Sens!E1297</f>
        <v>650</v>
      </c>
      <c r="G1297" s="27" t="n">
        <f aca="false">Sens!F1297</f>
        <v>650</v>
      </c>
      <c r="H1297" s="27" t="n">
        <f aca="false">Sens!G1297</f>
        <v>650</v>
      </c>
      <c r="I1297" s="27" t="n">
        <f aca="false">Sens!H1297</f>
        <v>650</v>
      </c>
      <c r="J1297" s="27" t="n">
        <f aca="false">Sens!I1297</f>
        <v>650</v>
      </c>
      <c r="K1297" s="27" t="n">
        <f aca="false">Sens!J1297</f>
        <v>650</v>
      </c>
    </row>
    <row r="1298" customFormat="false" ht="17.15" hidden="false" customHeight="false" outlineLevel="0" collapsed="false">
      <c r="A1298" s="1" t="s">
        <v>730</v>
      </c>
      <c r="B1298" s="0" t="s">
        <v>340</v>
      </c>
      <c r="C1298" s="27" t="n">
        <f aca="false">mix_g2*Sens!C1290</f>
        <v>288</v>
      </c>
      <c r="D1298" s="27" t="n">
        <f aca="false">mix_g2*Sens!D1290</f>
        <v>733.5</v>
      </c>
      <c r="E1298" s="27" t="n">
        <f aca="false">mix_g2*Sens!E1290</f>
        <v>1462.5</v>
      </c>
      <c r="F1298" s="27" t="n">
        <f aca="false">Sens!E1298</f>
        <v>1462.5</v>
      </c>
      <c r="G1298" s="27" t="n">
        <f aca="false">Sens!F1298</f>
        <v>1462.5</v>
      </c>
      <c r="H1298" s="27" t="n">
        <f aca="false">Sens!G1298</f>
        <v>1462.5</v>
      </c>
      <c r="I1298" s="27" t="n">
        <f aca="false">Sens!H1298</f>
        <v>1462.5</v>
      </c>
      <c r="J1298" s="27" t="n">
        <f aca="false">Sens!I1298</f>
        <v>1462.5</v>
      </c>
      <c r="K1298" s="27" t="n">
        <f aca="false">Sens!J1298</f>
        <v>1462.5</v>
      </c>
    </row>
    <row r="1299" customFormat="false" ht="17.15" hidden="false" customHeight="false" outlineLevel="0" collapsed="false">
      <c r="A1299" s="1" t="s">
        <v>731</v>
      </c>
      <c r="B1299" s="0" t="s">
        <v>340</v>
      </c>
      <c r="C1299" s="27" t="n">
        <f aca="false">mix_g3*Sens!C1290</f>
        <v>224</v>
      </c>
      <c r="D1299" s="27" t="n">
        <f aca="false">mix_g3*Sens!D1290</f>
        <v>570.5</v>
      </c>
      <c r="E1299" s="27" t="n">
        <f aca="false">mix_g3*Sens!E1290</f>
        <v>1137.5</v>
      </c>
      <c r="F1299" s="27" t="n">
        <f aca="false">Sens!E1299+Sens!F1296*a_g3_27</f>
        <v>2906.54</v>
      </c>
      <c r="G1299" s="27" t="n">
        <f aca="false">Sens!F1299+Sens!G1296*a_g3_28</f>
        <v>3664.7</v>
      </c>
      <c r="H1299" s="27" t="n">
        <f aca="false">Sens!G1299+Sens!H1296*a_g3_29</f>
        <v>3917.42</v>
      </c>
      <c r="I1299" s="27" t="n">
        <f aca="false">Sens!H1299+Sens!I1296*a_g3_29</f>
        <v>4170.14</v>
      </c>
      <c r="J1299" s="27" t="n">
        <f aca="false">Sens!I1299+Sens!J1296*a_g3_29</f>
        <v>4422.86</v>
      </c>
      <c r="K1299" s="27" t="n">
        <f aca="false">Sens!J1299+Sens!K1296*a_g3_29</f>
        <v>4675.58</v>
      </c>
    </row>
    <row r="1300" customFormat="false" ht="17.15" hidden="false" customHeight="false" outlineLevel="0" collapsed="false">
      <c r="A1300" s="1" t="s">
        <v>732</v>
      </c>
      <c r="B1300" s="0" t="s">
        <v>340</v>
      </c>
      <c r="C1300" s="27" t="n">
        <f aca="false">0</f>
        <v>0</v>
      </c>
      <c r="D1300" s="27" t="n">
        <f aca="false">0</f>
        <v>0</v>
      </c>
      <c r="E1300" s="27" t="n">
        <f aca="false">0</f>
        <v>0</v>
      </c>
      <c r="F1300" s="27" t="n">
        <f aca="false">Sens!E1300+Sens!F1296*(1-a_g3_27)</f>
        <v>758.16</v>
      </c>
      <c r="G1300" s="27" t="n">
        <f aca="false">Sens!F1300+Sens!G1296*(1-a_g3_28)</f>
        <v>2527.2</v>
      </c>
      <c r="H1300" s="27" t="n">
        <f aca="false">Sens!G1300+Sens!H1296*(1-a_g3_29)</f>
        <v>4801.68</v>
      </c>
      <c r="I1300" s="27" t="n">
        <f aca="false">Sens!H1300+Sens!I1296*(1-a_g3_29)</f>
        <v>7076.16</v>
      </c>
      <c r="J1300" s="27" t="n">
        <f aca="false">Sens!I1300+Sens!J1296*(1-a_g3_29)</f>
        <v>9350.64</v>
      </c>
      <c r="K1300" s="27" t="n">
        <f aca="false">Sens!J1300+Sens!K1296*(1-a_g3_29)</f>
        <v>11625.12</v>
      </c>
    </row>
    <row r="1301" customFormat="false" ht="17.15" hidden="false" customHeight="false" outlineLevel="0" collapsed="false">
      <c r="A1301" s="1" t="s">
        <v>733</v>
      </c>
      <c r="B1301" s="0" t="s">
        <v>291</v>
      </c>
      <c r="C1301" s="18" t="n">
        <f aca="false">(Sens!C1297*tk_hold_h100+Sens!C1298*tk_hold_gb200+Sens!C1299*tk_hold_gb300+Sens!C1300*tk_hold_vr200)/Sens!C1290</f>
        <v>9.7235358126469</v>
      </c>
      <c r="D1301" s="18" t="n">
        <f aca="false">(Sens!D1297*tk_hold_h100+Sens!D1298*tk_hold_gb200+Sens!D1299*tk_hold_gb300+Sens!D1300*tk_hold_vr200)/Sens!D1290</f>
        <v>9.7235358126469</v>
      </c>
      <c r="E1301" s="18" t="n">
        <f aca="false">(Sens!E1297*tk_hold_h100+Sens!E1298*tk_hold_gb200+Sens!E1299*tk_hold_gb300+Sens!E1300*tk_hold_vr200)/Sens!E1290</f>
        <v>9.7235358126469</v>
      </c>
      <c r="F1301" s="18" t="n">
        <f aca="false">(Sens!F1297*tk_hold_h100+Sens!F1298*tk_hold_gb200+Sens!F1299*tk_hold_gb300+Sens!F1300*tk_hold_vr200)/Sens!F1290</f>
        <v>10.4079573161931</v>
      </c>
      <c r="G1301" s="18" t="n">
        <f aca="false">(Sens!G1297*tk_hold_h100+Sens!G1298*tk_hold_gb200+Sens!G1299*tk_hold_gb300+Sens!G1300*tk_hold_vr200)/Sens!G1290</f>
        <v>10.8388131109316</v>
      </c>
      <c r="H1301" s="18" t="n">
        <f aca="false">(Sens!H1297*tk_hold_h100+Sens!H1298*tk_hold_gb200+Sens!H1299*tk_hold_gb300+Sens!H1300*tk_hold_vr200)/Sens!H1290</f>
        <v>11.1311018388216</v>
      </c>
      <c r="I1301" s="18" t="n">
        <f aca="false">(Sens!I1297*tk_hold_h100+Sens!I1298*tk_hold_gb200+Sens!I1299*tk_hold_gb300+Sens!I1300*tk_hold_vr200)/Sens!I1290</f>
        <v>11.3128009818501</v>
      </c>
      <c r="J1301" s="18" t="n">
        <f aca="false">(Sens!J1297*tk_hold_h100+Sens!J1298*tk_hold_gb200+Sens!J1299*tk_hold_gb300+Sens!J1300*tk_hold_vr200)/Sens!J1290</f>
        <v>11.4366894646418</v>
      </c>
      <c r="K1301" s="18" t="n">
        <f aca="false">(Sens!K1297*tk_hold_h100+Sens!K1298*tk_hold_gb200+Sens!K1299*tk_hold_gb300+Sens!K1300*tk_hold_vr200)/Sens!K1290</f>
        <v>11.526570716348</v>
      </c>
    </row>
    <row r="1302" customFormat="false" ht="17.15" hidden="false" customHeight="false" outlineLevel="0" collapsed="false">
      <c r="A1302" s="0" t="s">
        <v>734</v>
      </c>
      <c r="B1302" s="0" t="s">
        <v>182</v>
      </c>
      <c r="C1302" s="18" t="n">
        <f aca="false">k_B</f>
        <v>1.17213932619116</v>
      </c>
      <c r="D1302" s="18" t="n">
        <f aca="false">k_B</f>
        <v>1.17213932619116</v>
      </c>
      <c r="E1302" s="18" t="n">
        <f aca="false">k_B</f>
        <v>1.17213932619116</v>
      </c>
      <c r="F1302" s="18" t="n">
        <f aca="false">(k_B+((ls_B*k_long+(1-ls_B)*k_spot)-k_B)*MIN(1,1/3))*1</f>
        <v>1.17213932619116</v>
      </c>
      <c r="G1302" s="18" t="n">
        <f aca="false">(k_B+((ls_B*k_long+(1-ls_B)*k_spot)-k_B)*MIN(1,2/3))*1</f>
        <v>1.17213932619116</v>
      </c>
      <c r="H1302" s="18" t="n">
        <f aca="false">(k_B+((ls_B*k_long+(1-ls_B)*k_spot)-k_B)*MIN(1,3/3))*1</f>
        <v>1.17213932619116</v>
      </c>
      <c r="I1302" s="18" t="n">
        <f aca="false">(k_B+((ls_B*k_long+(1-ls_B)*k_spot)-k_B)*MIN(1,4/3))*1</f>
        <v>1.17213932619116</v>
      </c>
      <c r="J1302" s="18" t="n">
        <f aca="false">(k_B+((ls_B*k_long+(1-ls_B)*k_spot)-k_B)*MIN(1,5/3))*1</f>
        <v>1.17213932619116</v>
      </c>
      <c r="K1302" s="18" t="n">
        <f aca="false">(k_B+((ls_B*k_long+(1-ls_B)*k_spot)-k_B)*MIN(1,6/3))*1</f>
        <v>1.17213932619116</v>
      </c>
      <c r="L1302" s="1" t="s">
        <v>735</v>
      </c>
    </row>
    <row r="1303" customFormat="false" ht="17.15" hidden="false" customHeight="false" outlineLevel="0" collapsed="false">
      <c r="A1303" s="1" t="s">
        <v>736</v>
      </c>
      <c r="B1303" s="0" t="s">
        <v>291</v>
      </c>
      <c r="C1303" s="18" t="n">
        <f aca="false">Sens!C1301*Sens!C1302*chip_f</f>
        <v>11.3973387156315</v>
      </c>
      <c r="D1303" s="18" t="n">
        <f aca="false">Sens!D1301*Sens!D1302*chip_f</f>
        <v>11.3973387156315</v>
      </c>
      <c r="E1303" s="18" t="n">
        <f aca="false">Sens!E1301*Sens!E1302*chip_f</f>
        <v>11.3973387156315</v>
      </c>
      <c r="F1303" s="18" t="n">
        <f aca="false">Sens!F1301*Sens!F1302*chip_f</f>
        <v>12.1995760756289</v>
      </c>
      <c r="G1303" s="18" t="n">
        <f aca="false">Sens!G1301*Sens!G1302*chip_f</f>
        <v>12.7045990965592</v>
      </c>
      <c r="H1303" s="18" t="n">
        <f aca="false">Sens!H1301*Sens!H1302*chip_f</f>
        <v>13.0472022091214</v>
      </c>
      <c r="I1303" s="18" t="n">
        <f aca="false">Sens!I1301*Sens!I1302*chip_f</f>
        <v>13.2601789202004</v>
      </c>
      <c r="J1303" s="18" t="n">
        <f aca="false">Sens!J1301*Sens!J1302*chip_f</f>
        <v>13.4053934829427</v>
      </c>
      <c r="K1303" s="18" t="n">
        <f aca="false">Sens!K1301*Sens!K1302*chip_f</f>
        <v>13.5107468327548</v>
      </c>
      <c r="L1303" s="1" t="s">
        <v>737</v>
      </c>
    </row>
    <row r="1304" customFormat="false" ht="17.15" hidden="false" customHeight="false" outlineLevel="0" collapsed="false">
      <c r="A1304" s="0" t="s">
        <v>738</v>
      </c>
      <c r="B1304" s="0" t="s">
        <v>95</v>
      </c>
      <c r="D1304" s="6" t="n">
        <f aca="false">(Sens!C1290+Sens!D1290)/2*Sens!D1303/1000</f>
        <v>12.9359794422418</v>
      </c>
      <c r="E1304" s="6" t="n">
        <f aca="false">(Sens!D1290+Sens!E1290)/2*Sens!E1303/1000</f>
        <v>27.8095064661409</v>
      </c>
      <c r="F1304" s="6" t="n">
        <f aca="false">(Sens!E1290+Sens!F1290)/2*Sens!F1303/1000</f>
        <v>55.0640065749585</v>
      </c>
      <c r="G1304" s="6" t="n">
        <f aca="false">(Sens!F1290+Sens!G1290)/2*Sens!G1303/1000</f>
        <v>89.4505413190538</v>
      </c>
      <c r="H1304" s="6" t="n">
        <f aca="false">(Sens!G1290+Sens!H1290)/2*Sens!H1303/1000</f>
        <v>124.835630736874</v>
      </c>
      <c r="I1304" s="6" t="n">
        <f aca="false">(Sens!H1290+Sens!I1290)/2*Sens!I1303/1000</f>
        <v>160.384516075608</v>
      </c>
      <c r="J1304" s="6" t="n">
        <f aca="false">(Sens!I1290+Sens!J1290)/2*Sens!J1303/1000</f>
        <v>196.019025664981</v>
      </c>
      <c r="K1304" s="6" t="n">
        <f aca="false">(Sens!J1290+Sens!K1290)/2*Sens!K1303/1000</f>
        <v>231.703903883012</v>
      </c>
      <c r="L1304" s="11" t="s">
        <v>739</v>
      </c>
    </row>
    <row r="1305" customFormat="false" ht="17.15" hidden="false" customHeight="false" outlineLevel="0" collapsed="false">
      <c r="A1305" s="1" t="s">
        <v>740</v>
      </c>
      <c r="B1305" s="0" t="s">
        <v>291</v>
      </c>
      <c r="C1305" s="18" t="n">
        <f aca="false">(Sens!C1297*tk_opex_h100+Sens!C1298*tk_opex_gb200+Sens!C1299*tk_opex_gb300+Sens!C1300*tk_opex_vr200)/Sens!C1290</f>
        <v>1.88636041306092</v>
      </c>
      <c r="D1305" s="18" t="n">
        <f aca="false">(Sens!D1297*tk_opex_h100+Sens!D1298*tk_opex_gb200+Sens!D1299*tk_opex_gb300+Sens!D1300*tk_opex_vr200)/Sens!D1290</f>
        <v>1.88636041306092</v>
      </c>
      <c r="E1305" s="18" t="n">
        <f aca="false">(Sens!E1297*tk_opex_h100+Sens!E1298*tk_opex_gb200+Sens!E1299*tk_opex_gb300+Sens!E1300*tk_opex_vr200)/Sens!E1290</f>
        <v>1.88636041306092</v>
      </c>
      <c r="F1305" s="18" t="n">
        <f aca="false">(Sens!F1297*tk_opex_h100+Sens!F1298*tk_opex_gb200+Sens!F1299*tk_opex_gb300+Sens!F1300*tk_opex_vr200)/Sens!F1290</f>
        <v>1.9430236476499</v>
      </c>
      <c r="G1305" s="18" t="n">
        <f aca="false">(Sens!G1297*tk_opex_h100+Sens!G1298*tk_opex_gb200+Sens!G1299*tk_opex_gb300+Sens!G1300*tk_opex_vr200)/Sens!G1290</f>
        <v>1.9786941852423</v>
      </c>
      <c r="H1305" s="18" t="n">
        <f aca="false">(Sens!H1297*tk_opex_h100+Sens!H1298*tk_opex_gb200+Sens!H1299*tk_opex_gb300+Sens!H1300*tk_opex_vr200)/Sens!H1290</f>
        <v>2.00289275976156</v>
      </c>
      <c r="I1305" s="18" t="n">
        <f aca="false">(Sens!I1297*tk_opex_h100+Sens!I1298*tk_opex_gb200+Sens!I1299*tk_opex_gb300+Sens!I1300*tk_opex_vr200)/Sens!I1290</f>
        <v>2.01793562605478</v>
      </c>
      <c r="J1305" s="18" t="n">
        <f aca="false">(Sens!J1297*tk_opex_h100+Sens!J1298*tk_opex_gb200+Sens!J1299*tk_opex_gb300+Sens!J1300*tk_opex_vr200)/Sens!J1290</f>
        <v>2.02819234961902</v>
      </c>
      <c r="K1305" s="18" t="n">
        <f aca="false">(Sens!K1297*tk_opex_h100+Sens!K1298*tk_opex_gb200+Sens!K1299*tk_opex_gb300+Sens!K1300*tk_opex_vr200)/Sens!K1290</f>
        <v>2.0356336155994</v>
      </c>
    </row>
    <row r="1306" customFormat="false" ht="17.15" hidden="false" customHeight="false" outlineLevel="0" collapsed="false">
      <c r="A1306" s="0" t="s">
        <v>741</v>
      </c>
      <c r="B1306" s="0" t="s">
        <v>95</v>
      </c>
      <c r="D1306" s="6" t="n">
        <f aca="false">(Sens!C1293+Sens!D1293)/2*Sens!D1305/1000</f>
        <v>3.24453991046478</v>
      </c>
      <c r="E1306" s="6" t="n">
        <f aca="false">(Sens!D1293+Sens!E1293)/2*Sens!E1305/1000</f>
        <v>7.41339642332941</v>
      </c>
      <c r="F1306" s="6" t="n">
        <f aca="false">(Sens!E1293+Sens!F1293)/2*Sens!F1305/1000</f>
        <v>15.0024741882344</v>
      </c>
      <c r="G1306" s="6" t="n">
        <f aca="false">(Sens!F1293+Sens!G1293)/2*Sens!G1305/1000</f>
        <v>24.8713944308216</v>
      </c>
      <c r="H1306" s="6" t="n">
        <f aca="false">(Sens!G1293+Sens!H1293)/2*Sens!H1305/1000</f>
        <v>35.2989819980378</v>
      </c>
      <c r="I1306" s="6" t="n">
        <f aca="false">(Sens!H1293+Sens!I1293)/2*Sens!I1305/1000</f>
        <v>45.7635513019206</v>
      </c>
      <c r="J1306" s="6" t="n">
        <f aca="false">(Sens!I1293+Sens!J1293)/2*Sens!J1305/1000</f>
        <v>56.2474527935143</v>
      </c>
      <c r="K1306" s="6" t="n">
        <f aca="false">(Sens!J1293+Sens!K1293)/2*Sens!K1305/1000</f>
        <v>66.7427264813807</v>
      </c>
    </row>
    <row r="1307" customFormat="false" ht="17.15" hidden="false" customHeight="false" outlineLevel="0" collapsed="false">
      <c r="A1307" s="0" t="s">
        <v>742</v>
      </c>
      <c r="B1307" s="0" t="s">
        <v>95</v>
      </c>
      <c r="D1307" s="6" t="n">
        <f aca="false">(Sens!C1291+Sens!D1291)/2*rent_mw/1000</f>
        <v>2.44475</v>
      </c>
      <c r="E1307" s="6" t="n">
        <f aca="false">(Sens!D1291+Sens!E1291)/2*rent_mw/1000</f>
        <v>4.22275</v>
      </c>
      <c r="F1307" s="6" t="n">
        <f aca="false">(Sens!E1291+Sens!F1291)/2*rent_mw/1000</f>
        <v>5.80517</v>
      </c>
      <c r="G1307" s="6" t="n">
        <f aca="false">(Sens!F1291+Sens!G1291)/2*rent_mw/1000</f>
        <v>6.72084</v>
      </c>
      <c r="H1307" s="6" t="n">
        <f aca="false">(Sens!G1291+Sens!H1291)/2*rent_mw/1000</f>
        <v>6.72084</v>
      </c>
      <c r="I1307" s="6" t="n">
        <f aca="false">(Sens!H1291+Sens!I1291)/2*rent_mw/1000</f>
        <v>6.72084</v>
      </c>
      <c r="J1307" s="6" t="n">
        <f aca="false">(Sens!I1291+Sens!J1291)/2*rent_mw/1000</f>
        <v>6.72084</v>
      </c>
      <c r="K1307" s="6" t="n">
        <f aca="false">(Sens!J1291+Sens!K1291)/2*rent_mw/1000</f>
        <v>6.72084</v>
      </c>
    </row>
    <row r="1308" customFormat="false" ht="17.15" hidden="false" customHeight="false" outlineLevel="0" collapsed="false">
      <c r="A1308" s="0" t="s">
        <v>743</v>
      </c>
      <c r="B1308" s="0" t="s">
        <v>95</v>
      </c>
      <c r="D1308" s="6" t="n">
        <f aca="false">(Sens!C1293+Sens!D1293)/2*(1-self_build)*fac_rent/1000</f>
        <v>1.02389085075729</v>
      </c>
      <c r="E1308" s="6" t="n">
        <f aca="false">(Sens!D1293+Sens!E1293)/2*(1-self_build)*fac_rent/1000</f>
        <v>2.33947153690474</v>
      </c>
      <c r="F1308" s="6" t="n">
        <f aca="false">(Sens!E1293+Sens!F1293)/2*(1-self_build)*fac_rent/1000</f>
        <v>4.59631746329488</v>
      </c>
      <c r="G1308" s="6" t="n">
        <f aca="false">(Sens!F1293+Sens!G1293)/2*(1-self_build)*fac_rent/1000</f>
        <v>7.48249909167374</v>
      </c>
      <c r="H1308" s="6" t="n">
        <f aca="false">(Sens!G1293+Sens!H1293)/2*(1-self_build)*fac_rent/1000</f>
        <v>10.4913095079921</v>
      </c>
      <c r="I1308" s="6" t="n">
        <f aca="false">(Sens!H1293+Sens!I1293)/2*(1-self_build)*fac_rent/1000</f>
        <v>13.5001199243105</v>
      </c>
      <c r="J1308" s="6" t="n">
        <f aca="false">(Sens!I1293+Sens!J1293)/2*(1-self_build)*fac_rent/1000</f>
        <v>16.5089303406289</v>
      </c>
      <c r="K1308" s="6" t="n">
        <f aca="false">(Sens!J1293+Sens!K1293)/2*(1-self_build)*fac_rent/1000</f>
        <v>19.5177407569473</v>
      </c>
      <c r="L1308" s="11" t="s">
        <v>744</v>
      </c>
    </row>
    <row r="1309" customFormat="false" ht="17.15" hidden="false" customHeight="false" outlineLevel="0" collapsed="false">
      <c r="A1309" s="1" t="s">
        <v>745</v>
      </c>
      <c r="B1309" s="0" t="s">
        <v>126</v>
      </c>
      <c r="D1309" s="7" t="n">
        <f aca="false">(Sens!C1292+Sens!D1292)/(Sens!C1293+Sens!D1293)</f>
        <v>0.5</v>
      </c>
      <c r="E1309" s="7" t="n">
        <f aca="false">(Sens!D1292+Sens!E1292)/(Sens!D1293+Sens!E1293)</f>
        <v>0.5</v>
      </c>
      <c r="F1309" s="7" t="n">
        <f aca="false">(Sens!E1292+Sens!F1292)/(Sens!E1293+Sens!F1293)</f>
        <v>0.5</v>
      </c>
      <c r="G1309" s="7" t="n">
        <f aca="false">(Sens!F1292+Sens!G1292)/(Sens!F1293+Sens!G1293)</f>
        <v>0.5</v>
      </c>
      <c r="H1309" s="7" t="n">
        <f aca="false">(Sens!G1292+Sens!H1292)/(Sens!G1293+Sens!H1293)</f>
        <v>0.5</v>
      </c>
      <c r="I1309" s="7" t="n">
        <f aca="false">(Sens!H1292+Sens!I1292)/(Sens!H1293+Sens!I1293)</f>
        <v>0.5</v>
      </c>
      <c r="J1309" s="7" t="n">
        <f aca="false">(Sens!I1292+Sens!J1292)/(Sens!I1293+Sens!J1293)</f>
        <v>0.5</v>
      </c>
      <c r="K1309" s="7" t="n">
        <f aca="false">(Sens!J1292+Sens!K1292)/(Sens!J1293+Sens!K1293)</f>
        <v>0.5</v>
      </c>
    </row>
    <row r="1310" customFormat="false" ht="17.15" hidden="false" customHeight="false" outlineLevel="0" collapsed="false">
      <c r="A1310" s="0" t="s">
        <v>746</v>
      </c>
      <c r="B1310" s="0" t="s">
        <v>95</v>
      </c>
      <c r="D1310" s="6" t="n">
        <f aca="false">Sens!D1304-Sens!D1309*(Sens!D1306+Sens!D1308)-Sens!D1307</f>
        <v>8.35701406163072</v>
      </c>
      <c r="E1310" s="6" t="n">
        <f aca="false">Sens!E1304-Sens!E1309*(Sens!E1306+Sens!E1308)-Sens!E1307</f>
        <v>18.7103224860238</v>
      </c>
      <c r="F1310" s="6" t="n">
        <f aca="false">Sens!F1304-Sens!F1309*(Sens!F1306+Sens!F1308)-Sens!F1307</f>
        <v>39.4594407491938</v>
      </c>
      <c r="G1310" s="6" t="n">
        <f aca="false">Sens!G1304-Sens!G1309*(Sens!G1306+Sens!G1308)-Sens!G1307</f>
        <v>66.5527545578061</v>
      </c>
      <c r="H1310" s="6" t="n">
        <f aca="false">Sens!H1304-Sens!H1309*(Sens!H1306+Sens!H1308)-Sens!H1307</f>
        <v>95.219644983859</v>
      </c>
      <c r="I1310" s="6" t="n">
        <f aca="false">Sens!I1304-Sens!I1309*(Sens!I1306+Sens!I1308)-Sens!I1307</f>
        <v>124.031840462493</v>
      </c>
      <c r="J1310" s="6" t="n">
        <f aca="false">Sens!J1304-Sens!J1309*(Sens!J1306+Sens!J1308)-Sens!J1307</f>
        <v>152.919994097909</v>
      </c>
      <c r="K1310" s="6" t="n">
        <f aca="false">Sens!K1304-Sens!K1309*(Sens!K1306+Sens!K1308)-Sens!K1307</f>
        <v>181.852830263848</v>
      </c>
    </row>
    <row r="1311" customFormat="false" ht="17.15" hidden="false" customHeight="false" outlineLevel="0" collapsed="false">
      <c r="A1311" s="1" t="s">
        <v>747</v>
      </c>
      <c r="B1311" s="0" t="s">
        <v>95</v>
      </c>
      <c r="D1311" s="6" t="n">
        <f aca="false">(1-Sens!D1309)*(Sens!D1306+Sens!D1308)</f>
        <v>2.13421538061103</v>
      </c>
      <c r="E1311" s="6" t="n">
        <f aca="false">(1-Sens!E1309)*(Sens!E1306+Sens!E1308)</f>
        <v>4.87643398011707</v>
      </c>
      <c r="F1311" s="6" t="n">
        <f aca="false">(1-Sens!F1309)*(Sens!F1306+Sens!F1308)</f>
        <v>9.79939582576465</v>
      </c>
      <c r="G1311" s="6" t="n">
        <f aca="false">(1-Sens!G1309)*(Sens!G1306+Sens!G1308)</f>
        <v>16.1769467612477</v>
      </c>
      <c r="H1311" s="6" t="n">
        <f aca="false">(1-Sens!H1309)*(Sens!H1306+Sens!H1308)</f>
        <v>22.895145753015</v>
      </c>
      <c r="I1311" s="6" t="n">
        <f aca="false">(1-Sens!I1309)*(Sens!I1306+Sens!I1308)</f>
        <v>29.6318356131156</v>
      </c>
      <c r="J1311" s="6" t="n">
        <f aca="false">(1-Sens!J1309)*(Sens!J1306+Sens!J1308)</f>
        <v>36.3781915670716</v>
      </c>
      <c r="K1311" s="6" t="n">
        <f aca="false">(1-Sens!K1309)*(Sens!K1306+Sens!K1308)</f>
        <v>43.130233619164</v>
      </c>
    </row>
    <row r="1312" customFormat="false" ht="17.15" hidden="false" customHeight="false" outlineLevel="0" collapsed="false">
      <c r="A1312" s="1" t="s">
        <v>748</v>
      </c>
      <c r="B1312" s="0" t="s">
        <v>302</v>
      </c>
      <c r="C1312" s="8" t="n">
        <f aca="false">cxit_open</f>
        <v>27.5918995</v>
      </c>
      <c r="D1312" s="8" t="n">
        <f aca="false">cxit_open</f>
        <v>27.5918995</v>
      </c>
      <c r="E1312" s="8" t="n">
        <f aca="false">cxit_open</f>
        <v>27.5918995</v>
      </c>
      <c r="F1312" s="8" t="n">
        <f aca="false">(a_g3_27*tk_cxit_gb300+(1-a_g3_27)*tk_cxit_vr200)</f>
        <v>33.8419624</v>
      </c>
      <c r="G1312" s="8" t="n">
        <f aca="false">(a_g3_28*tk_cxit_gb300+(1-a_g3_28)*tk_cxit_vr200)</f>
        <v>35.9816136</v>
      </c>
      <c r="H1312" s="8" t="n">
        <f aca="false">(a_g3_29*tk_cxit_gb300+(1-a_g3_29)*tk_cxit_vr200)</f>
        <v>37.0514392</v>
      </c>
      <c r="I1312" s="8" t="n">
        <f aca="false">(a_g3_29*tk_cxit_gb300+(1-a_g3_29)*tk_cxit_vr200)</f>
        <v>37.0514392</v>
      </c>
      <c r="J1312" s="8" t="n">
        <f aca="false">(a_g3_29*tk_cxit_gb300+(1-a_g3_29)*tk_cxit_vr200)</f>
        <v>37.0514392</v>
      </c>
      <c r="K1312" s="8" t="n">
        <f aca="false">(a_g3_29*tk_cxit_gb300+(1-a_g3_29)*tk_cxit_vr200)</f>
        <v>37.0514392</v>
      </c>
      <c r="L1312" s="11" t="s">
        <v>749</v>
      </c>
    </row>
    <row r="1313" customFormat="false" ht="17.15" hidden="false" customHeight="false" outlineLevel="0" collapsed="false">
      <c r="A1313" s="0" t="s">
        <v>750</v>
      </c>
      <c r="B1313" s="0" t="s">
        <v>340</v>
      </c>
      <c r="F1313" s="27" t="n">
        <f aca="false">Sens!C1295*IF(3=life_it,1,0)+Sens!D1295*IF(2=life_it,1,0)+Sens!E1295*IF(1=life_it,1,0)</f>
        <v>0</v>
      </c>
      <c r="G1313" s="27" t="n">
        <f aca="false">Sens!C1295*IF(4=life_it,1,0)+Sens!D1295*IF(3=life_it,1,0)+Sens!E1295*IF(2=life_it,1,0)+Sens!F1295*IF(1=life_it,1,0)</f>
        <v>0</v>
      </c>
      <c r="H1313" s="27" t="n">
        <f aca="false">Sens!C1295*IF(5=life_it,1,0)+Sens!D1295*IF(4=life_it,1,0)+Sens!E1295*IF(3=life_it,1,0)+Sens!F1295*IF(2=life_it,1,0)+Sens!G1295*IF(1=life_it,1,0)</f>
        <v>0</v>
      </c>
      <c r="I1313" s="27" t="n">
        <f aca="false">Sens!C1295*IF(6=life_it,1,0)+Sens!D1295*IF(5=life_it,1,0)+Sens!E1295*IF(4=life_it,1,0)+Sens!F1295*IF(3=life_it,1,0)+Sens!G1295*IF(2=life_it,1,0)+Sens!H1295*IF(1=life_it,1,0)</f>
        <v>980</v>
      </c>
      <c r="J1313" s="27" t="n">
        <f aca="false">Sens!C1295*IF(7=life_it,1,0)+Sens!D1295*IF(6=life_it,1,0)+Sens!E1295*IF(5=life_it,1,0)+Sens!F1295*IF(4=life_it,1,0)+Sens!G1295*IF(3=life_it,1,0)+Sens!H1295*IF(2=life_it,1,0)+Sens!I1295*IF(1=life_it,1,0)</f>
        <v>1480</v>
      </c>
      <c r="K1313" s="27" t="n">
        <f aca="false">Sens!C1295*IF(8=life_it,1,0)+Sens!D1295*IF(7=life_it,1,0)+Sens!E1295*IF(6=life_it,1,0)+Sens!F1295*IF(5=life_it,1,0)+Sens!G1295*IF(4=life_it,1,0)+Sens!H1295*IF(3=life_it,1,0)+Sens!I1295*IF(2=life_it,1,0)+Sens!J1295*IF(1=life_it,1,0)</f>
        <v>2940</v>
      </c>
      <c r="L1313" s="1" t="s">
        <v>751</v>
      </c>
    </row>
    <row r="1314" customFormat="false" ht="17.15" hidden="false" customHeight="false" outlineLevel="0" collapsed="false">
      <c r="A1314" s="0" t="s">
        <v>752</v>
      </c>
      <c r="B1314" s="0" t="s">
        <v>95</v>
      </c>
      <c r="C1314" s="6" t="n">
        <f aca="false">Sens!C1295*Sens!C1312/1000</f>
        <v>27.04006151</v>
      </c>
      <c r="D1314" s="6" t="n">
        <f aca="false">Sens!D1295*Sens!D1312/1000</f>
        <v>40.83601126</v>
      </c>
      <c r="E1314" s="6" t="n">
        <f aca="false">Sens!E1295*Sens!E1312/1000</f>
        <v>81.12018453</v>
      </c>
      <c r="F1314" s="6" t="n">
        <f aca="false">(Sens!F1295+Sens!F1313)*Sens!F1312/1000</f>
        <v>157.10792624576</v>
      </c>
      <c r="G1314" s="6" t="n">
        <f aca="false">(Sens!G1295+Sens!G1313)*Sens!G1312/1000</f>
        <v>181.86546777984</v>
      </c>
      <c r="H1314" s="6" t="n">
        <f aca="false">(Sens!H1295+Sens!H1313)*Sens!H1312/1000</f>
        <v>187.27279429248</v>
      </c>
      <c r="I1314" s="6" t="n">
        <f aca="false">(Sens!I1295+Sens!I1313)*Sens!I1312/1000</f>
        <v>223.58320470848</v>
      </c>
      <c r="J1314" s="6" t="n">
        <f aca="false">(Sens!J1295+Sens!J1313)*Sens!J1312/1000</f>
        <v>242.10892430848</v>
      </c>
      <c r="K1314" s="6" t="n">
        <f aca="false">(Sens!K1295+Sens!K1313)*Sens!K1312/1000</f>
        <v>296.20402554048</v>
      </c>
    </row>
    <row r="1315" customFormat="false" ht="17.15" hidden="false" customHeight="false" outlineLevel="0" collapsed="false">
      <c r="A1315" s="0" t="s">
        <v>753</v>
      </c>
      <c r="B1315" s="0" t="s">
        <v>95</v>
      </c>
      <c r="C1315" s="6" t="n">
        <f aca="false">Sens!C1295*self_build*tk_cxfac/1000</f>
        <v>7.44996</v>
      </c>
      <c r="D1315" s="6" t="n">
        <f aca="false">Sens!D1295*self_build*tk_cxfac/1000</f>
        <v>11.25096</v>
      </c>
      <c r="E1315" s="6" t="n">
        <f aca="false">Sens!E1295*self_build*tk_cxfac/1000</f>
        <v>22.34988</v>
      </c>
      <c r="F1315" s="6" t="n">
        <f aca="false">Sens!F1295*self_build*tk_cxfac/1000</f>
        <v>35.2915248</v>
      </c>
      <c r="G1315" s="6" t="n">
        <f aca="false">Sens!G1295*self_build*tk_cxfac/1000</f>
        <v>38.4235488</v>
      </c>
      <c r="H1315" s="6" t="n">
        <f aca="false">Sens!H1295*self_build*tk_cxfac/1000</f>
        <v>38.4235488</v>
      </c>
      <c r="I1315" s="6" t="n">
        <f aca="false">Sens!I1295*self_build*tk_cxfac/1000</f>
        <v>38.4235488</v>
      </c>
      <c r="J1315" s="6" t="n">
        <f aca="false">Sens!J1295*self_build*tk_cxfac/1000</f>
        <v>38.4235488</v>
      </c>
      <c r="K1315" s="6" t="n">
        <f aca="false">Sens!K1295*self_build*tk_cxfac/1000</f>
        <v>38.4235488</v>
      </c>
    </row>
    <row r="1316" customFormat="false" ht="17.15" hidden="false" customHeight="false" outlineLevel="0" collapsed="false">
      <c r="A1316" s="0" t="s">
        <v>754</v>
      </c>
      <c r="B1316" s="0" t="s">
        <v>95</v>
      </c>
      <c r="F1316" s="6" t="n">
        <f aca="false">MAX(0,capex_floor27-Sens!F1314-Sens!F1315-Sens!F1403)</f>
        <v>0</v>
      </c>
      <c r="G1316" s="6" t="n">
        <f aca="false">0</f>
        <v>0</v>
      </c>
      <c r="H1316" s="6" t="n">
        <f aca="false">0</f>
        <v>0</v>
      </c>
      <c r="I1316" s="6" t="n">
        <f aca="false">0</f>
        <v>0</v>
      </c>
      <c r="J1316" s="6" t="n">
        <f aca="false">0</f>
        <v>0</v>
      </c>
      <c r="K1316" s="6" t="n">
        <f aca="false">0</f>
        <v>0</v>
      </c>
      <c r="L1316" s="1" t="s">
        <v>755</v>
      </c>
    </row>
    <row r="1317" customFormat="false" ht="17.15" hidden="false" customHeight="false" outlineLevel="0" collapsed="false">
      <c r="A1317" s="0" t="s">
        <v>756</v>
      </c>
      <c r="B1317" s="0" t="s">
        <v>95</v>
      </c>
      <c r="C1317" s="6" t="n">
        <f aca="false">Sens!C1314</f>
        <v>27.04006151</v>
      </c>
      <c r="D1317" s="6" t="n">
        <f aca="false">Sens!D1314</f>
        <v>40.83601126</v>
      </c>
      <c r="E1317" s="6" t="n">
        <f aca="false">Sens!E1314</f>
        <v>81.12018453</v>
      </c>
      <c r="F1317" s="6" t="n">
        <f aca="false">Sens!F1314+Sens!F1316</f>
        <v>157.10792624576</v>
      </c>
      <c r="G1317" s="6" t="n">
        <f aca="false">Sens!G1314+Sens!G1316</f>
        <v>181.86546777984</v>
      </c>
      <c r="H1317" s="6" t="n">
        <f aca="false">Sens!H1314+Sens!H1316</f>
        <v>187.27279429248</v>
      </c>
      <c r="I1317" s="6" t="n">
        <f aca="false">Sens!I1314+Sens!I1316</f>
        <v>223.58320470848</v>
      </c>
      <c r="J1317" s="6" t="n">
        <f aca="false">Sens!J1314+Sens!J1316</f>
        <v>242.10892430848</v>
      </c>
      <c r="K1317" s="6" t="n">
        <f aca="false">Sens!K1314+Sens!K1316</f>
        <v>296.20402554048</v>
      </c>
    </row>
    <row r="1318" customFormat="false" ht="17.15" hidden="false" customHeight="false" outlineLevel="0" collapsed="false">
      <c r="A1318" s="0" t="s">
        <v>757</v>
      </c>
      <c r="B1318" s="0" t="s">
        <v>95</v>
      </c>
      <c r="C1318" s="6" t="n">
        <f aca="false">Sens!C1317+Sens!C1315</f>
        <v>34.49002151</v>
      </c>
      <c r="D1318" s="6" t="n">
        <f aca="false">Sens!D1317+Sens!D1315</f>
        <v>52.08697126</v>
      </c>
      <c r="E1318" s="6" t="n">
        <f aca="false">Sens!E1317+Sens!E1315</f>
        <v>103.47006453</v>
      </c>
      <c r="F1318" s="6" t="n">
        <f aca="false">Sens!F1317+Sens!F1315</f>
        <v>192.39945104576</v>
      </c>
      <c r="G1318" s="6" t="n">
        <f aca="false">Sens!G1317+Sens!G1315</f>
        <v>220.28901657984</v>
      </c>
      <c r="H1318" s="6" t="n">
        <f aca="false">Sens!H1317+Sens!H1315</f>
        <v>225.69634309248</v>
      </c>
      <c r="I1318" s="6" t="n">
        <f aca="false">Sens!I1317+Sens!I1315</f>
        <v>262.00675350848</v>
      </c>
      <c r="J1318" s="6" t="n">
        <f aca="false">Sens!J1317+Sens!J1315</f>
        <v>280.53247310848</v>
      </c>
      <c r="K1318" s="6" t="n">
        <f aca="false">Sens!K1317+Sens!K1315</f>
        <v>334.62757434048</v>
      </c>
      <c r="L1318" s="11" t="s">
        <v>758</v>
      </c>
    </row>
    <row r="1319" customFormat="false" ht="17.15" hidden="false" customHeight="false" outlineLevel="0" collapsed="false">
      <c r="A1319" s="0" t="s">
        <v>759</v>
      </c>
      <c r="B1319" s="0" t="s">
        <v>95</v>
      </c>
      <c r="E1319" s="6" t="n">
        <f aca="false">(Sens!C1317*IF(2&lt;life_it,1,IF(2=life_it,0.5,0))+Sens!D1317*IF(1&lt;life_it,1,IF(1=life_it,0.5,0))+Sens!E1317*0.5)/life_it</f>
        <v>18.0726941725</v>
      </c>
      <c r="F1319" s="6" t="n">
        <f aca="false">(Sens!C1317*IF(3&lt;life_it,1,IF(3=life_it,0.5,0))+Sens!D1317*IF(2&lt;life_it,1,IF(2=life_it,0.5,0))+Sens!E1317*IF(1&lt;life_it,1,IF(1=life_it,0.5,0))+Sens!F1317*0.5)/life_it</f>
        <v>37.9250367371467</v>
      </c>
      <c r="G1319" s="6" t="n">
        <f aca="false">(Sens!C1317*IF(4&lt;life_it,1,IF(4=life_it,0.5,0))+Sens!D1317*IF(3&lt;life_it,1,IF(3=life_it,0.5,0))+Sens!E1317*IF(2&lt;life_it,1,IF(2=life_it,0.5,0))+Sens!F1317*IF(1&lt;life_it,1,IF(1=life_it,0.5,0))+Sens!G1317*0.5)/life_it</f>
        <v>66.1728195726133</v>
      </c>
      <c r="H1319" s="6" t="n">
        <f aca="false">(Sens!C1317*IF(5&lt;life_it,1,IF(5=life_it,0.5,0))+Sens!D1317*IF(4&lt;life_it,1,IF(4=life_it,0.5,0))+Sens!E1317*IF(3&lt;life_it,1,IF(3=life_it,0.5,0))+Sens!F1317*IF(2&lt;life_it,1,IF(2=life_it,0.5,0))+Sens!G1317*IF(1&lt;life_it,1,IF(1=life_it,0.5,0))+Sens!H1317*0.5)/life_it</f>
        <v>96.9343414119733</v>
      </c>
      <c r="I1319" s="6" t="n">
        <f aca="false">(Sens!C1317*IF(6&lt;life_it,1,IF(6=life_it,0.5,0))+Sens!D1317*IF(5&lt;life_it,1,IF(5=life_it,0.5,0))+Sens!E1317*IF(4&lt;life_it,1,IF(4=life_it,0.5,0))+Sens!F1317*IF(3&lt;life_it,1,IF(3=life_it,0.5,0))+Sens!G1317*IF(2&lt;life_it,1,IF(2=life_it,0.5,0))+Sens!H1317*IF(1&lt;life_it,1,IF(1=life_it,0.5,0))+Sens!I1317*0.5)/life_it</f>
        <v>128.919002869553</v>
      </c>
      <c r="J1319" s="6" t="n">
        <f aca="false">(Sens!C1317*IF(7&lt;life_it,1,IF(7=life_it,0.5,0))+Sens!D1317*IF(6&lt;life_it,1,IF(6=life_it,0.5,0))+Sens!E1317*IF(5&lt;life_it,1,IF(5=life_it,0.5,0))+Sens!F1317*IF(4&lt;life_it,1,IF(4=life_it,0.5,0))+Sens!G1317*IF(3&lt;life_it,1,IF(3=life_it,0.5,0))+Sens!H1317*IF(2&lt;life_it,1,IF(2=life_it,0.5,0))+Sens!I1317*IF(1&lt;life_it,1,IF(1=life_it,0.5,0))+Sens!J1317*0.5)/life_it</f>
        <v>162.070340890133</v>
      </c>
      <c r="K1319" s="6" t="n">
        <f aca="false">(Sens!C1317*IF(8&lt;life_it,1,IF(8=life_it,0.5,0))+Sens!D1317*IF(7&lt;life_it,1,IF(7=life_it,0.5,0))+Sens!E1317*IF(6&lt;life_it,1,IF(6=life_it,0.5,0))+Sens!F1317*IF(5&lt;life_it,1,IF(5=life_it,0.5,0))+Sens!G1317*IF(4&lt;life_it,1,IF(4=life_it,0.5,0))+Sens!H1317*IF(3&lt;life_it,1,IF(3=life_it,0.5,0))+Sens!I1317*IF(2&lt;life_it,1,IF(2=life_it,0.5,0))+Sens!J1317*IF(1&lt;life_it,1,IF(1=life_it,0.5,0))+Sens!K1317*0.5)/life_it</f>
        <v>196.766737061713</v>
      </c>
    </row>
    <row r="1320" customFormat="false" ht="17.15" hidden="false" customHeight="false" outlineLevel="0" collapsed="false">
      <c r="A1320" s="0" t="s">
        <v>760</v>
      </c>
      <c r="B1320" s="0" t="s">
        <v>95</v>
      </c>
      <c r="E1320" s="6" t="n">
        <f aca="false">(Sens!C1315*IF(2&lt;life_fac,1,IF(2=life_fac,0.5,0))+Sens!D1315*IF(1&lt;life_fac,1,IF(1=life_fac,0.5,0))+Sens!E1315*0.5)/life_fac</f>
        <v>1.493793</v>
      </c>
      <c r="F1320" s="6" t="n">
        <f aca="false">(Sens!C1315*IF(3&lt;life_fac,1,IF(3=life_fac,0.5,0))+Sens!D1315*IF(2&lt;life_fac,1,IF(2=life_fac,0.5,0))+Sens!E1315*IF(1&lt;life_fac,1,IF(1=life_fac,0.5,0))+Sens!F1315*0.5)/life_fac</f>
        <v>2.93482812</v>
      </c>
      <c r="G1320" s="6" t="n">
        <f aca="false">(Sens!C1315*IF(4&lt;life_fac,1,IF(4=life_fac,0.5,0))+Sens!D1315*IF(3&lt;life_fac,1,IF(3=life_fac,0.5,0))+Sens!E1315*IF(2&lt;life_fac,1,IF(2=life_fac,0.5,0))+Sens!F1315*IF(1&lt;life_fac,1,IF(1=life_fac,0.5,0))+Sens!G1315*0.5)/life_fac</f>
        <v>4.77770496</v>
      </c>
      <c r="H1320" s="6" t="n">
        <f aca="false">(Sens!C1315*IF(5&lt;life_fac,1,IF(5=life_fac,0.5,0))+Sens!D1315*IF(4&lt;life_fac,1,IF(4=life_fac,0.5,0))+Sens!E1315*IF(3&lt;life_fac,1,IF(3=life_fac,0.5,0))+Sens!F1315*IF(2&lt;life_fac,1,IF(2=life_fac,0.5,0))+Sens!G1315*IF(1&lt;life_fac,1,IF(1=life_fac,0.5,0))+Sens!H1315*0.5)/life_fac</f>
        <v>6.6988824</v>
      </c>
      <c r="I1320" s="6" t="n">
        <f aca="false">(Sens!C1315*IF(6&lt;life_fac,1,IF(6=life_fac,0.5,0))+Sens!D1315*IF(5&lt;life_fac,1,IF(5=life_fac,0.5,0))+Sens!E1315*IF(4&lt;life_fac,1,IF(4=life_fac,0.5,0))+Sens!F1315*IF(3&lt;life_fac,1,IF(3=life_fac,0.5,0))+Sens!G1315*IF(2&lt;life_fac,1,IF(2=life_fac,0.5,0))+Sens!H1315*IF(1&lt;life_fac,1,IF(1=life_fac,0.5,0))+Sens!I1315*0.5)/life_fac</f>
        <v>8.62005984</v>
      </c>
      <c r="J1320" s="6" t="n">
        <f aca="false">(Sens!C1315*IF(7&lt;life_fac,1,IF(7=life_fac,0.5,0))+Sens!D1315*IF(6&lt;life_fac,1,IF(6=life_fac,0.5,0))+Sens!E1315*IF(5&lt;life_fac,1,IF(5=life_fac,0.5,0))+Sens!F1315*IF(4&lt;life_fac,1,IF(4=life_fac,0.5,0))+Sens!G1315*IF(3&lt;life_fac,1,IF(3=life_fac,0.5,0))+Sens!H1315*IF(2&lt;life_fac,1,IF(2=life_fac,0.5,0))+Sens!I1315*IF(1&lt;life_fac,1,IF(1=life_fac,0.5,0))+Sens!J1315*0.5)/life_fac</f>
        <v>10.54123728</v>
      </c>
      <c r="K1320" s="6" t="n">
        <f aca="false">(Sens!C1315*IF(8&lt;life_fac,1,IF(8=life_fac,0.5,0))+Sens!D1315*IF(7&lt;life_fac,1,IF(7=life_fac,0.5,0))+Sens!E1315*IF(6&lt;life_fac,1,IF(6=life_fac,0.5,0))+Sens!F1315*IF(5&lt;life_fac,1,IF(5=life_fac,0.5,0))+Sens!G1315*IF(4&lt;life_fac,1,IF(4=life_fac,0.5,0))+Sens!H1315*IF(3&lt;life_fac,1,IF(3=life_fac,0.5,0))+Sens!I1315*IF(2&lt;life_fac,1,IF(2=life_fac,0.5,0))+Sens!J1315*IF(1&lt;life_fac,1,IF(1=life_fac,0.5,0))+Sens!K1315*0.5)/life_fac</f>
        <v>12.46241472</v>
      </c>
    </row>
    <row r="1321" customFormat="false" ht="17.15" hidden="false" customHeight="false" outlineLevel="0" collapsed="false">
      <c r="A1321" s="0" t="s">
        <v>761</v>
      </c>
      <c r="B1321" s="0" t="s">
        <v>95</v>
      </c>
      <c r="E1321" s="6" t="n">
        <f aca="false">Sens!E1319+Sens!E1320</f>
        <v>19.5664871725</v>
      </c>
      <c r="F1321" s="6" t="n">
        <f aca="false">Sens!F1319+Sens!F1320</f>
        <v>40.8598648571467</v>
      </c>
      <c r="G1321" s="6" t="n">
        <f aca="false">Sens!G1319+Sens!G1320</f>
        <v>70.9505245326133</v>
      </c>
      <c r="H1321" s="6" t="n">
        <f aca="false">Sens!H1319+Sens!H1320</f>
        <v>103.633223811973</v>
      </c>
      <c r="I1321" s="6" t="n">
        <f aca="false">Sens!I1319+Sens!I1320</f>
        <v>137.539062709553</v>
      </c>
      <c r="J1321" s="6" t="n">
        <f aca="false">Sens!J1319+Sens!J1320</f>
        <v>172.611578170133</v>
      </c>
      <c r="K1321" s="6" t="n">
        <f aca="false">Sens!K1319+Sens!K1320</f>
        <v>209.229151781713</v>
      </c>
    </row>
    <row r="1322" customFormat="false" ht="17.15" hidden="false" customHeight="false" outlineLevel="0" collapsed="false">
      <c r="A1322" s="0" t="s">
        <v>762</v>
      </c>
      <c r="B1322" s="0" t="s">
        <v>95</v>
      </c>
      <c r="E1322" s="6" t="n">
        <f aca="false">Sens!E1310-Sens!E1309*Sens!E1321</f>
        <v>8.92707889977379</v>
      </c>
      <c r="F1322" s="6" t="n">
        <f aca="false">Sens!F1310-Sens!F1309*Sens!F1321</f>
        <v>19.0295083206205</v>
      </c>
      <c r="G1322" s="6" t="n">
        <f aca="false">Sens!G1310-Sens!G1309*Sens!G1321</f>
        <v>31.0774922914994</v>
      </c>
      <c r="H1322" s="6" t="n">
        <f aca="false">Sens!H1310-Sens!H1309*Sens!H1321</f>
        <v>43.4030330778723</v>
      </c>
      <c r="I1322" s="6" t="n">
        <f aca="false">Sens!I1310-Sens!I1309*Sens!I1321</f>
        <v>55.2623091077161</v>
      </c>
      <c r="J1322" s="6" t="n">
        <f aca="false">Sens!J1310-Sens!J1309*Sens!J1321</f>
        <v>66.6142050128428</v>
      </c>
      <c r="K1322" s="6" t="n">
        <f aca="false">Sens!K1310-Sens!K1309*Sens!K1321</f>
        <v>77.2382543729916</v>
      </c>
    </row>
    <row r="1323" customFormat="false" ht="17.15" hidden="false" customHeight="false" outlineLevel="0" collapsed="false">
      <c r="A1323" s="3" t="s">
        <v>1150</v>
      </c>
    </row>
    <row r="1324" customFormat="false" ht="15" hidden="false" customHeight="false" outlineLevel="0" collapsed="false">
      <c r="A1324" s="4" t="s">
        <v>43</v>
      </c>
      <c r="B1324" s="4" t="s">
        <v>63</v>
      </c>
      <c r="C1324" s="19" t="s">
        <v>710</v>
      </c>
      <c r="D1324" s="19" t="s">
        <v>711</v>
      </c>
      <c r="E1324" s="19" t="s">
        <v>712</v>
      </c>
      <c r="F1324" s="19" t="s">
        <v>713</v>
      </c>
      <c r="G1324" s="19" t="s">
        <v>714</v>
      </c>
      <c r="H1324" s="19" t="s">
        <v>715</v>
      </c>
      <c r="I1324" s="19" t="s">
        <v>716</v>
      </c>
      <c r="J1324" s="19" t="s">
        <v>717</v>
      </c>
      <c r="K1324" s="19" t="s">
        <v>718</v>
      </c>
      <c r="L1324" s="4" t="s">
        <v>47</v>
      </c>
    </row>
    <row r="1325" customFormat="false" ht="17.15" hidden="false" customHeight="false" outlineLevel="0" collapsed="false">
      <c r="A1325" s="0" t="s">
        <v>780</v>
      </c>
      <c r="B1325" s="0" t="s">
        <v>95</v>
      </c>
      <c r="D1325" s="6" t="n">
        <f aca="false">Sens!D1304</f>
        <v>12.9359794422418</v>
      </c>
      <c r="E1325" s="6" t="n">
        <f aca="false">Sens!E1304</f>
        <v>27.8095064661409</v>
      </c>
      <c r="F1325" s="6" t="n">
        <f aca="false">Sens!F1304</f>
        <v>55.0640065749585</v>
      </c>
      <c r="G1325" s="6" t="n">
        <f aca="false">Sens!G1304</f>
        <v>89.4505413190538</v>
      </c>
      <c r="H1325" s="6" t="n">
        <f aca="false">Sens!H1304</f>
        <v>124.835630736874</v>
      </c>
      <c r="I1325" s="6" t="n">
        <f aca="false">Sens!I1304</f>
        <v>160.384516075608</v>
      </c>
      <c r="J1325" s="6" t="n">
        <f aca="false">Sens!J1304</f>
        <v>196.019025664981</v>
      </c>
      <c r="K1325" s="6" t="n">
        <f aca="false">Sens!K1304</f>
        <v>231.703903883012</v>
      </c>
    </row>
    <row r="1326" customFormat="false" ht="17.15" hidden="false" customHeight="false" outlineLevel="0" collapsed="false">
      <c r="A1326" s="0" t="s">
        <v>781</v>
      </c>
      <c r="B1326" s="0" t="s">
        <v>95</v>
      </c>
      <c r="D1326" s="6" t="n">
        <f aca="false">Q!L6-Sens!D1325</f>
        <v>59.6740205577583</v>
      </c>
      <c r="E1326" s="6" t="n">
        <f aca="false">Q!M6-Sens!E1325</f>
        <v>74.1284935338591</v>
      </c>
      <c r="F1326" s="6" t="n">
        <f aca="false">Sens!E1326*(1+Sens!F1327)</f>
        <v>90.0799497373663</v>
      </c>
      <c r="G1326" s="6" t="n">
        <f aca="false">Sens!F1326*(1+Sens!G1327)</f>
        <v>107.02842520331</v>
      </c>
      <c r="H1326" s="6" t="n">
        <f aca="false">Sens!G1326*(1+Sens!H1327)</f>
        <v>124.271982585636</v>
      </c>
      <c r="I1326" s="6" t="n">
        <f aca="false">Sens!H1326*(1+Sens!I1327)</f>
        <v>140.933702381855</v>
      </c>
      <c r="J1326" s="6" t="n">
        <f aca="false">Sens!I1326*(1+Sens!J1327)</f>
        <v>156.018867314332</v>
      </c>
      <c r="K1326" s="6" t="n">
        <f aca="false">Sens!J1326*(1+Sens!K1327)</f>
        <v>168.500376699478</v>
      </c>
    </row>
    <row r="1327" customFormat="false" ht="15" hidden="false" customHeight="false" outlineLevel="0" collapsed="false">
      <c r="A1327" s="1" t="s">
        <v>782</v>
      </c>
      <c r="B1327" s="0" t="s">
        <v>126</v>
      </c>
      <c r="E1327" s="7" t="n">
        <f aca="false">Sens!E1326/Sens!D1326-1</f>
        <v>0.242223883039864</v>
      </c>
      <c r="F1327" s="7" t="n">
        <f aca="false">Sens!$E$1327+(glt_azo-Sens!$E$1327)*MIN(1,1/n_conv)</f>
        <v>0.215186569199887</v>
      </c>
      <c r="G1327" s="7" t="n">
        <f aca="false">Sens!$E$1327+(glt_azo-Sens!$E$1327)*MIN(1,2/n_conv)</f>
        <v>0.18814925535991</v>
      </c>
      <c r="H1327" s="7" t="n">
        <f aca="false">Sens!$E$1327+(glt_azo-Sens!$E$1327)*MIN(1,3/n_conv)</f>
        <v>0.161111941519932</v>
      </c>
      <c r="I1327" s="7" t="n">
        <f aca="false">Sens!$E$1327+(glt_azo-Sens!$E$1327)*MIN(1,4/n_conv)</f>
        <v>0.134074627679955</v>
      </c>
      <c r="J1327" s="7" t="n">
        <f aca="false">Sens!$E$1327+(glt_azo-Sens!$E$1327)*MIN(1,5/n_conv)</f>
        <v>0.107037313839977</v>
      </c>
      <c r="K1327" s="7" t="n">
        <f aca="false">Sens!$E$1327+(glt_azo-Sens!$E$1327)*MIN(1,6/n_conv)</f>
        <v>0.08</v>
      </c>
    </row>
    <row r="1328" customFormat="false" ht="15" hidden="false" customHeight="false" outlineLevel="0" collapsed="false">
      <c r="A1328" s="0" t="s">
        <v>783</v>
      </c>
      <c r="B1328" s="0" t="s">
        <v>95</v>
      </c>
      <c r="D1328" s="6" t="n">
        <f aca="false">Sens!D1325+Sens!D1326</f>
        <v>72.61</v>
      </c>
      <c r="E1328" s="6" t="n">
        <f aca="false">Sens!E1325+Sens!E1326</f>
        <v>101.938</v>
      </c>
      <c r="F1328" s="6" t="n">
        <f aca="false">Sens!F1325+Sens!F1326</f>
        <v>145.143956312325</v>
      </c>
      <c r="G1328" s="6" t="n">
        <f aca="false">Sens!G1325+Sens!G1326</f>
        <v>196.478966522364</v>
      </c>
      <c r="H1328" s="6" t="n">
        <f aca="false">Sens!H1325+Sens!H1326</f>
        <v>249.10761332251</v>
      </c>
      <c r="I1328" s="6" t="n">
        <f aca="false">Sens!I1325+Sens!I1326</f>
        <v>301.318218457463</v>
      </c>
      <c r="J1328" s="6" t="n">
        <f aca="false">Sens!J1325+Sens!J1326</f>
        <v>352.037892979313</v>
      </c>
      <c r="K1328" s="6" t="n">
        <f aca="false">Sens!K1325+Sens!K1326</f>
        <v>400.20428058249</v>
      </c>
    </row>
    <row r="1329" customFormat="false" ht="17.15" hidden="false" customHeight="false" outlineLevel="0" collapsed="false">
      <c r="A1329" s="0" t="s">
        <v>784</v>
      </c>
      <c r="B1329" s="1" t="s">
        <v>451</v>
      </c>
      <c r="C1329" s="27" t="n">
        <f aca="false">cop_s24</f>
        <v>1</v>
      </c>
      <c r="D1329" s="27" t="n">
        <f aca="false">cop_s25</f>
        <v>5</v>
      </c>
      <c r="E1329" s="27" t="n">
        <f aca="false">cop_s26</f>
        <v>30</v>
      </c>
      <c r="F1329" s="27" t="n">
        <f aca="false">Sens!E1329+IF(2027&lt;=2029,cop_add_B,cop_add_B*cop_tail)</f>
        <v>50</v>
      </c>
      <c r="G1329" s="27" t="n">
        <f aca="false">Sens!F1329+IF(2028&lt;=2029,cop_add_B,cop_add_B*cop_tail)</f>
        <v>70</v>
      </c>
      <c r="H1329" s="27" t="n">
        <f aca="false">Sens!G1329+IF(2029&lt;=2029,cop_add_B,cop_add_B*cop_tail)</f>
        <v>90</v>
      </c>
      <c r="I1329" s="27" t="n">
        <f aca="false">Sens!H1329+IF(2030&lt;=2029,cop_add_B,cop_add_B*cop_tail)</f>
        <v>100</v>
      </c>
      <c r="J1329" s="27" t="n">
        <f aca="false">Sens!I1329+IF(2031&lt;=2029,cop_add_B,cop_add_B*cop_tail)</f>
        <v>110</v>
      </c>
      <c r="K1329" s="27" t="n">
        <f aca="false">Sens!J1329+IF(2032&lt;=2029,cop_add_B,cop_add_B*cop_tail)</f>
        <v>120</v>
      </c>
    </row>
    <row r="1330" customFormat="false" ht="17.15" hidden="false" customHeight="false" outlineLevel="0" collapsed="false">
      <c r="A1330" s="0" t="s">
        <v>785</v>
      </c>
      <c r="B1330" s="0" t="s">
        <v>95</v>
      </c>
      <c r="D1330" s="6" t="n">
        <f aca="false">(Sens!C1329+Sens!D1329)/2*cop_px*12/1000</f>
        <v>0.9</v>
      </c>
      <c r="E1330" s="6" t="n">
        <f aca="false">(Sens!D1329+Sens!E1329)/2*cop_px*12/1000</f>
        <v>5.25</v>
      </c>
      <c r="F1330" s="6" t="n">
        <f aca="false">(Sens!E1329+Sens!F1329)/2*cop_px*12/1000</f>
        <v>12</v>
      </c>
      <c r="G1330" s="6" t="n">
        <f aca="false">(Sens!F1329+Sens!G1329)/2*cop_px*12/1000</f>
        <v>18</v>
      </c>
      <c r="H1330" s="6" t="n">
        <f aca="false">(Sens!G1329+Sens!H1329)/2*cop_px*12/1000</f>
        <v>24</v>
      </c>
      <c r="I1330" s="6" t="n">
        <f aca="false">(Sens!H1329+Sens!I1329)/2*cop_px*12/1000</f>
        <v>28.5</v>
      </c>
      <c r="J1330" s="6" t="n">
        <f aca="false">(Sens!I1329+Sens!J1329)/2*cop_px*12/1000</f>
        <v>31.5</v>
      </c>
      <c r="K1330" s="6" t="n">
        <f aca="false">(Sens!J1329+Sens!K1329)/2*cop_px*12/1000</f>
        <v>34.5</v>
      </c>
      <c r="L1330" s="1" t="s">
        <v>786</v>
      </c>
    </row>
    <row r="1331" customFormat="false" ht="17.15" hidden="false" customHeight="false" outlineLevel="0" collapsed="false">
      <c r="A1331" s="0" t="s">
        <v>787</v>
      </c>
      <c r="B1331" s="0" t="s">
        <v>95</v>
      </c>
      <c r="D1331" s="6" t="n">
        <f aca="false">Q!L7-Sens!D1330</f>
        <v>83.705</v>
      </c>
      <c r="E1331" s="6" t="n">
        <f aca="false">Q!M7-Sens!E1330</f>
        <v>95.049</v>
      </c>
      <c r="F1331" s="6" t="n">
        <f aca="false">Sens!E1331*(1+Sens!F1332)</f>
        <v>106.89238776686</v>
      </c>
      <c r="G1331" s="6" t="n">
        <f aca="false">Sens!F1331*(1+Sens!G1332)</f>
        <v>119.044168448684</v>
      </c>
      <c r="H1331" s="6" t="n">
        <f aca="false">Sens!G1331*(1+Sens!H1332)</f>
        <v>131.277359388781</v>
      </c>
      <c r="I1331" s="6" t="n">
        <f aca="false">Sens!H1331*(1+Sens!I1332)</f>
        <v>143.334028071957</v>
      </c>
      <c r="J1331" s="6" t="n">
        <f aca="false">Sens!I1331*(1+Sens!J1332)</f>
        <v>154.932702785465</v>
      </c>
      <c r="K1331" s="6" t="n">
        <f aca="false">Sens!J1331*(1+Sens!K1332)</f>
        <v>165.777991980448</v>
      </c>
    </row>
    <row r="1332" customFormat="false" ht="15" hidden="false" customHeight="false" outlineLevel="0" collapsed="false">
      <c r="A1332" s="1" t="s">
        <v>782</v>
      </c>
      <c r="B1332" s="0" t="s">
        <v>126</v>
      </c>
      <c r="E1332" s="7" t="n">
        <f aca="false">Sens!E1331/Sens!D1331-1</f>
        <v>0.135523564900544</v>
      </c>
      <c r="F1332" s="7" t="n">
        <f aca="false">Sens!$E$1332+(glt_m365b-Sens!$E$1332)*MIN(1,1/n_conv)</f>
        <v>0.124602970750453</v>
      </c>
      <c r="G1332" s="7" t="n">
        <f aca="false">Sens!$E$1332+(glt_m365b-Sens!$E$1332)*MIN(1,2/n_conv)</f>
        <v>0.113682376600363</v>
      </c>
      <c r="H1332" s="7" t="n">
        <f aca="false">Sens!$E$1332+(glt_m365b-Sens!$E$1332)*MIN(1,3/n_conv)</f>
        <v>0.102761782450272</v>
      </c>
      <c r="I1332" s="7" t="n">
        <f aca="false">Sens!$E$1332+(glt_m365b-Sens!$E$1332)*MIN(1,4/n_conv)</f>
        <v>0.0918411883001813</v>
      </c>
      <c r="J1332" s="7" t="n">
        <f aca="false">Sens!$E$1332+(glt_m365b-Sens!$E$1332)*MIN(1,5/n_conv)</f>
        <v>0.0809205941500906</v>
      </c>
      <c r="K1332" s="7" t="n">
        <f aca="false">Sens!$E$1332+(glt_m365b-Sens!$E$1332)*MIN(1,6/n_conv)</f>
        <v>0.07</v>
      </c>
    </row>
    <row r="1333" customFormat="false" ht="15" hidden="false" customHeight="false" outlineLevel="0" collapsed="false">
      <c r="A1333" s="0" t="s">
        <v>788</v>
      </c>
      <c r="B1333" s="0" t="s">
        <v>95</v>
      </c>
      <c r="D1333" s="6" t="n">
        <f aca="false">Sens!D1331+Sens!D1330</f>
        <v>84.605</v>
      </c>
      <c r="E1333" s="6" t="n">
        <f aca="false">Sens!E1331+Sens!E1330</f>
        <v>100.299</v>
      </c>
      <c r="F1333" s="6" t="n">
        <f aca="false">Sens!F1331+Sens!F1330</f>
        <v>118.89238776686</v>
      </c>
      <c r="G1333" s="6" t="n">
        <f aca="false">Sens!G1331+Sens!G1330</f>
        <v>137.044168448684</v>
      </c>
      <c r="H1333" s="6" t="n">
        <f aca="false">Sens!H1331+Sens!H1330</f>
        <v>155.277359388781</v>
      </c>
      <c r="I1333" s="6" t="n">
        <f aca="false">Sens!I1331+Sens!I1330</f>
        <v>171.834028071957</v>
      </c>
      <c r="J1333" s="6" t="n">
        <f aca="false">Sens!J1331+Sens!J1330</f>
        <v>186.432702785465</v>
      </c>
      <c r="K1333" s="6" t="n">
        <f aca="false">Sens!K1331+Sens!K1330</f>
        <v>200.277991980448</v>
      </c>
    </row>
    <row r="1334" customFormat="false" ht="15" hidden="false" customHeight="false" outlineLevel="0" collapsed="false">
      <c r="A1334" s="0" t="s">
        <v>789</v>
      </c>
      <c r="B1334" s="0" t="s">
        <v>95</v>
      </c>
      <c r="D1334" s="6" t="n">
        <f aca="false">Q!L8</f>
        <v>35.391</v>
      </c>
      <c r="E1334" s="6" t="n">
        <f aca="false">Q!M8</f>
        <v>37.285</v>
      </c>
      <c r="F1334" s="6" t="n">
        <f aca="false">Sens!E1334*(1+Sens!F1335)</f>
        <v>39.0720834331704</v>
      </c>
      <c r="G1334" s="6" t="n">
        <f aca="false">Sens!F1334*(1+Sens!G1335)</f>
        <v>40.726562953769</v>
      </c>
      <c r="H1334" s="6" t="n">
        <f aca="false">Sens!G1334*(1+Sens!H1335)</f>
        <v>42.2235987259198</v>
      </c>
      <c r="I1334" s="6" t="n">
        <f aca="false">Sens!H1334*(1+Sens!I1335)</f>
        <v>43.5397988077414</v>
      </c>
      <c r="J1334" s="6" t="n">
        <f aca="false">Sens!I1334*(1+Sens!J1335)</f>
        <v>44.653811225693</v>
      </c>
      <c r="K1334" s="6" t="n">
        <f aca="false">Sens!J1334*(1+Sens!K1335)</f>
        <v>45.5468874502068</v>
      </c>
    </row>
    <row r="1335" customFormat="false" ht="15" hidden="false" customHeight="false" outlineLevel="0" collapsed="false">
      <c r="A1335" s="1" t="s">
        <v>782</v>
      </c>
      <c r="B1335" s="0" t="s">
        <v>126</v>
      </c>
      <c r="E1335" s="7" t="n">
        <f aca="false">Sens!E1334/Sens!D1334-1</f>
        <v>0.0535164307309768</v>
      </c>
      <c r="F1335" s="7" t="n">
        <f aca="false">Sens!$E$1335+(glt_lic-Sens!$E$1335)*MIN(1,1/n_conv)</f>
        <v>0.0479303589424807</v>
      </c>
      <c r="G1335" s="7" t="n">
        <f aca="false">Sens!$E$1335+(glt_lic-Sens!$E$1335)*MIN(1,2/n_conv)</f>
        <v>0.0423442871539845</v>
      </c>
      <c r="H1335" s="7" t="n">
        <f aca="false">Sens!$E$1335+(glt_lic-Sens!$E$1335)*MIN(1,3/n_conv)</f>
        <v>0.0367582153654884</v>
      </c>
      <c r="I1335" s="7" t="n">
        <f aca="false">Sens!$E$1335+(glt_lic-Sens!$E$1335)*MIN(1,4/n_conv)</f>
        <v>0.0311721435769923</v>
      </c>
      <c r="J1335" s="7" t="n">
        <f aca="false">Sens!$E$1335+(glt_lic-Sens!$E$1335)*MIN(1,5/n_conv)</f>
        <v>0.0255860717884961</v>
      </c>
      <c r="K1335" s="7" t="n">
        <f aca="false">Sens!$E$1335+(glt_lic-Sens!$E$1335)*MIN(1,6/n_conv)</f>
        <v>0.02</v>
      </c>
    </row>
    <row r="1336" customFormat="false" ht="15" hidden="false" customHeight="false" outlineLevel="0" collapsed="false">
      <c r="A1336" s="0" t="s">
        <v>790</v>
      </c>
      <c r="B1336" s="0" t="s">
        <v>95</v>
      </c>
      <c r="D1336" s="6" t="n">
        <f aca="false">Q!L9</f>
        <v>18.417</v>
      </c>
      <c r="E1336" s="6" t="n">
        <f aca="false">Q!M9</f>
        <v>20.345</v>
      </c>
      <c r="F1336" s="6" t="n">
        <f aca="false">Sens!E1336*(1+Sens!F1337)</f>
        <v>22.3572203267814</v>
      </c>
      <c r="G1336" s="6" t="n">
        <f aca="false">Sens!F1336*(1+Sens!G1337)</f>
        <v>24.4392124437232</v>
      </c>
      <c r="H1336" s="6" t="n">
        <f aca="false">Sens!G1336*(1+Sens!H1337)</f>
        <v>26.5738052080665</v>
      </c>
      <c r="I1336" s="6" t="n">
        <f aca="false">Sens!H1336*(1+Sens!I1337)</f>
        <v>28.7412169166967</v>
      </c>
      <c r="J1336" s="6" t="n">
        <f aca="false">Sens!I1336*(1+Sens!J1337)</f>
        <v>30.9192545395413</v>
      </c>
      <c r="K1336" s="6" t="n">
        <f aca="false">Sens!J1336*(1+Sens!K1337)</f>
        <v>33.0836023573092</v>
      </c>
    </row>
    <row r="1337" customFormat="false" ht="15" hidden="false" customHeight="false" outlineLevel="0" collapsed="false">
      <c r="A1337" s="1" t="s">
        <v>782</v>
      </c>
      <c r="B1337" s="0" t="s">
        <v>126</v>
      </c>
      <c r="E1337" s="7" t="n">
        <f aca="false">Sens!E1336/Sens!D1336-1</f>
        <v>0.104685888038225</v>
      </c>
      <c r="F1337" s="7" t="n">
        <f aca="false">Sens!$E$1337+(glt_ind-Sens!$E$1337)*MIN(1,1/n_conv)</f>
        <v>0.0989049066985211</v>
      </c>
      <c r="G1337" s="7" t="n">
        <f aca="false">Sens!$E$1337+(glt_ind-Sens!$E$1337)*MIN(1,2/n_conv)</f>
        <v>0.0931239253588169</v>
      </c>
      <c r="H1337" s="7" t="n">
        <f aca="false">Sens!$E$1337+(glt_ind-Sens!$E$1337)*MIN(1,3/n_conv)</f>
        <v>0.0873429440191127</v>
      </c>
      <c r="I1337" s="7" t="n">
        <f aca="false">Sens!$E$1337+(glt_ind-Sens!$E$1337)*MIN(1,4/n_conv)</f>
        <v>0.0815619626794085</v>
      </c>
      <c r="J1337" s="7" t="n">
        <f aca="false">Sens!$E$1337+(glt_ind-Sens!$E$1337)*MIN(1,5/n_conv)</f>
        <v>0.0757809813397042</v>
      </c>
      <c r="K1337" s="7" t="n">
        <f aca="false">Sens!$E$1337+(glt_ind-Sens!$E$1337)*MIN(1,6/n_conv)</f>
        <v>0.07</v>
      </c>
    </row>
    <row r="1338" customFormat="false" ht="15" hidden="false" customHeight="false" outlineLevel="0" collapsed="false">
      <c r="A1338" s="0" t="s">
        <v>791</v>
      </c>
      <c r="B1338" s="0" t="s">
        <v>95</v>
      </c>
      <c r="D1338" s="6" t="n">
        <f aca="false">Q!L10</f>
        <v>7.76</v>
      </c>
      <c r="E1338" s="6" t="n">
        <f aca="false">Q!M10</f>
        <v>8.26</v>
      </c>
      <c r="F1338" s="6" t="n">
        <f aca="false">Sens!E1338*(1+Sens!F1339)</f>
        <v>8.79988041237113</v>
      </c>
      <c r="G1338" s="6" t="n">
        <f aca="false">Sens!F1338*(1+Sens!G1339)</f>
        <v>9.38321269125306</v>
      </c>
      <c r="H1338" s="6" t="n">
        <f aca="false">Sens!G1338*(1+Sens!H1339)</f>
        <v>10.0139193587476</v>
      </c>
      <c r="I1338" s="6" t="n">
        <f aca="false">Sens!H1338*(1+Sens!I1339)</f>
        <v>10.6963111830911</v>
      </c>
      <c r="J1338" s="6" t="n">
        <f aca="false">Sens!I1338*(1+Sens!J1339)</f>
        <v>11.4351285534696</v>
      </c>
      <c r="K1338" s="6" t="n">
        <f aca="false">Sens!J1338*(1+Sens!K1339)</f>
        <v>12.2355875522124</v>
      </c>
    </row>
    <row r="1339" customFormat="false" ht="15" hidden="false" customHeight="false" outlineLevel="0" collapsed="false">
      <c r="A1339" s="1" t="s">
        <v>782</v>
      </c>
      <c r="B1339" s="0" t="s">
        <v>126</v>
      </c>
      <c r="E1339" s="7" t="n">
        <f aca="false">Sens!E1338/Sens!D1338-1</f>
        <v>0.0644329896907216</v>
      </c>
      <c r="F1339" s="7" t="n">
        <f aca="false">Sens!$E$1339+(glt_fro-Sens!$E$1339)*MIN(1,1/n_conv)</f>
        <v>0.065360824742268</v>
      </c>
      <c r="G1339" s="7" t="n">
        <f aca="false">Sens!$E$1339+(glt_fro-Sens!$E$1339)*MIN(1,2/n_conv)</f>
        <v>0.0662886597938144</v>
      </c>
      <c r="H1339" s="7" t="n">
        <f aca="false">Sens!$E$1339+(glt_fro-Sens!$E$1339)*MIN(1,3/n_conv)</f>
        <v>0.0672164948453608</v>
      </c>
      <c r="I1339" s="7" t="n">
        <f aca="false">Sens!$E$1339+(glt_fro-Sens!$E$1339)*MIN(1,4/n_conv)</f>
        <v>0.0681443298969072</v>
      </c>
      <c r="J1339" s="7" t="n">
        <f aca="false">Sens!$E$1339+(glt_fro-Sens!$E$1339)*MIN(1,5/n_conv)</f>
        <v>0.0690721649484536</v>
      </c>
      <c r="K1339" s="7" t="n">
        <f aca="false">Sens!$E$1339+(glt_fro-Sens!$E$1339)*MIN(1,6/n_conv)</f>
        <v>0.07</v>
      </c>
    </row>
    <row r="1340" customFormat="false" ht="15" hidden="false" customHeight="false" outlineLevel="0" collapsed="false">
      <c r="A1340" s="0" t="s">
        <v>626</v>
      </c>
      <c r="B1340" s="0" t="s">
        <v>95</v>
      </c>
      <c r="D1340" s="6" t="n">
        <f aca="false">Sens!D1328+Sens!D1333+Sens!D1334+Sens!D1336+Sens!D1338</f>
        <v>218.783</v>
      </c>
      <c r="E1340" s="6" t="n">
        <f aca="false">Sens!E1328+Sens!E1333+Sens!E1334+Sens!E1336+Sens!E1338</f>
        <v>268.127</v>
      </c>
      <c r="F1340" s="6" t="n">
        <f aca="false">Sens!F1328+Sens!F1333+Sens!F1334+Sens!F1336+Sens!F1338</f>
        <v>334.265528251508</v>
      </c>
      <c r="G1340" s="6" t="n">
        <f aca="false">Sens!G1328+Sens!G1333+Sens!G1334+Sens!G1336+Sens!G1338</f>
        <v>408.072123059793</v>
      </c>
      <c r="H1340" s="6" t="n">
        <f aca="false">Sens!H1328+Sens!H1333+Sens!H1334+Sens!H1336+Sens!H1338</f>
        <v>483.196296004025</v>
      </c>
      <c r="I1340" s="6" t="n">
        <f aca="false">Sens!I1328+Sens!I1333+Sens!I1334+Sens!I1336+Sens!I1338</f>
        <v>556.129573436949</v>
      </c>
      <c r="J1340" s="6" t="n">
        <f aca="false">Sens!J1328+Sens!J1333+Sens!J1334+Sens!J1336+Sens!J1338</f>
        <v>625.478790083482</v>
      </c>
      <c r="K1340" s="6" t="n">
        <f aca="false">Sens!K1328+Sens!K1333+Sens!K1334+Sens!K1336+Sens!K1338</f>
        <v>691.348349922667</v>
      </c>
    </row>
    <row r="1341" customFormat="false" ht="15" hidden="false" customHeight="false" outlineLevel="0" collapsed="false">
      <c r="A1341" s="0" t="s">
        <v>792</v>
      </c>
      <c r="B1341" s="0" t="s">
        <v>95</v>
      </c>
      <c r="D1341" s="6" t="n">
        <f aca="false">Q!L13</f>
        <v>22.171</v>
      </c>
      <c r="E1341" s="6" t="n">
        <f aca="false">Q!M13</f>
        <v>24.835</v>
      </c>
      <c r="F1341" s="6" t="n">
        <f aca="false">Sens!E1341*(1+Sens!F1342)</f>
        <v>27.6114901218559</v>
      </c>
      <c r="G1341" s="6" t="n">
        <f aca="false">Sens!F1341*(1+Sens!G1342)</f>
        <v>30.4675667338515</v>
      </c>
      <c r="H1341" s="6" t="n">
        <f aca="false">Sens!G1341*(1+Sens!H1342)</f>
        <v>33.3643766955789</v>
      </c>
      <c r="I1341" s="6" t="n">
        <f aca="false">Sens!H1341*(1+Sens!I1342)</f>
        <v>36.2577016533691</v>
      </c>
      <c r="J1341" s="6" t="n">
        <f aca="false">Sens!I1341*(1+Sens!J1342)</f>
        <v>39.0988367952171</v>
      </c>
      <c r="K1341" s="6" t="n">
        <f aca="false">Sens!J1341*(1+Sens!K1342)</f>
        <v>41.8357553708823</v>
      </c>
    </row>
    <row r="1342" customFormat="false" ht="15" hidden="false" customHeight="false" outlineLevel="0" collapsed="false">
      <c r="A1342" s="1" t="s">
        <v>782</v>
      </c>
      <c r="B1342" s="0" t="s">
        <v>126</v>
      </c>
      <c r="E1342" s="7" t="n">
        <f aca="false">Sens!E1341/Sens!D1341-1</f>
        <v>0.120156961796942</v>
      </c>
      <c r="F1342" s="7" t="n">
        <f aca="false">Sens!$E$1342+(glt_srch-Sens!$E$1342)*MIN(1,1/n_conv)</f>
        <v>0.111797468164118</v>
      </c>
      <c r="G1342" s="7" t="n">
        <f aca="false">Sens!$E$1342+(glt_srch-Sens!$E$1342)*MIN(1,2/n_conv)</f>
        <v>0.103437974531295</v>
      </c>
      <c r="H1342" s="7" t="n">
        <f aca="false">Sens!$E$1342+(glt_srch-Sens!$E$1342)*MIN(1,3/n_conv)</f>
        <v>0.095078480898471</v>
      </c>
      <c r="I1342" s="7" t="n">
        <f aca="false">Sens!$E$1342+(glt_srch-Sens!$E$1342)*MIN(1,4/n_conv)</f>
        <v>0.0867189872656474</v>
      </c>
      <c r="J1342" s="7" t="n">
        <f aca="false">Sens!$E$1342+(glt_srch-Sens!$E$1342)*MIN(1,5/n_conv)</f>
        <v>0.0783594936328237</v>
      </c>
      <c r="K1342" s="7" t="n">
        <f aca="false">Sens!$E$1342+(glt_srch-Sens!$E$1342)*MIN(1,6/n_conv)</f>
        <v>0.07</v>
      </c>
    </row>
    <row r="1343" customFormat="false" ht="15" hidden="false" customHeight="false" outlineLevel="0" collapsed="false">
      <c r="A1343" s="0" t="s">
        <v>793</v>
      </c>
      <c r="B1343" s="0" t="s">
        <v>95</v>
      </c>
      <c r="D1343" s="6" t="n">
        <f aca="false">Q!L14</f>
        <v>23.455</v>
      </c>
      <c r="E1343" s="6" t="n">
        <f aca="false">Q!M14</f>
        <v>21.79</v>
      </c>
      <c r="F1343" s="6" t="n">
        <f aca="false">Sens!E1343*(1+Sens!F1344)</f>
        <v>20.5736277908051</v>
      </c>
      <c r="G1343" s="6" t="n">
        <f aca="false">Sens!F1343*(1+Sens!G1344)</f>
        <v>19.7371452817919</v>
      </c>
      <c r="H1343" s="6" t="n">
        <f aca="false">Sens!G1343*(1+Sens!H1344)</f>
        <v>19.2339764043138</v>
      </c>
      <c r="I1343" s="6" t="n">
        <f aca="false">Sens!H1343*(1+Sens!I1344)</f>
        <v>19.0353086852681</v>
      </c>
      <c r="J1343" s="6" t="n">
        <f aca="false">Sens!I1343*(1+Sens!J1344)</f>
        <v>19.1273539319129</v>
      </c>
      <c r="K1343" s="6" t="n">
        <f aca="false">Sens!J1343*(1+Sens!K1344)</f>
        <v>19.5099010105511</v>
      </c>
    </row>
    <row r="1344" customFormat="false" ht="15" hidden="false" customHeight="false" outlineLevel="0" collapsed="false">
      <c r="A1344" s="1" t="s">
        <v>782</v>
      </c>
      <c r="B1344" s="0" t="s">
        <v>126</v>
      </c>
      <c r="E1344" s="7" t="n">
        <f aca="false">Sens!E1343/Sens!D1343-1</f>
        <v>-0.0709869963760392</v>
      </c>
      <c r="F1344" s="7" t="n">
        <f aca="false">Sens!$E$1344+(glt_xbox-Sens!$E$1344)*MIN(1,1/n_conv)</f>
        <v>-0.0558224969800327</v>
      </c>
      <c r="G1344" s="7" t="n">
        <f aca="false">Sens!$E$1344+(glt_xbox-Sens!$E$1344)*MIN(1,2/n_conv)</f>
        <v>-0.0406579975840262</v>
      </c>
      <c r="H1344" s="7" t="n">
        <f aca="false">Sens!$E$1344+(glt_xbox-Sens!$E$1344)*MIN(1,3/n_conv)</f>
        <v>-0.0254934981880196</v>
      </c>
      <c r="I1344" s="7" t="n">
        <f aca="false">Sens!$E$1344+(glt_xbox-Sens!$E$1344)*MIN(1,4/n_conv)</f>
        <v>-0.0103289987920131</v>
      </c>
      <c r="J1344" s="7" t="n">
        <f aca="false">Sens!$E$1344+(glt_xbox-Sens!$E$1344)*MIN(1,5/n_conv)</f>
        <v>0.00483550060399347</v>
      </c>
      <c r="K1344" s="7" t="n">
        <f aca="false">Sens!$E$1344+(glt_xbox-Sens!$E$1344)*MIN(1,6/n_conv)</f>
        <v>0.02</v>
      </c>
    </row>
    <row r="1345" customFormat="false" ht="15" hidden="false" customHeight="false" outlineLevel="0" collapsed="false">
      <c r="A1345" s="0" t="s">
        <v>794</v>
      </c>
      <c r="B1345" s="0" t="s">
        <v>95</v>
      </c>
      <c r="D1345" s="6" t="n">
        <f aca="false">Q!L15</f>
        <v>17.315</v>
      </c>
      <c r="E1345" s="6" t="n">
        <f aca="false">Q!M15</f>
        <v>17.087</v>
      </c>
      <c r="F1345" s="6" t="n">
        <f aca="false">Sens!E1345*(1+Sens!F1346)</f>
        <v>16.9564585436519</v>
      </c>
      <c r="G1345" s="6" t="n">
        <f aca="false">Sens!F1345*(1+Sens!G1346)</f>
        <v>16.9206490624268</v>
      </c>
      <c r="H1345" s="6" t="n">
        <f aca="false">Sens!G1345*(1+Sens!H1346)</f>
        <v>16.9784519149849</v>
      </c>
      <c r="I1345" s="6" t="n">
        <f aca="false">Sens!H1345*(1+Sens!I1346)</f>
        <v>17.1303084701817</v>
      </c>
      <c r="J1345" s="6" t="n">
        <f aca="false">Sens!I1345*(1+Sens!J1346)</f>
        <v>17.3782189407267</v>
      </c>
      <c r="K1345" s="6" t="n">
        <f aca="false">Sens!J1345*(1+Sens!K1346)</f>
        <v>17.7257833195413</v>
      </c>
    </row>
    <row r="1346" customFormat="false" ht="15" hidden="false" customHeight="false" outlineLevel="0" collapsed="false">
      <c r="A1346" s="1" t="s">
        <v>782</v>
      </c>
      <c r="B1346" s="0" t="s">
        <v>126</v>
      </c>
      <c r="E1346" s="7" t="n">
        <f aca="false">Sens!E1345/Sens!D1345-1</f>
        <v>-0.0131677736066995</v>
      </c>
      <c r="F1346" s="7" t="n">
        <f aca="false">Sens!$E$1346+(glt_win-Sens!$E$1346)*MIN(1,1/n_conv)</f>
        <v>-0.00763981133891627</v>
      </c>
      <c r="G1346" s="7" t="n">
        <f aca="false">Sens!$E$1346+(glt_win-Sens!$E$1346)*MIN(1,2/n_conv)</f>
        <v>-0.00211184907113301</v>
      </c>
      <c r="H1346" s="7" t="n">
        <f aca="false">Sens!$E$1346+(glt_win-Sens!$E$1346)*MIN(1,3/n_conv)</f>
        <v>0.00341611319665024</v>
      </c>
      <c r="I1346" s="7" t="n">
        <f aca="false">Sens!$E$1346+(glt_win-Sens!$E$1346)*MIN(1,4/n_conv)</f>
        <v>0.00894407546443349</v>
      </c>
      <c r="J1346" s="7" t="n">
        <f aca="false">Sens!$E$1346+(glt_win-Sens!$E$1346)*MIN(1,5/n_conv)</f>
        <v>0.0144720377322168</v>
      </c>
      <c r="K1346" s="7" t="n">
        <f aca="false">Sens!$E$1346+(glt_win-Sens!$E$1346)*MIN(1,6/n_conv)</f>
        <v>0.02</v>
      </c>
    </row>
    <row r="1347" customFormat="false" ht="15" hidden="false" customHeight="false" outlineLevel="0" collapsed="false">
      <c r="A1347" s="0" t="s">
        <v>640</v>
      </c>
      <c r="B1347" s="0" t="s">
        <v>95</v>
      </c>
      <c r="D1347" s="6" t="n">
        <f aca="false">Sens!D1341+Sens!D1343+Sens!D1345</f>
        <v>62.941</v>
      </c>
      <c r="E1347" s="6" t="n">
        <f aca="false">Sens!E1341+Sens!E1343+Sens!E1345</f>
        <v>63.712</v>
      </c>
      <c r="F1347" s="6" t="n">
        <f aca="false">Sens!F1341+Sens!F1343+Sens!F1345</f>
        <v>65.1415764563129</v>
      </c>
      <c r="G1347" s="6" t="n">
        <f aca="false">Sens!G1341+Sens!G1343+Sens!G1345</f>
        <v>67.1253610780702</v>
      </c>
      <c r="H1347" s="6" t="n">
        <f aca="false">Sens!H1341+Sens!H1343+Sens!H1345</f>
        <v>69.5768050148776</v>
      </c>
      <c r="I1347" s="6" t="n">
        <f aca="false">Sens!I1341+Sens!I1343+Sens!I1345</f>
        <v>72.4233188088189</v>
      </c>
      <c r="J1347" s="6" t="n">
        <f aca="false">Sens!J1341+Sens!J1343+Sens!J1345</f>
        <v>75.6044096678567</v>
      </c>
      <c r="K1347" s="6" t="n">
        <f aca="false">Sens!K1341+Sens!K1343+Sens!K1345</f>
        <v>79.0714397009747</v>
      </c>
    </row>
    <row r="1348" customFormat="false" ht="15" hidden="false" customHeight="false" outlineLevel="0" collapsed="false">
      <c r="A1348" s="1" t="s">
        <v>795</v>
      </c>
      <c r="B1348" s="0" t="s">
        <v>95</v>
      </c>
      <c r="D1348" s="6" t="n">
        <f aca="false">Sens!D1340+Sens!D1347</f>
        <v>281.724</v>
      </c>
      <c r="E1348" s="6" t="n">
        <f aca="false">Sens!E1340+Sens!E1347</f>
        <v>331.839</v>
      </c>
      <c r="F1348" s="6" t="n">
        <f aca="false">Sens!F1340+Sens!F1347</f>
        <v>399.407104707821</v>
      </c>
      <c r="G1348" s="6" t="n">
        <f aca="false">Sens!G1340+Sens!G1347</f>
        <v>475.197484137863</v>
      </c>
      <c r="H1348" s="6" t="n">
        <f aca="false">Sens!H1340+Sens!H1347</f>
        <v>552.773101018903</v>
      </c>
      <c r="I1348" s="6" t="n">
        <f aca="false">Sens!I1340+Sens!I1347</f>
        <v>628.552892245768</v>
      </c>
      <c r="J1348" s="6" t="n">
        <f aca="false">Sens!J1340+Sens!J1347</f>
        <v>701.083199751338</v>
      </c>
      <c r="K1348" s="6" t="n">
        <f aca="false">Sens!K1340+Sens!K1347</f>
        <v>770.419789623641</v>
      </c>
    </row>
    <row r="1349" customFormat="false" ht="15" hidden="false" customHeight="false" outlineLevel="0" collapsed="false">
      <c r="A1349" s="22" t="s">
        <v>796</v>
      </c>
      <c r="B1349" s="28" t="s">
        <v>95</v>
      </c>
      <c r="C1349" s="28"/>
      <c r="D1349" s="23" t="n">
        <f aca="false">(Sens!D1328+Sens!D1333+Sens!D1334+Sens!D1336+Sens!D1338-Sens!D1340)+(Sens!D1341+Sens!D1343+Sens!D1345-Sens!D1347)+(Sens!D1340-Q!L5)+(Sens!D1347-Q!L12)+(Sens!D1328-Q!L6)+(Sens!D1333-Q!L7)</f>
        <v>0</v>
      </c>
      <c r="E1349" s="23" t="n">
        <f aca="false">(Sens!E1328+Sens!E1333+Sens!E1334+Sens!E1336+Sens!E1338-Sens!E1340)+(Sens!E1341+Sens!E1343+Sens!E1345-Sens!E1347)+(Sens!E1340-Q!M5)+(Sens!E1347-Q!M12)+(Sens!E1328-Q!M6)+(Sens!E1333-Q!M7)</f>
        <v>0</v>
      </c>
      <c r="F1349" s="23" t="n">
        <f aca="false">(Sens!F1328+Sens!F1333+Sens!F1334+Sens!F1336+Sens!F1338-Sens!F1340)+(Sens!F1341+Sens!F1343+Sens!F1345-Sens!F1347)</f>
        <v>0</v>
      </c>
      <c r="G1349" s="23" t="n">
        <f aca="false">(Sens!G1328+Sens!G1333+Sens!G1334+Sens!G1336+Sens!G1338-Sens!G1340)+(Sens!G1341+Sens!G1343+Sens!G1345-Sens!G1347)</f>
        <v>0</v>
      </c>
      <c r="H1349" s="23" t="n">
        <f aca="false">(Sens!H1328+Sens!H1333+Sens!H1334+Sens!H1336+Sens!H1338-Sens!H1340)+(Sens!H1341+Sens!H1343+Sens!H1345-Sens!H1347)</f>
        <v>0</v>
      </c>
      <c r="I1349" s="23" t="n">
        <f aca="false">(Sens!I1328+Sens!I1333+Sens!I1334+Sens!I1336+Sens!I1338-Sens!I1340)+(Sens!I1341+Sens!I1343+Sens!I1345-Sens!I1347)</f>
        <v>0</v>
      </c>
      <c r="J1349" s="23" t="n">
        <f aca="false">(Sens!J1328+Sens!J1333+Sens!J1334+Sens!J1336+Sens!J1338-Sens!J1340)+(Sens!J1341+Sens!J1343+Sens!J1345-Sens!J1347)</f>
        <v>0</v>
      </c>
      <c r="K1349" s="23" t="n">
        <f aca="false">(Sens!K1328+Sens!K1333+Sens!K1334+Sens!K1336+Sens!K1338-Sens!K1340)+(Sens!K1341+Sens!K1343+Sens!K1345-Sens!K1347)</f>
        <v>0</v>
      </c>
    </row>
    <row r="1350" customFormat="false" ht="17.15" hidden="false" customHeight="false" outlineLevel="0" collapsed="false">
      <c r="A1350" s="3" t="s">
        <v>1151</v>
      </c>
    </row>
    <row r="1351" customFormat="false" ht="15" hidden="false" customHeight="false" outlineLevel="0" collapsed="false">
      <c r="A1351" s="4" t="s">
        <v>43</v>
      </c>
      <c r="B1351" s="4" t="s">
        <v>63</v>
      </c>
      <c r="C1351" s="19" t="s">
        <v>710</v>
      </c>
      <c r="D1351" s="19" t="s">
        <v>711</v>
      </c>
      <c r="E1351" s="19" t="s">
        <v>712</v>
      </c>
      <c r="F1351" s="19" t="s">
        <v>713</v>
      </c>
      <c r="G1351" s="19" t="s">
        <v>714</v>
      </c>
      <c r="H1351" s="19" t="s">
        <v>715</v>
      </c>
      <c r="I1351" s="19" t="s">
        <v>716</v>
      </c>
      <c r="J1351" s="19" t="s">
        <v>717</v>
      </c>
      <c r="K1351" s="19" t="s">
        <v>718</v>
      </c>
      <c r="L1351" s="4" t="s">
        <v>47</v>
      </c>
    </row>
    <row r="1352" customFormat="false" ht="15" hidden="false" customHeight="false" outlineLevel="0" collapsed="false">
      <c r="A1352" s="0" t="s">
        <v>783</v>
      </c>
      <c r="B1352" s="0" t="s">
        <v>95</v>
      </c>
      <c r="D1352" s="6" t="n">
        <f aca="false">Sens!D1328</f>
        <v>72.61</v>
      </c>
      <c r="E1352" s="6" t="n">
        <f aca="false">Sens!E1328</f>
        <v>101.938</v>
      </c>
      <c r="F1352" s="6" t="n">
        <f aca="false">Sens!F1328</f>
        <v>145.143956312325</v>
      </c>
      <c r="G1352" s="6" t="n">
        <f aca="false">Sens!G1328</f>
        <v>196.478966522364</v>
      </c>
      <c r="H1352" s="6" t="n">
        <f aca="false">Sens!H1328</f>
        <v>249.10761332251</v>
      </c>
      <c r="I1352" s="6" t="n">
        <f aca="false">Sens!I1328</f>
        <v>301.318218457463</v>
      </c>
      <c r="J1352" s="6" t="n">
        <f aca="false">Sens!J1328</f>
        <v>352.037892979313</v>
      </c>
      <c r="K1352" s="6" t="n">
        <f aca="false">Sens!K1328</f>
        <v>400.20428058249</v>
      </c>
    </row>
    <row r="1353" customFormat="false" ht="17.15" hidden="false" customHeight="false" outlineLevel="0" collapsed="false">
      <c r="A1353" s="0" t="s">
        <v>780</v>
      </c>
      <c r="B1353" s="0" t="s">
        <v>95</v>
      </c>
      <c r="D1353" s="6" t="n">
        <f aca="false">Sens!D1325</f>
        <v>12.9359794422418</v>
      </c>
      <c r="E1353" s="6" t="n">
        <f aca="false">Sens!E1325</f>
        <v>27.8095064661409</v>
      </c>
      <c r="F1353" s="6" t="n">
        <f aca="false">Sens!F1325</f>
        <v>55.0640065749585</v>
      </c>
      <c r="G1353" s="6" t="n">
        <f aca="false">Sens!G1325</f>
        <v>89.4505413190538</v>
      </c>
      <c r="H1353" s="6" t="n">
        <f aca="false">Sens!H1325</f>
        <v>124.835630736874</v>
      </c>
      <c r="I1353" s="6" t="n">
        <f aca="false">Sens!I1325</f>
        <v>160.384516075608</v>
      </c>
      <c r="J1353" s="6" t="n">
        <f aca="false">Sens!J1325</f>
        <v>196.019025664981</v>
      </c>
      <c r="K1353" s="6" t="n">
        <f aca="false">Sens!K1325</f>
        <v>231.703903883012</v>
      </c>
    </row>
    <row r="1354" customFormat="false" ht="17.15" hidden="false" customHeight="false" outlineLevel="0" collapsed="false">
      <c r="A1354" s="0" t="s">
        <v>807</v>
      </c>
      <c r="B1354" s="0" t="s">
        <v>95</v>
      </c>
      <c r="D1354" s="6" t="n">
        <f aca="false">Sens!D1326</f>
        <v>59.6740205577583</v>
      </c>
      <c r="E1354" s="6" t="n">
        <f aca="false">Sens!E1326</f>
        <v>74.1284935338591</v>
      </c>
      <c r="F1354" s="6" t="n">
        <f aca="false">Sens!F1326</f>
        <v>90.0799497373663</v>
      </c>
      <c r="G1354" s="6" t="n">
        <f aca="false">Sens!G1326</f>
        <v>107.02842520331</v>
      </c>
      <c r="H1354" s="6" t="n">
        <f aca="false">Sens!H1326</f>
        <v>124.271982585636</v>
      </c>
      <c r="I1354" s="6" t="n">
        <f aca="false">Sens!I1326</f>
        <v>140.933702381855</v>
      </c>
      <c r="J1354" s="6" t="n">
        <f aca="false">Sens!J1326</f>
        <v>156.018867314332</v>
      </c>
      <c r="K1354" s="6" t="n">
        <f aca="false">Sens!K1326</f>
        <v>168.500376699478</v>
      </c>
    </row>
    <row r="1355" customFormat="false" ht="15" hidden="false" customHeight="false" outlineLevel="0" collapsed="false">
      <c r="A1355" s="0" t="s">
        <v>788</v>
      </c>
      <c r="B1355" s="0" t="s">
        <v>95</v>
      </c>
      <c r="D1355" s="6" t="n">
        <f aca="false">Sens!D1333</f>
        <v>84.605</v>
      </c>
      <c r="E1355" s="6" t="n">
        <f aca="false">Sens!E1333</f>
        <v>100.299</v>
      </c>
      <c r="F1355" s="6" t="n">
        <f aca="false">Sens!F1333</f>
        <v>118.89238776686</v>
      </c>
      <c r="G1355" s="6" t="n">
        <f aca="false">Sens!G1333</f>
        <v>137.044168448684</v>
      </c>
      <c r="H1355" s="6" t="n">
        <f aca="false">Sens!H1333</f>
        <v>155.277359388781</v>
      </c>
      <c r="I1355" s="6" t="n">
        <f aca="false">Sens!I1333</f>
        <v>171.834028071957</v>
      </c>
      <c r="J1355" s="6" t="n">
        <f aca="false">Sens!J1333</f>
        <v>186.432702785465</v>
      </c>
      <c r="K1355" s="6" t="n">
        <f aca="false">Sens!K1333</f>
        <v>200.277991980448</v>
      </c>
    </row>
    <row r="1356" customFormat="false" ht="17.15" hidden="false" customHeight="false" outlineLevel="0" collapsed="false">
      <c r="A1356" s="0" t="s">
        <v>808</v>
      </c>
      <c r="B1356" s="0" t="s">
        <v>95</v>
      </c>
      <c r="D1356" s="6" t="n">
        <f aca="false">Sens!D1331</f>
        <v>83.705</v>
      </c>
      <c r="E1356" s="6" t="n">
        <f aca="false">Sens!E1331</f>
        <v>95.049</v>
      </c>
      <c r="F1356" s="6" t="n">
        <f aca="false">Sens!F1331</f>
        <v>106.89238776686</v>
      </c>
      <c r="G1356" s="6" t="n">
        <f aca="false">Sens!G1331</f>
        <v>119.044168448684</v>
      </c>
      <c r="H1356" s="6" t="n">
        <f aca="false">Sens!H1331</f>
        <v>131.277359388781</v>
      </c>
      <c r="I1356" s="6" t="n">
        <f aca="false">Sens!I1331</f>
        <v>143.334028071957</v>
      </c>
      <c r="J1356" s="6" t="n">
        <f aca="false">Sens!J1331</f>
        <v>154.932702785465</v>
      </c>
      <c r="K1356" s="6" t="n">
        <f aca="false">Sens!K1331</f>
        <v>165.777991980448</v>
      </c>
    </row>
    <row r="1357" customFormat="false" ht="17.15" hidden="false" customHeight="false" outlineLevel="0" collapsed="false">
      <c r="A1357" s="0" t="s">
        <v>809</v>
      </c>
      <c r="B1357" s="0" t="s">
        <v>95</v>
      </c>
      <c r="D1357" s="6" t="n">
        <f aca="false">Sens!D1330</f>
        <v>0.9</v>
      </c>
      <c r="E1357" s="6" t="n">
        <f aca="false">Sens!E1330</f>
        <v>5.25</v>
      </c>
      <c r="F1357" s="6" t="n">
        <f aca="false">Sens!F1330</f>
        <v>12</v>
      </c>
      <c r="G1357" s="6" t="n">
        <f aca="false">Sens!G1330</f>
        <v>18</v>
      </c>
      <c r="H1357" s="6" t="n">
        <f aca="false">Sens!H1330</f>
        <v>24</v>
      </c>
      <c r="I1357" s="6" t="n">
        <f aca="false">Sens!I1330</f>
        <v>28.5</v>
      </c>
      <c r="J1357" s="6" t="n">
        <f aca="false">Sens!J1330</f>
        <v>31.5</v>
      </c>
      <c r="K1357" s="6" t="n">
        <f aca="false">Sens!K1330</f>
        <v>34.5</v>
      </c>
    </row>
    <row r="1358" customFormat="false" ht="15" hidden="false" customHeight="false" outlineLevel="0" collapsed="false">
      <c r="A1358" s="0" t="s">
        <v>789</v>
      </c>
      <c r="B1358" s="0" t="s">
        <v>95</v>
      </c>
      <c r="D1358" s="6" t="n">
        <f aca="false">Sens!D1334</f>
        <v>35.391</v>
      </c>
      <c r="E1358" s="6" t="n">
        <f aca="false">Sens!E1334</f>
        <v>37.285</v>
      </c>
      <c r="F1358" s="6" t="n">
        <f aca="false">Sens!F1334</f>
        <v>39.0720834331704</v>
      </c>
      <c r="G1358" s="6" t="n">
        <f aca="false">Sens!G1334</f>
        <v>40.726562953769</v>
      </c>
      <c r="H1358" s="6" t="n">
        <f aca="false">Sens!H1334</f>
        <v>42.2235987259198</v>
      </c>
      <c r="I1358" s="6" t="n">
        <f aca="false">Sens!I1334</f>
        <v>43.5397988077414</v>
      </c>
      <c r="J1358" s="6" t="n">
        <f aca="false">Sens!J1334</f>
        <v>44.653811225693</v>
      </c>
      <c r="K1358" s="6" t="n">
        <f aca="false">Sens!K1334</f>
        <v>45.5468874502068</v>
      </c>
    </row>
    <row r="1359" customFormat="false" ht="15" hidden="false" customHeight="false" outlineLevel="0" collapsed="false">
      <c r="A1359" s="0" t="s">
        <v>790</v>
      </c>
      <c r="B1359" s="0" t="s">
        <v>95</v>
      </c>
      <c r="D1359" s="6" t="n">
        <f aca="false">Sens!D1336</f>
        <v>18.417</v>
      </c>
      <c r="E1359" s="6" t="n">
        <f aca="false">Sens!E1336</f>
        <v>20.345</v>
      </c>
      <c r="F1359" s="6" t="n">
        <f aca="false">Sens!F1336</f>
        <v>22.3572203267814</v>
      </c>
      <c r="G1359" s="6" t="n">
        <f aca="false">Sens!G1336</f>
        <v>24.4392124437232</v>
      </c>
      <c r="H1359" s="6" t="n">
        <f aca="false">Sens!H1336</f>
        <v>26.5738052080665</v>
      </c>
      <c r="I1359" s="6" t="n">
        <f aca="false">Sens!I1336</f>
        <v>28.7412169166967</v>
      </c>
      <c r="J1359" s="6" t="n">
        <f aca="false">Sens!J1336</f>
        <v>30.9192545395413</v>
      </c>
      <c r="K1359" s="6" t="n">
        <f aca="false">Sens!K1336</f>
        <v>33.0836023573092</v>
      </c>
    </row>
    <row r="1360" customFormat="false" ht="15" hidden="false" customHeight="false" outlineLevel="0" collapsed="false">
      <c r="A1360" s="0" t="s">
        <v>791</v>
      </c>
      <c r="B1360" s="0" t="s">
        <v>95</v>
      </c>
      <c r="D1360" s="6" t="n">
        <f aca="false">Sens!D1338</f>
        <v>7.76</v>
      </c>
      <c r="E1360" s="6" t="n">
        <f aca="false">Sens!E1338</f>
        <v>8.26</v>
      </c>
      <c r="F1360" s="6" t="n">
        <f aca="false">Sens!F1338</f>
        <v>8.79988041237113</v>
      </c>
      <c r="G1360" s="6" t="n">
        <f aca="false">Sens!G1338</f>
        <v>9.38321269125306</v>
      </c>
      <c r="H1360" s="6" t="n">
        <f aca="false">Sens!H1338</f>
        <v>10.0139193587476</v>
      </c>
      <c r="I1360" s="6" t="n">
        <f aca="false">Sens!I1338</f>
        <v>10.6963111830911</v>
      </c>
      <c r="J1360" s="6" t="n">
        <f aca="false">Sens!J1338</f>
        <v>11.4351285534696</v>
      </c>
      <c r="K1360" s="6" t="n">
        <f aca="false">Sens!K1338</f>
        <v>12.2355875522124</v>
      </c>
    </row>
    <row r="1361" customFormat="false" ht="15" hidden="false" customHeight="false" outlineLevel="0" collapsed="false">
      <c r="A1361" s="0" t="s">
        <v>626</v>
      </c>
      <c r="B1361" s="0" t="s">
        <v>95</v>
      </c>
      <c r="D1361" s="6" t="n">
        <f aca="false">Sens!D1340</f>
        <v>218.783</v>
      </c>
      <c r="E1361" s="6" t="n">
        <f aca="false">Sens!E1340</f>
        <v>268.127</v>
      </c>
      <c r="F1361" s="6" t="n">
        <f aca="false">Sens!F1340</f>
        <v>334.265528251508</v>
      </c>
      <c r="G1361" s="6" t="n">
        <f aca="false">Sens!G1340</f>
        <v>408.072123059793</v>
      </c>
      <c r="H1361" s="6" t="n">
        <f aca="false">Sens!H1340</f>
        <v>483.196296004025</v>
      </c>
      <c r="I1361" s="6" t="n">
        <f aca="false">Sens!I1340</f>
        <v>556.129573436949</v>
      </c>
      <c r="J1361" s="6" t="n">
        <f aca="false">Sens!J1340</f>
        <v>625.478790083482</v>
      </c>
      <c r="K1361" s="6" t="n">
        <f aca="false">Sens!K1340</f>
        <v>691.348349922667</v>
      </c>
    </row>
    <row r="1362" customFormat="false" ht="15" hidden="false" customHeight="false" outlineLevel="0" collapsed="false">
      <c r="A1362" s="0" t="s">
        <v>792</v>
      </c>
      <c r="B1362" s="0" t="s">
        <v>95</v>
      </c>
      <c r="D1362" s="6" t="n">
        <f aca="false">Sens!D1341</f>
        <v>22.171</v>
      </c>
      <c r="E1362" s="6" t="n">
        <f aca="false">Sens!E1341</f>
        <v>24.835</v>
      </c>
      <c r="F1362" s="6" t="n">
        <f aca="false">Sens!F1341</f>
        <v>27.6114901218559</v>
      </c>
      <c r="G1362" s="6" t="n">
        <f aca="false">Sens!G1341</f>
        <v>30.4675667338515</v>
      </c>
      <c r="H1362" s="6" t="n">
        <f aca="false">Sens!H1341</f>
        <v>33.3643766955789</v>
      </c>
      <c r="I1362" s="6" t="n">
        <f aca="false">Sens!I1341</f>
        <v>36.2577016533691</v>
      </c>
      <c r="J1362" s="6" t="n">
        <f aca="false">Sens!J1341</f>
        <v>39.0988367952171</v>
      </c>
      <c r="K1362" s="6" t="n">
        <f aca="false">Sens!K1341</f>
        <v>41.8357553708823</v>
      </c>
    </row>
    <row r="1363" customFormat="false" ht="15" hidden="false" customHeight="false" outlineLevel="0" collapsed="false">
      <c r="A1363" s="0" t="s">
        <v>793</v>
      </c>
      <c r="B1363" s="0" t="s">
        <v>95</v>
      </c>
      <c r="D1363" s="6" t="n">
        <f aca="false">Sens!D1343</f>
        <v>23.455</v>
      </c>
      <c r="E1363" s="6" t="n">
        <f aca="false">Sens!E1343</f>
        <v>21.79</v>
      </c>
      <c r="F1363" s="6" t="n">
        <f aca="false">Sens!F1343</f>
        <v>20.5736277908051</v>
      </c>
      <c r="G1363" s="6" t="n">
        <f aca="false">Sens!G1343</f>
        <v>19.7371452817919</v>
      </c>
      <c r="H1363" s="6" t="n">
        <f aca="false">Sens!H1343</f>
        <v>19.2339764043138</v>
      </c>
      <c r="I1363" s="6" t="n">
        <f aca="false">Sens!I1343</f>
        <v>19.0353086852681</v>
      </c>
      <c r="J1363" s="6" t="n">
        <f aca="false">Sens!J1343</f>
        <v>19.1273539319129</v>
      </c>
      <c r="K1363" s="6" t="n">
        <f aca="false">Sens!K1343</f>
        <v>19.5099010105511</v>
      </c>
    </row>
    <row r="1364" customFormat="false" ht="15" hidden="false" customHeight="false" outlineLevel="0" collapsed="false">
      <c r="A1364" s="0" t="s">
        <v>794</v>
      </c>
      <c r="B1364" s="0" t="s">
        <v>95</v>
      </c>
      <c r="D1364" s="6" t="n">
        <f aca="false">Sens!D1345</f>
        <v>17.315</v>
      </c>
      <c r="E1364" s="6" t="n">
        <f aca="false">Sens!E1345</f>
        <v>17.087</v>
      </c>
      <c r="F1364" s="6" t="n">
        <f aca="false">Sens!F1345</f>
        <v>16.9564585436519</v>
      </c>
      <c r="G1364" s="6" t="n">
        <f aca="false">Sens!G1345</f>
        <v>16.9206490624268</v>
      </c>
      <c r="H1364" s="6" t="n">
        <f aca="false">Sens!H1345</f>
        <v>16.9784519149849</v>
      </c>
      <c r="I1364" s="6" t="n">
        <f aca="false">Sens!I1345</f>
        <v>17.1303084701817</v>
      </c>
      <c r="J1364" s="6" t="n">
        <f aca="false">Sens!J1345</f>
        <v>17.3782189407267</v>
      </c>
      <c r="K1364" s="6" t="n">
        <f aca="false">Sens!K1345</f>
        <v>17.7257833195413</v>
      </c>
    </row>
    <row r="1365" customFormat="false" ht="15" hidden="false" customHeight="false" outlineLevel="0" collapsed="false">
      <c r="A1365" s="0" t="s">
        <v>640</v>
      </c>
      <c r="B1365" s="0" t="s">
        <v>95</v>
      </c>
      <c r="D1365" s="6" t="n">
        <f aca="false">Sens!D1347</f>
        <v>62.941</v>
      </c>
      <c r="E1365" s="6" t="n">
        <f aca="false">Sens!E1347</f>
        <v>63.712</v>
      </c>
      <c r="F1365" s="6" t="n">
        <f aca="false">Sens!F1347</f>
        <v>65.1415764563129</v>
      </c>
      <c r="G1365" s="6" t="n">
        <f aca="false">Sens!G1347</f>
        <v>67.1253610780702</v>
      </c>
      <c r="H1365" s="6" t="n">
        <f aca="false">Sens!H1347</f>
        <v>69.5768050148776</v>
      </c>
      <c r="I1365" s="6" t="n">
        <f aca="false">Sens!I1347</f>
        <v>72.4233188088189</v>
      </c>
      <c r="J1365" s="6" t="n">
        <f aca="false">Sens!J1347</f>
        <v>75.6044096678567</v>
      </c>
      <c r="K1365" s="6" t="n">
        <f aca="false">Sens!K1347</f>
        <v>79.0714397009747</v>
      </c>
    </row>
    <row r="1366" customFormat="false" ht="15" hidden="false" customHeight="false" outlineLevel="0" collapsed="false">
      <c r="A1366" s="1" t="s">
        <v>810</v>
      </c>
      <c r="B1366" s="0" t="s">
        <v>95</v>
      </c>
      <c r="D1366" s="6" t="n">
        <f aca="false">Sens!D1348</f>
        <v>281.724</v>
      </c>
      <c r="E1366" s="6" t="n">
        <f aca="false">Sens!E1348</f>
        <v>331.839</v>
      </c>
      <c r="F1366" s="6" t="n">
        <f aca="false">Sens!F1348</f>
        <v>399.407104707821</v>
      </c>
      <c r="G1366" s="6" t="n">
        <f aca="false">Sens!G1348</f>
        <v>475.197484137863</v>
      </c>
      <c r="H1366" s="6" t="n">
        <f aca="false">Sens!H1348</f>
        <v>552.773101018903</v>
      </c>
      <c r="I1366" s="6" t="n">
        <f aca="false">Sens!I1348</f>
        <v>628.552892245768</v>
      </c>
      <c r="J1366" s="6" t="n">
        <f aca="false">Sens!J1348</f>
        <v>701.083199751338</v>
      </c>
      <c r="K1366" s="6" t="n">
        <f aca="false">Sens!K1348</f>
        <v>770.419789623641</v>
      </c>
    </row>
    <row r="1367" customFormat="false" ht="15" hidden="false" customHeight="false" outlineLevel="0" collapsed="false">
      <c r="A1367" s="1" t="s">
        <v>811</v>
      </c>
      <c r="B1367" s="0" t="s">
        <v>126</v>
      </c>
      <c r="E1367" s="7" t="n">
        <f aca="false">Sens!E1366/Sens!D1366-1</f>
        <v>0.177886867998467</v>
      </c>
      <c r="F1367" s="7" t="n">
        <f aca="false">Sens!F1366/Sens!E1366-1</f>
        <v>0.203617129715978</v>
      </c>
      <c r="G1367" s="7" t="n">
        <f aca="false">Sens!G1366/Sens!F1366-1</f>
        <v>0.189757213972159</v>
      </c>
      <c r="H1367" s="7" t="n">
        <f aca="false">Sens!H1366/Sens!G1366-1</f>
        <v>0.163249216316418</v>
      </c>
      <c r="I1367" s="7" t="n">
        <f aca="false">Sens!I1366/Sens!H1366-1</f>
        <v>0.137090229403682</v>
      </c>
      <c r="J1367" s="7" t="n">
        <f aca="false">Sens!J1366/Sens!I1366-1</f>
        <v>0.11539252845759</v>
      </c>
      <c r="K1367" s="7" t="n">
        <f aca="false">Sens!K1366/Sens!J1366-1</f>
        <v>0.098899231784324</v>
      </c>
    </row>
    <row r="1368" customFormat="false" ht="17.15" hidden="false" customHeight="false" outlineLevel="0" collapsed="false">
      <c r="A1368" s="22" t="s">
        <v>812</v>
      </c>
      <c r="B1368" s="28" t="s">
        <v>95</v>
      </c>
      <c r="C1368" s="28"/>
      <c r="D1368" s="23" t="n">
        <f aca="false">(Sens!D1361+Sens!D1365-Sens!D1366)+(Sens!D1353+Sens!D1354-Sens!D1352)+(Sens!D1356+Sens!D1357-Sens!D1355)+(Sens!D1366-Q!L18)</f>
        <v>0</v>
      </c>
      <c r="E1368" s="23" t="n">
        <f aca="false">(Sens!E1361+Sens!E1365-Sens!E1366)+(Sens!E1353+Sens!E1354-Sens!E1352)+(Sens!E1356+Sens!E1357-Sens!E1355)+(Sens!E1366-Q!M18)</f>
        <v>0</v>
      </c>
      <c r="F1368" s="23" t="n">
        <f aca="false">(Sens!F1361+Sens!F1365-Sens!F1366)+(Sens!F1353+Sens!F1354-Sens!F1352)+(Sens!F1356+Sens!F1357-Sens!F1355)</f>
        <v>0</v>
      </c>
      <c r="G1368" s="23" t="n">
        <f aca="false">(Sens!G1361+Sens!G1365-Sens!G1366)+(Sens!G1353+Sens!G1354-Sens!G1352)+(Sens!G1356+Sens!G1357-Sens!G1355)</f>
        <v>0</v>
      </c>
      <c r="H1368" s="23" t="n">
        <f aca="false">(Sens!H1361+Sens!H1365-Sens!H1366)+(Sens!H1353+Sens!H1354-Sens!H1352)+(Sens!H1356+Sens!H1357-Sens!H1355)</f>
        <v>0</v>
      </c>
      <c r="I1368" s="23" t="n">
        <f aca="false">(Sens!I1361+Sens!I1365-Sens!I1366)+(Sens!I1353+Sens!I1354-Sens!I1352)+(Sens!I1356+Sens!I1357-Sens!I1355)</f>
        <v>0</v>
      </c>
      <c r="J1368" s="23" t="n">
        <f aca="false">(Sens!J1361+Sens!J1365-Sens!J1366)+(Sens!J1353+Sens!J1354-Sens!J1352)+(Sens!J1356+Sens!J1357-Sens!J1355)</f>
        <v>0</v>
      </c>
      <c r="K1368" s="23" t="n">
        <f aca="false">(Sens!K1361+Sens!K1365-Sens!K1366)+(Sens!K1353+Sens!K1354-Sens!K1352)+(Sens!K1356+Sens!K1357-Sens!K1355)</f>
        <v>0</v>
      </c>
    </row>
    <row r="1369" customFormat="false" ht="17.15" hidden="false" customHeight="false" outlineLevel="0" collapsed="false">
      <c r="A1369" s="0" t="s">
        <v>813</v>
      </c>
      <c r="B1369" s="0" t="s">
        <v>126</v>
      </c>
      <c r="E1369" s="7" t="n">
        <f aca="false">(Q!M21+Sens!E1306+Sens!E1307+Sens!E1308+Sens!E1321-Sens!E1304)/(Q!M5-Sens!E1304)</f>
        <v>0.591291114837517</v>
      </c>
      <c r="F1369" s="7" t="n">
        <f aca="false">Sens!$E$1369+dm_seg</f>
        <v>0.591291114837517</v>
      </c>
      <c r="G1369" s="7" t="n">
        <f aca="false">Sens!$E$1369+dm_seg</f>
        <v>0.591291114837517</v>
      </c>
      <c r="H1369" s="7" t="n">
        <f aca="false">Sens!$E$1369+dm_seg</f>
        <v>0.591291114837517</v>
      </c>
      <c r="I1369" s="7" t="n">
        <f aca="false">Sens!$E$1369+dm_seg</f>
        <v>0.591291114837517</v>
      </c>
      <c r="J1369" s="7" t="n">
        <f aca="false">Sens!$E$1369+dm_seg</f>
        <v>0.591291114837517</v>
      </c>
      <c r="K1369" s="7" t="n">
        <f aca="false">Sens!$E$1369+dm_seg</f>
        <v>0.591291114837517</v>
      </c>
      <c r="L1369" s="11" t="s">
        <v>814</v>
      </c>
    </row>
    <row r="1370" customFormat="false" ht="17.15" hidden="false" customHeight="false" outlineLevel="0" collapsed="false">
      <c r="A1370" s="0" t="s">
        <v>654</v>
      </c>
      <c r="B1370" s="0" t="s">
        <v>95</v>
      </c>
      <c r="D1370" s="6" t="n">
        <f aca="false">Q!L21</f>
        <v>110.814</v>
      </c>
      <c r="E1370" s="6" t="n">
        <f aca="false">Q!M21</f>
        <v>136.365</v>
      </c>
      <c r="F1370" s="6" t="n">
        <f aca="false">Sens!F1369*(Sens!F1340-Sens!F1304)+Sens!F1304-(Sens!F1306+Sens!F1307+Sens!F1308)-Sens!F1321</f>
        <v>153.88955908274</v>
      </c>
      <c r="G1370" s="6" t="n">
        <f aca="false">Sens!G1369*(Sens!G1340-Sens!G1304)+Sens!G1304-(Sens!G1306+Sens!G1307+Sens!G1308)-Sens!G1321</f>
        <v>167.82339354272</v>
      </c>
      <c r="H1370" s="6" t="n">
        <f aca="false">Sens!H1369*(Sens!H1340-Sens!H1304)+Sens!H1304-(Sens!H1306+Sens!H1307+Sens!H1308)-Sens!H1321</f>
        <v>180.586752698599</v>
      </c>
      <c r="I1370" s="6" t="n">
        <f aca="false">Sens!I1369*(Sens!I1340-Sens!I1304)+Sens!I1304-(Sens!I1306+Sens!I1307+Sens!I1308)-Sens!I1321</f>
        <v>190.861478298448</v>
      </c>
      <c r="J1370" s="6" t="n">
        <f aca="false">Sens!J1369*(Sens!J1340-Sens!J1304)+Sens!J1304-(Sens!J1306+Sens!J1307+Sens!J1308)-Sens!J1321</f>
        <v>197.865967241577</v>
      </c>
      <c r="K1370" s="6" t="n">
        <f aca="false">Sens!K1369*(Sens!K1340-Sens!K1304)+Sens!K1304-(Sens!K1306+Sens!K1307+Sens!K1308)-Sens!K1321</f>
        <v>201.277121790631</v>
      </c>
      <c r="L1370" s="1" t="s">
        <v>815</v>
      </c>
    </row>
    <row r="1371" customFormat="false" ht="17.15" hidden="false" customHeight="false" outlineLevel="0" collapsed="false">
      <c r="A1371" s="0" t="s">
        <v>816</v>
      </c>
      <c r="B1371" s="0" t="s">
        <v>126</v>
      </c>
      <c r="E1371" s="7" t="n">
        <f aca="false">Q!M22/Q!M12</f>
        <v>0.296207935710698</v>
      </c>
      <c r="F1371" s="7" t="n">
        <f aca="false">Sens!$E$1371+dm_seg</f>
        <v>0.296207935710698</v>
      </c>
      <c r="G1371" s="7" t="n">
        <f aca="false">Sens!$E$1371+dm_seg</f>
        <v>0.296207935710698</v>
      </c>
      <c r="H1371" s="7" t="n">
        <f aca="false">Sens!$E$1371+dm_seg</f>
        <v>0.296207935710698</v>
      </c>
      <c r="I1371" s="7" t="n">
        <f aca="false">Sens!$E$1371+dm_seg</f>
        <v>0.296207935710698</v>
      </c>
      <c r="J1371" s="7" t="n">
        <f aca="false">Sens!$E$1371+dm_seg</f>
        <v>0.296207935710698</v>
      </c>
      <c r="K1371" s="7" t="n">
        <f aca="false">Sens!$E$1371+dm_seg</f>
        <v>0.296207935710698</v>
      </c>
      <c r="L1371" s="11" t="s">
        <v>817</v>
      </c>
    </row>
    <row r="1372" customFormat="false" ht="17.15" hidden="false" customHeight="false" outlineLevel="0" collapsed="false">
      <c r="A1372" s="0" t="s">
        <v>656</v>
      </c>
      <c r="B1372" s="0" t="s">
        <v>95</v>
      </c>
      <c r="D1372" s="6" t="n">
        <f aca="false">Q!L22</f>
        <v>17.714</v>
      </c>
      <c r="E1372" s="6" t="n">
        <f aca="false">Q!M22</f>
        <v>18.872</v>
      </c>
      <c r="F1372" s="6" t="n">
        <f aca="false">Sens!F1347*Sens!F1371</f>
        <v>19.2954518910651</v>
      </c>
      <c r="G1372" s="6" t="n">
        <f aca="false">Sens!G1347*Sens!G1371</f>
        <v>19.8830646387704</v>
      </c>
      <c r="H1372" s="6" t="n">
        <f aca="false">Sens!H1347*Sens!H1371</f>
        <v>20.6092017868026</v>
      </c>
      <c r="I1372" s="6" t="n">
        <f aca="false">Sens!I1347*Sens!I1371</f>
        <v>21.452361761678</v>
      </c>
      <c r="J1372" s="6" t="n">
        <f aca="false">Sens!J1347*Sens!J1371</f>
        <v>22.3946261183418</v>
      </c>
      <c r="K1372" s="6" t="n">
        <f aca="false">Sens!K1347*Sens!K1371</f>
        <v>23.4215879274986</v>
      </c>
    </row>
    <row r="1373" customFormat="false" ht="15" hidden="false" customHeight="false" outlineLevel="0" collapsed="false">
      <c r="A1373" s="1" t="s">
        <v>818</v>
      </c>
      <c r="B1373" s="0" t="s">
        <v>95</v>
      </c>
      <c r="D1373" s="6" t="n">
        <f aca="false">Sens!D1370+Sens!D1372</f>
        <v>128.528</v>
      </c>
      <c r="E1373" s="6" t="n">
        <f aca="false">Sens!E1370+Sens!E1372</f>
        <v>155.237</v>
      </c>
      <c r="F1373" s="6" t="n">
        <f aca="false">Sens!F1370+Sens!F1372</f>
        <v>173.185010973805</v>
      </c>
      <c r="G1373" s="6" t="n">
        <f aca="false">Sens!G1370+Sens!G1372</f>
        <v>187.70645818149</v>
      </c>
      <c r="H1373" s="6" t="n">
        <f aca="false">Sens!H1370+Sens!H1372</f>
        <v>201.195954485401</v>
      </c>
      <c r="I1373" s="6" t="n">
        <f aca="false">Sens!I1370+Sens!I1372</f>
        <v>212.313840060126</v>
      </c>
      <c r="J1373" s="6" t="n">
        <f aca="false">Sens!J1370+Sens!J1372</f>
        <v>220.260593359919</v>
      </c>
      <c r="K1373" s="6" t="n">
        <f aca="false">Sens!K1370+Sens!K1372</f>
        <v>224.69870971813</v>
      </c>
    </row>
    <row r="1374" customFormat="false" ht="15" hidden="false" customHeight="false" outlineLevel="0" collapsed="false">
      <c r="A1374" s="22" t="s">
        <v>819</v>
      </c>
      <c r="B1374" s="28" t="s">
        <v>95</v>
      </c>
      <c r="C1374" s="28"/>
      <c r="D1374" s="23" t="n">
        <f aca="false">Sens!D1373-Q!L23</f>
        <v>0</v>
      </c>
      <c r="E1374" s="23" t="n">
        <f aca="false">Sens!E1373-Q!M23</f>
        <v>0</v>
      </c>
      <c r="F1374" s="28"/>
      <c r="G1374" s="28"/>
      <c r="H1374" s="28"/>
      <c r="I1374" s="28"/>
      <c r="J1374" s="28"/>
      <c r="K1374" s="28"/>
    </row>
    <row r="1375" customFormat="false" ht="15" hidden="false" customHeight="false" outlineLevel="0" collapsed="false">
      <c r="A1375" s="1" t="s">
        <v>820</v>
      </c>
      <c r="B1375" s="0" t="s">
        <v>126</v>
      </c>
      <c r="D1375" s="7" t="n">
        <f aca="false">Sens!D1373/Sens!D1366</f>
        <v>0.456219562408598</v>
      </c>
      <c r="E1375" s="7" t="n">
        <f aca="false">Sens!E1373/Sens!E1366</f>
        <v>0.467808184089272</v>
      </c>
      <c r="F1375" s="7" t="n">
        <f aca="false">Sens!F1373/Sens!F1366</f>
        <v>0.43360523368881</v>
      </c>
      <c r="G1375" s="7" t="n">
        <f aca="false">Sens!G1373/Sens!G1366</f>
        <v>0.395007264236763</v>
      </c>
      <c r="H1375" s="7" t="n">
        <f aca="false">Sens!H1373/Sens!H1366</f>
        <v>0.363975660383158</v>
      </c>
      <c r="I1375" s="7" t="n">
        <f aca="false">Sens!I1373/Sens!I1366</f>
        <v>0.337781979335973</v>
      </c>
      <c r="J1375" s="7" t="n">
        <f aca="false">Sens!J1373/Sens!J1366</f>
        <v>0.314171832156357</v>
      </c>
      <c r="K1375" s="7" t="n">
        <f aca="false">Sens!K1373/Sens!K1366</f>
        <v>0.291657499903913</v>
      </c>
    </row>
    <row r="1376" customFormat="false" ht="17.15" hidden="false" customHeight="false" outlineLevel="0" collapsed="false">
      <c r="A1376" s="1" t="s">
        <v>821</v>
      </c>
      <c r="B1376" s="0" t="s">
        <v>95</v>
      </c>
      <c r="E1376" s="6" t="n">
        <f aca="false">Sens!E1321</f>
        <v>19.5664871725</v>
      </c>
      <c r="F1376" s="6" t="n">
        <f aca="false">Sens!F1321</f>
        <v>40.8598648571467</v>
      </c>
      <c r="G1376" s="6" t="n">
        <f aca="false">Sens!G1321</f>
        <v>70.9505245326133</v>
      </c>
      <c r="H1376" s="6" t="n">
        <f aca="false">Sens!H1321</f>
        <v>103.633223811973</v>
      </c>
      <c r="I1376" s="6" t="n">
        <f aca="false">Sens!I1321</f>
        <v>137.539062709553</v>
      </c>
      <c r="J1376" s="6" t="n">
        <f aca="false">Sens!J1321</f>
        <v>172.611578170133</v>
      </c>
      <c r="K1376" s="6" t="n">
        <f aca="false">Sens!K1321</f>
        <v>209.229151781713</v>
      </c>
    </row>
    <row r="1377" customFormat="false" ht="17.15" hidden="false" customHeight="false" outlineLevel="0" collapsed="false">
      <c r="A1377" s="1" t="s">
        <v>822</v>
      </c>
      <c r="B1377" s="0" t="s">
        <v>95</v>
      </c>
      <c r="E1377" s="6" t="n">
        <f aca="false">Sens!E1397</f>
        <v>18.9675128275</v>
      </c>
      <c r="F1377" s="6" t="n">
        <f aca="false">Sens!F1397</f>
        <v>20.6286962677062</v>
      </c>
      <c r="G1377" s="6" t="n">
        <f aca="false">Sens!G1397</f>
        <v>22.6811159979745</v>
      </c>
      <c r="H1377" s="6" t="n">
        <f aca="false">Sens!H1397</f>
        <v>25.0941557625861</v>
      </c>
      <c r="I1377" s="6" t="n">
        <f aca="false">Sens!I1397</f>
        <v>27.8045802174918</v>
      </c>
      <c r="J1377" s="6" t="n">
        <f aca="false">Sens!J1397</f>
        <v>30.73221352078</v>
      </c>
      <c r="K1377" s="6" t="n">
        <f aca="false">Sens!K1397</f>
        <v>33.7958624429014</v>
      </c>
    </row>
    <row r="1378" customFormat="false" ht="17.15" hidden="false" customHeight="false" outlineLevel="0" collapsed="false">
      <c r="A1378" s="1" t="s">
        <v>823</v>
      </c>
      <c r="B1378" s="0" t="s">
        <v>95</v>
      </c>
      <c r="D1378" s="6" t="n">
        <f aca="false">Q!L27</f>
        <v>-4.901</v>
      </c>
      <c r="E1378" s="6" t="n">
        <f aca="false">Q!M27</f>
        <v>10.697</v>
      </c>
      <c r="F1378" s="6" t="n">
        <f aca="false">oie_f</f>
        <v>-0.4</v>
      </c>
      <c r="G1378" s="6" t="n">
        <f aca="false">oie_f</f>
        <v>-0.4</v>
      </c>
      <c r="H1378" s="6" t="n">
        <f aca="false">oie_f</f>
        <v>-0.4</v>
      </c>
      <c r="I1378" s="6" t="n">
        <f aca="false">oie_f</f>
        <v>-0.4</v>
      </c>
      <c r="J1378" s="6" t="n">
        <f aca="false">oie_f</f>
        <v>-0.4</v>
      </c>
      <c r="K1378" s="6" t="n">
        <f aca="false">oie_f</f>
        <v>-0.4</v>
      </c>
      <c r="L1378" s="11" t="s">
        <v>824</v>
      </c>
    </row>
    <row r="1379" customFormat="false" ht="15" hidden="false" customHeight="false" outlineLevel="0" collapsed="false">
      <c r="A1379" s="1" t="s">
        <v>666</v>
      </c>
      <c r="B1379" s="0" t="s">
        <v>95</v>
      </c>
      <c r="D1379" s="6" t="n">
        <f aca="false">Sens!D1373+Sens!D1378</f>
        <v>123.627</v>
      </c>
      <c r="E1379" s="6" t="n">
        <f aca="false">Sens!E1373+Sens!E1378</f>
        <v>165.934</v>
      </c>
      <c r="F1379" s="6" t="n">
        <f aca="false">Sens!F1373+Sens!F1378</f>
        <v>172.785010973805</v>
      </c>
      <c r="G1379" s="6" t="n">
        <f aca="false">Sens!G1373+Sens!G1378</f>
        <v>187.30645818149</v>
      </c>
      <c r="H1379" s="6" t="n">
        <f aca="false">Sens!H1373+Sens!H1378</f>
        <v>200.795954485401</v>
      </c>
      <c r="I1379" s="6" t="n">
        <f aca="false">Sens!I1373+Sens!I1378</f>
        <v>211.913840060126</v>
      </c>
      <c r="J1379" s="6" t="n">
        <f aca="false">Sens!J1373+Sens!J1378</f>
        <v>219.860593359919</v>
      </c>
      <c r="K1379" s="6" t="n">
        <f aca="false">Sens!K1373+Sens!K1378</f>
        <v>224.29870971813</v>
      </c>
    </row>
    <row r="1380" customFormat="false" ht="15" hidden="false" customHeight="false" outlineLevel="0" collapsed="false">
      <c r="A1380" s="1" t="s">
        <v>668</v>
      </c>
      <c r="B1380" s="0" t="s">
        <v>95</v>
      </c>
      <c r="D1380" s="6" t="n">
        <f aca="false">Q!L29</f>
        <v>21.795</v>
      </c>
      <c r="E1380" s="6" t="n">
        <f aca="false">Q!M29</f>
        <v>32.185</v>
      </c>
      <c r="F1380" s="6" t="n">
        <f aca="false">Sens!F1379*tax_f</f>
        <v>34.5570021947611</v>
      </c>
      <c r="G1380" s="6" t="n">
        <f aca="false">Sens!G1379*tax_f</f>
        <v>37.461291636298</v>
      </c>
      <c r="H1380" s="6" t="n">
        <f aca="false">Sens!H1379*tax_f</f>
        <v>40.1591908970802</v>
      </c>
      <c r="I1380" s="6" t="n">
        <f aca="false">Sens!I1379*tax_f</f>
        <v>42.3827680120253</v>
      </c>
      <c r="J1380" s="6" t="n">
        <f aca="false">Sens!J1379*tax_f</f>
        <v>43.9721186719838</v>
      </c>
      <c r="K1380" s="6" t="n">
        <f aca="false">Sens!K1379*tax_f</f>
        <v>44.8597419436259</v>
      </c>
    </row>
    <row r="1381" customFormat="false" ht="15" hidden="false" customHeight="false" outlineLevel="0" collapsed="false">
      <c r="A1381" s="1" t="s">
        <v>825</v>
      </c>
      <c r="B1381" s="0" t="s">
        <v>95</v>
      </c>
      <c r="D1381" s="6" t="n">
        <f aca="false">Sens!D1379-Sens!D1380</f>
        <v>101.832</v>
      </c>
      <c r="E1381" s="6" t="n">
        <f aca="false">Sens!E1379-Sens!E1380</f>
        <v>133.749</v>
      </c>
      <c r="F1381" s="6" t="n">
        <f aca="false">Sens!F1379-Sens!F1380</f>
        <v>138.228008779044</v>
      </c>
      <c r="G1381" s="6" t="n">
        <f aca="false">Sens!G1379-Sens!G1380</f>
        <v>149.845166545192</v>
      </c>
      <c r="H1381" s="6" t="n">
        <f aca="false">Sens!H1379-Sens!H1380</f>
        <v>160.636763588321</v>
      </c>
      <c r="I1381" s="6" t="n">
        <f aca="false">Sens!I1379-Sens!I1380</f>
        <v>169.531072048101</v>
      </c>
      <c r="J1381" s="6" t="n">
        <f aca="false">Sens!J1379-Sens!J1380</f>
        <v>175.888474687935</v>
      </c>
      <c r="K1381" s="6" t="n">
        <f aca="false">Sens!K1379-Sens!K1380</f>
        <v>179.438967774504</v>
      </c>
    </row>
    <row r="1382" customFormat="false" ht="17.15" hidden="false" customHeight="false" outlineLevel="0" collapsed="false">
      <c r="A1382" s="1" t="s">
        <v>826</v>
      </c>
      <c r="B1382" s="1" t="s">
        <v>79</v>
      </c>
      <c r="D1382" s="18" t="n">
        <f aca="false">Q!L31</f>
        <v>7.465</v>
      </c>
      <c r="E1382" s="18" t="n">
        <f aca="false">Q!M31</f>
        <v>7.453</v>
      </c>
      <c r="F1382" s="18" t="n">
        <f aca="false">Sens!F1419</f>
        <v>7.4735</v>
      </c>
      <c r="G1382" s="18" t="n">
        <f aca="false">Sens!G1419</f>
        <v>7.5185</v>
      </c>
      <c r="H1382" s="18" t="n">
        <f aca="false">Sens!H1419</f>
        <v>7.5635</v>
      </c>
      <c r="I1382" s="18" t="n">
        <f aca="false">Sens!I1419</f>
        <v>7.60609883721379</v>
      </c>
      <c r="J1382" s="18" t="n">
        <f aca="false">Sens!J1419</f>
        <v>7.63390993938811</v>
      </c>
      <c r="K1382" s="18" t="n">
        <f aca="false">Sens!K1419</f>
        <v>7.65882653401381</v>
      </c>
    </row>
    <row r="1383" customFormat="false" ht="17.15" hidden="false" customHeight="false" outlineLevel="0" collapsed="false">
      <c r="A1383" s="0" t="s">
        <v>827</v>
      </c>
      <c r="B1383" s="0" t="s">
        <v>73</v>
      </c>
      <c r="D1383" s="8" t="n">
        <f aca="false">Sens!D1381/Sens!D1382</f>
        <v>13.641259209645</v>
      </c>
      <c r="E1383" s="8" t="n">
        <f aca="false">Sens!E1381/Sens!E1382</f>
        <v>17.9456594659869</v>
      </c>
      <c r="F1383" s="8" t="n">
        <f aca="false">Sens!F1381/Sens!F1382</f>
        <v>18.4957528305405</v>
      </c>
      <c r="G1383" s="8" t="n">
        <f aca="false">Sens!G1381/Sens!G1382</f>
        <v>19.9301943931891</v>
      </c>
      <c r="H1383" s="8" t="n">
        <f aca="false">Sens!H1381/Sens!H1382</f>
        <v>21.2384165516389</v>
      </c>
      <c r="I1383" s="8" t="n">
        <f aca="false">Sens!I1381/Sens!I1382</f>
        <v>22.2888336946989</v>
      </c>
      <c r="J1383" s="8" t="n">
        <f aca="false">Sens!J1381/Sens!J1382</f>
        <v>23.0404178310274</v>
      </c>
      <c r="K1383" s="8" t="n">
        <f aca="false">Sens!K1381/Sens!K1382</f>
        <v>23.4290419005565</v>
      </c>
      <c r="L1383" s="1" t="s">
        <v>828</v>
      </c>
    </row>
    <row r="1384" customFormat="false" ht="17.15" hidden="false" customHeight="false" outlineLevel="0" collapsed="false">
      <c r="A1384" s="0" t="s">
        <v>829</v>
      </c>
      <c r="B1384" s="0" t="s">
        <v>126</v>
      </c>
      <c r="E1384" s="7" t="n">
        <f aca="false">Sens!E1383/Sens!D1383-1</f>
        <v>0.315542736208578</v>
      </c>
      <c r="F1384" s="7" t="n">
        <f aca="false">Sens!F1383/Sens!E1383-1</f>
        <v>0.0306532822377605</v>
      </c>
      <c r="G1384" s="7" t="n">
        <f aca="false">Sens!G1383/Sens!F1383-1</f>
        <v>0.0775551866307391</v>
      </c>
      <c r="H1384" s="7" t="n">
        <f aca="false">Sens!H1383/Sens!G1383-1</f>
        <v>0.0656402106593053</v>
      </c>
      <c r="I1384" s="7" t="n">
        <f aca="false">Sens!I1383/Sens!H1383-1</f>
        <v>0.0494583548875229</v>
      </c>
      <c r="J1384" s="7" t="n">
        <f aca="false">Sens!J1383/Sens!I1383-1</f>
        <v>0.0337202092591884</v>
      </c>
      <c r="K1384" s="7" t="n">
        <f aca="false">Sens!K1383/Sens!J1383-1</f>
        <v>0.0168670582443069</v>
      </c>
    </row>
    <row r="1385" customFormat="false" ht="17.15" hidden="false" customHeight="false" outlineLevel="0" collapsed="false">
      <c r="A1385" s="0" t="s">
        <v>763</v>
      </c>
      <c r="B1385" s="0" t="s">
        <v>95</v>
      </c>
      <c r="E1385" s="6" t="n">
        <f aca="false">Sens!E1330</f>
        <v>5.25</v>
      </c>
      <c r="F1385" s="6" t="n">
        <f aca="false">Sens!F1330</f>
        <v>12</v>
      </c>
      <c r="G1385" s="6" t="n">
        <f aca="false">Sens!G1330</f>
        <v>18</v>
      </c>
      <c r="H1385" s="6" t="n">
        <f aca="false">Sens!H1330</f>
        <v>24</v>
      </c>
      <c r="I1385" s="6" t="n">
        <f aca="false">Sens!I1330</f>
        <v>28.5</v>
      </c>
      <c r="J1385" s="6" t="n">
        <f aca="false">Sens!J1330</f>
        <v>31.5</v>
      </c>
      <c r="K1385" s="6" t="n">
        <f aca="false">Sens!K1330</f>
        <v>34.5</v>
      </c>
    </row>
    <row r="1386" customFormat="false" ht="17.15" hidden="false" customHeight="false" outlineLevel="0" collapsed="false">
      <c r="A1386" s="0" t="s">
        <v>764</v>
      </c>
      <c r="B1386" s="0" t="s">
        <v>95</v>
      </c>
      <c r="E1386" s="6" t="n">
        <f aca="false">Sens!E1310+Sens!E1385*Sens!E1369-Sens!E1311-Sens!E1321</f>
        <v>-2.62832031369632</v>
      </c>
      <c r="F1386" s="6" t="n">
        <f aca="false">Sens!F1310+Sens!F1385*Sens!F1369-Sens!F1311-Sens!F1321</f>
        <v>-4.10432655566728</v>
      </c>
      <c r="G1386" s="6" t="n">
        <f aca="false">Sens!G1310+Sens!G1385*Sens!G1369-Sens!G1311-Sens!G1321</f>
        <v>-9.9314766689796</v>
      </c>
      <c r="H1386" s="6" t="n">
        <f aca="false">Sens!H1310+Sens!H1385*Sens!H1369-Sens!H1311-Sens!H1321</f>
        <v>-17.1177378250289</v>
      </c>
      <c r="I1386" s="6" t="n">
        <f aca="false">Sens!I1310+Sens!I1385*Sens!I1369-Sens!I1311-Sens!I1321</f>
        <v>-26.2872610873069</v>
      </c>
      <c r="J1386" s="6" t="n">
        <f aca="false">Sens!J1310+Sens!J1385*Sens!J1369-Sens!J1311-Sens!J1321</f>
        <v>-37.4441055219137</v>
      </c>
      <c r="K1386" s="6" t="n">
        <f aca="false">Sens!K1310+Sens!K1385*Sens!K1369-Sens!K1311-Sens!K1321</f>
        <v>-50.1070116751348</v>
      </c>
    </row>
    <row r="1387" customFormat="false" ht="17.15" hidden="false" customHeight="false" outlineLevel="0" collapsed="false">
      <c r="A1387" s="0" t="s">
        <v>765</v>
      </c>
      <c r="B1387" s="0" t="s">
        <v>95</v>
      </c>
      <c r="E1387" s="6" t="n">
        <f aca="false">Sens!E1293*(cxit_open+self_build*tk_cxfac)/1000*ai_net_open</f>
        <v>152.03764584</v>
      </c>
      <c r="F1387" s="6" t="n">
        <f aca="false">Sens!E1387+Sens!F1318-Sens!F1321</f>
        <v>303.577232028613</v>
      </c>
      <c r="G1387" s="6" t="n">
        <f aca="false">Sens!F1387+Sens!G1318-Sens!G1321</f>
        <v>452.91572407584</v>
      </c>
      <c r="H1387" s="6" t="n">
        <f aca="false">Sens!G1387+Sens!H1318-Sens!H1321</f>
        <v>574.978843356347</v>
      </c>
      <c r="I1387" s="6" t="n">
        <f aca="false">Sens!H1387+Sens!I1318-Sens!I1321</f>
        <v>699.446534155273</v>
      </c>
      <c r="J1387" s="6" t="n">
        <f aca="false">Sens!I1387+Sens!J1318-Sens!J1321</f>
        <v>807.36742909362</v>
      </c>
      <c r="K1387" s="6" t="n">
        <f aca="false">Sens!J1387+Sens!K1318-Sens!K1321</f>
        <v>932.765851652387</v>
      </c>
      <c r="L1387" s="1" t="s">
        <v>766</v>
      </c>
    </row>
    <row r="1388" customFormat="false" ht="17.15" hidden="false" customHeight="false" outlineLevel="0" collapsed="false">
      <c r="A1388" s="0" t="s">
        <v>767</v>
      </c>
      <c r="B1388" s="0" t="s">
        <v>126</v>
      </c>
      <c r="F1388" s="7" t="n">
        <f aca="false">Sens!F1386*(1-tax_f)/((Sens!E1387+Sens!F1387)/2)</f>
        <v>-0.014413318809491</v>
      </c>
      <c r="G1388" s="7" t="n">
        <f aca="false">Sens!G1386*(1-tax_f)/((Sens!F1387+Sens!G1387)/2)</f>
        <v>-0.0210053015591771</v>
      </c>
      <c r="H1388" s="7" t="n">
        <f aca="false">Sens!H1386*(1-tax_f)/((Sens!G1387+Sens!H1387)/2)</f>
        <v>-0.0266451262491502</v>
      </c>
      <c r="I1388" s="7" t="n">
        <f aca="false">Sens!I1386*(1-tax_f)/((Sens!H1387+Sens!I1387)/2)</f>
        <v>-0.0330028093302839</v>
      </c>
      <c r="J1388" s="7" t="n">
        <f aca="false">Sens!J1386*(1-tax_f)/((Sens!I1387+Sens!J1387)/2)</f>
        <v>-0.0397597648391091</v>
      </c>
      <c r="K1388" s="7" t="n">
        <f aca="false">Sens!K1386*(1-tax_f)/((Sens!J1387+Sens!K1387)/2)</f>
        <v>-0.0460718840144507</v>
      </c>
    </row>
    <row r="1389" customFormat="false" ht="17.15" hidden="false" customHeight="false" outlineLevel="0" collapsed="false">
      <c r="A1389" s="1" t="s">
        <v>768</v>
      </c>
      <c r="B1389" s="0" t="s">
        <v>126</v>
      </c>
      <c r="F1389" s="7" t="n">
        <f aca="false">Sens!F1322*(1-tax_f)/(Sens!F1309*(Sens!E1387+Sens!F1387)/2)</f>
        <v>0.133653288300971</v>
      </c>
      <c r="G1389" s="7" t="n">
        <f aca="false">Sens!G1322*(1-tax_f)/(Sens!G1309*(Sens!F1387+Sens!G1387)/2)</f>
        <v>0.131459221834535</v>
      </c>
      <c r="H1389" s="7" t="n">
        <f aca="false">Sens!H1322*(1-tax_f)/(Sens!H1309*(Sens!G1387+Sens!H1387)/2)</f>
        <v>0.135120575835084</v>
      </c>
      <c r="I1389" s="7" t="n">
        <f aca="false">Sens!I1322*(1-tax_f)/(Sens!I1309*(Sens!H1387+Sens!I1387)/2)</f>
        <v>0.138760097111358</v>
      </c>
      <c r="J1389" s="7" t="n">
        <f aca="false">Sens!J1322*(1-tax_f)/(Sens!J1309*(Sens!I1387+Sens!J1387)/2)</f>
        <v>0.141467667037996</v>
      </c>
      <c r="K1389" s="7" t="n">
        <f aca="false">Sens!K1322*(1-tax_f)/(Sens!K1309*(Sens!J1387+Sens!K1387)/2)</f>
        <v>0.142036484635023</v>
      </c>
    </row>
    <row r="1390" customFormat="false" ht="17.15" hidden="false" customHeight="false" outlineLevel="0" collapsed="false">
      <c r="A1390" s="0" t="s">
        <v>769</v>
      </c>
      <c r="B1390" s="0" t="s">
        <v>208</v>
      </c>
      <c r="F1390" s="7" t="n">
        <f aca="false">Sens!F1388-wacc</f>
        <v>-0.123376539959745</v>
      </c>
      <c r="G1390" s="7" t="n">
        <f aca="false">Sens!G1388-wacc</f>
        <v>-0.129968522709431</v>
      </c>
      <c r="H1390" s="7" t="n">
        <f aca="false">Sens!H1388-wacc</f>
        <v>-0.135608347399404</v>
      </c>
      <c r="I1390" s="7" t="n">
        <f aca="false">Sens!I1388-wacc</f>
        <v>-0.141966030480538</v>
      </c>
      <c r="J1390" s="7" t="n">
        <f aca="false">Sens!J1388-wacc</f>
        <v>-0.148722985989363</v>
      </c>
      <c r="K1390" s="7" t="n">
        <f aca="false">Sens!K1388-wacc</f>
        <v>-0.155035105164705</v>
      </c>
    </row>
    <row r="1391" customFormat="false" ht="17.15" hidden="false" customHeight="false" outlineLevel="0" collapsed="false">
      <c r="A1391" s="0" t="s">
        <v>770</v>
      </c>
      <c r="B1391" s="0" t="s">
        <v>95</v>
      </c>
      <c r="F1391" s="6" t="n">
        <f aca="false">Sens!F1386*(1-tax_f)-wacc*(Sens!E1387+Sens!F1387)/2</f>
        <v>-28.1060935928057</v>
      </c>
      <c r="G1391" s="6" t="n">
        <f aca="false">Sens!G1386*(1-tax_f)-wacc*(Sens!F1387+Sens!G1387)/2</f>
        <v>-49.1601359724931</v>
      </c>
      <c r="H1391" s="6" t="n">
        <f aca="false">Sens!H1386*(1-tax_f)-wacc*(Sens!G1387+Sens!H1387)/2</f>
        <v>-69.6955417951521</v>
      </c>
      <c r="I1391" s="6" t="n">
        <f aca="false">Sens!I1386*(1-tax_f)-wacc*(Sens!H1387+Sens!I1387)/2</f>
        <v>-90.4625559944928</v>
      </c>
      <c r="J1391" s="6" t="n">
        <f aca="false">Sens!J1386*(1-tax_f)-wacc*(Sens!I1387+Sens!J1387)/2</f>
        <v>-112.048935972421</v>
      </c>
      <c r="K1391" s="6" t="n">
        <f aca="false">Sens!K1386*(1-tax_f)-wacc*(Sens!J1387+Sens!K1387)/2</f>
        <v>-134.89087309053</v>
      </c>
    </row>
    <row r="1392" customFormat="false" ht="17.15" hidden="false" customHeight="false" outlineLevel="0" collapsed="false">
      <c r="A1392" s="1" t="s">
        <v>771</v>
      </c>
      <c r="B1392" s="0" t="s">
        <v>95</v>
      </c>
      <c r="F1392" s="6" t="n">
        <f aca="false">(Sens!E1294+Sens!F1294)/2*Sens!F1301/1000</f>
        <v>40.1809600148951</v>
      </c>
      <c r="G1392" s="6" t="n">
        <f aca="false">(Sens!F1294+Sens!G1294)/2*Sens!G1301/1000</f>
        <v>68.1197726395826</v>
      </c>
      <c r="H1392" s="6" t="n">
        <f aca="false">(Sens!G1294+Sens!H1294)/2*Sens!H1301/1000</f>
        <v>98.0872694036957</v>
      </c>
      <c r="I1392" s="6" t="n">
        <f aca="false">(Sens!H1294+Sens!I1294)/2*Sens!I1301/1000</f>
        <v>128.278112893395</v>
      </c>
      <c r="J1392" s="6" t="n">
        <f aca="false">(Sens!I1294+Sens!J1294)/2*Sens!J1301/1000</f>
        <v>158.585710792509</v>
      </c>
      <c r="K1392" s="6" t="n">
        <f aca="false">(Sens!J1294+Sens!K1294)/2*Sens!K1301/1000</f>
        <v>188.961989695522</v>
      </c>
      <c r="L1392" s="1" t="s">
        <v>772</v>
      </c>
    </row>
    <row r="1393" customFormat="false" ht="17.15" hidden="false" customHeight="false" outlineLevel="0" collapsed="false">
      <c r="A1393" s="1" t="s">
        <v>773</v>
      </c>
      <c r="B1393" s="0" t="s">
        <v>126</v>
      </c>
      <c r="F1393" s="7" t="n">
        <f aca="false">(Sens!F1310+Sens!F1392-Sens!F1311-Sens!F1321)*(1-tax_f)/((Sens!E1387+Sens!F1387)/2)</f>
        <v>0.101774165819177</v>
      </c>
      <c r="G1393" s="7" t="n">
        <f aca="false">(Sens!G1310+Sens!G1392-Sens!G1311-Sens!G1321)*(1-tax_f)/((Sens!F1387+Sens!G1387)/2)</f>
        <v>0.100558886678042</v>
      </c>
      <c r="H1393" s="7" t="n">
        <f aca="false">(Sens!H1310+Sens!H1392-Sens!H1311-Sens!H1321)*(1-tax_f)/((Sens!G1387+Sens!H1387)/2)</f>
        <v>0.103946139128861</v>
      </c>
      <c r="I1393" s="7" t="n">
        <f aca="false">(Sens!I1310+Sens!I1392-Sens!I1311-Sens!I1321)*(1-tax_f)/((Sens!H1387+Sens!I1387)/2)</f>
        <v>0.10688934044858</v>
      </c>
      <c r="J1393" s="7" t="n">
        <f aca="false">(Sens!J1310+Sens!J1392-Sens!J1311-Sens!J1321)*(1-tax_f)/((Sens!I1387+Sens!J1387)/2)</f>
        <v>0.108855837711697</v>
      </c>
      <c r="K1393" s="7" t="n">
        <f aca="false">(Sens!K1310+Sens!K1392-Sens!K1311-Sens!K1321)*(1-tax_f)/((Sens!J1387+Sens!K1387)/2)</f>
        <v>0.108916194748219</v>
      </c>
      <c r="L1393" s="1" t="s">
        <v>774</v>
      </c>
    </row>
    <row r="1394" customFormat="false" ht="17.15" hidden="false" customHeight="false" outlineLevel="0" collapsed="false">
      <c r="A1394" s="3" t="s">
        <v>1152</v>
      </c>
    </row>
    <row r="1395" customFormat="false" ht="15" hidden="false" customHeight="false" outlineLevel="0" collapsed="false">
      <c r="A1395" s="4" t="s">
        <v>43</v>
      </c>
      <c r="B1395" s="4" t="s">
        <v>63</v>
      </c>
      <c r="C1395" s="19" t="s">
        <v>710</v>
      </c>
      <c r="D1395" s="19" t="s">
        <v>711</v>
      </c>
      <c r="E1395" s="19" t="s">
        <v>712</v>
      </c>
      <c r="F1395" s="19" t="s">
        <v>713</v>
      </c>
      <c r="G1395" s="19" t="s">
        <v>714</v>
      </c>
      <c r="H1395" s="19" t="s">
        <v>715</v>
      </c>
      <c r="I1395" s="19" t="s">
        <v>716</v>
      </c>
      <c r="J1395" s="19" t="s">
        <v>717</v>
      </c>
      <c r="K1395" s="19" t="s">
        <v>718</v>
      </c>
      <c r="L1395" s="4" t="s">
        <v>47</v>
      </c>
    </row>
    <row r="1396" customFormat="false" ht="15" hidden="false" customHeight="false" outlineLevel="0" collapsed="false">
      <c r="A1396" s="1" t="s">
        <v>825</v>
      </c>
      <c r="B1396" s="0" t="s">
        <v>95</v>
      </c>
      <c r="F1396" s="6" t="n">
        <f aca="false">Sens!F1381</f>
        <v>138.228008779044</v>
      </c>
      <c r="G1396" s="6" t="n">
        <f aca="false">Sens!G1381</f>
        <v>149.845166545192</v>
      </c>
      <c r="H1396" s="6" t="n">
        <f aca="false">Sens!H1381</f>
        <v>160.636763588321</v>
      </c>
      <c r="I1396" s="6" t="n">
        <f aca="false">Sens!I1381</f>
        <v>169.531072048101</v>
      </c>
      <c r="J1396" s="6" t="n">
        <f aca="false">Sens!J1381</f>
        <v>175.888474687935</v>
      </c>
      <c r="K1396" s="6" t="n">
        <f aca="false">Sens!K1381</f>
        <v>179.438967774504</v>
      </c>
    </row>
    <row r="1397" customFormat="false" ht="17.15" hidden="false" customHeight="false" outlineLevel="0" collapsed="false">
      <c r="A1397" s="1" t="s">
        <v>843</v>
      </c>
      <c r="B1397" s="0" t="s">
        <v>95</v>
      </c>
      <c r="E1397" s="6" t="n">
        <f aca="false">Q!M38-Sens!E1321</f>
        <v>18.9675128275</v>
      </c>
      <c r="F1397" s="6" t="n">
        <f aca="false">Sens!E1397*(1-1/life_nonai)+Sens!F1403/life_nonai</f>
        <v>20.6286962677062</v>
      </c>
      <c r="G1397" s="6" t="n">
        <f aca="false">Sens!F1397*(1-1/life_nonai)+Sens!G1403/life_nonai</f>
        <v>22.6811159979745</v>
      </c>
      <c r="H1397" s="6" t="n">
        <f aca="false">Sens!G1397*(1-1/life_nonai)+Sens!H1403/life_nonai</f>
        <v>25.0941557625861</v>
      </c>
      <c r="I1397" s="6" t="n">
        <f aca="false">Sens!H1397*(1-1/life_nonai)+Sens!I1403/life_nonai</f>
        <v>27.8045802174918</v>
      </c>
      <c r="J1397" s="6" t="n">
        <f aca="false">Sens!I1397*(1-1/life_nonai)+Sens!J1403/life_nonai</f>
        <v>30.73221352078</v>
      </c>
      <c r="K1397" s="6" t="n">
        <f aca="false">Sens!J1397*(1-1/life_nonai)+Sens!K1403/life_nonai</f>
        <v>33.7958624429014</v>
      </c>
      <c r="L1397" s="11" t="s">
        <v>844</v>
      </c>
    </row>
    <row r="1398" customFormat="false" ht="17.15" hidden="false" customHeight="false" outlineLevel="0" collapsed="false">
      <c r="A1398" s="1" t="s">
        <v>845</v>
      </c>
      <c r="B1398" s="0" t="s">
        <v>95</v>
      </c>
      <c r="E1398" s="6" t="n">
        <f aca="false">Sens!E1321+Sens!E1397</f>
        <v>38.534</v>
      </c>
      <c r="F1398" s="6" t="n">
        <f aca="false">Sens!F1321+Sens!F1397</f>
        <v>61.4885611248529</v>
      </c>
      <c r="G1398" s="6" t="n">
        <f aca="false">Sens!G1321+Sens!G1397</f>
        <v>93.6316405305879</v>
      </c>
      <c r="H1398" s="6" t="n">
        <f aca="false">Sens!H1321+Sens!H1397</f>
        <v>128.727379574559</v>
      </c>
      <c r="I1398" s="6" t="n">
        <f aca="false">Sens!I1321+Sens!I1397</f>
        <v>165.343642927045</v>
      </c>
      <c r="J1398" s="6" t="n">
        <f aca="false">Sens!J1321+Sens!J1397</f>
        <v>203.343791690913</v>
      </c>
      <c r="K1398" s="6" t="n">
        <f aca="false">Sens!K1321+Sens!K1397</f>
        <v>243.025014224615</v>
      </c>
    </row>
    <row r="1399" customFormat="false" ht="15" hidden="false" customHeight="false" outlineLevel="0" collapsed="false">
      <c r="A1399" s="1" t="s">
        <v>685</v>
      </c>
      <c r="B1399" s="0" t="s">
        <v>95</v>
      </c>
      <c r="F1399" s="6" t="n">
        <f aca="false">Sens!F1348*sbc_r</f>
        <v>14.9308704941267</v>
      </c>
      <c r="G1399" s="6" t="n">
        <f aca="false">Sens!G1348*sbc_r</f>
        <v>17.7641108812713</v>
      </c>
      <c r="H1399" s="6" t="n">
        <f aca="false">Sens!H1348*sbc_r</f>
        <v>20.6640880611968</v>
      </c>
      <c r="I1399" s="6" t="n">
        <f aca="false">Sens!I1348*sbc_r</f>
        <v>23.4969326339241</v>
      </c>
      <c r="J1399" s="6" t="n">
        <f aca="false">Sens!J1348*sbc_r</f>
        <v>26.2083031015503</v>
      </c>
      <c r="K1399" s="6" t="n">
        <f aca="false">Sens!K1348*sbc_r</f>
        <v>28.8002841446643</v>
      </c>
    </row>
    <row r="1400" customFormat="false" ht="17.15" hidden="false" customHeight="false" outlineLevel="0" collapsed="false">
      <c r="A1400" s="1" t="s">
        <v>846</v>
      </c>
      <c r="B1400" s="0" t="s">
        <v>95</v>
      </c>
      <c r="F1400" s="6" t="n">
        <f aca="false">wc27</f>
        <v>-4.895</v>
      </c>
      <c r="G1400" s="6" t="n">
        <f aca="false">0</f>
        <v>0</v>
      </c>
      <c r="H1400" s="6" t="n">
        <f aca="false">0</f>
        <v>0</v>
      </c>
      <c r="I1400" s="6" t="n">
        <f aca="false">0</f>
        <v>0</v>
      </c>
      <c r="J1400" s="6" t="n">
        <f aca="false">0</f>
        <v>0</v>
      </c>
      <c r="K1400" s="6" t="n">
        <f aca="false">0</f>
        <v>0</v>
      </c>
      <c r="L1400" s="11" t="s">
        <v>847</v>
      </c>
    </row>
    <row r="1401" customFormat="false" ht="15" hidden="false" customHeight="false" outlineLevel="0" collapsed="false">
      <c r="A1401" s="1" t="s">
        <v>678</v>
      </c>
      <c r="B1401" s="0" t="s">
        <v>95</v>
      </c>
      <c r="E1401" s="6" t="n">
        <f aca="false">Q!M35</f>
        <v>182.935</v>
      </c>
      <c r="F1401" s="6" t="n">
        <f aca="false">Sens!F1396+Sens!F1398+Sens!F1399+Sens!F1400</f>
        <v>209.752440398024</v>
      </c>
      <c r="G1401" s="6" t="n">
        <f aca="false">Sens!G1396+Sens!G1398+Sens!G1399+Sens!G1400</f>
        <v>261.240917957051</v>
      </c>
      <c r="H1401" s="6" t="n">
        <f aca="false">Sens!H1396+Sens!H1398+Sens!H1399+Sens!H1400</f>
        <v>310.028231224077</v>
      </c>
      <c r="I1401" s="6" t="n">
        <f aca="false">Sens!I1396+Sens!I1398+Sens!I1399+Sens!I1400</f>
        <v>358.37164760907</v>
      </c>
      <c r="J1401" s="6" t="n">
        <f aca="false">Sens!J1396+Sens!J1398+Sens!J1399+Sens!J1400</f>
        <v>405.440569480399</v>
      </c>
      <c r="K1401" s="6" t="n">
        <f aca="false">Sens!K1396+Sens!K1398+Sens!K1399+Sens!K1400</f>
        <v>451.264266143783</v>
      </c>
    </row>
    <row r="1402" customFormat="false" ht="17.15" hidden="false" customHeight="false" outlineLevel="0" collapsed="false">
      <c r="A1402" s="0" t="s">
        <v>848</v>
      </c>
      <c r="B1402" s="0" t="s">
        <v>95</v>
      </c>
      <c r="F1402" s="6" t="n">
        <f aca="false">Sens!F1318</f>
        <v>192.39945104576</v>
      </c>
      <c r="G1402" s="6" t="n">
        <f aca="false">Sens!G1318</f>
        <v>220.28901657984</v>
      </c>
      <c r="H1402" s="6" t="n">
        <f aca="false">Sens!H1318</f>
        <v>225.69634309248</v>
      </c>
      <c r="I1402" s="6" t="n">
        <f aca="false">Sens!I1318</f>
        <v>262.00675350848</v>
      </c>
      <c r="J1402" s="6" t="n">
        <f aca="false">Sens!J1318</f>
        <v>280.53247310848</v>
      </c>
      <c r="K1402" s="6" t="n">
        <f aca="false">Sens!K1318</f>
        <v>334.62757434048</v>
      </c>
    </row>
    <row r="1403" customFormat="false" ht="17.15" hidden="false" customHeight="false" outlineLevel="0" collapsed="false">
      <c r="A1403" s="1" t="s">
        <v>849</v>
      </c>
      <c r="B1403" s="0" t="s">
        <v>95</v>
      </c>
      <c r="E1403" s="6" t="n">
        <f aca="false">Sens!E1326*cx_azo+Sens!E1333*cx_m365+Sens!E1334*cx_lic+(Sens!E1336+Sens!E1338)*cx_ind+Sens!E1341*cx_srch+(Sens!E1343+Sens!E1345)*cx_dev</f>
        <v>30.1846587067718</v>
      </c>
      <c r="F1403" s="6" t="n">
        <f aca="false">Sens!F1326*cx_azo+Sens!F1333*cx_m365+Sens!F1334*cx_lic+(Sens!F1336+Sens!F1338)*cx_ind+Sens!F1341*cx_srch+(Sens!F1343+Sens!F1345)*cx_dev</f>
        <v>35.5793472295625</v>
      </c>
      <c r="G1403" s="6" t="n">
        <f aca="false">Sens!G1326*cx_azo+Sens!G1333*cx_m365+Sens!G1334*cx_lic+(Sens!G1336+Sens!G1338)*cx_ind+Sens!G1341*cx_srch+(Sens!G1343+Sens!G1345)*cx_dev</f>
        <v>41.1528935703892</v>
      </c>
      <c r="H1403" s="6" t="n">
        <f aca="false">Sens!H1326*cx_azo+Sens!H1333*cx_m365+Sens!H1334*cx_lic+(Sens!H1336+Sens!H1338)*cx_ind+Sens!H1341*cx_srch+(Sens!H1343+Sens!H1345)*cx_dev</f>
        <v>46.8115136440897</v>
      </c>
      <c r="I1403" s="6" t="n">
        <f aca="false">Sens!I1326*cx_azo+Sens!I1333*cx_m365+Sens!I1334*cx_lic+(Sens!I1336+Sens!I1338)*cx_ind+Sens!I1341*cx_srch+(Sens!I1343+Sens!I1345)*cx_dev</f>
        <v>52.1984003116439</v>
      </c>
      <c r="J1403" s="6" t="n">
        <f aca="false">Sens!J1326*cx_azo+Sens!J1333*cx_m365+Sens!J1334*cx_lic+(Sens!J1336+Sens!J1338)*cx_ind+Sens!J1341*cx_srch+(Sens!J1343+Sens!J1345)*cx_dev</f>
        <v>57.0809132503738</v>
      </c>
      <c r="K1403" s="6" t="n">
        <f aca="false">Sens!K1326*cx_azo+Sens!K1333*cx_m365+Sens!K1334*cx_lic+(Sens!K1336+Sens!K1338)*cx_ind+Sens!K1341*cx_srch+(Sens!K1343+Sens!K1345)*cx_dev</f>
        <v>61.368702741994</v>
      </c>
    </row>
    <row r="1404" customFormat="false" ht="17.15" hidden="false" customHeight="false" outlineLevel="0" collapsed="false">
      <c r="A1404" s="1" t="s">
        <v>850</v>
      </c>
      <c r="B1404" s="0" t="s">
        <v>95</v>
      </c>
      <c r="E1404" s="6" t="n">
        <f aca="false">Q!M42</f>
        <v>145.3</v>
      </c>
      <c r="F1404" s="6" t="n">
        <f aca="false">Sens!F1402+Sens!F1403</f>
        <v>227.978798275322</v>
      </c>
      <c r="G1404" s="6" t="n">
        <f aca="false">Sens!G1402+Sens!G1403</f>
        <v>261.441910150229</v>
      </c>
      <c r="H1404" s="6" t="n">
        <f aca="false">Sens!H1402+Sens!H1403</f>
        <v>272.50785673657</v>
      </c>
      <c r="I1404" s="6" t="n">
        <f aca="false">Sens!I1402+Sens!I1403</f>
        <v>314.205153820124</v>
      </c>
      <c r="J1404" s="6" t="n">
        <f aca="false">Sens!J1402+Sens!J1403</f>
        <v>337.613386358854</v>
      </c>
      <c r="K1404" s="6" t="n">
        <f aca="false">Sens!K1402+Sens!K1403</f>
        <v>395.996277082474</v>
      </c>
      <c r="L1404" s="1" t="s">
        <v>851</v>
      </c>
    </row>
    <row r="1405" customFormat="false" ht="15" hidden="false" customHeight="false" outlineLevel="0" collapsed="false">
      <c r="A1405" s="1" t="s">
        <v>852</v>
      </c>
      <c r="B1405" s="0" t="s">
        <v>95</v>
      </c>
      <c r="E1405" s="6" t="n">
        <f aca="false">fl_liab</f>
        <v>66.594</v>
      </c>
      <c r="F1405" s="6" t="n">
        <f aca="false">Sens!E1405-Sens!F1406</f>
        <v>62.46973</v>
      </c>
      <c r="G1405" s="6" t="n">
        <f aca="false">Sens!F1405-Sens!G1406</f>
        <v>57.98686785</v>
      </c>
      <c r="H1405" s="6" t="n">
        <f aca="false">Sens!G1405-Sens!H1406</f>
        <v>53.92827690325</v>
      </c>
      <c r="I1405" s="6" t="n">
        <f aca="false">Sens!H1405-Sens!I1406</f>
        <v>49.7850493638962</v>
      </c>
      <c r="J1405" s="6" t="n">
        <f aca="false">Sens!I1405-Sens!J1406</f>
        <v>45.4823765852716</v>
      </c>
      <c r="K1405" s="6" t="n">
        <f aca="false">Sens!J1405-Sens!K1406</f>
        <v>40.9860835316088</v>
      </c>
    </row>
    <row r="1406" customFormat="false" ht="15" hidden="false" customHeight="false" outlineLevel="0" collapsed="false">
      <c r="A1406" s="1" t="s">
        <v>853</v>
      </c>
      <c r="B1406" s="0" t="s">
        <v>95</v>
      </c>
      <c r="F1406" s="6" t="n">
        <f aca="false">fl_pay_27-Sens!E1405*fl_rate</f>
        <v>4.12427</v>
      </c>
      <c r="G1406" s="6" t="n">
        <f aca="false">fl_pay_28-Sens!F1405*fl_rate</f>
        <v>4.48286215</v>
      </c>
      <c r="H1406" s="6" t="n">
        <f aca="false">fl_pay_29-Sens!G1405*fl_rate</f>
        <v>4.05859094675</v>
      </c>
      <c r="I1406" s="6" t="n">
        <f aca="false">fl_pay_30-Sens!H1405*fl_rate</f>
        <v>4.14322753935375</v>
      </c>
      <c r="J1406" s="6" t="n">
        <f aca="false">fl_pay_31-Sens!I1405*fl_rate</f>
        <v>4.30267277862467</v>
      </c>
      <c r="K1406" s="6" t="n">
        <f aca="false">fl_pay_32-Sens!J1405*fl_rate</f>
        <v>4.49629305366278</v>
      </c>
    </row>
    <row r="1407" customFormat="false" ht="17.15" hidden="false" customHeight="false" outlineLevel="0" collapsed="false">
      <c r="A1407" s="1" t="s">
        <v>854</v>
      </c>
      <c r="B1407" s="0" t="s">
        <v>95</v>
      </c>
      <c r="E1407" s="6" t="n">
        <f aca="false">Q!M35-Q!M36-Q!M43</f>
        <v>63.886</v>
      </c>
      <c r="F1407" s="6" t="n">
        <f aca="false">Sens!F1401-Sens!F1404-Sens!F1406</f>
        <v>-22.3506278772985</v>
      </c>
      <c r="G1407" s="6" t="n">
        <f aca="false">Sens!G1401-Sens!G1404-Sens!G1406</f>
        <v>-4.68385434317797</v>
      </c>
      <c r="H1407" s="6" t="n">
        <f aca="false">Sens!H1401-Sens!H1404-Sens!H1406</f>
        <v>33.4617835407575</v>
      </c>
      <c r="I1407" s="6" t="n">
        <f aca="false">Sens!I1401-Sens!I1404-Sens!I1406</f>
        <v>40.0232662495925</v>
      </c>
      <c r="J1407" s="6" t="n">
        <f aca="false">Sens!J1401-Sens!J1404-Sens!J1406</f>
        <v>63.5245103429203</v>
      </c>
      <c r="K1407" s="6" t="n">
        <f aca="false">Sens!K1401-Sens!K1404-Sens!K1406</f>
        <v>50.7716960076459</v>
      </c>
      <c r="L1407" s="11" t="s">
        <v>855</v>
      </c>
    </row>
    <row r="1408" customFormat="false" ht="15" hidden="false" customHeight="false" outlineLevel="0" collapsed="false">
      <c r="A1408" s="1" t="s">
        <v>856</v>
      </c>
      <c r="B1408" s="0" t="s">
        <v>73</v>
      </c>
      <c r="F1408" s="8" t="n">
        <f aca="false">dps_27</f>
        <v>3.85</v>
      </c>
      <c r="G1408" s="8" t="n">
        <f aca="false">Sens!F1408*(1+dps_g)</f>
        <v>4.158</v>
      </c>
      <c r="H1408" s="8" t="n">
        <f aca="false">Sens!G1408*(1+dps_g)</f>
        <v>4.49064</v>
      </c>
      <c r="I1408" s="8" t="n">
        <f aca="false">Sens!H1408*(1+dps_g)</f>
        <v>4.8498912</v>
      </c>
      <c r="J1408" s="8" t="n">
        <f aca="false">Sens!I1408*(1+dps_g)</f>
        <v>5.237882496</v>
      </c>
      <c r="K1408" s="8" t="n">
        <f aca="false">Sens!J1408*(1+dps_g)</f>
        <v>5.65691309568</v>
      </c>
    </row>
    <row r="1409" customFormat="false" ht="17.15" hidden="false" customHeight="false" outlineLevel="0" collapsed="false">
      <c r="A1409" s="1" t="s">
        <v>857</v>
      </c>
      <c r="B1409" s="0" t="s">
        <v>95</v>
      </c>
      <c r="E1409" s="6" t="n">
        <f aca="false">Q!M41</f>
        <v>26.445</v>
      </c>
      <c r="F1409" s="6" t="n">
        <f aca="false">Sens!F1408*Sens!E1418</f>
        <v>28.59395</v>
      </c>
      <c r="G1409" s="6" t="n">
        <f aca="false">Sens!G1408*Sens!F1418</f>
        <v>31.068576</v>
      </c>
      <c r="H1409" s="6" t="n">
        <f aca="false">Sens!H1408*Sens!G1418</f>
        <v>33.75614088</v>
      </c>
      <c r="I1409" s="6" t="n">
        <f aca="false">Sens!I1408*Sens!H1418</f>
        <v>36.6748772544</v>
      </c>
      <c r="J1409" s="6" t="n">
        <f aca="false">Sens!J1408*Sens!I1418</f>
        <v>39.8194181300162</v>
      </c>
      <c r="K1409" s="6" t="n">
        <f aca="false">Sens!K1408*Sens!J1418</f>
        <v>43.0922268057225</v>
      </c>
      <c r="L1409" s="1" t="s">
        <v>858</v>
      </c>
    </row>
    <row r="1410" customFormat="false" ht="15" hidden="false" customHeight="false" outlineLevel="0" collapsed="false">
      <c r="A1410" s="1" t="s">
        <v>859</v>
      </c>
      <c r="B1410" s="0" t="s">
        <v>95</v>
      </c>
      <c r="E1410" s="6" t="n">
        <f aca="false">Sens!E1407-Sens!E1409</f>
        <v>37.441</v>
      </c>
      <c r="F1410" s="6" t="n">
        <f aca="false">Sens!F1407-Sens!F1409</f>
        <v>-50.9445778772985</v>
      </c>
      <c r="G1410" s="6" t="n">
        <f aca="false">Sens!G1407-Sens!G1409</f>
        <v>-35.752430343178</v>
      </c>
      <c r="H1410" s="6" t="n">
        <f aca="false">Sens!H1407-Sens!H1409</f>
        <v>-0.294357339242481</v>
      </c>
      <c r="I1410" s="6" t="n">
        <f aca="false">Sens!I1407-Sens!I1409</f>
        <v>3.34838899519254</v>
      </c>
      <c r="J1410" s="6" t="n">
        <f aca="false">Sens!J1407-Sens!J1409</f>
        <v>23.7050922129041</v>
      </c>
      <c r="K1410" s="6" t="n">
        <f aca="false">Sens!K1407-Sens!K1409</f>
        <v>7.67946920192342</v>
      </c>
    </row>
    <row r="1411" customFormat="false" ht="15" hidden="false" customHeight="false" outlineLevel="0" collapsed="false">
      <c r="A1411" s="1" t="s">
        <v>860</v>
      </c>
      <c r="B1411" s="0" t="s">
        <v>95</v>
      </c>
      <c r="F1411" s="6" t="n">
        <f aca="false">debt_mat_27</f>
        <v>9.25</v>
      </c>
      <c r="G1411" s="6" t="n">
        <f aca="false">debt_mat_28</f>
        <v>0</v>
      </c>
      <c r="H1411" s="6" t="n">
        <f aca="false">debt_mat_29</f>
        <v>2.001</v>
      </c>
      <c r="I1411" s="6" t="n">
        <f aca="false">debt_mat_30</f>
        <v>0</v>
      </c>
      <c r="J1411" s="6" t="n">
        <f aca="false">debt_mat_31</f>
        <v>0.5</v>
      </c>
      <c r="K1411" s="6" t="n">
        <f aca="false">debt_mat_32</f>
        <v>0</v>
      </c>
    </row>
    <row r="1412" customFormat="false" ht="15" hidden="false" customHeight="false" outlineLevel="0" collapsed="false">
      <c r="A1412" s="1" t="s">
        <v>861</v>
      </c>
      <c r="B1412" s="0" t="s">
        <v>95</v>
      </c>
      <c r="E1412" s="6" t="n">
        <f aca="false">Q!M40</f>
        <v>22.271</v>
      </c>
      <c r="F1412" s="6" t="n">
        <f aca="false">MAX(0,MIN(bb_target,Sens!E1414+Sens!F1410-Sens!F1411-min_cash))</f>
        <v>0</v>
      </c>
      <c r="G1412" s="6" t="n">
        <f aca="false">MAX(0,MIN(bb_target,Sens!F1414+Sens!G1410-Sens!G1411-min_cash))</f>
        <v>0</v>
      </c>
      <c r="H1412" s="6" t="n">
        <f aca="false">MAX(0,MIN(bb_target,Sens!G1414+Sens!H1410-Sens!H1411-min_cash))</f>
        <v>0</v>
      </c>
      <c r="I1412" s="6" t="n">
        <f aca="false">MAX(0,MIN(bb_target,Sens!H1414+Sens!I1410-Sens!I1411-min_cash))</f>
        <v>3.34838899519254</v>
      </c>
      <c r="J1412" s="6" t="n">
        <f aca="false">MAX(0,MIN(bb_target,Sens!I1414+Sens!J1410-Sens!J1411-min_cash))</f>
        <v>22.271</v>
      </c>
      <c r="K1412" s="6" t="n">
        <f aca="false">MAX(0,MIN(bb_target,Sens!J1414+Sens!K1410-Sens!K1411-min_cash))</f>
        <v>8.61356141482751</v>
      </c>
    </row>
    <row r="1413" customFormat="false" ht="15" hidden="false" customHeight="false" outlineLevel="0" collapsed="false">
      <c r="A1413" s="1" t="s">
        <v>862</v>
      </c>
      <c r="B1413" s="0" t="s">
        <v>95</v>
      </c>
      <c r="F1413" s="6" t="n">
        <f aca="false">MAX(0,min_cash-(Sens!E1414+Sens!F1410-Sens!F1411-Sens!F1412))</f>
        <v>33.3515778772985</v>
      </c>
      <c r="G1413" s="6" t="n">
        <f aca="false">MAX(0,min_cash-(Sens!F1414+Sens!G1410-Sens!G1411-Sens!G1412))</f>
        <v>35.752430343178</v>
      </c>
      <c r="H1413" s="6" t="n">
        <f aca="false">MAX(0,min_cash-(Sens!G1414+Sens!H1410-Sens!H1411-Sens!H1412))</f>
        <v>2.29535733924248</v>
      </c>
      <c r="I1413" s="6" t="n">
        <f aca="false">MAX(0,min_cash-(Sens!H1414+Sens!I1410-Sens!I1411-Sens!I1412))</f>
        <v>0</v>
      </c>
      <c r="J1413" s="6" t="n">
        <f aca="false">MAX(0,min_cash-(Sens!I1414+Sens!J1410-Sens!J1411-Sens!J1412))</f>
        <v>0</v>
      </c>
      <c r="K1413" s="6" t="n">
        <f aca="false">MAX(0,min_cash-(Sens!J1414+Sens!K1410-Sens!K1411-Sens!K1412))</f>
        <v>0</v>
      </c>
    </row>
    <row r="1414" customFormat="false" ht="15" hidden="false" customHeight="false" outlineLevel="0" collapsed="false">
      <c r="A1414" s="1" t="s">
        <v>863</v>
      </c>
      <c r="B1414" s="0" t="s">
        <v>95</v>
      </c>
      <c r="E1414" s="6" t="n">
        <f aca="false">cash_open</f>
        <v>76.843</v>
      </c>
      <c r="F1414" s="6" t="n">
        <f aca="false">Sens!E1414+Sens!F1410-Sens!F1411-Sens!F1412+Sens!F1413</f>
        <v>50</v>
      </c>
      <c r="G1414" s="6" t="n">
        <f aca="false">Sens!F1414+Sens!G1410-Sens!G1411-Sens!G1412+Sens!G1413</f>
        <v>50</v>
      </c>
      <c r="H1414" s="6" t="n">
        <f aca="false">Sens!G1414+Sens!H1410-Sens!H1411-Sens!H1412+Sens!H1413</f>
        <v>50</v>
      </c>
      <c r="I1414" s="6" t="n">
        <f aca="false">Sens!H1414+Sens!I1410-Sens!I1411-Sens!I1412+Sens!I1413</f>
        <v>50</v>
      </c>
      <c r="J1414" s="6" t="n">
        <f aca="false">Sens!I1414+Sens!J1410-Sens!J1411-Sens!J1412+Sens!J1413</f>
        <v>50.9340922129041</v>
      </c>
      <c r="K1414" s="6" t="n">
        <f aca="false">Sens!J1414+Sens!K1410-Sens!K1411-Sens!K1412+Sens!K1413</f>
        <v>50</v>
      </c>
    </row>
    <row r="1415" customFormat="false" ht="15" hidden="false" customHeight="false" outlineLevel="0" collapsed="false">
      <c r="A1415" s="1" t="s">
        <v>864</v>
      </c>
      <c r="B1415" s="0" t="s">
        <v>95</v>
      </c>
      <c r="E1415" s="6" t="n">
        <f aca="false">debt_face</f>
        <v>46.136</v>
      </c>
      <c r="F1415" s="6" t="n">
        <f aca="false">Sens!E1415-Sens!F1411+Sens!F1413</f>
        <v>70.2375778772986</v>
      </c>
      <c r="G1415" s="6" t="n">
        <f aca="false">Sens!F1415-Sens!G1411+Sens!G1413</f>
        <v>105.990008220477</v>
      </c>
      <c r="H1415" s="6" t="n">
        <f aca="false">Sens!G1415-Sens!H1411+Sens!H1413</f>
        <v>106.284365559719</v>
      </c>
      <c r="I1415" s="6" t="n">
        <f aca="false">Sens!H1415-Sens!I1411+Sens!I1413</f>
        <v>106.284365559719</v>
      </c>
      <c r="J1415" s="6" t="n">
        <f aca="false">Sens!I1415-Sens!J1411+Sens!J1413</f>
        <v>105.784365559719</v>
      </c>
      <c r="K1415" s="6" t="n">
        <f aca="false">Sens!J1415-Sens!K1411+Sens!K1413</f>
        <v>105.784365559719</v>
      </c>
    </row>
    <row r="1416" customFormat="false" ht="15" hidden="false" customHeight="false" outlineLevel="0" collapsed="false">
      <c r="A1416" s="1" t="s">
        <v>865</v>
      </c>
      <c r="B1416" s="0" t="s">
        <v>95</v>
      </c>
      <c r="E1416" s="6" t="n">
        <f aca="false">Sens!E1414-Sens!E1415</f>
        <v>30.707</v>
      </c>
      <c r="F1416" s="6" t="n">
        <f aca="false">Sens!F1414-Sens!F1415</f>
        <v>-20.2375778772986</v>
      </c>
      <c r="G1416" s="6" t="n">
        <f aca="false">Sens!G1414-Sens!G1415</f>
        <v>-55.9900082204765</v>
      </c>
      <c r="H1416" s="6" t="n">
        <f aca="false">Sens!H1414-Sens!H1415</f>
        <v>-56.284365559719</v>
      </c>
      <c r="I1416" s="6" t="n">
        <f aca="false">Sens!I1414-Sens!I1415</f>
        <v>-56.284365559719</v>
      </c>
      <c r="J1416" s="6" t="n">
        <f aca="false">Sens!J1414-Sens!J1415</f>
        <v>-54.8502733468149</v>
      </c>
      <c r="K1416" s="6" t="n">
        <f aca="false">Sens!K1414-Sens!K1415</f>
        <v>-55.784365559719</v>
      </c>
    </row>
    <row r="1417" customFormat="false" ht="15" hidden="false" customHeight="false" outlineLevel="0" collapsed="false">
      <c r="A1417" s="1" t="s">
        <v>866</v>
      </c>
      <c r="B1417" s="0" t="s">
        <v>73</v>
      </c>
      <c r="F1417" s="27" t="n">
        <f aca="false">px*(1+bb_g)^(1-0.5)</f>
        <v>553.494156066711</v>
      </c>
      <c r="G1417" s="27" t="n">
        <f aca="false">px*(1+bb_g)^(2-0.5)</f>
        <v>597.773688552047</v>
      </c>
      <c r="H1417" s="27" t="n">
        <f aca="false">px*(1+bb_g)^(3-0.5)</f>
        <v>645.595583636211</v>
      </c>
      <c r="I1417" s="27" t="n">
        <f aca="false">px*(1+bb_g)^(4-0.5)</f>
        <v>697.243230327108</v>
      </c>
      <c r="J1417" s="27" t="n">
        <f aca="false">px*(1+bb_g)^(5-0.5)</f>
        <v>753.022688753277</v>
      </c>
      <c r="K1417" s="27" t="n">
        <f aca="false">px*(1+bb_g)^(6-0.5)</f>
        <v>813.264503853539</v>
      </c>
    </row>
    <row r="1418" customFormat="false" ht="15" hidden="false" customHeight="false" outlineLevel="0" collapsed="false">
      <c r="A1418" s="1" t="s">
        <v>867</v>
      </c>
      <c r="B1418" s="1" t="s">
        <v>79</v>
      </c>
      <c r="E1418" s="18" t="n">
        <f aca="false">sh_out26</f>
        <v>7.427</v>
      </c>
      <c r="F1418" s="18" t="n">
        <f aca="false">Sens!E1418+sh_iss-Sens!F1412/Sens!F1417</f>
        <v>7.472</v>
      </c>
      <c r="G1418" s="18" t="n">
        <f aca="false">Sens!F1418+sh_iss-Sens!G1412/Sens!G1417</f>
        <v>7.517</v>
      </c>
      <c r="H1418" s="18" t="n">
        <f aca="false">Sens!G1418+sh_iss-Sens!H1412/Sens!H1417</f>
        <v>7.562</v>
      </c>
      <c r="I1418" s="18" t="n">
        <f aca="false">Sens!H1418+sh_iss-Sens!I1412/Sens!I1417</f>
        <v>7.60219767442759</v>
      </c>
      <c r="J1418" s="18" t="n">
        <f aca="false">Sens!I1418+sh_iss-Sens!J1412/Sens!J1417</f>
        <v>7.61762220434863</v>
      </c>
      <c r="K1418" s="18" t="n">
        <f aca="false">Sens!J1418+sh_iss-Sens!K1412/Sens!K1417</f>
        <v>7.652030863679</v>
      </c>
    </row>
    <row r="1419" customFormat="false" ht="15" hidden="false" customHeight="false" outlineLevel="0" collapsed="false">
      <c r="A1419" s="1" t="s">
        <v>868</v>
      </c>
      <c r="B1419" s="1" t="s">
        <v>79</v>
      </c>
      <c r="E1419" s="18" t="n">
        <f aca="false">sh_dil26</f>
        <v>7.453</v>
      </c>
      <c r="F1419" s="18" t="n">
        <f aca="false">(Sens!E1418+Sens!F1418)/2+dil_gap</f>
        <v>7.4735</v>
      </c>
      <c r="G1419" s="18" t="n">
        <f aca="false">(Sens!F1418+Sens!G1418)/2+dil_gap</f>
        <v>7.5185</v>
      </c>
      <c r="H1419" s="18" t="n">
        <f aca="false">(Sens!G1418+Sens!H1418)/2+dil_gap</f>
        <v>7.5635</v>
      </c>
      <c r="I1419" s="18" t="n">
        <f aca="false">(Sens!H1418+Sens!I1418)/2+dil_gap</f>
        <v>7.60609883721379</v>
      </c>
      <c r="J1419" s="18" t="n">
        <f aca="false">(Sens!I1418+Sens!J1418)/2+dil_gap</f>
        <v>7.63390993938811</v>
      </c>
      <c r="K1419" s="18" t="n">
        <f aca="false">(Sens!J1418+Sens!K1418)/2+dil_gap</f>
        <v>7.65882653401381</v>
      </c>
    </row>
    <row r="1420" customFormat="false" ht="17.15" hidden="false" customHeight="false" outlineLevel="0" collapsed="false">
      <c r="A1420" s="1" t="s">
        <v>869</v>
      </c>
      <c r="B1420" s="0" t="s">
        <v>95</v>
      </c>
      <c r="C1420" s="6" t="n">
        <f aca="false">SUM(Sens!F1410:J1410)</f>
        <v>-59.9378843516224</v>
      </c>
    </row>
    <row r="1421" customFormat="false" ht="17.15" hidden="false" customHeight="false" outlineLevel="0" collapsed="false">
      <c r="A1421" s="1" t="s">
        <v>836</v>
      </c>
      <c r="B1421" s="1" t="s">
        <v>870</v>
      </c>
      <c r="C1421" s="30" t="str">
        <f aca="false">IF(SUM(Sens!F1413:J1413)&gt;0.05,"需要舉債 "&amp;TEXT(SUM(Sens!F1413:J1413),"0.0")&amp;" 十億美元","不需舉債")&amp;"；"&amp;IF(SUM(Sens!F1412:J1412)&lt;5*bb_target-0.05,"回購較每年 "&amp;TEXT(bb_target,"0.0")&amp;" 的目標少 "&amp;TEXT(5*bb_target-SUM(Sens!F1412:J1412),"0.0")&amp;" 十億美元（"&amp;TEXT(COUNTIF(Sens!F1412:J1412,"&lt;"&amp;(bb_target-0.05)),"0")&amp;" 年減少）","回購不減")</f>
        <v>需要舉債 71.4 十億美元；回購較每年 22.3 的目標少 85.7 十億美元（4 年減少）</v>
      </c>
    </row>
    <row r="1422" customFormat="false" ht="17.15" hidden="false" customHeight="false" outlineLevel="0" collapsed="false">
      <c r="A1422" s="3" t="s">
        <v>1153</v>
      </c>
    </row>
    <row r="1423" customFormat="false" ht="15" hidden="false" customHeight="false" outlineLevel="0" collapsed="false">
      <c r="A1423" s="4" t="s">
        <v>43</v>
      </c>
      <c r="B1423" s="4" t="s">
        <v>63</v>
      </c>
      <c r="C1423" s="19" t="s">
        <v>710</v>
      </c>
      <c r="D1423" s="19" t="s">
        <v>711</v>
      </c>
      <c r="E1423" s="19" t="s">
        <v>712</v>
      </c>
      <c r="F1423" s="19" t="s">
        <v>713</v>
      </c>
      <c r="G1423" s="19" t="s">
        <v>714</v>
      </c>
      <c r="H1423" s="19" t="s">
        <v>715</v>
      </c>
      <c r="I1423" s="19" t="s">
        <v>716</v>
      </c>
      <c r="J1423" s="19" t="s">
        <v>717</v>
      </c>
      <c r="K1423" s="19" t="s">
        <v>718</v>
      </c>
      <c r="L1423" s="4" t="s">
        <v>47</v>
      </c>
    </row>
    <row r="1424" customFormat="false" ht="17.15" hidden="false" customHeight="false" outlineLevel="0" collapsed="false">
      <c r="A1424" s="1" t="s">
        <v>938</v>
      </c>
      <c r="B1424" s="1" t="s">
        <v>213</v>
      </c>
      <c r="F1424" s="34" t="n">
        <f aca="false">1-0.5</f>
        <v>0.5</v>
      </c>
      <c r="G1424" s="34" t="n">
        <f aca="false">2-0.5</f>
        <v>1.5</v>
      </c>
      <c r="H1424" s="34" t="n">
        <f aca="false">3-0.5</f>
        <v>2.5</v>
      </c>
      <c r="I1424" s="34" t="n">
        <f aca="false">4-0.5</f>
        <v>3.5</v>
      </c>
      <c r="J1424" s="34" t="n">
        <f aca="false">5-0.5</f>
        <v>4.5</v>
      </c>
      <c r="K1424" s="34" t="n">
        <f aca="false">6-0.5</f>
        <v>5.5</v>
      </c>
    </row>
    <row r="1425" customFormat="false" ht="15" hidden="false" customHeight="false" outlineLevel="0" collapsed="false">
      <c r="A1425" s="1" t="s">
        <v>939</v>
      </c>
      <c r="B1425" s="0" t="s">
        <v>182</v>
      </c>
      <c r="F1425" s="18" t="n">
        <f aca="false">1/(1+wacc)^Sens!F1424</f>
        <v>0.949601579913219</v>
      </c>
      <c r="G1425" s="18" t="n">
        <f aca="false">1/(1+wacc)^Sens!G1424</f>
        <v>0.856296729956707</v>
      </c>
      <c r="H1425" s="18" t="n">
        <f aca="false">1/(1+wacc)^Sens!H1424</f>
        <v>0.772159719660069</v>
      </c>
      <c r="I1425" s="18" t="n">
        <f aca="false">1/(1+wacc)^Sens!I1424</f>
        <v>0.696289746073958</v>
      </c>
      <c r="J1425" s="18" t="n">
        <f aca="false">1/(1+wacc)^Sens!J1424</f>
        <v>0.627874516299776</v>
      </c>
      <c r="K1425" s="18" t="n">
        <f aca="false">1/(1+wacc)^Sens!K1424</f>
        <v>0.566181550771831</v>
      </c>
    </row>
    <row r="1426" customFormat="false" ht="15" hidden="false" customHeight="false" outlineLevel="0" collapsed="false">
      <c r="A1426" s="1" t="s">
        <v>940</v>
      </c>
      <c r="B1426" s="0" t="s">
        <v>95</v>
      </c>
      <c r="F1426" s="6" t="n">
        <f aca="false">Sens!F1407*Sens!F1425</f>
        <v>-21.2241915443351</v>
      </c>
      <c r="G1426" s="6" t="n">
        <f aca="false">Sens!G1407*Sens!G1425</f>
        <v>-4.01076915765681</v>
      </c>
      <c r="H1426" s="6" t="n">
        <f aca="false">Sens!H1407*Sens!H1425</f>
        <v>25.8378413981572</v>
      </c>
      <c r="I1426" s="6" t="n">
        <f aca="false">Sens!I1407*Sens!I1425</f>
        <v>27.8677898939792</v>
      </c>
      <c r="J1426" s="6" t="n">
        <f aca="false">Sens!J1407*Sens!J1425</f>
        <v>39.8854212047412</v>
      </c>
      <c r="K1426" s="6" t="n">
        <f aca="false">Sens!K1407*Sens!K1425</f>
        <v>28.745997580925</v>
      </c>
    </row>
    <row r="1427" customFormat="false" ht="17.15" hidden="false" customHeight="false" outlineLevel="0" collapsed="false">
      <c r="A1427" s="1" t="s">
        <v>941</v>
      </c>
      <c r="B1427" s="0" t="s">
        <v>95</v>
      </c>
      <c r="C1427" s="6" t="n">
        <f aca="false">SUM(Sens!F1426:K1426)</f>
        <v>97.1020893758106</v>
      </c>
    </row>
    <row r="1428" customFormat="false" ht="17.15" hidden="false" customHeight="false" outlineLevel="0" collapsed="false">
      <c r="A1428" s="1" t="s">
        <v>942</v>
      </c>
      <c r="B1428" s="0" t="s">
        <v>95</v>
      </c>
      <c r="C1428" s="6" t="n">
        <f aca="false">Sens!K1373*(1+g_tv)*(1-tax_f)</f>
        <v>185.151736807739</v>
      </c>
    </row>
    <row r="1429" customFormat="false" ht="17.15" hidden="false" customHeight="false" outlineLevel="0" collapsed="false">
      <c r="A1429" s="1" t="s">
        <v>943</v>
      </c>
      <c r="B1429" s="0" t="s">
        <v>95</v>
      </c>
      <c r="C1429" s="6" t="n">
        <f aca="false">Sens!$C$1428*(1-g_tv/(wacc+ronic_prem))</f>
        <v>134.175342703413</v>
      </c>
    </row>
    <row r="1430" customFormat="false" ht="17.15" hidden="false" customHeight="false" outlineLevel="0" collapsed="false">
      <c r="A1430" s="1" t="s">
        <v>944</v>
      </c>
      <c r="B1430" s="0" t="s">
        <v>95</v>
      </c>
      <c r="C1430" s="6" t="n">
        <f aca="false">Sens!$C$1429/(wacc-g_tv)</f>
        <v>1699.21313681086</v>
      </c>
    </row>
    <row r="1431" customFormat="false" ht="15" hidden="false" customHeight="false" outlineLevel="0" collapsed="false">
      <c r="A1431" s="1" t="s">
        <v>945</v>
      </c>
      <c r="B1431" s="0" t="s">
        <v>95</v>
      </c>
      <c r="C1431" s="6" t="n">
        <f aca="false">Sens!$C$1430/(1+wacc)^6</f>
        <v>913.576667171568</v>
      </c>
    </row>
    <row r="1432" customFormat="false" ht="17.15" hidden="false" customHeight="false" outlineLevel="0" collapsed="false">
      <c r="A1432" s="0" t="s">
        <v>877</v>
      </c>
      <c r="B1432" s="0" t="s">
        <v>95</v>
      </c>
      <c r="C1432" s="6" t="n">
        <f aca="false">Sens!$C$1427+Sens!$C$1431</f>
        <v>1010.67875654738</v>
      </c>
    </row>
    <row r="1433" customFormat="false" ht="15" hidden="false" customHeight="false" outlineLevel="0" collapsed="false">
      <c r="A1433" s="1" t="s">
        <v>878</v>
      </c>
      <c r="B1433" s="0" t="s">
        <v>126</v>
      </c>
      <c r="C1433" s="7" t="n">
        <f aca="false">Sens!$C$1431/Sens!$C$1432</f>
        <v>0.903923884076158</v>
      </c>
    </row>
    <row r="1434" customFormat="false" ht="17.15" hidden="false" customHeight="false" outlineLevel="0" collapsed="false">
      <c r="A1434" s="1" t="s">
        <v>946</v>
      </c>
      <c r="B1434" s="0" t="s">
        <v>95</v>
      </c>
      <c r="C1434" s="6" t="n">
        <f aca="false">Sens!$C$1432+Sens!E1416+oai_v</f>
        <v>1211.78575654738</v>
      </c>
    </row>
    <row r="1435" customFormat="false" ht="17.15" hidden="false" customHeight="false" outlineLevel="0" collapsed="false">
      <c r="A1435" s="0" t="s">
        <v>883</v>
      </c>
      <c r="B1435" s="0" t="s">
        <v>73</v>
      </c>
      <c r="C1435" s="5" t="n">
        <f aca="false">Sens!$C$1434/sh_dil26</f>
        <v>162.590333630401</v>
      </c>
    </row>
    <row r="1436" customFormat="false" ht="17.15" hidden="false" customHeight="false" outlineLevel="0" collapsed="false">
      <c r="A1436" s="0" t="s">
        <v>947</v>
      </c>
      <c r="B1436" s="0" t="s">
        <v>73</v>
      </c>
      <c r="C1436" s="5" t="n">
        <f aca="false">Sens!$C$1435*(1+wacc)^t_roll</f>
        <v>186.490229932368</v>
      </c>
    </row>
    <row r="1437" customFormat="false" ht="17.15" hidden="false" customHeight="false" outlineLevel="0" collapsed="false">
      <c r="A1437" s="1" t="s">
        <v>948</v>
      </c>
      <c r="B1437" s="0" t="s">
        <v>126</v>
      </c>
      <c r="F1437" s="7" t="n">
        <f aca="false">Sens!F1397/(Sens!F1348-Sens!F1304)</f>
        <v>0.0599073899827283</v>
      </c>
      <c r="G1437" s="7" t="n">
        <f aca="false">Sens!G1397/(Sens!G1348-Sens!G1304)</f>
        <v>0.0587979151104463</v>
      </c>
      <c r="H1437" s="7" t="n">
        <f aca="false">Sens!H1397/(Sens!H1348-Sens!H1304)</f>
        <v>0.0586397721752385</v>
      </c>
      <c r="I1437" s="7" t="n">
        <f aca="false">Sens!I1397/(Sens!I1348-Sens!I1304)</f>
        <v>0.0593901289210231</v>
      </c>
      <c r="J1437" s="7" t="n">
        <f aca="false">Sens!J1397/(Sens!J1348-Sens!J1304)</f>
        <v>0.0608481359351483</v>
      </c>
      <c r="K1437" s="7" t="n">
        <f aca="false">Sens!K1397/(Sens!K1348-Sens!K1304)</f>
        <v>0.0627341115000511</v>
      </c>
    </row>
    <row r="1438" customFormat="false" ht="17.15" hidden="false" customHeight="false" outlineLevel="0" collapsed="false">
      <c r="A1438" s="0" t="s">
        <v>949</v>
      </c>
      <c r="B1438" s="0" t="s">
        <v>95</v>
      </c>
      <c r="F1438" s="6" t="n">
        <f aca="false">Sens!F1333*(al_m365+Sens!F1437)</f>
        <v>78.4579653000429</v>
      </c>
      <c r="G1438" s="6" t="n">
        <f aca="false">Sens!G1333*(al_m365+Sens!G1437)</f>
        <v>90.2844124520378</v>
      </c>
      <c r="H1438" s="6" t="n">
        <f aca="false">Sens!H1333*(al_m365+Sens!H1437)</f>
        <v>102.271844611799</v>
      </c>
      <c r="I1438" s="6" t="n">
        <f aca="false">Sens!I1333*(al_m365+Sens!I1437)</f>
        <v>113.305661923386</v>
      </c>
      <c r="J1438" s="6" t="n">
        <f aca="false">Sens!J1333*(al_m365+Sens!J1437)</f>
        <v>123.203704113126</v>
      </c>
      <c r="K1438" s="6" t="n">
        <f aca="false">Sens!K1333*(al_m365+Sens!K1437)</f>
        <v>132.731057068176</v>
      </c>
    </row>
    <row r="1439" customFormat="false" ht="17.15" hidden="false" customHeight="false" outlineLevel="0" collapsed="false">
      <c r="A1439" s="0" t="s">
        <v>950</v>
      </c>
      <c r="B1439" s="0" t="s">
        <v>95</v>
      </c>
      <c r="F1439" s="6" t="n">
        <f aca="false">Sens!F1334*(al_lic+Sens!F1437)</f>
        <v>31.6447691145464</v>
      </c>
      <c r="G1439" s="6" t="n">
        <f aca="false">Sens!G1334*(al_lic+Sens!G1437)</f>
        <v>32.9395592066227</v>
      </c>
      <c r="H1439" s="6" t="n">
        <f aca="false">Sens!H1334*(al_lic+Sens!H1437)</f>
        <v>34.1436812541464</v>
      </c>
      <c r="I1439" s="6" t="n">
        <f aca="false">Sens!I1334*(al_lic+Sens!I1437)</f>
        <v>35.2406833701932</v>
      </c>
      <c r="J1439" s="6" t="n">
        <f aca="false">Sens!J1334*(al_lic+Sens!J1437)</f>
        <v>36.2074595947531</v>
      </c>
      <c r="K1439" s="6" t="n">
        <f aca="false">Sens!K1334*(al_lic+Sens!K1437)</f>
        <v>37.0175091034367</v>
      </c>
    </row>
    <row r="1440" customFormat="false" ht="17.15" hidden="false" customHeight="false" outlineLevel="0" collapsed="false">
      <c r="A1440" s="0" t="s">
        <v>951</v>
      </c>
      <c r="B1440" s="0" t="s">
        <v>95</v>
      </c>
      <c r="F1440" s="6" t="n">
        <f aca="false">Sens!F1336*(al_ind+Sens!F1437)</f>
        <v>8.0465288150807</v>
      </c>
      <c r="G1440" s="6" t="n">
        <f aca="false">Sens!G1336*(al_ind+Sens!G1437)</f>
        <v>8.76873847174917</v>
      </c>
      <c r="H1440" s="6" t="n">
        <f aca="false">Sens!H1336*(al_ind+Sens!H1437)</f>
        <v>9.53042344565015</v>
      </c>
      <c r="I1440" s="6" t="n">
        <f aca="false">Sens!I1336*(al_ind+Sens!I1437)</f>
        <v>10.3293096530387</v>
      </c>
      <c r="J1440" s="6" t="n">
        <f aca="false">Sens!J1336*(al_ind+Sens!J1437)</f>
        <v>11.1571553650979</v>
      </c>
      <c r="K1440" s="6" t="n">
        <f aca="false">Sens!K1336*(al_ind+Sens!K1437)</f>
        <v>12.0005511062996</v>
      </c>
    </row>
    <row r="1441" customFormat="false" ht="17.15" hidden="false" customHeight="false" outlineLevel="0" collapsed="false">
      <c r="A1441" s="0" t="s">
        <v>952</v>
      </c>
      <c r="B1441" s="0" t="s">
        <v>95</v>
      </c>
      <c r="F1441" s="6" t="n">
        <f aca="false">Sens!F1338*(al_fro+Sens!F1437)</f>
        <v>3.16714199137663</v>
      </c>
      <c r="G1441" s="6" t="n">
        <f aca="false">Sens!G1338*(al_fro+Sens!G1437)</f>
        <v>3.36667715065948</v>
      </c>
      <c r="H1441" s="6" t="n">
        <f aca="false">Sens!H1338*(al_fro+Sens!H1437)</f>
        <v>3.59138975740245</v>
      </c>
      <c r="I1441" s="6" t="n">
        <f aca="false">Sens!I1338*(al_fro+Sens!I1437)</f>
        <v>3.8441486550705</v>
      </c>
      <c r="J1441" s="6" t="n">
        <f aca="false">Sens!J1338*(al_fro+Sens!J1437)</f>
        <v>4.12634482269828</v>
      </c>
      <c r="K1441" s="6" t="n">
        <f aca="false">Sens!K1338*(al_fro+Sens!K1437)</f>
        <v>4.43826497943287</v>
      </c>
    </row>
    <row r="1442" customFormat="false" ht="17.15" hidden="false" customHeight="false" outlineLevel="0" collapsed="false">
      <c r="A1442" s="0" t="s">
        <v>953</v>
      </c>
      <c r="B1442" s="0" t="s">
        <v>95</v>
      </c>
      <c r="F1442" s="6" t="n">
        <f aca="false">Sens!F1341*(al_srch+Sens!F1437)</f>
        <v>9.93757934329103</v>
      </c>
      <c r="G1442" s="6" t="n">
        <f aca="false">Sens!G1341*(al_srch+Sens!G1437)</f>
        <v>10.9316994225943</v>
      </c>
      <c r="H1442" s="6" t="n">
        <f aca="false">Sens!H1341*(al_srch+Sens!H1437)</f>
        <v>11.9657924568713</v>
      </c>
      <c r="I1442" s="6" t="n">
        <f aca="false">Sens!I1341*(al_srch+Sens!I1437)</f>
        <v>13.0306600715843</v>
      </c>
      <c r="J1442" s="6" t="n">
        <f aca="false">Sens!J1341*(al_srch+Sens!J1437)</f>
        <v>14.1087423747867</v>
      </c>
      <c r="K1442" s="6" t="n">
        <f aca="false">Sens!K1341*(al_srch+Sens!K1437)</f>
        <v>15.1752555533905</v>
      </c>
    </row>
    <row r="1443" customFormat="false" ht="17.15" hidden="false" customHeight="false" outlineLevel="0" collapsed="false">
      <c r="A1443" s="0" t="s">
        <v>954</v>
      </c>
      <c r="B1443" s="0" t="s">
        <v>95</v>
      </c>
      <c r="F1443" s="6" t="n">
        <f aca="false">Sens!F1310</f>
        <v>39.4594407491938</v>
      </c>
      <c r="G1443" s="6" t="n">
        <f aca="false">Sens!G1310</f>
        <v>66.5527545578061</v>
      </c>
      <c r="H1443" s="6" t="n">
        <f aca="false">Sens!H1310</f>
        <v>95.219644983859</v>
      </c>
      <c r="I1443" s="6" t="n">
        <f aca="false">Sens!I1310</f>
        <v>124.031840462493</v>
      </c>
      <c r="J1443" s="6" t="n">
        <f aca="false">Sens!J1310</f>
        <v>152.919994097909</v>
      </c>
      <c r="K1443" s="6" t="n">
        <f aca="false">Sens!K1310</f>
        <v>181.852830263848</v>
      </c>
    </row>
    <row r="1444" customFormat="false" ht="17.15" hidden="false" customHeight="false" outlineLevel="0" collapsed="false">
      <c r="A1444" s="0" t="s">
        <v>955</v>
      </c>
      <c r="B1444" s="0" t="s">
        <v>95</v>
      </c>
      <c r="F1444" s="6" t="n">
        <f aca="false">Sens!F1370+Sens!F1321+Sens!F1437*(Sens!F1340-Sens!F1304)</f>
        <v>211.475658382735</v>
      </c>
      <c r="G1444" s="6" t="n">
        <f aca="false">Sens!G1370+Sens!G1321+Sens!G1437*(Sens!G1340-Sens!G1304)</f>
        <v>257.508202790881</v>
      </c>
      <c r="H1444" s="6" t="n">
        <f aca="false">Sens!H1370+Sens!H1321+Sens!H1437*(Sens!H1340-Sens!H1304)</f>
        <v>305.234164278405</v>
      </c>
      <c r="I1444" s="6" t="n">
        <f aca="false">Sens!I1370+Sens!I1321+Sens!I1437*(Sens!I1340-Sens!I1304)</f>
        <v>351.903890984549</v>
      </c>
      <c r="J1444" s="6" t="n">
        <f aca="false">Sens!J1370+Sens!J1321+Sens!J1437*(Sens!J1340-Sens!J1304)</f>
        <v>396.609371535724</v>
      </c>
      <c r="K1444" s="6" t="n">
        <f aca="false">Sens!K1370+Sens!K1321+Sens!K1437*(Sens!K1340-Sens!K1304)</f>
        <v>439.341659500575</v>
      </c>
    </row>
    <row r="1445" customFormat="false" ht="17.15" hidden="false" customHeight="false" outlineLevel="0" collapsed="false">
      <c r="A1445" s="0" t="s">
        <v>956</v>
      </c>
      <c r="B1445" s="0" t="s">
        <v>95</v>
      </c>
      <c r="F1445" s="6" t="n">
        <f aca="false">Sens!F1444-Sens!F1438-Sens!F1439-Sens!F1440-Sens!F1441-Sens!F1443</f>
        <v>50.6998124124947</v>
      </c>
      <c r="G1445" s="6" t="n">
        <f aca="false">Sens!G1444-Sens!G1438-Sens!G1439-Sens!G1440-Sens!G1441-Sens!G1443</f>
        <v>55.5960609520059</v>
      </c>
      <c r="H1445" s="6" t="n">
        <f aca="false">Sens!H1444-Sens!H1438-Sens!H1439-Sens!H1440-Sens!H1441-Sens!H1443</f>
        <v>60.4771802255471</v>
      </c>
      <c r="I1445" s="6" t="n">
        <f aca="false">Sens!I1444-Sens!I1438-Sens!I1439-Sens!I1440-Sens!I1441-Sens!I1443</f>
        <v>65.1522469203678</v>
      </c>
      <c r="J1445" s="6" t="n">
        <f aca="false">Sens!J1444-Sens!J1438-Sens!J1439-Sens!J1440-Sens!J1441-Sens!J1443</f>
        <v>68.9947135421391</v>
      </c>
      <c r="K1445" s="6" t="n">
        <f aca="false">Sens!K1444-Sens!K1438-Sens!K1439-Sens!K1440-Sens!K1441-Sens!K1443</f>
        <v>71.3014469793813</v>
      </c>
    </row>
    <row r="1446" customFormat="false" ht="17.15" hidden="false" customHeight="false" outlineLevel="0" collapsed="false">
      <c r="A1446" s="0" t="s">
        <v>957</v>
      </c>
      <c r="B1446" s="0" t="s">
        <v>95</v>
      </c>
      <c r="F1446" s="6" t="n">
        <f aca="false">Sens!F1372+Sens!F1437*Sens!F1347</f>
        <v>23.1979137159231</v>
      </c>
      <c r="G1446" s="6" t="n">
        <f aca="false">Sens!G1372+Sens!G1437*Sens!G1347</f>
        <v>23.8298959211968</v>
      </c>
      <c r="H1446" s="6" t="n">
        <f aca="false">Sens!H1372+Sens!H1437*Sens!H1347</f>
        <v>24.6891697815561</v>
      </c>
      <c r="I1446" s="6" t="n">
        <f aca="false">Sens!I1372+Sens!I1437*Sens!I1347</f>
        <v>25.7535920026221</v>
      </c>
      <c r="J1446" s="6" t="n">
        <f aca="false">Sens!J1372+Sens!J1437*Sens!J1347</f>
        <v>26.9950135151082</v>
      </c>
      <c r="K1446" s="6" t="n">
        <f aca="false">Sens!K1372+Sens!K1437*Sens!K1347</f>
        <v>28.3820644421692</v>
      </c>
    </row>
    <row r="1447" customFormat="false" ht="17.15" hidden="false" customHeight="false" outlineLevel="0" collapsed="false">
      <c r="A1447" s="0" t="s">
        <v>958</v>
      </c>
      <c r="B1447" s="0" t="s">
        <v>95</v>
      </c>
      <c r="F1447" s="6" t="n">
        <f aca="false">(Sens!F1446-Sens!F1442)*Sens!F1343/(Sens!F1343+Sens!F1345)</f>
        <v>7.26918614929155</v>
      </c>
      <c r="G1447" s="6" t="n">
        <f aca="false">(Sens!G1446-Sens!G1442)*Sens!G1343/(Sens!G1343+Sens!G1345)</f>
        <v>6.94459616897727</v>
      </c>
      <c r="H1447" s="6" t="n">
        <f aca="false">(Sens!H1446-Sens!H1442)*Sens!H1343/(Sens!H1343+Sens!H1345)</f>
        <v>6.75793230678623</v>
      </c>
      <c r="I1447" s="6" t="n">
        <f aca="false">(Sens!I1446-Sens!I1442)*Sens!I1343/(Sens!I1343+Sens!I1345)</f>
        <v>6.69655202199318</v>
      </c>
      <c r="J1447" s="6" t="n">
        <f aca="false">(Sens!J1446-Sens!J1442)*Sens!J1343/(Sens!J1343+Sens!J1345)</f>
        <v>6.75185319850869</v>
      </c>
      <c r="K1447" s="6" t="n">
        <f aca="false">(Sens!K1446-Sens!K1442)*Sens!K1343/(Sens!K1343+Sens!K1345)</f>
        <v>6.91980122618845</v>
      </c>
    </row>
    <row r="1448" customFormat="false" ht="17.15" hidden="false" customHeight="false" outlineLevel="0" collapsed="false">
      <c r="A1448" s="0" t="s">
        <v>959</v>
      </c>
      <c r="B1448" s="0" t="s">
        <v>95</v>
      </c>
      <c r="F1448" s="6" t="n">
        <f aca="false">Sens!F1446-Sens!F1442-Sens!F1447</f>
        <v>5.99114822334052</v>
      </c>
      <c r="G1448" s="6" t="n">
        <f aca="false">Sens!G1446-Sens!G1442-Sens!G1447</f>
        <v>5.95360032962527</v>
      </c>
      <c r="H1448" s="6" t="n">
        <f aca="false">Sens!H1446-Sens!H1442-Sens!H1447</f>
        <v>5.96544501789857</v>
      </c>
      <c r="I1448" s="6" t="n">
        <f aca="false">Sens!I1446-Sens!I1442-Sens!I1447</f>
        <v>6.02637990904464</v>
      </c>
      <c r="J1448" s="6" t="n">
        <f aca="false">Sens!J1446-Sens!J1442-Sens!J1447</f>
        <v>6.1344179418128</v>
      </c>
      <c r="K1448" s="6" t="n">
        <f aca="false">Sens!K1446-Sens!K1442-Sens!K1447</f>
        <v>6.28700766259025</v>
      </c>
    </row>
    <row r="1449" customFormat="false" ht="17.15" hidden="false" customHeight="false" outlineLevel="0" collapsed="false">
      <c r="A1449" s="1" t="s">
        <v>960</v>
      </c>
      <c r="B1449" s="0" t="s">
        <v>95</v>
      </c>
      <c r="C1449" s="6" t="n">
        <f aca="false">(w_ntm28*Sens!G1443+(1-w_ntm28)*Sens!H1443)*m_ai*1</f>
        <v>454.922440830797</v>
      </c>
    </row>
    <row r="1450" customFormat="false" ht="17.15" hidden="false" customHeight="false" outlineLevel="0" collapsed="false">
      <c r="A1450" s="1" t="s">
        <v>961</v>
      </c>
      <c r="B1450" s="0" t="s">
        <v>95</v>
      </c>
      <c r="C1450" s="6" t="n">
        <f aca="false">(w_ntm28*Sens!G1445+(1-w_ntm28)*Sens!H1445)*m_cloud*1</f>
        <v>790.145600895132</v>
      </c>
    </row>
    <row r="1451" customFormat="false" ht="17.15" hidden="false" customHeight="false" outlineLevel="0" collapsed="false">
      <c r="A1451" s="1" t="s">
        <v>962</v>
      </c>
      <c r="B1451" s="0" t="s">
        <v>95</v>
      </c>
      <c r="C1451" s="6" t="n">
        <f aca="false">(w_ntm28*Sens!G1438+(1-w_ntm28)*Sens!H1438)*m_sw*1</f>
        <v>1016.92585597352</v>
      </c>
    </row>
    <row r="1452" customFormat="false" ht="17.15" hidden="false" customHeight="false" outlineLevel="0" collapsed="false">
      <c r="A1452" s="1" t="s">
        <v>963</v>
      </c>
      <c r="B1452" s="0" t="s">
        <v>95</v>
      </c>
      <c r="C1452" s="6" t="n">
        <f aca="false">(w_ntm28*Sens!G1439+(1-w_ntm28)*Sens!H1439)*m_sw*1</f>
        <v>359.951439807866</v>
      </c>
    </row>
    <row r="1453" customFormat="false" ht="17.15" hidden="false" customHeight="false" outlineLevel="0" collapsed="false">
      <c r="A1453" s="1" t="s">
        <v>964</v>
      </c>
      <c r="B1453" s="0" t="s">
        <v>95</v>
      </c>
      <c r="C1453" s="6" t="n">
        <f aca="false">(w_ntm28*Sens!G1440+(1-w_ntm28)*Sens!H1440)*m_sw*1</f>
        <v>97.3618037982867</v>
      </c>
    </row>
    <row r="1454" customFormat="false" ht="17.15" hidden="false" customHeight="false" outlineLevel="0" collapsed="false">
      <c r="A1454" s="1" t="s">
        <v>965</v>
      </c>
      <c r="B1454" s="0" t="s">
        <v>95</v>
      </c>
      <c r="C1454" s="6" t="n">
        <f aca="false">(w_ntm28*Sens!G1441+(1-w_ntm28)*Sens!H1441)*m_sw*1</f>
        <v>37.1446988326929</v>
      </c>
    </row>
    <row r="1455" customFormat="false" ht="17.15" hidden="false" customHeight="false" outlineLevel="0" collapsed="false">
      <c r="A1455" s="1" t="s">
        <v>966</v>
      </c>
      <c r="B1455" s="0" t="s">
        <v>95</v>
      </c>
      <c r="C1455" s="6" t="n">
        <f aca="false">(w_ntm28*Sens!G1442+(1-w_ntm28)*Sens!H1442)*m_ads*1</f>
        <v>102.633341548018</v>
      </c>
    </row>
    <row r="1456" customFormat="false" ht="17.15" hidden="false" customHeight="false" outlineLevel="0" collapsed="false">
      <c r="A1456" s="1" t="s">
        <v>967</v>
      </c>
      <c r="B1456" s="0" t="s">
        <v>95</v>
      </c>
      <c r="C1456" s="6" t="n">
        <f aca="false">(w_ntm28*Sens!G1447+(1-w_ntm28)*Sens!H1447)*m_game*1</f>
        <v>86.948078051504</v>
      </c>
    </row>
    <row r="1457" customFormat="false" ht="17.15" hidden="false" customHeight="false" outlineLevel="0" collapsed="false">
      <c r="A1457" s="1" t="s">
        <v>968</v>
      </c>
      <c r="B1457" s="0" t="s">
        <v>95</v>
      </c>
      <c r="C1457" s="6" t="n">
        <f aca="false">(w_ntm28*Sens!G1448+(1-w_ntm28)*Sens!H1448)*m_pc*1</f>
        <v>86.2040058969082</v>
      </c>
    </row>
    <row r="1458" customFormat="false" ht="17.15" hidden="false" customHeight="false" outlineLevel="0" collapsed="false">
      <c r="A1458" s="1" t="s">
        <v>969</v>
      </c>
      <c r="B1458" s="0" t="s">
        <v>95</v>
      </c>
      <c r="C1458" s="6" t="n">
        <f aca="false">Sens!$C$1449+Sens!$C$1450+Sens!$C$1451+Sens!$C$1452+Sens!$C$1453+Sens!$C$1454+Sens!$C$1455+Sens!$C$1456+Sens!$C$1457</f>
        <v>3032.23726563472</v>
      </c>
    </row>
    <row r="1459" customFormat="false" ht="17.15" hidden="false" customHeight="false" outlineLevel="0" collapsed="false">
      <c r="A1459" s="1" t="s">
        <v>903</v>
      </c>
      <c r="B1459" s="0" t="s">
        <v>95</v>
      </c>
      <c r="C1459" s="6" t="n">
        <f aca="false">Sens!F1416+oai_v-Sens!F1405</f>
        <v>87.6926921227015</v>
      </c>
      <c r="L1459" s="1" t="s">
        <v>970</v>
      </c>
    </row>
    <row r="1460" customFormat="false" ht="15" hidden="false" customHeight="false" outlineLevel="0" collapsed="false">
      <c r="A1460" s="1" t="s">
        <v>904</v>
      </c>
      <c r="B1460" s="0" t="s">
        <v>73</v>
      </c>
      <c r="C1460" s="5" t="n">
        <f aca="false">(Sens!$C$1458+Sens!$C$1459)/Sens!F1418</f>
        <v>417.549512547835</v>
      </c>
    </row>
    <row r="1461" customFormat="false" ht="17.15" hidden="false" customHeight="false" outlineLevel="0" collapsed="false">
      <c r="A1461" s="1" t="s">
        <v>971</v>
      </c>
      <c r="B1461" s="0" t="s">
        <v>73</v>
      </c>
      <c r="C1461" s="5" t="n">
        <f aca="false">w_dcf*Sens!$C$1436+(1-w_dcf)*Sens!$C$1460</f>
        <v>302.019871240101</v>
      </c>
    </row>
    <row r="1462" customFormat="false" ht="17.15" hidden="false" customHeight="false" outlineLevel="0" collapsed="false">
      <c r="A1462" s="3" t="s">
        <v>1154</v>
      </c>
    </row>
    <row r="1463" customFormat="false" ht="15" hidden="false" customHeight="false" outlineLevel="0" collapsed="false">
      <c r="A1463" s="4" t="s">
        <v>43</v>
      </c>
      <c r="B1463" s="4" t="s">
        <v>63</v>
      </c>
      <c r="C1463" s="19" t="s">
        <v>710</v>
      </c>
      <c r="D1463" s="19" t="s">
        <v>711</v>
      </c>
      <c r="E1463" s="19" t="s">
        <v>712</v>
      </c>
      <c r="F1463" s="19" t="s">
        <v>713</v>
      </c>
      <c r="G1463" s="19" t="s">
        <v>714</v>
      </c>
      <c r="H1463" s="19" t="s">
        <v>715</v>
      </c>
      <c r="I1463" s="19" t="s">
        <v>716</v>
      </c>
      <c r="J1463" s="19" t="s">
        <v>717</v>
      </c>
      <c r="K1463" s="19" t="s">
        <v>718</v>
      </c>
      <c r="L1463" s="4" t="s">
        <v>47</v>
      </c>
    </row>
    <row r="1464" customFormat="false" ht="17.15" hidden="false" customHeight="false" outlineLevel="0" collapsed="false">
      <c r="A1464" s="1" t="s">
        <v>719</v>
      </c>
      <c r="B1464" s="0" t="s">
        <v>340</v>
      </c>
      <c r="C1464" s="27" t="n">
        <f aca="false">mw_ext_24</f>
        <v>640</v>
      </c>
      <c r="D1464" s="27" t="n">
        <f aca="false">mw_ext_25</f>
        <v>1630</v>
      </c>
      <c r="E1464" s="27" t="n">
        <f aca="false">mw_ext_26</f>
        <v>3250</v>
      </c>
      <c r="F1464" s="27" t="n">
        <f aca="false">MIN(1000000000,Sens!E1464+pace)</f>
        <v>5777.2</v>
      </c>
      <c r="G1464" s="27" t="n">
        <f aca="false">MIN(1000000000,Sens!F1464+pace)</f>
        <v>8304.4</v>
      </c>
      <c r="H1464" s="27" t="n">
        <f aca="false">MIN(1000000000,Sens!G1464+pace)</f>
        <v>10831.6</v>
      </c>
      <c r="I1464" s="27" t="n">
        <f aca="false">MIN(1000000000,Sens!H1464+pace)</f>
        <v>13358.8</v>
      </c>
      <c r="J1464" s="27" t="n">
        <f aca="false">MIN(1000000000,Sens!I1464+pace)</f>
        <v>15886</v>
      </c>
      <c r="K1464" s="27" t="n">
        <f aca="false">MIN(1000000000,Sens!J1464+pace)</f>
        <v>18413.2</v>
      </c>
      <c r="L1464" s="11" t="s">
        <v>720</v>
      </c>
    </row>
    <row r="1465" customFormat="false" ht="17.15" hidden="false" customHeight="false" outlineLevel="0" collapsed="false">
      <c r="A1465" s="1" t="s">
        <v>721</v>
      </c>
      <c r="B1465" s="0" t="s">
        <v>340</v>
      </c>
      <c r="C1465" s="27" t="n">
        <f aca="false">rent_ext_24</f>
        <v>150</v>
      </c>
      <c r="D1465" s="27" t="n">
        <f aca="false">rent_ext_25</f>
        <v>400</v>
      </c>
      <c r="E1465" s="27" t="n">
        <f aca="false">rent_ext_26</f>
        <v>550</v>
      </c>
      <c r="F1465" s="27" t="n">
        <f aca="false">rent_ext_f</f>
        <v>756</v>
      </c>
      <c r="G1465" s="27" t="n">
        <f aca="false">rent_ext_f</f>
        <v>756</v>
      </c>
      <c r="H1465" s="27" t="n">
        <f aca="false">rent_ext_f</f>
        <v>756</v>
      </c>
      <c r="I1465" s="27" t="n">
        <f aca="false">rent_ext_f</f>
        <v>756</v>
      </c>
      <c r="J1465" s="27" t="n">
        <f aca="false">rent_ext_f</f>
        <v>756</v>
      </c>
      <c r="K1465" s="27" t="n">
        <f aca="false">rent_ext_f</f>
        <v>756</v>
      </c>
      <c r="L1465" s="1" t="s">
        <v>722</v>
      </c>
    </row>
    <row r="1466" customFormat="false" ht="17.15" hidden="false" customHeight="false" outlineLevel="0" collapsed="false">
      <c r="A1466" s="1" t="s">
        <v>723</v>
      </c>
      <c r="B1466" s="0" t="s">
        <v>340</v>
      </c>
      <c r="C1466" s="27" t="n">
        <f aca="false">Sens!C1464-Sens!C1465</f>
        <v>490</v>
      </c>
      <c r="D1466" s="27" t="n">
        <f aca="false">Sens!D1464-Sens!D1465</f>
        <v>1230</v>
      </c>
      <c r="E1466" s="27" t="n">
        <f aca="false">Sens!E1464-Sens!E1465</f>
        <v>2700</v>
      </c>
      <c r="F1466" s="27" t="n">
        <f aca="false">Sens!F1464-Sens!F1465</f>
        <v>5021.2</v>
      </c>
      <c r="G1466" s="27" t="n">
        <f aca="false">Sens!G1464-Sens!G1465</f>
        <v>7548.4</v>
      </c>
      <c r="H1466" s="27" t="n">
        <f aca="false">Sens!H1464-Sens!H1465</f>
        <v>10075.6</v>
      </c>
      <c r="I1466" s="27" t="n">
        <f aca="false">Sens!I1464-Sens!I1465</f>
        <v>12602.8</v>
      </c>
      <c r="J1466" s="27" t="n">
        <f aca="false">Sens!J1464-Sens!J1465</f>
        <v>15130</v>
      </c>
      <c r="K1466" s="27" t="n">
        <f aca="false">Sens!K1464-Sens!K1465</f>
        <v>17657.2</v>
      </c>
    </row>
    <row r="1467" customFormat="false" ht="17.15" hidden="false" customHeight="false" outlineLevel="0" collapsed="false">
      <c r="A1467" s="1" t="s">
        <v>724</v>
      </c>
      <c r="B1467" s="0" t="s">
        <v>340</v>
      </c>
      <c r="C1467" s="27" t="n">
        <f aca="false">Sens!C1466/ext_sh_lo</f>
        <v>980</v>
      </c>
      <c r="D1467" s="27" t="n">
        <f aca="false">Sens!D1466/ext_sh_lo</f>
        <v>2460</v>
      </c>
      <c r="E1467" s="27" t="n">
        <f aca="false">Sens!E1466/ext_sh_lo</f>
        <v>5400</v>
      </c>
      <c r="F1467" s="27" t="n">
        <f aca="false">Sens!F1466/ext_sh_lo</f>
        <v>10042.4</v>
      </c>
      <c r="G1467" s="27" t="n">
        <f aca="false">Sens!G1466/ext_sh_lo</f>
        <v>15096.8</v>
      </c>
      <c r="H1467" s="27" t="n">
        <f aca="false">Sens!H1466/ext_sh_lo</f>
        <v>20151.2</v>
      </c>
      <c r="I1467" s="27" t="n">
        <f aca="false">Sens!I1466/ext_sh_lo</f>
        <v>25205.6</v>
      </c>
      <c r="J1467" s="27" t="n">
        <f aca="false">Sens!J1466/ext_sh_lo</f>
        <v>30260</v>
      </c>
      <c r="K1467" s="27" t="n">
        <f aca="false">Sens!K1466/ext_sh_lo</f>
        <v>35314.4</v>
      </c>
      <c r="L1467" s="1" t="s">
        <v>725</v>
      </c>
    </row>
    <row r="1468" customFormat="false" ht="17.15" hidden="false" customHeight="false" outlineLevel="0" collapsed="false">
      <c r="A1468" s="1" t="s">
        <v>726</v>
      </c>
      <c r="B1468" s="0" t="s">
        <v>340</v>
      </c>
      <c r="C1468" s="27" t="n">
        <f aca="false">Sens!C1467-Sens!C1466</f>
        <v>490</v>
      </c>
      <c r="D1468" s="27" t="n">
        <f aca="false">Sens!D1467-Sens!D1466</f>
        <v>1230</v>
      </c>
      <c r="E1468" s="27" t="n">
        <f aca="false">Sens!E1467-Sens!E1466</f>
        <v>2700</v>
      </c>
      <c r="F1468" s="27" t="n">
        <f aca="false">Sens!F1467-Sens!F1466</f>
        <v>5021.2</v>
      </c>
      <c r="G1468" s="27" t="n">
        <f aca="false">Sens!G1467-Sens!G1466</f>
        <v>7548.4</v>
      </c>
      <c r="H1468" s="27" t="n">
        <f aca="false">Sens!H1467-Sens!H1466</f>
        <v>10075.6</v>
      </c>
      <c r="I1468" s="27" t="n">
        <f aca="false">Sens!I1467-Sens!I1466</f>
        <v>12602.8</v>
      </c>
      <c r="J1468" s="27" t="n">
        <f aca="false">Sens!J1467-Sens!J1466</f>
        <v>15130</v>
      </c>
      <c r="K1468" s="27" t="n">
        <f aca="false">Sens!K1467-Sens!K1466</f>
        <v>17657.2</v>
      </c>
    </row>
    <row r="1469" customFormat="false" ht="17.15" hidden="false" customHeight="false" outlineLevel="0" collapsed="false">
      <c r="A1469" s="1" t="s">
        <v>727</v>
      </c>
      <c r="B1469" s="0" t="s">
        <v>340</v>
      </c>
      <c r="C1469" s="27" t="n">
        <f aca="false">Sens!C1467</f>
        <v>980</v>
      </c>
      <c r="D1469" s="27" t="n">
        <f aca="false">Sens!D1467-Sens!C1467</f>
        <v>1480</v>
      </c>
      <c r="E1469" s="27" t="n">
        <f aca="false">Sens!E1467-Sens!D1467</f>
        <v>2940</v>
      </c>
      <c r="F1469" s="27" t="n">
        <f aca="false">Sens!F1467-Sens!E1467</f>
        <v>4642.4</v>
      </c>
      <c r="G1469" s="27" t="n">
        <f aca="false">Sens!G1467-Sens!F1467</f>
        <v>5054.4</v>
      </c>
      <c r="H1469" s="27" t="n">
        <f aca="false">Sens!H1467-Sens!G1467</f>
        <v>5054.4</v>
      </c>
      <c r="I1469" s="27" t="n">
        <f aca="false">Sens!I1467-Sens!H1467</f>
        <v>5054.4</v>
      </c>
      <c r="J1469" s="27" t="n">
        <f aca="false">Sens!J1467-Sens!I1467</f>
        <v>5054.4</v>
      </c>
      <c r="K1469" s="27" t="n">
        <f aca="false">Sens!K1467-Sens!J1467</f>
        <v>5054.4</v>
      </c>
    </row>
    <row r="1470" customFormat="false" ht="17.15" hidden="false" customHeight="false" outlineLevel="0" collapsed="false">
      <c r="A1470" s="1" t="s">
        <v>728</v>
      </c>
      <c r="B1470" s="0" t="s">
        <v>340</v>
      </c>
      <c r="D1470" s="27" t="n">
        <f aca="false">Sens!D1464-Sens!C1464</f>
        <v>990</v>
      </c>
      <c r="E1470" s="27" t="n">
        <f aca="false">Sens!E1464-Sens!D1464</f>
        <v>1620</v>
      </c>
      <c r="F1470" s="27" t="n">
        <f aca="false">Sens!F1464-Sens!E1464</f>
        <v>2527.2</v>
      </c>
      <c r="G1470" s="27" t="n">
        <f aca="false">Sens!G1464-Sens!F1464</f>
        <v>2527.2</v>
      </c>
      <c r="H1470" s="27" t="n">
        <f aca="false">Sens!H1464-Sens!G1464</f>
        <v>2527.2</v>
      </c>
      <c r="I1470" s="27" t="n">
        <f aca="false">Sens!I1464-Sens!H1464</f>
        <v>2527.2</v>
      </c>
      <c r="J1470" s="27" t="n">
        <f aca="false">Sens!J1464-Sens!I1464</f>
        <v>2527.2</v>
      </c>
      <c r="K1470" s="27" t="n">
        <f aca="false">Sens!K1464-Sens!J1464</f>
        <v>2527.2</v>
      </c>
    </row>
    <row r="1471" customFormat="false" ht="17.15" hidden="false" customHeight="false" outlineLevel="0" collapsed="false">
      <c r="A1471" s="1" t="s">
        <v>729</v>
      </c>
      <c r="B1471" s="0" t="s">
        <v>340</v>
      </c>
      <c r="C1471" s="27" t="n">
        <f aca="false">mix_h*Sens!C1464</f>
        <v>128</v>
      </c>
      <c r="D1471" s="27" t="n">
        <f aca="false">mix_h*Sens!D1464</f>
        <v>326</v>
      </c>
      <c r="E1471" s="27" t="n">
        <f aca="false">mix_h*Sens!E1464</f>
        <v>650</v>
      </c>
      <c r="F1471" s="27" t="n">
        <f aca="false">Sens!E1471</f>
        <v>650</v>
      </c>
      <c r="G1471" s="27" t="n">
        <f aca="false">Sens!F1471</f>
        <v>650</v>
      </c>
      <c r="H1471" s="27" t="n">
        <f aca="false">Sens!G1471</f>
        <v>650</v>
      </c>
      <c r="I1471" s="27" t="n">
        <f aca="false">Sens!H1471</f>
        <v>650</v>
      </c>
      <c r="J1471" s="27" t="n">
        <f aca="false">Sens!I1471</f>
        <v>650</v>
      </c>
      <c r="K1471" s="27" t="n">
        <f aca="false">Sens!J1471</f>
        <v>650</v>
      </c>
    </row>
    <row r="1472" customFormat="false" ht="17.15" hidden="false" customHeight="false" outlineLevel="0" collapsed="false">
      <c r="A1472" s="1" t="s">
        <v>730</v>
      </c>
      <c r="B1472" s="0" t="s">
        <v>340</v>
      </c>
      <c r="C1472" s="27" t="n">
        <f aca="false">mix_g2*Sens!C1464</f>
        <v>288</v>
      </c>
      <c r="D1472" s="27" t="n">
        <f aca="false">mix_g2*Sens!D1464</f>
        <v>733.5</v>
      </c>
      <c r="E1472" s="27" t="n">
        <f aca="false">mix_g2*Sens!E1464</f>
        <v>1462.5</v>
      </c>
      <c r="F1472" s="27" t="n">
        <f aca="false">Sens!E1472</f>
        <v>1462.5</v>
      </c>
      <c r="G1472" s="27" t="n">
        <f aca="false">Sens!F1472</f>
        <v>1462.5</v>
      </c>
      <c r="H1472" s="27" t="n">
        <f aca="false">Sens!G1472</f>
        <v>1462.5</v>
      </c>
      <c r="I1472" s="27" t="n">
        <f aca="false">Sens!H1472</f>
        <v>1462.5</v>
      </c>
      <c r="J1472" s="27" t="n">
        <f aca="false">Sens!I1472</f>
        <v>1462.5</v>
      </c>
      <c r="K1472" s="27" t="n">
        <f aca="false">Sens!J1472</f>
        <v>1462.5</v>
      </c>
    </row>
    <row r="1473" customFormat="false" ht="17.15" hidden="false" customHeight="false" outlineLevel="0" collapsed="false">
      <c r="A1473" s="1" t="s">
        <v>731</v>
      </c>
      <c r="B1473" s="0" t="s">
        <v>340</v>
      </c>
      <c r="C1473" s="27" t="n">
        <f aca="false">mix_g3*Sens!C1464</f>
        <v>224</v>
      </c>
      <c r="D1473" s="27" t="n">
        <f aca="false">mix_g3*Sens!D1464</f>
        <v>570.5</v>
      </c>
      <c r="E1473" s="27" t="n">
        <f aca="false">mix_g3*Sens!E1464</f>
        <v>1137.5</v>
      </c>
      <c r="F1473" s="27" t="n">
        <f aca="false">Sens!E1473+Sens!F1470*a_g3_27</f>
        <v>2906.54</v>
      </c>
      <c r="G1473" s="27" t="n">
        <f aca="false">Sens!F1473+Sens!G1470*a_g3_28</f>
        <v>3664.7</v>
      </c>
      <c r="H1473" s="27" t="n">
        <f aca="false">Sens!G1473+Sens!H1470*a_g3_29</f>
        <v>3917.42</v>
      </c>
      <c r="I1473" s="27" t="n">
        <f aca="false">Sens!H1473+Sens!I1470*a_g3_29</f>
        <v>4170.14</v>
      </c>
      <c r="J1473" s="27" t="n">
        <f aca="false">Sens!I1473+Sens!J1470*a_g3_29</f>
        <v>4422.86</v>
      </c>
      <c r="K1473" s="27" t="n">
        <f aca="false">Sens!J1473+Sens!K1470*a_g3_29</f>
        <v>4675.58</v>
      </c>
    </row>
    <row r="1474" customFormat="false" ht="17.15" hidden="false" customHeight="false" outlineLevel="0" collapsed="false">
      <c r="A1474" s="1" t="s">
        <v>732</v>
      </c>
      <c r="B1474" s="0" t="s">
        <v>340</v>
      </c>
      <c r="C1474" s="27" t="n">
        <f aca="false">0</f>
        <v>0</v>
      </c>
      <c r="D1474" s="27" t="n">
        <f aca="false">0</f>
        <v>0</v>
      </c>
      <c r="E1474" s="27" t="n">
        <f aca="false">0</f>
        <v>0</v>
      </c>
      <c r="F1474" s="27" t="n">
        <f aca="false">Sens!E1474+Sens!F1470*(1-a_g3_27)</f>
        <v>758.16</v>
      </c>
      <c r="G1474" s="27" t="n">
        <f aca="false">Sens!F1474+Sens!G1470*(1-a_g3_28)</f>
        <v>2527.2</v>
      </c>
      <c r="H1474" s="27" t="n">
        <f aca="false">Sens!G1474+Sens!H1470*(1-a_g3_29)</f>
        <v>4801.68</v>
      </c>
      <c r="I1474" s="27" t="n">
        <f aca="false">Sens!H1474+Sens!I1470*(1-a_g3_29)</f>
        <v>7076.16</v>
      </c>
      <c r="J1474" s="27" t="n">
        <f aca="false">Sens!I1474+Sens!J1470*(1-a_g3_29)</f>
        <v>9350.64</v>
      </c>
      <c r="K1474" s="27" t="n">
        <f aca="false">Sens!J1474+Sens!K1470*(1-a_g3_29)</f>
        <v>11625.12</v>
      </c>
    </row>
    <row r="1475" customFormat="false" ht="17.15" hidden="false" customHeight="false" outlineLevel="0" collapsed="false">
      <c r="A1475" s="1" t="s">
        <v>733</v>
      </c>
      <c r="B1475" s="0" t="s">
        <v>291</v>
      </c>
      <c r="C1475" s="18" t="n">
        <f aca="false">(Sens!C1471*tk_hold_h100+Sens!C1472*tk_hold_gb200+Sens!C1473*tk_hold_gb300+Sens!C1474*tk_hold_vr200)/Sens!C1464</f>
        <v>9.7235358126469</v>
      </c>
      <c r="D1475" s="18" t="n">
        <f aca="false">(Sens!D1471*tk_hold_h100+Sens!D1472*tk_hold_gb200+Sens!D1473*tk_hold_gb300+Sens!D1474*tk_hold_vr200)/Sens!D1464</f>
        <v>9.7235358126469</v>
      </c>
      <c r="E1475" s="18" t="n">
        <f aca="false">(Sens!E1471*tk_hold_h100+Sens!E1472*tk_hold_gb200+Sens!E1473*tk_hold_gb300+Sens!E1474*tk_hold_vr200)/Sens!E1464</f>
        <v>9.7235358126469</v>
      </c>
      <c r="F1475" s="18" t="n">
        <f aca="false">(Sens!F1471*tk_hold_h100+Sens!F1472*tk_hold_gb200+Sens!F1473*tk_hold_gb300+Sens!F1474*tk_hold_vr200)/Sens!F1464</f>
        <v>10.4079573161931</v>
      </c>
      <c r="G1475" s="18" t="n">
        <f aca="false">(Sens!G1471*tk_hold_h100+Sens!G1472*tk_hold_gb200+Sens!G1473*tk_hold_gb300+Sens!G1474*tk_hold_vr200)/Sens!G1464</f>
        <v>10.8388131109316</v>
      </c>
      <c r="H1475" s="18" t="n">
        <f aca="false">(Sens!H1471*tk_hold_h100+Sens!H1472*tk_hold_gb200+Sens!H1473*tk_hold_gb300+Sens!H1474*tk_hold_vr200)/Sens!H1464</f>
        <v>11.1311018388216</v>
      </c>
      <c r="I1475" s="18" t="n">
        <f aca="false">(Sens!I1471*tk_hold_h100+Sens!I1472*tk_hold_gb200+Sens!I1473*tk_hold_gb300+Sens!I1474*tk_hold_vr200)/Sens!I1464</f>
        <v>11.3128009818501</v>
      </c>
      <c r="J1475" s="18" t="n">
        <f aca="false">(Sens!J1471*tk_hold_h100+Sens!J1472*tk_hold_gb200+Sens!J1473*tk_hold_gb300+Sens!J1474*tk_hold_vr200)/Sens!J1464</f>
        <v>11.4366894646418</v>
      </c>
      <c r="K1475" s="18" t="n">
        <f aca="false">(Sens!K1471*tk_hold_h100+Sens!K1472*tk_hold_gb200+Sens!K1473*tk_hold_gb300+Sens!K1474*tk_hold_vr200)/Sens!K1464</f>
        <v>11.526570716348</v>
      </c>
    </row>
    <row r="1476" customFormat="false" ht="17.15" hidden="false" customHeight="false" outlineLevel="0" collapsed="false">
      <c r="A1476" s="0" t="s">
        <v>734</v>
      </c>
      <c r="B1476" s="0" t="s">
        <v>182</v>
      </c>
      <c r="C1476" s="18" t="n">
        <f aca="false">k_B</f>
        <v>1.17213932619116</v>
      </c>
      <c r="D1476" s="18" t="n">
        <f aca="false">k_B</f>
        <v>1.17213932619116</v>
      </c>
      <c r="E1476" s="18" t="n">
        <f aca="false">k_B</f>
        <v>1.17213932619116</v>
      </c>
      <c r="F1476" s="18" t="n">
        <f aca="false">(k_B+((ls_C*k_long+(1-ls_C)*k_spot)-k_B)*MIN(1,1/3))*1</f>
        <v>1.07843258004497</v>
      </c>
      <c r="G1476" s="18" t="n">
        <f aca="false">(k_B+((ls_C*k_long+(1-ls_C)*k_spot)-k_B)*MIN(1,2/3))*1</f>
        <v>0.984725833898784</v>
      </c>
      <c r="H1476" s="18" t="n">
        <f aca="false">(k_B+((ls_C*k_long+(1-ls_C)*k_spot)-k_B)*MIN(1,3/3))*1</f>
        <v>0.891019087752599</v>
      </c>
      <c r="I1476" s="18" t="n">
        <f aca="false">(k_B+((ls_C*k_long+(1-ls_C)*k_spot)-k_B)*MIN(1,4/3))*1</f>
        <v>0.891019087752599</v>
      </c>
      <c r="J1476" s="18" t="n">
        <f aca="false">(k_B+((ls_C*k_long+(1-ls_C)*k_spot)-k_B)*MIN(1,5/3))*1</f>
        <v>0.891019087752599</v>
      </c>
      <c r="K1476" s="18" t="n">
        <f aca="false">(k_B+((ls_C*k_long+(1-ls_C)*k_spot)-k_B)*MIN(1,6/3))*1</f>
        <v>0.891019087752599</v>
      </c>
      <c r="L1476" s="1" t="s">
        <v>735</v>
      </c>
    </row>
    <row r="1477" customFormat="false" ht="17.15" hidden="false" customHeight="false" outlineLevel="0" collapsed="false">
      <c r="A1477" s="1" t="s">
        <v>736</v>
      </c>
      <c r="B1477" s="0" t="s">
        <v>291</v>
      </c>
      <c r="C1477" s="18" t="n">
        <f aca="false">Sens!C1475*Sens!C1476*chip_f</f>
        <v>11.3973387156315</v>
      </c>
      <c r="D1477" s="18" t="n">
        <f aca="false">Sens!D1475*Sens!D1476*chip_f</f>
        <v>11.3973387156315</v>
      </c>
      <c r="E1477" s="18" t="n">
        <f aca="false">Sens!E1475*Sens!E1476*chip_f</f>
        <v>11.3973387156315</v>
      </c>
      <c r="F1477" s="18" t="n">
        <f aca="false">Sens!F1475*Sens!F1476*chip_f</f>
        <v>11.2242802615</v>
      </c>
      <c r="G1477" s="18" t="n">
        <f aca="false">Sens!G1475*Sens!G1476*chip_f</f>
        <v>10.6732592791352</v>
      </c>
      <c r="H1477" s="18" t="n">
        <f aca="false">Sens!H1475*Sens!H1476*chip_f</f>
        <v>9.91802420610807</v>
      </c>
      <c r="I1477" s="18" t="n">
        <f aca="false">Sens!I1475*Sens!I1476*chip_f</f>
        <v>10.0799216107748</v>
      </c>
      <c r="J1477" s="18" t="n">
        <f aca="false">Sens!J1475*Sens!J1476*chip_f</f>
        <v>10.1903086136949</v>
      </c>
      <c r="K1477" s="18" t="n">
        <f aca="false">Sens!K1475*Sens!K1476*chip_f</f>
        <v>10.2703945245962</v>
      </c>
      <c r="L1477" s="1" t="s">
        <v>737</v>
      </c>
    </row>
    <row r="1478" customFormat="false" ht="17.15" hidden="false" customHeight="false" outlineLevel="0" collapsed="false">
      <c r="A1478" s="0" t="s">
        <v>738</v>
      </c>
      <c r="B1478" s="0" t="s">
        <v>95</v>
      </c>
      <c r="D1478" s="6" t="n">
        <f aca="false">(Sens!C1464+Sens!D1464)/2*Sens!D1477/1000</f>
        <v>12.9359794422418</v>
      </c>
      <c r="E1478" s="6" t="n">
        <f aca="false">(Sens!D1464+Sens!E1464)/2*Sens!E1477/1000</f>
        <v>27.8095064661409</v>
      </c>
      <c r="F1478" s="6" t="n">
        <f aca="false">(Sens!E1464+Sens!F1464)/2*Sens!F1477/1000</f>
        <v>50.6619113883066</v>
      </c>
      <c r="G1478" s="6" t="n">
        <f aca="false">(Sens!F1464+Sens!G1464)/2*Sens!G1477/1000</f>
        <v>75.1482839325348</v>
      </c>
      <c r="H1478" s="6" t="n">
        <f aca="false">(Sens!G1464+Sens!H1464)/2*Sens!H1477/1000</f>
        <v>94.895655604042</v>
      </c>
      <c r="I1478" s="6" t="n">
        <f aca="false">(Sens!H1464+Sens!I1464)/2*Sens!I1477/1000</f>
        <v>121.918667866643</v>
      </c>
      <c r="J1478" s="6" t="n">
        <f aca="false">(Sens!I1464+Sens!J1464)/2*Sens!J1477/1000</f>
        <v>149.006768672892</v>
      </c>
      <c r="K1478" s="6" t="n">
        <f aca="false">(Sens!J1464+Sens!K1464)/2*Sens!K1477/1000</f>
        <v>176.133157939015</v>
      </c>
      <c r="L1478" s="11" t="s">
        <v>739</v>
      </c>
    </row>
    <row r="1479" customFormat="false" ht="17.15" hidden="false" customHeight="false" outlineLevel="0" collapsed="false">
      <c r="A1479" s="1" t="s">
        <v>740</v>
      </c>
      <c r="B1479" s="0" t="s">
        <v>291</v>
      </c>
      <c r="C1479" s="18" t="n">
        <f aca="false">(Sens!C1471*tk_opex_h100+Sens!C1472*tk_opex_gb200+Sens!C1473*tk_opex_gb300+Sens!C1474*tk_opex_vr200)/Sens!C1464</f>
        <v>1.88636041306092</v>
      </c>
      <c r="D1479" s="18" t="n">
        <f aca="false">(Sens!D1471*tk_opex_h100+Sens!D1472*tk_opex_gb200+Sens!D1473*tk_opex_gb300+Sens!D1474*tk_opex_vr200)/Sens!D1464</f>
        <v>1.88636041306092</v>
      </c>
      <c r="E1479" s="18" t="n">
        <f aca="false">(Sens!E1471*tk_opex_h100+Sens!E1472*tk_opex_gb200+Sens!E1473*tk_opex_gb300+Sens!E1474*tk_opex_vr200)/Sens!E1464</f>
        <v>1.88636041306092</v>
      </c>
      <c r="F1479" s="18" t="n">
        <f aca="false">(Sens!F1471*tk_opex_h100+Sens!F1472*tk_opex_gb200+Sens!F1473*tk_opex_gb300+Sens!F1474*tk_opex_vr200)/Sens!F1464</f>
        <v>1.9430236476499</v>
      </c>
      <c r="G1479" s="18" t="n">
        <f aca="false">(Sens!G1471*tk_opex_h100+Sens!G1472*tk_opex_gb200+Sens!G1473*tk_opex_gb300+Sens!G1474*tk_opex_vr200)/Sens!G1464</f>
        <v>1.9786941852423</v>
      </c>
      <c r="H1479" s="18" t="n">
        <f aca="false">(Sens!H1471*tk_opex_h100+Sens!H1472*tk_opex_gb200+Sens!H1473*tk_opex_gb300+Sens!H1474*tk_opex_vr200)/Sens!H1464</f>
        <v>2.00289275976156</v>
      </c>
      <c r="I1479" s="18" t="n">
        <f aca="false">(Sens!I1471*tk_opex_h100+Sens!I1472*tk_opex_gb200+Sens!I1473*tk_opex_gb300+Sens!I1474*tk_opex_vr200)/Sens!I1464</f>
        <v>2.01793562605478</v>
      </c>
      <c r="J1479" s="18" t="n">
        <f aca="false">(Sens!J1471*tk_opex_h100+Sens!J1472*tk_opex_gb200+Sens!J1473*tk_opex_gb300+Sens!J1474*tk_opex_vr200)/Sens!J1464</f>
        <v>2.02819234961902</v>
      </c>
      <c r="K1479" s="18" t="n">
        <f aca="false">(Sens!K1471*tk_opex_h100+Sens!K1472*tk_opex_gb200+Sens!K1473*tk_opex_gb300+Sens!K1474*tk_opex_vr200)/Sens!K1464</f>
        <v>2.0356336155994</v>
      </c>
    </row>
    <row r="1480" customFormat="false" ht="17.15" hidden="false" customHeight="false" outlineLevel="0" collapsed="false">
      <c r="A1480" s="0" t="s">
        <v>741</v>
      </c>
      <c r="B1480" s="0" t="s">
        <v>95</v>
      </c>
      <c r="D1480" s="6" t="n">
        <f aca="false">(Sens!C1467+Sens!D1467)/2*Sens!D1479/1000</f>
        <v>3.24453991046478</v>
      </c>
      <c r="E1480" s="6" t="n">
        <f aca="false">(Sens!D1467+Sens!E1467)/2*Sens!E1479/1000</f>
        <v>7.41339642332941</v>
      </c>
      <c r="F1480" s="6" t="n">
        <f aca="false">(Sens!E1467+Sens!F1467)/2*Sens!F1479/1000</f>
        <v>15.0024741882344</v>
      </c>
      <c r="G1480" s="6" t="n">
        <f aca="false">(Sens!F1467+Sens!G1467)/2*Sens!G1479/1000</f>
        <v>24.8713944308216</v>
      </c>
      <c r="H1480" s="6" t="n">
        <f aca="false">(Sens!G1467+Sens!H1467)/2*Sens!H1479/1000</f>
        <v>35.2989819980378</v>
      </c>
      <c r="I1480" s="6" t="n">
        <f aca="false">(Sens!H1467+Sens!I1467)/2*Sens!I1479/1000</f>
        <v>45.7635513019206</v>
      </c>
      <c r="J1480" s="6" t="n">
        <f aca="false">(Sens!I1467+Sens!J1467)/2*Sens!J1479/1000</f>
        <v>56.2474527935143</v>
      </c>
      <c r="K1480" s="6" t="n">
        <f aca="false">(Sens!J1467+Sens!K1467)/2*Sens!K1479/1000</f>
        <v>66.7427264813807</v>
      </c>
    </row>
    <row r="1481" customFormat="false" ht="17.15" hidden="false" customHeight="false" outlineLevel="0" collapsed="false">
      <c r="A1481" s="0" t="s">
        <v>742</v>
      </c>
      <c r="B1481" s="0" t="s">
        <v>95</v>
      </c>
      <c r="D1481" s="6" t="n">
        <f aca="false">(Sens!C1465+Sens!D1465)/2*rent_mw/1000</f>
        <v>2.44475</v>
      </c>
      <c r="E1481" s="6" t="n">
        <f aca="false">(Sens!D1465+Sens!E1465)/2*rent_mw/1000</f>
        <v>4.22275</v>
      </c>
      <c r="F1481" s="6" t="n">
        <f aca="false">(Sens!E1465+Sens!F1465)/2*rent_mw/1000</f>
        <v>5.80517</v>
      </c>
      <c r="G1481" s="6" t="n">
        <f aca="false">(Sens!F1465+Sens!G1465)/2*rent_mw/1000</f>
        <v>6.72084</v>
      </c>
      <c r="H1481" s="6" t="n">
        <f aca="false">(Sens!G1465+Sens!H1465)/2*rent_mw/1000</f>
        <v>6.72084</v>
      </c>
      <c r="I1481" s="6" t="n">
        <f aca="false">(Sens!H1465+Sens!I1465)/2*rent_mw/1000</f>
        <v>6.72084</v>
      </c>
      <c r="J1481" s="6" t="n">
        <f aca="false">(Sens!I1465+Sens!J1465)/2*rent_mw/1000</f>
        <v>6.72084</v>
      </c>
      <c r="K1481" s="6" t="n">
        <f aca="false">(Sens!J1465+Sens!K1465)/2*rent_mw/1000</f>
        <v>6.72084</v>
      </c>
    </row>
    <row r="1482" customFormat="false" ht="17.15" hidden="false" customHeight="false" outlineLevel="0" collapsed="false">
      <c r="A1482" s="0" t="s">
        <v>743</v>
      </c>
      <c r="B1482" s="0" t="s">
        <v>95</v>
      </c>
      <c r="D1482" s="6" t="n">
        <f aca="false">(Sens!C1467+Sens!D1467)/2*(1-self_build)*fac_rent/1000</f>
        <v>1.02389085075729</v>
      </c>
      <c r="E1482" s="6" t="n">
        <f aca="false">(Sens!D1467+Sens!E1467)/2*(1-self_build)*fac_rent/1000</f>
        <v>2.33947153690474</v>
      </c>
      <c r="F1482" s="6" t="n">
        <f aca="false">(Sens!E1467+Sens!F1467)/2*(1-self_build)*fac_rent/1000</f>
        <v>4.59631746329488</v>
      </c>
      <c r="G1482" s="6" t="n">
        <f aca="false">(Sens!F1467+Sens!G1467)/2*(1-self_build)*fac_rent/1000</f>
        <v>7.48249909167374</v>
      </c>
      <c r="H1482" s="6" t="n">
        <f aca="false">(Sens!G1467+Sens!H1467)/2*(1-self_build)*fac_rent/1000</f>
        <v>10.4913095079921</v>
      </c>
      <c r="I1482" s="6" t="n">
        <f aca="false">(Sens!H1467+Sens!I1467)/2*(1-self_build)*fac_rent/1000</f>
        <v>13.5001199243105</v>
      </c>
      <c r="J1482" s="6" t="n">
        <f aca="false">(Sens!I1467+Sens!J1467)/2*(1-self_build)*fac_rent/1000</f>
        <v>16.5089303406289</v>
      </c>
      <c r="K1482" s="6" t="n">
        <f aca="false">(Sens!J1467+Sens!K1467)/2*(1-self_build)*fac_rent/1000</f>
        <v>19.5177407569473</v>
      </c>
      <c r="L1482" s="11" t="s">
        <v>744</v>
      </c>
    </row>
    <row r="1483" customFormat="false" ht="17.15" hidden="false" customHeight="false" outlineLevel="0" collapsed="false">
      <c r="A1483" s="1" t="s">
        <v>745</v>
      </c>
      <c r="B1483" s="0" t="s">
        <v>126</v>
      </c>
      <c r="D1483" s="7" t="n">
        <f aca="false">(Sens!C1466+Sens!D1466)/(Sens!C1467+Sens!D1467)</f>
        <v>0.5</v>
      </c>
      <c r="E1483" s="7" t="n">
        <f aca="false">(Sens!D1466+Sens!E1466)/(Sens!D1467+Sens!E1467)</f>
        <v>0.5</v>
      </c>
      <c r="F1483" s="7" t="n">
        <f aca="false">(Sens!E1466+Sens!F1466)/(Sens!E1467+Sens!F1467)</f>
        <v>0.5</v>
      </c>
      <c r="G1483" s="7" t="n">
        <f aca="false">(Sens!F1466+Sens!G1466)/(Sens!F1467+Sens!G1467)</f>
        <v>0.5</v>
      </c>
      <c r="H1483" s="7" t="n">
        <f aca="false">(Sens!G1466+Sens!H1466)/(Sens!G1467+Sens!H1467)</f>
        <v>0.5</v>
      </c>
      <c r="I1483" s="7" t="n">
        <f aca="false">(Sens!H1466+Sens!I1466)/(Sens!H1467+Sens!I1467)</f>
        <v>0.5</v>
      </c>
      <c r="J1483" s="7" t="n">
        <f aca="false">(Sens!I1466+Sens!J1466)/(Sens!I1467+Sens!J1467)</f>
        <v>0.5</v>
      </c>
      <c r="K1483" s="7" t="n">
        <f aca="false">(Sens!J1466+Sens!K1466)/(Sens!J1467+Sens!K1467)</f>
        <v>0.5</v>
      </c>
    </row>
    <row r="1484" customFormat="false" ht="17.15" hidden="false" customHeight="false" outlineLevel="0" collapsed="false">
      <c r="A1484" s="0" t="s">
        <v>746</v>
      </c>
      <c r="B1484" s="0" t="s">
        <v>95</v>
      </c>
      <c r="D1484" s="6" t="n">
        <f aca="false">Sens!D1478-Sens!D1483*(Sens!D1480+Sens!D1482)-Sens!D1481</f>
        <v>8.35701406163072</v>
      </c>
      <c r="E1484" s="6" t="n">
        <f aca="false">Sens!E1478-Sens!E1483*(Sens!E1480+Sens!E1482)-Sens!E1481</f>
        <v>18.7103224860238</v>
      </c>
      <c r="F1484" s="6" t="n">
        <f aca="false">Sens!F1478-Sens!F1483*(Sens!F1480+Sens!F1482)-Sens!F1481</f>
        <v>35.0573455625419</v>
      </c>
      <c r="G1484" s="6" t="n">
        <f aca="false">Sens!G1478-Sens!G1483*(Sens!G1480+Sens!G1482)-Sens!G1481</f>
        <v>52.2504971712871</v>
      </c>
      <c r="H1484" s="6" t="n">
        <f aca="false">Sens!H1478-Sens!H1483*(Sens!H1480+Sens!H1482)-Sens!H1481</f>
        <v>65.2796698510271</v>
      </c>
      <c r="I1484" s="6" t="n">
        <f aca="false">Sens!I1478-Sens!I1483*(Sens!I1480+Sens!I1482)-Sens!I1481</f>
        <v>85.5659922535278</v>
      </c>
      <c r="J1484" s="6" t="n">
        <f aca="false">Sens!J1478-Sens!J1483*(Sens!J1480+Sens!J1482)-Sens!J1481</f>
        <v>105.90773710582</v>
      </c>
      <c r="K1484" s="6" t="n">
        <f aca="false">Sens!K1478-Sens!K1483*(Sens!K1480+Sens!K1482)-Sens!K1481</f>
        <v>126.282084319851</v>
      </c>
    </row>
    <row r="1485" customFormat="false" ht="17.15" hidden="false" customHeight="false" outlineLevel="0" collapsed="false">
      <c r="A1485" s="1" t="s">
        <v>747</v>
      </c>
      <c r="B1485" s="0" t="s">
        <v>95</v>
      </c>
      <c r="D1485" s="6" t="n">
        <f aca="false">(1-Sens!D1483)*(Sens!D1480+Sens!D1482)</f>
        <v>2.13421538061103</v>
      </c>
      <c r="E1485" s="6" t="n">
        <f aca="false">(1-Sens!E1483)*(Sens!E1480+Sens!E1482)</f>
        <v>4.87643398011707</v>
      </c>
      <c r="F1485" s="6" t="n">
        <f aca="false">(1-Sens!F1483)*(Sens!F1480+Sens!F1482)</f>
        <v>9.79939582576465</v>
      </c>
      <c r="G1485" s="6" t="n">
        <f aca="false">(1-Sens!G1483)*(Sens!G1480+Sens!G1482)</f>
        <v>16.1769467612477</v>
      </c>
      <c r="H1485" s="6" t="n">
        <f aca="false">(1-Sens!H1483)*(Sens!H1480+Sens!H1482)</f>
        <v>22.895145753015</v>
      </c>
      <c r="I1485" s="6" t="n">
        <f aca="false">(1-Sens!I1483)*(Sens!I1480+Sens!I1482)</f>
        <v>29.6318356131156</v>
      </c>
      <c r="J1485" s="6" t="n">
        <f aca="false">(1-Sens!J1483)*(Sens!J1480+Sens!J1482)</f>
        <v>36.3781915670716</v>
      </c>
      <c r="K1485" s="6" t="n">
        <f aca="false">(1-Sens!K1483)*(Sens!K1480+Sens!K1482)</f>
        <v>43.130233619164</v>
      </c>
    </row>
    <row r="1486" customFormat="false" ht="17.15" hidden="false" customHeight="false" outlineLevel="0" collapsed="false">
      <c r="A1486" s="1" t="s">
        <v>748</v>
      </c>
      <c r="B1486" s="0" t="s">
        <v>302</v>
      </c>
      <c r="C1486" s="8" t="n">
        <f aca="false">cxit_open</f>
        <v>27.5918995</v>
      </c>
      <c r="D1486" s="8" t="n">
        <f aca="false">cxit_open</f>
        <v>27.5918995</v>
      </c>
      <c r="E1486" s="8" t="n">
        <f aca="false">cxit_open</f>
        <v>27.5918995</v>
      </c>
      <c r="F1486" s="8" t="n">
        <f aca="false">(a_g3_27*tk_cxit_gb300+(1-a_g3_27)*tk_cxit_vr200)</f>
        <v>33.8419624</v>
      </c>
      <c r="G1486" s="8" t="n">
        <f aca="false">(a_g3_28*tk_cxit_gb300+(1-a_g3_28)*tk_cxit_vr200)</f>
        <v>35.9816136</v>
      </c>
      <c r="H1486" s="8" t="n">
        <f aca="false">(a_g3_29*tk_cxit_gb300+(1-a_g3_29)*tk_cxit_vr200)</f>
        <v>37.0514392</v>
      </c>
      <c r="I1486" s="8" t="n">
        <f aca="false">(a_g3_29*tk_cxit_gb300+(1-a_g3_29)*tk_cxit_vr200)</f>
        <v>37.0514392</v>
      </c>
      <c r="J1486" s="8" t="n">
        <f aca="false">(a_g3_29*tk_cxit_gb300+(1-a_g3_29)*tk_cxit_vr200)</f>
        <v>37.0514392</v>
      </c>
      <c r="K1486" s="8" t="n">
        <f aca="false">(a_g3_29*tk_cxit_gb300+(1-a_g3_29)*tk_cxit_vr200)</f>
        <v>37.0514392</v>
      </c>
      <c r="L1486" s="11" t="s">
        <v>749</v>
      </c>
    </row>
    <row r="1487" customFormat="false" ht="17.15" hidden="false" customHeight="false" outlineLevel="0" collapsed="false">
      <c r="A1487" s="0" t="s">
        <v>750</v>
      </c>
      <c r="B1487" s="0" t="s">
        <v>340</v>
      </c>
      <c r="F1487" s="27" t="n">
        <f aca="false">Sens!C1469*IF(3=life_it,1,0)+Sens!D1469*IF(2=life_it,1,0)+Sens!E1469*IF(1=life_it,1,0)</f>
        <v>0</v>
      </c>
      <c r="G1487" s="27" t="n">
        <f aca="false">Sens!C1469*IF(4=life_it,1,0)+Sens!D1469*IF(3=life_it,1,0)+Sens!E1469*IF(2=life_it,1,0)+Sens!F1469*IF(1=life_it,1,0)</f>
        <v>0</v>
      </c>
      <c r="H1487" s="27" t="n">
        <f aca="false">Sens!C1469*IF(5=life_it,1,0)+Sens!D1469*IF(4=life_it,1,0)+Sens!E1469*IF(3=life_it,1,0)+Sens!F1469*IF(2=life_it,1,0)+Sens!G1469*IF(1=life_it,1,0)</f>
        <v>0</v>
      </c>
      <c r="I1487" s="27" t="n">
        <f aca="false">Sens!C1469*IF(6=life_it,1,0)+Sens!D1469*IF(5=life_it,1,0)+Sens!E1469*IF(4=life_it,1,0)+Sens!F1469*IF(3=life_it,1,0)+Sens!G1469*IF(2=life_it,1,0)+Sens!H1469*IF(1=life_it,1,0)</f>
        <v>980</v>
      </c>
      <c r="J1487" s="27" t="n">
        <f aca="false">Sens!C1469*IF(7=life_it,1,0)+Sens!D1469*IF(6=life_it,1,0)+Sens!E1469*IF(5=life_it,1,0)+Sens!F1469*IF(4=life_it,1,0)+Sens!G1469*IF(3=life_it,1,0)+Sens!H1469*IF(2=life_it,1,0)+Sens!I1469*IF(1=life_it,1,0)</f>
        <v>1480</v>
      </c>
      <c r="K1487" s="27" t="n">
        <f aca="false">Sens!C1469*IF(8=life_it,1,0)+Sens!D1469*IF(7=life_it,1,0)+Sens!E1469*IF(6=life_it,1,0)+Sens!F1469*IF(5=life_it,1,0)+Sens!G1469*IF(4=life_it,1,0)+Sens!H1469*IF(3=life_it,1,0)+Sens!I1469*IF(2=life_it,1,0)+Sens!J1469*IF(1=life_it,1,0)</f>
        <v>2940</v>
      </c>
      <c r="L1487" s="1" t="s">
        <v>751</v>
      </c>
    </row>
    <row r="1488" customFormat="false" ht="17.15" hidden="false" customHeight="false" outlineLevel="0" collapsed="false">
      <c r="A1488" s="0" t="s">
        <v>752</v>
      </c>
      <c r="B1488" s="0" t="s">
        <v>95</v>
      </c>
      <c r="C1488" s="6" t="n">
        <f aca="false">Sens!C1469*Sens!C1486/1000</f>
        <v>27.04006151</v>
      </c>
      <c r="D1488" s="6" t="n">
        <f aca="false">Sens!D1469*Sens!D1486/1000</f>
        <v>40.83601126</v>
      </c>
      <c r="E1488" s="6" t="n">
        <f aca="false">Sens!E1469*Sens!E1486/1000</f>
        <v>81.12018453</v>
      </c>
      <c r="F1488" s="6" t="n">
        <f aca="false">(Sens!F1469+Sens!F1487)*Sens!F1486/1000</f>
        <v>157.10792624576</v>
      </c>
      <c r="G1488" s="6" t="n">
        <f aca="false">(Sens!G1469+Sens!G1487)*Sens!G1486/1000</f>
        <v>181.86546777984</v>
      </c>
      <c r="H1488" s="6" t="n">
        <f aca="false">(Sens!H1469+Sens!H1487)*Sens!H1486/1000</f>
        <v>187.27279429248</v>
      </c>
      <c r="I1488" s="6" t="n">
        <f aca="false">(Sens!I1469+Sens!I1487)*Sens!I1486/1000</f>
        <v>223.58320470848</v>
      </c>
      <c r="J1488" s="6" t="n">
        <f aca="false">(Sens!J1469+Sens!J1487)*Sens!J1486/1000</f>
        <v>242.10892430848</v>
      </c>
      <c r="K1488" s="6" t="n">
        <f aca="false">(Sens!K1469+Sens!K1487)*Sens!K1486/1000</f>
        <v>296.20402554048</v>
      </c>
    </row>
    <row r="1489" customFormat="false" ht="17.15" hidden="false" customHeight="false" outlineLevel="0" collapsed="false">
      <c r="A1489" s="0" t="s">
        <v>753</v>
      </c>
      <c r="B1489" s="0" t="s">
        <v>95</v>
      </c>
      <c r="C1489" s="6" t="n">
        <f aca="false">Sens!C1469*self_build*tk_cxfac/1000</f>
        <v>7.44996</v>
      </c>
      <c r="D1489" s="6" t="n">
        <f aca="false">Sens!D1469*self_build*tk_cxfac/1000</f>
        <v>11.25096</v>
      </c>
      <c r="E1489" s="6" t="n">
        <f aca="false">Sens!E1469*self_build*tk_cxfac/1000</f>
        <v>22.34988</v>
      </c>
      <c r="F1489" s="6" t="n">
        <f aca="false">Sens!F1469*self_build*tk_cxfac/1000</f>
        <v>35.2915248</v>
      </c>
      <c r="G1489" s="6" t="n">
        <f aca="false">Sens!G1469*self_build*tk_cxfac/1000</f>
        <v>38.4235488</v>
      </c>
      <c r="H1489" s="6" t="n">
        <f aca="false">Sens!H1469*self_build*tk_cxfac/1000</f>
        <v>38.4235488</v>
      </c>
      <c r="I1489" s="6" t="n">
        <f aca="false">Sens!I1469*self_build*tk_cxfac/1000</f>
        <v>38.4235488</v>
      </c>
      <c r="J1489" s="6" t="n">
        <f aca="false">Sens!J1469*self_build*tk_cxfac/1000</f>
        <v>38.4235488</v>
      </c>
      <c r="K1489" s="6" t="n">
        <f aca="false">Sens!K1469*self_build*tk_cxfac/1000</f>
        <v>38.4235488</v>
      </c>
    </row>
    <row r="1490" customFormat="false" ht="17.15" hidden="false" customHeight="false" outlineLevel="0" collapsed="false">
      <c r="A1490" s="0" t="s">
        <v>754</v>
      </c>
      <c r="B1490" s="0" t="s">
        <v>95</v>
      </c>
      <c r="F1490" s="6" t="n">
        <f aca="false">MAX(0,capex_floor27-Sens!F1488-Sens!F1489-Sens!F1577)</f>
        <v>0</v>
      </c>
      <c r="G1490" s="6" t="n">
        <f aca="false">0</f>
        <v>0</v>
      </c>
      <c r="H1490" s="6" t="n">
        <f aca="false">0</f>
        <v>0</v>
      </c>
      <c r="I1490" s="6" t="n">
        <f aca="false">0</f>
        <v>0</v>
      </c>
      <c r="J1490" s="6" t="n">
        <f aca="false">0</f>
        <v>0</v>
      </c>
      <c r="K1490" s="6" t="n">
        <f aca="false">0</f>
        <v>0</v>
      </c>
      <c r="L1490" s="1" t="s">
        <v>755</v>
      </c>
    </row>
    <row r="1491" customFormat="false" ht="17.15" hidden="false" customHeight="false" outlineLevel="0" collapsed="false">
      <c r="A1491" s="0" t="s">
        <v>756</v>
      </c>
      <c r="B1491" s="0" t="s">
        <v>95</v>
      </c>
      <c r="C1491" s="6" t="n">
        <f aca="false">Sens!C1488</f>
        <v>27.04006151</v>
      </c>
      <c r="D1491" s="6" t="n">
        <f aca="false">Sens!D1488</f>
        <v>40.83601126</v>
      </c>
      <c r="E1491" s="6" t="n">
        <f aca="false">Sens!E1488</f>
        <v>81.12018453</v>
      </c>
      <c r="F1491" s="6" t="n">
        <f aca="false">Sens!F1488+Sens!F1490</f>
        <v>157.10792624576</v>
      </c>
      <c r="G1491" s="6" t="n">
        <f aca="false">Sens!G1488+Sens!G1490</f>
        <v>181.86546777984</v>
      </c>
      <c r="H1491" s="6" t="n">
        <f aca="false">Sens!H1488+Sens!H1490</f>
        <v>187.27279429248</v>
      </c>
      <c r="I1491" s="6" t="n">
        <f aca="false">Sens!I1488+Sens!I1490</f>
        <v>223.58320470848</v>
      </c>
      <c r="J1491" s="6" t="n">
        <f aca="false">Sens!J1488+Sens!J1490</f>
        <v>242.10892430848</v>
      </c>
      <c r="K1491" s="6" t="n">
        <f aca="false">Sens!K1488+Sens!K1490</f>
        <v>296.20402554048</v>
      </c>
    </row>
    <row r="1492" customFormat="false" ht="17.15" hidden="false" customHeight="false" outlineLevel="0" collapsed="false">
      <c r="A1492" s="0" t="s">
        <v>757</v>
      </c>
      <c r="B1492" s="0" t="s">
        <v>95</v>
      </c>
      <c r="C1492" s="6" t="n">
        <f aca="false">Sens!C1491+Sens!C1489</f>
        <v>34.49002151</v>
      </c>
      <c r="D1492" s="6" t="n">
        <f aca="false">Sens!D1491+Sens!D1489</f>
        <v>52.08697126</v>
      </c>
      <c r="E1492" s="6" t="n">
        <f aca="false">Sens!E1491+Sens!E1489</f>
        <v>103.47006453</v>
      </c>
      <c r="F1492" s="6" t="n">
        <f aca="false">Sens!F1491+Sens!F1489</f>
        <v>192.39945104576</v>
      </c>
      <c r="G1492" s="6" t="n">
        <f aca="false">Sens!G1491+Sens!G1489</f>
        <v>220.28901657984</v>
      </c>
      <c r="H1492" s="6" t="n">
        <f aca="false">Sens!H1491+Sens!H1489</f>
        <v>225.69634309248</v>
      </c>
      <c r="I1492" s="6" t="n">
        <f aca="false">Sens!I1491+Sens!I1489</f>
        <v>262.00675350848</v>
      </c>
      <c r="J1492" s="6" t="n">
        <f aca="false">Sens!J1491+Sens!J1489</f>
        <v>280.53247310848</v>
      </c>
      <c r="K1492" s="6" t="n">
        <f aca="false">Sens!K1491+Sens!K1489</f>
        <v>334.62757434048</v>
      </c>
      <c r="L1492" s="11" t="s">
        <v>758</v>
      </c>
    </row>
    <row r="1493" customFormat="false" ht="17.15" hidden="false" customHeight="false" outlineLevel="0" collapsed="false">
      <c r="A1493" s="0" t="s">
        <v>759</v>
      </c>
      <c r="B1493" s="0" t="s">
        <v>95</v>
      </c>
      <c r="E1493" s="6" t="n">
        <f aca="false">(Sens!C1491*IF(2&lt;life_it,1,IF(2=life_it,0.5,0))+Sens!D1491*IF(1&lt;life_it,1,IF(1=life_it,0.5,0))+Sens!E1491*0.5)/life_it</f>
        <v>18.0726941725</v>
      </c>
      <c r="F1493" s="6" t="n">
        <f aca="false">(Sens!C1491*IF(3&lt;life_it,1,IF(3=life_it,0.5,0))+Sens!D1491*IF(2&lt;life_it,1,IF(2=life_it,0.5,0))+Sens!E1491*IF(1&lt;life_it,1,IF(1=life_it,0.5,0))+Sens!F1491*0.5)/life_it</f>
        <v>37.9250367371467</v>
      </c>
      <c r="G1493" s="6" t="n">
        <f aca="false">(Sens!C1491*IF(4&lt;life_it,1,IF(4=life_it,0.5,0))+Sens!D1491*IF(3&lt;life_it,1,IF(3=life_it,0.5,0))+Sens!E1491*IF(2&lt;life_it,1,IF(2=life_it,0.5,0))+Sens!F1491*IF(1&lt;life_it,1,IF(1=life_it,0.5,0))+Sens!G1491*0.5)/life_it</f>
        <v>66.1728195726133</v>
      </c>
      <c r="H1493" s="6" t="n">
        <f aca="false">(Sens!C1491*IF(5&lt;life_it,1,IF(5=life_it,0.5,0))+Sens!D1491*IF(4&lt;life_it,1,IF(4=life_it,0.5,0))+Sens!E1491*IF(3&lt;life_it,1,IF(3=life_it,0.5,0))+Sens!F1491*IF(2&lt;life_it,1,IF(2=life_it,0.5,0))+Sens!G1491*IF(1&lt;life_it,1,IF(1=life_it,0.5,0))+Sens!H1491*0.5)/life_it</f>
        <v>96.9343414119733</v>
      </c>
      <c r="I1493" s="6" t="n">
        <f aca="false">(Sens!C1491*IF(6&lt;life_it,1,IF(6=life_it,0.5,0))+Sens!D1491*IF(5&lt;life_it,1,IF(5=life_it,0.5,0))+Sens!E1491*IF(4&lt;life_it,1,IF(4=life_it,0.5,0))+Sens!F1491*IF(3&lt;life_it,1,IF(3=life_it,0.5,0))+Sens!G1491*IF(2&lt;life_it,1,IF(2=life_it,0.5,0))+Sens!H1491*IF(1&lt;life_it,1,IF(1=life_it,0.5,0))+Sens!I1491*0.5)/life_it</f>
        <v>128.919002869553</v>
      </c>
      <c r="J1493" s="6" t="n">
        <f aca="false">(Sens!C1491*IF(7&lt;life_it,1,IF(7=life_it,0.5,0))+Sens!D1491*IF(6&lt;life_it,1,IF(6=life_it,0.5,0))+Sens!E1491*IF(5&lt;life_it,1,IF(5=life_it,0.5,0))+Sens!F1491*IF(4&lt;life_it,1,IF(4=life_it,0.5,0))+Sens!G1491*IF(3&lt;life_it,1,IF(3=life_it,0.5,0))+Sens!H1491*IF(2&lt;life_it,1,IF(2=life_it,0.5,0))+Sens!I1491*IF(1&lt;life_it,1,IF(1=life_it,0.5,0))+Sens!J1491*0.5)/life_it</f>
        <v>162.070340890133</v>
      </c>
      <c r="K1493" s="6" t="n">
        <f aca="false">(Sens!C1491*IF(8&lt;life_it,1,IF(8=life_it,0.5,0))+Sens!D1491*IF(7&lt;life_it,1,IF(7=life_it,0.5,0))+Sens!E1491*IF(6&lt;life_it,1,IF(6=life_it,0.5,0))+Sens!F1491*IF(5&lt;life_it,1,IF(5=life_it,0.5,0))+Sens!G1491*IF(4&lt;life_it,1,IF(4=life_it,0.5,0))+Sens!H1491*IF(3&lt;life_it,1,IF(3=life_it,0.5,0))+Sens!I1491*IF(2&lt;life_it,1,IF(2=life_it,0.5,0))+Sens!J1491*IF(1&lt;life_it,1,IF(1=life_it,0.5,0))+Sens!K1491*0.5)/life_it</f>
        <v>196.766737061713</v>
      </c>
    </row>
    <row r="1494" customFormat="false" ht="17.15" hidden="false" customHeight="false" outlineLevel="0" collapsed="false">
      <c r="A1494" s="0" t="s">
        <v>760</v>
      </c>
      <c r="B1494" s="0" t="s">
        <v>95</v>
      </c>
      <c r="E1494" s="6" t="n">
        <f aca="false">(Sens!C1489*IF(2&lt;life_fac,1,IF(2=life_fac,0.5,0))+Sens!D1489*IF(1&lt;life_fac,1,IF(1=life_fac,0.5,0))+Sens!E1489*0.5)/life_fac</f>
        <v>1.493793</v>
      </c>
      <c r="F1494" s="6" t="n">
        <f aca="false">(Sens!C1489*IF(3&lt;life_fac,1,IF(3=life_fac,0.5,0))+Sens!D1489*IF(2&lt;life_fac,1,IF(2=life_fac,0.5,0))+Sens!E1489*IF(1&lt;life_fac,1,IF(1=life_fac,0.5,0))+Sens!F1489*0.5)/life_fac</f>
        <v>2.93482812</v>
      </c>
      <c r="G1494" s="6" t="n">
        <f aca="false">(Sens!C1489*IF(4&lt;life_fac,1,IF(4=life_fac,0.5,0))+Sens!D1489*IF(3&lt;life_fac,1,IF(3=life_fac,0.5,0))+Sens!E1489*IF(2&lt;life_fac,1,IF(2=life_fac,0.5,0))+Sens!F1489*IF(1&lt;life_fac,1,IF(1=life_fac,0.5,0))+Sens!G1489*0.5)/life_fac</f>
        <v>4.77770496</v>
      </c>
      <c r="H1494" s="6" t="n">
        <f aca="false">(Sens!C1489*IF(5&lt;life_fac,1,IF(5=life_fac,0.5,0))+Sens!D1489*IF(4&lt;life_fac,1,IF(4=life_fac,0.5,0))+Sens!E1489*IF(3&lt;life_fac,1,IF(3=life_fac,0.5,0))+Sens!F1489*IF(2&lt;life_fac,1,IF(2=life_fac,0.5,0))+Sens!G1489*IF(1&lt;life_fac,1,IF(1=life_fac,0.5,0))+Sens!H1489*0.5)/life_fac</f>
        <v>6.6988824</v>
      </c>
      <c r="I1494" s="6" t="n">
        <f aca="false">(Sens!C1489*IF(6&lt;life_fac,1,IF(6=life_fac,0.5,0))+Sens!D1489*IF(5&lt;life_fac,1,IF(5=life_fac,0.5,0))+Sens!E1489*IF(4&lt;life_fac,1,IF(4=life_fac,0.5,0))+Sens!F1489*IF(3&lt;life_fac,1,IF(3=life_fac,0.5,0))+Sens!G1489*IF(2&lt;life_fac,1,IF(2=life_fac,0.5,0))+Sens!H1489*IF(1&lt;life_fac,1,IF(1=life_fac,0.5,0))+Sens!I1489*0.5)/life_fac</f>
        <v>8.62005984</v>
      </c>
      <c r="J1494" s="6" t="n">
        <f aca="false">(Sens!C1489*IF(7&lt;life_fac,1,IF(7=life_fac,0.5,0))+Sens!D1489*IF(6&lt;life_fac,1,IF(6=life_fac,0.5,0))+Sens!E1489*IF(5&lt;life_fac,1,IF(5=life_fac,0.5,0))+Sens!F1489*IF(4&lt;life_fac,1,IF(4=life_fac,0.5,0))+Sens!G1489*IF(3&lt;life_fac,1,IF(3=life_fac,0.5,0))+Sens!H1489*IF(2&lt;life_fac,1,IF(2=life_fac,0.5,0))+Sens!I1489*IF(1&lt;life_fac,1,IF(1=life_fac,0.5,0))+Sens!J1489*0.5)/life_fac</f>
        <v>10.54123728</v>
      </c>
      <c r="K1494" s="6" t="n">
        <f aca="false">(Sens!C1489*IF(8&lt;life_fac,1,IF(8=life_fac,0.5,0))+Sens!D1489*IF(7&lt;life_fac,1,IF(7=life_fac,0.5,0))+Sens!E1489*IF(6&lt;life_fac,1,IF(6=life_fac,0.5,0))+Sens!F1489*IF(5&lt;life_fac,1,IF(5=life_fac,0.5,0))+Sens!G1489*IF(4&lt;life_fac,1,IF(4=life_fac,0.5,0))+Sens!H1489*IF(3&lt;life_fac,1,IF(3=life_fac,0.5,0))+Sens!I1489*IF(2&lt;life_fac,1,IF(2=life_fac,0.5,0))+Sens!J1489*IF(1&lt;life_fac,1,IF(1=life_fac,0.5,0))+Sens!K1489*0.5)/life_fac</f>
        <v>12.46241472</v>
      </c>
    </row>
    <row r="1495" customFormat="false" ht="17.15" hidden="false" customHeight="false" outlineLevel="0" collapsed="false">
      <c r="A1495" s="0" t="s">
        <v>761</v>
      </c>
      <c r="B1495" s="0" t="s">
        <v>95</v>
      </c>
      <c r="E1495" s="6" t="n">
        <f aca="false">Sens!E1493+Sens!E1494</f>
        <v>19.5664871725</v>
      </c>
      <c r="F1495" s="6" t="n">
        <f aca="false">Sens!F1493+Sens!F1494</f>
        <v>40.8598648571467</v>
      </c>
      <c r="G1495" s="6" t="n">
        <f aca="false">Sens!G1493+Sens!G1494</f>
        <v>70.9505245326133</v>
      </c>
      <c r="H1495" s="6" t="n">
        <f aca="false">Sens!H1493+Sens!H1494</f>
        <v>103.633223811973</v>
      </c>
      <c r="I1495" s="6" t="n">
        <f aca="false">Sens!I1493+Sens!I1494</f>
        <v>137.539062709553</v>
      </c>
      <c r="J1495" s="6" t="n">
        <f aca="false">Sens!J1493+Sens!J1494</f>
        <v>172.611578170133</v>
      </c>
      <c r="K1495" s="6" t="n">
        <f aca="false">Sens!K1493+Sens!K1494</f>
        <v>209.229151781713</v>
      </c>
    </row>
    <row r="1496" customFormat="false" ht="17.15" hidden="false" customHeight="false" outlineLevel="0" collapsed="false">
      <c r="A1496" s="0" t="s">
        <v>762</v>
      </c>
      <c r="B1496" s="0" t="s">
        <v>95</v>
      </c>
      <c r="E1496" s="6" t="n">
        <f aca="false">Sens!E1484-Sens!E1483*Sens!E1495</f>
        <v>8.92707889977379</v>
      </c>
      <c r="F1496" s="6" t="n">
        <f aca="false">Sens!F1484-Sens!F1483*Sens!F1495</f>
        <v>14.6274131339686</v>
      </c>
      <c r="G1496" s="6" t="n">
        <f aca="false">Sens!G1484-Sens!G1483*Sens!G1495</f>
        <v>16.7752349049804</v>
      </c>
      <c r="H1496" s="6" t="n">
        <f aca="false">Sens!H1484-Sens!H1483*Sens!H1495</f>
        <v>13.4630579450404</v>
      </c>
      <c r="I1496" s="6" t="n">
        <f aca="false">Sens!I1484-Sens!I1483*Sens!I1495</f>
        <v>16.7964608987512</v>
      </c>
      <c r="J1496" s="6" t="n">
        <f aca="false">Sens!J1484-Sens!J1483*Sens!J1495</f>
        <v>19.6019480207536</v>
      </c>
      <c r="K1496" s="6" t="n">
        <f aca="false">Sens!K1484-Sens!K1483*Sens!K1495</f>
        <v>21.6675084289944</v>
      </c>
    </row>
    <row r="1497" customFormat="false" ht="17.15" hidden="false" customHeight="false" outlineLevel="0" collapsed="false">
      <c r="A1497" s="3" t="s">
        <v>1155</v>
      </c>
    </row>
    <row r="1498" customFormat="false" ht="15" hidden="false" customHeight="false" outlineLevel="0" collapsed="false">
      <c r="A1498" s="4" t="s">
        <v>43</v>
      </c>
      <c r="B1498" s="4" t="s">
        <v>63</v>
      </c>
      <c r="C1498" s="19" t="s">
        <v>710</v>
      </c>
      <c r="D1498" s="19" t="s">
        <v>711</v>
      </c>
      <c r="E1498" s="19" t="s">
        <v>712</v>
      </c>
      <c r="F1498" s="19" t="s">
        <v>713</v>
      </c>
      <c r="G1498" s="19" t="s">
        <v>714</v>
      </c>
      <c r="H1498" s="19" t="s">
        <v>715</v>
      </c>
      <c r="I1498" s="19" t="s">
        <v>716</v>
      </c>
      <c r="J1498" s="19" t="s">
        <v>717</v>
      </c>
      <c r="K1498" s="19" t="s">
        <v>718</v>
      </c>
      <c r="L1498" s="4" t="s">
        <v>47</v>
      </c>
    </row>
    <row r="1499" customFormat="false" ht="17.15" hidden="false" customHeight="false" outlineLevel="0" collapsed="false">
      <c r="A1499" s="0" t="s">
        <v>780</v>
      </c>
      <c r="B1499" s="0" t="s">
        <v>95</v>
      </c>
      <c r="D1499" s="6" t="n">
        <f aca="false">Sens!D1478</f>
        <v>12.9359794422418</v>
      </c>
      <c r="E1499" s="6" t="n">
        <f aca="false">Sens!E1478</f>
        <v>27.8095064661409</v>
      </c>
      <c r="F1499" s="6" t="n">
        <f aca="false">Sens!F1478</f>
        <v>50.6619113883066</v>
      </c>
      <c r="G1499" s="6" t="n">
        <f aca="false">Sens!G1478</f>
        <v>75.1482839325348</v>
      </c>
      <c r="H1499" s="6" t="n">
        <f aca="false">Sens!H1478</f>
        <v>94.895655604042</v>
      </c>
      <c r="I1499" s="6" t="n">
        <f aca="false">Sens!I1478</f>
        <v>121.918667866643</v>
      </c>
      <c r="J1499" s="6" t="n">
        <f aca="false">Sens!J1478</f>
        <v>149.006768672892</v>
      </c>
      <c r="K1499" s="6" t="n">
        <f aca="false">Sens!K1478</f>
        <v>176.133157939015</v>
      </c>
    </row>
    <row r="1500" customFormat="false" ht="17.15" hidden="false" customHeight="false" outlineLevel="0" collapsed="false">
      <c r="A1500" s="0" t="s">
        <v>781</v>
      </c>
      <c r="B1500" s="0" t="s">
        <v>95</v>
      </c>
      <c r="D1500" s="6" t="n">
        <f aca="false">Q!L6-Sens!D1499</f>
        <v>59.6740205577583</v>
      </c>
      <c r="E1500" s="6" t="n">
        <f aca="false">Q!M6-Sens!E1499</f>
        <v>74.1284935338591</v>
      </c>
      <c r="F1500" s="6" t="n">
        <f aca="false">Sens!E1500*(1+Sens!F1501)</f>
        <v>90.0799497373663</v>
      </c>
      <c r="G1500" s="6" t="n">
        <f aca="false">Sens!F1500*(1+Sens!G1501)</f>
        <v>107.02842520331</v>
      </c>
      <c r="H1500" s="6" t="n">
        <f aca="false">Sens!G1500*(1+Sens!H1501)</f>
        <v>124.271982585636</v>
      </c>
      <c r="I1500" s="6" t="n">
        <f aca="false">Sens!H1500*(1+Sens!I1501)</f>
        <v>140.933702381855</v>
      </c>
      <c r="J1500" s="6" t="n">
        <f aca="false">Sens!I1500*(1+Sens!J1501)</f>
        <v>156.018867314332</v>
      </c>
      <c r="K1500" s="6" t="n">
        <f aca="false">Sens!J1500*(1+Sens!K1501)</f>
        <v>168.500376699478</v>
      </c>
    </row>
    <row r="1501" customFormat="false" ht="15" hidden="false" customHeight="false" outlineLevel="0" collapsed="false">
      <c r="A1501" s="1" t="s">
        <v>782</v>
      </c>
      <c r="B1501" s="0" t="s">
        <v>126</v>
      </c>
      <c r="E1501" s="7" t="n">
        <f aca="false">Sens!E1500/Sens!D1500-1</f>
        <v>0.242223883039864</v>
      </c>
      <c r="F1501" s="7" t="n">
        <f aca="false">Sens!$E$1501+(glt_azo-Sens!$E$1501)*MIN(1,1/n_conv)</f>
        <v>0.215186569199887</v>
      </c>
      <c r="G1501" s="7" t="n">
        <f aca="false">Sens!$E$1501+(glt_azo-Sens!$E$1501)*MIN(1,2/n_conv)</f>
        <v>0.18814925535991</v>
      </c>
      <c r="H1501" s="7" t="n">
        <f aca="false">Sens!$E$1501+(glt_azo-Sens!$E$1501)*MIN(1,3/n_conv)</f>
        <v>0.161111941519932</v>
      </c>
      <c r="I1501" s="7" t="n">
        <f aca="false">Sens!$E$1501+(glt_azo-Sens!$E$1501)*MIN(1,4/n_conv)</f>
        <v>0.134074627679955</v>
      </c>
      <c r="J1501" s="7" t="n">
        <f aca="false">Sens!$E$1501+(glt_azo-Sens!$E$1501)*MIN(1,5/n_conv)</f>
        <v>0.107037313839977</v>
      </c>
      <c r="K1501" s="7" t="n">
        <f aca="false">Sens!$E$1501+(glt_azo-Sens!$E$1501)*MIN(1,6/n_conv)</f>
        <v>0.08</v>
      </c>
    </row>
    <row r="1502" customFormat="false" ht="15" hidden="false" customHeight="false" outlineLevel="0" collapsed="false">
      <c r="A1502" s="0" t="s">
        <v>783</v>
      </c>
      <c r="B1502" s="0" t="s">
        <v>95</v>
      </c>
      <c r="D1502" s="6" t="n">
        <f aca="false">Sens!D1499+Sens!D1500</f>
        <v>72.61</v>
      </c>
      <c r="E1502" s="6" t="n">
        <f aca="false">Sens!E1499+Sens!E1500</f>
        <v>101.938</v>
      </c>
      <c r="F1502" s="6" t="n">
        <f aca="false">Sens!F1499+Sens!F1500</f>
        <v>140.741861125673</v>
      </c>
      <c r="G1502" s="6" t="n">
        <f aca="false">Sens!G1499+Sens!G1500</f>
        <v>182.176709135845</v>
      </c>
      <c r="H1502" s="6" t="n">
        <f aca="false">Sens!H1499+Sens!H1500</f>
        <v>219.167638189678</v>
      </c>
      <c r="I1502" s="6" t="n">
        <f aca="false">Sens!I1499+Sens!I1500</f>
        <v>262.852370248498</v>
      </c>
      <c r="J1502" s="6" t="n">
        <f aca="false">Sens!J1499+Sens!J1500</f>
        <v>305.025635987223</v>
      </c>
      <c r="K1502" s="6" t="n">
        <f aca="false">Sens!K1499+Sens!K1500</f>
        <v>344.633534638493</v>
      </c>
    </row>
    <row r="1503" customFormat="false" ht="17.15" hidden="false" customHeight="false" outlineLevel="0" collapsed="false">
      <c r="A1503" s="0" t="s">
        <v>784</v>
      </c>
      <c r="B1503" s="1" t="s">
        <v>451</v>
      </c>
      <c r="C1503" s="27" t="n">
        <f aca="false">cop_s24</f>
        <v>1</v>
      </c>
      <c r="D1503" s="27" t="n">
        <f aca="false">cop_s25</f>
        <v>5</v>
      </c>
      <c r="E1503" s="27" t="n">
        <f aca="false">cop_s26</f>
        <v>30</v>
      </c>
      <c r="F1503" s="27" t="n">
        <f aca="false">Sens!E1503+IF(2027&lt;=2029,cop_add_C,cop_add_C*cop_tail)</f>
        <v>40</v>
      </c>
      <c r="G1503" s="27" t="n">
        <f aca="false">Sens!F1503+IF(2028&lt;=2029,cop_add_C,cop_add_C*cop_tail)</f>
        <v>50</v>
      </c>
      <c r="H1503" s="27" t="n">
        <f aca="false">Sens!G1503+IF(2029&lt;=2029,cop_add_C,cop_add_C*cop_tail)</f>
        <v>60</v>
      </c>
      <c r="I1503" s="27" t="n">
        <f aca="false">Sens!H1503+IF(2030&lt;=2029,cop_add_C,cop_add_C*cop_tail)</f>
        <v>65</v>
      </c>
      <c r="J1503" s="27" t="n">
        <f aca="false">Sens!I1503+IF(2031&lt;=2029,cop_add_C,cop_add_C*cop_tail)</f>
        <v>70</v>
      </c>
      <c r="K1503" s="27" t="n">
        <f aca="false">Sens!J1503+IF(2032&lt;=2029,cop_add_C,cop_add_C*cop_tail)</f>
        <v>75</v>
      </c>
    </row>
    <row r="1504" customFormat="false" ht="17.15" hidden="false" customHeight="false" outlineLevel="0" collapsed="false">
      <c r="A1504" s="0" t="s">
        <v>785</v>
      </c>
      <c r="B1504" s="0" t="s">
        <v>95</v>
      </c>
      <c r="D1504" s="6" t="n">
        <f aca="false">(Sens!C1503+Sens!D1503)/2*cop_px*12/1000</f>
        <v>0.9</v>
      </c>
      <c r="E1504" s="6" t="n">
        <f aca="false">(Sens!D1503+Sens!E1503)/2*cop_px*12/1000</f>
        <v>5.25</v>
      </c>
      <c r="F1504" s="6" t="n">
        <f aca="false">(Sens!E1503+Sens!F1503)/2*cop_px*12/1000</f>
        <v>10.5</v>
      </c>
      <c r="G1504" s="6" t="n">
        <f aca="false">(Sens!F1503+Sens!G1503)/2*cop_px*12/1000</f>
        <v>13.5</v>
      </c>
      <c r="H1504" s="6" t="n">
        <f aca="false">(Sens!G1503+Sens!H1503)/2*cop_px*12/1000</f>
        <v>16.5</v>
      </c>
      <c r="I1504" s="6" t="n">
        <f aca="false">(Sens!H1503+Sens!I1503)/2*cop_px*12/1000</f>
        <v>18.75</v>
      </c>
      <c r="J1504" s="6" t="n">
        <f aca="false">(Sens!I1503+Sens!J1503)/2*cop_px*12/1000</f>
        <v>20.25</v>
      </c>
      <c r="K1504" s="6" t="n">
        <f aca="false">(Sens!J1503+Sens!K1503)/2*cop_px*12/1000</f>
        <v>21.75</v>
      </c>
      <c r="L1504" s="1" t="s">
        <v>786</v>
      </c>
    </row>
    <row r="1505" customFormat="false" ht="17.15" hidden="false" customHeight="false" outlineLevel="0" collapsed="false">
      <c r="A1505" s="0" t="s">
        <v>787</v>
      </c>
      <c r="B1505" s="0" t="s">
        <v>95</v>
      </c>
      <c r="D1505" s="6" t="n">
        <f aca="false">Q!L7-Sens!D1504</f>
        <v>83.705</v>
      </c>
      <c r="E1505" s="6" t="n">
        <f aca="false">Q!M7-Sens!E1504</f>
        <v>95.049</v>
      </c>
      <c r="F1505" s="6" t="n">
        <f aca="false">Sens!E1505*(1+Sens!F1506)</f>
        <v>106.89238776686</v>
      </c>
      <c r="G1505" s="6" t="n">
        <f aca="false">Sens!F1505*(1+Sens!G1506)</f>
        <v>119.044168448684</v>
      </c>
      <c r="H1505" s="6" t="n">
        <f aca="false">Sens!G1505*(1+Sens!H1506)</f>
        <v>131.277359388781</v>
      </c>
      <c r="I1505" s="6" t="n">
        <f aca="false">Sens!H1505*(1+Sens!I1506)</f>
        <v>143.334028071957</v>
      </c>
      <c r="J1505" s="6" t="n">
        <f aca="false">Sens!I1505*(1+Sens!J1506)</f>
        <v>154.932702785465</v>
      </c>
      <c r="K1505" s="6" t="n">
        <f aca="false">Sens!J1505*(1+Sens!K1506)</f>
        <v>165.777991980448</v>
      </c>
    </row>
    <row r="1506" customFormat="false" ht="15" hidden="false" customHeight="false" outlineLevel="0" collapsed="false">
      <c r="A1506" s="1" t="s">
        <v>782</v>
      </c>
      <c r="B1506" s="0" t="s">
        <v>126</v>
      </c>
      <c r="E1506" s="7" t="n">
        <f aca="false">Sens!E1505/Sens!D1505-1</f>
        <v>0.135523564900544</v>
      </c>
      <c r="F1506" s="7" t="n">
        <f aca="false">Sens!$E$1506+(glt_m365b-Sens!$E$1506)*MIN(1,1/n_conv)</f>
        <v>0.124602970750453</v>
      </c>
      <c r="G1506" s="7" t="n">
        <f aca="false">Sens!$E$1506+(glt_m365b-Sens!$E$1506)*MIN(1,2/n_conv)</f>
        <v>0.113682376600363</v>
      </c>
      <c r="H1506" s="7" t="n">
        <f aca="false">Sens!$E$1506+(glt_m365b-Sens!$E$1506)*MIN(1,3/n_conv)</f>
        <v>0.102761782450272</v>
      </c>
      <c r="I1506" s="7" t="n">
        <f aca="false">Sens!$E$1506+(glt_m365b-Sens!$E$1506)*MIN(1,4/n_conv)</f>
        <v>0.0918411883001813</v>
      </c>
      <c r="J1506" s="7" t="n">
        <f aca="false">Sens!$E$1506+(glt_m365b-Sens!$E$1506)*MIN(1,5/n_conv)</f>
        <v>0.0809205941500906</v>
      </c>
      <c r="K1506" s="7" t="n">
        <f aca="false">Sens!$E$1506+(glt_m365b-Sens!$E$1506)*MIN(1,6/n_conv)</f>
        <v>0.07</v>
      </c>
    </row>
    <row r="1507" customFormat="false" ht="15" hidden="false" customHeight="false" outlineLevel="0" collapsed="false">
      <c r="A1507" s="0" t="s">
        <v>788</v>
      </c>
      <c r="B1507" s="0" t="s">
        <v>95</v>
      </c>
      <c r="D1507" s="6" t="n">
        <f aca="false">Sens!D1505+Sens!D1504</f>
        <v>84.605</v>
      </c>
      <c r="E1507" s="6" t="n">
        <f aca="false">Sens!E1505+Sens!E1504</f>
        <v>100.299</v>
      </c>
      <c r="F1507" s="6" t="n">
        <f aca="false">Sens!F1505+Sens!F1504</f>
        <v>117.39238776686</v>
      </c>
      <c r="G1507" s="6" t="n">
        <f aca="false">Sens!G1505+Sens!G1504</f>
        <v>132.544168448684</v>
      </c>
      <c r="H1507" s="6" t="n">
        <f aca="false">Sens!H1505+Sens!H1504</f>
        <v>147.777359388781</v>
      </c>
      <c r="I1507" s="6" t="n">
        <f aca="false">Sens!I1505+Sens!I1504</f>
        <v>162.084028071957</v>
      </c>
      <c r="J1507" s="6" t="n">
        <f aca="false">Sens!J1505+Sens!J1504</f>
        <v>175.182702785465</v>
      </c>
      <c r="K1507" s="6" t="n">
        <f aca="false">Sens!K1505+Sens!K1504</f>
        <v>187.527991980448</v>
      </c>
    </row>
    <row r="1508" customFormat="false" ht="15" hidden="false" customHeight="false" outlineLevel="0" collapsed="false">
      <c r="A1508" s="0" t="s">
        <v>789</v>
      </c>
      <c r="B1508" s="0" t="s">
        <v>95</v>
      </c>
      <c r="D1508" s="6" t="n">
        <f aca="false">Q!L8</f>
        <v>35.391</v>
      </c>
      <c r="E1508" s="6" t="n">
        <f aca="false">Q!M8</f>
        <v>37.285</v>
      </c>
      <c r="F1508" s="6" t="n">
        <f aca="false">Sens!E1508*(1+Sens!F1509)</f>
        <v>39.0720834331704</v>
      </c>
      <c r="G1508" s="6" t="n">
        <f aca="false">Sens!F1508*(1+Sens!G1509)</f>
        <v>40.726562953769</v>
      </c>
      <c r="H1508" s="6" t="n">
        <f aca="false">Sens!G1508*(1+Sens!H1509)</f>
        <v>42.2235987259198</v>
      </c>
      <c r="I1508" s="6" t="n">
        <f aca="false">Sens!H1508*(1+Sens!I1509)</f>
        <v>43.5397988077414</v>
      </c>
      <c r="J1508" s="6" t="n">
        <f aca="false">Sens!I1508*(1+Sens!J1509)</f>
        <v>44.653811225693</v>
      </c>
      <c r="K1508" s="6" t="n">
        <f aca="false">Sens!J1508*(1+Sens!K1509)</f>
        <v>45.5468874502068</v>
      </c>
    </row>
    <row r="1509" customFormat="false" ht="15" hidden="false" customHeight="false" outlineLevel="0" collapsed="false">
      <c r="A1509" s="1" t="s">
        <v>782</v>
      </c>
      <c r="B1509" s="0" t="s">
        <v>126</v>
      </c>
      <c r="E1509" s="7" t="n">
        <f aca="false">Sens!E1508/Sens!D1508-1</f>
        <v>0.0535164307309768</v>
      </c>
      <c r="F1509" s="7" t="n">
        <f aca="false">Sens!$E$1509+(glt_lic-Sens!$E$1509)*MIN(1,1/n_conv)</f>
        <v>0.0479303589424807</v>
      </c>
      <c r="G1509" s="7" t="n">
        <f aca="false">Sens!$E$1509+(glt_lic-Sens!$E$1509)*MIN(1,2/n_conv)</f>
        <v>0.0423442871539845</v>
      </c>
      <c r="H1509" s="7" t="n">
        <f aca="false">Sens!$E$1509+(glt_lic-Sens!$E$1509)*MIN(1,3/n_conv)</f>
        <v>0.0367582153654884</v>
      </c>
      <c r="I1509" s="7" t="n">
        <f aca="false">Sens!$E$1509+(glt_lic-Sens!$E$1509)*MIN(1,4/n_conv)</f>
        <v>0.0311721435769923</v>
      </c>
      <c r="J1509" s="7" t="n">
        <f aca="false">Sens!$E$1509+(glt_lic-Sens!$E$1509)*MIN(1,5/n_conv)</f>
        <v>0.0255860717884961</v>
      </c>
      <c r="K1509" s="7" t="n">
        <f aca="false">Sens!$E$1509+(glt_lic-Sens!$E$1509)*MIN(1,6/n_conv)</f>
        <v>0.02</v>
      </c>
    </row>
    <row r="1510" customFormat="false" ht="15" hidden="false" customHeight="false" outlineLevel="0" collapsed="false">
      <c r="A1510" s="0" t="s">
        <v>790</v>
      </c>
      <c r="B1510" s="0" t="s">
        <v>95</v>
      </c>
      <c r="D1510" s="6" t="n">
        <f aca="false">Q!L9</f>
        <v>18.417</v>
      </c>
      <c r="E1510" s="6" t="n">
        <f aca="false">Q!M9</f>
        <v>20.345</v>
      </c>
      <c r="F1510" s="6" t="n">
        <f aca="false">Sens!E1510*(1+Sens!F1511)</f>
        <v>22.3572203267814</v>
      </c>
      <c r="G1510" s="6" t="n">
        <f aca="false">Sens!F1510*(1+Sens!G1511)</f>
        <v>24.4392124437232</v>
      </c>
      <c r="H1510" s="6" t="n">
        <f aca="false">Sens!G1510*(1+Sens!H1511)</f>
        <v>26.5738052080665</v>
      </c>
      <c r="I1510" s="6" t="n">
        <f aca="false">Sens!H1510*(1+Sens!I1511)</f>
        <v>28.7412169166967</v>
      </c>
      <c r="J1510" s="6" t="n">
        <f aca="false">Sens!I1510*(1+Sens!J1511)</f>
        <v>30.9192545395413</v>
      </c>
      <c r="K1510" s="6" t="n">
        <f aca="false">Sens!J1510*(1+Sens!K1511)</f>
        <v>33.0836023573092</v>
      </c>
    </row>
    <row r="1511" customFormat="false" ht="15" hidden="false" customHeight="false" outlineLevel="0" collapsed="false">
      <c r="A1511" s="1" t="s">
        <v>782</v>
      </c>
      <c r="B1511" s="0" t="s">
        <v>126</v>
      </c>
      <c r="E1511" s="7" t="n">
        <f aca="false">Sens!E1510/Sens!D1510-1</f>
        <v>0.104685888038225</v>
      </c>
      <c r="F1511" s="7" t="n">
        <f aca="false">Sens!$E$1511+(glt_ind-Sens!$E$1511)*MIN(1,1/n_conv)</f>
        <v>0.0989049066985211</v>
      </c>
      <c r="G1511" s="7" t="n">
        <f aca="false">Sens!$E$1511+(glt_ind-Sens!$E$1511)*MIN(1,2/n_conv)</f>
        <v>0.0931239253588169</v>
      </c>
      <c r="H1511" s="7" t="n">
        <f aca="false">Sens!$E$1511+(glt_ind-Sens!$E$1511)*MIN(1,3/n_conv)</f>
        <v>0.0873429440191127</v>
      </c>
      <c r="I1511" s="7" t="n">
        <f aca="false">Sens!$E$1511+(glt_ind-Sens!$E$1511)*MIN(1,4/n_conv)</f>
        <v>0.0815619626794085</v>
      </c>
      <c r="J1511" s="7" t="n">
        <f aca="false">Sens!$E$1511+(glt_ind-Sens!$E$1511)*MIN(1,5/n_conv)</f>
        <v>0.0757809813397042</v>
      </c>
      <c r="K1511" s="7" t="n">
        <f aca="false">Sens!$E$1511+(glt_ind-Sens!$E$1511)*MIN(1,6/n_conv)</f>
        <v>0.07</v>
      </c>
    </row>
    <row r="1512" customFormat="false" ht="15" hidden="false" customHeight="false" outlineLevel="0" collapsed="false">
      <c r="A1512" s="0" t="s">
        <v>791</v>
      </c>
      <c r="B1512" s="0" t="s">
        <v>95</v>
      </c>
      <c r="D1512" s="6" t="n">
        <f aca="false">Q!L10</f>
        <v>7.76</v>
      </c>
      <c r="E1512" s="6" t="n">
        <f aca="false">Q!M10</f>
        <v>8.26</v>
      </c>
      <c r="F1512" s="6" t="n">
        <f aca="false">Sens!E1512*(1+Sens!F1513)</f>
        <v>8.79988041237113</v>
      </c>
      <c r="G1512" s="6" t="n">
        <f aca="false">Sens!F1512*(1+Sens!G1513)</f>
        <v>9.38321269125306</v>
      </c>
      <c r="H1512" s="6" t="n">
        <f aca="false">Sens!G1512*(1+Sens!H1513)</f>
        <v>10.0139193587476</v>
      </c>
      <c r="I1512" s="6" t="n">
        <f aca="false">Sens!H1512*(1+Sens!I1513)</f>
        <v>10.6963111830911</v>
      </c>
      <c r="J1512" s="6" t="n">
        <f aca="false">Sens!I1512*(1+Sens!J1513)</f>
        <v>11.4351285534696</v>
      </c>
      <c r="K1512" s="6" t="n">
        <f aca="false">Sens!J1512*(1+Sens!K1513)</f>
        <v>12.2355875522124</v>
      </c>
    </row>
    <row r="1513" customFormat="false" ht="15" hidden="false" customHeight="false" outlineLevel="0" collapsed="false">
      <c r="A1513" s="1" t="s">
        <v>782</v>
      </c>
      <c r="B1513" s="0" t="s">
        <v>126</v>
      </c>
      <c r="E1513" s="7" t="n">
        <f aca="false">Sens!E1512/Sens!D1512-1</f>
        <v>0.0644329896907216</v>
      </c>
      <c r="F1513" s="7" t="n">
        <f aca="false">Sens!$E$1513+(glt_fro-Sens!$E$1513)*MIN(1,1/n_conv)</f>
        <v>0.065360824742268</v>
      </c>
      <c r="G1513" s="7" t="n">
        <f aca="false">Sens!$E$1513+(glt_fro-Sens!$E$1513)*MIN(1,2/n_conv)</f>
        <v>0.0662886597938144</v>
      </c>
      <c r="H1513" s="7" t="n">
        <f aca="false">Sens!$E$1513+(glt_fro-Sens!$E$1513)*MIN(1,3/n_conv)</f>
        <v>0.0672164948453608</v>
      </c>
      <c r="I1513" s="7" t="n">
        <f aca="false">Sens!$E$1513+(glt_fro-Sens!$E$1513)*MIN(1,4/n_conv)</f>
        <v>0.0681443298969072</v>
      </c>
      <c r="J1513" s="7" t="n">
        <f aca="false">Sens!$E$1513+(glt_fro-Sens!$E$1513)*MIN(1,5/n_conv)</f>
        <v>0.0690721649484536</v>
      </c>
      <c r="K1513" s="7" t="n">
        <f aca="false">Sens!$E$1513+(glt_fro-Sens!$E$1513)*MIN(1,6/n_conv)</f>
        <v>0.07</v>
      </c>
    </row>
    <row r="1514" customFormat="false" ht="15" hidden="false" customHeight="false" outlineLevel="0" collapsed="false">
      <c r="A1514" s="0" t="s">
        <v>626</v>
      </c>
      <c r="B1514" s="0" t="s">
        <v>95</v>
      </c>
      <c r="D1514" s="6" t="n">
        <f aca="false">Sens!D1502+Sens!D1507+Sens!D1508+Sens!D1510+Sens!D1512</f>
        <v>218.783</v>
      </c>
      <c r="E1514" s="6" t="n">
        <f aca="false">Sens!E1502+Sens!E1507+Sens!E1508+Sens!E1510+Sens!E1512</f>
        <v>268.127</v>
      </c>
      <c r="F1514" s="6" t="n">
        <f aca="false">Sens!F1502+Sens!F1507+Sens!F1508+Sens!F1510+Sens!F1512</f>
        <v>328.363433064856</v>
      </c>
      <c r="G1514" s="6" t="n">
        <f aca="false">Sens!G1502+Sens!G1507+Sens!G1508+Sens!G1510+Sens!G1512</f>
        <v>389.269865673274</v>
      </c>
      <c r="H1514" s="6" t="n">
        <f aca="false">Sens!H1502+Sens!H1507+Sens!H1508+Sens!H1510+Sens!H1512</f>
        <v>445.756320871193</v>
      </c>
      <c r="I1514" s="6" t="n">
        <f aca="false">Sens!I1502+Sens!I1507+Sens!I1508+Sens!I1510+Sens!I1512</f>
        <v>507.913725227984</v>
      </c>
      <c r="J1514" s="6" t="n">
        <f aca="false">Sens!J1502+Sens!J1507+Sens!J1508+Sens!J1510+Sens!J1512</f>
        <v>567.216533091392</v>
      </c>
      <c r="K1514" s="6" t="n">
        <f aca="false">Sens!K1502+Sens!K1507+Sens!K1508+Sens!K1510+Sens!K1512</f>
        <v>623.027603978669</v>
      </c>
    </row>
    <row r="1515" customFormat="false" ht="15" hidden="false" customHeight="false" outlineLevel="0" collapsed="false">
      <c r="A1515" s="0" t="s">
        <v>792</v>
      </c>
      <c r="B1515" s="0" t="s">
        <v>95</v>
      </c>
      <c r="D1515" s="6" t="n">
        <f aca="false">Q!L13</f>
        <v>22.171</v>
      </c>
      <c r="E1515" s="6" t="n">
        <f aca="false">Q!M13</f>
        <v>24.835</v>
      </c>
      <c r="F1515" s="6" t="n">
        <f aca="false">Sens!E1515*(1+Sens!F1516)</f>
        <v>27.6114901218559</v>
      </c>
      <c r="G1515" s="6" t="n">
        <f aca="false">Sens!F1515*(1+Sens!G1516)</f>
        <v>30.4675667338515</v>
      </c>
      <c r="H1515" s="6" t="n">
        <f aca="false">Sens!G1515*(1+Sens!H1516)</f>
        <v>33.3643766955789</v>
      </c>
      <c r="I1515" s="6" t="n">
        <f aca="false">Sens!H1515*(1+Sens!I1516)</f>
        <v>36.2577016533691</v>
      </c>
      <c r="J1515" s="6" t="n">
        <f aca="false">Sens!I1515*(1+Sens!J1516)</f>
        <v>39.0988367952171</v>
      </c>
      <c r="K1515" s="6" t="n">
        <f aca="false">Sens!J1515*(1+Sens!K1516)</f>
        <v>41.8357553708823</v>
      </c>
    </row>
    <row r="1516" customFormat="false" ht="15" hidden="false" customHeight="false" outlineLevel="0" collapsed="false">
      <c r="A1516" s="1" t="s">
        <v>782</v>
      </c>
      <c r="B1516" s="0" t="s">
        <v>126</v>
      </c>
      <c r="E1516" s="7" t="n">
        <f aca="false">Sens!E1515/Sens!D1515-1</f>
        <v>0.120156961796942</v>
      </c>
      <c r="F1516" s="7" t="n">
        <f aca="false">Sens!$E$1516+(glt_srch-Sens!$E$1516)*MIN(1,1/n_conv)</f>
        <v>0.111797468164118</v>
      </c>
      <c r="G1516" s="7" t="n">
        <f aca="false">Sens!$E$1516+(glt_srch-Sens!$E$1516)*MIN(1,2/n_conv)</f>
        <v>0.103437974531295</v>
      </c>
      <c r="H1516" s="7" t="n">
        <f aca="false">Sens!$E$1516+(glt_srch-Sens!$E$1516)*MIN(1,3/n_conv)</f>
        <v>0.095078480898471</v>
      </c>
      <c r="I1516" s="7" t="n">
        <f aca="false">Sens!$E$1516+(glt_srch-Sens!$E$1516)*MIN(1,4/n_conv)</f>
        <v>0.0867189872656474</v>
      </c>
      <c r="J1516" s="7" t="n">
        <f aca="false">Sens!$E$1516+(glt_srch-Sens!$E$1516)*MIN(1,5/n_conv)</f>
        <v>0.0783594936328237</v>
      </c>
      <c r="K1516" s="7" t="n">
        <f aca="false">Sens!$E$1516+(glt_srch-Sens!$E$1516)*MIN(1,6/n_conv)</f>
        <v>0.07</v>
      </c>
    </row>
    <row r="1517" customFormat="false" ht="15" hidden="false" customHeight="false" outlineLevel="0" collapsed="false">
      <c r="A1517" s="0" t="s">
        <v>793</v>
      </c>
      <c r="B1517" s="0" t="s">
        <v>95</v>
      </c>
      <c r="D1517" s="6" t="n">
        <f aca="false">Q!L14</f>
        <v>23.455</v>
      </c>
      <c r="E1517" s="6" t="n">
        <f aca="false">Q!M14</f>
        <v>21.79</v>
      </c>
      <c r="F1517" s="6" t="n">
        <f aca="false">Sens!E1517*(1+Sens!F1518)</f>
        <v>20.5736277908051</v>
      </c>
      <c r="G1517" s="6" t="n">
        <f aca="false">Sens!F1517*(1+Sens!G1518)</f>
        <v>19.7371452817919</v>
      </c>
      <c r="H1517" s="6" t="n">
        <f aca="false">Sens!G1517*(1+Sens!H1518)</f>
        <v>19.2339764043138</v>
      </c>
      <c r="I1517" s="6" t="n">
        <f aca="false">Sens!H1517*(1+Sens!I1518)</f>
        <v>19.0353086852681</v>
      </c>
      <c r="J1517" s="6" t="n">
        <f aca="false">Sens!I1517*(1+Sens!J1518)</f>
        <v>19.1273539319129</v>
      </c>
      <c r="K1517" s="6" t="n">
        <f aca="false">Sens!J1517*(1+Sens!K1518)</f>
        <v>19.5099010105511</v>
      </c>
    </row>
    <row r="1518" customFormat="false" ht="15" hidden="false" customHeight="false" outlineLevel="0" collapsed="false">
      <c r="A1518" s="1" t="s">
        <v>782</v>
      </c>
      <c r="B1518" s="0" t="s">
        <v>126</v>
      </c>
      <c r="E1518" s="7" t="n">
        <f aca="false">Sens!E1517/Sens!D1517-1</f>
        <v>-0.0709869963760392</v>
      </c>
      <c r="F1518" s="7" t="n">
        <f aca="false">Sens!$E$1518+(glt_xbox-Sens!$E$1518)*MIN(1,1/n_conv)</f>
        <v>-0.0558224969800327</v>
      </c>
      <c r="G1518" s="7" t="n">
        <f aca="false">Sens!$E$1518+(glt_xbox-Sens!$E$1518)*MIN(1,2/n_conv)</f>
        <v>-0.0406579975840262</v>
      </c>
      <c r="H1518" s="7" t="n">
        <f aca="false">Sens!$E$1518+(glt_xbox-Sens!$E$1518)*MIN(1,3/n_conv)</f>
        <v>-0.0254934981880196</v>
      </c>
      <c r="I1518" s="7" t="n">
        <f aca="false">Sens!$E$1518+(glt_xbox-Sens!$E$1518)*MIN(1,4/n_conv)</f>
        <v>-0.0103289987920131</v>
      </c>
      <c r="J1518" s="7" t="n">
        <f aca="false">Sens!$E$1518+(glt_xbox-Sens!$E$1518)*MIN(1,5/n_conv)</f>
        <v>0.00483550060399347</v>
      </c>
      <c r="K1518" s="7" t="n">
        <f aca="false">Sens!$E$1518+(glt_xbox-Sens!$E$1518)*MIN(1,6/n_conv)</f>
        <v>0.02</v>
      </c>
    </row>
    <row r="1519" customFormat="false" ht="15" hidden="false" customHeight="false" outlineLevel="0" collapsed="false">
      <c r="A1519" s="0" t="s">
        <v>794</v>
      </c>
      <c r="B1519" s="0" t="s">
        <v>95</v>
      </c>
      <c r="D1519" s="6" t="n">
        <f aca="false">Q!L15</f>
        <v>17.315</v>
      </c>
      <c r="E1519" s="6" t="n">
        <f aca="false">Q!M15</f>
        <v>17.087</v>
      </c>
      <c r="F1519" s="6" t="n">
        <f aca="false">Sens!E1519*(1+Sens!F1520)</f>
        <v>16.9564585436519</v>
      </c>
      <c r="G1519" s="6" t="n">
        <f aca="false">Sens!F1519*(1+Sens!G1520)</f>
        <v>16.9206490624268</v>
      </c>
      <c r="H1519" s="6" t="n">
        <f aca="false">Sens!G1519*(1+Sens!H1520)</f>
        <v>16.9784519149849</v>
      </c>
      <c r="I1519" s="6" t="n">
        <f aca="false">Sens!H1519*(1+Sens!I1520)</f>
        <v>17.1303084701817</v>
      </c>
      <c r="J1519" s="6" t="n">
        <f aca="false">Sens!I1519*(1+Sens!J1520)</f>
        <v>17.3782189407267</v>
      </c>
      <c r="K1519" s="6" t="n">
        <f aca="false">Sens!J1519*(1+Sens!K1520)</f>
        <v>17.7257833195413</v>
      </c>
    </row>
    <row r="1520" customFormat="false" ht="15" hidden="false" customHeight="false" outlineLevel="0" collapsed="false">
      <c r="A1520" s="1" t="s">
        <v>782</v>
      </c>
      <c r="B1520" s="0" t="s">
        <v>126</v>
      </c>
      <c r="E1520" s="7" t="n">
        <f aca="false">Sens!E1519/Sens!D1519-1</f>
        <v>-0.0131677736066995</v>
      </c>
      <c r="F1520" s="7" t="n">
        <f aca="false">Sens!$E$1520+(glt_win-Sens!$E$1520)*MIN(1,1/n_conv)</f>
        <v>-0.00763981133891627</v>
      </c>
      <c r="G1520" s="7" t="n">
        <f aca="false">Sens!$E$1520+(glt_win-Sens!$E$1520)*MIN(1,2/n_conv)</f>
        <v>-0.00211184907113301</v>
      </c>
      <c r="H1520" s="7" t="n">
        <f aca="false">Sens!$E$1520+(glt_win-Sens!$E$1520)*MIN(1,3/n_conv)</f>
        <v>0.00341611319665024</v>
      </c>
      <c r="I1520" s="7" t="n">
        <f aca="false">Sens!$E$1520+(glt_win-Sens!$E$1520)*MIN(1,4/n_conv)</f>
        <v>0.00894407546443349</v>
      </c>
      <c r="J1520" s="7" t="n">
        <f aca="false">Sens!$E$1520+(glt_win-Sens!$E$1520)*MIN(1,5/n_conv)</f>
        <v>0.0144720377322168</v>
      </c>
      <c r="K1520" s="7" t="n">
        <f aca="false">Sens!$E$1520+(glt_win-Sens!$E$1520)*MIN(1,6/n_conv)</f>
        <v>0.02</v>
      </c>
    </row>
    <row r="1521" customFormat="false" ht="15" hidden="false" customHeight="false" outlineLevel="0" collapsed="false">
      <c r="A1521" s="0" t="s">
        <v>640</v>
      </c>
      <c r="B1521" s="0" t="s">
        <v>95</v>
      </c>
      <c r="D1521" s="6" t="n">
        <f aca="false">Sens!D1515+Sens!D1517+Sens!D1519</f>
        <v>62.941</v>
      </c>
      <c r="E1521" s="6" t="n">
        <f aca="false">Sens!E1515+Sens!E1517+Sens!E1519</f>
        <v>63.712</v>
      </c>
      <c r="F1521" s="6" t="n">
        <f aca="false">Sens!F1515+Sens!F1517+Sens!F1519</f>
        <v>65.1415764563129</v>
      </c>
      <c r="G1521" s="6" t="n">
        <f aca="false">Sens!G1515+Sens!G1517+Sens!G1519</f>
        <v>67.1253610780702</v>
      </c>
      <c r="H1521" s="6" t="n">
        <f aca="false">Sens!H1515+Sens!H1517+Sens!H1519</f>
        <v>69.5768050148776</v>
      </c>
      <c r="I1521" s="6" t="n">
        <f aca="false">Sens!I1515+Sens!I1517+Sens!I1519</f>
        <v>72.4233188088189</v>
      </c>
      <c r="J1521" s="6" t="n">
        <f aca="false">Sens!J1515+Sens!J1517+Sens!J1519</f>
        <v>75.6044096678567</v>
      </c>
      <c r="K1521" s="6" t="n">
        <f aca="false">Sens!K1515+Sens!K1517+Sens!K1519</f>
        <v>79.0714397009747</v>
      </c>
    </row>
    <row r="1522" customFormat="false" ht="15" hidden="false" customHeight="false" outlineLevel="0" collapsed="false">
      <c r="A1522" s="1" t="s">
        <v>795</v>
      </c>
      <c r="B1522" s="0" t="s">
        <v>95</v>
      </c>
      <c r="D1522" s="6" t="n">
        <f aca="false">Sens!D1514+Sens!D1521</f>
        <v>281.724</v>
      </c>
      <c r="E1522" s="6" t="n">
        <f aca="false">Sens!E1514+Sens!E1521</f>
        <v>331.839</v>
      </c>
      <c r="F1522" s="6" t="n">
        <f aca="false">Sens!F1514+Sens!F1521</f>
        <v>393.505009521169</v>
      </c>
      <c r="G1522" s="6" t="n">
        <f aca="false">Sens!G1514+Sens!G1521</f>
        <v>456.395226751344</v>
      </c>
      <c r="H1522" s="6" t="n">
        <f aca="false">Sens!H1514+Sens!H1521</f>
        <v>515.333125886071</v>
      </c>
      <c r="I1522" s="6" t="n">
        <f aca="false">Sens!I1514+Sens!I1521</f>
        <v>580.337044036803</v>
      </c>
      <c r="J1522" s="6" t="n">
        <f aca="false">Sens!J1514+Sens!J1521</f>
        <v>642.820942759249</v>
      </c>
      <c r="K1522" s="6" t="n">
        <f aca="false">Sens!K1514+Sens!K1521</f>
        <v>702.099043679644</v>
      </c>
    </row>
    <row r="1523" customFormat="false" ht="15" hidden="false" customHeight="false" outlineLevel="0" collapsed="false">
      <c r="A1523" s="22" t="s">
        <v>796</v>
      </c>
      <c r="B1523" s="28" t="s">
        <v>95</v>
      </c>
      <c r="C1523" s="28"/>
      <c r="D1523" s="23" t="n">
        <f aca="false">(Sens!D1502+Sens!D1507+Sens!D1508+Sens!D1510+Sens!D1512-Sens!D1514)+(Sens!D1515+Sens!D1517+Sens!D1519-Sens!D1521)+(Sens!D1514-Q!L5)+(Sens!D1521-Q!L12)+(Sens!D1502-Q!L6)+(Sens!D1507-Q!L7)</f>
        <v>0</v>
      </c>
      <c r="E1523" s="23" t="n">
        <f aca="false">(Sens!E1502+Sens!E1507+Sens!E1508+Sens!E1510+Sens!E1512-Sens!E1514)+(Sens!E1515+Sens!E1517+Sens!E1519-Sens!E1521)+(Sens!E1514-Q!M5)+(Sens!E1521-Q!M12)+(Sens!E1502-Q!M6)+(Sens!E1507-Q!M7)</f>
        <v>0</v>
      </c>
      <c r="F1523" s="23" t="n">
        <f aca="false">(Sens!F1502+Sens!F1507+Sens!F1508+Sens!F1510+Sens!F1512-Sens!F1514)+(Sens!F1515+Sens!F1517+Sens!F1519-Sens!F1521)</f>
        <v>0</v>
      </c>
      <c r="G1523" s="23" t="n">
        <f aca="false">(Sens!G1502+Sens!G1507+Sens!G1508+Sens!G1510+Sens!G1512-Sens!G1514)+(Sens!G1515+Sens!G1517+Sens!G1519-Sens!G1521)</f>
        <v>0</v>
      </c>
      <c r="H1523" s="23" t="n">
        <f aca="false">(Sens!H1502+Sens!H1507+Sens!H1508+Sens!H1510+Sens!H1512-Sens!H1514)+(Sens!H1515+Sens!H1517+Sens!H1519-Sens!H1521)</f>
        <v>0</v>
      </c>
      <c r="I1523" s="23" t="n">
        <f aca="false">(Sens!I1502+Sens!I1507+Sens!I1508+Sens!I1510+Sens!I1512-Sens!I1514)+(Sens!I1515+Sens!I1517+Sens!I1519-Sens!I1521)</f>
        <v>0</v>
      </c>
      <c r="J1523" s="23" t="n">
        <f aca="false">(Sens!J1502+Sens!J1507+Sens!J1508+Sens!J1510+Sens!J1512-Sens!J1514)+(Sens!J1515+Sens!J1517+Sens!J1519-Sens!J1521)</f>
        <v>0</v>
      </c>
      <c r="K1523" s="23" t="n">
        <f aca="false">(Sens!K1502+Sens!K1507+Sens!K1508+Sens!K1510+Sens!K1512-Sens!K1514)+(Sens!K1515+Sens!K1517+Sens!K1519-Sens!K1521)</f>
        <v>0</v>
      </c>
    </row>
    <row r="1524" customFormat="false" ht="17.15" hidden="false" customHeight="false" outlineLevel="0" collapsed="false">
      <c r="A1524" s="3" t="s">
        <v>1156</v>
      </c>
    </row>
    <row r="1525" customFormat="false" ht="15" hidden="false" customHeight="false" outlineLevel="0" collapsed="false">
      <c r="A1525" s="4" t="s">
        <v>43</v>
      </c>
      <c r="B1525" s="4" t="s">
        <v>63</v>
      </c>
      <c r="C1525" s="19" t="s">
        <v>710</v>
      </c>
      <c r="D1525" s="19" t="s">
        <v>711</v>
      </c>
      <c r="E1525" s="19" t="s">
        <v>712</v>
      </c>
      <c r="F1525" s="19" t="s">
        <v>713</v>
      </c>
      <c r="G1525" s="19" t="s">
        <v>714</v>
      </c>
      <c r="H1525" s="19" t="s">
        <v>715</v>
      </c>
      <c r="I1525" s="19" t="s">
        <v>716</v>
      </c>
      <c r="J1525" s="19" t="s">
        <v>717</v>
      </c>
      <c r="K1525" s="19" t="s">
        <v>718</v>
      </c>
      <c r="L1525" s="4" t="s">
        <v>47</v>
      </c>
    </row>
    <row r="1526" customFormat="false" ht="15" hidden="false" customHeight="false" outlineLevel="0" collapsed="false">
      <c r="A1526" s="0" t="s">
        <v>783</v>
      </c>
      <c r="B1526" s="0" t="s">
        <v>95</v>
      </c>
      <c r="D1526" s="6" t="n">
        <f aca="false">Sens!D1502</f>
        <v>72.61</v>
      </c>
      <c r="E1526" s="6" t="n">
        <f aca="false">Sens!E1502</f>
        <v>101.938</v>
      </c>
      <c r="F1526" s="6" t="n">
        <f aca="false">Sens!F1502</f>
        <v>140.741861125673</v>
      </c>
      <c r="G1526" s="6" t="n">
        <f aca="false">Sens!G1502</f>
        <v>182.176709135845</v>
      </c>
      <c r="H1526" s="6" t="n">
        <f aca="false">Sens!H1502</f>
        <v>219.167638189678</v>
      </c>
      <c r="I1526" s="6" t="n">
        <f aca="false">Sens!I1502</f>
        <v>262.852370248498</v>
      </c>
      <c r="J1526" s="6" t="n">
        <f aca="false">Sens!J1502</f>
        <v>305.025635987223</v>
      </c>
      <c r="K1526" s="6" t="n">
        <f aca="false">Sens!K1502</f>
        <v>344.633534638493</v>
      </c>
    </row>
    <row r="1527" customFormat="false" ht="17.15" hidden="false" customHeight="false" outlineLevel="0" collapsed="false">
      <c r="A1527" s="0" t="s">
        <v>780</v>
      </c>
      <c r="B1527" s="0" t="s">
        <v>95</v>
      </c>
      <c r="D1527" s="6" t="n">
        <f aca="false">Sens!D1499</f>
        <v>12.9359794422418</v>
      </c>
      <c r="E1527" s="6" t="n">
        <f aca="false">Sens!E1499</f>
        <v>27.8095064661409</v>
      </c>
      <c r="F1527" s="6" t="n">
        <f aca="false">Sens!F1499</f>
        <v>50.6619113883066</v>
      </c>
      <c r="G1527" s="6" t="n">
        <f aca="false">Sens!G1499</f>
        <v>75.1482839325348</v>
      </c>
      <c r="H1527" s="6" t="n">
        <f aca="false">Sens!H1499</f>
        <v>94.895655604042</v>
      </c>
      <c r="I1527" s="6" t="n">
        <f aca="false">Sens!I1499</f>
        <v>121.918667866643</v>
      </c>
      <c r="J1527" s="6" t="n">
        <f aca="false">Sens!J1499</f>
        <v>149.006768672892</v>
      </c>
      <c r="K1527" s="6" t="n">
        <f aca="false">Sens!K1499</f>
        <v>176.133157939015</v>
      </c>
    </row>
    <row r="1528" customFormat="false" ht="17.15" hidden="false" customHeight="false" outlineLevel="0" collapsed="false">
      <c r="A1528" s="0" t="s">
        <v>807</v>
      </c>
      <c r="B1528" s="0" t="s">
        <v>95</v>
      </c>
      <c r="D1528" s="6" t="n">
        <f aca="false">Sens!D1500</f>
        <v>59.6740205577583</v>
      </c>
      <c r="E1528" s="6" t="n">
        <f aca="false">Sens!E1500</f>
        <v>74.1284935338591</v>
      </c>
      <c r="F1528" s="6" t="n">
        <f aca="false">Sens!F1500</f>
        <v>90.0799497373663</v>
      </c>
      <c r="G1528" s="6" t="n">
        <f aca="false">Sens!G1500</f>
        <v>107.02842520331</v>
      </c>
      <c r="H1528" s="6" t="n">
        <f aca="false">Sens!H1500</f>
        <v>124.271982585636</v>
      </c>
      <c r="I1528" s="6" t="n">
        <f aca="false">Sens!I1500</f>
        <v>140.933702381855</v>
      </c>
      <c r="J1528" s="6" t="n">
        <f aca="false">Sens!J1500</f>
        <v>156.018867314332</v>
      </c>
      <c r="K1528" s="6" t="n">
        <f aca="false">Sens!K1500</f>
        <v>168.500376699478</v>
      </c>
    </row>
    <row r="1529" customFormat="false" ht="15" hidden="false" customHeight="false" outlineLevel="0" collapsed="false">
      <c r="A1529" s="0" t="s">
        <v>788</v>
      </c>
      <c r="B1529" s="0" t="s">
        <v>95</v>
      </c>
      <c r="D1529" s="6" t="n">
        <f aca="false">Sens!D1507</f>
        <v>84.605</v>
      </c>
      <c r="E1529" s="6" t="n">
        <f aca="false">Sens!E1507</f>
        <v>100.299</v>
      </c>
      <c r="F1529" s="6" t="n">
        <f aca="false">Sens!F1507</f>
        <v>117.39238776686</v>
      </c>
      <c r="G1529" s="6" t="n">
        <f aca="false">Sens!G1507</f>
        <v>132.544168448684</v>
      </c>
      <c r="H1529" s="6" t="n">
        <f aca="false">Sens!H1507</f>
        <v>147.777359388781</v>
      </c>
      <c r="I1529" s="6" t="n">
        <f aca="false">Sens!I1507</f>
        <v>162.084028071957</v>
      </c>
      <c r="J1529" s="6" t="n">
        <f aca="false">Sens!J1507</f>
        <v>175.182702785465</v>
      </c>
      <c r="K1529" s="6" t="n">
        <f aca="false">Sens!K1507</f>
        <v>187.527991980448</v>
      </c>
    </row>
    <row r="1530" customFormat="false" ht="17.15" hidden="false" customHeight="false" outlineLevel="0" collapsed="false">
      <c r="A1530" s="0" t="s">
        <v>808</v>
      </c>
      <c r="B1530" s="0" t="s">
        <v>95</v>
      </c>
      <c r="D1530" s="6" t="n">
        <f aca="false">Sens!D1505</f>
        <v>83.705</v>
      </c>
      <c r="E1530" s="6" t="n">
        <f aca="false">Sens!E1505</f>
        <v>95.049</v>
      </c>
      <c r="F1530" s="6" t="n">
        <f aca="false">Sens!F1505</f>
        <v>106.89238776686</v>
      </c>
      <c r="G1530" s="6" t="n">
        <f aca="false">Sens!G1505</f>
        <v>119.044168448684</v>
      </c>
      <c r="H1530" s="6" t="n">
        <f aca="false">Sens!H1505</f>
        <v>131.277359388781</v>
      </c>
      <c r="I1530" s="6" t="n">
        <f aca="false">Sens!I1505</f>
        <v>143.334028071957</v>
      </c>
      <c r="J1530" s="6" t="n">
        <f aca="false">Sens!J1505</f>
        <v>154.932702785465</v>
      </c>
      <c r="K1530" s="6" t="n">
        <f aca="false">Sens!K1505</f>
        <v>165.777991980448</v>
      </c>
    </row>
    <row r="1531" customFormat="false" ht="17.15" hidden="false" customHeight="false" outlineLevel="0" collapsed="false">
      <c r="A1531" s="0" t="s">
        <v>809</v>
      </c>
      <c r="B1531" s="0" t="s">
        <v>95</v>
      </c>
      <c r="D1531" s="6" t="n">
        <f aca="false">Sens!D1504</f>
        <v>0.9</v>
      </c>
      <c r="E1531" s="6" t="n">
        <f aca="false">Sens!E1504</f>
        <v>5.25</v>
      </c>
      <c r="F1531" s="6" t="n">
        <f aca="false">Sens!F1504</f>
        <v>10.5</v>
      </c>
      <c r="G1531" s="6" t="n">
        <f aca="false">Sens!G1504</f>
        <v>13.5</v>
      </c>
      <c r="H1531" s="6" t="n">
        <f aca="false">Sens!H1504</f>
        <v>16.5</v>
      </c>
      <c r="I1531" s="6" t="n">
        <f aca="false">Sens!I1504</f>
        <v>18.75</v>
      </c>
      <c r="J1531" s="6" t="n">
        <f aca="false">Sens!J1504</f>
        <v>20.25</v>
      </c>
      <c r="K1531" s="6" t="n">
        <f aca="false">Sens!K1504</f>
        <v>21.75</v>
      </c>
    </row>
    <row r="1532" customFormat="false" ht="15" hidden="false" customHeight="false" outlineLevel="0" collapsed="false">
      <c r="A1532" s="0" t="s">
        <v>789</v>
      </c>
      <c r="B1532" s="0" t="s">
        <v>95</v>
      </c>
      <c r="D1532" s="6" t="n">
        <f aca="false">Sens!D1508</f>
        <v>35.391</v>
      </c>
      <c r="E1532" s="6" t="n">
        <f aca="false">Sens!E1508</f>
        <v>37.285</v>
      </c>
      <c r="F1532" s="6" t="n">
        <f aca="false">Sens!F1508</f>
        <v>39.0720834331704</v>
      </c>
      <c r="G1532" s="6" t="n">
        <f aca="false">Sens!G1508</f>
        <v>40.726562953769</v>
      </c>
      <c r="H1532" s="6" t="n">
        <f aca="false">Sens!H1508</f>
        <v>42.2235987259198</v>
      </c>
      <c r="I1532" s="6" t="n">
        <f aca="false">Sens!I1508</f>
        <v>43.5397988077414</v>
      </c>
      <c r="J1532" s="6" t="n">
        <f aca="false">Sens!J1508</f>
        <v>44.653811225693</v>
      </c>
      <c r="K1532" s="6" t="n">
        <f aca="false">Sens!K1508</f>
        <v>45.5468874502068</v>
      </c>
    </row>
    <row r="1533" customFormat="false" ht="15" hidden="false" customHeight="false" outlineLevel="0" collapsed="false">
      <c r="A1533" s="0" t="s">
        <v>790</v>
      </c>
      <c r="B1533" s="0" t="s">
        <v>95</v>
      </c>
      <c r="D1533" s="6" t="n">
        <f aca="false">Sens!D1510</f>
        <v>18.417</v>
      </c>
      <c r="E1533" s="6" t="n">
        <f aca="false">Sens!E1510</f>
        <v>20.345</v>
      </c>
      <c r="F1533" s="6" t="n">
        <f aca="false">Sens!F1510</f>
        <v>22.3572203267814</v>
      </c>
      <c r="G1533" s="6" t="n">
        <f aca="false">Sens!G1510</f>
        <v>24.4392124437232</v>
      </c>
      <c r="H1533" s="6" t="n">
        <f aca="false">Sens!H1510</f>
        <v>26.5738052080665</v>
      </c>
      <c r="I1533" s="6" t="n">
        <f aca="false">Sens!I1510</f>
        <v>28.7412169166967</v>
      </c>
      <c r="J1533" s="6" t="n">
        <f aca="false">Sens!J1510</f>
        <v>30.9192545395413</v>
      </c>
      <c r="K1533" s="6" t="n">
        <f aca="false">Sens!K1510</f>
        <v>33.0836023573092</v>
      </c>
    </row>
    <row r="1534" customFormat="false" ht="15" hidden="false" customHeight="false" outlineLevel="0" collapsed="false">
      <c r="A1534" s="0" t="s">
        <v>791</v>
      </c>
      <c r="B1534" s="0" t="s">
        <v>95</v>
      </c>
      <c r="D1534" s="6" t="n">
        <f aca="false">Sens!D1512</f>
        <v>7.76</v>
      </c>
      <c r="E1534" s="6" t="n">
        <f aca="false">Sens!E1512</f>
        <v>8.26</v>
      </c>
      <c r="F1534" s="6" t="n">
        <f aca="false">Sens!F1512</f>
        <v>8.79988041237113</v>
      </c>
      <c r="G1534" s="6" t="n">
        <f aca="false">Sens!G1512</f>
        <v>9.38321269125306</v>
      </c>
      <c r="H1534" s="6" t="n">
        <f aca="false">Sens!H1512</f>
        <v>10.0139193587476</v>
      </c>
      <c r="I1534" s="6" t="n">
        <f aca="false">Sens!I1512</f>
        <v>10.6963111830911</v>
      </c>
      <c r="J1534" s="6" t="n">
        <f aca="false">Sens!J1512</f>
        <v>11.4351285534696</v>
      </c>
      <c r="K1534" s="6" t="n">
        <f aca="false">Sens!K1512</f>
        <v>12.2355875522124</v>
      </c>
    </row>
    <row r="1535" customFormat="false" ht="15" hidden="false" customHeight="false" outlineLevel="0" collapsed="false">
      <c r="A1535" s="0" t="s">
        <v>626</v>
      </c>
      <c r="B1535" s="0" t="s">
        <v>95</v>
      </c>
      <c r="D1535" s="6" t="n">
        <f aca="false">Sens!D1514</f>
        <v>218.783</v>
      </c>
      <c r="E1535" s="6" t="n">
        <f aca="false">Sens!E1514</f>
        <v>268.127</v>
      </c>
      <c r="F1535" s="6" t="n">
        <f aca="false">Sens!F1514</f>
        <v>328.363433064856</v>
      </c>
      <c r="G1535" s="6" t="n">
        <f aca="false">Sens!G1514</f>
        <v>389.269865673274</v>
      </c>
      <c r="H1535" s="6" t="n">
        <f aca="false">Sens!H1514</f>
        <v>445.756320871193</v>
      </c>
      <c r="I1535" s="6" t="n">
        <f aca="false">Sens!I1514</f>
        <v>507.913725227984</v>
      </c>
      <c r="J1535" s="6" t="n">
        <f aca="false">Sens!J1514</f>
        <v>567.216533091392</v>
      </c>
      <c r="K1535" s="6" t="n">
        <f aca="false">Sens!K1514</f>
        <v>623.027603978669</v>
      </c>
    </row>
    <row r="1536" customFormat="false" ht="15" hidden="false" customHeight="false" outlineLevel="0" collapsed="false">
      <c r="A1536" s="0" t="s">
        <v>792</v>
      </c>
      <c r="B1536" s="0" t="s">
        <v>95</v>
      </c>
      <c r="D1536" s="6" t="n">
        <f aca="false">Sens!D1515</f>
        <v>22.171</v>
      </c>
      <c r="E1536" s="6" t="n">
        <f aca="false">Sens!E1515</f>
        <v>24.835</v>
      </c>
      <c r="F1536" s="6" t="n">
        <f aca="false">Sens!F1515</f>
        <v>27.6114901218559</v>
      </c>
      <c r="G1536" s="6" t="n">
        <f aca="false">Sens!G1515</f>
        <v>30.4675667338515</v>
      </c>
      <c r="H1536" s="6" t="n">
        <f aca="false">Sens!H1515</f>
        <v>33.3643766955789</v>
      </c>
      <c r="I1536" s="6" t="n">
        <f aca="false">Sens!I1515</f>
        <v>36.2577016533691</v>
      </c>
      <c r="J1536" s="6" t="n">
        <f aca="false">Sens!J1515</f>
        <v>39.0988367952171</v>
      </c>
      <c r="K1536" s="6" t="n">
        <f aca="false">Sens!K1515</f>
        <v>41.8357553708823</v>
      </c>
    </row>
    <row r="1537" customFormat="false" ht="15" hidden="false" customHeight="false" outlineLevel="0" collapsed="false">
      <c r="A1537" s="0" t="s">
        <v>793</v>
      </c>
      <c r="B1537" s="0" t="s">
        <v>95</v>
      </c>
      <c r="D1537" s="6" t="n">
        <f aca="false">Sens!D1517</f>
        <v>23.455</v>
      </c>
      <c r="E1537" s="6" t="n">
        <f aca="false">Sens!E1517</f>
        <v>21.79</v>
      </c>
      <c r="F1537" s="6" t="n">
        <f aca="false">Sens!F1517</f>
        <v>20.5736277908051</v>
      </c>
      <c r="G1537" s="6" t="n">
        <f aca="false">Sens!G1517</f>
        <v>19.7371452817919</v>
      </c>
      <c r="H1537" s="6" t="n">
        <f aca="false">Sens!H1517</f>
        <v>19.2339764043138</v>
      </c>
      <c r="I1537" s="6" t="n">
        <f aca="false">Sens!I1517</f>
        <v>19.0353086852681</v>
      </c>
      <c r="J1537" s="6" t="n">
        <f aca="false">Sens!J1517</f>
        <v>19.1273539319129</v>
      </c>
      <c r="K1537" s="6" t="n">
        <f aca="false">Sens!K1517</f>
        <v>19.5099010105511</v>
      </c>
    </row>
    <row r="1538" customFormat="false" ht="15" hidden="false" customHeight="false" outlineLevel="0" collapsed="false">
      <c r="A1538" s="0" t="s">
        <v>794</v>
      </c>
      <c r="B1538" s="0" t="s">
        <v>95</v>
      </c>
      <c r="D1538" s="6" t="n">
        <f aca="false">Sens!D1519</f>
        <v>17.315</v>
      </c>
      <c r="E1538" s="6" t="n">
        <f aca="false">Sens!E1519</f>
        <v>17.087</v>
      </c>
      <c r="F1538" s="6" t="n">
        <f aca="false">Sens!F1519</f>
        <v>16.9564585436519</v>
      </c>
      <c r="G1538" s="6" t="n">
        <f aca="false">Sens!G1519</f>
        <v>16.9206490624268</v>
      </c>
      <c r="H1538" s="6" t="n">
        <f aca="false">Sens!H1519</f>
        <v>16.9784519149849</v>
      </c>
      <c r="I1538" s="6" t="n">
        <f aca="false">Sens!I1519</f>
        <v>17.1303084701817</v>
      </c>
      <c r="J1538" s="6" t="n">
        <f aca="false">Sens!J1519</f>
        <v>17.3782189407267</v>
      </c>
      <c r="K1538" s="6" t="n">
        <f aca="false">Sens!K1519</f>
        <v>17.7257833195413</v>
      </c>
    </row>
    <row r="1539" customFormat="false" ht="15" hidden="false" customHeight="false" outlineLevel="0" collapsed="false">
      <c r="A1539" s="0" t="s">
        <v>640</v>
      </c>
      <c r="B1539" s="0" t="s">
        <v>95</v>
      </c>
      <c r="D1539" s="6" t="n">
        <f aca="false">Sens!D1521</f>
        <v>62.941</v>
      </c>
      <c r="E1539" s="6" t="n">
        <f aca="false">Sens!E1521</f>
        <v>63.712</v>
      </c>
      <c r="F1539" s="6" t="n">
        <f aca="false">Sens!F1521</f>
        <v>65.1415764563129</v>
      </c>
      <c r="G1539" s="6" t="n">
        <f aca="false">Sens!G1521</f>
        <v>67.1253610780702</v>
      </c>
      <c r="H1539" s="6" t="n">
        <f aca="false">Sens!H1521</f>
        <v>69.5768050148776</v>
      </c>
      <c r="I1539" s="6" t="n">
        <f aca="false">Sens!I1521</f>
        <v>72.4233188088189</v>
      </c>
      <c r="J1539" s="6" t="n">
        <f aca="false">Sens!J1521</f>
        <v>75.6044096678567</v>
      </c>
      <c r="K1539" s="6" t="n">
        <f aca="false">Sens!K1521</f>
        <v>79.0714397009747</v>
      </c>
    </row>
    <row r="1540" customFormat="false" ht="15" hidden="false" customHeight="false" outlineLevel="0" collapsed="false">
      <c r="A1540" s="1" t="s">
        <v>810</v>
      </c>
      <c r="B1540" s="0" t="s">
        <v>95</v>
      </c>
      <c r="D1540" s="6" t="n">
        <f aca="false">Sens!D1522</f>
        <v>281.724</v>
      </c>
      <c r="E1540" s="6" t="n">
        <f aca="false">Sens!E1522</f>
        <v>331.839</v>
      </c>
      <c r="F1540" s="6" t="n">
        <f aca="false">Sens!F1522</f>
        <v>393.505009521169</v>
      </c>
      <c r="G1540" s="6" t="n">
        <f aca="false">Sens!G1522</f>
        <v>456.395226751344</v>
      </c>
      <c r="H1540" s="6" t="n">
        <f aca="false">Sens!H1522</f>
        <v>515.333125886071</v>
      </c>
      <c r="I1540" s="6" t="n">
        <f aca="false">Sens!I1522</f>
        <v>580.337044036803</v>
      </c>
      <c r="J1540" s="6" t="n">
        <f aca="false">Sens!J1522</f>
        <v>642.820942759249</v>
      </c>
      <c r="K1540" s="6" t="n">
        <f aca="false">Sens!K1522</f>
        <v>702.099043679644</v>
      </c>
    </row>
    <row r="1541" customFormat="false" ht="15" hidden="false" customHeight="false" outlineLevel="0" collapsed="false">
      <c r="A1541" s="1" t="s">
        <v>811</v>
      </c>
      <c r="B1541" s="0" t="s">
        <v>126</v>
      </c>
      <c r="E1541" s="7" t="n">
        <f aca="false">Sens!E1540/Sens!D1540-1</f>
        <v>0.177886867998467</v>
      </c>
      <c r="F1541" s="7" t="n">
        <f aca="false">Sens!F1540/Sens!E1540-1</f>
        <v>0.185831109427067</v>
      </c>
      <c r="G1541" s="7" t="n">
        <f aca="false">Sens!G1540/Sens!F1540-1</f>
        <v>0.159820626697237</v>
      </c>
      <c r="H1541" s="7" t="n">
        <f aca="false">Sens!H1540/Sens!G1540-1</f>
        <v>0.129137851756801</v>
      </c>
      <c r="I1541" s="7" t="n">
        <f aca="false">Sens!I1540/Sens!H1540-1</f>
        <v>0.126139607344208</v>
      </c>
      <c r="J1541" s="7" t="n">
        <f aca="false">Sens!J1540/Sens!I1540-1</f>
        <v>0.107668292700756</v>
      </c>
      <c r="K1541" s="7" t="n">
        <f aca="false">Sens!K1540/Sens!J1540-1</f>
        <v>0.0922155719848661</v>
      </c>
    </row>
    <row r="1542" customFormat="false" ht="17.15" hidden="false" customHeight="false" outlineLevel="0" collapsed="false">
      <c r="A1542" s="22" t="s">
        <v>812</v>
      </c>
      <c r="B1542" s="28" t="s">
        <v>95</v>
      </c>
      <c r="C1542" s="28"/>
      <c r="D1542" s="23" t="n">
        <f aca="false">(Sens!D1535+Sens!D1539-Sens!D1540)+(Sens!D1527+Sens!D1528-Sens!D1526)+(Sens!D1530+Sens!D1531-Sens!D1529)+(Sens!D1540-Q!L18)</f>
        <v>0</v>
      </c>
      <c r="E1542" s="23" t="n">
        <f aca="false">(Sens!E1535+Sens!E1539-Sens!E1540)+(Sens!E1527+Sens!E1528-Sens!E1526)+(Sens!E1530+Sens!E1531-Sens!E1529)+(Sens!E1540-Q!M18)</f>
        <v>0</v>
      </c>
      <c r="F1542" s="23" t="n">
        <f aca="false">(Sens!F1535+Sens!F1539-Sens!F1540)+(Sens!F1527+Sens!F1528-Sens!F1526)+(Sens!F1530+Sens!F1531-Sens!F1529)</f>
        <v>0</v>
      </c>
      <c r="G1542" s="23" t="n">
        <f aca="false">(Sens!G1535+Sens!G1539-Sens!G1540)+(Sens!G1527+Sens!G1528-Sens!G1526)+(Sens!G1530+Sens!G1531-Sens!G1529)</f>
        <v>0</v>
      </c>
      <c r="H1542" s="23" t="n">
        <f aca="false">(Sens!H1535+Sens!H1539-Sens!H1540)+(Sens!H1527+Sens!H1528-Sens!H1526)+(Sens!H1530+Sens!H1531-Sens!H1529)</f>
        <v>0</v>
      </c>
      <c r="I1542" s="23" t="n">
        <f aca="false">(Sens!I1535+Sens!I1539-Sens!I1540)+(Sens!I1527+Sens!I1528-Sens!I1526)+(Sens!I1530+Sens!I1531-Sens!I1529)</f>
        <v>0</v>
      </c>
      <c r="J1542" s="23" t="n">
        <f aca="false">(Sens!J1535+Sens!J1539-Sens!J1540)+(Sens!J1527+Sens!J1528-Sens!J1526)+(Sens!J1530+Sens!J1531-Sens!J1529)</f>
        <v>0</v>
      </c>
      <c r="K1542" s="23" t="n">
        <f aca="false">(Sens!K1535+Sens!K1539-Sens!K1540)+(Sens!K1527+Sens!K1528-Sens!K1526)+(Sens!K1530+Sens!K1531-Sens!K1529)</f>
        <v>0</v>
      </c>
    </row>
    <row r="1543" customFormat="false" ht="17.15" hidden="false" customHeight="false" outlineLevel="0" collapsed="false">
      <c r="A1543" s="0" t="s">
        <v>813</v>
      </c>
      <c r="B1543" s="0" t="s">
        <v>126</v>
      </c>
      <c r="E1543" s="7" t="n">
        <f aca="false">(Q!M21+Sens!E1480+Sens!E1481+Sens!E1482+Sens!E1495-Sens!E1478)/(Q!M5-Sens!E1478)</f>
        <v>0.591291114837517</v>
      </c>
      <c r="F1543" s="7" t="n">
        <f aca="false">Sens!$E$1543+dm_seg</f>
        <v>0.591291114837517</v>
      </c>
      <c r="G1543" s="7" t="n">
        <f aca="false">Sens!$E$1543+dm_seg</f>
        <v>0.591291114837517</v>
      </c>
      <c r="H1543" s="7" t="n">
        <f aca="false">Sens!$E$1543+dm_seg</f>
        <v>0.591291114837517</v>
      </c>
      <c r="I1543" s="7" t="n">
        <f aca="false">Sens!$E$1543+dm_seg</f>
        <v>0.591291114837517</v>
      </c>
      <c r="J1543" s="7" t="n">
        <f aca="false">Sens!$E$1543+dm_seg</f>
        <v>0.591291114837517</v>
      </c>
      <c r="K1543" s="7" t="n">
        <f aca="false">Sens!$E$1543+dm_seg</f>
        <v>0.591291114837517</v>
      </c>
      <c r="L1543" s="11" t="s">
        <v>814</v>
      </c>
    </row>
    <row r="1544" customFormat="false" ht="17.15" hidden="false" customHeight="false" outlineLevel="0" collapsed="false">
      <c r="A1544" s="0" t="s">
        <v>654</v>
      </c>
      <c r="B1544" s="0" t="s">
        <v>95</v>
      </c>
      <c r="D1544" s="6" t="n">
        <f aca="false">Q!L21</f>
        <v>110.814</v>
      </c>
      <c r="E1544" s="6" t="n">
        <f aca="false">Q!M21</f>
        <v>136.365</v>
      </c>
      <c r="F1544" s="6" t="n">
        <f aca="false">Sens!F1543*(Sens!F1514-Sens!F1478)+Sens!F1478-(Sens!F1480+Sens!F1481+Sens!F1482)-Sens!F1495</f>
        <v>148.600527223832</v>
      </c>
      <c r="G1544" s="6" t="n">
        <f aca="false">Sens!G1543*(Sens!G1514-Sens!G1478)+Sens!G1478-(Sens!G1480+Sens!G1481+Sens!G1482)-Sens!G1495</f>
        <v>150.860326139432</v>
      </c>
      <c r="H1544" s="6" t="n">
        <f aca="false">Sens!H1543*(Sens!H1514-Sens!H1478)+Sens!H1478-(Sens!H1480+Sens!H1481+Sens!H1482)-Sens!H1495</f>
        <v>146.212094204485</v>
      </c>
      <c r="I1544" s="6" t="n">
        <f aca="false">Sens!I1543*(Sens!I1514-Sens!I1478)+Sens!I1478-(Sens!I1480+Sens!I1481+Sens!I1482)-Sens!I1495</f>
        <v>146.630541719817</v>
      </c>
      <c r="J1544" s="6" t="n">
        <f aca="false">Sens!J1543*(Sens!J1514-Sens!J1478)+Sens!J1478-(Sens!J1480+Sens!J1481+Sens!J1482)-Sens!J1495</f>
        <v>144.201685207566</v>
      </c>
      <c r="K1544" s="6" t="n">
        <f aca="false">Sens!K1543*(Sens!K1514-Sens!K1478)+Sens!K1478-(Sens!K1480+Sens!K1481+Sens!K1482)-Sens!K1495</f>
        <v>138.167414132455</v>
      </c>
      <c r="L1544" s="1" t="s">
        <v>815</v>
      </c>
    </row>
    <row r="1545" customFormat="false" ht="17.15" hidden="false" customHeight="false" outlineLevel="0" collapsed="false">
      <c r="A1545" s="0" t="s">
        <v>816</v>
      </c>
      <c r="B1545" s="0" t="s">
        <v>126</v>
      </c>
      <c r="E1545" s="7" t="n">
        <f aca="false">Q!M22/Q!M12</f>
        <v>0.296207935710698</v>
      </c>
      <c r="F1545" s="7" t="n">
        <f aca="false">Sens!$E$1545+dm_seg</f>
        <v>0.296207935710698</v>
      </c>
      <c r="G1545" s="7" t="n">
        <f aca="false">Sens!$E$1545+dm_seg</f>
        <v>0.296207935710698</v>
      </c>
      <c r="H1545" s="7" t="n">
        <f aca="false">Sens!$E$1545+dm_seg</f>
        <v>0.296207935710698</v>
      </c>
      <c r="I1545" s="7" t="n">
        <f aca="false">Sens!$E$1545+dm_seg</f>
        <v>0.296207935710698</v>
      </c>
      <c r="J1545" s="7" t="n">
        <f aca="false">Sens!$E$1545+dm_seg</f>
        <v>0.296207935710698</v>
      </c>
      <c r="K1545" s="7" t="n">
        <f aca="false">Sens!$E$1545+dm_seg</f>
        <v>0.296207935710698</v>
      </c>
      <c r="L1545" s="11" t="s">
        <v>817</v>
      </c>
    </row>
    <row r="1546" customFormat="false" ht="17.15" hidden="false" customHeight="false" outlineLevel="0" collapsed="false">
      <c r="A1546" s="0" t="s">
        <v>656</v>
      </c>
      <c r="B1546" s="0" t="s">
        <v>95</v>
      </c>
      <c r="D1546" s="6" t="n">
        <f aca="false">Q!L22</f>
        <v>17.714</v>
      </c>
      <c r="E1546" s="6" t="n">
        <f aca="false">Q!M22</f>
        <v>18.872</v>
      </c>
      <c r="F1546" s="6" t="n">
        <f aca="false">Sens!F1521*Sens!F1545</f>
        <v>19.2954518910651</v>
      </c>
      <c r="G1546" s="6" t="n">
        <f aca="false">Sens!G1521*Sens!G1545</f>
        <v>19.8830646387704</v>
      </c>
      <c r="H1546" s="6" t="n">
        <f aca="false">Sens!H1521*Sens!H1545</f>
        <v>20.6092017868026</v>
      </c>
      <c r="I1546" s="6" t="n">
        <f aca="false">Sens!I1521*Sens!I1545</f>
        <v>21.452361761678</v>
      </c>
      <c r="J1546" s="6" t="n">
        <f aca="false">Sens!J1521*Sens!J1545</f>
        <v>22.3946261183418</v>
      </c>
      <c r="K1546" s="6" t="n">
        <f aca="false">Sens!K1521*Sens!K1545</f>
        <v>23.4215879274986</v>
      </c>
    </row>
    <row r="1547" customFormat="false" ht="15" hidden="false" customHeight="false" outlineLevel="0" collapsed="false">
      <c r="A1547" s="1" t="s">
        <v>818</v>
      </c>
      <c r="B1547" s="0" t="s">
        <v>95</v>
      </c>
      <c r="D1547" s="6" t="n">
        <f aca="false">Sens!D1544+Sens!D1546</f>
        <v>128.528</v>
      </c>
      <c r="E1547" s="6" t="n">
        <f aca="false">Sens!E1544+Sens!E1546</f>
        <v>155.237</v>
      </c>
      <c r="F1547" s="6" t="n">
        <f aca="false">Sens!F1544+Sens!F1546</f>
        <v>167.895979114897</v>
      </c>
      <c r="G1547" s="6" t="n">
        <f aca="false">Sens!G1544+Sens!G1546</f>
        <v>170.743390778202</v>
      </c>
      <c r="H1547" s="6" t="n">
        <f aca="false">Sens!H1544+Sens!H1546</f>
        <v>166.821295991288</v>
      </c>
      <c r="I1547" s="6" t="n">
        <f aca="false">Sens!I1544+Sens!I1546</f>
        <v>168.082903481495</v>
      </c>
      <c r="J1547" s="6" t="n">
        <f aca="false">Sens!J1544+Sens!J1546</f>
        <v>166.596311325908</v>
      </c>
      <c r="K1547" s="6" t="n">
        <f aca="false">Sens!K1544+Sens!K1546</f>
        <v>161.589002059954</v>
      </c>
    </row>
    <row r="1548" customFormat="false" ht="15" hidden="false" customHeight="false" outlineLevel="0" collapsed="false">
      <c r="A1548" s="22" t="s">
        <v>819</v>
      </c>
      <c r="B1548" s="28" t="s">
        <v>95</v>
      </c>
      <c r="C1548" s="28"/>
      <c r="D1548" s="23" t="n">
        <f aca="false">Sens!D1547-Q!L23</f>
        <v>0</v>
      </c>
      <c r="E1548" s="23" t="n">
        <f aca="false">Sens!E1547-Q!M23</f>
        <v>0</v>
      </c>
      <c r="F1548" s="28"/>
      <c r="G1548" s="28"/>
      <c r="H1548" s="28"/>
      <c r="I1548" s="28"/>
      <c r="J1548" s="28"/>
      <c r="K1548" s="28"/>
    </row>
    <row r="1549" customFormat="false" ht="15" hidden="false" customHeight="false" outlineLevel="0" collapsed="false">
      <c r="A1549" s="1" t="s">
        <v>820</v>
      </c>
      <c r="B1549" s="0" t="s">
        <v>126</v>
      </c>
      <c r="D1549" s="7" t="n">
        <f aca="false">Sens!D1547/Sens!D1540</f>
        <v>0.456219562408598</v>
      </c>
      <c r="E1549" s="7" t="n">
        <f aca="false">Sens!E1547/Sens!E1540</f>
        <v>0.467808184089272</v>
      </c>
      <c r="F1549" s="7" t="n">
        <f aca="false">Sens!F1547/Sens!F1540</f>
        <v>0.426667958609216</v>
      </c>
      <c r="G1549" s="7" t="n">
        <f aca="false">Sens!G1547/Sens!G1540</f>
        <v>0.374113007258132</v>
      </c>
      <c r="H1549" s="7" t="n">
        <f aca="false">Sens!H1547/Sens!H1540</f>
        <v>0.323715452416247</v>
      </c>
      <c r="I1549" s="7" t="n">
        <f aca="false">Sens!I1547/Sens!I1540</f>
        <v>0.289629802558039</v>
      </c>
      <c r="J1549" s="7" t="n">
        <f aca="false">Sens!J1547/Sens!J1540</f>
        <v>0.259164411493515</v>
      </c>
      <c r="K1549" s="7" t="n">
        <f aca="false">Sens!K1547/Sens!K1540</f>
        <v>0.230151292064264</v>
      </c>
    </row>
    <row r="1550" customFormat="false" ht="17.15" hidden="false" customHeight="false" outlineLevel="0" collapsed="false">
      <c r="A1550" s="1" t="s">
        <v>821</v>
      </c>
      <c r="B1550" s="0" t="s">
        <v>95</v>
      </c>
      <c r="E1550" s="6" t="n">
        <f aca="false">Sens!E1495</f>
        <v>19.5664871725</v>
      </c>
      <c r="F1550" s="6" t="n">
        <f aca="false">Sens!F1495</f>
        <v>40.8598648571467</v>
      </c>
      <c r="G1550" s="6" t="n">
        <f aca="false">Sens!G1495</f>
        <v>70.9505245326133</v>
      </c>
      <c r="H1550" s="6" t="n">
        <f aca="false">Sens!H1495</f>
        <v>103.633223811973</v>
      </c>
      <c r="I1550" s="6" t="n">
        <f aca="false">Sens!I1495</f>
        <v>137.539062709553</v>
      </c>
      <c r="J1550" s="6" t="n">
        <f aca="false">Sens!J1495</f>
        <v>172.611578170133</v>
      </c>
      <c r="K1550" s="6" t="n">
        <f aca="false">Sens!K1495</f>
        <v>209.229151781713</v>
      </c>
    </row>
    <row r="1551" customFormat="false" ht="17.15" hidden="false" customHeight="false" outlineLevel="0" collapsed="false">
      <c r="A1551" s="1" t="s">
        <v>822</v>
      </c>
      <c r="B1551" s="0" t="s">
        <v>95</v>
      </c>
      <c r="E1551" s="6" t="n">
        <f aca="false">Sens!E1571</f>
        <v>18.9675128275</v>
      </c>
      <c r="F1551" s="6" t="n">
        <f aca="false">Sens!F1571</f>
        <v>20.6136962677062</v>
      </c>
      <c r="G1551" s="6" t="n">
        <f aca="false">Sens!G1571</f>
        <v>22.6226159979745</v>
      </c>
      <c r="H1551" s="6" t="n">
        <f aca="false">Sens!H1571</f>
        <v>24.9665057625861</v>
      </c>
      <c r="I1551" s="6" t="n">
        <f aca="false">Sens!I1571</f>
        <v>27.5921952174918</v>
      </c>
      <c r="J1551" s="6" t="n">
        <f aca="false">Sens!J1571</f>
        <v>30.42856702078</v>
      </c>
      <c r="K1551" s="6" t="n">
        <f aca="false">Sens!K1571</f>
        <v>33.3950805929014</v>
      </c>
    </row>
    <row r="1552" customFormat="false" ht="17.15" hidden="false" customHeight="false" outlineLevel="0" collapsed="false">
      <c r="A1552" s="1" t="s">
        <v>823</v>
      </c>
      <c r="B1552" s="0" t="s">
        <v>95</v>
      </c>
      <c r="D1552" s="6" t="n">
        <f aca="false">Q!L27</f>
        <v>-4.901</v>
      </c>
      <c r="E1552" s="6" t="n">
        <f aca="false">Q!M27</f>
        <v>10.697</v>
      </c>
      <c r="F1552" s="6" t="n">
        <f aca="false">oie_f</f>
        <v>-0.4</v>
      </c>
      <c r="G1552" s="6" t="n">
        <f aca="false">oie_f</f>
        <v>-0.4</v>
      </c>
      <c r="H1552" s="6" t="n">
        <f aca="false">oie_f</f>
        <v>-0.4</v>
      </c>
      <c r="I1552" s="6" t="n">
        <f aca="false">oie_f</f>
        <v>-0.4</v>
      </c>
      <c r="J1552" s="6" t="n">
        <f aca="false">oie_f</f>
        <v>-0.4</v>
      </c>
      <c r="K1552" s="6" t="n">
        <f aca="false">oie_f</f>
        <v>-0.4</v>
      </c>
      <c r="L1552" s="11" t="s">
        <v>824</v>
      </c>
    </row>
    <row r="1553" customFormat="false" ht="15" hidden="false" customHeight="false" outlineLevel="0" collapsed="false">
      <c r="A1553" s="1" t="s">
        <v>666</v>
      </c>
      <c r="B1553" s="0" t="s">
        <v>95</v>
      </c>
      <c r="D1553" s="6" t="n">
        <f aca="false">Sens!D1547+Sens!D1552</f>
        <v>123.627</v>
      </c>
      <c r="E1553" s="6" t="n">
        <f aca="false">Sens!E1547+Sens!E1552</f>
        <v>165.934</v>
      </c>
      <c r="F1553" s="6" t="n">
        <f aca="false">Sens!F1547+Sens!F1552</f>
        <v>167.495979114897</v>
      </c>
      <c r="G1553" s="6" t="n">
        <f aca="false">Sens!G1547+Sens!G1552</f>
        <v>170.343390778202</v>
      </c>
      <c r="H1553" s="6" t="n">
        <f aca="false">Sens!H1547+Sens!H1552</f>
        <v>166.421295991288</v>
      </c>
      <c r="I1553" s="6" t="n">
        <f aca="false">Sens!I1547+Sens!I1552</f>
        <v>167.682903481495</v>
      </c>
      <c r="J1553" s="6" t="n">
        <f aca="false">Sens!J1547+Sens!J1552</f>
        <v>166.196311325908</v>
      </c>
      <c r="K1553" s="6" t="n">
        <f aca="false">Sens!K1547+Sens!K1552</f>
        <v>161.189002059954</v>
      </c>
    </row>
    <row r="1554" customFormat="false" ht="15" hidden="false" customHeight="false" outlineLevel="0" collapsed="false">
      <c r="A1554" s="1" t="s">
        <v>668</v>
      </c>
      <c r="B1554" s="0" t="s">
        <v>95</v>
      </c>
      <c r="D1554" s="6" t="n">
        <f aca="false">Q!L29</f>
        <v>21.795</v>
      </c>
      <c r="E1554" s="6" t="n">
        <f aca="false">Q!M29</f>
        <v>32.185</v>
      </c>
      <c r="F1554" s="6" t="n">
        <f aca="false">Sens!F1553*tax_f</f>
        <v>33.4991958229794</v>
      </c>
      <c r="G1554" s="6" t="n">
        <f aca="false">Sens!G1553*tax_f</f>
        <v>34.0686781556405</v>
      </c>
      <c r="H1554" s="6" t="n">
        <f aca="false">Sens!H1553*tax_f</f>
        <v>33.2842591982576</v>
      </c>
      <c r="I1554" s="6" t="n">
        <f aca="false">Sens!I1553*tax_f</f>
        <v>33.5365806962991</v>
      </c>
      <c r="J1554" s="6" t="n">
        <f aca="false">Sens!J1553*tax_f</f>
        <v>33.2392622651815</v>
      </c>
      <c r="K1554" s="6" t="n">
        <f aca="false">Sens!K1553*tax_f</f>
        <v>32.2378004119908</v>
      </c>
    </row>
    <row r="1555" customFormat="false" ht="15" hidden="false" customHeight="false" outlineLevel="0" collapsed="false">
      <c r="A1555" s="1" t="s">
        <v>825</v>
      </c>
      <c r="B1555" s="0" t="s">
        <v>95</v>
      </c>
      <c r="D1555" s="6" t="n">
        <f aca="false">Sens!D1553-Sens!D1554</f>
        <v>101.832</v>
      </c>
      <c r="E1555" s="6" t="n">
        <f aca="false">Sens!E1553-Sens!E1554</f>
        <v>133.749</v>
      </c>
      <c r="F1555" s="6" t="n">
        <f aca="false">Sens!F1553-Sens!F1554</f>
        <v>133.996783291918</v>
      </c>
      <c r="G1555" s="6" t="n">
        <f aca="false">Sens!G1553-Sens!G1554</f>
        <v>136.274712622562</v>
      </c>
      <c r="H1555" s="6" t="n">
        <f aca="false">Sens!H1553-Sens!H1554</f>
        <v>133.13703679303</v>
      </c>
      <c r="I1555" s="6" t="n">
        <f aca="false">Sens!I1553-Sens!I1554</f>
        <v>134.146322785196</v>
      </c>
      <c r="J1555" s="6" t="n">
        <f aca="false">Sens!J1553-Sens!J1554</f>
        <v>132.957049060726</v>
      </c>
      <c r="K1555" s="6" t="n">
        <f aca="false">Sens!K1553-Sens!K1554</f>
        <v>128.951201647963</v>
      </c>
    </row>
    <row r="1556" customFormat="false" ht="17.15" hidden="false" customHeight="false" outlineLevel="0" collapsed="false">
      <c r="A1556" s="1" t="s">
        <v>826</v>
      </c>
      <c r="B1556" s="1" t="s">
        <v>79</v>
      </c>
      <c r="D1556" s="18" t="n">
        <f aca="false">Q!L31</f>
        <v>7.465</v>
      </c>
      <c r="E1556" s="18" t="n">
        <f aca="false">Q!M31</f>
        <v>7.453</v>
      </c>
      <c r="F1556" s="18" t="n">
        <f aca="false">Sens!F1593</f>
        <v>7.4735</v>
      </c>
      <c r="G1556" s="18" t="n">
        <f aca="false">Sens!G1593</f>
        <v>7.5185</v>
      </c>
      <c r="H1556" s="18" t="n">
        <f aca="false">Sens!H1593</f>
        <v>7.5635</v>
      </c>
      <c r="I1556" s="18" t="n">
        <f aca="false">Sens!I1593</f>
        <v>7.6085</v>
      </c>
      <c r="J1556" s="18" t="n">
        <f aca="false">Sens!J1593</f>
        <v>7.6535</v>
      </c>
      <c r="K1556" s="18" t="n">
        <f aca="false">Sens!K1593</f>
        <v>7.6985</v>
      </c>
    </row>
    <row r="1557" customFormat="false" ht="17.15" hidden="false" customHeight="false" outlineLevel="0" collapsed="false">
      <c r="A1557" s="0" t="s">
        <v>827</v>
      </c>
      <c r="B1557" s="0" t="s">
        <v>73</v>
      </c>
      <c r="D1557" s="8" t="n">
        <f aca="false">Sens!D1555/Sens!D1556</f>
        <v>13.641259209645</v>
      </c>
      <c r="E1557" s="8" t="n">
        <f aca="false">Sens!E1555/Sens!E1556</f>
        <v>17.9456594659869</v>
      </c>
      <c r="F1557" s="8" t="n">
        <f aca="false">Sens!F1555/Sens!F1556</f>
        <v>17.9295889866753</v>
      </c>
      <c r="G1557" s="8" t="n">
        <f aca="false">Sens!G1555/Sens!G1556</f>
        <v>18.1252527262834</v>
      </c>
      <c r="H1557" s="8" t="n">
        <f aca="false">Sens!H1555/Sens!H1556</f>
        <v>17.6025698146401</v>
      </c>
      <c r="I1557" s="8" t="n">
        <f aca="false">Sens!I1555/Sens!I1556</f>
        <v>17.6311129375299</v>
      </c>
      <c r="J1557" s="8" t="n">
        <f aca="false">Sens!J1555/Sens!J1556</f>
        <v>17.3720584125859</v>
      </c>
      <c r="K1557" s="8" t="n">
        <f aca="false">Sens!K1555/Sens!K1556</f>
        <v>16.7501723255132</v>
      </c>
      <c r="L1557" s="1" t="s">
        <v>828</v>
      </c>
    </row>
    <row r="1558" customFormat="false" ht="17.15" hidden="false" customHeight="false" outlineLevel="0" collapsed="false">
      <c r="A1558" s="0" t="s">
        <v>829</v>
      </c>
      <c r="B1558" s="0" t="s">
        <v>126</v>
      </c>
      <c r="E1558" s="7" t="n">
        <f aca="false">Sens!E1557/Sens!D1557-1</f>
        <v>0.315542736208578</v>
      </c>
      <c r="F1558" s="7" t="n">
        <f aca="false">Sens!F1557/Sens!E1557-1</f>
        <v>-0.0008955078715287</v>
      </c>
      <c r="G1558" s="7" t="n">
        <f aca="false">Sens!G1557/Sens!F1557-1</f>
        <v>0.0109128959818061</v>
      </c>
      <c r="H1558" s="7" t="n">
        <f aca="false">Sens!H1557/Sens!G1557-1</f>
        <v>-0.0288372757906635</v>
      </c>
      <c r="I1558" s="7" t="n">
        <f aca="false">Sens!I1557/Sens!H1557-1</f>
        <v>0.00162153158262557</v>
      </c>
      <c r="J1558" s="7" t="n">
        <f aca="false">Sens!J1557/Sens!I1557-1</f>
        <v>-0.0146930330411872</v>
      </c>
      <c r="K1558" s="7" t="n">
        <f aca="false">Sens!K1557/Sens!J1557-1</f>
        <v>-0.0357980656237111</v>
      </c>
    </row>
    <row r="1559" customFormat="false" ht="17.15" hidden="false" customHeight="false" outlineLevel="0" collapsed="false">
      <c r="A1559" s="0" t="s">
        <v>763</v>
      </c>
      <c r="B1559" s="0" t="s">
        <v>95</v>
      </c>
      <c r="E1559" s="6" t="n">
        <f aca="false">Sens!E1504</f>
        <v>5.25</v>
      </c>
      <c r="F1559" s="6" t="n">
        <f aca="false">Sens!F1504</f>
        <v>10.5</v>
      </c>
      <c r="G1559" s="6" t="n">
        <f aca="false">Sens!G1504</f>
        <v>13.5</v>
      </c>
      <c r="H1559" s="6" t="n">
        <f aca="false">Sens!H1504</f>
        <v>16.5</v>
      </c>
      <c r="I1559" s="6" t="n">
        <f aca="false">Sens!I1504</f>
        <v>18.75</v>
      </c>
      <c r="J1559" s="6" t="n">
        <f aca="false">Sens!J1504</f>
        <v>20.25</v>
      </c>
      <c r="K1559" s="6" t="n">
        <f aca="false">Sens!K1504</f>
        <v>21.75</v>
      </c>
    </row>
    <row r="1560" customFormat="false" ht="17.15" hidden="false" customHeight="false" outlineLevel="0" collapsed="false">
      <c r="A1560" s="0" t="s">
        <v>764</v>
      </c>
      <c r="B1560" s="0" t="s">
        <v>95</v>
      </c>
      <c r="E1560" s="6" t="n">
        <f aca="false">Sens!E1484+Sens!E1559*Sens!E1543-Sens!E1485-Sens!E1495</f>
        <v>-2.62832031369632</v>
      </c>
      <c r="F1560" s="6" t="n">
        <f aca="false">Sens!F1484+Sens!F1559*Sens!F1543-Sens!F1485-Sens!F1495</f>
        <v>-9.39335841457547</v>
      </c>
      <c r="G1560" s="6" t="n">
        <f aca="false">Sens!G1484+Sens!G1559*Sens!G1543-Sens!G1485-Sens!G1495</f>
        <v>-26.8945440722674</v>
      </c>
      <c r="H1560" s="6" t="n">
        <f aca="false">Sens!H1484+Sens!H1559*Sens!H1543-Sens!H1485-Sens!H1495</f>
        <v>-51.4923963191422</v>
      </c>
      <c r="I1560" s="6" t="n">
        <f aca="false">Sens!I1484+Sens!I1559*Sens!I1543-Sens!I1485-Sens!I1495</f>
        <v>-70.5181976659376</v>
      </c>
      <c r="J1560" s="6" t="n">
        <f aca="false">Sens!J1484+Sens!J1559*Sens!J1543-Sens!J1485-Sens!J1495</f>
        <v>-91.108387555925</v>
      </c>
      <c r="K1560" s="6" t="n">
        <f aca="false">Sens!K1484+Sens!K1559*Sens!K1543-Sens!K1485-Sens!K1495</f>
        <v>-113.21671933331</v>
      </c>
    </row>
    <row r="1561" customFormat="false" ht="17.15" hidden="false" customHeight="false" outlineLevel="0" collapsed="false">
      <c r="A1561" s="0" t="s">
        <v>765</v>
      </c>
      <c r="B1561" s="0" t="s">
        <v>95</v>
      </c>
      <c r="E1561" s="6" t="n">
        <f aca="false">Sens!E1467*(cxit_open+self_build*tk_cxfac)/1000*ai_net_open</f>
        <v>152.03764584</v>
      </c>
      <c r="F1561" s="6" t="n">
        <f aca="false">Sens!E1561+Sens!F1492-Sens!F1495</f>
        <v>303.577232028613</v>
      </c>
      <c r="G1561" s="6" t="n">
        <f aca="false">Sens!F1561+Sens!G1492-Sens!G1495</f>
        <v>452.91572407584</v>
      </c>
      <c r="H1561" s="6" t="n">
        <f aca="false">Sens!G1561+Sens!H1492-Sens!H1495</f>
        <v>574.978843356347</v>
      </c>
      <c r="I1561" s="6" t="n">
        <f aca="false">Sens!H1561+Sens!I1492-Sens!I1495</f>
        <v>699.446534155273</v>
      </c>
      <c r="J1561" s="6" t="n">
        <f aca="false">Sens!I1561+Sens!J1492-Sens!J1495</f>
        <v>807.36742909362</v>
      </c>
      <c r="K1561" s="6" t="n">
        <f aca="false">Sens!J1561+Sens!K1492-Sens!K1495</f>
        <v>932.765851652387</v>
      </c>
      <c r="L1561" s="1" t="s">
        <v>766</v>
      </c>
    </row>
    <row r="1562" customFormat="false" ht="17.15" hidden="false" customHeight="false" outlineLevel="0" collapsed="false">
      <c r="A1562" s="0" t="s">
        <v>767</v>
      </c>
      <c r="B1562" s="0" t="s">
        <v>126</v>
      </c>
      <c r="F1562" s="7" t="n">
        <f aca="false">Sens!F1560*(1-tax_f)/((Sens!E1561+Sens!F1561)/2)</f>
        <v>-0.0329870120432169</v>
      </c>
      <c r="G1562" s="7" t="n">
        <f aca="false">Sens!G1560*(1-tax_f)/((Sens!F1561+Sens!G1561)/2)</f>
        <v>-0.0568825792340707</v>
      </c>
      <c r="H1562" s="7" t="n">
        <f aca="false">Sens!H1560*(1-tax_f)/((Sens!G1561+Sens!H1561)/2)</f>
        <v>-0.08015202796182</v>
      </c>
      <c r="I1562" s="7" t="n">
        <f aca="false">Sens!I1560*(1-tax_f)/((Sens!H1561+Sens!I1561)/2)</f>
        <v>-0.0885333251020196</v>
      </c>
      <c r="J1562" s="7" t="n">
        <f aca="false">Sens!J1560*(1-tax_f)/((Sens!I1561+Sens!J1561)/2)</f>
        <v>-0.0967428120822381</v>
      </c>
      <c r="K1562" s="7" t="n">
        <f aca="false">Sens!K1560*(1-tax_f)/((Sens!J1561+Sens!K1561)/2)</f>
        <v>-0.104099354306722</v>
      </c>
    </row>
    <row r="1563" customFormat="false" ht="17.15" hidden="false" customHeight="false" outlineLevel="0" collapsed="false">
      <c r="A1563" s="1" t="s">
        <v>768</v>
      </c>
      <c r="B1563" s="0" t="s">
        <v>126</v>
      </c>
      <c r="F1563" s="7" t="n">
        <f aca="false">Sens!F1496*(1-tax_f)/(Sens!F1483*(Sens!E1561+Sens!F1561)/2)</f>
        <v>0.102735279953254</v>
      </c>
      <c r="G1563" s="7" t="n">
        <f aca="false">Sens!G1496*(1-tax_f)/(Sens!G1483*(Sens!F1561+Sens!G1561)/2)</f>
        <v>0.0709600152423963</v>
      </c>
      <c r="H1563" s="7" t="n">
        <f aca="false">Sens!H1496*(1-tax_f)/(Sens!H1483*(Sens!G1561+Sens!H1561)/2)</f>
        <v>0.0419126501774916</v>
      </c>
      <c r="I1563" s="7" t="n">
        <f aca="false">Sens!I1496*(1-tax_f)/(Sens!I1483*(Sens!H1561+Sens!I1561)/2)</f>
        <v>0.0421748309665261</v>
      </c>
      <c r="J1563" s="7" t="n">
        <f aca="false">Sens!J1496*(1-tax_f)/(Sens!J1483*(Sens!I1561+Sens!J1561)/2)</f>
        <v>0.04162838624827</v>
      </c>
      <c r="K1563" s="7" t="n">
        <f aca="false">Sens!K1496*(1-tax_f)/(Sens!K1483*(Sens!J1561+Sens!K1561)/2)</f>
        <v>0.0398452392928531</v>
      </c>
    </row>
    <row r="1564" customFormat="false" ht="17.15" hidden="false" customHeight="false" outlineLevel="0" collapsed="false">
      <c r="A1564" s="0" t="s">
        <v>769</v>
      </c>
      <c r="B1564" s="0" t="s">
        <v>208</v>
      </c>
      <c r="F1564" s="7" t="n">
        <f aca="false">Sens!F1562-wacc</f>
        <v>-0.141950233193471</v>
      </c>
      <c r="G1564" s="7" t="n">
        <f aca="false">Sens!G1562-wacc</f>
        <v>-0.165845800384325</v>
      </c>
      <c r="H1564" s="7" t="n">
        <f aca="false">Sens!H1562-wacc</f>
        <v>-0.189115249112074</v>
      </c>
      <c r="I1564" s="7" t="n">
        <f aca="false">Sens!I1562-wacc</f>
        <v>-0.197496546252274</v>
      </c>
      <c r="J1564" s="7" t="n">
        <f aca="false">Sens!J1562-wacc</f>
        <v>-0.205706033232492</v>
      </c>
      <c r="K1564" s="7" t="n">
        <f aca="false">Sens!K1562-wacc</f>
        <v>-0.213062575456976</v>
      </c>
    </row>
    <row r="1565" customFormat="false" ht="17.15" hidden="false" customHeight="false" outlineLevel="0" collapsed="false">
      <c r="A1565" s="0" t="s">
        <v>770</v>
      </c>
      <c r="B1565" s="0" t="s">
        <v>95</v>
      </c>
      <c r="F1565" s="6" t="n">
        <f aca="false">Sens!F1560*(1-tax_f)-wacc*(Sens!E1561+Sens!F1561)/2</f>
        <v>-32.3373190799322</v>
      </c>
      <c r="G1565" s="6" t="n">
        <f aca="false">Sens!G1560*(1-tax_f)-wacc*(Sens!F1561+Sens!G1561)/2</f>
        <v>-62.7305898951234</v>
      </c>
      <c r="H1565" s="6" t="n">
        <f aca="false">Sens!H1560*(1-tax_f)-wacc*(Sens!G1561+Sens!H1561)/2</f>
        <v>-97.1952685904428</v>
      </c>
      <c r="I1565" s="6" t="n">
        <f aca="false">Sens!I1560*(1-tax_f)-wacc*(Sens!H1561+Sens!I1561)/2</f>
        <v>-125.847305257397</v>
      </c>
      <c r="J1565" s="6" t="n">
        <f aca="false">Sens!J1560*(1-tax_f)-wacc*(Sens!I1561+Sens!J1561)/2</f>
        <v>-154.98036159963</v>
      </c>
      <c r="K1565" s="6" t="n">
        <f aca="false">Sens!K1560*(1-tax_f)-wacc*(Sens!J1561+Sens!K1561)/2</f>
        <v>-185.37863921707</v>
      </c>
    </row>
    <row r="1566" customFormat="false" ht="17.15" hidden="false" customHeight="false" outlineLevel="0" collapsed="false">
      <c r="A1566" s="1" t="s">
        <v>771</v>
      </c>
      <c r="B1566" s="0" t="s">
        <v>95</v>
      </c>
      <c r="F1566" s="6" t="n">
        <f aca="false">(Sens!E1468+Sens!F1468)/2*Sens!F1475/1000</f>
        <v>40.1809600148951</v>
      </c>
      <c r="G1566" s="6" t="n">
        <f aca="false">(Sens!F1468+Sens!G1468)/2*Sens!G1475/1000</f>
        <v>68.1197726395826</v>
      </c>
      <c r="H1566" s="6" t="n">
        <f aca="false">(Sens!G1468+Sens!H1468)/2*Sens!H1475/1000</f>
        <v>98.0872694036957</v>
      </c>
      <c r="I1566" s="6" t="n">
        <f aca="false">(Sens!H1468+Sens!I1468)/2*Sens!I1475/1000</f>
        <v>128.278112893395</v>
      </c>
      <c r="J1566" s="6" t="n">
        <f aca="false">(Sens!I1468+Sens!J1468)/2*Sens!J1475/1000</f>
        <v>158.585710792509</v>
      </c>
      <c r="K1566" s="6" t="n">
        <f aca="false">(Sens!J1468+Sens!K1468)/2*Sens!K1475/1000</f>
        <v>188.961989695522</v>
      </c>
      <c r="L1566" s="1" t="s">
        <v>772</v>
      </c>
    </row>
    <row r="1567" customFormat="false" ht="17.15" hidden="false" customHeight="false" outlineLevel="0" collapsed="false">
      <c r="A1567" s="1" t="s">
        <v>773</v>
      </c>
      <c r="B1567" s="0" t="s">
        <v>126</v>
      </c>
      <c r="F1567" s="7" t="n">
        <f aca="false">(Sens!F1484+Sens!F1566-Sens!F1485-Sens!F1495)*(1-tax_f)/((Sens!E1561+Sens!F1561)/2)</f>
        <v>0.0863151616453178</v>
      </c>
      <c r="G1567" s="7" t="n">
        <f aca="false">(Sens!G1484+Sens!G1566-Sens!G1485-Sens!G1495)*(1-tax_f)/((Sens!F1561+Sens!G1561)/2)</f>
        <v>0.0703092833819723</v>
      </c>
      <c r="H1567" s="7" t="n">
        <f aca="false">(Sens!H1484+Sens!H1566-Sens!H1485-Sens!H1495)*(1-tax_f)/((Sens!G1561+Sens!H1561)/2)</f>
        <v>0.0573421763000646</v>
      </c>
      <c r="I1567" s="7" t="n">
        <f aca="false">(Sens!I1484+Sens!I1566-Sens!I1485-Sens!I1495)*(1-tax_f)/((Sens!H1561+Sens!I1561)/2)</f>
        <v>0.0585967073761643</v>
      </c>
      <c r="J1567" s="7" t="n">
        <f aca="false">(Sens!J1484+Sens!J1566-Sens!J1485-Sens!J1495)*(1-tax_f)/((Sens!I1561+Sens!J1561)/2)</f>
        <v>0.0589361973168346</v>
      </c>
      <c r="K1567" s="7" t="n">
        <f aca="false">(Sens!K1484+Sens!K1566-Sens!K1485-Sens!K1495)*(1-tax_f)/((Sens!J1561+Sens!K1561)/2)</f>
        <v>0.0578205720771339</v>
      </c>
      <c r="L1567" s="1" t="s">
        <v>774</v>
      </c>
    </row>
    <row r="1568" customFormat="false" ht="17.15" hidden="false" customHeight="false" outlineLevel="0" collapsed="false">
      <c r="A1568" s="3" t="s">
        <v>1157</v>
      </c>
    </row>
    <row r="1569" customFormat="false" ht="15" hidden="false" customHeight="false" outlineLevel="0" collapsed="false">
      <c r="A1569" s="4" t="s">
        <v>43</v>
      </c>
      <c r="B1569" s="4" t="s">
        <v>63</v>
      </c>
      <c r="C1569" s="19" t="s">
        <v>710</v>
      </c>
      <c r="D1569" s="19" t="s">
        <v>711</v>
      </c>
      <c r="E1569" s="19" t="s">
        <v>712</v>
      </c>
      <c r="F1569" s="19" t="s">
        <v>713</v>
      </c>
      <c r="G1569" s="19" t="s">
        <v>714</v>
      </c>
      <c r="H1569" s="19" t="s">
        <v>715</v>
      </c>
      <c r="I1569" s="19" t="s">
        <v>716</v>
      </c>
      <c r="J1569" s="19" t="s">
        <v>717</v>
      </c>
      <c r="K1569" s="19" t="s">
        <v>718</v>
      </c>
      <c r="L1569" s="4" t="s">
        <v>47</v>
      </c>
    </row>
    <row r="1570" customFormat="false" ht="15" hidden="false" customHeight="false" outlineLevel="0" collapsed="false">
      <c r="A1570" s="1" t="s">
        <v>825</v>
      </c>
      <c r="B1570" s="0" t="s">
        <v>95</v>
      </c>
      <c r="F1570" s="6" t="n">
        <f aca="false">Sens!F1555</f>
        <v>133.996783291918</v>
      </c>
      <c r="G1570" s="6" t="n">
        <f aca="false">Sens!G1555</f>
        <v>136.274712622562</v>
      </c>
      <c r="H1570" s="6" t="n">
        <f aca="false">Sens!H1555</f>
        <v>133.13703679303</v>
      </c>
      <c r="I1570" s="6" t="n">
        <f aca="false">Sens!I1555</f>
        <v>134.146322785196</v>
      </c>
      <c r="J1570" s="6" t="n">
        <f aca="false">Sens!J1555</f>
        <v>132.957049060726</v>
      </c>
      <c r="K1570" s="6" t="n">
        <f aca="false">Sens!K1555</f>
        <v>128.951201647963</v>
      </c>
    </row>
    <row r="1571" customFormat="false" ht="17.15" hidden="false" customHeight="false" outlineLevel="0" collapsed="false">
      <c r="A1571" s="1" t="s">
        <v>843</v>
      </c>
      <c r="B1571" s="0" t="s">
        <v>95</v>
      </c>
      <c r="E1571" s="6" t="n">
        <f aca="false">Q!M38-Sens!E1495</f>
        <v>18.9675128275</v>
      </c>
      <c r="F1571" s="6" t="n">
        <f aca="false">Sens!E1571*(1-1/life_nonai)+Sens!F1577/life_nonai</f>
        <v>20.6136962677062</v>
      </c>
      <c r="G1571" s="6" t="n">
        <f aca="false">Sens!F1571*(1-1/life_nonai)+Sens!G1577/life_nonai</f>
        <v>22.6226159979745</v>
      </c>
      <c r="H1571" s="6" t="n">
        <f aca="false">Sens!G1571*(1-1/life_nonai)+Sens!H1577/life_nonai</f>
        <v>24.9665057625861</v>
      </c>
      <c r="I1571" s="6" t="n">
        <f aca="false">Sens!H1571*(1-1/life_nonai)+Sens!I1577/life_nonai</f>
        <v>27.5921952174918</v>
      </c>
      <c r="J1571" s="6" t="n">
        <f aca="false">Sens!I1571*(1-1/life_nonai)+Sens!J1577/life_nonai</f>
        <v>30.42856702078</v>
      </c>
      <c r="K1571" s="6" t="n">
        <f aca="false">Sens!J1571*(1-1/life_nonai)+Sens!K1577/life_nonai</f>
        <v>33.3950805929014</v>
      </c>
      <c r="L1571" s="11" t="s">
        <v>844</v>
      </c>
    </row>
    <row r="1572" customFormat="false" ht="17.15" hidden="false" customHeight="false" outlineLevel="0" collapsed="false">
      <c r="A1572" s="1" t="s">
        <v>845</v>
      </c>
      <c r="B1572" s="0" t="s">
        <v>95</v>
      </c>
      <c r="E1572" s="6" t="n">
        <f aca="false">Sens!E1495+Sens!E1571</f>
        <v>38.534</v>
      </c>
      <c r="F1572" s="6" t="n">
        <f aca="false">Sens!F1495+Sens!F1571</f>
        <v>61.4735611248529</v>
      </c>
      <c r="G1572" s="6" t="n">
        <f aca="false">Sens!G1495+Sens!G1571</f>
        <v>93.5731405305879</v>
      </c>
      <c r="H1572" s="6" t="n">
        <f aca="false">Sens!H1495+Sens!H1571</f>
        <v>128.599729574559</v>
      </c>
      <c r="I1572" s="6" t="n">
        <f aca="false">Sens!I1495+Sens!I1571</f>
        <v>165.131257927045</v>
      </c>
      <c r="J1572" s="6" t="n">
        <f aca="false">Sens!J1495+Sens!J1571</f>
        <v>203.040145190913</v>
      </c>
      <c r="K1572" s="6" t="n">
        <f aca="false">Sens!K1495+Sens!K1571</f>
        <v>242.624232374615</v>
      </c>
    </row>
    <row r="1573" customFormat="false" ht="15" hidden="false" customHeight="false" outlineLevel="0" collapsed="false">
      <c r="A1573" s="1" t="s">
        <v>685</v>
      </c>
      <c r="B1573" s="0" t="s">
        <v>95</v>
      </c>
      <c r="F1573" s="6" t="n">
        <f aca="false">Sens!F1522*sbc_r</f>
        <v>14.7102349124428</v>
      </c>
      <c r="G1573" s="6" t="n">
        <f aca="false">Sens!G1522*sbc_r</f>
        <v>17.061233875013</v>
      </c>
      <c r="H1573" s="6" t="n">
        <f aca="false">Sens!H1522*sbc_r</f>
        <v>19.2644849659525</v>
      </c>
      <c r="I1573" s="6" t="n">
        <f aca="false">Sens!I1522*sbc_r</f>
        <v>21.6944995352461</v>
      </c>
      <c r="J1573" s="6" t="n">
        <f aca="false">Sens!J1522*sbc_r</f>
        <v>24.0303092612034</v>
      </c>
      <c r="K1573" s="6" t="n">
        <f aca="false">Sens!K1522*sbc_r</f>
        <v>26.2462779746985</v>
      </c>
    </row>
    <row r="1574" customFormat="false" ht="17.15" hidden="false" customHeight="false" outlineLevel="0" collapsed="false">
      <c r="A1574" s="1" t="s">
        <v>846</v>
      </c>
      <c r="B1574" s="0" t="s">
        <v>95</v>
      </c>
      <c r="F1574" s="6" t="n">
        <f aca="false">wc27</f>
        <v>-4.895</v>
      </c>
      <c r="G1574" s="6" t="n">
        <f aca="false">0</f>
        <v>0</v>
      </c>
      <c r="H1574" s="6" t="n">
        <f aca="false">0</f>
        <v>0</v>
      </c>
      <c r="I1574" s="6" t="n">
        <f aca="false">0</f>
        <v>0</v>
      </c>
      <c r="J1574" s="6" t="n">
        <f aca="false">0</f>
        <v>0</v>
      </c>
      <c r="K1574" s="6" t="n">
        <f aca="false">0</f>
        <v>0</v>
      </c>
      <c r="L1574" s="11" t="s">
        <v>847</v>
      </c>
    </row>
    <row r="1575" customFormat="false" ht="15" hidden="false" customHeight="false" outlineLevel="0" collapsed="false">
      <c r="A1575" s="1" t="s">
        <v>678</v>
      </c>
      <c r="B1575" s="0" t="s">
        <v>95</v>
      </c>
      <c r="E1575" s="6" t="n">
        <f aca="false">Q!M35</f>
        <v>182.935</v>
      </c>
      <c r="F1575" s="6" t="n">
        <f aca="false">Sens!F1570+Sens!F1572+Sens!F1573+Sens!F1574</f>
        <v>205.285579329213</v>
      </c>
      <c r="G1575" s="6" t="n">
        <f aca="false">Sens!G1570+Sens!G1572+Sens!G1573+Sens!G1574</f>
        <v>246.909087028163</v>
      </c>
      <c r="H1575" s="6" t="n">
        <f aca="false">Sens!H1570+Sens!H1572+Sens!H1573+Sens!H1574</f>
        <v>281.001251333542</v>
      </c>
      <c r="I1575" s="6" t="n">
        <f aca="false">Sens!I1570+Sens!I1572+Sens!I1573+Sens!I1574</f>
        <v>320.972080247488</v>
      </c>
      <c r="J1575" s="6" t="n">
        <f aca="false">Sens!J1570+Sens!J1572+Sens!J1573+Sens!J1574</f>
        <v>360.027503512843</v>
      </c>
      <c r="K1575" s="6" t="n">
        <f aca="false">Sens!K1570+Sens!K1572+Sens!K1573+Sens!K1574</f>
        <v>397.821711997276</v>
      </c>
    </row>
    <row r="1576" customFormat="false" ht="17.15" hidden="false" customHeight="false" outlineLevel="0" collapsed="false">
      <c r="A1576" s="0" t="s">
        <v>848</v>
      </c>
      <c r="B1576" s="0" t="s">
        <v>95</v>
      </c>
      <c r="F1576" s="6" t="n">
        <f aca="false">Sens!F1492</f>
        <v>192.39945104576</v>
      </c>
      <c r="G1576" s="6" t="n">
        <f aca="false">Sens!G1492</f>
        <v>220.28901657984</v>
      </c>
      <c r="H1576" s="6" t="n">
        <f aca="false">Sens!H1492</f>
        <v>225.69634309248</v>
      </c>
      <c r="I1576" s="6" t="n">
        <f aca="false">Sens!I1492</f>
        <v>262.00675350848</v>
      </c>
      <c r="J1576" s="6" t="n">
        <f aca="false">Sens!J1492</f>
        <v>280.53247310848</v>
      </c>
      <c r="K1576" s="6" t="n">
        <f aca="false">Sens!K1492</f>
        <v>334.62757434048</v>
      </c>
    </row>
    <row r="1577" customFormat="false" ht="17.15" hidden="false" customHeight="false" outlineLevel="0" collapsed="false">
      <c r="A1577" s="1" t="s">
        <v>849</v>
      </c>
      <c r="B1577" s="0" t="s">
        <v>95</v>
      </c>
      <c r="E1577" s="6" t="n">
        <f aca="false">Sens!E1500*cx_azo+Sens!E1507*cx_m365+Sens!E1508*cx_lic+(Sens!E1510+Sens!E1512)*cx_ind+Sens!E1515*cx_srch+(Sens!E1517+Sens!E1519)*cx_dev</f>
        <v>30.1846587067718</v>
      </c>
      <c r="F1577" s="6" t="n">
        <f aca="false">Sens!F1500*cx_azo+Sens!F1507*cx_m365+Sens!F1508*cx_lic+(Sens!F1510+Sens!F1512)*cx_ind+Sens!F1515*cx_srch+(Sens!F1517+Sens!F1519)*cx_dev</f>
        <v>35.4293472295625</v>
      </c>
      <c r="G1577" s="6" t="n">
        <f aca="false">Sens!G1500*cx_azo+Sens!G1507*cx_m365+Sens!G1508*cx_lic+(Sens!G1510+Sens!G1512)*cx_ind+Sens!G1515*cx_srch+(Sens!G1517+Sens!G1519)*cx_dev</f>
        <v>40.7028935703892</v>
      </c>
      <c r="H1577" s="6" t="n">
        <f aca="false">Sens!H1500*cx_azo+Sens!H1507*cx_m365+Sens!H1508*cx_lic+(Sens!H1510+Sens!H1512)*cx_ind+Sens!H1515*cx_srch+(Sens!H1517+Sens!H1519)*cx_dev</f>
        <v>46.0615136440897</v>
      </c>
      <c r="I1577" s="6" t="n">
        <f aca="false">Sens!I1500*cx_azo+Sens!I1507*cx_m365+Sens!I1508*cx_lic+(Sens!I1510+Sens!I1512)*cx_ind+Sens!I1515*cx_srch+(Sens!I1517+Sens!I1519)*cx_dev</f>
        <v>51.2234003116439</v>
      </c>
      <c r="J1577" s="6" t="n">
        <f aca="false">Sens!J1500*cx_azo+Sens!J1507*cx_m365+Sens!J1508*cx_lic+(Sens!J1510+Sens!J1512)*cx_ind+Sens!J1515*cx_srch+(Sens!J1517+Sens!J1519)*cx_dev</f>
        <v>55.9559132503738</v>
      </c>
      <c r="K1577" s="6" t="n">
        <f aca="false">Sens!K1500*cx_azo+Sens!K1507*cx_m365+Sens!K1508*cx_lic+(Sens!K1510+Sens!K1512)*cx_ind+Sens!K1515*cx_srch+(Sens!K1517+Sens!K1519)*cx_dev</f>
        <v>60.093702741994</v>
      </c>
    </row>
    <row r="1578" customFormat="false" ht="17.15" hidden="false" customHeight="false" outlineLevel="0" collapsed="false">
      <c r="A1578" s="1" t="s">
        <v>850</v>
      </c>
      <c r="B1578" s="0" t="s">
        <v>95</v>
      </c>
      <c r="E1578" s="6" t="n">
        <f aca="false">Q!M42</f>
        <v>145.3</v>
      </c>
      <c r="F1578" s="6" t="n">
        <f aca="false">Sens!F1576+Sens!F1577</f>
        <v>227.828798275322</v>
      </c>
      <c r="G1578" s="6" t="n">
        <f aca="false">Sens!G1576+Sens!G1577</f>
        <v>260.991910150229</v>
      </c>
      <c r="H1578" s="6" t="n">
        <f aca="false">Sens!H1576+Sens!H1577</f>
        <v>271.75785673657</v>
      </c>
      <c r="I1578" s="6" t="n">
        <f aca="false">Sens!I1576+Sens!I1577</f>
        <v>313.230153820124</v>
      </c>
      <c r="J1578" s="6" t="n">
        <f aca="false">Sens!J1576+Sens!J1577</f>
        <v>336.488386358854</v>
      </c>
      <c r="K1578" s="6" t="n">
        <f aca="false">Sens!K1576+Sens!K1577</f>
        <v>394.721277082474</v>
      </c>
      <c r="L1578" s="1" t="s">
        <v>851</v>
      </c>
    </row>
    <row r="1579" customFormat="false" ht="15" hidden="false" customHeight="false" outlineLevel="0" collapsed="false">
      <c r="A1579" s="1" t="s">
        <v>852</v>
      </c>
      <c r="B1579" s="0" t="s">
        <v>95</v>
      </c>
      <c r="E1579" s="6" t="n">
        <f aca="false">fl_liab</f>
        <v>66.594</v>
      </c>
      <c r="F1579" s="6" t="n">
        <f aca="false">Sens!E1579-Sens!F1580</f>
        <v>62.46973</v>
      </c>
      <c r="G1579" s="6" t="n">
        <f aca="false">Sens!F1579-Sens!G1580</f>
        <v>57.98686785</v>
      </c>
      <c r="H1579" s="6" t="n">
        <f aca="false">Sens!G1579-Sens!H1580</f>
        <v>53.92827690325</v>
      </c>
      <c r="I1579" s="6" t="n">
        <f aca="false">Sens!H1579-Sens!I1580</f>
        <v>49.7850493638962</v>
      </c>
      <c r="J1579" s="6" t="n">
        <f aca="false">Sens!I1579-Sens!J1580</f>
        <v>45.4823765852716</v>
      </c>
      <c r="K1579" s="6" t="n">
        <f aca="false">Sens!J1579-Sens!K1580</f>
        <v>40.9860835316088</v>
      </c>
    </row>
    <row r="1580" customFormat="false" ht="15" hidden="false" customHeight="false" outlineLevel="0" collapsed="false">
      <c r="A1580" s="1" t="s">
        <v>853</v>
      </c>
      <c r="B1580" s="0" t="s">
        <v>95</v>
      </c>
      <c r="F1580" s="6" t="n">
        <f aca="false">fl_pay_27-Sens!E1579*fl_rate</f>
        <v>4.12427</v>
      </c>
      <c r="G1580" s="6" t="n">
        <f aca="false">fl_pay_28-Sens!F1579*fl_rate</f>
        <v>4.48286215</v>
      </c>
      <c r="H1580" s="6" t="n">
        <f aca="false">fl_pay_29-Sens!G1579*fl_rate</f>
        <v>4.05859094675</v>
      </c>
      <c r="I1580" s="6" t="n">
        <f aca="false">fl_pay_30-Sens!H1579*fl_rate</f>
        <v>4.14322753935375</v>
      </c>
      <c r="J1580" s="6" t="n">
        <f aca="false">fl_pay_31-Sens!I1579*fl_rate</f>
        <v>4.30267277862467</v>
      </c>
      <c r="K1580" s="6" t="n">
        <f aca="false">fl_pay_32-Sens!J1579*fl_rate</f>
        <v>4.49629305366278</v>
      </c>
    </row>
    <row r="1581" customFormat="false" ht="17.15" hidden="false" customHeight="false" outlineLevel="0" collapsed="false">
      <c r="A1581" s="1" t="s">
        <v>854</v>
      </c>
      <c r="B1581" s="0" t="s">
        <v>95</v>
      </c>
      <c r="E1581" s="6" t="n">
        <f aca="false">Q!M35-Q!M36-Q!M43</f>
        <v>63.886</v>
      </c>
      <c r="F1581" s="6" t="n">
        <f aca="false">Sens!F1575-Sens!F1578-Sens!F1580</f>
        <v>-26.667488946109</v>
      </c>
      <c r="G1581" s="6" t="n">
        <f aca="false">Sens!G1575-Sens!G1578-Sens!G1580</f>
        <v>-18.5656852720666</v>
      </c>
      <c r="H1581" s="6" t="n">
        <f aca="false">Sens!H1575-Sens!H1578-Sens!H1580</f>
        <v>5.18480365022268</v>
      </c>
      <c r="I1581" s="6" t="n">
        <f aca="false">Sens!I1575-Sens!I1578-Sens!I1580</f>
        <v>3.59869888800989</v>
      </c>
      <c r="J1581" s="6" t="n">
        <f aca="false">Sens!J1575-Sens!J1578-Sens!J1580</f>
        <v>19.2364443753644</v>
      </c>
      <c r="K1581" s="6" t="n">
        <f aca="false">Sens!K1575-Sens!K1578-Sens!K1580</f>
        <v>-1.39585813886032</v>
      </c>
      <c r="L1581" s="11" t="s">
        <v>855</v>
      </c>
    </row>
    <row r="1582" customFormat="false" ht="15" hidden="false" customHeight="false" outlineLevel="0" collapsed="false">
      <c r="A1582" s="1" t="s">
        <v>856</v>
      </c>
      <c r="B1582" s="0" t="s">
        <v>73</v>
      </c>
      <c r="F1582" s="8" t="n">
        <f aca="false">dps_27</f>
        <v>3.85</v>
      </c>
      <c r="G1582" s="8" t="n">
        <f aca="false">Sens!F1582*(1+dps_g)</f>
        <v>4.158</v>
      </c>
      <c r="H1582" s="8" t="n">
        <f aca="false">Sens!G1582*(1+dps_g)</f>
        <v>4.49064</v>
      </c>
      <c r="I1582" s="8" t="n">
        <f aca="false">Sens!H1582*(1+dps_g)</f>
        <v>4.8498912</v>
      </c>
      <c r="J1582" s="8" t="n">
        <f aca="false">Sens!I1582*(1+dps_g)</f>
        <v>5.237882496</v>
      </c>
      <c r="K1582" s="8" t="n">
        <f aca="false">Sens!J1582*(1+dps_g)</f>
        <v>5.65691309568</v>
      </c>
    </row>
    <row r="1583" customFormat="false" ht="17.15" hidden="false" customHeight="false" outlineLevel="0" collapsed="false">
      <c r="A1583" s="1" t="s">
        <v>857</v>
      </c>
      <c r="B1583" s="0" t="s">
        <v>95</v>
      </c>
      <c r="E1583" s="6" t="n">
        <f aca="false">Q!M41</f>
        <v>26.445</v>
      </c>
      <c r="F1583" s="6" t="n">
        <f aca="false">Sens!F1582*Sens!E1592</f>
        <v>28.59395</v>
      </c>
      <c r="G1583" s="6" t="n">
        <f aca="false">Sens!G1582*Sens!F1592</f>
        <v>31.068576</v>
      </c>
      <c r="H1583" s="6" t="n">
        <f aca="false">Sens!H1582*Sens!G1592</f>
        <v>33.75614088</v>
      </c>
      <c r="I1583" s="6" t="n">
        <f aca="false">Sens!I1582*Sens!H1592</f>
        <v>36.6748772544</v>
      </c>
      <c r="J1583" s="6" t="n">
        <f aca="false">Sens!J1582*Sens!I1592</f>
        <v>39.844572147072</v>
      </c>
      <c r="K1583" s="6" t="n">
        <f aca="false">Sens!K1582*Sens!J1592</f>
        <v>43.2866990081434</v>
      </c>
      <c r="L1583" s="1" t="s">
        <v>858</v>
      </c>
    </row>
    <row r="1584" customFormat="false" ht="15" hidden="false" customHeight="false" outlineLevel="0" collapsed="false">
      <c r="A1584" s="1" t="s">
        <v>859</v>
      </c>
      <c r="B1584" s="0" t="s">
        <v>95</v>
      </c>
      <c r="E1584" s="6" t="n">
        <f aca="false">Sens!E1581-Sens!E1583</f>
        <v>37.441</v>
      </c>
      <c r="F1584" s="6" t="n">
        <f aca="false">Sens!F1581-Sens!F1583</f>
        <v>-55.261438946109</v>
      </c>
      <c r="G1584" s="6" t="n">
        <f aca="false">Sens!G1581-Sens!G1583</f>
        <v>-49.6342612720666</v>
      </c>
      <c r="H1584" s="6" t="n">
        <f aca="false">Sens!H1581-Sens!H1583</f>
        <v>-28.5713372297773</v>
      </c>
      <c r="I1584" s="6" t="n">
        <f aca="false">Sens!I1581-Sens!I1583</f>
        <v>-33.0761783663901</v>
      </c>
      <c r="J1584" s="6" t="n">
        <f aca="false">Sens!J1581-Sens!J1583</f>
        <v>-20.6081277717077</v>
      </c>
      <c r="K1584" s="6" t="n">
        <f aca="false">Sens!K1581-Sens!K1583</f>
        <v>-44.6825571470037</v>
      </c>
    </row>
    <row r="1585" customFormat="false" ht="15" hidden="false" customHeight="false" outlineLevel="0" collapsed="false">
      <c r="A1585" s="1" t="s">
        <v>860</v>
      </c>
      <c r="B1585" s="0" t="s">
        <v>95</v>
      </c>
      <c r="F1585" s="6" t="n">
        <f aca="false">debt_mat_27</f>
        <v>9.25</v>
      </c>
      <c r="G1585" s="6" t="n">
        <f aca="false">debt_mat_28</f>
        <v>0</v>
      </c>
      <c r="H1585" s="6" t="n">
        <f aca="false">debt_mat_29</f>
        <v>2.001</v>
      </c>
      <c r="I1585" s="6" t="n">
        <f aca="false">debt_mat_30</f>
        <v>0</v>
      </c>
      <c r="J1585" s="6" t="n">
        <f aca="false">debt_mat_31</f>
        <v>0.5</v>
      </c>
      <c r="K1585" s="6" t="n">
        <f aca="false">debt_mat_32</f>
        <v>0</v>
      </c>
    </row>
    <row r="1586" customFormat="false" ht="15" hidden="false" customHeight="false" outlineLevel="0" collapsed="false">
      <c r="A1586" s="1" t="s">
        <v>861</v>
      </c>
      <c r="B1586" s="0" t="s">
        <v>95</v>
      </c>
      <c r="E1586" s="6" t="n">
        <f aca="false">Q!M40</f>
        <v>22.271</v>
      </c>
      <c r="F1586" s="6" t="n">
        <f aca="false">MAX(0,MIN(bb_target,Sens!E1588+Sens!F1584-Sens!F1585-min_cash))</f>
        <v>0</v>
      </c>
      <c r="G1586" s="6" t="n">
        <f aca="false">MAX(0,MIN(bb_target,Sens!F1588+Sens!G1584-Sens!G1585-min_cash))</f>
        <v>0</v>
      </c>
      <c r="H1586" s="6" t="n">
        <f aca="false">MAX(0,MIN(bb_target,Sens!G1588+Sens!H1584-Sens!H1585-min_cash))</f>
        <v>0</v>
      </c>
      <c r="I1586" s="6" t="n">
        <f aca="false">MAX(0,MIN(bb_target,Sens!H1588+Sens!I1584-Sens!I1585-min_cash))</f>
        <v>0</v>
      </c>
      <c r="J1586" s="6" t="n">
        <f aca="false">MAX(0,MIN(bb_target,Sens!I1588+Sens!J1584-Sens!J1585-min_cash))</f>
        <v>0</v>
      </c>
      <c r="K1586" s="6" t="n">
        <f aca="false">MAX(0,MIN(bb_target,Sens!J1588+Sens!K1584-Sens!K1585-min_cash))</f>
        <v>0</v>
      </c>
    </row>
    <row r="1587" customFormat="false" ht="15" hidden="false" customHeight="false" outlineLevel="0" collapsed="false">
      <c r="A1587" s="1" t="s">
        <v>862</v>
      </c>
      <c r="B1587" s="0" t="s">
        <v>95</v>
      </c>
      <c r="F1587" s="6" t="n">
        <f aca="false">MAX(0,min_cash-(Sens!E1588+Sens!F1584-Sens!F1585-Sens!F1586))</f>
        <v>37.668438946109</v>
      </c>
      <c r="G1587" s="6" t="n">
        <f aca="false">MAX(0,min_cash-(Sens!F1588+Sens!G1584-Sens!G1585-Sens!G1586))</f>
        <v>49.6342612720666</v>
      </c>
      <c r="H1587" s="6" t="n">
        <f aca="false">MAX(0,min_cash-(Sens!G1588+Sens!H1584-Sens!H1585-Sens!H1586))</f>
        <v>30.5723372297773</v>
      </c>
      <c r="I1587" s="6" t="n">
        <f aca="false">MAX(0,min_cash-(Sens!H1588+Sens!I1584-Sens!I1585-Sens!I1586))</f>
        <v>33.0761783663901</v>
      </c>
      <c r="J1587" s="6" t="n">
        <f aca="false">MAX(0,min_cash-(Sens!I1588+Sens!J1584-Sens!J1585-Sens!J1586))</f>
        <v>21.1081277717077</v>
      </c>
      <c r="K1587" s="6" t="n">
        <f aca="false">MAX(0,min_cash-(Sens!J1588+Sens!K1584-Sens!K1585-Sens!K1586))</f>
        <v>44.6825571470037</v>
      </c>
    </row>
    <row r="1588" customFormat="false" ht="15" hidden="false" customHeight="false" outlineLevel="0" collapsed="false">
      <c r="A1588" s="1" t="s">
        <v>863</v>
      </c>
      <c r="B1588" s="0" t="s">
        <v>95</v>
      </c>
      <c r="E1588" s="6" t="n">
        <f aca="false">cash_open</f>
        <v>76.843</v>
      </c>
      <c r="F1588" s="6" t="n">
        <f aca="false">Sens!E1588+Sens!F1584-Sens!F1585-Sens!F1586+Sens!F1587</f>
        <v>50</v>
      </c>
      <c r="G1588" s="6" t="n">
        <f aca="false">Sens!F1588+Sens!G1584-Sens!G1585-Sens!G1586+Sens!G1587</f>
        <v>50</v>
      </c>
      <c r="H1588" s="6" t="n">
        <f aca="false">Sens!G1588+Sens!H1584-Sens!H1585-Sens!H1586+Sens!H1587</f>
        <v>50</v>
      </c>
      <c r="I1588" s="6" t="n">
        <f aca="false">Sens!H1588+Sens!I1584-Sens!I1585-Sens!I1586+Sens!I1587</f>
        <v>50</v>
      </c>
      <c r="J1588" s="6" t="n">
        <f aca="false">Sens!I1588+Sens!J1584-Sens!J1585-Sens!J1586+Sens!J1587</f>
        <v>50</v>
      </c>
      <c r="K1588" s="6" t="n">
        <f aca="false">Sens!J1588+Sens!K1584-Sens!K1585-Sens!K1586+Sens!K1587</f>
        <v>50</v>
      </c>
    </row>
    <row r="1589" customFormat="false" ht="15" hidden="false" customHeight="false" outlineLevel="0" collapsed="false">
      <c r="A1589" s="1" t="s">
        <v>864</v>
      </c>
      <c r="B1589" s="0" t="s">
        <v>95</v>
      </c>
      <c r="E1589" s="6" t="n">
        <f aca="false">debt_face</f>
        <v>46.136</v>
      </c>
      <c r="F1589" s="6" t="n">
        <f aca="false">Sens!E1589-Sens!F1585+Sens!F1587</f>
        <v>74.554438946109</v>
      </c>
      <c r="G1589" s="6" t="n">
        <f aca="false">Sens!F1589-Sens!G1585+Sens!G1587</f>
        <v>124.188700218176</v>
      </c>
      <c r="H1589" s="6" t="n">
        <f aca="false">Sens!G1589-Sens!H1585+Sens!H1587</f>
        <v>152.760037447953</v>
      </c>
      <c r="I1589" s="6" t="n">
        <f aca="false">Sens!H1589-Sens!I1585+Sens!I1587</f>
        <v>185.836215814343</v>
      </c>
      <c r="J1589" s="6" t="n">
        <f aca="false">Sens!I1589-Sens!J1585+Sens!J1587</f>
        <v>206.444343586051</v>
      </c>
      <c r="K1589" s="6" t="n">
        <f aca="false">Sens!J1589-Sens!K1585+Sens!K1587</f>
        <v>251.126900733054</v>
      </c>
    </row>
    <row r="1590" customFormat="false" ht="15" hidden="false" customHeight="false" outlineLevel="0" collapsed="false">
      <c r="A1590" s="1" t="s">
        <v>865</v>
      </c>
      <c r="B1590" s="0" t="s">
        <v>95</v>
      </c>
      <c r="E1590" s="6" t="n">
        <f aca="false">Sens!E1588-Sens!E1589</f>
        <v>30.707</v>
      </c>
      <c r="F1590" s="6" t="n">
        <f aca="false">Sens!F1588-Sens!F1589</f>
        <v>-24.554438946109</v>
      </c>
      <c r="G1590" s="6" t="n">
        <f aca="false">Sens!G1588-Sens!G1589</f>
        <v>-74.1887002181756</v>
      </c>
      <c r="H1590" s="6" t="n">
        <f aca="false">Sens!H1588-Sens!H1589</f>
        <v>-102.760037447953</v>
      </c>
      <c r="I1590" s="6" t="n">
        <f aca="false">Sens!I1588-Sens!I1589</f>
        <v>-135.836215814343</v>
      </c>
      <c r="J1590" s="6" t="n">
        <f aca="false">Sens!J1588-Sens!J1589</f>
        <v>-156.444343586051</v>
      </c>
      <c r="K1590" s="6" t="n">
        <f aca="false">Sens!K1588-Sens!K1589</f>
        <v>-201.126900733054</v>
      </c>
    </row>
    <row r="1591" customFormat="false" ht="15" hidden="false" customHeight="false" outlineLevel="0" collapsed="false">
      <c r="A1591" s="1" t="s">
        <v>866</v>
      </c>
      <c r="B1591" s="0" t="s">
        <v>73</v>
      </c>
      <c r="F1591" s="27" t="n">
        <f aca="false">px*(1+bb_g)^(1-0.5)</f>
        <v>553.494156066711</v>
      </c>
      <c r="G1591" s="27" t="n">
        <f aca="false">px*(1+bb_g)^(2-0.5)</f>
        <v>597.773688552047</v>
      </c>
      <c r="H1591" s="27" t="n">
        <f aca="false">px*(1+bb_g)^(3-0.5)</f>
        <v>645.595583636211</v>
      </c>
      <c r="I1591" s="27" t="n">
        <f aca="false">px*(1+bb_g)^(4-0.5)</f>
        <v>697.243230327108</v>
      </c>
      <c r="J1591" s="27" t="n">
        <f aca="false">px*(1+bb_g)^(5-0.5)</f>
        <v>753.022688753277</v>
      </c>
      <c r="K1591" s="27" t="n">
        <f aca="false">px*(1+bb_g)^(6-0.5)</f>
        <v>813.264503853539</v>
      </c>
    </row>
    <row r="1592" customFormat="false" ht="15" hidden="false" customHeight="false" outlineLevel="0" collapsed="false">
      <c r="A1592" s="1" t="s">
        <v>867</v>
      </c>
      <c r="B1592" s="1" t="s">
        <v>79</v>
      </c>
      <c r="E1592" s="18" t="n">
        <f aca="false">sh_out26</f>
        <v>7.427</v>
      </c>
      <c r="F1592" s="18" t="n">
        <f aca="false">Sens!E1592+sh_iss-Sens!F1586/Sens!F1591</f>
        <v>7.472</v>
      </c>
      <c r="G1592" s="18" t="n">
        <f aca="false">Sens!F1592+sh_iss-Sens!G1586/Sens!G1591</f>
        <v>7.517</v>
      </c>
      <c r="H1592" s="18" t="n">
        <f aca="false">Sens!G1592+sh_iss-Sens!H1586/Sens!H1591</f>
        <v>7.562</v>
      </c>
      <c r="I1592" s="18" t="n">
        <f aca="false">Sens!H1592+sh_iss-Sens!I1586/Sens!I1591</f>
        <v>7.607</v>
      </c>
      <c r="J1592" s="18" t="n">
        <f aca="false">Sens!I1592+sh_iss-Sens!J1586/Sens!J1591</f>
        <v>7.652</v>
      </c>
      <c r="K1592" s="18" t="n">
        <f aca="false">Sens!J1592+sh_iss-Sens!K1586/Sens!K1591</f>
        <v>7.697</v>
      </c>
    </row>
    <row r="1593" customFormat="false" ht="15" hidden="false" customHeight="false" outlineLevel="0" collapsed="false">
      <c r="A1593" s="1" t="s">
        <v>868</v>
      </c>
      <c r="B1593" s="1" t="s">
        <v>79</v>
      </c>
      <c r="E1593" s="18" t="n">
        <f aca="false">sh_dil26</f>
        <v>7.453</v>
      </c>
      <c r="F1593" s="18" t="n">
        <f aca="false">(Sens!E1592+Sens!F1592)/2+dil_gap</f>
        <v>7.4735</v>
      </c>
      <c r="G1593" s="18" t="n">
        <f aca="false">(Sens!F1592+Sens!G1592)/2+dil_gap</f>
        <v>7.5185</v>
      </c>
      <c r="H1593" s="18" t="n">
        <f aca="false">(Sens!G1592+Sens!H1592)/2+dil_gap</f>
        <v>7.5635</v>
      </c>
      <c r="I1593" s="18" t="n">
        <f aca="false">(Sens!H1592+Sens!I1592)/2+dil_gap</f>
        <v>7.6085</v>
      </c>
      <c r="J1593" s="18" t="n">
        <f aca="false">(Sens!I1592+Sens!J1592)/2+dil_gap</f>
        <v>7.6535</v>
      </c>
      <c r="K1593" s="18" t="n">
        <f aca="false">(Sens!J1592+Sens!K1592)/2+dil_gap</f>
        <v>7.6985</v>
      </c>
    </row>
    <row r="1594" customFormat="false" ht="17.15" hidden="false" customHeight="false" outlineLevel="0" collapsed="false">
      <c r="A1594" s="1" t="s">
        <v>869</v>
      </c>
      <c r="B1594" s="0" t="s">
        <v>95</v>
      </c>
      <c r="C1594" s="6" t="n">
        <f aca="false">SUM(Sens!F1584:J1584)</f>
        <v>-187.151343586051</v>
      </c>
    </row>
    <row r="1595" customFormat="false" ht="17.15" hidden="false" customHeight="false" outlineLevel="0" collapsed="false">
      <c r="A1595" s="1" t="s">
        <v>836</v>
      </c>
      <c r="B1595" s="1" t="s">
        <v>870</v>
      </c>
      <c r="C1595" s="30" t="str">
        <f aca="false">IF(SUM(Sens!F1587:J1587)&gt;0.05,"需要舉債 "&amp;TEXT(SUM(Sens!F1587:J1587),"0.0")&amp;" 十億美元","不需舉債")&amp;"；"&amp;IF(SUM(Sens!F1586:J1586)&lt;5*bb_target-0.05,"回購較每年 "&amp;TEXT(bb_target,"0.0")&amp;" 的目標少 "&amp;TEXT(5*bb_target-SUM(Sens!F1586:J1586),"0.0")&amp;" 十億美元（"&amp;TEXT(COUNTIF(Sens!F1586:J1586,"&lt;"&amp;(bb_target-0.05)),"0")&amp;" 年減少）","回購不減")</f>
        <v>需要舉債 172.1 十億美元；回購較每年 22.3 的目標少 111.4 十億美元（5 年減少）</v>
      </c>
    </row>
    <row r="1596" customFormat="false" ht="17.15" hidden="false" customHeight="false" outlineLevel="0" collapsed="false">
      <c r="A1596" s="3" t="s">
        <v>1158</v>
      </c>
    </row>
    <row r="1597" customFormat="false" ht="15" hidden="false" customHeight="false" outlineLevel="0" collapsed="false">
      <c r="A1597" s="4" t="s">
        <v>43</v>
      </c>
      <c r="B1597" s="4" t="s">
        <v>63</v>
      </c>
      <c r="C1597" s="19" t="s">
        <v>710</v>
      </c>
      <c r="D1597" s="19" t="s">
        <v>711</v>
      </c>
      <c r="E1597" s="19" t="s">
        <v>712</v>
      </c>
      <c r="F1597" s="19" t="s">
        <v>713</v>
      </c>
      <c r="G1597" s="19" t="s">
        <v>714</v>
      </c>
      <c r="H1597" s="19" t="s">
        <v>715</v>
      </c>
      <c r="I1597" s="19" t="s">
        <v>716</v>
      </c>
      <c r="J1597" s="19" t="s">
        <v>717</v>
      </c>
      <c r="K1597" s="19" t="s">
        <v>718</v>
      </c>
      <c r="L1597" s="4" t="s">
        <v>47</v>
      </c>
    </row>
    <row r="1598" customFormat="false" ht="17.15" hidden="false" customHeight="false" outlineLevel="0" collapsed="false">
      <c r="A1598" s="1" t="s">
        <v>938</v>
      </c>
      <c r="B1598" s="1" t="s">
        <v>213</v>
      </c>
      <c r="F1598" s="34" t="n">
        <f aca="false">1-0.5</f>
        <v>0.5</v>
      </c>
      <c r="G1598" s="34" t="n">
        <f aca="false">2-0.5</f>
        <v>1.5</v>
      </c>
      <c r="H1598" s="34" t="n">
        <f aca="false">3-0.5</f>
        <v>2.5</v>
      </c>
      <c r="I1598" s="34" t="n">
        <f aca="false">4-0.5</f>
        <v>3.5</v>
      </c>
      <c r="J1598" s="34" t="n">
        <f aca="false">5-0.5</f>
        <v>4.5</v>
      </c>
      <c r="K1598" s="34" t="n">
        <f aca="false">6-0.5</f>
        <v>5.5</v>
      </c>
    </row>
    <row r="1599" customFormat="false" ht="15" hidden="false" customHeight="false" outlineLevel="0" collapsed="false">
      <c r="A1599" s="1" t="s">
        <v>939</v>
      </c>
      <c r="B1599" s="0" t="s">
        <v>182</v>
      </c>
      <c r="F1599" s="18" t="n">
        <f aca="false">1/(1+wacc)^Sens!F1598</f>
        <v>0.949601579913219</v>
      </c>
      <c r="G1599" s="18" t="n">
        <f aca="false">1/(1+wacc)^Sens!G1598</f>
        <v>0.856296729956707</v>
      </c>
      <c r="H1599" s="18" t="n">
        <f aca="false">1/(1+wacc)^Sens!H1598</f>
        <v>0.772159719660069</v>
      </c>
      <c r="I1599" s="18" t="n">
        <f aca="false">1/(1+wacc)^Sens!I1598</f>
        <v>0.696289746073958</v>
      </c>
      <c r="J1599" s="18" t="n">
        <f aca="false">1/(1+wacc)^Sens!J1598</f>
        <v>0.627874516299776</v>
      </c>
      <c r="K1599" s="18" t="n">
        <f aca="false">1/(1+wacc)^Sens!K1598</f>
        <v>0.566181550771831</v>
      </c>
    </row>
    <row r="1600" customFormat="false" ht="15" hidden="false" customHeight="false" outlineLevel="0" collapsed="false">
      <c r="A1600" s="1" t="s">
        <v>940</v>
      </c>
      <c r="B1600" s="0" t="s">
        <v>95</v>
      </c>
      <c r="F1600" s="6" t="n">
        <f aca="false">Sens!F1581*Sens!F1599</f>
        <v>-25.3234896355434</v>
      </c>
      <c r="G1600" s="6" t="n">
        <f aca="false">Sens!G1581*Sens!G1599</f>
        <v>-15.897735587876</v>
      </c>
      <c r="H1600" s="6" t="n">
        <f aca="false">Sens!H1581*Sens!H1599</f>
        <v>4.00349653304844</v>
      </c>
      <c r="I1600" s="6" t="n">
        <f aca="false">Sens!I1581*Sens!I1599</f>
        <v>2.50573713492904</v>
      </c>
      <c r="J1600" s="6" t="n">
        <f aca="false">Sens!J1581*Sens!J1599</f>
        <v>12.0780732075094</v>
      </c>
      <c r="K1600" s="6" t="n">
        <f aca="false">Sens!K1581*Sens!K1599</f>
        <v>-0.790309125717416</v>
      </c>
    </row>
    <row r="1601" customFormat="false" ht="17.15" hidden="false" customHeight="false" outlineLevel="0" collapsed="false">
      <c r="A1601" s="1" t="s">
        <v>941</v>
      </c>
      <c r="B1601" s="0" t="s">
        <v>95</v>
      </c>
      <c r="C1601" s="6" t="n">
        <f aca="false">SUM(Sens!F1600:K1600)</f>
        <v>-23.4242274736499</v>
      </c>
    </row>
    <row r="1602" customFormat="false" ht="17.15" hidden="false" customHeight="false" outlineLevel="0" collapsed="false">
      <c r="A1602" s="1" t="s">
        <v>942</v>
      </c>
      <c r="B1602" s="0" t="s">
        <v>95</v>
      </c>
      <c r="C1602" s="6" t="n">
        <f aca="false">Sens!K1547*(1+g_tv)*(1-tax_f)</f>
        <v>133.149337697402</v>
      </c>
    </row>
    <row r="1603" customFormat="false" ht="17.15" hidden="false" customHeight="false" outlineLevel="0" collapsed="false">
      <c r="A1603" s="1" t="s">
        <v>943</v>
      </c>
      <c r="B1603" s="0" t="s">
        <v>95</v>
      </c>
      <c r="C1603" s="6" t="n">
        <f aca="false">Sens!$C$1602*(1-g_tv/(wacc+ronic_prem))</f>
        <v>96.4903614964884</v>
      </c>
    </row>
    <row r="1604" customFormat="false" ht="17.15" hidden="false" customHeight="false" outlineLevel="0" collapsed="false">
      <c r="A1604" s="1" t="s">
        <v>944</v>
      </c>
      <c r="B1604" s="0" t="s">
        <v>95</v>
      </c>
      <c r="C1604" s="6" t="n">
        <f aca="false">Sens!$C$1603/(wacc-g_tv)</f>
        <v>1221.96587336379</v>
      </c>
    </row>
    <row r="1605" customFormat="false" ht="15" hidden="false" customHeight="false" outlineLevel="0" collapsed="false">
      <c r="A1605" s="1" t="s">
        <v>945</v>
      </c>
      <c r="B1605" s="0" t="s">
        <v>95</v>
      </c>
      <c r="C1605" s="6" t="n">
        <f aca="false">Sens!$C$1604/(1+wacc)^6</f>
        <v>656.986157769653</v>
      </c>
    </row>
    <row r="1606" customFormat="false" ht="17.15" hidden="false" customHeight="false" outlineLevel="0" collapsed="false">
      <c r="A1606" s="0" t="s">
        <v>877</v>
      </c>
      <c r="B1606" s="0" t="s">
        <v>95</v>
      </c>
      <c r="C1606" s="6" t="n">
        <f aca="false">Sens!$C$1601+Sens!$C$1605</f>
        <v>633.561930296003</v>
      </c>
    </row>
    <row r="1607" customFormat="false" ht="15" hidden="false" customHeight="false" outlineLevel="0" collapsed="false">
      <c r="A1607" s="1" t="s">
        <v>878</v>
      </c>
      <c r="B1607" s="0" t="s">
        <v>126</v>
      </c>
      <c r="C1607" s="7" t="n">
        <f aca="false">Sens!$C$1605/Sens!$C$1606</f>
        <v>1.03697227745787</v>
      </c>
    </row>
    <row r="1608" customFormat="false" ht="17.15" hidden="false" customHeight="false" outlineLevel="0" collapsed="false">
      <c r="A1608" s="1" t="s">
        <v>946</v>
      </c>
      <c r="B1608" s="0" t="s">
        <v>95</v>
      </c>
      <c r="C1608" s="6" t="n">
        <f aca="false">Sens!$C$1606+Sens!E1590+oai_v</f>
        <v>834.668930296003</v>
      </c>
    </row>
    <row r="1609" customFormat="false" ht="17.15" hidden="false" customHeight="false" outlineLevel="0" collapsed="false">
      <c r="A1609" s="0" t="s">
        <v>883</v>
      </c>
      <c r="B1609" s="0" t="s">
        <v>73</v>
      </c>
      <c r="C1609" s="5" t="n">
        <f aca="false">Sens!$C$1608/sh_dil26</f>
        <v>111.991000978935</v>
      </c>
    </row>
    <row r="1610" customFormat="false" ht="17.15" hidden="false" customHeight="false" outlineLevel="0" collapsed="false">
      <c r="A1610" s="0" t="s">
        <v>947</v>
      </c>
      <c r="B1610" s="0" t="s">
        <v>73</v>
      </c>
      <c r="C1610" s="5" t="n">
        <f aca="false">Sens!$C$1609*(1+wacc)^t_roll</f>
        <v>128.453070096982</v>
      </c>
    </row>
    <row r="1611" customFormat="false" ht="17.15" hidden="false" customHeight="false" outlineLevel="0" collapsed="false">
      <c r="A1611" s="1" t="s">
        <v>948</v>
      </c>
      <c r="B1611" s="0" t="s">
        <v>126</v>
      </c>
      <c r="F1611" s="7" t="n">
        <f aca="false">Sens!F1571/(Sens!F1522-Sens!F1478)</f>
        <v>0.0601257437584986</v>
      </c>
      <c r="G1611" s="7" t="n">
        <f aca="false">Sens!G1571/(Sens!G1522-Sens!G1478)</f>
        <v>0.0593384850005896</v>
      </c>
      <c r="H1611" s="7" t="n">
        <f aca="false">Sens!H1571/(Sens!H1522-Sens!H1478)</f>
        <v>0.0593822090734172</v>
      </c>
      <c r="I1611" s="7" t="n">
        <f aca="false">Sens!I1571/(Sens!I1522-Sens!I1478)</f>
        <v>0.0601899850699919</v>
      </c>
      <c r="J1611" s="7" t="n">
        <f aca="false">Sens!J1571/(Sens!J1522-Sens!J1478)</f>
        <v>0.0616194686535238</v>
      </c>
      <c r="K1611" s="7" t="n">
        <f aca="false">Sens!K1571/(Sens!K1522-Sens!K1478)</f>
        <v>0.0634928642679492</v>
      </c>
    </row>
    <row r="1612" customFormat="false" ht="17.15" hidden="false" customHeight="false" outlineLevel="0" collapsed="false">
      <c r="A1612" s="0" t="s">
        <v>949</v>
      </c>
      <c r="B1612" s="0" t="s">
        <v>95</v>
      </c>
      <c r="F1612" s="6" t="n">
        <f aca="false">Sens!F1507*(al_m365+Sens!F1611)</f>
        <v>77.4937372861844</v>
      </c>
      <c r="G1612" s="6" t="n">
        <f aca="false">Sens!G1507*(al_m365+Sens!G1611)</f>
        <v>87.3914712206182</v>
      </c>
      <c r="H1612" s="6" t="n">
        <f aca="false">Sens!H1507*(al_m365+Sens!H1611)</f>
        <v>97.4417616848108</v>
      </c>
      <c r="I1612" s="6" t="n">
        <f aca="false">Sens!I1507*(al_m365+Sens!I1611)</f>
        <v>107.006252072909</v>
      </c>
      <c r="J1612" s="6" t="n">
        <f aca="false">Sens!J1507*(al_m365+Sens!J1611)</f>
        <v>115.904286734208</v>
      </c>
      <c r="K1612" s="6" t="n">
        <f aca="false">Sens!K1507*(al_m365+Sens!K1611)</f>
        <v>124.423484529524</v>
      </c>
    </row>
    <row r="1613" customFormat="false" ht="17.15" hidden="false" customHeight="false" outlineLevel="0" collapsed="false">
      <c r="A1613" s="0" t="s">
        <v>950</v>
      </c>
      <c r="B1613" s="0" t="s">
        <v>95</v>
      </c>
      <c r="F1613" s="6" t="n">
        <f aca="false">Sens!F1508*(al_lic+Sens!F1611)</f>
        <v>31.6533006514913</v>
      </c>
      <c r="G1613" s="6" t="n">
        <f aca="false">Sens!G1508*(al_lic+Sens!G1611)</f>
        <v>32.9615747602845</v>
      </c>
      <c r="H1613" s="6" t="n">
        <f aca="false">Sens!H1508*(al_lic+Sens!H1611)</f>
        <v>34.1750296118145</v>
      </c>
      <c r="I1613" s="6" t="n">
        <f aca="false">Sens!I1508*(al_lic+Sens!I1611)</f>
        <v>35.2755089459945</v>
      </c>
      <c r="J1613" s="6" t="n">
        <f aca="false">Sens!J1508*(al_lic+Sens!J1611)</f>
        <v>36.2419025403517</v>
      </c>
      <c r="K1613" s="6" t="n">
        <f aca="false">Sens!K1508*(al_lic+Sens!K1611)</f>
        <v>37.0520679303587</v>
      </c>
    </row>
    <row r="1614" customFormat="false" ht="17.15" hidden="false" customHeight="false" outlineLevel="0" collapsed="false">
      <c r="A1614" s="0" t="s">
        <v>951</v>
      </c>
      <c r="B1614" s="0" t="s">
        <v>95</v>
      </c>
      <c r="F1614" s="6" t="n">
        <f aca="false">Sens!F1510*(al_ind+Sens!F1611)</f>
        <v>8.05141059855478</v>
      </c>
      <c r="G1614" s="6" t="n">
        <f aca="false">Sens!G1510*(al_ind+Sens!G1611)</f>
        <v>8.78194957413506</v>
      </c>
      <c r="H1614" s="6" t="n">
        <f aca="false">Sens!H1510*(al_ind+Sens!H1611)</f>
        <v>9.55015281916163</v>
      </c>
      <c r="I1614" s="6" t="n">
        <f aca="false">Sens!I1510*(al_ind+Sens!I1611)</f>
        <v>10.3522984921184</v>
      </c>
      <c r="J1614" s="6" t="n">
        <f aca="false">Sens!J1510*(al_ind+Sens!J1611)</f>
        <v>11.181004397752</v>
      </c>
      <c r="K1614" s="6" t="n">
        <f aca="false">Sens!K1510*(al_ind+Sens!K1611)</f>
        <v>12.0256533811602</v>
      </c>
    </row>
    <row r="1615" customFormat="false" ht="17.15" hidden="false" customHeight="false" outlineLevel="0" collapsed="false">
      <c r="A1615" s="0" t="s">
        <v>952</v>
      </c>
      <c r="B1615" s="0" t="s">
        <v>95</v>
      </c>
      <c r="F1615" s="6" t="n">
        <f aca="false">Sens!F1512*(al_fro+Sens!F1611)</f>
        <v>3.169063478491</v>
      </c>
      <c r="G1615" s="6" t="n">
        <f aca="false">Sens!G1512*(al_fro+Sens!G1611)</f>
        <v>3.37174943291318</v>
      </c>
      <c r="H1615" s="6" t="n">
        <f aca="false">Sens!H1512*(al_fro+Sens!H1611)</f>
        <v>3.59882446062977</v>
      </c>
      <c r="I1615" s="6" t="n">
        <f aca="false">Sens!I1512*(al_fro+Sens!I1611)</f>
        <v>3.85270416534158</v>
      </c>
      <c r="J1615" s="6" t="n">
        <f aca="false">Sens!J1512*(al_fro+Sens!J1611)</f>
        <v>4.1351651114904</v>
      </c>
      <c r="K1615" s="6" t="n">
        <f aca="false">Sens!K1512*(al_fro+Sens!K1611)</f>
        <v>4.44754876535497</v>
      </c>
    </row>
    <row r="1616" customFormat="false" ht="17.15" hidden="false" customHeight="false" outlineLevel="0" collapsed="false">
      <c r="A1616" s="0" t="s">
        <v>953</v>
      </c>
      <c r="B1616" s="0" t="s">
        <v>95</v>
      </c>
      <c r="F1616" s="6" t="n">
        <f aca="false">Sens!F1515*(al_srch+Sens!F1611)</f>
        <v>9.94360841641379</v>
      </c>
      <c r="G1616" s="6" t="n">
        <f aca="false">Sens!G1515*(al_srch+Sens!G1611)</f>
        <v>10.9481692717966</v>
      </c>
      <c r="H1616" s="6" t="n">
        <f aca="false">Sens!H1515*(al_srch+Sens!H1611)</f>
        <v>11.9905634012148</v>
      </c>
      <c r="I1616" s="6" t="n">
        <f aca="false">Sens!I1515*(al_srch+Sens!I1611)</f>
        <v>13.0596610171992</v>
      </c>
      <c r="J1616" s="6" t="n">
        <f aca="false">Sens!J1515*(al_srch+Sens!J1611)</f>
        <v>14.1389005868572</v>
      </c>
      <c r="K1616" s="6" t="n">
        <f aca="false">Sens!K1515*(al_srch+Sens!K1611)</f>
        <v>15.2069985485752</v>
      </c>
    </row>
    <row r="1617" customFormat="false" ht="17.15" hidden="false" customHeight="false" outlineLevel="0" collapsed="false">
      <c r="A1617" s="0" t="s">
        <v>954</v>
      </c>
      <c r="B1617" s="0" t="s">
        <v>95</v>
      </c>
      <c r="F1617" s="6" t="n">
        <f aca="false">Sens!F1484</f>
        <v>35.0573455625419</v>
      </c>
      <c r="G1617" s="6" t="n">
        <f aca="false">Sens!G1484</f>
        <v>52.2504971712871</v>
      </c>
      <c r="H1617" s="6" t="n">
        <f aca="false">Sens!H1484</f>
        <v>65.2796698510271</v>
      </c>
      <c r="I1617" s="6" t="n">
        <f aca="false">Sens!I1484</f>
        <v>85.5659922535278</v>
      </c>
      <c r="J1617" s="6" t="n">
        <f aca="false">Sens!J1484</f>
        <v>105.90773710582</v>
      </c>
      <c r="K1617" s="6" t="n">
        <f aca="false">Sens!K1484</f>
        <v>126.282084319851</v>
      </c>
    </row>
    <row r="1618" customFormat="false" ht="17.15" hidden="false" customHeight="false" outlineLevel="0" collapsed="false">
      <c r="A1618" s="0" t="s">
        <v>955</v>
      </c>
      <c r="B1618" s="0" t="s">
        <v>95</v>
      </c>
      <c r="F1618" s="6" t="n">
        <f aca="false">Sens!F1544+Sens!F1495+Sens!F1611*(Sens!F1514-Sens!F1478)</f>
        <v>206.157402614648</v>
      </c>
      <c r="G1618" s="6" t="n">
        <f aca="false">Sens!G1544+Sens!G1495+Sens!G1611*(Sens!G1514-Sens!G1478)</f>
        <v>240.45034943853</v>
      </c>
      <c r="H1618" s="6" t="n">
        <f aca="false">Sens!H1544+Sens!H1495+Sens!H1611*(Sens!H1514-Sens!H1478)</f>
        <v>270.680199396991</v>
      </c>
      <c r="I1618" s="6" t="n">
        <f aca="false">Sens!I1544+Sens!I1495+Sens!I1611*(Sens!I1514-Sens!I1478)</f>
        <v>307.40264116904</v>
      </c>
      <c r="J1618" s="6" t="n">
        <f aca="false">Sens!J1544+Sens!J1495+Sens!J1611*(Sens!J1514-Sens!J1478)</f>
        <v>342.583126846882</v>
      </c>
      <c r="K1618" s="6" t="n">
        <f aca="false">Sens!K1544+Sens!K1495+Sens!K1611*(Sens!K1514-Sens!K1478)</f>
        <v>375.771174318665</v>
      </c>
    </row>
    <row r="1619" customFormat="false" ht="17.15" hidden="false" customHeight="false" outlineLevel="0" collapsed="false">
      <c r="A1619" s="0" t="s">
        <v>956</v>
      </c>
      <c r="B1619" s="0" t="s">
        <v>95</v>
      </c>
      <c r="F1619" s="6" t="n">
        <f aca="false">Sens!F1618-Sens!F1612-Sens!F1613-Sens!F1614-Sens!F1615-Sens!F1617</f>
        <v>50.7325450373848</v>
      </c>
      <c r="G1619" s="6" t="n">
        <f aca="false">Sens!G1618-Sens!G1612-Sens!G1613-Sens!G1614-Sens!G1615-Sens!G1617</f>
        <v>55.6931072792914</v>
      </c>
      <c r="H1619" s="6" t="n">
        <f aca="false">Sens!H1618-Sens!H1612-Sens!H1613-Sens!H1614-Sens!H1615-Sens!H1617</f>
        <v>60.6347609695471</v>
      </c>
      <c r="I1619" s="6" t="n">
        <f aca="false">Sens!I1618-Sens!I1612-Sens!I1613-Sens!I1614-Sens!I1615-Sens!I1617</f>
        <v>65.3498852391489</v>
      </c>
      <c r="J1619" s="6" t="n">
        <f aca="false">Sens!J1618-Sens!J1612-Sens!J1613-Sens!J1614-Sens!J1615-Sens!J1617</f>
        <v>69.2130309572604</v>
      </c>
      <c r="K1619" s="6" t="n">
        <f aca="false">Sens!K1618-Sens!K1612-Sens!K1613-Sens!K1614-Sens!K1615-Sens!K1617</f>
        <v>71.5403353924156</v>
      </c>
    </row>
    <row r="1620" customFormat="false" ht="17.15" hidden="false" customHeight="false" outlineLevel="0" collapsed="false">
      <c r="A1620" s="0" t="s">
        <v>957</v>
      </c>
      <c r="B1620" s="0" t="s">
        <v>95</v>
      </c>
      <c r="F1620" s="6" t="n">
        <f aca="false">Sens!F1546+Sens!F1611*Sens!F1521</f>
        <v>23.212137625102</v>
      </c>
      <c r="G1620" s="6" t="n">
        <f aca="false">Sens!G1546+Sens!G1611*Sens!G1521</f>
        <v>23.8661818702606</v>
      </c>
      <c r="H1620" s="6" t="n">
        <f aca="false">Sens!H1546+Sens!H1611*Sens!H1521</f>
        <v>24.7408261688565</v>
      </c>
      <c r="I1620" s="6" t="n">
        <f aca="false">Sens!I1546+Sens!I1611*Sens!I1521</f>
        <v>25.8115202395001</v>
      </c>
      <c r="J1620" s="6" t="n">
        <f aca="false">Sens!J1546+Sens!J1611*Sens!J1521</f>
        <v>27.0533296699384</v>
      </c>
      <c r="K1620" s="6" t="n">
        <f aca="false">Sens!K1546+Sens!K1611*Sens!K1521</f>
        <v>28.442060115904</v>
      </c>
    </row>
    <row r="1621" customFormat="false" ht="17.15" hidden="false" customHeight="false" outlineLevel="0" collapsed="false">
      <c r="A1621" s="0" t="s">
        <v>958</v>
      </c>
      <c r="B1621" s="0" t="s">
        <v>95</v>
      </c>
      <c r="F1621" s="6" t="n">
        <f aca="false">(Sens!F1620-Sens!F1616)*Sens!F1517/(Sens!F1517+Sens!F1519)</f>
        <v>7.27367847860097</v>
      </c>
      <c r="G1621" s="6" t="n">
        <f aca="false">(Sens!G1620-Sens!G1616)*Sens!G1517/(Sens!G1517+Sens!G1519)</f>
        <v>6.95526547543398</v>
      </c>
      <c r="H1621" s="6" t="n">
        <f aca="false">(Sens!H1620-Sens!H1616)*Sens!H1517/(Sens!H1517+Sens!H1519)</f>
        <v>6.77221232056749</v>
      </c>
      <c r="I1621" s="6" t="n">
        <f aca="false">(Sens!I1620-Sens!I1616)*Sens!I1517/(Sens!I1517+Sens!I1519)</f>
        <v>6.71177753069262</v>
      </c>
      <c r="J1621" s="6" t="n">
        <f aca="false">(Sens!J1620-Sens!J1616)*Sens!J1517/(Sens!J1517+Sens!J1519)</f>
        <v>6.76660675241233</v>
      </c>
      <c r="K1621" s="6" t="n">
        <f aca="false">(Sens!K1620-Sens!K1616)*Sens!K1517/(Sens!K1517+Sens!K1519)</f>
        <v>6.93460441758162</v>
      </c>
    </row>
    <row r="1622" customFormat="false" ht="17.15" hidden="false" customHeight="false" outlineLevel="0" collapsed="false">
      <c r="A1622" s="0" t="s">
        <v>959</v>
      </c>
      <c r="B1622" s="0" t="s">
        <v>95</v>
      </c>
      <c r="F1622" s="6" t="n">
        <f aca="false">Sens!F1620-Sens!F1616-Sens!F1621</f>
        <v>5.99485073008722</v>
      </c>
      <c r="G1622" s="6" t="n">
        <f aca="false">Sens!G1620-Sens!G1616-Sens!G1621</f>
        <v>5.9627471230301</v>
      </c>
      <c r="H1622" s="6" t="n">
        <f aca="false">Sens!H1620-Sens!H1616-Sens!H1621</f>
        <v>5.97805044707421</v>
      </c>
      <c r="I1622" s="6" t="n">
        <f aca="false">Sens!I1620-Sens!I1616-Sens!I1621</f>
        <v>6.04008169160825</v>
      </c>
      <c r="J1622" s="6" t="n">
        <f aca="false">Sens!J1620-Sens!J1616-Sens!J1621</f>
        <v>6.14782233066888</v>
      </c>
      <c r="K1622" s="6" t="n">
        <f aca="false">Sens!K1620-Sens!K1616-Sens!K1621</f>
        <v>6.30045714974711</v>
      </c>
    </row>
    <row r="1623" customFormat="false" ht="17.15" hidden="false" customHeight="false" outlineLevel="0" collapsed="false">
      <c r="A1623" s="1" t="s">
        <v>960</v>
      </c>
      <c r="B1623" s="0" t="s">
        <v>95</v>
      </c>
      <c r="C1623" s="6" t="n">
        <f aca="false">(w_ntm28*Sens!G1617+(1-w_ntm28)*Sens!H1617)*m_ai*1</f>
        <v>338.776008390068</v>
      </c>
    </row>
    <row r="1624" customFormat="false" ht="17.15" hidden="false" customHeight="false" outlineLevel="0" collapsed="false">
      <c r="A1624" s="1" t="s">
        <v>961</v>
      </c>
      <c r="B1624" s="0" t="s">
        <v>95</v>
      </c>
      <c r="C1624" s="6" t="n">
        <f aca="false">(w_ntm28*Sens!G1619+(1-w_ntm28)*Sens!H1619)*m_cloud*1</f>
        <v>791.757238961236</v>
      </c>
    </row>
    <row r="1625" customFormat="false" ht="17.15" hidden="false" customHeight="false" outlineLevel="0" collapsed="false">
      <c r="A1625" s="1" t="s">
        <v>962</v>
      </c>
      <c r="B1625" s="0" t="s">
        <v>95</v>
      </c>
      <c r="C1625" s="6" t="n">
        <f aca="false">(w_ntm28*Sens!G1612+(1-w_ntm28)*Sens!H1612)*m_sw*1</f>
        <v>978.918547176011</v>
      </c>
    </row>
    <row r="1626" customFormat="false" ht="17.15" hidden="false" customHeight="false" outlineLevel="0" collapsed="false">
      <c r="A1626" s="1" t="s">
        <v>963</v>
      </c>
      <c r="B1626" s="0" t="s">
        <v>95</v>
      </c>
      <c r="C1626" s="6" t="n">
        <f aca="false">(w_ntm28*Sens!G1613+(1-w_ntm28)*Sens!H1613)*m_sw*1</f>
        <v>360.221793336524</v>
      </c>
    </row>
    <row r="1627" customFormat="false" ht="17.15" hidden="false" customHeight="false" outlineLevel="0" collapsed="false">
      <c r="A1627" s="1" t="s">
        <v>964</v>
      </c>
      <c r="B1627" s="0" t="s">
        <v>95</v>
      </c>
      <c r="C1627" s="6" t="n">
        <f aca="false">(w_ntm28*Sens!G1614+(1-w_ntm28)*Sens!H1614)*m_sw*1</f>
        <v>97.527242292335</v>
      </c>
    </row>
    <row r="1628" customFormat="false" ht="17.15" hidden="false" customHeight="false" outlineLevel="0" collapsed="false">
      <c r="A1628" s="1" t="s">
        <v>965</v>
      </c>
      <c r="B1628" s="0" t="s">
        <v>95</v>
      </c>
      <c r="C1628" s="6" t="n">
        <f aca="false">(w_ntm28*Sens!G1615+(1-w_ntm28)*Sens!H1615)*m_sw*1</f>
        <v>37.2077278900432</v>
      </c>
    </row>
    <row r="1629" customFormat="false" ht="17.15" hidden="false" customHeight="false" outlineLevel="0" collapsed="false">
      <c r="A1629" s="1" t="s">
        <v>966</v>
      </c>
      <c r="B1629" s="0" t="s">
        <v>95</v>
      </c>
      <c r="C1629" s="6" t="n">
        <f aca="false">(w_ntm28*Sens!G1616+(1-w_ntm28)*Sens!H1616)*m_ads*1</f>
        <v>102.807829850291</v>
      </c>
    </row>
    <row r="1630" customFormat="false" ht="17.15" hidden="false" customHeight="false" outlineLevel="0" collapsed="false">
      <c r="A1630" s="1" t="s">
        <v>967</v>
      </c>
      <c r="B1630" s="0" t="s">
        <v>95</v>
      </c>
      <c r="C1630" s="6" t="n">
        <f aca="false">(w_ntm28*Sens!G1621+(1-w_ntm28)*Sens!H1621)*m_game*1</f>
        <v>87.0975743552142</v>
      </c>
    </row>
    <row r="1631" customFormat="false" ht="17.15" hidden="false" customHeight="false" outlineLevel="0" collapsed="false">
      <c r="A1631" s="1" t="s">
        <v>968</v>
      </c>
      <c r="B1631" s="0" t="s">
        <v>95</v>
      </c>
      <c r="C1631" s="6" t="n">
        <f aca="false">(w_ntm28*Sens!G1622+(1-w_ntm28)*Sens!H1622)*m_pc*1</f>
        <v>86.3525394008548</v>
      </c>
    </row>
    <row r="1632" customFormat="false" ht="17.15" hidden="false" customHeight="false" outlineLevel="0" collapsed="false">
      <c r="A1632" s="1" t="s">
        <v>969</v>
      </c>
      <c r="B1632" s="0" t="s">
        <v>95</v>
      </c>
      <c r="C1632" s="6" t="n">
        <f aca="false">Sens!$C$1623+Sens!$C$1624+Sens!$C$1625+Sens!$C$1626+Sens!$C$1627+Sens!$C$1628+Sens!$C$1629+Sens!$C$1630+Sens!$C$1631</f>
        <v>2880.66650165258</v>
      </c>
    </row>
    <row r="1633" customFormat="false" ht="17.15" hidden="false" customHeight="false" outlineLevel="0" collapsed="false">
      <c r="A1633" s="1" t="s">
        <v>903</v>
      </c>
      <c r="B1633" s="0" t="s">
        <v>95</v>
      </c>
      <c r="C1633" s="6" t="n">
        <f aca="false">Sens!F1590+oai_v-Sens!F1579</f>
        <v>83.375831053891</v>
      </c>
      <c r="L1633" s="1" t="s">
        <v>970</v>
      </c>
    </row>
    <row r="1634" customFormat="false" ht="15" hidden="false" customHeight="false" outlineLevel="0" collapsed="false">
      <c r="A1634" s="1" t="s">
        <v>904</v>
      </c>
      <c r="B1634" s="0" t="s">
        <v>73</v>
      </c>
      <c r="C1634" s="5" t="n">
        <f aca="false">(Sens!$C$1632+Sens!$C$1633)/Sens!F1592</f>
        <v>396.686607696262</v>
      </c>
    </row>
    <row r="1635" customFormat="false" ht="17.15" hidden="false" customHeight="false" outlineLevel="0" collapsed="false">
      <c r="A1635" s="1" t="s">
        <v>971</v>
      </c>
      <c r="B1635" s="0" t="s">
        <v>73</v>
      </c>
      <c r="C1635" s="5" t="n">
        <f aca="false">w_dcf*Sens!$C$1610+(1-w_dcf)*Sens!$C$1634</f>
        <v>262.569838896622</v>
      </c>
    </row>
    <row r="1636" customFormat="false" ht="17.15" hidden="false" customHeight="false" outlineLevel="0" collapsed="false">
      <c r="A1636" s="3" t="s">
        <v>1159</v>
      </c>
    </row>
    <row r="1637" customFormat="false" ht="15" hidden="false" customHeight="false" outlineLevel="0" collapsed="false">
      <c r="A1637" s="4" t="s">
        <v>43</v>
      </c>
      <c r="B1637" s="4" t="s">
        <v>63</v>
      </c>
      <c r="C1637" s="19" t="s">
        <v>710</v>
      </c>
      <c r="D1637" s="19" t="s">
        <v>711</v>
      </c>
      <c r="E1637" s="19" t="s">
        <v>712</v>
      </c>
      <c r="F1637" s="19" t="s">
        <v>713</v>
      </c>
      <c r="G1637" s="19" t="s">
        <v>714</v>
      </c>
      <c r="H1637" s="19" t="s">
        <v>715</v>
      </c>
      <c r="I1637" s="19" t="s">
        <v>716</v>
      </c>
      <c r="J1637" s="19" t="s">
        <v>717</v>
      </c>
      <c r="K1637" s="19" t="s">
        <v>718</v>
      </c>
      <c r="L1637" s="4" t="s">
        <v>47</v>
      </c>
    </row>
    <row r="1638" customFormat="false" ht="17.15" hidden="false" customHeight="false" outlineLevel="0" collapsed="false">
      <c r="A1638" s="1" t="s">
        <v>719</v>
      </c>
      <c r="B1638" s="0" t="s">
        <v>340</v>
      </c>
      <c r="C1638" s="27" t="n">
        <f aca="false">mw_ext_24</f>
        <v>640</v>
      </c>
      <c r="D1638" s="27" t="n">
        <f aca="false">mw_ext_25</f>
        <v>1630</v>
      </c>
      <c r="E1638" s="27" t="n">
        <f aca="false">mw_ext_26</f>
        <v>3250</v>
      </c>
      <c r="F1638" s="27" t="n">
        <f aca="false">MIN(1000000000,Sens!E1638+pace)</f>
        <v>5777.2</v>
      </c>
      <c r="G1638" s="27" t="n">
        <f aca="false">MIN(1000000000,Sens!F1638+pace)</f>
        <v>8304.4</v>
      </c>
      <c r="H1638" s="27" t="n">
        <f aca="false">MIN(1000000000,Sens!G1638+pace)</f>
        <v>10831.6</v>
      </c>
      <c r="I1638" s="27" t="n">
        <f aca="false">MIN(1000000000,Sens!H1638+pace)</f>
        <v>13358.8</v>
      </c>
      <c r="J1638" s="27" t="n">
        <f aca="false">MIN(1000000000,Sens!I1638+pace)</f>
        <v>15886</v>
      </c>
      <c r="K1638" s="27" t="n">
        <f aca="false">MIN(1000000000,Sens!J1638+pace)</f>
        <v>18413.2</v>
      </c>
      <c r="L1638" s="11" t="s">
        <v>720</v>
      </c>
    </row>
    <row r="1639" customFormat="false" ht="17.15" hidden="false" customHeight="false" outlineLevel="0" collapsed="false">
      <c r="A1639" s="1" t="s">
        <v>721</v>
      </c>
      <c r="B1639" s="0" t="s">
        <v>340</v>
      </c>
      <c r="C1639" s="27" t="n">
        <f aca="false">rent_ext_24</f>
        <v>150</v>
      </c>
      <c r="D1639" s="27" t="n">
        <f aca="false">rent_ext_25</f>
        <v>400</v>
      </c>
      <c r="E1639" s="27" t="n">
        <f aca="false">rent_ext_26</f>
        <v>550</v>
      </c>
      <c r="F1639" s="27" t="n">
        <f aca="false">rent_ext_f</f>
        <v>756</v>
      </c>
      <c r="G1639" s="27" t="n">
        <f aca="false">rent_ext_f</f>
        <v>756</v>
      </c>
      <c r="H1639" s="27" t="n">
        <f aca="false">rent_ext_f</f>
        <v>756</v>
      </c>
      <c r="I1639" s="27" t="n">
        <f aca="false">rent_ext_f</f>
        <v>756</v>
      </c>
      <c r="J1639" s="27" t="n">
        <f aca="false">rent_ext_f</f>
        <v>756</v>
      </c>
      <c r="K1639" s="27" t="n">
        <f aca="false">rent_ext_f</f>
        <v>756</v>
      </c>
      <c r="L1639" s="1" t="s">
        <v>722</v>
      </c>
    </row>
    <row r="1640" customFormat="false" ht="17.15" hidden="false" customHeight="false" outlineLevel="0" collapsed="false">
      <c r="A1640" s="1" t="s">
        <v>723</v>
      </c>
      <c r="B1640" s="0" t="s">
        <v>340</v>
      </c>
      <c r="C1640" s="27" t="n">
        <f aca="false">Sens!C1638-Sens!C1639</f>
        <v>490</v>
      </c>
      <c r="D1640" s="27" t="n">
        <f aca="false">Sens!D1638-Sens!D1639</f>
        <v>1230</v>
      </c>
      <c r="E1640" s="27" t="n">
        <f aca="false">Sens!E1638-Sens!E1639</f>
        <v>2700</v>
      </c>
      <c r="F1640" s="27" t="n">
        <f aca="false">Sens!F1638-Sens!F1639</f>
        <v>5021.2</v>
      </c>
      <c r="G1640" s="27" t="n">
        <f aca="false">Sens!G1638-Sens!G1639</f>
        <v>7548.4</v>
      </c>
      <c r="H1640" s="27" t="n">
        <f aca="false">Sens!H1638-Sens!H1639</f>
        <v>10075.6</v>
      </c>
      <c r="I1640" s="27" t="n">
        <f aca="false">Sens!I1638-Sens!I1639</f>
        <v>12602.8</v>
      </c>
      <c r="J1640" s="27" t="n">
        <f aca="false">Sens!J1638-Sens!J1639</f>
        <v>15130</v>
      </c>
      <c r="K1640" s="27" t="n">
        <f aca="false">Sens!K1638-Sens!K1639</f>
        <v>17657.2</v>
      </c>
    </row>
    <row r="1641" customFormat="false" ht="17.15" hidden="false" customHeight="false" outlineLevel="0" collapsed="false">
      <c r="A1641" s="1" t="s">
        <v>724</v>
      </c>
      <c r="B1641" s="0" t="s">
        <v>340</v>
      </c>
      <c r="C1641" s="27" t="n">
        <f aca="false">Sens!C1640/ext_sh_hi</f>
        <v>653.333333333333</v>
      </c>
      <c r="D1641" s="27" t="n">
        <f aca="false">Sens!D1640/ext_sh_hi</f>
        <v>1640</v>
      </c>
      <c r="E1641" s="27" t="n">
        <f aca="false">Sens!E1640/ext_sh_hi</f>
        <v>3600</v>
      </c>
      <c r="F1641" s="27" t="n">
        <f aca="false">Sens!F1640/ext_sh_hi</f>
        <v>6694.93333333333</v>
      </c>
      <c r="G1641" s="27" t="n">
        <f aca="false">Sens!G1640/ext_sh_hi</f>
        <v>10064.5333333333</v>
      </c>
      <c r="H1641" s="27" t="n">
        <f aca="false">Sens!H1640/ext_sh_hi</f>
        <v>13434.1333333333</v>
      </c>
      <c r="I1641" s="27" t="n">
        <f aca="false">Sens!I1640/ext_sh_hi</f>
        <v>16803.7333333333</v>
      </c>
      <c r="J1641" s="27" t="n">
        <f aca="false">Sens!J1640/ext_sh_hi</f>
        <v>20173.3333333333</v>
      </c>
      <c r="K1641" s="27" t="n">
        <f aca="false">Sens!K1640/ext_sh_hi</f>
        <v>23542.9333333333</v>
      </c>
      <c r="L1641" s="1" t="s">
        <v>725</v>
      </c>
    </row>
    <row r="1642" customFormat="false" ht="17.15" hidden="false" customHeight="false" outlineLevel="0" collapsed="false">
      <c r="A1642" s="1" t="s">
        <v>726</v>
      </c>
      <c r="B1642" s="0" t="s">
        <v>340</v>
      </c>
      <c r="C1642" s="27" t="n">
        <f aca="false">Sens!C1641-Sens!C1640</f>
        <v>163.333333333333</v>
      </c>
      <c r="D1642" s="27" t="n">
        <f aca="false">Sens!D1641-Sens!D1640</f>
        <v>410</v>
      </c>
      <c r="E1642" s="27" t="n">
        <f aca="false">Sens!E1641-Sens!E1640</f>
        <v>900</v>
      </c>
      <c r="F1642" s="27" t="n">
        <f aca="false">Sens!F1641-Sens!F1640</f>
        <v>1673.73333333333</v>
      </c>
      <c r="G1642" s="27" t="n">
        <f aca="false">Sens!G1641-Sens!G1640</f>
        <v>2516.13333333333</v>
      </c>
      <c r="H1642" s="27" t="n">
        <f aca="false">Sens!H1641-Sens!H1640</f>
        <v>3358.53333333333</v>
      </c>
      <c r="I1642" s="27" t="n">
        <f aca="false">Sens!I1641-Sens!I1640</f>
        <v>4200.93333333333</v>
      </c>
      <c r="J1642" s="27" t="n">
        <f aca="false">Sens!J1641-Sens!J1640</f>
        <v>5043.33333333333</v>
      </c>
      <c r="K1642" s="27" t="n">
        <f aca="false">Sens!K1641-Sens!K1640</f>
        <v>5885.73333333333</v>
      </c>
    </row>
    <row r="1643" customFormat="false" ht="17.15" hidden="false" customHeight="false" outlineLevel="0" collapsed="false">
      <c r="A1643" s="1" t="s">
        <v>727</v>
      </c>
      <c r="B1643" s="0" t="s">
        <v>340</v>
      </c>
      <c r="C1643" s="27" t="n">
        <f aca="false">Sens!C1641</f>
        <v>653.333333333333</v>
      </c>
      <c r="D1643" s="27" t="n">
        <f aca="false">Sens!D1641-Sens!C1641</f>
        <v>986.666666666667</v>
      </c>
      <c r="E1643" s="27" t="n">
        <f aca="false">Sens!E1641-Sens!D1641</f>
        <v>1960</v>
      </c>
      <c r="F1643" s="27" t="n">
        <f aca="false">Sens!F1641-Sens!E1641</f>
        <v>3094.93333333333</v>
      </c>
      <c r="G1643" s="27" t="n">
        <f aca="false">Sens!G1641-Sens!F1641</f>
        <v>3369.6</v>
      </c>
      <c r="H1643" s="27" t="n">
        <f aca="false">Sens!H1641-Sens!G1641</f>
        <v>3369.6</v>
      </c>
      <c r="I1643" s="27" t="n">
        <f aca="false">Sens!I1641-Sens!H1641</f>
        <v>3369.6</v>
      </c>
      <c r="J1643" s="27" t="n">
        <f aca="false">Sens!J1641-Sens!I1641</f>
        <v>3369.6</v>
      </c>
      <c r="K1643" s="27" t="n">
        <f aca="false">Sens!K1641-Sens!J1641</f>
        <v>3369.6</v>
      </c>
    </row>
    <row r="1644" customFormat="false" ht="17.15" hidden="false" customHeight="false" outlineLevel="0" collapsed="false">
      <c r="A1644" s="1" t="s">
        <v>728</v>
      </c>
      <c r="B1644" s="0" t="s">
        <v>340</v>
      </c>
      <c r="D1644" s="27" t="n">
        <f aca="false">Sens!D1638-Sens!C1638</f>
        <v>990</v>
      </c>
      <c r="E1644" s="27" t="n">
        <f aca="false">Sens!E1638-Sens!D1638</f>
        <v>1620</v>
      </c>
      <c r="F1644" s="27" t="n">
        <f aca="false">Sens!F1638-Sens!E1638</f>
        <v>2527.2</v>
      </c>
      <c r="G1644" s="27" t="n">
        <f aca="false">Sens!G1638-Sens!F1638</f>
        <v>2527.2</v>
      </c>
      <c r="H1644" s="27" t="n">
        <f aca="false">Sens!H1638-Sens!G1638</f>
        <v>2527.2</v>
      </c>
      <c r="I1644" s="27" t="n">
        <f aca="false">Sens!I1638-Sens!H1638</f>
        <v>2527.2</v>
      </c>
      <c r="J1644" s="27" t="n">
        <f aca="false">Sens!J1638-Sens!I1638</f>
        <v>2527.2</v>
      </c>
      <c r="K1644" s="27" t="n">
        <f aca="false">Sens!K1638-Sens!J1638</f>
        <v>2527.2</v>
      </c>
    </row>
    <row r="1645" customFormat="false" ht="17.15" hidden="false" customHeight="false" outlineLevel="0" collapsed="false">
      <c r="A1645" s="1" t="s">
        <v>729</v>
      </c>
      <c r="B1645" s="0" t="s">
        <v>340</v>
      </c>
      <c r="C1645" s="27" t="n">
        <f aca="false">mix_h*Sens!C1638</f>
        <v>128</v>
      </c>
      <c r="D1645" s="27" t="n">
        <f aca="false">mix_h*Sens!D1638</f>
        <v>326</v>
      </c>
      <c r="E1645" s="27" t="n">
        <f aca="false">mix_h*Sens!E1638</f>
        <v>650</v>
      </c>
      <c r="F1645" s="27" t="n">
        <f aca="false">Sens!E1645</f>
        <v>650</v>
      </c>
      <c r="G1645" s="27" t="n">
        <f aca="false">Sens!F1645</f>
        <v>650</v>
      </c>
      <c r="H1645" s="27" t="n">
        <f aca="false">Sens!G1645</f>
        <v>650</v>
      </c>
      <c r="I1645" s="27" t="n">
        <f aca="false">Sens!H1645</f>
        <v>650</v>
      </c>
      <c r="J1645" s="27" t="n">
        <f aca="false">Sens!I1645</f>
        <v>650</v>
      </c>
      <c r="K1645" s="27" t="n">
        <f aca="false">Sens!J1645</f>
        <v>650</v>
      </c>
    </row>
    <row r="1646" customFormat="false" ht="17.15" hidden="false" customHeight="false" outlineLevel="0" collapsed="false">
      <c r="A1646" s="1" t="s">
        <v>730</v>
      </c>
      <c r="B1646" s="0" t="s">
        <v>340</v>
      </c>
      <c r="C1646" s="27" t="n">
        <f aca="false">mix_g2*Sens!C1638</f>
        <v>288</v>
      </c>
      <c r="D1646" s="27" t="n">
        <f aca="false">mix_g2*Sens!D1638</f>
        <v>733.5</v>
      </c>
      <c r="E1646" s="27" t="n">
        <f aca="false">mix_g2*Sens!E1638</f>
        <v>1462.5</v>
      </c>
      <c r="F1646" s="27" t="n">
        <f aca="false">Sens!E1646</f>
        <v>1462.5</v>
      </c>
      <c r="G1646" s="27" t="n">
        <f aca="false">Sens!F1646</f>
        <v>1462.5</v>
      </c>
      <c r="H1646" s="27" t="n">
        <f aca="false">Sens!G1646</f>
        <v>1462.5</v>
      </c>
      <c r="I1646" s="27" t="n">
        <f aca="false">Sens!H1646</f>
        <v>1462.5</v>
      </c>
      <c r="J1646" s="27" t="n">
        <f aca="false">Sens!I1646</f>
        <v>1462.5</v>
      </c>
      <c r="K1646" s="27" t="n">
        <f aca="false">Sens!J1646</f>
        <v>1462.5</v>
      </c>
    </row>
    <row r="1647" customFormat="false" ht="17.15" hidden="false" customHeight="false" outlineLevel="0" collapsed="false">
      <c r="A1647" s="1" t="s">
        <v>731</v>
      </c>
      <c r="B1647" s="0" t="s">
        <v>340</v>
      </c>
      <c r="C1647" s="27" t="n">
        <f aca="false">mix_g3*Sens!C1638</f>
        <v>224</v>
      </c>
      <c r="D1647" s="27" t="n">
        <f aca="false">mix_g3*Sens!D1638</f>
        <v>570.5</v>
      </c>
      <c r="E1647" s="27" t="n">
        <f aca="false">mix_g3*Sens!E1638</f>
        <v>1137.5</v>
      </c>
      <c r="F1647" s="27" t="n">
        <f aca="false">Sens!E1647+Sens!F1644*a_g3_27</f>
        <v>2906.54</v>
      </c>
      <c r="G1647" s="27" t="n">
        <f aca="false">Sens!F1647+Sens!G1644*a_g3_28</f>
        <v>3664.7</v>
      </c>
      <c r="H1647" s="27" t="n">
        <f aca="false">Sens!G1647+Sens!H1644*a_g3_29</f>
        <v>3917.42</v>
      </c>
      <c r="I1647" s="27" t="n">
        <f aca="false">Sens!H1647+Sens!I1644*a_g3_29</f>
        <v>4170.14</v>
      </c>
      <c r="J1647" s="27" t="n">
        <f aca="false">Sens!I1647+Sens!J1644*a_g3_29</f>
        <v>4422.86</v>
      </c>
      <c r="K1647" s="27" t="n">
        <f aca="false">Sens!J1647+Sens!K1644*a_g3_29</f>
        <v>4675.58</v>
      </c>
    </row>
    <row r="1648" customFormat="false" ht="17.15" hidden="false" customHeight="false" outlineLevel="0" collapsed="false">
      <c r="A1648" s="1" t="s">
        <v>732</v>
      </c>
      <c r="B1648" s="0" t="s">
        <v>340</v>
      </c>
      <c r="C1648" s="27" t="n">
        <f aca="false">0</f>
        <v>0</v>
      </c>
      <c r="D1648" s="27" t="n">
        <f aca="false">0</f>
        <v>0</v>
      </c>
      <c r="E1648" s="27" t="n">
        <f aca="false">0</f>
        <v>0</v>
      </c>
      <c r="F1648" s="27" t="n">
        <f aca="false">Sens!E1648+Sens!F1644*(1-a_g3_27)</f>
        <v>758.16</v>
      </c>
      <c r="G1648" s="27" t="n">
        <f aca="false">Sens!F1648+Sens!G1644*(1-a_g3_28)</f>
        <v>2527.2</v>
      </c>
      <c r="H1648" s="27" t="n">
        <f aca="false">Sens!G1648+Sens!H1644*(1-a_g3_29)</f>
        <v>4801.68</v>
      </c>
      <c r="I1648" s="27" t="n">
        <f aca="false">Sens!H1648+Sens!I1644*(1-a_g3_29)</f>
        <v>7076.16</v>
      </c>
      <c r="J1648" s="27" t="n">
        <f aca="false">Sens!I1648+Sens!J1644*(1-a_g3_29)</f>
        <v>9350.64</v>
      </c>
      <c r="K1648" s="27" t="n">
        <f aca="false">Sens!J1648+Sens!K1644*(1-a_g3_29)</f>
        <v>11625.12</v>
      </c>
    </row>
    <row r="1649" customFormat="false" ht="17.15" hidden="false" customHeight="false" outlineLevel="0" collapsed="false">
      <c r="A1649" s="1" t="s">
        <v>733</v>
      </c>
      <c r="B1649" s="0" t="s">
        <v>291</v>
      </c>
      <c r="C1649" s="18" t="n">
        <f aca="false">(Sens!C1645*tk_hold_h100+Sens!C1646*tk_hold_gb200+Sens!C1647*tk_hold_gb300+Sens!C1648*tk_hold_vr200)/Sens!C1638</f>
        <v>9.7235358126469</v>
      </c>
      <c r="D1649" s="18" t="n">
        <f aca="false">(Sens!D1645*tk_hold_h100+Sens!D1646*tk_hold_gb200+Sens!D1647*tk_hold_gb300+Sens!D1648*tk_hold_vr200)/Sens!D1638</f>
        <v>9.7235358126469</v>
      </c>
      <c r="E1649" s="18" t="n">
        <f aca="false">(Sens!E1645*tk_hold_h100+Sens!E1646*tk_hold_gb200+Sens!E1647*tk_hold_gb300+Sens!E1648*tk_hold_vr200)/Sens!E1638</f>
        <v>9.7235358126469</v>
      </c>
      <c r="F1649" s="18" t="n">
        <f aca="false">(Sens!F1645*tk_hold_h100+Sens!F1646*tk_hold_gb200+Sens!F1647*tk_hold_gb300+Sens!F1648*tk_hold_vr200)/Sens!F1638</f>
        <v>10.4079573161931</v>
      </c>
      <c r="G1649" s="18" t="n">
        <f aca="false">(Sens!G1645*tk_hold_h100+Sens!G1646*tk_hold_gb200+Sens!G1647*tk_hold_gb300+Sens!G1648*tk_hold_vr200)/Sens!G1638</f>
        <v>10.8388131109316</v>
      </c>
      <c r="H1649" s="18" t="n">
        <f aca="false">(Sens!H1645*tk_hold_h100+Sens!H1646*tk_hold_gb200+Sens!H1647*tk_hold_gb300+Sens!H1648*tk_hold_vr200)/Sens!H1638</f>
        <v>11.1311018388216</v>
      </c>
      <c r="I1649" s="18" t="n">
        <f aca="false">(Sens!I1645*tk_hold_h100+Sens!I1646*tk_hold_gb200+Sens!I1647*tk_hold_gb300+Sens!I1648*tk_hold_vr200)/Sens!I1638</f>
        <v>11.3128009818501</v>
      </c>
      <c r="J1649" s="18" t="n">
        <f aca="false">(Sens!J1645*tk_hold_h100+Sens!J1646*tk_hold_gb200+Sens!J1647*tk_hold_gb300+Sens!J1648*tk_hold_vr200)/Sens!J1638</f>
        <v>11.4366894646418</v>
      </c>
      <c r="K1649" s="18" t="n">
        <f aca="false">(Sens!K1645*tk_hold_h100+Sens!K1646*tk_hold_gb200+Sens!K1647*tk_hold_gb300+Sens!K1648*tk_hold_vr200)/Sens!K1638</f>
        <v>11.526570716348</v>
      </c>
    </row>
    <row r="1650" customFormat="false" ht="17.15" hidden="false" customHeight="false" outlineLevel="0" collapsed="false">
      <c r="A1650" s="0" t="s">
        <v>734</v>
      </c>
      <c r="B1650" s="0" t="s">
        <v>182</v>
      </c>
      <c r="C1650" s="18" t="n">
        <f aca="false">k_B</f>
        <v>1.17213932619116</v>
      </c>
      <c r="D1650" s="18" t="n">
        <f aca="false">k_B</f>
        <v>1.17213932619116</v>
      </c>
      <c r="E1650" s="18" t="n">
        <f aca="false">k_B</f>
        <v>1.17213932619116</v>
      </c>
      <c r="F1650" s="18" t="n">
        <f aca="false">(k_B+((ls_A*k_long+(1-ls_A)*k_spot)-k_B)*MIN(1,1/3))*1</f>
        <v>1.25022828131298</v>
      </c>
      <c r="G1650" s="18" t="n">
        <f aca="false">(k_B+((ls_A*k_long+(1-ls_A)*k_spot)-k_B)*MIN(1,2/3))*1</f>
        <v>1.3283172364348</v>
      </c>
      <c r="H1650" s="18" t="n">
        <f aca="false">(k_B+((ls_A*k_long+(1-ls_A)*k_spot)-k_B)*MIN(1,3/3))*1</f>
        <v>1.40640619155662</v>
      </c>
      <c r="I1650" s="18" t="n">
        <f aca="false">(k_B+((ls_A*k_long+(1-ls_A)*k_spot)-k_B)*MIN(1,4/3))*1</f>
        <v>1.40640619155662</v>
      </c>
      <c r="J1650" s="18" t="n">
        <f aca="false">(k_B+((ls_A*k_long+(1-ls_A)*k_spot)-k_B)*MIN(1,5/3))*1</f>
        <v>1.40640619155662</v>
      </c>
      <c r="K1650" s="18" t="n">
        <f aca="false">(k_B+((ls_A*k_long+(1-ls_A)*k_spot)-k_B)*MIN(1,6/3))*1</f>
        <v>1.40640619155662</v>
      </c>
      <c r="L1650" s="1" t="s">
        <v>735</v>
      </c>
    </row>
    <row r="1651" customFormat="false" ht="17.15" hidden="false" customHeight="false" outlineLevel="0" collapsed="false">
      <c r="A1651" s="1" t="s">
        <v>736</v>
      </c>
      <c r="B1651" s="0" t="s">
        <v>291</v>
      </c>
      <c r="C1651" s="18" t="n">
        <f aca="false">Sens!C1649*Sens!C1650*chip_f</f>
        <v>11.3973387156315</v>
      </c>
      <c r="D1651" s="18" t="n">
        <f aca="false">Sens!D1649*Sens!D1650*chip_f</f>
        <v>11.3973387156315</v>
      </c>
      <c r="E1651" s="18" t="n">
        <f aca="false">Sens!E1649*Sens!E1650*chip_f</f>
        <v>11.3973387156315</v>
      </c>
      <c r="F1651" s="18" t="n">
        <f aca="false">Sens!F1649*Sens!F1650*chip_f</f>
        <v>13.0123225874029</v>
      </c>
      <c r="G1651" s="18" t="n">
        <f aca="false">Sens!G1649*Sens!G1650*chip_f</f>
        <v>14.3973822777458</v>
      </c>
      <c r="H1651" s="18" t="n">
        <f aca="false">Sens!H1649*Sens!H1650*chip_f</f>
        <v>15.6548505449659</v>
      </c>
      <c r="I1651" s="18" t="n">
        <f aca="false">Sens!I1649*Sens!I1650*chip_f</f>
        <v>15.9103933447218</v>
      </c>
      <c r="J1651" s="18" t="n">
        <f aca="false">Sens!J1649*Sens!J1650*chip_f</f>
        <v>16.0846308739825</v>
      </c>
      <c r="K1651" s="18" t="n">
        <f aca="false">Sens!K1649*Sens!K1650*chip_f</f>
        <v>16.211040422887</v>
      </c>
      <c r="L1651" s="1" t="s">
        <v>737</v>
      </c>
    </row>
    <row r="1652" customFormat="false" ht="17.15" hidden="false" customHeight="false" outlineLevel="0" collapsed="false">
      <c r="A1652" s="0" t="s">
        <v>738</v>
      </c>
      <c r="B1652" s="0" t="s">
        <v>95</v>
      </c>
      <c r="D1652" s="6" t="n">
        <f aca="false">(Sens!C1638+Sens!D1638)/2*Sens!D1651/1000</f>
        <v>12.9359794422418</v>
      </c>
      <c r="E1652" s="6" t="n">
        <f aca="false">(Sens!D1638+Sens!E1638)/2*Sens!E1651/1000</f>
        <v>27.8095064661409</v>
      </c>
      <c r="F1652" s="6" t="n">
        <f aca="false">(Sens!E1638+Sens!F1638)/2*Sens!F1651/1000</f>
        <v>58.7324192305018</v>
      </c>
      <c r="G1652" s="6" t="n">
        <f aca="false">(Sens!F1638+Sens!G1638)/2*Sens!G1651/1000</f>
        <v>101.369089141153</v>
      </c>
      <c r="H1652" s="6" t="n">
        <f aca="false">(Sens!G1638+Sens!H1638)/2*Sens!H1651/1000</f>
        <v>149.785610014234</v>
      </c>
      <c r="I1652" s="6" t="n">
        <f aca="false">(Sens!H1638+Sens!I1638)/2*Sens!I1651/1000</f>
        <v>192.439389583079</v>
      </c>
      <c r="J1652" s="6" t="n">
        <f aca="false">(Sens!I1638+Sens!J1638)/2*Sens!J1651/1000</f>
        <v>235.195906491722</v>
      </c>
      <c r="K1652" s="6" t="n">
        <f aca="false">(Sens!J1638+Sens!K1638)/2*Sens!K1651/1000</f>
        <v>278.012858836343</v>
      </c>
      <c r="L1652" s="11" t="s">
        <v>739</v>
      </c>
    </row>
    <row r="1653" customFormat="false" ht="17.15" hidden="false" customHeight="false" outlineLevel="0" collapsed="false">
      <c r="A1653" s="1" t="s">
        <v>740</v>
      </c>
      <c r="B1653" s="0" t="s">
        <v>291</v>
      </c>
      <c r="C1653" s="18" t="n">
        <f aca="false">(Sens!C1645*tk_opex_h100+Sens!C1646*tk_opex_gb200+Sens!C1647*tk_opex_gb300+Sens!C1648*tk_opex_vr200)/Sens!C1638</f>
        <v>1.88636041306092</v>
      </c>
      <c r="D1653" s="18" t="n">
        <f aca="false">(Sens!D1645*tk_opex_h100+Sens!D1646*tk_opex_gb200+Sens!D1647*tk_opex_gb300+Sens!D1648*tk_opex_vr200)/Sens!D1638</f>
        <v>1.88636041306092</v>
      </c>
      <c r="E1653" s="18" t="n">
        <f aca="false">(Sens!E1645*tk_opex_h100+Sens!E1646*tk_opex_gb200+Sens!E1647*tk_opex_gb300+Sens!E1648*tk_opex_vr200)/Sens!E1638</f>
        <v>1.88636041306092</v>
      </c>
      <c r="F1653" s="18" t="n">
        <f aca="false">(Sens!F1645*tk_opex_h100+Sens!F1646*tk_opex_gb200+Sens!F1647*tk_opex_gb300+Sens!F1648*tk_opex_vr200)/Sens!F1638</f>
        <v>1.9430236476499</v>
      </c>
      <c r="G1653" s="18" t="n">
        <f aca="false">(Sens!G1645*tk_opex_h100+Sens!G1646*tk_opex_gb200+Sens!G1647*tk_opex_gb300+Sens!G1648*tk_opex_vr200)/Sens!G1638</f>
        <v>1.9786941852423</v>
      </c>
      <c r="H1653" s="18" t="n">
        <f aca="false">(Sens!H1645*tk_opex_h100+Sens!H1646*tk_opex_gb200+Sens!H1647*tk_opex_gb300+Sens!H1648*tk_opex_vr200)/Sens!H1638</f>
        <v>2.00289275976156</v>
      </c>
      <c r="I1653" s="18" t="n">
        <f aca="false">(Sens!I1645*tk_opex_h100+Sens!I1646*tk_opex_gb200+Sens!I1647*tk_opex_gb300+Sens!I1648*tk_opex_vr200)/Sens!I1638</f>
        <v>2.01793562605478</v>
      </c>
      <c r="J1653" s="18" t="n">
        <f aca="false">(Sens!J1645*tk_opex_h100+Sens!J1646*tk_opex_gb200+Sens!J1647*tk_opex_gb300+Sens!J1648*tk_opex_vr200)/Sens!J1638</f>
        <v>2.02819234961902</v>
      </c>
      <c r="K1653" s="18" t="n">
        <f aca="false">(Sens!K1645*tk_opex_h100+Sens!K1646*tk_opex_gb200+Sens!K1647*tk_opex_gb300+Sens!K1648*tk_opex_vr200)/Sens!K1638</f>
        <v>2.0356336155994</v>
      </c>
    </row>
    <row r="1654" customFormat="false" ht="17.15" hidden="false" customHeight="false" outlineLevel="0" collapsed="false">
      <c r="A1654" s="0" t="s">
        <v>741</v>
      </c>
      <c r="B1654" s="0" t="s">
        <v>95</v>
      </c>
      <c r="D1654" s="6" t="n">
        <f aca="false">(Sens!C1641+Sens!D1641)/2*Sens!D1653/1000</f>
        <v>2.16302660697652</v>
      </c>
      <c r="E1654" s="6" t="n">
        <f aca="false">(Sens!D1641+Sens!E1641)/2*Sens!E1653/1000</f>
        <v>4.9422642822196</v>
      </c>
      <c r="F1654" s="6" t="n">
        <f aca="false">(Sens!E1641+Sens!F1641)/2*Sens!F1653/1000</f>
        <v>10.001649458823</v>
      </c>
      <c r="G1654" s="6" t="n">
        <f aca="false">(Sens!F1641+Sens!G1641)/2*Sens!G1653/1000</f>
        <v>16.5809296205477</v>
      </c>
      <c r="H1654" s="6" t="n">
        <f aca="false">(Sens!G1641+Sens!H1641)/2*Sens!H1653/1000</f>
        <v>23.5326546653585</v>
      </c>
      <c r="I1654" s="6" t="n">
        <f aca="false">(Sens!H1641+Sens!I1641)/2*Sens!I1653/1000</f>
        <v>30.5090342012804</v>
      </c>
      <c r="J1654" s="6" t="n">
        <f aca="false">(Sens!I1641+Sens!J1641)/2*Sens!J1653/1000</f>
        <v>37.4983018623429</v>
      </c>
      <c r="K1654" s="6" t="n">
        <f aca="false">(Sens!J1641+Sens!K1641)/2*Sens!K1653/1000</f>
        <v>44.4951509875872</v>
      </c>
    </row>
    <row r="1655" customFormat="false" ht="17.15" hidden="false" customHeight="false" outlineLevel="0" collapsed="false">
      <c r="A1655" s="0" t="s">
        <v>742</v>
      </c>
      <c r="B1655" s="0" t="s">
        <v>95</v>
      </c>
      <c r="D1655" s="6" t="n">
        <f aca="false">(Sens!C1639+Sens!D1639)/2*rent_mw/1000</f>
        <v>2.44475</v>
      </c>
      <c r="E1655" s="6" t="n">
        <f aca="false">(Sens!D1639+Sens!E1639)/2*rent_mw/1000</f>
        <v>4.22275</v>
      </c>
      <c r="F1655" s="6" t="n">
        <f aca="false">(Sens!E1639+Sens!F1639)/2*rent_mw/1000</f>
        <v>5.80517</v>
      </c>
      <c r="G1655" s="6" t="n">
        <f aca="false">(Sens!F1639+Sens!G1639)/2*rent_mw/1000</f>
        <v>6.72084</v>
      </c>
      <c r="H1655" s="6" t="n">
        <f aca="false">(Sens!G1639+Sens!H1639)/2*rent_mw/1000</f>
        <v>6.72084</v>
      </c>
      <c r="I1655" s="6" t="n">
        <f aca="false">(Sens!H1639+Sens!I1639)/2*rent_mw/1000</f>
        <v>6.72084</v>
      </c>
      <c r="J1655" s="6" t="n">
        <f aca="false">(Sens!I1639+Sens!J1639)/2*rent_mw/1000</f>
        <v>6.72084</v>
      </c>
      <c r="K1655" s="6" t="n">
        <f aca="false">(Sens!J1639+Sens!K1639)/2*rent_mw/1000</f>
        <v>6.72084</v>
      </c>
    </row>
    <row r="1656" customFormat="false" ht="17.15" hidden="false" customHeight="false" outlineLevel="0" collapsed="false">
      <c r="A1656" s="0" t="s">
        <v>743</v>
      </c>
      <c r="B1656" s="0" t="s">
        <v>95</v>
      </c>
      <c r="D1656" s="6" t="n">
        <f aca="false">(Sens!C1641+Sens!D1641)/2*(1-self_build)*fac_rent/1000</f>
        <v>0.682593900504861</v>
      </c>
      <c r="E1656" s="6" t="n">
        <f aca="false">(Sens!D1641+Sens!E1641)/2*(1-self_build)*fac_rent/1000</f>
        <v>1.55964769126983</v>
      </c>
      <c r="F1656" s="6" t="n">
        <f aca="false">(Sens!E1641+Sens!F1641)/2*(1-self_build)*fac_rent/1000</f>
        <v>3.06421164219659</v>
      </c>
      <c r="G1656" s="6" t="n">
        <f aca="false">(Sens!F1641+Sens!G1641)/2*(1-self_build)*fac_rent/1000</f>
        <v>4.9883327277825</v>
      </c>
      <c r="H1656" s="6" t="n">
        <f aca="false">(Sens!G1641+Sens!H1641)/2*(1-self_build)*fac_rent/1000</f>
        <v>6.99420633866143</v>
      </c>
      <c r="I1656" s="6" t="n">
        <f aca="false">(Sens!H1641+Sens!I1641)/2*(1-self_build)*fac_rent/1000</f>
        <v>9.00007994954036</v>
      </c>
      <c r="J1656" s="6" t="n">
        <f aca="false">(Sens!I1641+Sens!J1641)/2*(1-self_build)*fac_rent/1000</f>
        <v>11.0059535604193</v>
      </c>
      <c r="K1656" s="6" t="n">
        <f aca="false">(Sens!J1641+Sens!K1641)/2*(1-self_build)*fac_rent/1000</f>
        <v>13.0118271712982</v>
      </c>
      <c r="L1656" s="11" t="s">
        <v>744</v>
      </c>
    </row>
    <row r="1657" customFormat="false" ht="17.15" hidden="false" customHeight="false" outlineLevel="0" collapsed="false">
      <c r="A1657" s="1" t="s">
        <v>745</v>
      </c>
      <c r="B1657" s="0" t="s">
        <v>126</v>
      </c>
      <c r="D1657" s="7" t="n">
        <f aca="false">(Sens!C1640+Sens!D1640)/(Sens!C1641+Sens!D1641)</f>
        <v>0.75</v>
      </c>
      <c r="E1657" s="7" t="n">
        <f aca="false">(Sens!D1640+Sens!E1640)/(Sens!D1641+Sens!E1641)</f>
        <v>0.75</v>
      </c>
      <c r="F1657" s="7" t="n">
        <f aca="false">(Sens!E1640+Sens!F1640)/(Sens!E1641+Sens!F1641)</f>
        <v>0.75</v>
      </c>
      <c r="G1657" s="7" t="n">
        <f aca="false">(Sens!F1640+Sens!G1640)/(Sens!F1641+Sens!G1641)</f>
        <v>0.75</v>
      </c>
      <c r="H1657" s="7" t="n">
        <f aca="false">(Sens!G1640+Sens!H1640)/(Sens!G1641+Sens!H1641)</f>
        <v>0.75</v>
      </c>
      <c r="I1657" s="7" t="n">
        <f aca="false">(Sens!H1640+Sens!I1640)/(Sens!H1641+Sens!I1641)</f>
        <v>0.75</v>
      </c>
      <c r="J1657" s="7" t="n">
        <f aca="false">(Sens!I1640+Sens!J1640)/(Sens!I1641+Sens!J1641)</f>
        <v>0.75</v>
      </c>
      <c r="K1657" s="7" t="n">
        <f aca="false">(Sens!J1640+Sens!K1640)/(Sens!J1641+Sens!K1641)</f>
        <v>0.75</v>
      </c>
    </row>
    <row r="1658" customFormat="false" ht="17.15" hidden="false" customHeight="false" outlineLevel="0" collapsed="false">
      <c r="A1658" s="0" t="s">
        <v>746</v>
      </c>
      <c r="B1658" s="0" t="s">
        <v>95</v>
      </c>
      <c r="D1658" s="6" t="n">
        <f aca="false">Sens!D1652-Sens!D1657*(Sens!D1654+Sens!D1656)-Sens!D1655</f>
        <v>8.35701406163072</v>
      </c>
      <c r="E1658" s="6" t="n">
        <f aca="false">Sens!E1652-Sens!E1657*(Sens!E1654+Sens!E1656)-Sens!E1655</f>
        <v>18.7103224860238</v>
      </c>
      <c r="F1658" s="6" t="n">
        <f aca="false">Sens!F1652-Sens!F1657*(Sens!F1654+Sens!F1656)-Sens!F1655</f>
        <v>43.1278534047371</v>
      </c>
      <c r="G1658" s="6" t="n">
        <f aca="false">Sens!G1652-Sens!G1657*(Sens!G1654+Sens!G1656)-Sens!G1655</f>
        <v>78.4713023799053</v>
      </c>
      <c r="H1658" s="6" t="n">
        <f aca="false">Sens!H1652-Sens!H1657*(Sens!H1654+Sens!H1656)-Sens!H1655</f>
        <v>120.169624261219</v>
      </c>
      <c r="I1658" s="6" t="n">
        <f aca="false">Sens!I1652-Sens!I1657*(Sens!I1654+Sens!I1656)-Sens!I1655</f>
        <v>156.086713969963</v>
      </c>
      <c r="J1658" s="6" t="n">
        <f aca="false">Sens!J1652-Sens!J1657*(Sens!J1654+Sens!J1656)-Sens!J1655</f>
        <v>192.09687492465</v>
      </c>
      <c r="K1658" s="6" t="n">
        <f aca="false">Sens!K1652-Sens!K1657*(Sens!K1654+Sens!K1656)-Sens!K1655</f>
        <v>228.161785217179</v>
      </c>
    </row>
    <row r="1659" customFormat="false" ht="17.15" hidden="false" customHeight="false" outlineLevel="0" collapsed="false">
      <c r="A1659" s="1" t="s">
        <v>747</v>
      </c>
      <c r="B1659" s="0" t="s">
        <v>95</v>
      </c>
      <c r="D1659" s="6" t="n">
        <f aca="false">(1-Sens!D1657)*(Sens!D1654+Sens!D1656)</f>
        <v>0.711405126870345</v>
      </c>
      <c r="E1659" s="6" t="n">
        <f aca="false">(1-Sens!E1657)*(Sens!E1654+Sens!E1656)</f>
        <v>1.62547799337236</v>
      </c>
      <c r="F1659" s="6" t="n">
        <f aca="false">(1-Sens!F1657)*(Sens!F1654+Sens!F1656)</f>
        <v>3.26646527525489</v>
      </c>
      <c r="G1659" s="6" t="n">
        <f aca="false">(1-Sens!G1657)*(Sens!G1654+Sens!G1656)</f>
        <v>5.39231558708256</v>
      </c>
      <c r="H1659" s="6" t="n">
        <f aca="false">(1-Sens!H1657)*(Sens!H1654+Sens!H1656)</f>
        <v>7.63171525100499</v>
      </c>
      <c r="I1659" s="6" t="n">
        <f aca="false">(1-Sens!I1657)*(Sens!I1654+Sens!I1656)</f>
        <v>9.8772785377052</v>
      </c>
      <c r="J1659" s="6" t="n">
        <f aca="false">(1-Sens!J1657)*(Sens!J1654+Sens!J1656)</f>
        <v>12.1260638556905</v>
      </c>
      <c r="K1659" s="6" t="n">
        <f aca="false">(1-Sens!K1657)*(Sens!K1654+Sens!K1656)</f>
        <v>14.3767445397213</v>
      </c>
    </row>
    <row r="1660" customFormat="false" ht="17.15" hidden="false" customHeight="false" outlineLevel="0" collapsed="false">
      <c r="A1660" s="1" t="s">
        <v>748</v>
      </c>
      <c r="B1660" s="0" t="s">
        <v>302</v>
      </c>
      <c r="C1660" s="8" t="n">
        <f aca="false">cxit_open</f>
        <v>27.5918995</v>
      </c>
      <c r="D1660" s="8" t="n">
        <f aca="false">cxit_open</f>
        <v>27.5918995</v>
      </c>
      <c r="E1660" s="8" t="n">
        <f aca="false">cxit_open</f>
        <v>27.5918995</v>
      </c>
      <c r="F1660" s="8" t="n">
        <f aca="false">(a_g3_27*tk_cxit_gb300+(1-a_g3_27)*tk_cxit_vr200)</f>
        <v>33.8419624</v>
      </c>
      <c r="G1660" s="8" t="n">
        <f aca="false">(a_g3_28*tk_cxit_gb300+(1-a_g3_28)*tk_cxit_vr200)</f>
        <v>35.9816136</v>
      </c>
      <c r="H1660" s="8" t="n">
        <f aca="false">(a_g3_29*tk_cxit_gb300+(1-a_g3_29)*tk_cxit_vr200)</f>
        <v>37.0514392</v>
      </c>
      <c r="I1660" s="8" t="n">
        <f aca="false">(a_g3_29*tk_cxit_gb300+(1-a_g3_29)*tk_cxit_vr200)</f>
        <v>37.0514392</v>
      </c>
      <c r="J1660" s="8" t="n">
        <f aca="false">(a_g3_29*tk_cxit_gb300+(1-a_g3_29)*tk_cxit_vr200)</f>
        <v>37.0514392</v>
      </c>
      <c r="K1660" s="8" t="n">
        <f aca="false">(a_g3_29*tk_cxit_gb300+(1-a_g3_29)*tk_cxit_vr200)</f>
        <v>37.0514392</v>
      </c>
      <c r="L1660" s="11" t="s">
        <v>749</v>
      </c>
    </row>
    <row r="1661" customFormat="false" ht="17.15" hidden="false" customHeight="false" outlineLevel="0" collapsed="false">
      <c r="A1661" s="0" t="s">
        <v>750</v>
      </c>
      <c r="B1661" s="0" t="s">
        <v>340</v>
      </c>
      <c r="F1661" s="27" t="n">
        <f aca="false">Sens!C1643*IF(3=life_it,1,0)+Sens!D1643*IF(2=life_it,1,0)+Sens!E1643*IF(1=life_it,1,0)</f>
        <v>0</v>
      </c>
      <c r="G1661" s="27" t="n">
        <f aca="false">Sens!C1643*IF(4=life_it,1,0)+Sens!D1643*IF(3=life_it,1,0)+Sens!E1643*IF(2=life_it,1,0)+Sens!F1643*IF(1=life_it,1,0)</f>
        <v>0</v>
      </c>
      <c r="H1661" s="27" t="n">
        <f aca="false">Sens!C1643*IF(5=life_it,1,0)+Sens!D1643*IF(4=life_it,1,0)+Sens!E1643*IF(3=life_it,1,0)+Sens!F1643*IF(2=life_it,1,0)+Sens!G1643*IF(1=life_it,1,0)</f>
        <v>0</v>
      </c>
      <c r="I1661" s="27" t="n">
        <f aca="false">Sens!C1643*IF(6=life_it,1,0)+Sens!D1643*IF(5=life_it,1,0)+Sens!E1643*IF(4=life_it,1,0)+Sens!F1643*IF(3=life_it,1,0)+Sens!G1643*IF(2=life_it,1,0)+Sens!H1643*IF(1=life_it,1,0)</f>
        <v>653.333333333333</v>
      </c>
      <c r="J1661" s="27" t="n">
        <f aca="false">Sens!C1643*IF(7=life_it,1,0)+Sens!D1643*IF(6=life_it,1,0)+Sens!E1643*IF(5=life_it,1,0)+Sens!F1643*IF(4=life_it,1,0)+Sens!G1643*IF(3=life_it,1,0)+Sens!H1643*IF(2=life_it,1,0)+Sens!I1643*IF(1=life_it,1,0)</f>
        <v>986.666666666667</v>
      </c>
      <c r="K1661" s="27" t="n">
        <f aca="false">Sens!C1643*IF(8=life_it,1,0)+Sens!D1643*IF(7=life_it,1,0)+Sens!E1643*IF(6=life_it,1,0)+Sens!F1643*IF(5=life_it,1,0)+Sens!G1643*IF(4=life_it,1,0)+Sens!H1643*IF(3=life_it,1,0)+Sens!I1643*IF(2=life_it,1,0)+Sens!J1643*IF(1=life_it,1,0)</f>
        <v>1960</v>
      </c>
      <c r="L1661" s="1" t="s">
        <v>751</v>
      </c>
    </row>
    <row r="1662" customFormat="false" ht="17.15" hidden="false" customHeight="false" outlineLevel="0" collapsed="false">
      <c r="A1662" s="0" t="s">
        <v>752</v>
      </c>
      <c r="B1662" s="0" t="s">
        <v>95</v>
      </c>
      <c r="C1662" s="6" t="n">
        <f aca="false">Sens!C1643*Sens!C1660/1000</f>
        <v>18.0267076733333</v>
      </c>
      <c r="D1662" s="6" t="n">
        <f aca="false">Sens!D1643*Sens!D1660/1000</f>
        <v>27.2240075066667</v>
      </c>
      <c r="E1662" s="6" t="n">
        <f aca="false">Sens!E1643*Sens!E1660/1000</f>
        <v>54.08012302</v>
      </c>
      <c r="F1662" s="6" t="n">
        <f aca="false">(Sens!F1643+Sens!F1661)*Sens!F1660/1000</f>
        <v>104.738617497173</v>
      </c>
      <c r="G1662" s="6" t="n">
        <f aca="false">(Sens!G1643+Sens!G1661)*Sens!G1660/1000</f>
        <v>121.24364518656</v>
      </c>
      <c r="H1662" s="6" t="n">
        <f aca="false">(Sens!H1643+Sens!H1661)*Sens!H1660/1000</f>
        <v>124.84852952832</v>
      </c>
      <c r="I1662" s="6" t="n">
        <f aca="false">(Sens!I1643+Sens!I1661)*Sens!I1660/1000</f>
        <v>149.055469805653</v>
      </c>
      <c r="J1662" s="6" t="n">
        <f aca="false">(Sens!J1643+Sens!J1661)*Sens!J1660/1000</f>
        <v>161.405949538987</v>
      </c>
      <c r="K1662" s="6" t="n">
        <f aca="false">(Sens!K1643+Sens!K1661)*Sens!K1660/1000</f>
        <v>197.46935036032</v>
      </c>
    </row>
    <row r="1663" customFormat="false" ht="17.15" hidden="false" customHeight="false" outlineLevel="0" collapsed="false">
      <c r="A1663" s="0" t="s">
        <v>753</v>
      </c>
      <c r="B1663" s="0" t="s">
        <v>95</v>
      </c>
      <c r="C1663" s="6" t="n">
        <f aca="false">Sens!C1643*self_build*tk_cxfac/1000</f>
        <v>4.96664</v>
      </c>
      <c r="D1663" s="6" t="n">
        <f aca="false">Sens!D1643*self_build*tk_cxfac/1000</f>
        <v>7.50064</v>
      </c>
      <c r="E1663" s="6" t="n">
        <f aca="false">Sens!E1643*self_build*tk_cxfac/1000</f>
        <v>14.89992</v>
      </c>
      <c r="F1663" s="6" t="n">
        <f aca="false">Sens!F1643*self_build*tk_cxfac/1000</f>
        <v>23.5276832</v>
      </c>
      <c r="G1663" s="6" t="n">
        <f aca="false">Sens!G1643*self_build*tk_cxfac/1000</f>
        <v>25.6156992</v>
      </c>
      <c r="H1663" s="6" t="n">
        <f aca="false">Sens!H1643*self_build*tk_cxfac/1000</f>
        <v>25.6156992</v>
      </c>
      <c r="I1663" s="6" t="n">
        <f aca="false">Sens!I1643*self_build*tk_cxfac/1000</f>
        <v>25.6156992</v>
      </c>
      <c r="J1663" s="6" t="n">
        <f aca="false">Sens!J1643*self_build*tk_cxfac/1000</f>
        <v>25.6156992</v>
      </c>
      <c r="K1663" s="6" t="n">
        <f aca="false">Sens!K1643*self_build*tk_cxfac/1000</f>
        <v>25.6156992</v>
      </c>
    </row>
    <row r="1664" customFormat="false" ht="17.15" hidden="false" customHeight="false" outlineLevel="0" collapsed="false">
      <c r="A1664" s="0" t="s">
        <v>754</v>
      </c>
      <c r="B1664" s="0" t="s">
        <v>95</v>
      </c>
      <c r="F1664" s="6" t="n">
        <f aca="false">MAX(0,capex_floor27-Sens!F1662-Sens!F1663-Sens!F1751)</f>
        <v>40.2043520732642</v>
      </c>
      <c r="G1664" s="6" t="n">
        <f aca="false">0</f>
        <v>0</v>
      </c>
      <c r="H1664" s="6" t="n">
        <f aca="false">0</f>
        <v>0</v>
      </c>
      <c r="I1664" s="6" t="n">
        <f aca="false">0</f>
        <v>0</v>
      </c>
      <c r="J1664" s="6" t="n">
        <f aca="false">0</f>
        <v>0</v>
      </c>
      <c r="K1664" s="6" t="n">
        <f aca="false">0</f>
        <v>0</v>
      </c>
      <c r="L1664" s="1" t="s">
        <v>755</v>
      </c>
    </row>
    <row r="1665" customFormat="false" ht="17.15" hidden="false" customHeight="false" outlineLevel="0" collapsed="false">
      <c r="A1665" s="0" t="s">
        <v>756</v>
      </c>
      <c r="B1665" s="0" t="s">
        <v>95</v>
      </c>
      <c r="C1665" s="6" t="n">
        <f aca="false">Sens!C1662</f>
        <v>18.0267076733333</v>
      </c>
      <c r="D1665" s="6" t="n">
        <f aca="false">Sens!D1662</f>
        <v>27.2240075066667</v>
      </c>
      <c r="E1665" s="6" t="n">
        <f aca="false">Sens!E1662</f>
        <v>54.08012302</v>
      </c>
      <c r="F1665" s="6" t="n">
        <f aca="false">Sens!F1662+Sens!F1664</f>
        <v>144.942969570438</v>
      </c>
      <c r="G1665" s="6" t="n">
        <f aca="false">Sens!G1662+Sens!G1664</f>
        <v>121.24364518656</v>
      </c>
      <c r="H1665" s="6" t="n">
        <f aca="false">Sens!H1662+Sens!H1664</f>
        <v>124.84852952832</v>
      </c>
      <c r="I1665" s="6" t="n">
        <f aca="false">Sens!I1662+Sens!I1664</f>
        <v>149.055469805653</v>
      </c>
      <c r="J1665" s="6" t="n">
        <f aca="false">Sens!J1662+Sens!J1664</f>
        <v>161.405949538987</v>
      </c>
      <c r="K1665" s="6" t="n">
        <f aca="false">Sens!K1662+Sens!K1664</f>
        <v>197.46935036032</v>
      </c>
    </row>
    <row r="1666" customFormat="false" ht="17.15" hidden="false" customHeight="false" outlineLevel="0" collapsed="false">
      <c r="A1666" s="0" t="s">
        <v>757</v>
      </c>
      <c r="B1666" s="0" t="s">
        <v>95</v>
      </c>
      <c r="C1666" s="6" t="n">
        <f aca="false">Sens!C1665+Sens!C1663</f>
        <v>22.9933476733333</v>
      </c>
      <c r="D1666" s="6" t="n">
        <f aca="false">Sens!D1665+Sens!D1663</f>
        <v>34.7246475066667</v>
      </c>
      <c r="E1666" s="6" t="n">
        <f aca="false">Sens!E1665+Sens!E1663</f>
        <v>68.98004302</v>
      </c>
      <c r="F1666" s="6" t="n">
        <f aca="false">Sens!F1665+Sens!F1663</f>
        <v>168.470652770438</v>
      </c>
      <c r="G1666" s="6" t="n">
        <f aca="false">Sens!G1665+Sens!G1663</f>
        <v>146.85934438656</v>
      </c>
      <c r="H1666" s="6" t="n">
        <f aca="false">Sens!H1665+Sens!H1663</f>
        <v>150.46422872832</v>
      </c>
      <c r="I1666" s="6" t="n">
        <f aca="false">Sens!I1665+Sens!I1663</f>
        <v>174.671169005653</v>
      </c>
      <c r="J1666" s="6" t="n">
        <f aca="false">Sens!J1665+Sens!J1663</f>
        <v>187.021648738987</v>
      </c>
      <c r="K1666" s="6" t="n">
        <f aca="false">Sens!K1665+Sens!K1663</f>
        <v>223.08504956032</v>
      </c>
      <c r="L1666" s="11" t="s">
        <v>758</v>
      </c>
    </row>
    <row r="1667" customFormat="false" ht="17.15" hidden="false" customHeight="false" outlineLevel="0" collapsed="false">
      <c r="A1667" s="0" t="s">
        <v>759</v>
      </c>
      <c r="B1667" s="0" t="s">
        <v>95</v>
      </c>
      <c r="E1667" s="6" t="n">
        <f aca="false">(Sens!C1665*IF(2&lt;life_it,1,IF(2=life_it,0.5,0))+Sens!D1665*IF(1&lt;life_it,1,IF(1=life_it,0.5,0))+Sens!E1665*0.5)/life_it</f>
        <v>12.0484627816667</v>
      </c>
      <c r="F1667" s="6" t="n">
        <f aca="false">(Sens!C1665*IF(3&lt;life_it,1,IF(3=life_it,0.5,0))+Sens!D1665*IF(2&lt;life_it,1,IF(2=life_it,0.5,0))+Sens!E1665*IF(1&lt;life_it,1,IF(1=life_it,0.5,0))+Sens!F1665*0.5)/life_it</f>
        <v>28.6337204975365</v>
      </c>
      <c r="G1667" s="6" t="n">
        <f aca="false">(Sens!C1665*IF(4&lt;life_it,1,IF(4=life_it,0.5,0))+Sens!D1665*IF(3&lt;life_it,1,IF(3=life_it,0.5,0))+Sens!E1665*IF(2&lt;life_it,1,IF(2=life_it,0.5,0))+Sens!F1665*IF(1&lt;life_it,1,IF(1=life_it,0.5,0))+Sens!G1665*0.5)/life_it</f>
        <v>50.8159383939529</v>
      </c>
      <c r="H1667" s="6" t="n">
        <f aca="false">(Sens!C1665*IF(5&lt;life_it,1,IF(5=life_it,0.5,0))+Sens!D1665*IF(4&lt;life_it,1,IF(4=life_it,0.5,0))+Sens!E1665*IF(3&lt;life_it,1,IF(3=life_it,0.5,0))+Sens!F1665*IF(2&lt;life_it,1,IF(2=life_it,0.5,0))+Sens!G1665*IF(1&lt;life_it,1,IF(1=life_it,0.5,0))+Sens!H1665*0.5)/life_it</f>
        <v>71.3236196201929</v>
      </c>
      <c r="I1667" s="6" t="n">
        <f aca="false">(Sens!C1665*IF(6&lt;life_it,1,IF(6=life_it,0.5,0))+Sens!D1665*IF(5&lt;life_it,1,IF(5=life_it,0.5,0))+Sens!E1665*IF(4&lt;life_it,1,IF(4=life_it,0.5,0))+Sens!F1665*IF(3&lt;life_it,1,IF(3=life_it,0.5,0))+Sens!G1665*IF(2&lt;life_it,1,IF(2=life_it,0.5,0))+Sens!H1665*IF(1&lt;life_it,1,IF(1=life_it,0.5,0))+Sens!I1665*0.5)/life_it</f>
        <v>92.6467272585796</v>
      </c>
      <c r="J1667" s="6" t="n">
        <f aca="false">(Sens!C1665*IF(7&lt;life_it,1,IF(7=life_it,0.5,0))+Sens!D1665*IF(6&lt;life_it,1,IF(6=life_it,0.5,0))+Sens!E1665*IF(5&lt;life_it,1,IF(5=life_it,0.5,0))+Sens!F1665*IF(4&lt;life_it,1,IF(4=life_it,0.5,0))+Sens!G1665*IF(3&lt;life_it,1,IF(3=life_it,0.5,0))+Sens!H1665*IF(2&lt;life_it,1,IF(2=life_it,0.5,0))+Sens!I1665*IF(1&lt;life_it,1,IF(1=life_it,0.5,0))+Sens!J1665*0.5)/life_it</f>
        <v>114.7476192723</v>
      </c>
      <c r="K1667" s="6" t="n">
        <f aca="false">(Sens!C1665*IF(8&lt;life_it,1,IF(8=life_it,0.5,0))+Sens!D1665*IF(7&lt;life_it,1,IF(7=life_it,0.5,0))+Sens!E1665*IF(6&lt;life_it,1,IF(6=life_it,0.5,0))+Sens!F1665*IF(5&lt;life_it,1,IF(5=life_it,0.5,0))+Sens!G1665*IF(4&lt;life_it,1,IF(4=life_it,0.5,0))+Sens!H1665*IF(3&lt;life_it,1,IF(3=life_it,0.5,0))+Sens!I1665*IF(2&lt;life_it,1,IF(2=life_it,0.5,0))+Sens!J1665*IF(1&lt;life_it,1,IF(1=life_it,0.5,0))+Sens!K1665*0.5)/life_it</f>
        <v>137.878550053353</v>
      </c>
    </row>
    <row r="1668" customFormat="false" ht="17.15" hidden="false" customHeight="false" outlineLevel="0" collapsed="false">
      <c r="A1668" s="0" t="s">
        <v>760</v>
      </c>
      <c r="B1668" s="0" t="s">
        <v>95</v>
      </c>
      <c r="E1668" s="6" t="n">
        <f aca="false">(Sens!C1663*IF(2&lt;life_fac,1,IF(2=life_fac,0.5,0))+Sens!D1663*IF(1&lt;life_fac,1,IF(1=life_fac,0.5,0))+Sens!E1663*0.5)/life_fac</f>
        <v>0.995862</v>
      </c>
      <c r="F1668" s="6" t="n">
        <f aca="false">(Sens!C1663*IF(3&lt;life_fac,1,IF(3=life_fac,0.5,0))+Sens!D1663*IF(2&lt;life_fac,1,IF(2=life_fac,0.5,0))+Sens!E1663*IF(1&lt;life_fac,1,IF(1=life_fac,0.5,0))+Sens!F1663*0.5)/life_fac</f>
        <v>1.95655208</v>
      </c>
      <c r="G1668" s="6" t="n">
        <f aca="false">(Sens!C1663*IF(4&lt;life_fac,1,IF(4=life_fac,0.5,0))+Sens!D1663*IF(3&lt;life_fac,1,IF(3=life_fac,0.5,0))+Sens!E1663*IF(2&lt;life_fac,1,IF(2=life_fac,0.5,0))+Sens!F1663*IF(1&lt;life_fac,1,IF(1=life_fac,0.5,0))+Sens!G1663*0.5)/life_fac</f>
        <v>3.18513664</v>
      </c>
      <c r="H1668" s="6" t="n">
        <f aca="false">(Sens!C1663*IF(5&lt;life_fac,1,IF(5=life_fac,0.5,0))+Sens!D1663*IF(4&lt;life_fac,1,IF(4=life_fac,0.5,0))+Sens!E1663*IF(3&lt;life_fac,1,IF(3=life_fac,0.5,0))+Sens!F1663*IF(2&lt;life_fac,1,IF(2=life_fac,0.5,0))+Sens!G1663*IF(1&lt;life_fac,1,IF(1=life_fac,0.5,0))+Sens!H1663*0.5)/life_fac</f>
        <v>4.4659216</v>
      </c>
      <c r="I1668" s="6" t="n">
        <f aca="false">(Sens!C1663*IF(6&lt;life_fac,1,IF(6=life_fac,0.5,0))+Sens!D1663*IF(5&lt;life_fac,1,IF(5=life_fac,0.5,0))+Sens!E1663*IF(4&lt;life_fac,1,IF(4=life_fac,0.5,0))+Sens!F1663*IF(3&lt;life_fac,1,IF(3=life_fac,0.5,0))+Sens!G1663*IF(2&lt;life_fac,1,IF(2=life_fac,0.5,0))+Sens!H1663*IF(1&lt;life_fac,1,IF(1=life_fac,0.5,0))+Sens!I1663*0.5)/life_fac</f>
        <v>5.74670656</v>
      </c>
      <c r="J1668" s="6" t="n">
        <f aca="false">(Sens!C1663*IF(7&lt;life_fac,1,IF(7=life_fac,0.5,0))+Sens!D1663*IF(6&lt;life_fac,1,IF(6=life_fac,0.5,0))+Sens!E1663*IF(5&lt;life_fac,1,IF(5=life_fac,0.5,0))+Sens!F1663*IF(4&lt;life_fac,1,IF(4=life_fac,0.5,0))+Sens!G1663*IF(3&lt;life_fac,1,IF(3=life_fac,0.5,0))+Sens!H1663*IF(2&lt;life_fac,1,IF(2=life_fac,0.5,0))+Sens!I1663*IF(1&lt;life_fac,1,IF(1=life_fac,0.5,0))+Sens!J1663*0.5)/life_fac</f>
        <v>7.02749152</v>
      </c>
      <c r="K1668" s="6" t="n">
        <f aca="false">(Sens!C1663*IF(8&lt;life_fac,1,IF(8=life_fac,0.5,0))+Sens!D1663*IF(7&lt;life_fac,1,IF(7=life_fac,0.5,0))+Sens!E1663*IF(6&lt;life_fac,1,IF(6=life_fac,0.5,0))+Sens!F1663*IF(5&lt;life_fac,1,IF(5=life_fac,0.5,0))+Sens!G1663*IF(4&lt;life_fac,1,IF(4=life_fac,0.5,0))+Sens!H1663*IF(3&lt;life_fac,1,IF(3=life_fac,0.5,0))+Sens!I1663*IF(2&lt;life_fac,1,IF(2=life_fac,0.5,0))+Sens!J1663*IF(1&lt;life_fac,1,IF(1=life_fac,0.5,0))+Sens!K1663*0.5)/life_fac</f>
        <v>8.30827648</v>
      </c>
    </row>
    <row r="1669" customFormat="false" ht="17.15" hidden="false" customHeight="false" outlineLevel="0" collapsed="false">
      <c r="A1669" s="0" t="s">
        <v>761</v>
      </c>
      <c r="B1669" s="0" t="s">
        <v>95</v>
      </c>
      <c r="E1669" s="6" t="n">
        <f aca="false">Sens!E1667+Sens!E1668</f>
        <v>13.0443247816667</v>
      </c>
      <c r="F1669" s="6" t="n">
        <f aca="false">Sens!F1667+Sens!F1668</f>
        <v>30.5902725775365</v>
      </c>
      <c r="G1669" s="6" t="n">
        <f aca="false">Sens!G1667+Sens!G1668</f>
        <v>54.0010750339529</v>
      </c>
      <c r="H1669" s="6" t="n">
        <f aca="false">Sens!H1667+Sens!H1668</f>
        <v>75.7895412201929</v>
      </c>
      <c r="I1669" s="6" t="n">
        <f aca="false">Sens!I1667+Sens!I1668</f>
        <v>98.3934338185796</v>
      </c>
      <c r="J1669" s="6" t="n">
        <f aca="false">Sens!J1667+Sens!J1668</f>
        <v>121.7751107923</v>
      </c>
      <c r="K1669" s="6" t="n">
        <f aca="false">Sens!K1667+Sens!K1668</f>
        <v>146.186826533353</v>
      </c>
    </row>
    <row r="1670" customFormat="false" ht="17.15" hidden="false" customHeight="false" outlineLevel="0" collapsed="false">
      <c r="A1670" s="0" t="s">
        <v>762</v>
      </c>
      <c r="B1670" s="0" t="s">
        <v>95</v>
      </c>
      <c r="E1670" s="6" t="n">
        <f aca="false">Sens!E1658-Sens!E1657*Sens!E1669</f>
        <v>8.92707889977379</v>
      </c>
      <c r="F1670" s="6" t="n">
        <f aca="false">Sens!F1658-Sens!F1657*Sens!F1669</f>
        <v>20.1851489715848</v>
      </c>
      <c r="G1670" s="6" t="n">
        <f aca="false">Sens!G1658-Sens!G1657*Sens!G1669</f>
        <v>37.9704961044406</v>
      </c>
      <c r="H1670" s="6" t="n">
        <f aca="false">Sens!H1658-Sens!H1657*Sens!H1669</f>
        <v>63.3274683460742</v>
      </c>
      <c r="I1670" s="6" t="n">
        <f aca="false">Sens!I1658-Sens!I1657*Sens!I1669</f>
        <v>82.2916386060288</v>
      </c>
      <c r="J1670" s="6" t="n">
        <f aca="false">Sens!J1658-Sens!J1657*Sens!J1669</f>
        <v>100.765541830426</v>
      </c>
      <c r="K1670" s="6" t="n">
        <f aca="false">Sens!K1658-Sens!K1657*Sens!K1669</f>
        <v>118.521665317164</v>
      </c>
    </row>
    <row r="1671" customFormat="false" ht="17.15" hidden="false" customHeight="false" outlineLevel="0" collapsed="false">
      <c r="A1671" s="3" t="s">
        <v>1160</v>
      </c>
    </row>
    <row r="1672" customFormat="false" ht="15" hidden="false" customHeight="false" outlineLevel="0" collapsed="false">
      <c r="A1672" s="4" t="s">
        <v>43</v>
      </c>
      <c r="B1672" s="4" t="s">
        <v>63</v>
      </c>
      <c r="C1672" s="19" t="s">
        <v>710</v>
      </c>
      <c r="D1672" s="19" t="s">
        <v>711</v>
      </c>
      <c r="E1672" s="19" t="s">
        <v>712</v>
      </c>
      <c r="F1672" s="19" t="s">
        <v>713</v>
      </c>
      <c r="G1672" s="19" t="s">
        <v>714</v>
      </c>
      <c r="H1672" s="19" t="s">
        <v>715</v>
      </c>
      <c r="I1672" s="19" t="s">
        <v>716</v>
      </c>
      <c r="J1672" s="19" t="s">
        <v>717</v>
      </c>
      <c r="K1672" s="19" t="s">
        <v>718</v>
      </c>
      <c r="L1672" s="4" t="s">
        <v>47</v>
      </c>
    </row>
    <row r="1673" customFormat="false" ht="17.15" hidden="false" customHeight="false" outlineLevel="0" collapsed="false">
      <c r="A1673" s="0" t="s">
        <v>780</v>
      </c>
      <c r="B1673" s="0" t="s">
        <v>95</v>
      </c>
      <c r="D1673" s="6" t="n">
        <f aca="false">Sens!D1652</f>
        <v>12.9359794422418</v>
      </c>
      <c r="E1673" s="6" t="n">
        <f aca="false">Sens!E1652</f>
        <v>27.8095064661409</v>
      </c>
      <c r="F1673" s="6" t="n">
        <f aca="false">Sens!F1652</f>
        <v>58.7324192305018</v>
      </c>
      <c r="G1673" s="6" t="n">
        <f aca="false">Sens!G1652</f>
        <v>101.369089141153</v>
      </c>
      <c r="H1673" s="6" t="n">
        <f aca="false">Sens!H1652</f>
        <v>149.785610014234</v>
      </c>
      <c r="I1673" s="6" t="n">
        <f aca="false">Sens!I1652</f>
        <v>192.439389583079</v>
      </c>
      <c r="J1673" s="6" t="n">
        <f aca="false">Sens!J1652</f>
        <v>235.195906491722</v>
      </c>
      <c r="K1673" s="6" t="n">
        <f aca="false">Sens!K1652</f>
        <v>278.012858836343</v>
      </c>
    </row>
    <row r="1674" customFormat="false" ht="17.15" hidden="false" customHeight="false" outlineLevel="0" collapsed="false">
      <c r="A1674" s="0" t="s">
        <v>781</v>
      </c>
      <c r="B1674" s="0" t="s">
        <v>95</v>
      </c>
      <c r="D1674" s="6" t="n">
        <f aca="false">Q!L6-Sens!D1673</f>
        <v>59.6740205577583</v>
      </c>
      <c r="E1674" s="6" t="n">
        <f aca="false">Q!M6-Sens!E1673</f>
        <v>74.1284935338591</v>
      </c>
      <c r="F1674" s="6" t="n">
        <f aca="false">Sens!E1674*(1+Sens!F1675)</f>
        <v>90.0799497373663</v>
      </c>
      <c r="G1674" s="6" t="n">
        <f aca="false">Sens!F1674*(1+Sens!G1675)</f>
        <v>107.02842520331</v>
      </c>
      <c r="H1674" s="6" t="n">
        <f aca="false">Sens!G1674*(1+Sens!H1675)</f>
        <v>124.271982585636</v>
      </c>
      <c r="I1674" s="6" t="n">
        <f aca="false">Sens!H1674*(1+Sens!I1675)</f>
        <v>140.933702381855</v>
      </c>
      <c r="J1674" s="6" t="n">
        <f aca="false">Sens!I1674*(1+Sens!J1675)</f>
        <v>156.018867314332</v>
      </c>
      <c r="K1674" s="6" t="n">
        <f aca="false">Sens!J1674*(1+Sens!K1675)</f>
        <v>168.500376699478</v>
      </c>
    </row>
    <row r="1675" customFormat="false" ht="15" hidden="false" customHeight="false" outlineLevel="0" collapsed="false">
      <c r="A1675" s="1" t="s">
        <v>782</v>
      </c>
      <c r="B1675" s="0" t="s">
        <v>126</v>
      </c>
      <c r="E1675" s="7" t="n">
        <f aca="false">Sens!E1674/Sens!D1674-1</f>
        <v>0.242223883039864</v>
      </c>
      <c r="F1675" s="7" t="n">
        <f aca="false">Sens!$E$1675+(glt_azo-Sens!$E$1675)*MIN(1,1/n_conv)</f>
        <v>0.215186569199887</v>
      </c>
      <c r="G1675" s="7" t="n">
        <f aca="false">Sens!$E$1675+(glt_azo-Sens!$E$1675)*MIN(1,2/n_conv)</f>
        <v>0.18814925535991</v>
      </c>
      <c r="H1675" s="7" t="n">
        <f aca="false">Sens!$E$1675+(glt_azo-Sens!$E$1675)*MIN(1,3/n_conv)</f>
        <v>0.161111941519932</v>
      </c>
      <c r="I1675" s="7" t="n">
        <f aca="false">Sens!$E$1675+(glt_azo-Sens!$E$1675)*MIN(1,4/n_conv)</f>
        <v>0.134074627679955</v>
      </c>
      <c r="J1675" s="7" t="n">
        <f aca="false">Sens!$E$1675+(glt_azo-Sens!$E$1675)*MIN(1,5/n_conv)</f>
        <v>0.107037313839977</v>
      </c>
      <c r="K1675" s="7" t="n">
        <f aca="false">Sens!$E$1675+(glt_azo-Sens!$E$1675)*MIN(1,6/n_conv)</f>
        <v>0.08</v>
      </c>
    </row>
    <row r="1676" customFormat="false" ht="15" hidden="false" customHeight="false" outlineLevel="0" collapsed="false">
      <c r="A1676" s="0" t="s">
        <v>783</v>
      </c>
      <c r="B1676" s="0" t="s">
        <v>95</v>
      </c>
      <c r="D1676" s="6" t="n">
        <f aca="false">Sens!D1673+Sens!D1674</f>
        <v>72.61</v>
      </c>
      <c r="E1676" s="6" t="n">
        <f aca="false">Sens!E1673+Sens!E1674</f>
        <v>101.938</v>
      </c>
      <c r="F1676" s="6" t="n">
        <f aca="false">Sens!F1673+Sens!F1674</f>
        <v>148.812368967868</v>
      </c>
      <c r="G1676" s="6" t="n">
        <f aca="false">Sens!G1673+Sens!G1674</f>
        <v>208.397514344463</v>
      </c>
      <c r="H1676" s="6" t="n">
        <f aca="false">Sens!H1673+Sens!H1674</f>
        <v>274.05759259987</v>
      </c>
      <c r="I1676" s="6" t="n">
        <f aca="false">Sens!I1673+Sens!I1674</f>
        <v>333.373091964934</v>
      </c>
      <c r="J1676" s="6" t="n">
        <f aca="false">Sens!J1673+Sens!J1674</f>
        <v>391.214773806054</v>
      </c>
      <c r="K1676" s="6" t="n">
        <f aca="false">Sens!K1673+Sens!K1674</f>
        <v>446.513235535821</v>
      </c>
    </row>
    <row r="1677" customFormat="false" ht="17.15" hidden="false" customHeight="false" outlineLevel="0" collapsed="false">
      <c r="A1677" s="0" t="s">
        <v>784</v>
      </c>
      <c r="B1677" s="1" t="s">
        <v>451</v>
      </c>
      <c r="C1677" s="27" t="n">
        <f aca="false">cop_s24</f>
        <v>1</v>
      </c>
      <c r="D1677" s="27" t="n">
        <f aca="false">cop_s25</f>
        <v>5</v>
      </c>
      <c r="E1677" s="27" t="n">
        <f aca="false">cop_s26</f>
        <v>30</v>
      </c>
      <c r="F1677" s="27" t="n">
        <f aca="false">Sens!E1677+IF(2027&lt;=2029,cop_add_A,cop_add_A*cop_tail)</f>
        <v>60</v>
      </c>
      <c r="G1677" s="27" t="n">
        <f aca="false">Sens!F1677+IF(2028&lt;=2029,cop_add_A,cop_add_A*cop_tail)</f>
        <v>90</v>
      </c>
      <c r="H1677" s="27" t="n">
        <f aca="false">Sens!G1677+IF(2029&lt;=2029,cop_add_A,cop_add_A*cop_tail)</f>
        <v>120</v>
      </c>
      <c r="I1677" s="27" t="n">
        <f aca="false">Sens!H1677+IF(2030&lt;=2029,cop_add_A,cop_add_A*cop_tail)</f>
        <v>135</v>
      </c>
      <c r="J1677" s="27" t="n">
        <f aca="false">Sens!I1677+IF(2031&lt;=2029,cop_add_A,cop_add_A*cop_tail)</f>
        <v>150</v>
      </c>
      <c r="K1677" s="27" t="n">
        <f aca="false">Sens!J1677+IF(2032&lt;=2029,cop_add_A,cop_add_A*cop_tail)</f>
        <v>165</v>
      </c>
    </row>
    <row r="1678" customFormat="false" ht="17.15" hidden="false" customHeight="false" outlineLevel="0" collapsed="false">
      <c r="A1678" s="0" t="s">
        <v>785</v>
      </c>
      <c r="B1678" s="0" t="s">
        <v>95</v>
      </c>
      <c r="D1678" s="6" t="n">
        <f aca="false">(Sens!C1677+Sens!D1677)/2*cop_px*12/1000</f>
        <v>0.9</v>
      </c>
      <c r="E1678" s="6" t="n">
        <f aca="false">(Sens!D1677+Sens!E1677)/2*cop_px*12/1000</f>
        <v>5.25</v>
      </c>
      <c r="F1678" s="6" t="n">
        <f aca="false">(Sens!E1677+Sens!F1677)/2*cop_px*12/1000</f>
        <v>13.5</v>
      </c>
      <c r="G1678" s="6" t="n">
        <f aca="false">(Sens!F1677+Sens!G1677)/2*cop_px*12/1000</f>
        <v>22.5</v>
      </c>
      <c r="H1678" s="6" t="n">
        <f aca="false">(Sens!G1677+Sens!H1677)/2*cop_px*12/1000</f>
        <v>31.5</v>
      </c>
      <c r="I1678" s="6" t="n">
        <f aca="false">(Sens!H1677+Sens!I1677)/2*cop_px*12/1000</f>
        <v>38.25</v>
      </c>
      <c r="J1678" s="6" t="n">
        <f aca="false">(Sens!I1677+Sens!J1677)/2*cop_px*12/1000</f>
        <v>42.75</v>
      </c>
      <c r="K1678" s="6" t="n">
        <f aca="false">(Sens!J1677+Sens!K1677)/2*cop_px*12/1000</f>
        <v>47.25</v>
      </c>
      <c r="L1678" s="1" t="s">
        <v>786</v>
      </c>
    </row>
    <row r="1679" customFormat="false" ht="17.15" hidden="false" customHeight="false" outlineLevel="0" collapsed="false">
      <c r="A1679" s="0" t="s">
        <v>787</v>
      </c>
      <c r="B1679" s="0" t="s">
        <v>95</v>
      </c>
      <c r="D1679" s="6" t="n">
        <f aca="false">Q!L7-Sens!D1678</f>
        <v>83.705</v>
      </c>
      <c r="E1679" s="6" t="n">
        <f aca="false">Q!M7-Sens!E1678</f>
        <v>95.049</v>
      </c>
      <c r="F1679" s="6" t="n">
        <f aca="false">Sens!E1679*(1+Sens!F1680)</f>
        <v>106.89238776686</v>
      </c>
      <c r="G1679" s="6" t="n">
        <f aca="false">Sens!F1679*(1+Sens!G1680)</f>
        <v>119.044168448684</v>
      </c>
      <c r="H1679" s="6" t="n">
        <f aca="false">Sens!G1679*(1+Sens!H1680)</f>
        <v>131.277359388781</v>
      </c>
      <c r="I1679" s="6" t="n">
        <f aca="false">Sens!H1679*(1+Sens!I1680)</f>
        <v>143.334028071957</v>
      </c>
      <c r="J1679" s="6" t="n">
        <f aca="false">Sens!I1679*(1+Sens!J1680)</f>
        <v>154.932702785465</v>
      </c>
      <c r="K1679" s="6" t="n">
        <f aca="false">Sens!J1679*(1+Sens!K1680)</f>
        <v>165.777991980448</v>
      </c>
    </row>
    <row r="1680" customFormat="false" ht="15" hidden="false" customHeight="false" outlineLevel="0" collapsed="false">
      <c r="A1680" s="1" t="s">
        <v>782</v>
      </c>
      <c r="B1680" s="0" t="s">
        <v>126</v>
      </c>
      <c r="E1680" s="7" t="n">
        <f aca="false">Sens!E1679/Sens!D1679-1</f>
        <v>0.135523564900544</v>
      </c>
      <c r="F1680" s="7" t="n">
        <f aca="false">Sens!$E$1680+(glt_m365b-Sens!$E$1680)*MIN(1,1/n_conv)</f>
        <v>0.124602970750453</v>
      </c>
      <c r="G1680" s="7" t="n">
        <f aca="false">Sens!$E$1680+(glt_m365b-Sens!$E$1680)*MIN(1,2/n_conv)</f>
        <v>0.113682376600363</v>
      </c>
      <c r="H1680" s="7" t="n">
        <f aca="false">Sens!$E$1680+(glt_m365b-Sens!$E$1680)*MIN(1,3/n_conv)</f>
        <v>0.102761782450272</v>
      </c>
      <c r="I1680" s="7" t="n">
        <f aca="false">Sens!$E$1680+(glt_m365b-Sens!$E$1680)*MIN(1,4/n_conv)</f>
        <v>0.0918411883001813</v>
      </c>
      <c r="J1680" s="7" t="n">
        <f aca="false">Sens!$E$1680+(glt_m365b-Sens!$E$1680)*MIN(1,5/n_conv)</f>
        <v>0.0809205941500906</v>
      </c>
      <c r="K1680" s="7" t="n">
        <f aca="false">Sens!$E$1680+(glt_m365b-Sens!$E$1680)*MIN(1,6/n_conv)</f>
        <v>0.07</v>
      </c>
    </row>
    <row r="1681" customFormat="false" ht="15" hidden="false" customHeight="false" outlineLevel="0" collapsed="false">
      <c r="A1681" s="0" t="s">
        <v>788</v>
      </c>
      <c r="B1681" s="0" t="s">
        <v>95</v>
      </c>
      <c r="D1681" s="6" t="n">
        <f aca="false">Sens!D1679+Sens!D1678</f>
        <v>84.605</v>
      </c>
      <c r="E1681" s="6" t="n">
        <f aca="false">Sens!E1679+Sens!E1678</f>
        <v>100.299</v>
      </c>
      <c r="F1681" s="6" t="n">
        <f aca="false">Sens!F1679+Sens!F1678</f>
        <v>120.39238776686</v>
      </c>
      <c r="G1681" s="6" t="n">
        <f aca="false">Sens!G1679+Sens!G1678</f>
        <v>141.544168448684</v>
      </c>
      <c r="H1681" s="6" t="n">
        <f aca="false">Sens!H1679+Sens!H1678</f>
        <v>162.777359388781</v>
      </c>
      <c r="I1681" s="6" t="n">
        <f aca="false">Sens!I1679+Sens!I1678</f>
        <v>181.584028071957</v>
      </c>
      <c r="J1681" s="6" t="n">
        <f aca="false">Sens!J1679+Sens!J1678</f>
        <v>197.682702785465</v>
      </c>
      <c r="K1681" s="6" t="n">
        <f aca="false">Sens!K1679+Sens!K1678</f>
        <v>213.027991980448</v>
      </c>
    </row>
    <row r="1682" customFormat="false" ht="15" hidden="false" customHeight="false" outlineLevel="0" collapsed="false">
      <c r="A1682" s="0" t="s">
        <v>789</v>
      </c>
      <c r="B1682" s="0" t="s">
        <v>95</v>
      </c>
      <c r="D1682" s="6" t="n">
        <f aca="false">Q!L8</f>
        <v>35.391</v>
      </c>
      <c r="E1682" s="6" t="n">
        <f aca="false">Q!M8</f>
        <v>37.285</v>
      </c>
      <c r="F1682" s="6" t="n">
        <f aca="false">Sens!E1682*(1+Sens!F1683)</f>
        <v>39.0720834331704</v>
      </c>
      <c r="G1682" s="6" t="n">
        <f aca="false">Sens!F1682*(1+Sens!G1683)</f>
        <v>40.726562953769</v>
      </c>
      <c r="H1682" s="6" t="n">
        <f aca="false">Sens!G1682*(1+Sens!H1683)</f>
        <v>42.2235987259198</v>
      </c>
      <c r="I1682" s="6" t="n">
        <f aca="false">Sens!H1682*(1+Sens!I1683)</f>
        <v>43.5397988077414</v>
      </c>
      <c r="J1682" s="6" t="n">
        <f aca="false">Sens!I1682*(1+Sens!J1683)</f>
        <v>44.653811225693</v>
      </c>
      <c r="K1682" s="6" t="n">
        <f aca="false">Sens!J1682*(1+Sens!K1683)</f>
        <v>45.5468874502068</v>
      </c>
    </row>
    <row r="1683" customFormat="false" ht="15" hidden="false" customHeight="false" outlineLevel="0" collapsed="false">
      <c r="A1683" s="1" t="s">
        <v>782</v>
      </c>
      <c r="B1683" s="0" t="s">
        <v>126</v>
      </c>
      <c r="E1683" s="7" t="n">
        <f aca="false">Sens!E1682/Sens!D1682-1</f>
        <v>0.0535164307309768</v>
      </c>
      <c r="F1683" s="7" t="n">
        <f aca="false">Sens!$E$1683+(glt_lic-Sens!$E$1683)*MIN(1,1/n_conv)</f>
        <v>0.0479303589424807</v>
      </c>
      <c r="G1683" s="7" t="n">
        <f aca="false">Sens!$E$1683+(glt_lic-Sens!$E$1683)*MIN(1,2/n_conv)</f>
        <v>0.0423442871539845</v>
      </c>
      <c r="H1683" s="7" t="n">
        <f aca="false">Sens!$E$1683+(glt_lic-Sens!$E$1683)*MIN(1,3/n_conv)</f>
        <v>0.0367582153654884</v>
      </c>
      <c r="I1683" s="7" t="n">
        <f aca="false">Sens!$E$1683+(glt_lic-Sens!$E$1683)*MIN(1,4/n_conv)</f>
        <v>0.0311721435769923</v>
      </c>
      <c r="J1683" s="7" t="n">
        <f aca="false">Sens!$E$1683+(glt_lic-Sens!$E$1683)*MIN(1,5/n_conv)</f>
        <v>0.0255860717884961</v>
      </c>
      <c r="K1683" s="7" t="n">
        <f aca="false">Sens!$E$1683+(glt_lic-Sens!$E$1683)*MIN(1,6/n_conv)</f>
        <v>0.02</v>
      </c>
    </row>
    <row r="1684" customFormat="false" ht="15" hidden="false" customHeight="false" outlineLevel="0" collapsed="false">
      <c r="A1684" s="0" t="s">
        <v>790</v>
      </c>
      <c r="B1684" s="0" t="s">
        <v>95</v>
      </c>
      <c r="D1684" s="6" t="n">
        <f aca="false">Q!L9</f>
        <v>18.417</v>
      </c>
      <c r="E1684" s="6" t="n">
        <f aca="false">Q!M9</f>
        <v>20.345</v>
      </c>
      <c r="F1684" s="6" t="n">
        <f aca="false">Sens!E1684*(1+Sens!F1685)</f>
        <v>22.3572203267814</v>
      </c>
      <c r="G1684" s="6" t="n">
        <f aca="false">Sens!F1684*(1+Sens!G1685)</f>
        <v>24.4392124437232</v>
      </c>
      <c r="H1684" s="6" t="n">
        <f aca="false">Sens!G1684*(1+Sens!H1685)</f>
        <v>26.5738052080665</v>
      </c>
      <c r="I1684" s="6" t="n">
        <f aca="false">Sens!H1684*(1+Sens!I1685)</f>
        <v>28.7412169166967</v>
      </c>
      <c r="J1684" s="6" t="n">
        <f aca="false">Sens!I1684*(1+Sens!J1685)</f>
        <v>30.9192545395413</v>
      </c>
      <c r="K1684" s="6" t="n">
        <f aca="false">Sens!J1684*(1+Sens!K1685)</f>
        <v>33.0836023573092</v>
      </c>
    </row>
    <row r="1685" customFormat="false" ht="15" hidden="false" customHeight="false" outlineLevel="0" collapsed="false">
      <c r="A1685" s="1" t="s">
        <v>782</v>
      </c>
      <c r="B1685" s="0" t="s">
        <v>126</v>
      </c>
      <c r="E1685" s="7" t="n">
        <f aca="false">Sens!E1684/Sens!D1684-1</f>
        <v>0.104685888038225</v>
      </c>
      <c r="F1685" s="7" t="n">
        <f aca="false">Sens!$E$1685+(glt_ind-Sens!$E$1685)*MIN(1,1/n_conv)</f>
        <v>0.0989049066985211</v>
      </c>
      <c r="G1685" s="7" t="n">
        <f aca="false">Sens!$E$1685+(glt_ind-Sens!$E$1685)*MIN(1,2/n_conv)</f>
        <v>0.0931239253588169</v>
      </c>
      <c r="H1685" s="7" t="n">
        <f aca="false">Sens!$E$1685+(glt_ind-Sens!$E$1685)*MIN(1,3/n_conv)</f>
        <v>0.0873429440191127</v>
      </c>
      <c r="I1685" s="7" t="n">
        <f aca="false">Sens!$E$1685+(glt_ind-Sens!$E$1685)*MIN(1,4/n_conv)</f>
        <v>0.0815619626794085</v>
      </c>
      <c r="J1685" s="7" t="n">
        <f aca="false">Sens!$E$1685+(glt_ind-Sens!$E$1685)*MIN(1,5/n_conv)</f>
        <v>0.0757809813397042</v>
      </c>
      <c r="K1685" s="7" t="n">
        <f aca="false">Sens!$E$1685+(glt_ind-Sens!$E$1685)*MIN(1,6/n_conv)</f>
        <v>0.07</v>
      </c>
    </row>
    <row r="1686" customFormat="false" ht="15" hidden="false" customHeight="false" outlineLevel="0" collapsed="false">
      <c r="A1686" s="0" t="s">
        <v>791</v>
      </c>
      <c r="B1686" s="0" t="s">
        <v>95</v>
      </c>
      <c r="D1686" s="6" t="n">
        <f aca="false">Q!L10</f>
        <v>7.76</v>
      </c>
      <c r="E1686" s="6" t="n">
        <f aca="false">Q!M10</f>
        <v>8.26</v>
      </c>
      <c r="F1686" s="6" t="n">
        <f aca="false">Sens!E1686*(1+Sens!F1687)</f>
        <v>8.79988041237113</v>
      </c>
      <c r="G1686" s="6" t="n">
        <f aca="false">Sens!F1686*(1+Sens!G1687)</f>
        <v>9.38321269125306</v>
      </c>
      <c r="H1686" s="6" t="n">
        <f aca="false">Sens!G1686*(1+Sens!H1687)</f>
        <v>10.0139193587476</v>
      </c>
      <c r="I1686" s="6" t="n">
        <f aca="false">Sens!H1686*(1+Sens!I1687)</f>
        <v>10.6963111830911</v>
      </c>
      <c r="J1686" s="6" t="n">
        <f aca="false">Sens!I1686*(1+Sens!J1687)</f>
        <v>11.4351285534696</v>
      </c>
      <c r="K1686" s="6" t="n">
        <f aca="false">Sens!J1686*(1+Sens!K1687)</f>
        <v>12.2355875522124</v>
      </c>
    </row>
    <row r="1687" customFormat="false" ht="15" hidden="false" customHeight="false" outlineLevel="0" collapsed="false">
      <c r="A1687" s="1" t="s">
        <v>782</v>
      </c>
      <c r="B1687" s="0" t="s">
        <v>126</v>
      </c>
      <c r="E1687" s="7" t="n">
        <f aca="false">Sens!E1686/Sens!D1686-1</f>
        <v>0.0644329896907216</v>
      </c>
      <c r="F1687" s="7" t="n">
        <f aca="false">Sens!$E$1687+(glt_fro-Sens!$E$1687)*MIN(1,1/n_conv)</f>
        <v>0.065360824742268</v>
      </c>
      <c r="G1687" s="7" t="n">
        <f aca="false">Sens!$E$1687+(glt_fro-Sens!$E$1687)*MIN(1,2/n_conv)</f>
        <v>0.0662886597938144</v>
      </c>
      <c r="H1687" s="7" t="n">
        <f aca="false">Sens!$E$1687+(glt_fro-Sens!$E$1687)*MIN(1,3/n_conv)</f>
        <v>0.0672164948453608</v>
      </c>
      <c r="I1687" s="7" t="n">
        <f aca="false">Sens!$E$1687+(glt_fro-Sens!$E$1687)*MIN(1,4/n_conv)</f>
        <v>0.0681443298969072</v>
      </c>
      <c r="J1687" s="7" t="n">
        <f aca="false">Sens!$E$1687+(glt_fro-Sens!$E$1687)*MIN(1,5/n_conv)</f>
        <v>0.0690721649484536</v>
      </c>
      <c r="K1687" s="7" t="n">
        <f aca="false">Sens!$E$1687+(glt_fro-Sens!$E$1687)*MIN(1,6/n_conv)</f>
        <v>0.07</v>
      </c>
    </row>
    <row r="1688" customFormat="false" ht="15" hidden="false" customHeight="false" outlineLevel="0" collapsed="false">
      <c r="A1688" s="0" t="s">
        <v>626</v>
      </c>
      <c r="B1688" s="0" t="s">
        <v>95</v>
      </c>
      <c r="D1688" s="6" t="n">
        <f aca="false">Sens!D1676+Sens!D1681+Sens!D1682+Sens!D1684+Sens!D1686</f>
        <v>218.783</v>
      </c>
      <c r="E1688" s="6" t="n">
        <f aca="false">Sens!E1676+Sens!E1681+Sens!E1682+Sens!E1684+Sens!E1686</f>
        <v>268.127</v>
      </c>
      <c r="F1688" s="6" t="n">
        <f aca="false">Sens!F1676+Sens!F1681+Sens!F1682+Sens!F1684+Sens!F1686</f>
        <v>339.433940907051</v>
      </c>
      <c r="G1688" s="6" t="n">
        <f aca="false">Sens!G1676+Sens!G1681+Sens!G1682+Sens!G1684+Sens!G1686</f>
        <v>424.490670881892</v>
      </c>
      <c r="H1688" s="6" t="n">
        <f aca="false">Sens!H1676+Sens!H1681+Sens!H1682+Sens!H1684+Sens!H1686</f>
        <v>515.646275281385</v>
      </c>
      <c r="I1688" s="6" t="n">
        <f aca="false">Sens!I1676+Sens!I1681+Sens!I1682+Sens!I1684+Sens!I1686</f>
        <v>597.93444694442</v>
      </c>
      <c r="J1688" s="6" t="n">
        <f aca="false">Sens!J1676+Sens!J1681+Sens!J1682+Sens!J1684+Sens!J1686</f>
        <v>675.905670910223</v>
      </c>
      <c r="K1688" s="6" t="n">
        <f aca="false">Sens!K1676+Sens!K1681+Sens!K1682+Sens!K1684+Sens!K1686</f>
        <v>750.407304875998</v>
      </c>
    </row>
    <row r="1689" customFormat="false" ht="15" hidden="false" customHeight="false" outlineLevel="0" collapsed="false">
      <c r="A1689" s="0" t="s">
        <v>792</v>
      </c>
      <c r="B1689" s="0" t="s">
        <v>95</v>
      </c>
      <c r="D1689" s="6" t="n">
        <f aca="false">Q!L13</f>
        <v>22.171</v>
      </c>
      <c r="E1689" s="6" t="n">
        <f aca="false">Q!M13</f>
        <v>24.835</v>
      </c>
      <c r="F1689" s="6" t="n">
        <f aca="false">Sens!E1689*(1+Sens!F1690)</f>
        <v>27.6114901218559</v>
      </c>
      <c r="G1689" s="6" t="n">
        <f aca="false">Sens!F1689*(1+Sens!G1690)</f>
        <v>30.4675667338515</v>
      </c>
      <c r="H1689" s="6" t="n">
        <f aca="false">Sens!G1689*(1+Sens!H1690)</f>
        <v>33.3643766955789</v>
      </c>
      <c r="I1689" s="6" t="n">
        <f aca="false">Sens!H1689*(1+Sens!I1690)</f>
        <v>36.2577016533691</v>
      </c>
      <c r="J1689" s="6" t="n">
        <f aca="false">Sens!I1689*(1+Sens!J1690)</f>
        <v>39.0988367952171</v>
      </c>
      <c r="K1689" s="6" t="n">
        <f aca="false">Sens!J1689*(1+Sens!K1690)</f>
        <v>41.8357553708823</v>
      </c>
    </row>
    <row r="1690" customFormat="false" ht="15" hidden="false" customHeight="false" outlineLevel="0" collapsed="false">
      <c r="A1690" s="1" t="s">
        <v>782</v>
      </c>
      <c r="B1690" s="0" t="s">
        <v>126</v>
      </c>
      <c r="E1690" s="7" t="n">
        <f aca="false">Sens!E1689/Sens!D1689-1</f>
        <v>0.120156961796942</v>
      </c>
      <c r="F1690" s="7" t="n">
        <f aca="false">Sens!$E$1690+(glt_srch-Sens!$E$1690)*MIN(1,1/n_conv)</f>
        <v>0.111797468164118</v>
      </c>
      <c r="G1690" s="7" t="n">
        <f aca="false">Sens!$E$1690+(glt_srch-Sens!$E$1690)*MIN(1,2/n_conv)</f>
        <v>0.103437974531295</v>
      </c>
      <c r="H1690" s="7" t="n">
        <f aca="false">Sens!$E$1690+(glt_srch-Sens!$E$1690)*MIN(1,3/n_conv)</f>
        <v>0.095078480898471</v>
      </c>
      <c r="I1690" s="7" t="n">
        <f aca="false">Sens!$E$1690+(glt_srch-Sens!$E$1690)*MIN(1,4/n_conv)</f>
        <v>0.0867189872656474</v>
      </c>
      <c r="J1690" s="7" t="n">
        <f aca="false">Sens!$E$1690+(glt_srch-Sens!$E$1690)*MIN(1,5/n_conv)</f>
        <v>0.0783594936328237</v>
      </c>
      <c r="K1690" s="7" t="n">
        <f aca="false">Sens!$E$1690+(glt_srch-Sens!$E$1690)*MIN(1,6/n_conv)</f>
        <v>0.07</v>
      </c>
    </row>
    <row r="1691" customFormat="false" ht="15" hidden="false" customHeight="false" outlineLevel="0" collapsed="false">
      <c r="A1691" s="0" t="s">
        <v>793</v>
      </c>
      <c r="B1691" s="0" t="s">
        <v>95</v>
      </c>
      <c r="D1691" s="6" t="n">
        <f aca="false">Q!L14</f>
        <v>23.455</v>
      </c>
      <c r="E1691" s="6" t="n">
        <f aca="false">Q!M14</f>
        <v>21.79</v>
      </c>
      <c r="F1691" s="6" t="n">
        <f aca="false">Sens!E1691*(1+Sens!F1692)</f>
        <v>20.5736277908051</v>
      </c>
      <c r="G1691" s="6" t="n">
        <f aca="false">Sens!F1691*(1+Sens!G1692)</f>
        <v>19.7371452817919</v>
      </c>
      <c r="H1691" s="6" t="n">
        <f aca="false">Sens!G1691*(1+Sens!H1692)</f>
        <v>19.2339764043138</v>
      </c>
      <c r="I1691" s="6" t="n">
        <f aca="false">Sens!H1691*(1+Sens!I1692)</f>
        <v>19.0353086852681</v>
      </c>
      <c r="J1691" s="6" t="n">
        <f aca="false">Sens!I1691*(1+Sens!J1692)</f>
        <v>19.1273539319129</v>
      </c>
      <c r="K1691" s="6" t="n">
        <f aca="false">Sens!J1691*(1+Sens!K1692)</f>
        <v>19.5099010105511</v>
      </c>
    </row>
    <row r="1692" customFormat="false" ht="15" hidden="false" customHeight="false" outlineLevel="0" collapsed="false">
      <c r="A1692" s="1" t="s">
        <v>782</v>
      </c>
      <c r="B1692" s="0" t="s">
        <v>126</v>
      </c>
      <c r="E1692" s="7" t="n">
        <f aca="false">Sens!E1691/Sens!D1691-1</f>
        <v>-0.0709869963760392</v>
      </c>
      <c r="F1692" s="7" t="n">
        <f aca="false">Sens!$E$1692+(glt_xbox-Sens!$E$1692)*MIN(1,1/n_conv)</f>
        <v>-0.0558224969800327</v>
      </c>
      <c r="G1692" s="7" t="n">
        <f aca="false">Sens!$E$1692+(glt_xbox-Sens!$E$1692)*MIN(1,2/n_conv)</f>
        <v>-0.0406579975840262</v>
      </c>
      <c r="H1692" s="7" t="n">
        <f aca="false">Sens!$E$1692+(glt_xbox-Sens!$E$1692)*MIN(1,3/n_conv)</f>
        <v>-0.0254934981880196</v>
      </c>
      <c r="I1692" s="7" t="n">
        <f aca="false">Sens!$E$1692+(glt_xbox-Sens!$E$1692)*MIN(1,4/n_conv)</f>
        <v>-0.0103289987920131</v>
      </c>
      <c r="J1692" s="7" t="n">
        <f aca="false">Sens!$E$1692+(glt_xbox-Sens!$E$1692)*MIN(1,5/n_conv)</f>
        <v>0.00483550060399347</v>
      </c>
      <c r="K1692" s="7" t="n">
        <f aca="false">Sens!$E$1692+(glt_xbox-Sens!$E$1692)*MIN(1,6/n_conv)</f>
        <v>0.02</v>
      </c>
    </row>
    <row r="1693" customFormat="false" ht="15" hidden="false" customHeight="false" outlineLevel="0" collapsed="false">
      <c r="A1693" s="0" t="s">
        <v>794</v>
      </c>
      <c r="B1693" s="0" t="s">
        <v>95</v>
      </c>
      <c r="D1693" s="6" t="n">
        <f aca="false">Q!L15</f>
        <v>17.315</v>
      </c>
      <c r="E1693" s="6" t="n">
        <f aca="false">Q!M15</f>
        <v>17.087</v>
      </c>
      <c r="F1693" s="6" t="n">
        <f aca="false">Sens!E1693*(1+Sens!F1694)</f>
        <v>16.9564585436519</v>
      </c>
      <c r="G1693" s="6" t="n">
        <f aca="false">Sens!F1693*(1+Sens!G1694)</f>
        <v>16.9206490624268</v>
      </c>
      <c r="H1693" s="6" t="n">
        <f aca="false">Sens!G1693*(1+Sens!H1694)</f>
        <v>16.9784519149849</v>
      </c>
      <c r="I1693" s="6" t="n">
        <f aca="false">Sens!H1693*(1+Sens!I1694)</f>
        <v>17.1303084701817</v>
      </c>
      <c r="J1693" s="6" t="n">
        <f aca="false">Sens!I1693*(1+Sens!J1694)</f>
        <v>17.3782189407267</v>
      </c>
      <c r="K1693" s="6" t="n">
        <f aca="false">Sens!J1693*(1+Sens!K1694)</f>
        <v>17.7257833195413</v>
      </c>
    </row>
    <row r="1694" customFormat="false" ht="15" hidden="false" customHeight="false" outlineLevel="0" collapsed="false">
      <c r="A1694" s="1" t="s">
        <v>782</v>
      </c>
      <c r="B1694" s="0" t="s">
        <v>126</v>
      </c>
      <c r="E1694" s="7" t="n">
        <f aca="false">Sens!E1693/Sens!D1693-1</f>
        <v>-0.0131677736066995</v>
      </c>
      <c r="F1694" s="7" t="n">
        <f aca="false">Sens!$E$1694+(glt_win-Sens!$E$1694)*MIN(1,1/n_conv)</f>
        <v>-0.00763981133891627</v>
      </c>
      <c r="G1694" s="7" t="n">
        <f aca="false">Sens!$E$1694+(glt_win-Sens!$E$1694)*MIN(1,2/n_conv)</f>
        <v>-0.00211184907113301</v>
      </c>
      <c r="H1694" s="7" t="n">
        <f aca="false">Sens!$E$1694+(glt_win-Sens!$E$1694)*MIN(1,3/n_conv)</f>
        <v>0.00341611319665024</v>
      </c>
      <c r="I1694" s="7" t="n">
        <f aca="false">Sens!$E$1694+(glt_win-Sens!$E$1694)*MIN(1,4/n_conv)</f>
        <v>0.00894407546443349</v>
      </c>
      <c r="J1694" s="7" t="n">
        <f aca="false">Sens!$E$1694+(glt_win-Sens!$E$1694)*MIN(1,5/n_conv)</f>
        <v>0.0144720377322168</v>
      </c>
      <c r="K1694" s="7" t="n">
        <f aca="false">Sens!$E$1694+(glt_win-Sens!$E$1694)*MIN(1,6/n_conv)</f>
        <v>0.02</v>
      </c>
    </row>
    <row r="1695" customFormat="false" ht="15" hidden="false" customHeight="false" outlineLevel="0" collapsed="false">
      <c r="A1695" s="0" t="s">
        <v>640</v>
      </c>
      <c r="B1695" s="0" t="s">
        <v>95</v>
      </c>
      <c r="D1695" s="6" t="n">
        <f aca="false">Sens!D1689+Sens!D1691+Sens!D1693</f>
        <v>62.941</v>
      </c>
      <c r="E1695" s="6" t="n">
        <f aca="false">Sens!E1689+Sens!E1691+Sens!E1693</f>
        <v>63.712</v>
      </c>
      <c r="F1695" s="6" t="n">
        <f aca="false">Sens!F1689+Sens!F1691+Sens!F1693</f>
        <v>65.1415764563129</v>
      </c>
      <c r="G1695" s="6" t="n">
        <f aca="false">Sens!G1689+Sens!G1691+Sens!G1693</f>
        <v>67.1253610780702</v>
      </c>
      <c r="H1695" s="6" t="n">
        <f aca="false">Sens!H1689+Sens!H1691+Sens!H1693</f>
        <v>69.5768050148776</v>
      </c>
      <c r="I1695" s="6" t="n">
        <f aca="false">Sens!I1689+Sens!I1691+Sens!I1693</f>
        <v>72.4233188088189</v>
      </c>
      <c r="J1695" s="6" t="n">
        <f aca="false">Sens!J1689+Sens!J1691+Sens!J1693</f>
        <v>75.6044096678567</v>
      </c>
      <c r="K1695" s="6" t="n">
        <f aca="false">Sens!K1689+Sens!K1691+Sens!K1693</f>
        <v>79.0714397009747</v>
      </c>
    </row>
    <row r="1696" customFormat="false" ht="15" hidden="false" customHeight="false" outlineLevel="0" collapsed="false">
      <c r="A1696" s="1" t="s">
        <v>795</v>
      </c>
      <c r="B1696" s="0" t="s">
        <v>95</v>
      </c>
      <c r="D1696" s="6" t="n">
        <f aca="false">Sens!D1688+Sens!D1695</f>
        <v>281.724</v>
      </c>
      <c r="E1696" s="6" t="n">
        <f aca="false">Sens!E1688+Sens!E1695</f>
        <v>331.839</v>
      </c>
      <c r="F1696" s="6" t="n">
        <f aca="false">Sens!F1688+Sens!F1695</f>
        <v>404.575517363364</v>
      </c>
      <c r="G1696" s="6" t="n">
        <f aca="false">Sens!G1688+Sens!G1695</f>
        <v>491.616031959962</v>
      </c>
      <c r="H1696" s="6" t="n">
        <f aca="false">Sens!H1688+Sens!H1695</f>
        <v>585.223080296262</v>
      </c>
      <c r="I1696" s="6" t="n">
        <f aca="false">Sens!I1688+Sens!I1695</f>
        <v>670.357765753239</v>
      </c>
      <c r="J1696" s="6" t="n">
        <f aca="false">Sens!J1688+Sens!J1695</f>
        <v>751.510080578079</v>
      </c>
      <c r="K1696" s="6" t="n">
        <f aca="false">Sens!K1688+Sens!K1695</f>
        <v>829.478744576972</v>
      </c>
    </row>
    <row r="1697" customFormat="false" ht="15" hidden="false" customHeight="false" outlineLevel="0" collapsed="false">
      <c r="A1697" s="22" t="s">
        <v>796</v>
      </c>
      <c r="B1697" s="28" t="s">
        <v>95</v>
      </c>
      <c r="C1697" s="28"/>
      <c r="D1697" s="23" t="n">
        <f aca="false">(Sens!D1676+Sens!D1681+Sens!D1682+Sens!D1684+Sens!D1686-Sens!D1688)+(Sens!D1689+Sens!D1691+Sens!D1693-Sens!D1695)+(Sens!D1688-Q!L5)+(Sens!D1695-Q!L12)+(Sens!D1676-Q!L6)+(Sens!D1681-Q!L7)</f>
        <v>0</v>
      </c>
      <c r="E1697" s="23" t="n">
        <f aca="false">(Sens!E1676+Sens!E1681+Sens!E1682+Sens!E1684+Sens!E1686-Sens!E1688)+(Sens!E1689+Sens!E1691+Sens!E1693-Sens!E1695)+(Sens!E1688-Q!M5)+(Sens!E1695-Q!M12)+(Sens!E1676-Q!M6)+(Sens!E1681-Q!M7)</f>
        <v>0</v>
      </c>
      <c r="F1697" s="23" t="n">
        <f aca="false">(Sens!F1676+Sens!F1681+Sens!F1682+Sens!F1684+Sens!F1686-Sens!F1688)+(Sens!F1689+Sens!F1691+Sens!F1693-Sens!F1695)</f>
        <v>0</v>
      </c>
      <c r="G1697" s="23" t="n">
        <f aca="false">(Sens!G1676+Sens!G1681+Sens!G1682+Sens!G1684+Sens!G1686-Sens!G1688)+(Sens!G1689+Sens!G1691+Sens!G1693-Sens!G1695)</f>
        <v>0</v>
      </c>
      <c r="H1697" s="23" t="n">
        <f aca="false">(Sens!H1676+Sens!H1681+Sens!H1682+Sens!H1684+Sens!H1686-Sens!H1688)+(Sens!H1689+Sens!H1691+Sens!H1693-Sens!H1695)</f>
        <v>0</v>
      </c>
      <c r="I1697" s="23" t="n">
        <f aca="false">(Sens!I1676+Sens!I1681+Sens!I1682+Sens!I1684+Sens!I1686-Sens!I1688)+(Sens!I1689+Sens!I1691+Sens!I1693-Sens!I1695)</f>
        <v>0</v>
      </c>
      <c r="J1697" s="23" t="n">
        <f aca="false">(Sens!J1676+Sens!J1681+Sens!J1682+Sens!J1684+Sens!J1686-Sens!J1688)+(Sens!J1689+Sens!J1691+Sens!J1693-Sens!J1695)</f>
        <v>0</v>
      </c>
      <c r="K1697" s="23" t="n">
        <f aca="false">(Sens!K1676+Sens!K1681+Sens!K1682+Sens!K1684+Sens!K1686-Sens!K1688)+(Sens!K1689+Sens!K1691+Sens!K1693-Sens!K1695)</f>
        <v>0</v>
      </c>
    </row>
    <row r="1698" customFormat="false" ht="17.15" hidden="false" customHeight="false" outlineLevel="0" collapsed="false">
      <c r="A1698" s="3" t="s">
        <v>1161</v>
      </c>
    </row>
    <row r="1699" customFormat="false" ht="15" hidden="false" customHeight="false" outlineLevel="0" collapsed="false">
      <c r="A1699" s="4" t="s">
        <v>43</v>
      </c>
      <c r="B1699" s="4" t="s">
        <v>63</v>
      </c>
      <c r="C1699" s="19" t="s">
        <v>710</v>
      </c>
      <c r="D1699" s="19" t="s">
        <v>711</v>
      </c>
      <c r="E1699" s="19" t="s">
        <v>712</v>
      </c>
      <c r="F1699" s="19" t="s">
        <v>713</v>
      </c>
      <c r="G1699" s="19" t="s">
        <v>714</v>
      </c>
      <c r="H1699" s="19" t="s">
        <v>715</v>
      </c>
      <c r="I1699" s="19" t="s">
        <v>716</v>
      </c>
      <c r="J1699" s="19" t="s">
        <v>717</v>
      </c>
      <c r="K1699" s="19" t="s">
        <v>718</v>
      </c>
      <c r="L1699" s="4" t="s">
        <v>47</v>
      </c>
    </row>
    <row r="1700" customFormat="false" ht="15" hidden="false" customHeight="false" outlineLevel="0" collapsed="false">
      <c r="A1700" s="0" t="s">
        <v>783</v>
      </c>
      <c r="B1700" s="0" t="s">
        <v>95</v>
      </c>
      <c r="D1700" s="6" t="n">
        <f aca="false">Sens!D1676</f>
        <v>72.61</v>
      </c>
      <c r="E1700" s="6" t="n">
        <f aca="false">Sens!E1676</f>
        <v>101.938</v>
      </c>
      <c r="F1700" s="6" t="n">
        <f aca="false">Sens!F1676</f>
        <v>148.812368967868</v>
      </c>
      <c r="G1700" s="6" t="n">
        <f aca="false">Sens!G1676</f>
        <v>208.397514344463</v>
      </c>
      <c r="H1700" s="6" t="n">
        <f aca="false">Sens!H1676</f>
        <v>274.05759259987</v>
      </c>
      <c r="I1700" s="6" t="n">
        <f aca="false">Sens!I1676</f>
        <v>333.373091964934</v>
      </c>
      <c r="J1700" s="6" t="n">
        <f aca="false">Sens!J1676</f>
        <v>391.214773806054</v>
      </c>
      <c r="K1700" s="6" t="n">
        <f aca="false">Sens!K1676</f>
        <v>446.513235535821</v>
      </c>
    </row>
    <row r="1701" customFormat="false" ht="17.15" hidden="false" customHeight="false" outlineLevel="0" collapsed="false">
      <c r="A1701" s="0" t="s">
        <v>780</v>
      </c>
      <c r="B1701" s="0" t="s">
        <v>95</v>
      </c>
      <c r="D1701" s="6" t="n">
        <f aca="false">Sens!D1673</f>
        <v>12.9359794422418</v>
      </c>
      <c r="E1701" s="6" t="n">
        <f aca="false">Sens!E1673</f>
        <v>27.8095064661409</v>
      </c>
      <c r="F1701" s="6" t="n">
        <f aca="false">Sens!F1673</f>
        <v>58.7324192305018</v>
      </c>
      <c r="G1701" s="6" t="n">
        <f aca="false">Sens!G1673</f>
        <v>101.369089141153</v>
      </c>
      <c r="H1701" s="6" t="n">
        <f aca="false">Sens!H1673</f>
        <v>149.785610014234</v>
      </c>
      <c r="I1701" s="6" t="n">
        <f aca="false">Sens!I1673</f>
        <v>192.439389583079</v>
      </c>
      <c r="J1701" s="6" t="n">
        <f aca="false">Sens!J1673</f>
        <v>235.195906491722</v>
      </c>
      <c r="K1701" s="6" t="n">
        <f aca="false">Sens!K1673</f>
        <v>278.012858836343</v>
      </c>
    </row>
    <row r="1702" customFormat="false" ht="17.15" hidden="false" customHeight="false" outlineLevel="0" collapsed="false">
      <c r="A1702" s="0" t="s">
        <v>807</v>
      </c>
      <c r="B1702" s="0" t="s">
        <v>95</v>
      </c>
      <c r="D1702" s="6" t="n">
        <f aca="false">Sens!D1674</f>
        <v>59.6740205577583</v>
      </c>
      <c r="E1702" s="6" t="n">
        <f aca="false">Sens!E1674</f>
        <v>74.1284935338591</v>
      </c>
      <c r="F1702" s="6" t="n">
        <f aca="false">Sens!F1674</f>
        <v>90.0799497373663</v>
      </c>
      <c r="G1702" s="6" t="n">
        <f aca="false">Sens!G1674</f>
        <v>107.02842520331</v>
      </c>
      <c r="H1702" s="6" t="n">
        <f aca="false">Sens!H1674</f>
        <v>124.271982585636</v>
      </c>
      <c r="I1702" s="6" t="n">
        <f aca="false">Sens!I1674</f>
        <v>140.933702381855</v>
      </c>
      <c r="J1702" s="6" t="n">
        <f aca="false">Sens!J1674</f>
        <v>156.018867314332</v>
      </c>
      <c r="K1702" s="6" t="n">
        <f aca="false">Sens!K1674</f>
        <v>168.500376699478</v>
      </c>
    </row>
    <row r="1703" customFormat="false" ht="15" hidden="false" customHeight="false" outlineLevel="0" collapsed="false">
      <c r="A1703" s="0" t="s">
        <v>788</v>
      </c>
      <c r="B1703" s="0" t="s">
        <v>95</v>
      </c>
      <c r="D1703" s="6" t="n">
        <f aca="false">Sens!D1681</f>
        <v>84.605</v>
      </c>
      <c r="E1703" s="6" t="n">
        <f aca="false">Sens!E1681</f>
        <v>100.299</v>
      </c>
      <c r="F1703" s="6" t="n">
        <f aca="false">Sens!F1681</f>
        <v>120.39238776686</v>
      </c>
      <c r="G1703" s="6" t="n">
        <f aca="false">Sens!G1681</f>
        <v>141.544168448684</v>
      </c>
      <c r="H1703" s="6" t="n">
        <f aca="false">Sens!H1681</f>
        <v>162.777359388781</v>
      </c>
      <c r="I1703" s="6" t="n">
        <f aca="false">Sens!I1681</f>
        <v>181.584028071957</v>
      </c>
      <c r="J1703" s="6" t="n">
        <f aca="false">Sens!J1681</f>
        <v>197.682702785465</v>
      </c>
      <c r="K1703" s="6" t="n">
        <f aca="false">Sens!K1681</f>
        <v>213.027991980448</v>
      </c>
    </row>
    <row r="1704" customFormat="false" ht="17.15" hidden="false" customHeight="false" outlineLevel="0" collapsed="false">
      <c r="A1704" s="0" t="s">
        <v>808</v>
      </c>
      <c r="B1704" s="0" t="s">
        <v>95</v>
      </c>
      <c r="D1704" s="6" t="n">
        <f aca="false">Sens!D1679</f>
        <v>83.705</v>
      </c>
      <c r="E1704" s="6" t="n">
        <f aca="false">Sens!E1679</f>
        <v>95.049</v>
      </c>
      <c r="F1704" s="6" t="n">
        <f aca="false">Sens!F1679</f>
        <v>106.89238776686</v>
      </c>
      <c r="G1704" s="6" t="n">
        <f aca="false">Sens!G1679</f>
        <v>119.044168448684</v>
      </c>
      <c r="H1704" s="6" t="n">
        <f aca="false">Sens!H1679</f>
        <v>131.277359388781</v>
      </c>
      <c r="I1704" s="6" t="n">
        <f aca="false">Sens!I1679</f>
        <v>143.334028071957</v>
      </c>
      <c r="J1704" s="6" t="n">
        <f aca="false">Sens!J1679</f>
        <v>154.932702785465</v>
      </c>
      <c r="K1704" s="6" t="n">
        <f aca="false">Sens!K1679</f>
        <v>165.777991980448</v>
      </c>
    </row>
    <row r="1705" customFormat="false" ht="17.15" hidden="false" customHeight="false" outlineLevel="0" collapsed="false">
      <c r="A1705" s="0" t="s">
        <v>809</v>
      </c>
      <c r="B1705" s="0" t="s">
        <v>95</v>
      </c>
      <c r="D1705" s="6" t="n">
        <f aca="false">Sens!D1678</f>
        <v>0.9</v>
      </c>
      <c r="E1705" s="6" t="n">
        <f aca="false">Sens!E1678</f>
        <v>5.25</v>
      </c>
      <c r="F1705" s="6" t="n">
        <f aca="false">Sens!F1678</f>
        <v>13.5</v>
      </c>
      <c r="G1705" s="6" t="n">
        <f aca="false">Sens!G1678</f>
        <v>22.5</v>
      </c>
      <c r="H1705" s="6" t="n">
        <f aca="false">Sens!H1678</f>
        <v>31.5</v>
      </c>
      <c r="I1705" s="6" t="n">
        <f aca="false">Sens!I1678</f>
        <v>38.25</v>
      </c>
      <c r="J1705" s="6" t="n">
        <f aca="false">Sens!J1678</f>
        <v>42.75</v>
      </c>
      <c r="K1705" s="6" t="n">
        <f aca="false">Sens!K1678</f>
        <v>47.25</v>
      </c>
    </row>
    <row r="1706" customFormat="false" ht="15" hidden="false" customHeight="false" outlineLevel="0" collapsed="false">
      <c r="A1706" s="0" t="s">
        <v>789</v>
      </c>
      <c r="B1706" s="0" t="s">
        <v>95</v>
      </c>
      <c r="D1706" s="6" t="n">
        <f aca="false">Sens!D1682</f>
        <v>35.391</v>
      </c>
      <c r="E1706" s="6" t="n">
        <f aca="false">Sens!E1682</f>
        <v>37.285</v>
      </c>
      <c r="F1706" s="6" t="n">
        <f aca="false">Sens!F1682</f>
        <v>39.0720834331704</v>
      </c>
      <c r="G1706" s="6" t="n">
        <f aca="false">Sens!G1682</f>
        <v>40.726562953769</v>
      </c>
      <c r="H1706" s="6" t="n">
        <f aca="false">Sens!H1682</f>
        <v>42.2235987259198</v>
      </c>
      <c r="I1706" s="6" t="n">
        <f aca="false">Sens!I1682</f>
        <v>43.5397988077414</v>
      </c>
      <c r="J1706" s="6" t="n">
        <f aca="false">Sens!J1682</f>
        <v>44.653811225693</v>
      </c>
      <c r="K1706" s="6" t="n">
        <f aca="false">Sens!K1682</f>
        <v>45.5468874502068</v>
      </c>
    </row>
    <row r="1707" customFormat="false" ht="15" hidden="false" customHeight="false" outlineLevel="0" collapsed="false">
      <c r="A1707" s="0" t="s">
        <v>790</v>
      </c>
      <c r="B1707" s="0" t="s">
        <v>95</v>
      </c>
      <c r="D1707" s="6" t="n">
        <f aca="false">Sens!D1684</f>
        <v>18.417</v>
      </c>
      <c r="E1707" s="6" t="n">
        <f aca="false">Sens!E1684</f>
        <v>20.345</v>
      </c>
      <c r="F1707" s="6" t="n">
        <f aca="false">Sens!F1684</f>
        <v>22.3572203267814</v>
      </c>
      <c r="G1707" s="6" t="n">
        <f aca="false">Sens!G1684</f>
        <v>24.4392124437232</v>
      </c>
      <c r="H1707" s="6" t="n">
        <f aca="false">Sens!H1684</f>
        <v>26.5738052080665</v>
      </c>
      <c r="I1707" s="6" t="n">
        <f aca="false">Sens!I1684</f>
        <v>28.7412169166967</v>
      </c>
      <c r="J1707" s="6" t="n">
        <f aca="false">Sens!J1684</f>
        <v>30.9192545395413</v>
      </c>
      <c r="K1707" s="6" t="n">
        <f aca="false">Sens!K1684</f>
        <v>33.0836023573092</v>
      </c>
    </row>
    <row r="1708" customFormat="false" ht="15" hidden="false" customHeight="false" outlineLevel="0" collapsed="false">
      <c r="A1708" s="0" t="s">
        <v>791</v>
      </c>
      <c r="B1708" s="0" t="s">
        <v>95</v>
      </c>
      <c r="D1708" s="6" t="n">
        <f aca="false">Sens!D1686</f>
        <v>7.76</v>
      </c>
      <c r="E1708" s="6" t="n">
        <f aca="false">Sens!E1686</f>
        <v>8.26</v>
      </c>
      <c r="F1708" s="6" t="n">
        <f aca="false">Sens!F1686</f>
        <v>8.79988041237113</v>
      </c>
      <c r="G1708" s="6" t="n">
        <f aca="false">Sens!G1686</f>
        <v>9.38321269125306</v>
      </c>
      <c r="H1708" s="6" t="n">
        <f aca="false">Sens!H1686</f>
        <v>10.0139193587476</v>
      </c>
      <c r="I1708" s="6" t="n">
        <f aca="false">Sens!I1686</f>
        <v>10.6963111830911</v>
      </c>
      <c r="J1708" s="6" t="n">
        <f aca="false">Sens!J1686</f>
        <v>11.4351285534696</v>
      </c>
      <c r="K1708" s="6" t="n">
        <f aca="false">Sens!K1686</f>
        <v>12.2355875522124</v>
      </c>
    </row>
    <row r="1709" customFormat="false" ht="15" hidden="false" customHeight="false" outlineLevel="0" collapsed="false">
      <c r="A1709" s="0" t="s">
        <v>626</v>
      </c>
      <c r="B1709" s="0" t="s">
        <v>95</v>
      </c>
      <c r="D1709" s="6" t="n">
        <f aca="false">Sens!D1688</f>
        <v>218.783</v>
      </c>
      <c r="E1709" s="6" t="n">
        <f aca="false">Sens!E1688</f>
        <v>268.127</v>
      </c>
      <c r="F1709" s="6" t="n">
        <f aca="false">Sens!F1688</f>
        <v>339.433940907051</v>
      </c>
      <c r="G1709" s="6" t="n">
        <f aca="false">Sens!G1688</f>
        <v>424.490670881892</v>
      </c>
      <c r="H1709" s="6" t="n">
        <f aca="false">Sens!H1688</f>
        <v>515.646275281385</v>
      </c>
      <c r="I1709" s="6" t="n">
        <f aca="false">Sens!I1688</f>
        <v>597.93444694442</v>
      </c>
      <c r="J1709" s="6" t="n">
        <f aca="false">Sens!J1688</f>
        <v>675.905670910223</v>
      </c>
      <c r="K1709" s="6" t="n">
        <f aca="false">Sens!K1688</f>
        <v>750.407304875998</v>
      </c>
    </row>
    <row r="1710" customFormat="false" ht="15" hidden="false" customHeight="false" outlineLevel="0" collapsed="false">
      <c r="A1710" s="0" t="s">
        <v>792</v>
      </c>
      <c r="B1710" s="0" t="s">
        <v>95</v>
      </c>
      <c r="D1710" s="6" t="n">
        <f aca="false">Sens!D1689</f>
        <v>22.171</v>
      </c>
      <c r="E1710" s="6" t="n">
        <f aca="false">Sens!E1689</f>
        <v>24.835</v>
      </c>
      <c r="F1710" s="6" t="n">
        <f aca="false">Sens!F1689</f>
        <v>27.6114901218559</v>
      </c>
      <c r="G1710" s="6" t="n">
        <f aca="false">Sens!G1689</f>
        <v>30.4675667338515</v>
      </c>
      <c r="H1710" s="6" t="n">
        <f aca="false">Sens!H1689</f>
        <v>33.3643766955789</v>
      </c>
      <c r="I1710" s="6" t="n">
        <f aca="false">Sens!I1689</f>
        <v>36.2577016533691</v>
      </c>
      <c r="J1710" s="6" t="n">
        <f aca="false">Sens!J1689</f>
        <v>39.0988367952171</v>
      </c>
      <c r="K1710" s="6" t="n">
        <f aca="false">Sens!K1689</f>
        <v>41.8357553708823</v>
      </c>
    </row>
    <row r="1711" customFormat="false" ht="15" hidden="false" customHeight="false" outlineLevel="0" collapsed="false">
      <c r="A1711" s="0" t="s">
        <v>793</v>
      </c>
      <c r="B1711" s="0" t="s">
        <v>95</v>
      </c>
      <c r="D1711" s="6" t="n">
        <f aca="false">Sens!D1691</f>
        <v>23.455</v>
      </c>
      <c r="E1711" s="6" t="n">
        <f aca="false">Sens!E1691</f>
        <v>21.79</v>
      </c>
      <c r="F1711" s="6" t="n">
        <f aca="false">Sens!F1691</f>
        <v>20.5736277908051</v>
      </c>
      <c r="G1711" s="6" t="n">
        <f aca="false">Sens!G1691</f>
        <v>19.7371452817919</v>
      </c>
      <c r="H1711" s="6" t="n">
        <f aca="false">Sens!H1691</f>
        <v>19.2339764043138</v>
      </c>
      <c r="I1711" s="6" t="n">
        <f aca="false">Sens!I1691</f>
        <v>19.0353086852681</v>
      </c>
      <c r="J1711" s="6" t="n">
        <f aca="false">Sens!J1691</f>
        <v>19.1273539319129</v>
      </c>
      <c r="K1711" s="6" t="n">
        <f aca="false">Sens!K1691</f>
        <v>19.5099010105511</v>
      </c>
    </row>
    <row r="1712" customFormat="false" ht="15" hidden="false" customHeight="false" outlineLevel="0" collapsed="false">
      <c r="A1712" s="0" t="s">
        <v>794</v>
      </c>
      <c r="B1712" s="0" t="s">
        <v>95</v>
      </c>
      <c r="D1712" s="6" t="n">
        <f aca="false">Sens!D1693</f>
        <v>17.315</v>
      </c>
      <c r="E1712" s="6" t="n">
        <f aca="false">Sens!E1693</f>
        <v>17.087</v>
      </c>
      <c r="F1712" s="6" t="n">
        <f aca="false">Sens!F1693</f>
        <v>16.9564585436519</v>
      </c>
      <c r="G1712" s="6" t="n">
        <f aca="false">Sens!G1693</f>
        <v>16.9206490624268</v>
      </c>
      <c r="H1712" s="6" t="n">
        <f aca="false">Sens!H1693</f>
        <v>16.9784519149849</v>
      </c>
      <c r="I1712" s="6" t="n">
        <f aca="false">Sens!I1693</f>
        <v>17.1303084701817</v>
      </c>
      <c r="J1712" s="6" t="n">
        <f aca="false">Sens!J1693</f>
        <v>17.3782189407267</v>
      </c>
      <c r="K1712" s="6" t="n">
        <f aca="false">Sens!K1693</f>
        <v>17.7257833195413</v>
      </c>
    </row>
    <row r="1713" customFormat="false" ht="15" hidden="false" customHeight="false" outlineLevel="0" collapsed="false">
      <c r="A1713" s="0" t="s">
        <v>640</v>
      </c>
      <c r="B1713" s="0" t="s">
        <v>95</v>
      </c>
      <c r="D1713" s="6" t="n">
        <f aca="false">Sens!D1695</f>
        <v>62.941</v>
      </c>
      <c r="E1713" s="6" t="n">
        <f aca="false">Sens!E1695</f>
        <v>63.712</v>
      </c>
      <c r="F1713" s="6" t="n">
        <f aca="false">Sens!F1695</f>
        <v>65.1415764563129</v>
      </c>
      <c r="G1713" s="6" t="n">
        <f aca="false">Sens!G1695</f>
        <v>67.1253610780702</v>
      </c>
      <c r="H1713" s="6" t="n">
        <f aca="false">Sens!H1695</f>
        <v>69.5768050148776</v>
      </c>
      <c r="I1713" s="6" t="n">
        <f aca="false">Sens!I1695</f>
        <v>72.4233188088189</v>
      </c>
      <c r="J1713" s="6" t="n">
        <f aca="false">Sens!J1695</f>
        <v>75.6044096678567</v>
      </c>
      <c r="K1713" s="6" t="n">
        <f aca="false">Sens!K1695</f>
        <v>79.0714397009747</v>
      </c>
    </row>
    <row r="1714" customFormat="false" ht="15" hidden="false" customHeight="false" outlineLevel="0" collapsed="false">
      <c r="A1714" s="1" t="s">
        <v>810</v>
      </c>
      <c r="B1714" s="0" t="s">
        <v>95</v>
      </c>
      <c r="D1714" s="6" t="n">
        <f aca="false">Sens!D1696</f>
        <v>281.724</v>
      </c>
      <c r="E1714" s="6" t="n">
        <f aca="false">Sens!E1696</f>
        <v>331.839</v>
      </c>
      <c r="F1714" s="6" t="n">
        <f aca="false">Sens!F1696</f>
        <v>404.575517363364</v>
      </c>
      <c r="G1714" s="6" t="n">
        <f aca="false">Sens!G1696</f>
        <v>491.616031959962</v>
      </c>
      <c r="H1714" s="6" t="n">
        <f aca="false">Sens!H1696</f>
        <v>585.223080296262</v>
      </c>
      <c r="I1714" s="6" t="n">
        <f aca="false">Sens!I1696</f>
        <v>670.357765753239</v>
      </c>
      <c r="J1714" s="6" t="n">
        <f aca="false">Sens!J1696</f>
        <v>751.510080578079</v>
      </c>
      <c r="K1714" s="6" t="n">
        <f aca="false">Sens!K1696</f>
        <v>829.478744576972</v>
      </c>
    </row>
    <row r="1715" customFormat="false" ht="15" hidden="false" customHeight="false" outlineLevel="0" collapsed="false">
      <c r="A1715" s="1" t="s">
        <v>811</v>
      </c>
      <c r="B1715" s="0" t="s">
        <v>126</v>
      </c>
      <c r="E1715" s="7" t="n">
        <f aca="false">Sens!E1714/Sens!D1714-1</f>
        <v>0.177886867998467</v>
      </c>
      <c r="F1715" s="7" t="n">
        <f aca="false">Sens!F1714/Sens!E1714-1</f>
        <v>0.219192190680914</v>
      </c>
      <c r="G1715" s="7" t="n">
        <f aca="false">Sens!G1714/Sens!F1714-1</f>
        <v>0.215140340581766</v>
      </c>
      <c r="H1715" s="7" t="n">
        <f aca="false">Sens!H1714/Sens!G1714-1</f>
        <v>0.19040682616291</v>
      </c>
      <c r="I1715" s="7" t="n">
        <f aca="false">Sens!I1714/Sens!H1714-1</f>
        <v>0.14547390272762</v>
      </c>
      <c r="J1715" s="7" t="n">
        <f aca="false">Sens!J1714/Sens!I1714-1</f>
        <v>0.121058215434641</v>
      </c>
      <c r="K1715" s="7" t="n">
        <f aca="false">Sens!K1714/Sens!J1714-1</f>
        <v>0.103749325543202</v>
      </c>
    </row>
    <row r="1716" customFormat="false" ht="17.15" hidden="false" customHeight="false" outlineLevel="0" collapsed="false">
      <c r="A1716" s="22" t="s">
        <v>812</v>
      </c>
      <c r="B1716" s="28" t="s">
        <v>95</v>
      </c>
      <c r="C1716" s="28"/>
      <c r="D1716" s="23" t="n">
        <f aca="false">(Sens!D1709+Sens!D1713-Sens!D1714)+(Sens!D1701+Sens!D1702-Sens!D1700)+(Sens!D1704+Sens!D1705-Sens!D1703)+(Sens!D1714-Q!L18)</f>
        <v>0</v>
      </c>
      <c r="E1716" s="23" t="n">
        <f aca="false">(Sens!E1709+Sens!E1713-Sens!E1714)+(Sens!E1701+Sens!E1702-Sens!E1700)+(Sens!E1704+Sens!E1705-Sens!E1703)+(Sens!E1714-Q!M18)</f>
        <v>0</v>
      </c>
      <c r="F1716" s="23" t="n">
        <f aca="false">(Sens!F1709+Sens!F1713-Sens!F1714)+(Sens!F1701+Sens!F1702-Sens!F1700)+(Sens!F1704+Sens!F1705-Sens!F1703)</f>
        <v>0</v>
      </c>
      <c r="G1716" s="23" t="n">
        <f aca="false">(Sens!G1709+Sens!G1713-Sens!G1714)+(Sens!G1701+Sens!G1702-Sens!G1700)+(Sens!G1704+Sens!G1705-Sens!G1703)</f>
        <v>0</v>
      </c>
      <c r="H1716" s="23" t="n">
        <f aca="false">(Sens!H1709+Sens!H1713-Sens!H1714)+(Sens!H1701+Sens!H1702-Sens!H1700)+(Sens!H1704+Sens!H1705-Sens!H1703)</f>
        <v>0</v>
      </c>
      <c r="I1716" s="23" t="n">
        <f aca="false">(Sens!I1709+Sens!I1713-Sens!I1714)+(Sens!I1701+Sens!I1702-Sens!I1700)+(Sens!I1704+Sens!I1705-Sens!I1703)</f>
        <v>0</v>
      </c>
      <c r="J1716" s="23" t="n">
        <f aca="false">(Sens!J1709+Sens!J1713-Sens!J1714)+(Sens!J1701+Sens!J1702-Sens!J1700)+(Sens!J1704+Sens!J1705-Sens!J1703)</f>
        <v>0</v>
      </c>
      <c r="K1716" s="23" t="n">
        <f aca="false">(Sens!K1709+Sens!K1713-Sens!K1714)+(Sens!K1701+Sens!K1702-Sens!K1700)+(Sens!K1704+Sens!K1705-Sens!K1703)</f>
        <v>0</v>
      </c>
    </row>
    <row r="1717" customFormat="false" ht="17.15" hidden="false" customHeight="false" outlineLevel="0" collapsed="false">
      <c r="A1717" s="0" t="s">
        <v>813</v>
      </c>
      <c r="B1717" s="0" t="s">
        <v>126</v>
      </c>
      <c r="E1717" s="7" t="n">
        <f aca="false">(Q!M21+Sens!E1654+Sens!E1655+Sens!E1656+Sens!E1669-Sens!E1652)/(Q!M5-Sens!E1652)</f>
        <v>0.550623586919075</v>
      </c>
      <c r="F1717" s="7" t="n">
        <f aca="false">Sens!$E$1717+dm_seg</f>
        <v>0.550623586919075</v>
      </c>
      <c r="G1717" s="7" t="n">
        <f aca="false">Sens!$E$1717+dm_seg</f>
        <v>0.550623586919075</v>
      </c>
      <c r="H1717" s="7" t="n">
        <f aca="false">Sens!$E$1717+dm_seg</f>
        <v>0.550623586919075</v>
      </c>
      <c r="I1717" s="7" t="n">
        <f aca="false">Sens!$E$1717+dm_seg</f>
        <v>0.550623586919075</v>
      </c>
      <c r="J1717" s="7" t="n">
        <f aca="false">Sens!$E$1717+dm_seg</f>
        <v>0.550623586919075</v>
      </c>
      <c r="K1717" s="7" t="n">
        <f aca="false">Sens!$E$1717+dm_seg</f>
        <v>0.550623586919075</v>
      </c>
      <c r="L1717" s="11" t="s">
        <v>814</v>
      </c>
    </row>
    <row r="1718" customFormat="false" ht="17.15" hidden="false" customHeight="false" outlineLevel="0" collapsed="false">
      <c r="A1718" s="0" t="s">
        <v>654</v>
      </c>
      <c r="B1718" s="0" t="s">
        <v>95</v>
      </c>
      <c r="D1718" s="6" t="n">
        <f aca="false">Q!L21</f>
        <v>110.814</v>
      </c>
      <c r="E1718" s="6" t="n">
        <f aca="false">Q!M21</f>
        <v>136.365</v>
      </c>
      <c r="F1718" s="6" t="n">
        <f aca="false">Sens!F1717*(Sens!F1688-Sens!F1652)+Sens!F1652-(Sens!F1654+Sens!F1655+Sens!F1656)-Sens!F1669</f>
        <v>163.83199427113</v>
      </c>
      <c r="G1718" s="6" t="n">
        <f aca="false">Sens!G1717*(Sens!G1688-Sens!G1652)+Sens!G1652-(Sens!G1654+Sens!G1655+Sens!G1656)-Sens!G1669</f>
        <v>196.996276107921</v>
      </c>
      <c r="H1718" s="6" t="n">
        <f aca="false">Sens!H1717*(Sens!H1688-Sens!H1652)+Sens!H1652-(Sens!H1654+Sens!H1655+Sens!H1656)-Sens!H1669</f>
        <v>238.199879612019</v>
      </c>
      <c r="I1718" s="6" t="n">
        <f aca="false">Sens!I1717*(Sens!I1688-Sens!I1652)+Sens!I1652-(Sens!I1654+Sens!I1655+Sens!I1656)-Sens!I1669</f>
        <v>271.091144575937</v>
      </c>
      <c r="J1718" s="6" t="n">
        <f aca="false">Sens!J1717*(Sens!J1688-Sens!J1652)+Sens!J1652-(Sens!J1654+Sens!J1655+Sens!J1656)-Sens!J1669</f>
        <v>300.860891551036</v>
      </c>
      <c r="K1718" s="6" t="n">
        <f aca="false">Sens!K1717*(Sens!K1688-Sens!K1652)+Sens!K1652-(Sens!K1654+Sens!K1655+Sens!K1656)-Sens!K1669</f>
        <v>327.709738463109</v>
      </c>
      <c r="L1718" s="1" t="s">
        <v>815</v>
      </c>
    </row>
    <row r="1719" customFormat="false" ht="17.15" hidden="false" customHeight="false" outlineLevel="0" collapsed="false">
      <c r="A1719" s="0" t="s">
        <v>816</v>
      </c>
      <c r="B1719" s="0" t="s">
        <v>126</v>
      </c>
      <c r="E1719" s="7" t="n">
        <f aca="false">Q!M22/Q!M12</f>
        <v>0.296207935710698</v>
      </c>
      <c r="F1719" s="7" t="n">
        <f aca="false">Sens!$E$1719+dm_seg</f>
        <v>0.296207935710698</v>
      </c>
      <c r="G1719" s="7" t="n">
        <f aca="false">Sens!$E$1719+dm_seg</f>
        <v>0.296207935710698</v>
      </c>
      <c r="H1719" s="7" t="n">
        <f aca="false">Sens!$E$1719+dm_seg</f>
        <v>0.296207935710698</v>
      </c>
      <c r="I1719" s="7" t="n">
        <f aca="false">Sens!$E$1719+dm_seg</f>
        <v>0.296207935710698</v>
      </c>
      <c r="J1719" s="7" t="n">
        <f aca="false">Sens!$E$1719+dm_seg</f>
        <v>0.296207935710698</v>
      </c>
      <c r="K1719" s="7" t="n">
        <f aca="false">Sens!$E$1719+dm_seg</f>
        <v>0.296207935710698</v>
      </c>
      <c r="L1719" s="11" t="s">
        <v>817</v>
      </c>
    </row>
    <row r="1720" customFormat="false" ht="17.15" hidden="false" customHeight="false" outlineLevel="0" collapsed="false">
      <c r="A1720" s="0" t="s">
        <v>656</v>
      </c>
      <c r="B1720" s="0" t="s">
        <v>95</v>
      </c>
      <c r="D1720" s="6" t="n">
        <f aca="false">Q!L22</f>
        <v>17.714</v>
      </c>
      <c r="E1720" s="6" t="n">
        <f aca="false">Q!M22</f>
        <v>18.872</v>
      </c>
      <c r="F1720" s="6" t="n">
        <f aca="false">Sens!F1695*Sens!F1719</f>
        <v>19.2954518910651</v>
      </c>
      <c r="G1720" s="6" t="n">
        <f aca="false">Sens!G1695*Sens!G1719</f>
        <v>19.8830646387704</v>
      </c>
      <c r="H1720" s="6" t="n">
        <f aca="false">Sens!H1695*Sens!H1719</f>
        <v>20.6092017868026</v>
      </c>
      <c r="I1720" s="6" t="n">
        <f aca="false">Sens!I1695*Sens!I1719</f>
        <v>21.452361761678</v>
      </c>
      <c r="J1720" s="6" t="n">
        <f aca="false">Sens!J1695*Sens!J1719</f>
        <v>22.3946261183418</v>
      </c>
      <c r="K1720" s="6" t="n">
        <f aca="false">Sens!K1695*Sens!K1719</f>
        <v>23.4215879274986</v>
      </c>
    </row>
    <row r="1721" customFormat="false" ht="15" hidden="false" customHeight="false" outlineLevel="0" collapsed="false">
      <c r="A1721" s="1" t="s">
        <v>818</v>
      </c>
      <c r="B1721" s="0" t="s">
        <v>95</v>
      </c>
      <c r="D1721" s="6" t="n">
        <f aca="false">Sens!D1718+Sens!D1720</f>
        <v>128.528</v>
      </c>
      <c r="E1721" s="6" t="n">
        <f aca="false">Sens!E1718+Sens!E1720</f>
        <v>155.237</v>
      </c>
      <c r="F1721" s="6" t="n">
        <f aca="false">Sens!F1718+Sens!F1720</f>
        <v>183.127446162195</v>
      </c>
      <c r="G1721" s="6" t="n">
        <f aca="false">Sens!G1718+Sens!G1720</f>
        <v>216.879340746691</v>
      </c>
      <c r="H1721" s="6" t="n">
        <f aca="false">Sens!H1718+Sens!H1720</f>
        <v>258.809081398821</v>
      </c>
      <c r="I1721" s="6" t="n">
        <f aca="false">Sens!I1718+Sens!I1720</f>
        <v>292.543506337615</v>
      </c>
      <c r="J1721" s="6" t="n">
        <f aca="false">Sens!J1718+Sens!J1720</f>
        <v>323.255517669377</v>
      </c>
      <c r="K1721" s="6" t="n">
        <f aca="false">Sens!K1718+Sens!K1720</f>
        <v>351.131326390608</v>
      </c>
    </row>
    <row r="1722" customFormat="false" ht="15" hidden="false" customHeight="false" outlineLevel="0" collapsed="false">
      <c r="A1722" s="22" t="s">
        <v>819</v>
      </c>
      <c r="B1722" s="28" t="s">
        <v>95</v>
      </c>
      <c r="C1722" s="28"/>
      <c r="D1722" s="23" t="n">
        <f aca="false">Sens!D1721-Q!L23</f>
        <v>0</v>
      </c>
      <c r="E1722" s="23" t="n">
        <f aca="false">Sens!E1721-Q!M23</f>
        <v>0</v>
      </c>
      <c r="F1722" s="28"/>
      <c r="G1722" s="28"/>
      <c r="H1722" s="28"/>
      <c r="I1722" s="28"/>
      <c r="J1722" s="28"/>
      <c r="K1722" s="28"/>
    </row>
    <row r="1723" customFormat="false" ht="15" hidden="false" customHeight="false" outlineLevel="0" collapsed="false">
      <c r="A1723" s="1" t="s">
        <v>820</v>
      </c>
      <c r="B1723" s="0" t="s">
        <v>126</v>
      </c>
      <c r="D1723" s="7" t="n">
        <f aca="false">Sens!D1721/Sens!D1714</f>
        <v>0.456219562408598</v>
      </c>
      <c r="E1723" s="7" t="n">
        <f aca="false">Sens!E1721/Sens!E1714</f>
        <v>0.467808184089272</v>
      </c>
      <c r="F1723" s="7" t="n">
        <f aca="false">Sens!F1721/Sens!F1714</f>
        <v>0.45264094910054</v>
      </c>
      <c r="G1723" s="7" t="n">
        <f aca="false">Sens!G1721/Sens!G1714</f>
        <v>0.441155956371158</v>
      </c>
      <c r="H1723" s="7" t="n">
        <f aca="false">Sens!H1721/Sens!H1714</f>
        <v>0.442240045057352</v>
      </c>
      <c r="I1723" s="7" t="n">
        <f aca="false">Sens!I1721/Sens!I1714</f>
        <v>0.436399071186864</v>
      </c>
      <c r="J1723" s="7" t="n">
        <f aca="false">Sens!J1721/Sens!J1714</f>
        <v>0.430141292876234</v>
      </c>
      <c r="K1723" s="7" t="n">
        <f aca="false">Sens!K1721/Sens!K1714</f>
        <v>0.42331564092059</v>
      </c>
    </row>
    <row r="1724" customFormat="false" ht="17.15" hidden="false" customHeight="false" outlineLevel="0" collapsed="false">
      <c r="A1724" s="1" t="s">
        <v>821</v>
      </c>
      <c r="B1724" s="0" t="s">
        <v>95</v>
      </c>
      <c r="E1724" s="6" t="n">
        <f aca="false">Sens!E1669</f>
        <v>13.0443247816667</v>
      </c>
      <c r="F1724" s="6" t="n">
        <f aca="false">Sens!F1669</f>
        <v>30.5902725775365</v>
      </c>
      <c r="G1724" s="6" t="n">
        <f aca="false">Sens!G1669</f>
        <v>54.0010750339529</v>
      </c>
      <c r="H1724" s="6" t="n">
        <f aca="false">Sens!H1669</f>
        <v>75.7895412201929</v>
      </c>
      <c r="I1724" s="6" t="n">
        <f aca="false">Sens!I1669</f>
        <v>98.3934338185796</v>
      </c>
      <c r="J1724" s="6" t="n">
        <f aca="false">Sens!J1669</f>
        <v>121.7751107923</v>
      </c>
      <c r="K1724" s="6" t="n">
        <f aca="false">Sens!K1669</f>
        <v>146.186826533353</v>
      </c>
    </row>
    <row r="1725" customFormat="false" ht="17.15" hidden="false" customHeight="false" outlineLevel="0" collapsed="false">
      <c r="A1725" s="1" t="s">
        <v>822</v>
      </c>
      <c r="B1725" s="0" t="s">
        <v>95</v>
      </c>
      <c r="E1725" s="6" t="n">
        <f aca="false">Sens!E1745</f>
        <v>25.4896752183333</v>
      </c>
      <c r="F1725" s="6" t="n">
        <f aca="false">Sens!F1745</f>
        <v>26.5136424194562</v>
      </c>
      <c r="G1725" s="6" t="n">
        <f aca="false">Sens!G1745</f>
        <v>28.0225675345495</v>
      </c>
      <c r="H1725" s="6" t="n">
        <f aca="false">Sens!H1745</f>
        <v>29.9764621455036</v>
      </c>
      <c r="I1725" s="6" t="n">
        <f aca="false">Sens!I1745</f>
        <v>32.2961559621176</v>
      </c>
      <c r="J1725" s="6" t="n">
        <f aca="false">Sens!J1745</f>
        <v>34.8871316909432</v>
      </c>
      <c r="K1725" s="6" t="n">
        <f aca="false">Sens!K1745</f>
        <v>37.6627887960483</v>
      </c>
    </row>
    <row r="1726" customFormat="false" ht="17.15" hidden="false" customHeight="false" outlineLevel="0" collapsed="false">
      <c r="A1726" s="1" t="s">
        <v>823</v>
      </c>
      <c r="B1726" s="0" t="s">
        <v>95</v>
      </c>
      <c r="D1726" s="6" t="n">
        <f aca="false">Q!L27</f>
        <v>-4.901</v>
      </c>
      <c r="E1726" s="6" t="n">
        <f aca="false">Q!M27</f>
        <v>10.697</v>
      </c>
      <c r="F1726" s="6" t="n">
        <f aca="false">oie_f</f>
        <v>-0.4</v>
      </c>
      <c r="G1726" s="6" t="n">
        <f aca="false">oie_f</f>
        <v>-0.4</v>
      </c>
      <c r="H1726" s="6" t="n">
        <f aca="false">oie_f</f>
        <v>-0.4</v>
      </c>
      <c r="I1726" s="6" t="n">
        <f aca="false">oie_f</f>
        <v>-0.4</v>
      </c>
      <c r="J1726" s="6" t="n">
        <f aca="false">oie_f</f>
        <v>-0.4</v>
      </c>
      <c r="K1726" s="6" t="n">
        <f aca="false">oie_f</f>
        <v>-0.4</v>
      </c>
      <c r="L1726" s="11" t="s">
        <v>824</v>
      </c>
    </row>
    <row r="1727" customFormat="false" ht="15" hidden="false" customHeight="false" outlineLevel="0" collapsed="false">
      <c r="A1727" s="1" t="s">
        <v>666</v>
      </c>
      <c r="B1727" s="0" t="s">
        <v>95</v>
      </c>
      <c r="D1727" s="6" t="n">
        <f aca="false">Sens!D1721+Sens!D1726</f>
        <v>123.627</v>
      </c>
      <c r="E1727" s="6" t="n">
        <f aca="false">Sens!E1721+Sens!E1726</f>
        <v>165.934</v>
      </c>
      <c r="F1727" s="6" t="n">
        <f aca="false">Sens!F1721+Sens!F1726</f>
        <v>182.727446162195</v>
      </c>
      <c r="G1727" s="6" t="n">
        <f aca="false">Sens!G1721+Sens!G1726</f>
        <v>216.479340746691</v>
      </c>
      <c r="H1727" s="6" t="n">
        <f aca="false">Sens!H1721+Sens!H1726</f>
        <v>258.409081398821</v>
      </c>
      <c r="I1727" s="6" t="n">
        <f aca="false">Sens!I1721+Sens!I1726</f>
        <v>292.143506337615</v>
      </c>
      <c r="J1727" s="6" t="n">
        <f aca="false">Sens!J1721+Sens!J1726</f>
        <v>322.855517669378</v>
      </c>
      <c r="K1727" s="6" t="n">
        <f aca="false">Sens!K1721+Sens!K1726</f>
        <v>350.731326390608</v>
      </c>
    </row>
    <row r="1728" customFormat="false" ht="15" hidden="false" customHeight="false" outlineLevel="0" collapsed="false">
      <c r="A1728" s="1" t="s">
        <v>668</v>
      </c>
      <c r="B1728" s="0" t="s">
        <v>95</v>
      </c>
      <c r="D1728" s="6" t="n">
        <f aca="false">Q!L29</f>
        <v>21.795</v>
      </c>
      <c r="E1728" s="6" t="n">
        <f aca="false">Q!M29</f>
        <v>32.185</v>
      </c>
      <c r="F1728" s="6" t="n">
        <f aca="false">Sens!F1727*tax_f</f>
        <v>36.545489232439</v>
      </c>
      <c r="G1728" s="6" t="n">
        <f aca="false">Sens!G1727*tax_f</f>
        <v>43.2958681493382</v>
      </c>
      <c r="H1728" s="6" t="n">
        <f aca="false">Sens!H1727*tax_f</f>
        <v>51.6818162797643</v>
      </c>
      <c r="I1728" s="6" t="n">
        <f aca="false">Sens!I1727*tax_f</f>
        <v>58.4287012675229</v>
      </c>
      <c r="J1728" s="6" t="n">
        <f aca="false">Sens!J1727*tax_f</f>
        <v>64.5711035338755</v>
      </c>
      <c r="K1728" s="6" t="n">
        <f aca="false">Sens!K1727*tax_f</f>
        <v>70.1462652781215</v>
      </c>
    </row>
    <row r="1729" customFormat="false" ht="15" hidden="false" customHeight="false" outlineLevel="0" collapsed="false">
      <c r="A1729" s="1" t="s">
        <v>825</v>
      </c>
      <c r="B1729" s="0" t="s">
        <v>95</v>
      </c>
      <c r="D1729" s="6" t="n">
        <f aca="false">Sens!D1727-Sens!D1728</f>
        <v>101.832</v>
      </c>
      <c r="E1729" s="6" t="n">
        <f aca="false">Sens!E1727-Sens!E1728</f>
        <v>133.749</v>
      </c>
      <c r="F1729" s="6" t="n">
        <f aca="false">Sens!F1727-Sens!F1728</f>
        <v>146.181956929756</v>
      </c>
      <c r="G1729" s="6" t="n">
        <f aca="false">Sens!G1727-Sens!G1728</f>
        <v>173.183472597353</v>
      </c>
      <c r="H1729" s="6" t="n">
        <f aca="false">Sens!H1727-Sens!H1728</f>
        <v>206.727265119057</v>
      </c>
      <c r="I1729" s="6" t="n">
        <f aca="false">Sens!I1727-Sens!I1728</f>
        <v>233.714805070092</v>
      </c>
      <c r="J1729" s="6" t="n">
        <f aca="false">Sens!J1727-Sens!J1728</f>
        <v>258.284414135502</v>
      </c>
      <c r="K1729" s="6" t="n">
        <f aca="false">Sens!K1727-Sens!K1728</f>
        <v>280.585061112486</v>
      </c>
    </row>
    <row r="1730" customFormat="false" ht="17.15" hidden="false" customHeight="false" outlineLevel="0" collapsed="false">
      <c r="A1730" s="1" t="s">
        <v>826</v>
      </c>
      <c r="B1730" s="1" t="s">
        <v>79</v>
      </c>
      <c r="D1730" s="18" t="n">
        <f aca="false">Q!L31</f>
        <v>7.465</v>
      </c>
      <c r="E1730" s="18" t="n">
        <f aca="false">Q!M31</f>
        <v>7.453</v>
      </c>
      <c r="F1730" s="18" t="n">
        <f aca="false">Sens!F1767</f>
        <v>7.4735</v>
      </c>
      <c r="G1730" s="18" t="n">
        <f aca="false">Sens!G1767</f>
        <v>7.49987171271795</v>
      </c>
      <c r="H1730" s="18" t="n">
        <f aca="false">Sens!H1767</f>
        <v>7.50899501128585</v>
      </c>
      <c r="I1730" s="18" t="n">
        <f aca="false">Sens!I1767</f>
        <v>7.52077584329316</v>
      </c>
      <c r="J1730" s="18" t="n">
        <f aca="false">Sens!J1767</f>
        <v>7.53501735441104</v>
      </c>
      <c r="K1730" s="18" t="n">
        <f aca="false">Sens!K1767</f>
        <v>7.55153727211278</v>
      </c>
    </row>
    <row r="1731" customFormat="false" ht="17.15" hidden="false" customHeight="false" outlineLevel="0" collapsed="false">
      <c r="A1731" s="0" t="s">
        <v>827</v>
      </c>
      <c r="B1731" s="0" t="s">
        <v>73</v>
      </c>
      <c r="D1731" s="8" t="n">
        <f aca="false">Sens!D1729/Sens!D1730</f>
        <v>13.641259209645</v>
      </c>
      <c r="E1731" s="8" t="n">
        <f aca="false">Sens!E1729/Sens!E1730</f>
        <v>17.9456594659869</v>
      </c>
      <c r="F1731" s="8" t="n">
        <f aca="false">Sens!F1729/Sens!F1730</f>
        <v>19.560039731017</v>
      </c>
      <c r="G1731" s="8" t="n">
        <f aca="false">Sens!G1729/Sens!G1730</f>
        <v>23.0915246595053</v>
      </c>
      <c r="H1731" s="8" t="n">
        <f aca="false">Sens!H1729/Sens!H1730</f>
        <v>27.5306169212193</v>
      </c>
      <c r="I1731" s="8" t="n">
        <f aca="false">Sens!I1729/Sens!I1730</f>
        <v>31.0758902990724</v>
      </c>
      <c r="J1731" s="8" t="n">
        <f aca="false">Sens!J1729/Sens!J1730</f>
        <v>34.2778791324616</v>
      </c>
      <c r="K1731" s="8" t="n">
        <f aca="false">Sens!K1729/Sens!K1730</f>
        <v>37.1560188345576</v>
      </c>
      <c r="L1731" s="1" t="s">
        <v>828</v>
      </c>
    </row>
    <row r="1732" customFormat="false" ht="17.15" hidden="false" customHeight="false" outlineLevel="0" collapsed="false">
      <c r="A1732" s="0" t="s">
        <v>829</v>
      </c>
      <c r="B1732" s="0" t="s">
        <v>126</v>
      </c>
      <c r="E1732" s="7" t="n">
        <f aca="false">Sens!E1731/Sens!D1731-1</f>
        <v>0.315542736208578</v>
      </c>
      <c r="F1732" s="7" t="n">
        <f aca="false">Sens!F1731/Sens!E1731-1</f>
        <v>0.089959372520692</v>
      </c>
      <c r="G1732" s="7" t="n">
        <f aca="false">Sens!G1731/Sens!F1731-1</f>
        <v>0.180545897505938</v>
      </c>
      <c r="H1732" s="7" t="n">
        <f aca="false">Sens!H1731/Sens!G1731-1</f>
        <v>0.192239028265578</v>
      </c>
      <c r="I1732" s="7" t="n">
        <f aca="false">Sens!I1731/Sens!H1731-1</f>
        <v>0.128775660494574</v>
      </c>
      <c r="J1732" s="7" t="n">
        <f aca="false">Sens!J1731/Sens!I1731-1</f>
        <v>0.103037718391122</v>
      </c>
      <c r="K1732" s="7" t="n">
        <f aca="false">Sens!K1731/Sens!J1731-1</f>
        <v>0.0839649294220881</v>
      </c>
    </row>
    <row r="1733" customFormat="false" ht="17.15" hidden="false" customHeight="false" outlineLevel="0" collapsed="false">
      <c r="A1733" s="0" t="s">
        <v>763</v>
      </c>
      <c r="B1733" s="0" t="s">
        <v>95</v>
      </c>
      <c r="E1733" s="6" t="n">
        <f aca="false">Sens!E1678</f>
        <v>5.25</v>
      </c>
      <c r="F1733" s="6" t="n">
        <f aca="false">Sens!F1678</f>
        <v>13.5</v>
      </c>
      <c r="G1733" s="6" t="n">
        <f aca="false">Sens!G1678</f>
        <v>22.5</v>
      </c>
      <c r="H1733" s="6" t="n">
        <f aca="false">Sens!H1678</f>
        <v>31.5</v>
      </c>
      <c r="I1733" s="6" t="n">
        <f aca="false">Sens!I1678</f>
        <v>38.25</v>
      </c>
      <c r="J1733" s="6" t="n">
        <f aca="false">Sens!J1678</f>
        <v>42.75</v>
      </c>
      <c r="K1733" s="6" t="n">
        <f aca="false">Sens!K1678</f>
        <v>47.25</v>
      </c>
    </row>
    <row r="1734" customFormat="false" ht="17.15" hidden="false" customHeight="false" outlineLevel="0" collapsed="false">
      <c r="A1734" s="0" t="s">
        <v>764</v>
      </c>
      <c r="B1734" s="0" t="s">
        <v>95</v>
      </c>
      <c r="E1734" s="6" t="n">
        <f aca="false">Sens!E1658+Sens!E1733*Sens!E1717-Sens!E1659-Sens!E1669</f>
        <v>6.93129354230991</v>
      </c>
      <c r="F1734" s="6" t="n">
        <f aca="false">Sens!F1658+Sens!F1733*Sens!F1717-Sens!F1659-Sens!F1669</f>
        <v>16.7045339753533</v>
      </c>
      <c r="G1734" s="6" t="n">
        <f aca="false">Sens!G1658+Sens!G1733*Sens!G1717-Sens!G1659-Sens!G1669</f>
        <v>31.466942464549</v>
      </c>
      <c r="H1734" s="6" t="n">
        <f aca="false">Sens!H1658+Sens!H1733*Sens!H1717-Sens!H1659-Sens!H1669</f>
        <v>54.0930107779718</v>
      </c>
      <c r="I1734" s="6" t="n">
        <f aca="false">Sens!I1658+Sens!I1733*Sens!I1717-Sens!I1659-Sens!I1669</f>
        <v>68.8773538133334</v>
      </c>
      <c r="J1734" s="6" t="n">
        <f aca="false">Sens!J1658+Sens!J1733*Sens!J1717-Sens!J1659-Sens!J1669</f>
        <v>81.7348586174508</v>
      </c>
      <c r="K1734" s="6" t="n">
        <f aca="false">Sens!K1658+Sens!K1733*Sens!K1717-Sens!K1659-Sens!K1669</f>
        <v>93.6151786260311</v>
      </c>
    </row>
    <row r="1735" customFormat="false" ht="17.15" hidden="false" customHeight="false" outlineLevel="0" collapsed="false">
      <c r="A1735" s="0" t="s">
        <v>765</v>
      </c>
      <c r="B1735" s="0" t="s">
        <v>95</v>
      </c>
      <c r="E1735" s="6" t="n">
        <f aca="false">Sens!E1641*(cxit_open+self_build*tk_cxfac)/1000*ai_net_open</f>
        <v>101.35843056</v>
      </c>
      <c r="F1735" s="6" t="n">
        <f aca="false">Sens!E1735+Sens!F1666-Sens!F1669</f>
        <v>239.238810752901</v>
      </c>
      <c r="G1735" s="6" t="n">
        <f aca="false">Sens!F1735+Sens!G1666-Sens!G1669</f>
        <v>332.097080105508</v>
      </c>
      <c r="H1735" s="6" t="n">
        <f aca="false">Sens!G1735+Sens!H1666-Sens!H1669</f>
        <v>406.771767613635</v>
      </c>
      <c r="I1735" s="6" t="n">
        <f aca="false">Sens!H1735+Sens!I1666-Sens!I1669</f>
        <v>483.049502800709</v>
      </c>
      <c r="J1735" s="6" t="n">
        <f aca="false">Sens!I1735+Sens!J1666-Sens!J1669</f>
        <v>548.296040747396</v>
      </c>
      <c r="K1735" s="6" t="n">
        <f aca="false">Sens!J1735+Sens!K1666-Sens!K1669</f>
        <v>625.194263774363</v>
      </c>
      <c r="L1735" s="1" t="s">
        <v>766</v>
      </c>
    </row>
    <row r="1736" customFormat="false" ht="17.15" hidden="false" customHeight="false" outlineLevel="0" collapsed="false">
      <c r="A1736" s="0" t="s">
        <v>767</v>
      </c>
      <c r="B1736" s="0" t="s">
        <v>126</v>
      </c>
      <c r="F1736" s="7" t="n">
        <f aca="false">Sens!F1734*(1-tax_f)/((Sens!E1735+Sens!F1735)/2)</f>
        <v>0.0784717288300387</v>
      </c>
      <c r="G1736" s="7" t="n">
        <f aca="false">Sens!G1734*(1-tax_f)/((Sens!F1735+Sens!G1735)/2)</f>
        <v>0.0881217314522878</v>
      </c>
      <c r="H1736" s="7" t="n">
        <f aca="false">Sens!H1734*(1-tax_f)/((Sens!G1735+Sens!H1735)/2)</f>
        <v>0.117136914774425</v>
      </c>
      <c r="I1736" s="7" t="n">
        <f aca="false">Sens!I1734*(1-tax_f)/((Sens!H1735+Sens!I1735)/2)</f>
        <v>0.123849327685791</v>
      </c>
      <c r="J1736" s="7" t="n">
        <f aca="false">Sens!J1734*(1-tax_f)/((Sens!I1735+Sens!J1735)/2)</f>
        <v>0.126801123644766</v>
      </c>
      <c r="K1736" s="7" t="n">
        <f aca="false">Sens!K1734*(1-tax_f)/((Sens!J1735+Sens!K1735)/2)</f>
        <v>0.127639985796638</v>
      </c>
    </row>
    <row r="1737" customFormat="false" ht="17.15" hidden="false" customHeight="false" outlineLevel="0" collapsed="false">
      <c r="A1737" s="1" t="s">
        <v>768</v>
      </c>
      <c r="B1737" s="0" t="s">
        <v>126</v>
      </c>
      <c r="F1737" s="7" t="n">
        <f aca="false">Sens!F1670*(1-tax_f)/(Sens!F1657*(Sens!E1735+Sens!F1735)/2)</f>
        <v>0.126429829476572</v>
      </c>
      <c r="G1737" s="7" t="n">
        <f aca="false">Sens!G1670*(1-tax_f)/(Sens!G1657*(Sens!F1735+Sens!G1735)/2)</f>
        <v>0.141779514150777</v>
      </c>
      <c r="H1737" s="7" t="n">
        <f aca="false">Sens!H1670*(1-tax_f)/(Sens!H1657*(Sens!G1735+Sens!H1735)/2)</f>
        <v>0.182845168740481</v>
      </c>
      <c r="I1737" s="7" t="n">
        <f aca="false">Sens!I1670*(1-tax_f)/(Sens!I1657*(Sens!H1735+Sens!I1735)/2)</f>
        <v>0.197292986277024</v>
      </c>
      <c r="J1737" s="7" t="n">
        <f aca="false">Sens!J1670*(1-tax_f)/(Sens!J1657*(Sens!I1735+Sens!J1735)/2)</f>
        <v>0.20843304223597</v>
      </c>
      <c r="K1737" s="7" t="n">
        <f aca="false">Sens!K1670*(1-tax_f)/(Sens!K1657*(Sens!J1735+Sens!K1735)/2)</f>
        <v>0.21546511153011</v>
      </c>
    </row>
    <row r="1738" customFormat="false" ht="17.15" hidden="false" customHeight="false" outlineLevel="0" collapsed="false">
      <c r="A1738" s="0" t="s">
        <v>769</v>
      </c>
      <c r="B1738" s="0" t="s">
        <v>208</v>
      </c>
      <c r="F1738" s="7" t="n">
        <f aca="false">Sens!F1736-wacc</f>
        <v>-0.0304914923202152</v>
      </c>
      <c r="G1738" s="7" t="n">
        <f aca="false">Sens!G1736-wacc</f>
        <v>-0.0208414896979662</v>
      </c>
      <c r="H1738" s="7" t="n">
        <f aca="false">Sens!H1736-wacc</f>
        <v>0.00817369362417113</v>
      </c>
      <c r="I1738" s="7" t="n">
        <f aca="false">Sens!I1736-wacc</f>
        <v>0.0148861065355375</v>
      </c>
      <c r="J1738" s="7" t="n">
        <f aca="false">Sens!J1736-wacc</f>
        <v>0.0178379024945117</v>
      </c>
      <c r="K1738" s="7" t="n">
        <f aca="false">Sens!K1736-wacc</f>
        <v>0.0186767646463841</v>
      </c>
    </row>
    <row r="1739" customFormat="false" ht="17.15" hidden="false" customHeight="false" outlineLevel="0" collapsed="false">
      <c r="A1739" s="0" t="s">
        <v>770</v>
      </c>
      <c r="B1739" s="0" t="s">
        <v>95</v>
      </c>
      <c r="F1739" s="6" t="n">
        <f aca="false">Sens!F1734*(1-tax_f)-wacc*(Sens!E1735+Sens!F1735)/2</f>
        <v>-5.19265908388941</v>
      </c>
      <c r="G1739" s="6" t="n">
        <f aca="false">Sens!G1734*(1-tax_f)-wacc*(Sens!F1735+Sens!G1735)/2</f>
        <v>-5.95374554170193</v>
      </c>
      <c r="H1739" s="6" t="n">
        <f aca="false">Sens!H1734*(1-tax_f)-wacc*(Sens!G1735+Sens!H1735)/2</f>
        <v>3.01964379485031</v>
      </c>
      <c r="I1739" s="6" t="n">
        <f aca="false">Sens!I1734*(1-tax_f)-wacc*(Sens!H1735+Sens!I1735)/2</f>
        <v>6.62298711448763</v>
      </c>
      <c r="J1739" s="6" t="n">
        <f aca="false">Sens!J1734*(1-tax_f)-wacc*(Sens!I1735+Sens!J1735)/2</f>
        <v>9.19852062198015</v>
      </c>
      <c r="K1739" s="6" t="n">
        <f aca="false">Sens!K1734*(1-tax_f)-wacc*(Sens!J1735+Sens!K1735)/2</f>
        <v>10.9585011161833</v>
      </c>
    </row>
    <row r="1740" customFormat="false" ht="17.15" hidden="false" customHeight="false" outlineLevel="0" collapsed="false">
      <c r="A1740" s="1" t="s">
        <v>771</v>
      </c>
      <c r="B1740" s="0" t="s">
        <v>95</v>
      </c>
      <c r="F1740" s="6" t="n">
        <f aca="false">(Sens!E1642+Sens!F1642)/2*Sens!F1649/1000</f>
        <v>13.3936533382984</v>
      </c>
      <c r="G1740" s="6" t="n">
        <f aca="false">(Sens!F1642+Sens!G1642)/2*Sens!G1649/1000</f>
        <v>22.7065908798609</v>
      </c>
      <c r="H1740" s="6" t="n">
        <f aca="false">(Sens!G1642+Sens!H1642)/2*Sens!H1649/1000</f>
        <v>32.6957564678986</v>
      </c>
      <c r="I1740" s="6" t="n">
        <f aca="false">(Sens!H1642+Sens!I1642)/2*Sens!I1649/1000</f>
        <v>42.759370964465</v>
      </c>
      <c r="J1740" s="6" t="n">
        <f aca="false">(Sens!I1642+Sens!J1642)/2*Sens!J1649/1000</f>
        <v>52.8619035975029</v>
      </c>
      <c r="K1740" s="6" t="n">
        <f aca="false">(Sens!J1642+Sens!K1642)/2*Sens!K1649/1000</f>
        <v>62.9873298985075</v>
      </c>
      <c r="L1740" s="1" t="s">
        <v>772</v>
      </c>
    </row>
    <row r="1741" customFormat="false" ht="17.15" hidden="false" customHeight="false" outlineLevel="0" collapsed="false">
      <c r="A1741" s="1" t="s">
        <v>773</v>
      </c>
      <c r="B1741" s="0" t="s">
        <v>126</v>
      </c>
      <c r="F1741" s="7" t="n">
        <f aca="false">(Sens!F1658+Sens!F1740-Sens!F1659-Sens!F1669)*(1-tax_f)/((Sens!E1735+Sens!F1735)/2)</f>
        <v>0.106470710345759</v>
      </c>
      <c r="G1741" s="7" t="n">
        <f aca="false">(Sens!G1658+Sens!G1740-Sens!G1659-Sens!G1669)*(1-tax_f)/((Sens!F1735+Sens!G1735)/2)</f>
        <v>0.117015586263138</v>
      </c>
      <c r="H1741" s="7" t="n">
        <f aca="false">(Sens!H1658+Sens!H1740-Sens!H1659-Sens!H1669)*(1-tax_f)/((Sens!G1735+Sens!H1735)/2)</f>
        <v>0.150379325310121</v>
      </c>
      <c r="I1741" s="7" t="n">
        <f aca="false">(Sens!I1658+Sens!I1740-Sens!I1659-Sens!I1669)*(1-tax_f)/((Sens!H1735+Sens!I1735)/2)</f>
        <v>0.162864836954895</v>
      </c>
      <c r="J1741" s="7" t="n">
        <f aca="false">(Sens!J1658+Sens!J1740-Sens!J1659-Sens!J1669)*(1-tax_f)/((Sens!I1735+Sens!J1735)/2)</f>
        <v>0.172291592580458</v>
      </c>
      <c r="K1741" s="7" t="n">
        <f aca="false">(Sens!K1658+Sens!K1740-Sens!K1659-Sens!K1669)*(1-tax_f)/((Sens!J1735+Sens!K1735)/2)</f>
        <v>0.178047376840773</v>
      </c>
      <c r="L1741" s="1" t="s">
        <v>774</v>
      </c>
    </row>
    <row r="1742" customFormat="false" ht="17.15" hidden="false" customHeight="false" outlineLevel="0" collapsed="false">
      <c r="A1742" s="3" t="s">
        <v>1162</v>
      </c>
    </row>
    <row r="1743" customFormat="false" ht="15" hidden="false" customHeight="false" outlineLevel="0" collapsed="false">
      <c r="A1743" s="4" t="s">
        <v>43</v>
      </c>
      <c r="B1743" s="4" t="s">
        <v>63</v>
      </c>
      <c r="C1743" s="19" t="s">
        <v>710</v>
      </c>
      <c r="D1743" s="19" t="s">
        <v>711</v>
      </c>
      <c r="E1743" s="19" t="s">
        <v>712</v>
      </c>
      <c r="F1743" s="19" t="s">
        <v>713</v>
      </c>
      <c r="G1743" s="19" t="s">
        <v>714</v>
      </c>
      <c r="H1743" s="19" t="s">
        <v>715</v>
      </c>
      <c r="I1743" s="19" t="s">
        <v>716</v>
      </c>
      <c r="J1743" s="19" t="s">
        <v>717</v>
      </c>
      <c r="K1743" s="19" t="s">
        <v>718</v>
      </c>
      <c r="L1743" s="4" t="s">
        <v>47</v>
      </c>
    </row>
    <row r="1744" customFormat="false" ht="15" hidden="false" customHeight="false" outlineLevel="0" collapsed="false">
      <c r="A1744" s="1" t="s">
        <v>825</v>
      </c>
      <c r="B1744" s="0" t="s">
        <v>95</v>
      </c>
      <c r="F1744" s="6" t="n">
        <f aca="false">Sens!F1729</f>
        <v>146.181956929756</v>
      </c>
      <c r="G1744" s="6" t="n">
        <f aca="false">Sens!G1729</f>
        <v>173.183472597353</v>
      </c>
      <c r="H1744" s="6" t="n">
        <f aca="false">Sens!H1729</f>
        <v>206.727265119057</v>
      </c>
      <c r="I1744" s="6" t="n">
        <f aca="false">Sens!I1729</f>
        <v>233.714805070092</v>
      </c>
      <c r="J1744" s="6" t="n">
        <f aca="false">Sens!J1729</f>
        <v>258.284414135502</v>
      </c>
      <c r="K1744" s="6" t="n">
        <f aca="false">Sens!K1729</f>
        <v>280.585061112486</v>
      </c>
    </row>
    <row r="1745" customFormat="false" ht="17.15" hidden="false" customHeight="false" outlineLevel="0" collapsed="false">
      <c r="A1745" s="1" t="s">
        <v>843</v>
      </c>
      <c r="B1745" s="0" t="s">
        <v>95</v>
      </c>
      <c r="E1745" s="6" t="n">
        <f aca="false">Q!M38-Sens!E1669</f>
        <v>25.4896752183333</v>
      </c>
      <c r="F1745" s="6" t="n">
        <f aca="false">Sens!E1745*(1-1/life_nonai)+Sens!F1751/life_nonai</f>
        <v>26.5136424194562</v>
      </c>
      <c r="G1745" s="6" t="n">
        <f aca="false">Sens!F1745*(1-1/life_nonai)+Sens!G1751/life_nonai</f>
        <v>28.0225675345495</v>
      </c>
      <c r="H1745" s="6" t="n">
        <f aca="false">Sens!G1745*(1-1/life_nonai)+Sens!H1751/life_nonai</f>
        <v>29.9764621455036</v>
      </c>
      <c r="I1745" s="6" t="n">
        <f aca="false">Sens!H1745*(1-1/life_nonai)+Sens!I1751/life_nonai</f>
        <v>32.2961559621176</v>
      </c>
      <c r="J1745" s="6" t="n">
        <f aca="false">Sens!I1745*(1-1/life_nonai)+Sens!J1751/life_nonai</f>
        <v>34.8871316909432</v>
      </c>
      <c r="K1745" s="6" t="n">
        <f aca="false">Sens!J1745*(1-1/life_nonai)+Sens!K1751/life_nonai</f>
        <v>37.6627887960483</v>
      </c>
      <c r="L1745" s="11" t="s">
        <v>844</v>
      </c>
    </row>
    <row r="1746" customFormat="false" ht="17.15" hidden="false" customHeight="false" outlineLevel="0" collapsed="false">
      <c r="A1746" s="1" t="s">
        <v>845</v>
      </c>
      <c r="B1746" s="0" t="s">
        <v>95</v>
      </c>
      <c r="E1746" s="6" t="n">
        <f aca="false">Sens!E1669+Sens!E1745</f>
        <v>38.534</v>
      </c>
      <c r="F1746" s="6" t="n">
        <f aca="false">Sens!F1669+Sens!F1745</f>
        <v>57.1039149969927</v>
      </c>
      <c r="G1746" s="6" t="n">
        <f aca="false">Sens!G1669+Sens!G1745</f>
        <v>82.0236425685025</v>
      </c>
      <c r="H1746" s="6" t="n">
        <f aca="false">Sens!H1669+Sens!H1745</f>
        <v>105.766003365696</v>
      </c>
      <c r="I1746" s="6" t="n">
        <f aca="false">Sens!I1669+Sens!I1745</f>
        <v>130.689589780697</v>
      </c>
      <c r="J1746" s="6" t="n">
        <f aca="false">Sens!J1669+Sens!J1745</f>
        <v>156.662242483243</v>
      </c>
      <c r="K1746" s="6" t="n">
        <f aca="false">Sens!K1669+Sens!K1745</f>
        <v>183.849615329401</v>
      </c>
    </row>
    <row r="1747" customFormat="false" ht="15" hidden="false" customHeight="false" outlineLevel="0" collapsed="false">
      <c r="A1747" s="1" t="s">
        <v>685</v>
      </c>
      <c r="B1747" s="0" t="s">
        <v>95</v>
      </c>
      <c r="F1747" s="6" t="n">
        <f aca="false">Sens!F1696*sbc_r</f>
        <v>15.1240791253967</v>
      </c>
      <c r="G1747" s="6" t="n">
        <f aca="false">Sens!G1696*sbc_r</f>
        <v>18.3778786594202</v>
      </c>
      <c r="H1747" s="6" t="n">
        <f aca="false">Sens!H1696*sbc_r</f>
        <v>21.8771522065674</v>
      </c>
      <c r="I1747" s="6" t="n">
        <f aca="false">Sens!I1696*sbc_r</f>
        <v>25.059706918623</v>
      </c>
      <c r="J1747" s="6" t="n">
        <f aca="false">Sens!J1696*sbc_r</f>
        <v>28.0933903175066</v>
      </c>
      <c r="K1747" s="6" t="n">
        <f aca="false">Sens!K1696*sbc_r</f>
        <v>31.0080606151698</v>
      </c>
    </row>
    <row r="1748" customFormat="false" ht="17.15" hidden="false" customHeight="false" outlineLevel="0" collapsed="false">
      <c r="A1748" s="1" t="s">
        <v>846</v>
      </c>
      <c r="B1748" s="0" t="s">
        <v>95</v>
      </c>
      <c r="F1748" s="6" t="n">
        <f aca="false">wc27</f>
        <v>-4.895</v>
      </c>
      <c r="G1748" s="6" t="n">
        <f aca="false">0</f>
        <v>0</v>
      </c>
      <c r="H1748" s="6" t="n">
        <f aca="false">0</f>
        <v>0</v>
      </c>
      <c r="I1748" s="6" t="n">
        <f aca="false">0</f>
        <v>0</v>
      </c>
      <c r="J1748" s="6" t="n">
        <f aca="false">0</f>
        <v>0</v>
      </c>
      <c r="K1748" s="6" t="n">
        <f aca="false">0</f>
        <v>0</v>
      </c>
      <c r="L1748" s="11" t="s">
        <v>847</v>
      </c>
    </row>
    <row r="1749" customFormat="false" ht="15" hidden="false" customHeight="false" outlineLevel="0" collapsed="false">
      <c r="A1749" s="1" t="s">
        <v>678</v>
      </c>
      <c r="B1749" s="0" t="s">
        <v>95</v>
      </c>
      <c r="E1749" s="6" t="n">
        <f aca="false">Q!M35</f>
        <v>182.935</v>
      </c>
      <c r="F1749" s="6" t="n">
        <f aca="false">Sens!F1744+Sens!F1746+Sens!F1747+Sens!F1748</f>
        <v>213.514951052145</v>
      </c>
      <c r="G1749" s="6" t="n">
        <f aca="false">Sens!G1744+Sens!G1746+Sens!G1747+Sens!G1748</f>
        <v>273.584993825276</v>
      </c>
      <c r="H1749" s="6" t="n">
        <f aca="false">Sens!H1744+Sens!H1746+Sens!H1747+Sens!H1748</f>
        <v>334.370420691321</v>
      </c>
      <c r="I1749" s="6" t="n">
        <f aca="false">Sens!I1744+Sens!I1746+Sens!I1747+Sens!I1748</f>
        <v>389.464101769412</v>
      </c>
      <c r="J1749" s="6" t="n">
        <f aca="false">Sens!J1744+Sens!J1746+Sens!J1747+Sens!J1748</f>
        <v>443.040046936251</v>
      </c>
      <c r="K1749" s="6" t="n">
        <f aca="false">Sens!K1744+Sens!K1746+Sens!K1747+Sens!K1748</f>
        <v>495.442737057057</v>
      </c>
    </row>
    <row r="1750" customFormat="false" ht="17.15" hidden="false" customHeight="false" outlineLevel="0" collapsed="false">
      <c r="A1750" s="0" t="s">
        <v>848</v>
      </c>
      <c r="B1750" s="0" t="s">
        <v>95</v>
      </c>
      <c r="F1750" s="6" t="n">
        <f aca="false">Sens!F1666</f>
        <v>168.470652770438</v>
      </c>
      <c r="G1750" s="6" t="n">
        <f aca="false">Sens!G1666</f>
        <v>146.85934438656</v>
      </c>
      <c r="H1750" s="6" t="n">
        <f aca="false">Sens!H1666</f>
        <v>150.46422872832</v>
      </c>
      <c r="I1750" s="6" t="n">
        <f aca="false">Sens!I1666</f>
        <v>174.671169005653</v>
      </c>
      <c r="J1750" s="6" t="n">
        <f aca="false">Sens!J1666</f>
        <v>187.021648738987</v>
      </c>
      <c r="K1750" s="6" t="n">
        <f aca="false">Sens!K1666</f>
        <v>223.08504956032</v>
      </c>
    </row>
    <row r="1751" customFormat="false" ht="17.15" hidden="false" customHeight="false" outlineLevel="0" collapsed="false">
      <c r="A1751" s="1" t="s">
        <v>849</v>
      </c>
      <c r="B1751" s="0" t="s">
        <v>95</v>
      </c>
      <c r="E1751" s="6" t="n">
        <f aca="false">Sens!E1674*cx_azo+Sens!E1681*cx_m365+Sens!E1682*cx_lic+(Sens!E1684+Sens!E1686)*cx_ind+Sens!E1689*cx_srch+(Sens!E1691+Sens!E1693)*cx_dev</f>
        <v>30.1846587067718</v>
      </c>
      <c r="F1751" s="6" t="n">
        <f aca="false">Sens!F1674*cx_azo+Sens!F1681*cx_m365+Sens!F1682*cx_lic+(Sens!F1684+Sens!F1686)*cx_ind+Sens!F1689*cx_srch+(Sens!F1691+Sens!F1693)*cx_dev</f>
        <v>35.7293472295625</v>
      </c>
      <c r="G1751" s="6" t="n">
        <f aca="false">Sens!G1674*cx_azo+Sens!G1681*cx_m365+Sens!G1682*cx_lic+(Sens!G1684+Sens!G1686)*cx_ind+Sens!G1689*cx_srch+(Sens!G1691+Sens!G1693)*cx_dev</f>
        <v>41.6028935703892</v>
      </c>
      <c r="H1751" s="6" t="n">
        <f aca="false">Sens!H1674*cx_azo+Sens!H1681*cx_m365+Sens!H1682*cx_lic+(Sens!H1684+Sens!H1686)*cx_ind+Sens!H1689*cx_srch+(Sens!H1691+Sens!H1693)*cx_dev</f>
        <v>47.5615136440897</v>
      </c>
      <c r="I1751" s="6" t="n">
        <f aca="false">Sens!I1674*cx_azo+Sens!I1681*cx_m365+Sens!I1682*cx_lic+(Sens!I1684+Sens!I1686)*cx_ind+Sens!I1689*cx_srch+(Sens!I1691+Sens!I1693)*cx_dev</f>
        <v>53.1734003116439</v>
      </c>
      <c r="J1751" s="6" t="n">
        <f aca="false">Sens!J1674*cx_azo+Sens!J1681*cx_m365+Sens!J1682*cx_lic+(Sens!J1684+Sens!J1686)*cx_ind+Sens!J1689*cx_srch+(Sens!J1691+Sens!J1693)*cx_dev</f>
        <v>58.2059132503738</v>
      </c>
      <c r="K1751" s="6" t="n">
        <f aca="false">Sens!K1674*cx_azo+Sens!K1681*cx_m365+Sens!K1682*cx_lic+(Sens!K1684+Sens!K1686)*cx_ind+Sens!K1689*cx_srch+(Sens!K1691+Sens!K1693)*cx_dev</f>
        <v>62.643702741994</v>
      </c>
    </row>
    <row r="1752" customFormat="false" ht="17.15" hidden="false" customHeight="false" outlineLevel="0" collapsed="false">
      <c r="A1752" s="1" t="s">
        <v>850</v>
      </c>
      <c r="B1752" s="0" t="s">
        <v>95</v>
      </c>
      <c r="E1752" s="6" t="n">
        <f aca="false">Q!M42</f>
        <v>145.3</v>
      </c>
      <c r="F1752" s="6" t="n">
        <f aca="false">Sens!F1750+Sens!F1751</f>
        <v>204.2</v>
      </c>
      <c r="G1752" s="6" t="n">
        <f aca="false">Sens!G1750+Sens!G1751</f>
        <v>188.462237956949</v>
      </c>
      <c r="H1752" s="6" t="n">
        <f aca="false">Sens!H1750+Sens!H1751</f>
        <v>198.02574237241</v>
      </c>
      <c r="I1752" s="6" t="n">
        <f aca="false">Sens!I1750+Sens!I1751</f>
        <v>227.844569317297</v>
      </c>
      <c r="J1752" s="6" t="n">
        <f aca="false">Sens!J1750+Sens!J1751</f>
        <v>245.22756198936</v>
      </c>
      <c r="K1752" s="6" t="n">
        <f aca="false">Sens!K1750+Sens!K1751</f>
        <v>285.728752302314</v>
      </c>
      <c r="L1752" s="1" t="s">
        <v>851</v>
      </c>
    </row>
    <row r="1753" customFormat="false" ht="15" hidden="false" customHeight="false" outlineLevel="0" collapsed="false">
      <c r="A1753" s="1" t="s">
        <v>852</v>
      </c>
      <c r="B1753" s="0" t="s">
        <v>95</v>
      </c>
      <c r="E1753" s="6" t="n">
        <f aca="false">fl_liab</f>
        <v>66.594</v>
      </c>
      <c r="F1753" s="6" t="n">
        <f aca="false">Sens!E1753-Sens!F1754</f>
        <v>62.46973</v>
      </c>
      <c r="G1753" s="6" t="n">
        <f aca="false">Sens!F1753-Sens!G1754</f>
        <v>57.98686785</v>
      </c>
      <c r="H1753" s="6" t="n">
        <f aca="false">Sens!G1753-Sens!H1754</f>
        <v>53.92827690325</v>
      </c>
      <c r="I1753" s="6" t="n">
        <f aca="false">Sens!H1753-Sens!I1754</f>
        <v>49.7850493638962</v>
      </c>
      <c r="J1753" s="6" t="n">
        <f aca="false">Sens!I1753-Sens!J1754</f>
        <v>45.4823765852716</v>
      </c>
      <c r="K1753" s="6" t="n">
        <f aca="false">Sens!J1753-Sens!K1754</f>
        <v>40.9860835316088</v>
      </c>
    </row>
    <row r="1754" customFormat="false" ht="15" hidden="false" customHeight="false" outlineLevel="0" collapsed="false">
      <c r="A1754" s="1" t="s">
        <v>853</v>
      </c>
      <c r="B1754" s="0" t="s">
        <v>95</v>
      </c>
      <c r="F1754" s="6" t="n">
        <f aca="false">fl_pay_27-Sens!E1753*fl_rate</f>
        <v>4.12427</v>
      </c>
      <c r="G1754" s="6" t="n">
        <f aca="false">fl_pay_28-Sens!F1753*fl_rate</f>
        <v>4.48286215</v>
      </c>
      <c r="H1754" s="6" t="n">
        <f aca="false">fl_pay_29-Sens!G1753*fl_rate</f>
        <v>4.05859094675</v>
      </c>
      <c r="I1754" s="6" t="n">
        <f aca="false">fl_pay_30-Sens!H1753*fl_rate</f>
        <v>4.14322753935375</v>
      </c>
      <c r="J1754" s="6" t="n">
        <f aca="false">fl_pay_31-Sens!I1753*fl_rate</f>
        <v>4.30267277862467</v>
      </c>
      <c r="K1754" s="6" t="n">
        <f aca="false">fl_pay_32-Sens!J1753*fl_rate</f>
        <v>4.49629305366278</v>
      </c>
    </row>
    <row r="1755" customFormat="false" ht="17.15" hidden="false" customHeight="false" outlineLevel="0" collapsed="false">
      <c r="A1755" s="1" t="s">
        <v>854</v>
      </c>
      <c r="B1755" s="0" t="s">
        <v>95</v>
      </c>
      <c r="E1755" s="6" t="n">
        <f aca="false">Q!M35-Q!M36-Q!M43</f>
        <v>63.886</v>
      </c>
      <c r="F1755" s="6" t="n">
        <f aca="false">Sens!F1749-Sens!F1752-Sens!F1754</f>
        <v>5.19068105214535</v>
      </c>
      <c r="G1755" s="6" t="n">
        <f aca="false">Sens!G1749-Sens!G1752-Sens!G1754</f>
        <v>80.6398937183264</v>
      </c>
      <c r="H1755" s="6" t="n">
        <f aca="false">Sens!H1749-Sens!H1752-Sens!H1754</f>
        <v>132.286087372161</v>
      </c>
      <c r="I1755" s="6" t="n">
        <f aca="false">Sens!I1749-Sens!I1752-Sens!I1754</f>
        <v>157.476304912761</v>
      </c>
      <c r="J1755" s="6" t="n">
        <f aca="false">Sens!J1749-Sens!J1752-Sens!J1754</f>
        <v>193.509812168266</v>
      </c>
      <c r="K1755" s="6" t="n">
        <f aca="false">Sens!K1749-Sens!K1752-Sens!K1754</f>
        <v>205.21769170108</v>
      </c>
      <c r="L1755" s="11" t="s">
        <v>855</v>
      </c>
    </row>
    <row r="1756" customFormat="false" ht="15" hidden="false" customHeight="false" outlineLevel="0" collapsed="false">
      <c r="A1756" s="1" t="s">
        <v>856</v>
      </c>
      <c r="B1756" s="0" t="s">
        <v>73</v>
      </c>
      <c r="F1756" s="8" t="n">
        <f aca="false">dps_27</f>
        <v>3.85</v>
      </c>
      <c r="G1756" s="8" t="n">
        <f aca="false">Sens!F1756*(1+dps_g)</f>
        <v>4.158</v>
      </c>
      <c r="H1756" s="8" t="n">
        <f aca="false">Sens!G1756*(1+dps_g)</f>
        <v>4.49064</v>
      </c>
      <c r="I1756" s="8" t="n">
        <f aca="false">Sens!H1756*(1+dps_g)</f>
        <v>4.8498912</v>
      </c>
      <c r="J1756" s="8" t="n">
        <f aca="false">Sens!I1756*(1+dps_g)</f>
        <v>5.237882496</v>
      </c>
      <c r="K1756" s="8" t="n">
        <f aca="false">Sens!J1756*(1+dps_g)</f>
        <v>5.65691309568</v>
      </c>
    </row>
    <row r="1757" customFormat="false" ht="17.15" hidden="false" customHeight="false" outlineLevel="0" collapsed="false">
      <c r="A1757" s="1" t="s">
        <v>857</v>
      </c>
      <c r="B1757" s="0" t="s">
        <v>95</v>
      </c>
      <c r="E1757" s="6" t="n">
        <f aca="false">Q!M41</f>
        <v>26.445</v>
      </c>
      <c r="F1757" s="6" t="n">
        <f aca="false">Sens!F1756*Sens!E1766</f>
        <v>28.59395</v>
      </c>
      <c r="G1757" s="6" t="n">
        <f aca="false">Sens!G1756*Sens!F1766</f>
        <v>31.068576</v>
      </c>
      <c r="H1757" s="6" t="n">
        <f aca="false">Sens!H1756*Sens!G1766</f>
        <v>33.5888350159995</v>
      </c>
      <c r="I1757" s="6" t="n">
        <f aca="false">Sens!I1756*Sens!H1766</f>
        <v>36.3268810572789</v>
      </c>
      <c r="J1757" s="6" t="n">
        <f aca="false">Sens!J1756*Sens!I1766</f>
        <v>39.3014303901806</v>
      </c>
      <c r="K1757" s="6" t="n">
        <f aca="false">Sens!K1756*Sens!J1766</f>
        <v>42.5328000467001</v>
      </c>
      <c r="L1757" s="1" t="s">
        <v>858</v>
      </c>
    </row>
    <row r="1758" customFormat="false" ht="15" hidden="false" customHeight="false" outlineLevel="0" collapsed="false">
      <c r="A1758" s="1" t="s">
        <v>859</v>
      </c>
      <c r="B1758" s="0" t="s">
        <v>95</v>
      </c>
      <c r="E1758" s="6" t="n">
        <f aca="false">Sens!E1755-Sens!E1757</f>
        <v>37.441</v>
      </c>
      <c r="F1758" s="6" t="n">
        <f aca="false">Sens!F1755-Sens!F1757</f>
        <v>-23.4032689478547</v>
      </c>
      <c r="G1758" s="6" t="n">
        <f aca="false">Sens!G1755-Sens!G1757</f>
        <v>49.5713177183264</v>
      </c>
      <c r="H1758" s="6" t="n">
        <f aca="false">Sens!H1755-Sens!H1757</f>
        <v>98.6972523561619</v>
      </c>
      <c r="I1758" s="6" t="n">
        <f aca="false">Sens!I1755-Sens!I1757</f>
        <v>121.149423855482</v>
      </c>
      <c r="J1758" s="6" t="n">
        <f aca="false">Sens!J1755-Sens!J1757</f>
        <v>154.208381778086</v>
      </c>
      <c r="K1758" s="6" t="n">
        <f aca="false">Sens!K1755-Sens!K1757</f>
        <v>162.68489165438</v>
      </c>
    </row>
    <row r="1759" customFormat="false" ht="15" hidden="false" customHeight="false" outlineLevel="0" collapsed="false">
      <c r="A1759" s="1" t="s">
        <v>860</v>
      </c>
      <c r="B1759" s="0" t="s">
        <v>95</v>
      </c>
      <c r="F1759" s="6" t="n">
        <f aca="false">debt_mat_27</f>
        <v>9.25</v>
      </c>
      <c r="G1759" s="6" t="n">
        <f aca="false">debt_mat_28</f>
        <v>0</v>
      </c>
      <c r="H1759" s="6" t="n">
        <f aca="false">debt_mat_29</f>
        <v>2.001</v>
      </c>
      <c r="I1759" s="6" t="n">
        <f aca="false">debt_mat_30</f>
        <v>0</v>
      </c>
      <c r="J1759" s="6" t="n">
        <f aca="false">debt_mat_31</f>
        <v>0.5</v>
      </c>
      <c r="K1759" s="6" t="n">
        <f aca="false">debt_mat_32</f>
        <v>0</v>
      </c>
    </row>
    <row r="1760" customFormat="false" ht="15" hidden="false" customHeight="false" outlineLevel="0" collapsed="false">
      <c r="A1760" s="1" t="s">
        <v>861</v>
      </c>
      <c r="B1760" s="0" t="s">
        <v>95</v>
      </c>
      <c r="E1760" s="6" t="n">
        <f aca="false">Q!M40</f>
        <v>22.271</v>
      </c>
      <c r="F1760" s="6" t="n">
        <f aca="false">MAX(0,MIN(bb_target,Sens!E1762+Sens!F1758-Sens!F1759-min_cash))</f>
        <v>0</v>
      </c>
      <c r="G1760" s="6" t="n">
        <f aca="false">MAX(0,MIN(bb_target,Sens!F1762+Sens!G1758-Sens!G1759-min_cash))</f>
        <v>22.271</v>
      </c>
      <c r="H1760" s="6" t="n">
        <f aca="false">MAX(0,MIN(bb_target,Sens!G1762+Sens!H1758-Sens!H1759-min_cash))</f>
        <v>22.271</v>
      </c>
      <c r="I1760" s="6" t="n">
        <f aca="false">MAX(0,MIN(bb_target,Sens!H1762+Sens!I1758-Sens!I1759-min_cash))</f>
        <v>22.271</v>
      </c>
      <c r="J1760" s="6" t="n">
        <f aca="false">MAX(0,MIN(bb_target,Sens!I1762+Sens!J1758-Sens!J1759-min_cash))</f>
        <v>22.271</v>
      </c>
      <c r="K1760" s="6" t="n">
        <f aca="false">MAX(0,MIN(bb_target,Sens!J1762+Sens!K1758-Sens!K1759-min_cash))</f>
        <v>22.271</v>
      </c>
    </row>
    <row r="1761" customFormat="false" ht="15" hidden="false" customHeight="false" outlineLevel="0" collapsed="false">
      <c r="A1761" s="1" t="s">
        <v>862</v>
      </c>
      <c r="B1761" s="0" t="s">
        <v>95</v>
      </c>
      <c r="F1761" s="6" t="n">
        <f aca="false">MAX(0,min_cash-(Sens!E1762+Sens!F1758-Sens!F1759-Sens!F1760))</f>
        <v>5.81026894785465</v>
      </c>
      <c r="G1761" s="6" t="n">
        <f aca="false">MAX(0,min_cash-(Sens!F1762+Sens!G1758-Sens!G1759-Sens!G1760))</f>
        <v>0</v>
      </c>
      <c r="H1761" s="6" t="n">
        <f aca="false">MAX(0,min_cash-(Sens!G1762+Sens!H1758-Sens!H1759-Sens!H1760))</f>
        <v>0</v>
      </c>
      <c r="I1761" s="6" t="n">
        <f aca="false">MAX(0,min_cash-(Sens!H1762+Sens!I1758-Sens!I1759-Sens!I1760))</f>
        <v>0</v>
      </c>
      <c r="J1761" s="6" t="n">
        <f aca="false">MAX(0,min_cash-(Sens!I1762+Sens!J1758-Sens!J1759-Sens!J1760))</f>
        <v>0</v>
      </c>
      <c r="K1761" s="6" t="n">
        <f aca="false">MAX(0,min_cash-(Sens!J1762+Sens!K1758-Sens!K1759-Sens!K1760))</f>
        <v>0</v>
      </c>
    </row>
    <row r="1762" customFormat="false" ht="15" hidden="false" customHeight="false" outlineLevel="0" collapsed="false">
      <c r="A1762" s="1" t="s">
        <v>863</v>
      </c>
      <c r="B1762" s="0" t="s">
        <v>95</v>
      </c>
      <c r="E1762" s="6" t="n">
        <f aca="false">cash_open</f>
        <v>76.843</v>
      </c>
      <c r="F1762" s="6" t="n">
        <f aca="false">Sens!E1762+Sens!F1758-Sens!F1759-Sens!F1760+Sens!F1761</f>
        <v>50</v>
      </c>
      <c r="G1762" s="6" t="n">
        <f aca="false">Sens!F1762+Sens!G1758-Sens!G1759-Sens!G1760+Sens!G1761</f>
        <v>77.3003177183264</v>
      </c>
      <c r="H1762" s="6" t="n">
        <f aca="false">Sens!G1762+Sens!H1758-Sens!H1759-Sens!H1760+Sens!H1761</f>
        <v>151.725570074488</v>
      </c>
      <c r="I1762" s="6" t="n">
        <f aca="false">Sens!H1762+Sens!I1758-Sens!I1759-Sens!I1760+Sens!I1761</f>
        <v>250.60399392997</v>
      </c>
      <c r="J1762" s="6" t="n">
        <f aca="false">Sens!I1762+Sens!J1758-Sens!J1759-Sens!J1760+Sens!J1761</f>
        <v>382.041375708056</v>
      </c>
      <c r="K1762" s="6" t="n">
        <f aca="false">Sens!J1762+Sens!K1758-Sens!K1759-Sens!K1760+Sens!K1761</f>
        <v>522.455267362436</v>
      </c>
    </row>
    <row r="1763" customFormat="false" ht="15" hidden="false" customHeight="false" outlineLevel="0" collapsed="false">
      <c r="A1763" s="1" t="s">
        <v>864</v>
      </c>
      <c r="B1763" s="0" t="s">
        <v>95</v>
      </c>
      <c r="E1763" s="6" t="n">
        <f aca="false">debt_face</f>
        <v>46.136</v>
      </c>
      <c r="F1763" s="6" t="n">
        <f aca="false">Sens!E1763-Sens!F1759+Sens!F1761</f>
        <v>42.6962689478547</v>
      </c>
      <c r="G1763" s="6" t="n">
        <f aca="false">Sens!F1763-Sens!G1759+Sens!G1761</f>
        <v>42.6962689478547</v>
      </c>
      <c r="H1763" s="6" t="n">
        <f aca="false">Sens!G1763-Sens!H1759+Sens!H1761</f>
        <v>40.6952689478547</v>
      </c>
      <c r="I1763" s="6" t="n">
        <f aca="false">Sens!H1763-Sens!I1759+Sens!I1761</f>
        <v>40.6952689478547</v>
      </c>
      <c r="J1763" s="6" t="n">
        <f aca="false">Sens!I1763-Sens!J1759+Sens!J1761</f>
        <v>40.1952689478547</v>
      </c>
      <c r="K1763" s="6" t="n">
        <f aca="false">Sens!J1763-Sens!K1759+Sens!K1761</f>
        <v>40.1952689478547</v>
      </c>
    </row>
    <row r="1764" customFormat="false" ht="15" hidden="false" customHeight="false" outlineLevel="0" collapsed="false">
      <c r="A1764" s="1" t="s">
        <v>865</v>
      </c>
      <c r="B1764" s="0" t="s">
        <v>95</v>
      </c>
      <c r="E1764" s="6" t="n">
        <f aca="false">Sens!E1762-Sens!E1763</f>
        <v>30.707</v>
      </c>
      <c r="F1764" s="6" t="n">
        <f aca="false">Sens!F1762-Sens!F1763</f>
        <v>7.30373105214535</v>
      </c>
      <c r="G1764" s="6" t="n">
        <f aca="false">Sens!G1762-Sens!G1763</f>
        <v>34.6040487704717</v>
      </c>
      <c r="H1764" s="6" t="n">
        <f aca="false">Sens!H1762-Sens!H1763</f>
        <v>111.030301126634</v>
      </c>
      <c r="I1764" s="6" t="n">
        <f aca="false">Sens!I1762-Sens!I1763</f>
        <v>209.908724982115</v>
      </c>
      <c r="J1764" s="6" t="n">
        <f aca="false">Sens!J1762-Sens!J1763</f>
        <v>341.846106760201</v>
      </c>
      <c r="K1764" s="6" t="n">
        <f aca="false">Sens!K1762-Sens!K1763</f>
        <v>482.259998414581</v>
      </c>
    </row>
    <row r="1765" customFormat="false" ht="15" hidden="false" customHeight="false" outlineLevel="0" collapsed="false">
      <c r="A1765" s="1" t="s">
        <v>866</v>
      </c>
      <c r="B1765" s="0" t="s">
        <v>73</v>
      </c>
      <c r="F1765" s="27" t="n">
        <f aca="false">px*(1+bb_g)^(1-0.5)</f>
        <v>553.494156066711</v>
      </c>
      <c r="G1765" s="27" t="n">
        <f aca="false">px*(1+bb_g)^(2-0.5)</f>
        <v>597.773688552047</v>
      </c>
      <c r="H1765" s="27" t="n">
        <f aca="false">px*(1+bb_g)^(3-0.5)</f>
        <v>645.595583636211</v>
      </c>
      <c r="I1765" s="27" t="n">
        <f aca="false">px*(1+bb_g)^(4-0.5)</f>
        <v>697.243230327108</v>
      </c>
      <c r="J1765" s="27" t="n">
        <f aca="false">px*(1+bb_g)^(5-0.5)</f>
        <v>753.022688753277</v>
      </c>
      <c r="K1765" s="27" t="n">
        <f aca="false">px*(1+bb_g)^(6-0.5)</f>
        <v>813.264503853539</v>
      </c>
    </row>
    <row r="1766" customFormat="false" ht="15" hidden="false" customHeight="false" outlineLevel="0" collapsed="false">
      <c r="A1766" s="1" t="s">
        <v>867</v>
      </c>
      <c r="B1766" s="1" t="s">
        <v>79</v>
      </c>
      <c r="E1766" s="18" t="n">
        <f aca="false">sh_out26</f>
        <v>7.427</v>
      </c>
      <c r="F1766" s="18" t="n">
        <f aca="false">Sens!E1766+sh_iss-Sens!F1760/Sens!F1765</f>
        <v>7.472</v>
      </c>
      <c r="G1766" s="18" t="n">
        <f aca="false">Sens!F1766+sh_iss-Sens!G1760/Sens!G1765</f>
        <v>7.47974342543589</v>
      </c>
      <c r="H1766" s="18" t="n">
        <f aca="false">Sens!G1766+sh_iss-Sens!H1760/Sens!H1765</f>
        <v>7.4902465971358</v>
      </c>
      <c r="I1766" s="18" t="n">
        <f aca="false">Sens!H1766+sh_iss-Sens!I1760/Sens!I1765</f>
        <v>7.50330508945052</v>
      </c>
      <c r="J1766" s="18" t="n">
        <f aca="false">Sens!I1766+sh_iss-Sens!J1760/Sens!J1765</f>
        <v>7.51872961937156</v>
      </c>
      <c r="K1766" s="18" t="n">
        <f aca="false">Sens!J1766+sh_iss-Sens!K1760/Sens!K1765</f>
        <v>7.53634492485401</v>
      </c>
    </row>
    <row r="1767" customFormat="false" ht="15" hidden="false" customHeight="false" outlineLevel="0" collapsed="false">
      <c r="A1767" s="1" t="s">
        <v>868</v>
      </c>
      <c r="B1767" s="1" t="s">
        <v>79</v>
      </c>
      <c r="E1767" s="18" t="n">
        <f aca="false">sh_dil26</f>
        <v>7.453</v>
      </c>
      <c r="F1767" s="18" t="n">
        <f aca="false">(Sens!E1766+Sens!F1766)/2+dil_gap</f>
        <v>7.4735</v>
      </c>
      <c r="G1767" s="18" t="n">
        <f aca="false">(Sens!F1766+Sens!G1766)/2+dil_gap</f>
        <v>7.49987171271795</v>
      </c>
      <c r="H1767" s="18" t="n">
        <f aca="false">(Sens!G1766+Sens!H1766)/2+dil_gap</f>
        <v>7.50899501128585</v>
      </c>
      <c r="I1767" s="18" t="n">
        <f aca="false">(Sens!H1766+Sens!I1766)/2+dil_gap</f>
        <v>7.52077584329316</v>
      </c>
      <c r="J1767" s="18" t="n">
        <f aca="false">(Sens!I1766+Sens!J1766)/2+dil_gap</f>
        <v>7.53501735441104</v>
      </c>
      <c r="K1767" s="18" t="n">
        <f aca="false">(Sens!J1766+Sens!K1766)/2+dil_gap</f>
        <v>7.55153727211278</v>
      </c>
    </row>
    <row r="1768" customFormat="false" ht="17.15" hidden="false" customHeight="false" outlineLevel="0" collapsed="false">
      <c r="A1768" s="1" t="s">
        <v>869</v>
      </c>
      <c r="B1768" s="0" t="s">
        <v>95</v>
      </c>
      <c r="C1768" s="6" t="n">
        <f aca="false">SUM(Sens!F1758:J1758)</f>
        <v>400.223106760201</v>
      </c>
    </row>
    <row r="1769" customFormat="false" ht="17.15" hidden="false" customHeight="false" outlineLevel="0" collapsed="false">
      <c r="A1769" s="1" t="s">
        <v>836</v>
      </c>
      <c r="B1769" s="1" t="s">
        <v>870</v>
      </c>
      <c r="C1769" s="30" t="str">
        <f aca="false">IF(SUM(Sens!F1761:J1761)&gt;0.05,"需要舉債 "&amp;TEXT(SUM(Sens!F1761:J1761),"0.0")&amp;" 十億美元","不需舉債")&amp;"；"&amp;IF(SUM(Sens!F1760:J1760)&lt;5*bb_target-0.05,"回購較每年 "&amp;TEXT(bb_target,"0.0")&amp;" 的目標少 "&amp;TEXT(5*bb_target-SUM(Sens!F1760:J1760),"0.0")&amp;" 十億美元（"&amp;TEXT(COUNTIF(Sens!F1760:J1760,"&lt;"&amp;(bb_target-0.05)),"0")&amp;" 年減少）","回購不減")</f>
        <v>需要舉債 5.8 十億美元；回購較每年 22.3 的目標少 22.3 十億美元（1 年減少）</v>
      </c>
    </row>
    <row r="1770" customFormat="false" ht="17.15" hidden="false" customHeight="false" outlineLevel="0" collapsed="false">
      <c r="A1770" s="3" t="s">
        <v>1163</v>
      </c>
    </row>
    <row r="1771" customFormat="false" ht="15" hidden="false" customHeight="false" outlineLevel="0" collapsed="false">
      <c r="A1771" s="4" t="s">
        <v>43</v>
      </c>
      <c r="B1771" s="4" t="s">
        <v>63</v>
      </c>
      <c r="C1771" s="19" t="s">
        <v>710</v>
      </c>
      <c r="D1771" s="19" t="s">
        <v>711</v>
      </c>
      <c r="E1771" s="19" t="s">
        <v>712</v>
      </c>
      <c r="F1771" s="19" t="s">
        <v>713</v>
      </c>
      <c r="G1771" s="19" t="s">
        <v>714</v>
      </c>
      <c r="H1771" s="19" t="s">
        <v>715</v>
      </c>
      <c r="I1771" s="19" t="s">
        <v>716</v>
      </c>
      <c r="J1771" s="19" t="s">
        <v>717</v>
      </c>
      <c r="K1771" s="19" t="s">
        <v>718</v>
      </c>
      <c r="L1771" s="4" t="s">
        <v>47</v>
      </c>
    </row>
    <row r="1772" customFormat="false" ht="17.15" hidden="false" customHeight="false" outlineLevel="0" collapsed="false">
      <c r="A1772" s="1" t="s">
        <v>938</v>
      </c>
      <c r="B1772" s="1" t="s">
        <v>213</v>
      </c>
      <c r="F1772" s="34" t="n">
        <f aca="false">1-0.5</f>
        <v>0.5</v>
      </c>
      <c r="G1772" s="34" t="n">
        <f aca="false">2-0.5</f>
        <v>1.5</v>
      </c>
      <c r="H1772" s="34" t="n">
        <f aca="false">3-0.5</f>
        <v>2.5</v>
      </c>
      <c r="I1772" s="34" t="n">
        <f aca="false">4-0.5</f>
        <v>3.5</v>
      </c>
      <c r="J1772" s="34" t="n">
        <f aca="false">5-0.5</f>
        <v>4.5</v>
      </c>
      <c r="K1772" s="34" t="n">
        <f aca="false">6-0.5</f>
        <v>5.5</v>
      </c>
    </row>
    <row r="1773" customFormat="false" ht="15" hidden="false" customHeight="false" outlineLevel="0" collapsed="false">
      <c r="A1773" s="1" t="s">
        <v>939</v>
      </c>
      <c r="B1773" s="0" t="s">
        <v>182</v>
      </c>
      <c r="F1773" s="18" t="n">
        <f aca="false">1/(1+wacc)^Sens!F1772</f>
        <v>0.949601579913219</v>
      </c>
      <c r="G1773" s="18" t="n">
        <f aca="false">1/(1+wacc)^Sens!G1772</f>
        <v>0.856296729956707</v>
      </c>
      <c r="H1773" s="18" t="n">
        <f aca="false">1/(1+wacc)^Sens!H1772</f>
        <v>0.772159719660069</v>
      </c>
      <c r="I1773" s="18" t="n">
        <f aca="false">1/(1+wacc)^Sens!I1772</f>
        <v>0.696289746073958</v>
      </c>
      <c r="J1773" s="18" t="n">
        <f aca="false">1/(1+wacc)^Sens!J1772</f>
        <v>0.627874516299776</v>
      </c>
      <c r="K1773" s="18" t="n">
        <f aca="false">1/(1+wacc)^Sens!K1772</f>
        <v>0.566181550771831</v>
      </c>
    </row>
    <row r="1774" customFormat="false" ht="15" hidden="false" customHeight="false" outlineLevel="0" collapsed="false">
      <c r="A1774" s="1" t="s">
        <v>940</v>
      </c>
      <c r="B1774" s="0" t="s">
        <v>95</v>
      </c>
      <c r="F1774" s="6" t="n">
        <f aca="false">Sens!F1755*Sens!F1773</f>
        <v>4.92907892794283</v>
      </c>
      <c r="G1774" s="6" t="n">
        <f aca="false">Sens!G1755*Sens!G1773</f>
        <v>69.0516772950592</v>
      </c>
      <c r="H1774" s="6" t="n">
        <f aca="false">Sens!H1755*Sens!H1773</f>
        <v>102.145988140215</v>
      </c>
      <c r="I1774" s="6" t="n">
        <f aca="false">Sens!I1755*Sens!I1773</f>
        <v>109.649136360371</v>
      </c>
      <c r="J1774" s="6" t="n">
        <f aca="false">Sens!J1755*Sens!J1773</f>
        <v>121.499879714411</v>
      </c>
      <c r="K1774" s="6" t="n">
        <f aca="false">Sens!K1755*Sens!K1773</f>
        <v>116.190470933133</v>
      </c>
    </row>
    <row r="1775" customFormat="false" ht="17.15" hidden="false" customHeight="false" outlineLevel="0" collapsed="false">
      <c r="A1775" s="1" t="s">
        <v>941</v>
      </c>
      <c r="B1775" s="0" t="s">
        <v>95</v>
      </c>
      <c r="C1775" s="6" t="n">
        <f aca="false">SUM(Sens!F1774:K1774)</f>
        <v>523.466231371133</v>
      </c>
    </row>
    <row r="1776" customFormat="false" ht="17.15" hidden="false" customHeight="false" outlineLevel="0" collapsed="false">
      <c r="A1776" s="1" t="s">
        <v>942</v>
      </c>
      <c r="B1776" s="0" t="s">
        <v>95</v>
      </c>
      <c r="C1776" s="6" t="n">
        <f aca="false">Sens!K1721*(1+g_tv)*(1-tax_f)</f>
        <v>289.332212945861</v>
      </c>
    </row>
    <row r="1777" customFormat="false" ht="17.15" hidden="false" customHeight="false" outlineLevel="0" collapsed="false">
      <c r="A1777" s="1" t="s">
        <v>943</v>
      </c>
      <c r="B1777" s="0" t="s">
        <v>95</v>
      </c>
      <c r="C1777" s="6" t="n">
        <f aca="false">Sens!$C$1776*(1-g_tv/(wacc+ronic_prem))</f>
        <v>209.672614993937</v>
      </c>
    </row>
    <row r="1778" customFormat="false" ht="17.15" hidden="false" customHeight="false" outlineLevel="0" collapsed="false">
      <c r="A1778" s="1" t="s">
        <v>944</v>
      </c>
      <c r="B1778" s="0" t="s">
        <v>95</v>
      </c>
      <c r="C1778" s="6" t="n">
        <f aca="false">Sens!$C$1777/(wacc-g_tv)</f>
        <v>2655.3199317308</v>
      </c>
    </row>
    <row r="1779" customFormat="false" ht="15" hidden="false" customHeight="false" outlineLevel="0" collapsed="false">
      <c r="A1779" s="1" t="s">
        <v>945</v>
      </c>
      <c r="B1779" s="0" t="s">
        <v>95</v>
      </c>
      <c r="C1779" s="6" t="n">
        <f aca="false">Sens!$C$1778/(1+wacc)^6</f>
        <v>1427.62451687359</v>
      </c>
    </row>
    <row r="1780" customFormat="false" ht="17.15" hidden="false" customHeight="false" outlineLevel="0" collapsed="false">
      <c r="A1780" s="0" t="s">
        <v>877</v>
      </c>
      <c r="B1780" s="0" t="s">
        <v>95</v>
      </c>
      <c r="C1780" s="6" t="n">
        <f aca="false">Sens!$C$1775+Sens!$C$1779</f>
        <v>1951.09074824472</v>
      </c>
    </row>
    <row r="1781" customFormat="false" ht="15" hidden="false" customHeight="false" outlineLevel="0" collapsed="false">
      <c r="A1781" s="1" t="s">
        <v>878</v>
      </c>
      <c r="B1781" s="0" t="s">
        <v>126</v>
      </c>
      <c r="C1781" s="7" t="n">
        <f aca="false">Sens!$C$1779/Sens!$C$1780</f>
        <v>0.731705851282385</v>
      </c>
    </row>
    <row r="1782" customFormat="false" ht="17.15" hidden="false" customHeight="false" outlineLevel="0" collapsed="false">
      <c r="A1782" s="1" t="s">
        <v>946</v>
      </c>
      <c r="B1782" s="0" t="s">
        <v>95</v>
      </c>
      <c r="C1782" s="6" t="n">
        <f aca="false">Sens!$C$1780+Sens!E1764+oai_v</f>
        <v>2152.19774824472</v>
      </c>
    </row>
    <row r="1783" customFormat="false" ht="17.15" hidden="false" customHeight="false" outlineLevel="0" collapsed="false">
      <c r="A1783" s="0" t="s">
        <v>883</v>
      </c>
      <c r="B1783" s="0" t="s">
        <v>73</v>
      </c>
      <c r="C1783" s="5" t="n">
        <f aca="false">Sens!$C$1782/sh_dil26</f>
        <v>288.769320843247</v>
      </c>
    </row>
    <row r="1784" customFormat="false" ht="17.15" hidden="false" customHeight="false" outlineLevel="0" collapsed="false">
      <c r="A1784" s="0" t="s">
        <v>947</v>
      </c>
      <c r="B1784" s="0" t="s">
        <v>73</v>
      </c>
      <c r="C1784" s="5" t="n">
        <f aca="false">Sens!$C$1783*(1+wacc)^t_roll</f>
        <v>331.216843209684</v>
      </c>
    </row>
    <row r="1785" customFormat="false" ht="17.15" hidden="false" customHeight="false" outlineLevel="0" collapsed="false">
      <c r="A1785" s="1" t="s">
        <v>948</v>
      </c>
      <c r="B1785" s="0" t="s">
        <v>126</v>
      </c>
      <c r="F1785" s="7" t="n">
        <f aca="false">Sens!F1745/(Sens!F1696-Sens!F1652)</f>
        <v>0.0766637893385704</v>
      </c>
      <c r="G1785" s="7" t="n">
        <f aca="false">Sens!G1745/(Sens!G1696-Sens!G1652)</f>
        <v>0.0718072698587683</v>
      </c>
      <c r="H1785" s="7" t="n">
        <f aca="false">Sens!H1745/(Sens!H1696-Sens!H1652)</f>
        <v>0.0688421741153514</v>
      </c>
      <c r="I1785" s="7" t="n">
        <f aca="false">Sens!I1745/(Sens!I1696-Sens!I1652)</f>
        <v>0.0675767193153894</v>
      </c>
      <c r="J1785" s="7" t="n">
        <f aca="false">Sens!J1745/(Sens!J1696-Sens!J1652)</f>
        <v>0.0675695796124088</v>
      </c>
      <c r="K1785" s="7" t="n">
        <f aca="false">Sens!K1745/(Sens!K1696-Sens!K1652)</f>
        <v>0.06829577272122</v>
      </c>
    </row>
    <row r="1786" customFormat="false" ht="17.15" hidden="false" customHeight="false" outlineLevel="0" collapsed="false">
      <c r="A1786" s="0" t="s">
        <v>949</v>
      </c>
      <c r="B1786" s="0" t="s">
        <v>95</v>
      </c>
      <c r="F1786" s="6" t="n">
        <f aca="false">Sens!F1681*(al_m365+Sens!F1785)</f>
        <v>81.4651693138419</v>
      </c>
      <c r="G1786" s="6" t="n">
        <f aca="false">Sens!G1681*(al_m365+Sens!G1785)</f>
        <v>95.09040136994</v>
      </c>
      <c r="H1786" s="6" t="n">
        <f aca="false">Sens!H1681*(al_m365+Sens!H1785)</f>
        <v>108.872362950348</v>
      </c>
      <c r="I1786" s="6" t="n">
        <f aca="false">Sens!I1681*(al_m365+Sens!I1785)</f>
        <v>121.22126974035</v>
      </c>
      <c r="J1786" s="6" t="n">
        <f aca="false">Sens!J1681*(al_m365+Sens!J1785)</f>
        <v>131.966958795138</v>
      </c>
      <c r="K1786" s="6" t="n">
        <f aca="false">Sens!K1681*(al_m365+Sens!K1785)</f>
        <v>142.365706511823</v>
      </c>
    </row>
    <row r="1787" customFormat="false" ht="17.15" hidden="false" customHeight="false" outlineLevel="0" collapsed="false">
      <c r="A1787" s="0" t="s">
        <v>950</v>
      </c>
      <c r="B1787" s="0" t="s">
        <v>95</v>
      </c>
      <c r="F1787" s="6" t="n">
        <f aca="false">Sens!F1682*(al_lic+Sens!F1785)</f>
        <v>32.2994765482174</v>
      </c>
      <c r="G1787" s="6" t="n">
        <f aca="false">Sens!G1682*(al_lic+Sens!G1785)</f>
        <v>33.4693855117681</v>
      </c>
      <c r="H1787" s="6" t="n">
        <f aca="false">Sens!H1682*(al_lic+Sens!H1785)</f>
        <v>34.5744633797063</v>
      </c>
      <c r="I1787" s="6" t="n">
        <f aca="false">Sens!I1682*(al_lic+Sens!I1785)</f>
        <v>35.5971258688853</v>
      </c>
      <c r="J1787" s="6" t="n">
        <f aca="false">Sens!J1682*(al_lic+Sens!J1785)</f>
        <v>36.5075976718817</v>
      </c>
      <c r="K1787" s="6" t="n">
        <f aca="false">Sens!K1682*(al_lic+Sens!K1785)</f>
        <v>37.2708254611134</v>
      </c>
    </row>
    <row r="1788" customFormat="false" ht="17.15" hidden="false" customHeight="false" outlineLevel="0" collapsed="false">
      <c r="A1788" s="0" t="s">
        <v>951</v>
      </c>
      <c r="B1788" s="0" t="s">
        <v>95</v>
      </c>
      <c r="F1788" s="6" t="n">
        <f aca="false">Sens!F1684*(al_ind+Sens!F1785)</f>
        <v>8.4211553273628</v>
      </c>
      <c r="G1788" s="6" t="n">
        <f aca="false">Sens!G1684*(al_ind+Sens!G1785)</f>
        <v>9.08667685619917</v>
      </c>
      <c r="H1788" s="6" t="n">
        <f aca="false">Sens!H1684*(al_ind+Sens!H1785)</f>
        <v>9.80154008746111</v>
      </c>
      <c r="I1788" s="6" t="n">
        <f aca="false">Sens!I1684*(al_ind+Sens!I1785)</f>
        <v>10.5646022233714</v>
      </c>
      <c r="J1788" s="6" t="n">
        <f aca="false">Sens!J1684*(al_ind+Sens!J1785)</f>
        <v>11.3649773930283</v>
      </c>
      <c r="K1788" s="6" t="n">
        <f aca="false">Sens!K1684*(al_ind+Sens!K1785)</f>
        <v>12.1845508945868</v>
      </c>
    </row>
    <row r="1789" customFormat="false" ht="17.15" hidden="false" customHeight="false" outlineLevel="0" collapsed="false">
      <c r="A1789" s="0" t="s">
        <v>952</v>
      </c>
      <c r="B1789" s="0" t="s">
        <v>95</v>
      </c>
      <c r="F1789" s="6" t="n">
        <f aca="false">Sens!F1686*(al_fro+Sens!F1785)</f>
        <v>3.31459630184997</v>
      </c>
      <c r="G1789" s="6" t="n">
        <f aca="false">Sens!G1686*(al_fro+Sens!G1785)</f>
        <v>3.48874669323894</v>
      </c>
      <c r="H1789" s="6" t="n">
        <f aca="false">Sens!H1686*(al_fro+Sens!H1785)</f>
        <v>3.69355578769627</v>
      </c>
      <c r="I1789" s="6" t="n">
        <f aca="false">Sens!I1686*(al_fro+Sens!I1785)</f>
        <v>3.93171497345714</v>
      </c>
      <c r="J1789" s="6" t="n">
        <f aca="false">Sens!J1686*(al_fro+Sens!J1785)</f>
        <v>4.20320539521266</v>
      </c>
      <c r="K1789" s="6" t="n">
        <f aca="false">Sens!K1686*(al_fro+Sens!K1785)</f>
        <v>4.50631517224022</v>
      </c>
    </row>
    <row r="1790" customFormat="false" ht="17.15" hidden="false" customHeight="false" outlineLevel="0" collapsed="false">
      <c r="A1790" s="0" t="s">
        <v>953</v>
      </c>
      <c r="B1790" s="0" t="s">
        <v>95</v>
      </c>
      <c r="F1790" s="6" t="n">
        <f aca="false">Sens!F1689*(al_srch+Sens!F1785)</f>
        <v>10.4002484985827</v>
      </c>
      <c r="G1790" s="6" t="n">
        <f aca="false">Sens!G1689*(al_srch+Sens!G1785)</f>
        <v>11.3280628065532</v>
      </c>
      <c r="H1790" s="6" t="n">
        <f aca="false">Sens!H1689*(al_srch+Sens!H1785)</f>
        <v>12.3061892384009</v>
      </c>
      <c r="I1790" s="6" t="n">
        <f aca="false">Sens!I1689*(al_srch+Sens!I1785)</f>
        <v>13.3274870236616</v>
      </c>
      <c r="J1790" s="6" t="n">
        <f aca="false">Sens!J1689*(al_srch+Sens!J1785)</f>
        <v>14.3715430041521</v>
      </c>
      <c r="K1790" s="6" t="n">
        <f aca="false">Sens!K1689*(al_srch+Sens!K1785)</f>
        <v>15.407931851695</v>
      </c>
    </row>
    <row r="1791" customFormat="false" ht="17.15" hidden="false" customHeight="false" outlineLevel="0" collapsed="false">
      <c r="A1791" s="0" t="s">
        <v>954</v>
      </c>
      <c r="B1791" s="0" t="s">
        <v>95</v>
      </c>
      <c r="F1791" s="6" t="n">
        <f aca="false">Sens!F1658</f>
        <v>43.1278534047371</v>
      </c>
      <c r="G1791" s="6" t="n">
        <f aca="false">Sens!G1658</f>
        <v>78.4713023799053</v>
      </c>
      <c r="H1791" s="6" t="n">
        <f aca="false">Sens!H1658</f>
        <v>120.169624261219</v>
      </c>
      <c r="I1791" s="6" t="n">
        <f aca="false">Sens!I1658</f>
        <v>156.086713969963</v>
      </c>
      <c r="J1791" s="6" t="n">
        <f aca="false">Sens!J1658</f>
        <v>192.09687492465</v>
      </c>
      <c r="K1791" s="6" t="n">
        <f aca="false">Sens!K1658</f>
        <v>228.161785217179</v>
      </c>
    </row>
    <row r="1792" customFormat="false" ht="17.15" hidden="false" customHeight="false" outlineLevel="0" collapsed="false">
      <c r="A1792" s="0" t="s">
        <v>955</v>
      </c>
      <c r="B1792" s="0" t="s">
        <v>95</v>
      </c>
      <c r="F1792" s="6" t="n">
        <f aca="false">Sens!F1718+Sens!F1669+Sens!F1785*(Sens!F1688-Sens!F1652)</f>
        <v>215.941909173493</v>
      </c>
      <c r="G1792" s="6" t="n">
        <f aca="false">Sens!G1718+Sens!G1669+Sens!G1785*(Sens!G1688-Sens!G1652)</f>
        <v>274.199829759123</v>
      </c>
      <c r="H1792" s="6" t="n">
        <f aca="false">Sens!H1718+Sens!H1669+Sens!H1785*(Sens!H1688-Sens!H1652)</f>
        <v>339.176064452491</v>
      </c>
      <c r="I1792" s="6" t="n">
        <f aca="false">Sens!I1718+Sens!I1669+Sens!I1785*(Sens!I1688-Sens!I1652)</f>
        <v>396.886604069601</v>
      </c>
      <c r="J1792" s="6" t="n">
        <f aca="false">Sens!J1718+Sens!J1669+Sens!J1785*(Sens!J1688-Sens!J1652)</f>
        <v>452.414575856177</v>
      </c>
      <c r="K1792" s="6" t="n">
        <f aca="false">Sens!K1718+Sens!K1669+Sens!K1785*(Sens!K1688-Sens!K1652)</f>
        <v>506.159108717953</v>
      </c>
    </row>
    <row r="1793" customFormat="false" ht="17.15" hidden="false" customHeight="false" outlineLevel="0" collapsed="false">
      <c r="A1793" s="0" t="s">
        <v>956</v>
      </c>
      <c r="B1793" s="0" t="s">
        <v>95</v>
      </c>
      <c r="F1793" s="6" t="n">
        <f aca="false">Sens!F1792-Sens!F1786-Sens!F1787-Sens!F1788-Sens!F1789-Sens!F1791</f>
        <v>47.3136582774842</v>
      </c>
      <c r="G1793" s="6" t="n">
        <f aca="false">Sens!G1792-Sens!G1786-Sens!G1787-Sens!G1788-Sens!G1789-Sens!G1791</f>
        <v>54.5933169480714</v>
      </c>
      <c r="H1793" s="6" t="n">
        <f aca="false">Sens!H1792-Sens!H1786-Sens!H1787-Sens!H1788-Sens!H1789-Sens!H1791</f>
        <v>62.0645179860603</v>
      </c>
      <c r="I1793" s="6" t="n">
        <f aca="false">Sens!I1792-Sens!I1786-Sens!I1787-Sens!I1788-Sens!I1789-Sens!I1791</f>
        <v>69.4851772935734</v>
      </c>
      <c r="J1793" s="6" t="n">
        <f aca="false">Sens!J1792-Sens!J1786-Sens!J1787-Sens!J1788-Sens!J1789-Sens!J1791</f>
        <v>76.2749616762662</v>
      </c>
      <c r="K1793" s="6" t="n">
        <f aca="false">Sens!K1792-Sens!K1786-Sens!K1787-Sens!K1788-Sens!K1789-Sens!K1791</f>
        <v>81.6699254610099</v>
      </c>
    </row>
    <row r="1794" customFormat="false" ht="17.15" hidden="false" customHeight="false" outlineLevel="0" collapsed="false">
      <c r="A1794" s="0" t="s">
        <v>957</v>
      </c>
      <c r="B1794" s="0" t="s">
        <v>95</v>
      </c>
      <c r="F1794" s="6" t="n">
        <f aca="false">Sens!F1720+Sens!F1785*Sens!F1695</f>
        <v>24.2894519856942</v>
      </c>
      <c r="G1794" s="6" t="n">
        <f aca="false">Sens!G1720+Sens!G1785*Sens!G1695</f>
        <v>24.7031535560707</v>
      </c>
      <c r="H1794" s="6" t="n">
        <f aca="false">Sens!H1720+Sens!H1785*Sens!H1695</f>
        <v>25.3990203120267</v>
      </c>
      <c r="I1794" s="6" t="n">
        <f aca="false">Sens!I1720+Sens!I1785*Sens!I1695</f>
        <v>26.3464920487105</v>
      </c>
      <c r="J1794" s="6" t="n">
        <f aca="false">Sens!J1720+Sens!J1785*Sens!J1695</f>
        <v>27.5031842964432</v>
      </c>
      <c r="K1794" s="6" t="n">
        <f aca="false">Sens!K1720+Sens!K1785*Sens!K1695</f>
        <v>28.8218330020561</v>
      </c>
    </row>
    <row r="1795" customFormat="false" ht="17.15" hidden="false" customHeight="false" outlineLevel="0" collapsed="false">
      <c r="A1795" s="0" t="s">
        <v>958</v>
      </c>
      <c r="B1795" s="0" t="s">
        <v>95</v>
      </c>
      <c r="F1795" s="6" t="n">
        <f aca="false">(Sens!F1794-Sens!F1790)*Sens!F1691/(Sens!F1691+Sens!F1693)</f>
        <v>7.61392607275273</v>
      </c>
      <c r="G1795" s="6" t="n">
        <f aca="false">(Sens!G1794-Sens!G1790)*Sens!G1691/(Sens!G1691+Sens!G1693)</f>
        <v>7.20136369366726</v>
      </c>
      <c r="H1795" s="6" t="n">
        <f aca="false">(Sens!H1794-Sens!H1790)*Sens!H1691/(Sens!H1691+Sens!H1693)</f>
        <v>6.95416506496969</v>
      </c>
      <c r="I1795" s="6" t="n">
        <f aca="false">(Sens!I1794-Sens!I1790)*Sens!I1691/(Sens!I1691+Sens!I1693)</f>
        <v>6.8523862972298</v>
      </c>
      <c r="J1795" s="6" t="n">
        <f aca="false">(Sens!J1794-Sens!J1790)*Sens!J1691/(Sens!J1691+Sens!J1693)</f>
        <v>6.88041663065707</v>
      </c>
      <c r="K1795" s="6" t="n">
        <f aca="false">(Sens!K1794-Sens!K1790)*Sens!K1691/(Sens!K1691+Sens!K1693)</f>
        <v>7.02830868606767</v>
      </c>
    </row>
    <row r="1796" customFormat="false" ht="17.15" hidden="false" customHeight="false" outlineLevel="0" collapsed="false">
      <c r="A1796" s="0" t="s">
        <v>959</v>
      </c>
      <c r="B1796" s="0" t="s">
        <v>95</v>
      </c>
      <c r="F1796" s="6" t="n">
        <f aca="false">Sens!F1794-Sens!F1790-Sens!F1795</f>
        <v>6.27527741435873</v>
      </c>
      <c r="G1796" s="6" t="n">
        <f aca="false">Sens!G1794-Sens!G1790-Sens!G1795</f>
        <v>6.17372705585024</v>
      </c>
      <c r="H1796" s="6" t="n">
        <f aca="false">Sens!H1794-Sens!H1790-Sens!H1795</f>
        <v>6.13866600865613</v>
      </c>
      <c r="I1796" s="6" t="n">
        <f aca="false">Sens!I1794-Sens!I1790-Sens!I1795</f>
        <v>6.16661872781916</v>
      </c>
      <c r="J1796" s="6" t="n">
        <f aca="false">Sens!J1794-Sens!J1790-Sens!J1795</f>
        <v>6.251224661634</v>
      </c>
      <c r="K1796" s="6" t="n">
        <f aca="false">Sens!K1794-Sens!K1790-Sens!K1795</f>
        <v>6.38559246429339</v>
      </c>
    </row>
    <row r="1797" customFormat="false" ht="17.15" hidden="false" customHeight="false" outlineLevel="0" collapsed="false">
      <c r="A1797" s="1" t="s">
        <v>960</v>
      </c>
      <c r="B1797" s="0" t="s">
        <v>95</v>
      </c>
      <c r="C1797" s="6" t="n">
        <f aca="false">(w_ntm28*Sens!G1791+(1-w_ntm28)*Sens!H1791)*m_ai*1</f>
        <v>551.711134531404</v>
      </c>
    </row>
    <row r="1798" customFormat="false" ht="17.15" hidden="false" customHeight="false" outlineLevel="0" collapsed="false">
      <c r="A1798" s="1" t="s">
        <v>961</v>
      </c>
      <c r="B1798" s="0" t="s">
        <v>95</v>
      </c>
      <c r="C1798" s="6" t="n">
        <f aca="false">(w_ntm28*Sens!G1793+(1-w_ntm28)*Sens!H1793)*m_cloud*1</f>
        <v>787.859738317445</v>
      </c>
    </row>
    <row r="1799" customFormat="false" ht="17.15" hidden="false" customHeight="false" outlineLevel="0" collapsed="false">
      <c r="A1799" s="1" t="s">
        <v>962</v>
      </c>
      <c r="B1799" s="0" t="s">
        <v>95</v>
      </c>
      <c r="C1799" s="6" t="n">
        <f aca="false">(w_ntm28*Sens!G1786+(1-w_ntm28)*Sens!H1786)*m_sw*1</f>
        <v>1075.09614805034</v>
      </c>
    </row>
    <row r="1800" customFormat="false" ht="17.15" hidden="false" customHeight="false" outlineLevel="0" collapsed="false">
      <c r="A1800" s="1" t="s">
        <v>963</v>
      </c>
      <c r="B1800" s="0" t="s">
        <v>95</v>
      </c>
      <c r="C1800" s="6" t="n">
        <f aca="false">(w_ntm28*Sens!G1787+(1-w_ntm28)*Sens!H1787)*m_sw*1</f>
        <v>365.327750472029</v>
      </c>
    </row>
    <row r="1801" customFormat="false" ht="17.15" hidden="false" customHeight="false" outlineLevel="0" collapsed="false">
      <c r="A1801" s="1" t="s">
        <v>964</v>
      </c>
      <c r="B1801" s="0" t="s">
        <v>95</v>
      </c>
      <c r="C1801" s="6" t="n">
        <f aca="false">(w_ntm28*Sens!G1788+(1-w_ntm28)*Sens!H1788)*m_sw*1</f>
        <v>100.632059915226</v>
      </c>
    </row>
    <row r="1802" customFormat="false" ht="17.15" hidden="false" customHeight="false" outlineLevel="0" collapsed="false">
      <c r="A1802" s="1" t="s">
        <v>965</v>
      </c>
      <c r="B1802" s="0" t="s">
        <v>95</v>
      </c>
      <c r="C1802" s="6" t="n">
        <f aca="false">(w_ntm28*Sens!G1789+(1-w_ntm28)*Sens!H1789)*m_sw*1</f>
        <v>38.3935566430804</v>
      </c>
    </row>
    <row r="1803" customFormat="false" ht="17.15" hidden="false" customHeight="false" outlineLevel="0" collapsed="false">
      <c r="A1803" s="1" t="s">
        <v>966</v>
      </c>
      <c r="B1803" s="0" t="s">
        <v>95</v>
      </c>
      <c r="C1803" s="6" t="n">
        <f aca="false">(w_ntm28*Sens!G1790+(1-w_ntm28)*Sens!H1790)*m_ads*1</f>
        <v>106.079381898405</v>
      </c>
    </row>
    <row r="1804" customFormat="false" ht="17.15" hidden="false" customHeight="false" outlineLevel="0" collapsed="false">
      <c r="A1804" s="1" t="s">
        <v>967</v>
      </c>
      <c r="B1804" s="0" t="s">
        <v>95</v>
      </c>
      <c r="C1804" s="6" t="n">
        <f aca="false">(w_ntm28*Sens!G1795+(1-w_ntm28)*Sens!H1795)*m_game*1</f>
        <v>89.9438809735021</v>
      </c>
    </row>
    <row r="1805" customFormat="false" ht="17.15" hidden="false" customHeight="false" outlineLevel="0" collapsed="false">
      <c r="A1805" s="1" t="s">
        <v>968</v>
      </c>
      <c r="B1805" s="0" t="s">
        <v>95</v>
      </c>
      <c r="C1805" s="6" t="n">
        <f aca="false">(w_ntm28*Sens!G1796+(1-w_ntm28)*Sens!H1796)*m_pc*1</f>
        <v>89.1698158799556</v>
      </c>
    </row>
    <row r="1806" customFormat="false" ht="17.15" hidden="false" customHeight="false" outlineLevel="0" collapsed="false">
      <c r="A1806" s="1" t="s">
        <v>969</v>
      </c>
      <c r="B1806" s="0" t="s">
        <v>95</v>
      </c>
      <c r="C1806" s="6" t="n">
        <f aca="false">Sens!$C$1797+Sens!$C$1798+Sens!$C$1799+Sens!$C$1800+Sens!$C$1801+Sens!$C$1802+Sens!$C$1803+Sens!$C$1804+Sens!$C$1805</f>
        <v>3204.21346668139</v>
      </c>
    </row>
    <row r="1807" customFormat="false" ht="17.15" hidden="false" customHeight="false" outlineLevel="0" collapsed="false">
      <c r="A1807" s="1" t="s">
        <v>903</v>
      </c>
      <c r="B1807" s="0" t="s">
        <v>95</v>
      </c>
      <c r="C1807" s="6" t="n">
        <f aca="false">Sens!F1764+oai_v-Sens!F1753</f>
        <v>115.234001052145</v>
      </c>
      <c r="L1807" s="1" t="s">
        <v>970</v>
      </c>
    </row>
    <row r="1808" customFormat="false" ht="15" hidden="false" customHeight="false" outlineLevel="0" collapsed="false">
      <c r="A1808" s="1" t="s">
        <v>904</v>
      </c>
      <c r="B1808" s="0" t="s">
        <v>73</v>
      </c>
      <c r="C1808" s="5" t="n">
        <f aca="false">(Sens!$C$1806+Sens!$C$1807)/Sens!F1766</f>
        <v>444.251534760912</v>
      </c>
    </row>
    <row r="1809" customFormat="false" ht="17.15" hidden="false" customHeight="false" outlineLevel="0" collapsed="false">
      <c r="A1809" s="1" t="s">
        <v>971</v>
      </c>
      <c r="B1809" s="0" t="s">
        <v>73</v>
      </c>
      <c r="C1809" s="5" t="n">
        <f aca="false">w_dcf*Sens!$C$1784+(1-w_dcf)*Sens!$C$1808</f>
        <v>387.734188985298</v>
      </c>
    </row>
    <row r="1810" customFormat="false" ht="17.15" hidden="false" customHeight="false" outlineLevel="0" collapsed="false">
      <c r="A1810" s="3" t="s">
        <v>1164</v>
      </c>
    </row>
    <row r="1811" customFormat="false" ht="15" hidden="false" customHeight="false" outlineLevel="0" collapsed="false">
      <c r="A1811" s="4" t="s">
        <v>43</v>
      </c>
      <c r="B1811" s="4" t="s">
        <v>63</v>
      </c>
      <c r="C1811" s="19" t="s">
        <v>710</v>
      </c>
      <c r="D1811" s="19" t="s">
        <v>711</v>
      </c>
      <c r="E1811" s="19" t="s">
        <v>712</v>
      </c>
      <c r="F1811" s="19" t="s">
        <v>713</v>
      </c>
      <c r="G1811" s="19" t="s">
        <v>714</v>
      </c>
      <c r="H1811" s="19" t="s">
        <v>715</v>
      </c>
      <c r="I1811" s="19" t="s">
        <v>716</v>
      </c>
      <c r="J1811" s="19" t="s">
        <v>717</v>
      </c>
      <c r="K1811" s="19" t="s">
        <v>718</v>
      </c>
      <c r="L1811" s="4" t="s">
        <v>47</v>
      </c>
    </row>
    <row r="1812" customFormat="false" ht="17.15" hidden="false" customHeight="false" outlineLevel="0" collapsed="false">
      <c r="A1812" s="1" t="s">
        <v>719</v>
      </c>
      <c r="B1812" s="0" t="s">
        <v>340</v>
      </c>
      <c r="C1812" s="27" t="n">
        <f aca="false">mw_ext_24</f>
        <v>640</v>
      </c>
      <c r="D1812" s="27" t="n">
        <f aca="false">mw_ext_25</f>
        <v>1630</v>
      </c>
      <c r="E1812" s="27" t="n">
        <f aca="false">mw_ext_26</f>
        <v>3250</v>
      </c>
      <c r="F1812" s="27" t="n">
        <f aca="false">MIN(1000000000,Sens!E1812+pace)</f>
        <v>5777.2</v>
      </c>
      <c r="G1812" s="27" t="n">
        <f aca="false">MIN(1000000000,Sens!F1812+pace)</f>
        <v>8304.4</v>
      </c>
      <c r="H1812" s="27" t="n">
        <f aca="false">MIN(1000000000,Sens!G1812+pace)</f>
        <v>10831.6</v>
      </c>
      <c r="I1812" s="27" t="n">
        <f aca="false">MIN(1000000000,Sens!H1812+pace)</f>
        <v>13358.8</v>
      </c>
      <c r="J1812" s="27" t="n">
        <f aca="false">MIN(1000000000,Sens!I1812+pace)</f>
        <v>15886</v>
      </c>
      <c r="K1812" s="27" t="n">
        <f aca="false">MIN(1000000000,Sens!J1812+pace)</f>
        <v>18413.2</v>
      </c>
      <c r="L1812" s="11" t="s">
        <v>720</v>
      </c>
    </row>
    <row r="1813" customFormat="false" ht="17.15" hidden="false" customHeight="false" outlineLevel="0" collapsed="false">
      <c r="A1813" s="1" t="s">
        <v>721</v>
      </c>
      <c r="B1813" s="0" t="s">
        <v>340</v>
      </c>
      <c r="C1813" s="27" t="n">
        <f aca="false">rent_ext_24</f>
        <v>150</v>
      </c>
      <c r="D1813" s="27" t="n">
        <f aca="false">rent_ext_25</f>
        <v>400</v>
      </c>
      <c r="E1813" s="27" t="n">
        <f aca="false">rent_ext_26</f>
        <v>550</v>
      </c>
      <c r="F1813" s="27" t="n">
        <f aca="false">rent_ext_f</f>
        <v>756</v>
      </c>
      <c r="G1813" s="27" t="n">
        <f aca="false">rent_ext_f</f>
        <v>756</v>
      </c>
      <c r="H1813" s="27" t="n">
        <f aca="false">rent_ext_f</f>
        <v>756</v>
      </c>
      <c r="I1813" s="27" t="n">
        <f aca="false">rent_ext_f</f>
        <v>756</v>
      </c>
      <c r="J1813" s="27" t="n">
        <f aca="false">rent_ext_f</f>
        <v>756</v>
      </c>
      <c r="K1813" s="27" t="n">
        <f aca="false">rent_ext_f</f>
        <v>756</v>
      </c>
      <c r="L1813" s="1" t="s">
        <v>722</v>
      </c>
    </row>
    <row r="1814" customFormat="false" ht="17.15" hidden="false" customHeight="false" outlineLevel="0" collapsed="false">
      <c r="A1814" s="1" t="s">
        <v>723</v>
      </c>
      <c r="B1814" s="0" t="s">
        <v>340</v>
      </c>
      <c r="C1814" s="27" t="n">
        <f aca="false">Sens!C1812-Sens!C1813</f>
        <v>490</v>
      </c>
      <c r="D1814" s="27" t="n">
        <f aca="false">Sens!D1812-Sens!D1813</f>
        <v>1230</v>
      </c>
      <c r="E1814" s="27" t="n">
        <f aca="false">Sens!E1812-Sens!E1813</f>
        <v>2700</v>
      </c>
      <c r="F1814" s="27" t="n">
        <f aca="false">Sens!F1812-Sens!F1813</f>
        <v>5021.2</v>
      </c>
      <c r="G1814" s="27" t="n">
        <f aca="false">Sens!G1812-Sens!G1813</f>
        <v>7548.4</v>
      </c>
      <c r="H1814" s="27" t="n">
        <f aca="false">Sens!H1812-Sens!H1813</f>
        <v>10075.6</v>
      </c>
      <c r="I1814" s="27" t="n">
        <f aca="false">Sens!I1812-Sens!I1813</f>
        <v>12602.8</v>
      </c>
      <c r="J1814" s="27" t="n">
        <f aca="false">Sens!J1812-Sens!J1813</f>
        <v>15130</v>
      </c>
      <c r="K1814" s="27" t="n">
        <f aca="false">Sens!K1812-Sens!K1813</f>
        <v>17657.2</v>
      </c>
    </row>
    <row r="1815" customFormat="false" ht="17.15" hidden="false" customHeight="false" outlineLevel="0" collapsed="false">
      <c r="A1815" s="1" t="s">
        <v>724</v>
      </c>
      <c r="B1815" s="0" t="s">
        <v>340</v>
      </c>
      <c r="C1815" s="27" t="n">
        <f aca="false">Sens!C1814/ext_sh_hi</f>
        <v>653.333333333333</v>
      </c>
      <c r="D1815" s="27" t="n">
        <f aca="false">Sens!D1814/ext_sh_hi</f>
        <v>1640</v>
      </c>
      <c r="E1815" s="27" t="n">
        <f aca="false">Sens!E1814/ext_sh_hi</f>
        <v>3600</v>
      </c>
      <c r="F1815" s="27" t="n">
        <f aca="false">Sens!F1814/ext_sh_hi</f>
        <v>6694.93333333333</v>
      </c>
      <c r="G1815" s="27" t="n">
        <f aca="false">Sens!G1814/ext_sh_hi</f>
        <v>10064.5333333333</v>
      </c>
      <c r="H1815" s="27" t="n">
        <f aca="false">Sens!H1814/ext_sh_hi</f>
        <v>13434.1333333333</v>
      </c>
      <c r="I1815" s="27" t="n">
        <f aca="false">Sens!I1814/ext_sh_hi</f>
        <v>16803.7333333333</v>
      </c>
      <c r="J1815" s="27" t="n">
        <f aca="false">Sens!J1814/ext_sh_hi</f>
        <v>20173.3333333333</v>
      </c>
      <c r="K1815" s="27" t="n">
        <f aca="false">Sens!K1814/ext_sh_hi</f>
        <v>23542.9333333333</v>
      </c>
      <c r="L1815" s="1" t="s">
        <v>725</v>
      </c>
    </row>
    <row r="1816" customFormat="false" ht="17.15" hidden="false" customHeight="false" outlineLevel="0" collapsed="false">
      <c r="A1816" s="1" t="s">
        <v>726</v>
      </c>
      <c r="B1816" s="0" t="s">
        <v>340</v>
      </c>
      <c r="C1816" s="27" t="n">
        <f aca="false">Sens!C1815-Sens!C1814</f>
        <v>163.333333333333</v>
      </c>
      <c r="D1816" s="27" t="n">
        <f aca="false">Sens!D1815-Sens!D1814</f>
        <v>410</v>
      </c>
      <c r="E1816" s="27" t="n">
        <f aca="false">Sens!E1815-Sens!E1814</f>
        <v>900</v>
      </c>
      <c r="F1816" s="27" t="n">
        <f aca="false">Sens!F1815-Sens!F1814</f>
        <v>1673.73333333333</v>
      </c>
      <c r="G1816" s="27" t="n">
        <f aca="false">Sens!G1815-Sens!G1814</f>
        <v>2516.13333333333</v>
      </c>
      <c r="H1816" s="27" t="n">
        <f aca="false">Sens!H1815-Sens!H1814</f>
        <v>3358.53333333333</v>
      </c>
      <c r="I1816" s="27" t="n">
        <f aca="false">Sens!I1815-Sens!I1814</f>
        <v>4200.93333333333</v>
      </c>
      <c r="J1816" s="27" t="n">
        <f aca="false">Sens!J1815-Sens!J1814</f>
        <v>5043.33333333333</v>
      </c>
      <c r="K1816" s="27" t="n">
        <f aca="false">Sens!K1815-Sens!K1814</f>
        <v>5885.73333333333</v>
      </c>
    </row>
    <row r="1817" customFormat="false" ht="17.15" hidden="false" customHeight="false" outlineLevel="0" collapsed="false">
      <c r="A1817" s="1" t="s">
        <v>727</v>
      </c>
      <c r="B1817" s="0" t="s">
        <v>340</v>
      </c>
      <c r="C1817" s="27" t="n">
        <f aca="false">Sens!C1815</f>
        <v>653.333333333333</v>
      </c>
      <c r="D1817" s="27" t="n">
        <f aca="false">Sens!D1815-Sens!C1815</f>
        <v>986.666666666667</v>
      </c>
      <c r="E1817" s="27" t="n">
        <f aca="false">Sens!E1815-Sens!D1815</f>
        <v>1960</v>
      </c>
      <c r="F1817" s="27" t="n">
        <f aca="false">Sens!F1815-Sens!E1815</f>
        <v>3094.93333333333</v>
      </c>
      <c r="G1817" s="27" t="n">
        <f aca="false">Sens!G1815-Sens!F1815</f>
        <v>3369.6</v>
      </c>
      <c r="H1817" s="27" t="n">
        <f aca="false">Sens!H1815-Sens!G1815</f>
        <v>3369.6</v>
      </c>
      <c r="I1817" s="27" t="n">
        <f aca="false">Sens!I1815-Sens!H1815</f>
        <v>3369.6</v>
      </c>
      <c r="J1817" s="27" t="n">
        <f aca="false">Sens!J1815-Sens!I1815</f>
        <v>3369.6</v>
      </c>
      <c r="K1817" s="27" t="n">
        <f aca="false">Sens!K1815-Sens!J1815</f>
        <v>3369.6</v>
      </c>
    </row>
    <row r="1818" customFormat="false" ht="17.15" hidden="false" customHeight="false" outlineLevel="0" collapsed="false">
      <c r="A1818" s="1" t="s">
        <v>728</v>
      </c>
      <c r="B1818" s="0" t="s">
        <v>340</v>
      </c>
      <c r="D1818" s="27" t="n">
        <f aca="false">Sens!D1812-Sens!C1812</f>
        <v>990</v>
      </c>
      <c r="E1818" s="27" t="n">
        <f aca="false">Sens!E1812-Sens!D1812</f>
        <v>1620</v>
      </c>
      <c r="F1818" s="27" t="n">
        <f aca="false">Sens!F1812-Sens!E1812</f>
        <v>2527.2</v>
      </c>
      <c r="G1818" s="27" t="n">
        <f aca="false">Sens!G1812-Sens!F1812</f>
        <v>2527.2</v>
      </c>
      <c r="H1818" s="27" t="n">
        <f aca="false">Sens!H1812-Sens!G1812</f>
        <v>2527.2</v>
      </c>
      <c r="I1818" s="27" t="n">
        <f aca="false">Sens!I1812-Sens!H1812</f>
        <v>2527.2</v>
      </c>
      <c r="J1818" s="27" t="n">
        <f aca="false">Sens!J1812-Sens!I1812</f>
        <v>2527.2</v>
      </c>
      <c r="K1818" s="27" t="n">
        <f aca="false">Sens!K1812-Sens!J1812</f>
        <v>2527.2</v>
      </c>
    </row>
    <row r="1819" customFormat="false" ht="17.15" hidden="false" customHeight="false" outlineLevel="0" collapsed="false">
      <c r="A1819" s="1" t="s">
        <v>729</v>
      </c>
      <c r="B1819" s="0" t="s">
        <v>340</v>
      </c>
      <c r="C1819" s="27" t="n">
        <f aca="false">mix_h*Sens!C1812</f>
        <v>128</v>
      </c>
      <c r="D1819" s="27" t="n">
        <f aca="false">mix_h*Sens!D1812</f>
        <v>326</v>
      </c>
      <c r="E1819" s="27" t="n">
        <f aca="false">mix_h*Sens!E1812</f>
        <v>650</v>
      </c>
      <c r="F1819" s="27" t="n">
        <f aca="false">Sens!E1819</f>
        <v>650</v>
      </c>
      <c r="G1819" s="27" t="n">
        <f aca="false">Sens!F1819</f>
        <v>650</v>
      </c>
      <c r="H1819" s="27" t="n">
        <f aca="false">Sens!G1819</f>
        <v>650</v>
      </c>
      <c r="I1819" s="27" t="n">
        <f aca="false">Sens!H1819</f>
        <v>650</v>
      </c>
      <c r="J1819" s="27" t="n">
        <f aca="false">Sens!I1819</f>
        <v>650</v>
      </c>
      <c r="K1819" s="27" t="n">
        <f aca="false">Sens!J1819</f>
        <v>650</v>
      </c>
    </row>
    <row r="1820" customFormat="false" ht="17.15" hidden="false" customHeight="false" outlineLevel="0" collapsed="false">
      <c r="A1820" s="1" t="s">
        <v>730</v>
      </c>
      <c r="B1820" s="0" t="s">
        <v>340</v>
      </c>
      <c r="C1820" s="27" t="n">
        <f aca="false">mix_g2*Sens!C1812</f>
        <v>288</v>
      </c>
      <c r="D1820" s="27" t="n">
        <f aca="false">mix_g2*Sens!D1812</f>
        <v>733.5</v>
      </c>
      <c r="E1820" s="27" t="n">
        <f aca="false">mix_g2*Sens!E1812</f>
        <v>1462.5</v>
      </c>
      <c r="F1820" s="27" t="n">
        <f aca="false">Sens!E1820</f>
        <v>1462.5</v>
      </c>
      <c r="G1820" s="27" t="n">
        <f aca="false">Sens!F1820</f>
        <v>1462.5</v>
      </c>
      <c r="H1820" s="27" t="n">
        <f aca="false">Sens!G1820</f>
        <v>1462.5</v>
      </c>
      <c r="I1820" s="27" t="n">
        <f aca="false">Sens!H1820</f>
        <v>1462.5</v>
      </c>
      <c r="J1820" s="27" t="n">
        <f aca="false">Sens!I1820</f>
        <v>1462.5</v>
      </c>
      <c r="K1820" s="27" t="n">
        <f aca="false">Sens!J1820</f>
        <v>1462.5</v>
      </c>
    </row>
    <row r="1821" customFormat="false" ht="17.15" hidden="false" customHeight="false" outlineLevel="0" collapsed="false">
      <c r="A1821" s="1" t="s">
        <v>731</v>
      </c>
      <c r="B1821" s="0" t="s">
        <v>340</v>
      </c>
      <c r="C1821" s="27" t="n">
        <f aca="false">mix_g3*Sens!C1812</f>
        <v>224</v>
      </c>
      <c r="D1821" s="27" t="n">
        <f aca="false">mix_g3*Sens!D1812</f>
        <v>570.5</v>
      </c>
      <c r="E1821" s="27" t="n">
        <f aca="false">mix_g3*Sens!E1812</f>
        <v>1137.5</v>
      </c>
      <c r="F1821" s="27" t="n">
        <f aca="false">Sens!E1821+Sens!F1818*a_g3_27</f>
        <v>2906.54</v>
      </c>
      <c r="G1821" s="27" t="n">
        <f aca="false">Sens!F1821+Sens!G1818*a_g3_28</f>
        <v>3664.7</v>
      </c>
      <c r="H1821" s="27" t="n">
        <f aca="false">Sens!G1821+Sens!H1818*a_g3_29</f>
        <v>3917.42</v>
      </c>
      <c r="I1821" s="27" t="n">
        <f aca="false">Sens!H1821+Sens!I1818*a_g3_29</f>
        <v>4170.14</v>
      </c>
      <c r="J1821" s="27" t="n">
        <f aca="false">Sens!I1821+Sens!J1818*a_g3_29</f>
        <v>4422.86</v>
      </c>
      <c r="K1821" s="27" t="n">
        <f aca="false">Sens!J1821+Sens!K1818*a_g3_29</f>
        <v>4675.58</v>
      </c>
    </row>
    <row r="1822" customFormat="false" ht="17.15" hidden="false" customHeight="false" outlineLevel="0" collapsed="false">
      <c r="A1822" s="1" t="s">
        <v>732</v>
      </c>
      <c r="B1822" s="0" t="s">
        <v>340</v>
      </c>
      <c r="C1822" s="27" t="n">
        <f aca="false">0</f>
        <v>0</v>
      </c>
      <c r="D1822" s="27" t="n">
        <f aca="false">0</f>
        <v>0</v>
      </c>
      <c r="E1822" s="27" t="n">
        <f aca="false">0</f>
        <v>0</v>
      </c>
      <c r="F1822" s="27" t="n">
        <f aca="false">Sens!E1822+Sens!F1818*(1-a_g3_27)</f>
        <v>758.16</v>
      </c>
      <c r="G1822" s="27" t="n">
        <f aca="false">Sens!F1822+Sens!G1818*(1-a_g3_28)</f>
        <v>2527.2</v>
      </c>
      <c r="H1822" s="27" t="n">
        <f aca="false">Sens!G1822+Sens!H1818*(1-a_g3_29)</f>
        <v>4801.68</v>
      </c>
      <c r="I1822" s="27" t="n">
        <f aca="false">Sens!H1822+Sens!I1818*(1-a_g3_29)</f>
        <v>7076.16</v>
      </c>
      <c r="J1822" s="27" t="n">
        <f aca="false">Sens!I1822+Sens!J1818*(1-a_g3_29)</f>
        <v>9350.64</v>
      </c>
      <c r="K1822" s="27" t="n">
        <f aca="false">Sens!J1822+Sens!K1818*(1-a_g3_29)</f>
        <v>11625.12</v>
      </c>
    </row>
    <row r="1823" customFormat="false" ht="17.15" hidden="false" customHeight="false" outlineLevel="0" collapsed="false">
      <c r="A1823" s="1" t="s">
        <v>733</v>
      </c>
      <c r="B1823" s="0" t="s">
        <v>291</v>
      </c>
      <c r="C1823" s="18" t="n">
        <f aca="false">(Sens!C1819*tk_hold_h100+Sens!C1820*tk_hold_gb200+Sens!C1821*tk_hold_gb300+Sens!C1822*tk_hold_vr200)/Sens!C1812</f>
        <v>9.7235358126469</v>
      </c>
      <c r="D1823" s="18" t="n">
        <f aca="false">(Sens!D1819*tk_hold_h100+Sens!D1820*tk_hold_gb200+Sens!D1821*tk_hold_gb300+Sens!D1822*tk_hold_vr200)/Sens!D1812</f>
        <v>9.7235358126469</v>
      </c>
      <c r="E1823" s="18" t="n">
        <f aca="false">(Sens!E1819*tk_hold_h100+Sens!E1820*tk_hold_gb200+Sens!E1821*tk_hold_gb300+Sens!E1822*tk_hold_vr200)/Sens!E1812</f>
        <v>9.7235358126469</v>
      </c>
      <c r="F1823" s="18" t="n">
        <f aca="false">(Sens!F1819*tk_hold_h100+Sens!F1820*tk_hold_gb200+Sens!F1821*tk_hold_gb300+Sens!F1822*tk_hold_vr200)/Sens!F1812</f>
        <v>10.4079573161931</v>
      </c>
      <c r="G1823" s="18" t="n">
        <f aca="false">(Sens!G1819*tk_hold_h100+Sens!G1820*tk_hold_gb200+Sens!G1821*tk_hold_gb300+Sens!G1822*tk_hold_vr200)/Sens!G1812</f>
        <v>10.8388131109316</v>
      </c>
      <c r="H1823" s="18" t="n">
        <f aca="false">(Sens!H1819*tk_hold_h100+Sens!H1820*tk_hold_gb200+Sens!H1821*tk_hold_gb300+Sens!H1822*tk_hold_vr200)/Sens!H1812</f>
        <v>11.1311018388216</v>
      </c>
      <c r="I1823" s="18" t="n">
        <f aca="false">(Sens!I1819*tk_hold_h100+Sens!I1820*tk_hold_gb200+Sens!I1821*tk_hold_gb300+Sens!I1822*tk_hold_vr200)/Sens!I1812</f>
        <v>11.3128009818501</v>
      </c>
      <c r="J1823" s="18" t="n">
        <f aca="false">(Sens!J1819*tk_hold_h100+Sens!J1820*tk_hold_gb200+Sens!J1821*tk_hold_gb300+Sens!J1822*tk_hold_vr200)/Sens!J1812</f>
        <v>11.4366894646418</v>
      </c>
      <c r="K1823" s="18" t="n">
        <f aca="false">(Sens!K1819*tk_hold_h100+Sens!K1820*tk_hold_gb200+Sens!K1821*tk_hold_gb300+Sens!K1822*tk_hold_vr200)/Sens!K1812</f>
        <v>11.526570716348</v>
      </c>
    </row>
    <row r="1824" customFormat="false" ht="17.15" hidden="false" customHeight="false" outlineLevel="0" collapsed="false">
      <c r="A1824" s="0" t="s">
        <v>734</v>
      </c>
      <c r="B1824" s="0" t="s">
        <v>182</v>
      </c>
      <c r="C1824" s="18" t="n">
        <f aca="false">k_B</f>
        <v>1.17213932619116</v>
      </c>
      <c r="D1824" s="18" t="n">
        <f aca="false">k_B</f>
        <v>1.17213932619116</v>
      </c>
      <c r="E1824" s="18" t="n">
        <f aca="false">k_B</f>
        <v>1.17213932619116</v>
      </c>
      <c r="F1824" s="18" t="n">
        <f aca="false">(k_B+((ls_B*k_long+(1-ls_B)*k_spot)-k_B)*MIN(1,1/3))*1</f>
        <v>1.17213932619116</v>
      </c>
      <c r="G1824" s="18" t="n">
        <f aca="false">(k_B+((ls_B*k_long+(1-ls_B)*k_spot)-k_B)*MIN(1,2/3))*1</f>
        <v>1.17213932619116</v>
      </c>
      <c r="H1824" s="18" t="n">
        <f aca="false">(k_B+((ls_B*k_long+(1-ls_B)*k_spot)-k_B)*MIN(1,3/3))*1</f>
        <v>1.17213932619116</v>
      </c>
      <c r="I1824" s="18" t="n">
        <f aca="false">(k_B+((ls_B*k_long+(1-ls_B)*k_spot)-k_B)*MIN(1,4/3))*1</f>
        <v>1.17213932619116</v>
      </c>
      <c r="J1824" s="18" t="n">
        <f aca="false">(k_B+((ls_B*k_long+(1-ls_B)*k_spot)-k_B)*MIN(1,5/3))*1</f>
        <v>1.17213932619116</v>
      </c>
      <c r="K1824" s="18" t="n">
        <f aca="false">(k_B+((ls_B*k_long+(1-ls_B)*k_spot)-k_B)*MIN(1,6/3))*1</f>
        <v>1.17213932619116</v>
      </c>
      <c r="L1824" s="1" t="s">
        <v>735</v>
      </c>
    </row>
    <row r="1825" customFormat="false" ht="17.15" hidden="false" customHeight="false" outlineLevel="0" collapsed="false">
      <c r="A1825" s="1" t="s">
        <v>736</v>
      </c>
      <c r="B1825" s="0" t="s">
        <v>291</v>
      </c>
      <c r="C1825" s="18" t="n">
        <f aca="false">Sens!C1823*Sens!C1824*chip_f</f>
        <v>11.3973387156315</v>
      </c>
      <c r="D1825" s="18" t="n">
        <f aca="false">Sens!D1823*Sens!D1824*chip_f</f>
        <v>11.3973387156315</v>
      </c>
      <c r="E1825" s="18" t="n">
        <f aca="false">Sens!E1823*Sens!E1824*chip_f</f>
        <v>11.3973387156315</v>
      </c>
      <c r="F1825" s="18" t="n">
        <f aca="false">Sens!F1823*Sens!F1824*chip_f</f>
        <v>12.1995760756289</v>
      </c>
      <c r="G1825" s="18" t="n">
        <f aca="false">Sens!G1823*Sens!G1824*chip_f</f>
        <v>12.7045990965592</v>
      </c>
      <c r="H1825" s="18" t="n">
        <f aca="false">Sens!H1823*Sens!H1824*chip_f</f>
        <v>13.0472022091214</v>
      </c>
      <c r="I1825" s="18" t="n">
        <f aca="false">Sens!I1823*Sens!I1824*chip_f</f>
        <v>13.2601789202004</v>
      </c>
      <c r="J1825" s="18" t="n">
        <f aca="false">Sens!J1823*Sens!J1824*chip_f</f>
        <v>13.4053934829427</v>
      </c>
      <c r="K1825" s="18" t="n">
        <f aca="false">Sens!K1823*Sens!K1824*chip_f</f>
        <v>13.5107468327548</v>
      </c>
      <c r="L1825" s="1" t="s">
        <v>737</v>
      </c>
    </row>
    <row r="1826" customFormat="false" ht="17.15" hidden="false" customHeight="false" outlineLevel="0" collapsed="false">
      <c r="A1826" s="0" t="s">
        <v>738</v>
      </c>
      <c r="B1826" s="0" t="s">
        <v>95</v>
      </c>
      <c r="D1826" s="6" t="n">
        <f aca="false">(Sens!C1812+Sens!D1812)/2*Sens!D1825/1000</f>
        <v>12.9359794422418</v>
      </c>
      <c r="E1826" s="6" t="n">
        <f aca="false">(Sens!D1812+Sens!E1812)/2*Sens!E1825/1000</f>
        <v>27.8095064661409</v>
      </c>
      <c r="F1826" s="6" t="n">
        <f aca="false">(Sens!E1812+Sens!F1812)/2*Sens!F1825/1000</f>
        <v>55.0640065749585</v>
      </c>
      <c r="G1826" s="6" t="n">
        <f aca="false">(Sens!F1812+Sens!G1812)/2*Sens!G1825/1000</f>
        <v>89.4505413190538</v>
      </c>
      <c r="H1826" s="6" t="n">
        <f aca="false">(Sens!G1812+Sens!H1812)/2*Sens!H1825/1000</f>
        <v>124.835630736874</v>
      </c>
      <c r="I1826" s="6" t="n">
        <f aca="false">(Sens!H1812+Sens!I1812)/2*Sens!I1825/1000</f>
        <v>160.384516075608</v>
      </c>
      <c r="J1826" s="6" t="n">
        <f aca="false">(Sens!I1812+Sens!J1812)/2*Sens!J1825/1000</f>
        <v>196.019025664981</v>
      </c>
      <c r="K1826" s="6" t="n">
        <f aca="false">(Sens!J1812+Sens!K1812)/2*Sens!K1825/1000</f>
        <v>231.703903883012</v>
      </c>
      <c r="L1826" s="11" t="s">
        <v>739</v>
      </c>
    </row>
    <row r="1827" customFormat="false" ht="17.15" hidden="false" customHeight="false" outlineLevel="0" collapsed="false">
      <c r="A1827" s="1" t="s">
        <v>740</v>
      </c>
      <c r="B1827" s="0" t="s">
        <v>291</v>
      </c>
      <c r="C1827" s="18" t="n">
        <f aca="false">(Sens!C1819*tk_opex_h100+Sens!C1820*tk_opex_gb200+Sens!C1821*tk_opex_gb300+Sens!C1822*tk_opex_vr200)/Sens!C1812</f>
        <v>1.88636041306092</v>
      </c>
      <c r="D1827" s="18" t="n">
        <f aca="false">(Sens!D1819*tk_opex_h100+Sens!D1820*tk_opex_gb200+Sens!D1821*tk_opex_gb300+Sens!D1822*tk_opex_vr200)/Sens!D1812</f>
        <v>1.88636041306092</v>
      </c>
      <c r="E1827" s="18" t="n">
        <f aca="false">(Sens!E1819*tk_opex_h100+Sens!E1820*tk_opex_gb200+Sens!E1821*tk_opex_gb300+Sens!E1822*tk_opex_vr200)/Sens!E1812</f>
        <v>1.88636041306092</v>
      </c>
      <c r="F1827" s="18" t="n">
        <f aca="false">(Sens!F1819*tk_opex_h100+Sens!F1820*tk_opex_gb200+Sens!F1821*tk_opex_gb300+Sens!F1822*tk_opex_vr200)/Sens!F1812</f>
        <v>1.9430236476499</v>
      </c>
      <c r="G1827" s="18" t="n">
        <f aca="false">(Sens!G1819*tk_opex_h100+Sens!G1820*tk_opex_gb200+Sens!G1821*tk_opex_gb300+Sens!G1822*tk_opex_vr200)/Sens!G1812</f>
        <v>1.9786941852423</v>
      </c>
      <c r="H1827" s="18" t="n">
        <f aca="false">(Sens!H1819*tk_opex_h100+Sens!H1820*tk_opex_gb200+Sens!H1821*tk_opex_gb300+Sens!H1822*tk_opex_vr200)/Sens!H1812</f>
        <v>2.00289275976156</v>
      </c>
      <c r="I1827" s="18" t="n">
        <f aca="false">(Sens!I1819*tk_opex_h100+Sens!I1820*tk_opex_gb200+Sens!I1821*tk_opex_gb300+Sens!I1822*tk_opex_vr200)/Sens!I1812</f>
        <v>2.01793562605478</v>
      </c>
      <c r="J1827" s="18" t="n">
        <f aca="false">(Sens!J1819*tk_opex_h100+Sens!J1820*tk_opex_gb200+Sens!J1821*tk_opex_gb300+Sens!J1822*tk_opex_vr200)/Sens!J1812</f>
        <v>2.02819234961902</v>
      </c>
      <c r="K1827" s="18" t="n">
        <f aca="false">(Sens!K1819*tk_opex_h100+Sens!K1820*tk_opex_gb200+Sens!K1821*tk_opex_gb300+Sens!K1822*tk_opex_vr200)/Sens!K1812</f>
        <v>2.0356336155994</v>
      </c>
    </row>
    <row r="1828" customFormat="false" ht="17.15" hidden="false" customHeight="false" outlineLevel="0" collapsed="false">
      <c r="A1828" s="0" t="s">
        <v>741</v>
      </c>
      <c r="B1828" s="0" t="s">
        <v>95</v>
      </c>
      <c r="D1828" s="6" t="n">
        <f aca="false">(Sens!C1815+Sens!D1815)/2*Sens!D1827/1000</f>
        <v>2.16302660697652</v>
      </c>
      <c r="E1828" s="6" t="n">
        <f aca="false">(Sens!D1815+Sens!E1815)/2*Sens!E1827/1000</f>
        <v>4.9422642822196</v>
      </c>
      <c r="F1828" s="6" t="n">
        <f aca="false">(Sens!E1815+Sens!F1815)/2*Sens!F1827/1000</f>
        <v>10.001649458823</v>
      </c>
      <c r="G1828" s="6" t="n">
        <f aca="false">(Sens!F1815+Sens!G1815)/2*Sens!G1827/1000</f>
        <v>16.5809296205477</v>
      </c>
      <c r="H1828" s="6" t="n">
        <f aca="false">(Sens!G1815+Sens!H1815)/2*Sens!H1827/1000</f>
        <v>23.5326546653585</v>
      </c>
      <c r="I1828" s="6" t="n">
        <f aca="false">(Sens!H1815+Sens!I1815)/2*Sens!I1827/1000</f>
        <v>30.5090342012804</v>
      </c>
      <c r="J1828" s="6" t="n">
        <f aca="false">(Sens!I1815+Sens!J1815)/2*Sens!J1827/1000</f>
        <v>37.4983018623429</v>
      </c>
      <c r="K1828" s="6" t="n">
        <f aca="false">(Sens!J1815+Sens!K1815)/2*Sens!K1827/1000</f>
        <v>44.4951509875872</v>
      </c>
    </row>
    <row r="1829" customFormat="false" ht="17.15" hidden="false" customHeight="false" outlineLevel="0" collapsed="false">
      <c r="A1829" s="0" t="s">
        <v>742</v>
      </c>
      <c r="B1829" s="0" t="s">
        <v>95</v>
      </c>
      <c r="D1829" s="6" t="n">
        <f aca="false">(Sens!C1813+Sens!D1813)/2*rent_mw/1000</f>
        <v>2.44475</v>
      </c>
      <c r="E1829" s="6" t="n">
        <f aca="false">(Sens!D1813+Sens!E1813)/2*rent_mw/1000</f>
        <v>4.22275</v>
      </c>
      <c r="F1829" s="6" t="n">
        <f aca="false">(Sens!E1813+Sens!F1813)/2*rent_mw/1000</f>
        <v>5.80517</v>
      </c>
      <c r="G1829" s="6" t="n">
        <f aca="false">(Sens!F1813+Sens!G1813)/2*rent_mw/1000</f>
        <v>6.72084</v>
      </c>
      <c r="H1829" s="6" t="n">
        <f aca="false">(Sens!G1813+Sens!H1813)/2*rent_mw/1000</f>
        <v>6.72084</v>
      </c>
      <c r="I1829" s="6" t="n">
        <f aca="false">(Sens!H1813+Sens!I1813)/2*rent_mw/1000</f>
        <v>6.72084</v>
      </c>
      <c r="J1829" s="6" t="n">
        <f aca="false">(Sens!I1813+Sens!J1813)/2*rent_mw/1000</f>
        <v>6.72084</v>
      </c>
      <c r="K1829" s="6" t="n">
        <f aca="false">(Sens!J1813+Sens!K1813)/2*rent_mw/1000</f>
        <v>6.72084</v>
      </c>
    </row>
    <row r="1830" customFormat="false" ht="17.15" hidden="false" customHeight="false" outlineLevel="0" collapsed="false">
      <c r="A1830" s="0" t="s">
        <v>743</v>
      </c>
      <c r="B1830" s="0" t="s">
        <v>95</v>
      </c>
      <c r="D1830" s="6" t="n">
        <f aca="false">(Sens!C1815+Sens!D1815)/2*(1-self_build)*fac_rent/1000</f>
        <v>0.682593900504861</v>
      </c>
      <c r="E1830" s="6" t="n">
        <f aca="false">(Sens!D1815+Sens!E1815)/2*(1-self_build)*fac_rent/1000</f>
        <v>1.55964769126983</v>
      </c>
      <c r="F1830" s="6" t="n">
        <f aca="false">(Sens!E1815+Sens!F1815)/2*(1-self_build)*fac_rent/1000</f>
        <v>3.06421164219659</v>
      </c>
      <c r="G1830" s="6" t="n">
        <f aca="false">(Sens!F1815+Sens!G1815)/2*(1-self_build)*fac_rent/1000</f>
        <v>4.9883327277825</v>
      </c>
      <c r="H1830" s="6" t="n">
        <f aca="false">(Sens!G1815+Sens!H1815)/2*(1-self_build)*fac_rent/1000</f>
        <v>6.99420633866143</v>
      </c>
      <c r="I1830" s="6" t="n">
        <f aca="false">(Sens!H1815+Sens!I1815)/2*(1-self_build)*fac_rent/1000</f>
        <v>9.00007994954036</v>
      </c>
      <c r="J1830" s="6" t="n">
        <f aca="false">(Sens!I1815+Sens!J1815)/2*(1-self_build)*fac_rent/1000</f>
        <v>11.0059535604193</v>
      </c>
      <c r="K1830" s="6" t="n">
        <f aca="false">(Sens!J1815+Sens!K1815)/2*(1-self_build)*fac_rent/1000</f>
        <v>13.0118271712982</v>
      </c>
      <c r="L1830" s="11" t="s">
        <v>744</v>
      </c>
    </row>
    <row r="1831" customFormat="false" ht="17.15" hidden="false" customHeight="false" outlineLevel="0" collapsed="false">
      <c r="A1831" s="1" t="s">
        <v>745</v>
      </c>
      <c r="B1831" s="0" t="s">
        <v>126</v>
      </c>
      <c r="D1831" s="7" t="n">
        <f aca="false">(Sens!C1814+Sens!D1814)/(Sens!C1815+Sens!D1815)</f>
        <v>0.75</v>
      </c>
      <c r="E1831" s="7" t="n">
        <f aca="false">(Sens!D1814+Sens!E1814)/(Sens!D1815+Sens!E1815)</f>
        <v>0.75</v>
      </c>
      <c r="F1831" s="7" t="n">
        <f aca="false">(Sens!E1814+Sens!F1814)/(Sens!E1815+Sens!F1815)</f>
        <v>0.75</v>
      </c>
      <c r="G1831" s="7" t="n">
        <f aca="false">(Sens!F1814+Sens!G1814)/(Sens!F1815+Sens!G1815)</f>
        <v>0.75</v>
      </c>
      <c r="H1831" s="7" t="n">
        <f aca="false">(Sens!G1814+Sens!H1814)/(Sens!G1815+Sens!H1815)</f>
        <v>0.75</v>
      </c>
      <c r="I1831" s="7" t="n">
        <f aca="false">(Sens!H1814+Sens!I1814)/(Sens!H1815+Sens!I1815)</f>
        <v>0.75</v>
      </c>
      <c r="J1831" s="7" t="n">
        <f aca="false">(Sens!I1814+Sens!J1814)/(Sens!I1815+Sens!J1815)</f>
        <v>0.75</v>
      </c>
      <c r="K1831" s="7" t="n">
        <f aca="false">(Sens!J1814+Sens!K1814)/(Sens!J1815+Sens!K1815)</f>
        <v>0.75</v>
      </c>
    </row>
    <row r="1832" customFormat="false" ht="17.15" hidden="false" customHeight="false" outlineLevel="0" collapsed="false">
      <c r="A1832" s="0" t="s">
        <v>746</v>
      </c>
      <c r="B1832" s="0" t="s">
        <v>95</v>
      </c>
      <c r="D1832" s="6" t="n">
        <f aca="false">Sens!D1826-Sens!D1831*(Sens!D1828+Sens!D1830)-Sens!D1829</f>
        <v>8.35701406163072</v>
      </c>
      <c r="E1832" s="6" t="n">
        <f aca="false">Sens!E1826-Sens!E1831*(Sens!E1828+Sens!E1830)-Sens!E1829</f>
        <v>18.7103224860238</v>
      </c>
      <c r="F1832" s="6" t="n">
        <f aca="false">Sens!F1826-Sens!F1831*(Sens!F1828+Sens!F1830)-Sens!F1829</f>
        <v>39.4594407491938</v>
      </c>
      <c r="G1832" s="6" t="n">
        <f aca="false">Sens!G1826-Sens!G1831*(Sens!G1828+Sens!G1830)-Sens!G1829</f>
        <v>66.5527545578061</v>
      </c>
      <c r="H1832" s="6" t="n">
        <f aca="false">Sens!H1826-Sens!H1831*(Sens!H1828+Sens!H1830)-Sens!H1829</f>
        <v>95.219644983859</v>
      </c>
      <c r="I1832" s="6" t="n">
        <f aca="false">Sens!I1826-Sens!I1831*(Sens!I1828+Sens!I1830)-Sens!I1829</f>
        <v>124.031840462493</v>
      </c>
      <c r="J1832" s="6" t="n">
        <f aca="false">Sens!J1826-Sens!J1831*(Sens!J1828+Sens!J1830)-Sens!J1829</f>
        <v>152.919994097909</v>
      </c>
      <c r="K1832" s="6" t="n">
        <f aca="false">Sens!K1826-Sens!K1831*(Sens!K1828+Sens!K1830)-Sens!K1829</f>
        <v>181.852830263848</v>
      </c>
    </row>
    <row r="1833" customFormat="false" ht="17.15" hidden="false" customHeight="false" outlineLevel="0" collapsed="false">
      <c r="A1833" s="1" t="s">
        <v>747</v>
      </c>
      <c r="B1833" s="0" t="s">
        <v>95</v>
      </c>
      <c r="D1833" s="6" t="n">
        <f aca="false">(1-Sens!D1831)*(Sens!D1828+Sens!D1830)</f>
        <v>0.711405126870345</v>
      </c>
      <c r="E1833" s="6" t="n">
        <f aca="false">(1-Sens!E1831)*(Sens!E1828+Sens!E1830)</f>
        <v>1.62547799337236</v>
      </c>
      <c r="F1833" s="6" t="n">
        <f aca="false">(1-Sens!F1831)*(Sens!F1828+Sens!F1830)</f>
        <v>3.26646527525489</v>
      </c>
      <c r="G1833" s="6" t="n">
        <f aca="false">(1-Sens!G1831)*(Sens!G1828+Sens!G1830)</f>
        <v>5.39231558708256</v>
      </c>
      <c r="H1833" s="6" t="n">
        <f aca="false">(1-Sens!H1831)*(Sens!H1828+Sens!H1830)</f>
        <v>7.63171525100499</v>
      </c>
      <c r="I1833" s="6" t="n">
        <f aca="false">(1-Sens!I1831)*(Sens!I1828+Sens!I1830)</f>
        <v>9.8772785377052</v>
      </c>
      <c r="J1833" s="6" t="n">
        <f aca="false">(1-Sens!J1831)*(Sens!J1828+Sens!J1830)</f>
        <v>12.1260638556905</v>
      </c>
      <c r="K1833" s="6" t="n">
        <f aca="false">(1-Sens!K1831)*(Sens!K1828+Sens!K1830)</f>
        <v>14.3767445397213</v>
      </c>
    </row>
    <row r="1834" customFormat="false" ht="17.15" hidden="false" customHeight="false" outlineLevel="0" collapsed="false">
      <c r="A1834" s="1" t="s">
        <v>748</v>
      </c>
      <c r="B1834" s="0" t="s">
        <v>302</v>
      </c>
      <c r="C1834" s="8" t="n">
        <f aca="false">cxit_open</f>
        <v>27.5918995</v>
      </c>
      <c r="D1834" s="8" t="n">
        <f aca="false">cxit_open</f>
        <v>27.5918995</v>
      </c>
      <c r="E1834" s="8" t="n">
        <f aca="false">cxit_open</f>
        <v>27.5918995</v>
      </c>
      <c r="F1834" s="8" t="n">
        <f aca="false">(a_g3_27*tk_cxit_gb300+(1-a_g3_27)*tk_cxit_vr200)</f>
        <v>33.8419624</v>
      </c>
      <c r="G1834" s="8" t="n">
        <f aca="false">(a_g3_28*tk_cxit_gb300+(1-a_g3_28)*tk_cxit_vr200)</f>
        <v>35.9816136</v>
      </c>
      <c r="H1834" s="8" t="n">
        <f aca="false">(a_g3_29*tk_cxit_gb300+(1-a_g3_29)*tk_cxit_vr200)</f>
        <v>37.0514392</v>
      </c>
      <c r="I1834" s="8" t="n">
        <f aca="false">(a_g3_29*tk_cxit_gb300+(1-a_g3_29)*tk_cxit_vr200)</f>
        <v>37.0514392</v>
      </c>
      <c r="J1834" s="8" t="n">
        <f aca="false">(a_g3_29*tk_cxit_gb300+(1-a_g3_29)*tk_cxit_vr200)</f>
        <v>37.0514392</v>
      </c>
      <c r="K1834" s="8" t="n">
        <f aca="false">(a_g3_29*tk_cxit_gb300+(1-a_g3_29)*tk_cxit_vr200)</f>
        <v>37.0514392</v>
      </c>
      <c r="L1834" s="11" t="s">
        <v>749</v>
      </c>
    </row>
    <row r="1835" customFormat="false" ht="17.15" hidden="false" customHeight="false" outlineLevel="0" collapsed="false">
      <c r="A1835" s="0" t="s">
        <v>750</v>
      </c>
      <c r="B1835" s="0" t="s">
        <v>340</v>
      </c>
      <c r="F1835" s="27" t="n">
        <f aca="false">Sens!C1817*IF(3=life_it,1,0)+Sens!D1817*IF(2=life_it,1,0)+Sens!E1817*IF(1=life_it,1,0)</f>
        <v>0</v>
      </c>
      <c r="G1835" s="27" t="n">
        <f aca="false">Sens!C1817*IF(4=life_it,1,0)+Sens!D1817*IF(3=life_it,1,0)+Sens!E1817*IF(2=life_it,1,0)+Sens!F1817*IF(1=life_it,1,0)</f>
        <v>0</v>
      </c>
      <c r="H1835" s="27" t="n">
        <f aca="false">Sens!C1817*IF(5=life_it,1,0)+Sens!D1817*IF(4=life_it,1,0)+Sens!E1817*IF(3=life_it,1,0)+Sens!F1817*IF(2=life_it,1,0)+Sens!G1817*IF(1=life_it,1,0)</f>
        <v>0</v>
      </c>
      <c r="I1835" s="27" t="n">
        <f aca="false">Sens!C1817*IF(6=life_it,1,0)+Sens!D1817*IF(5=life_it,1,0)+Sens!E1817*IF(4=life_it,1,0)+Sens!F1817*IF(3=life_it,1,0)+Sens!G1817*IF(2=life_it,1,0)+Sens!H1817*IF(1=life_it,1,0)</f>
        <v>653.333333333333</v>
      </c>
      <c r="J1835" s="27" t="n">
        <f aca="false">Sens!C1817*IF(7=life_it,1,0)+Sens!D1817*IF(6=life_it,1,0)+Sens!E1817*IF(5=life_it,1,0)+Sens!F1817*IF(4=life_it,1,0)+Sens!G1817*IF(3=life_it,1,0)+Sens!H1817*IF(2=life_it,1,0)+Sens!I1817*IF(1=life_it,1,0)</f>
        <v>986.666666666667</v>
      </c>
      <c r="K1835" s="27" t="n">
        <f aca="false">Sens!C1817*IF(8=life_it,1,0)+Sens!D1817*IF(7=life_it,1,0)+Sens!E1817*IF(6=life_it,1,0)+Sens!F1817*IF(5=life_it,1,0)+Sens!G1817*IF(4=life_it,1,0)+Sens!H1817*IF(3=life_it,1,0)+Sens!I1817*IF(2=life_it,1,0)+Sens!J1817*IF(1=life_it,1,0)</f>
        <v>1960</v>
      </c>
      <c r="L1835" s="1" t="s">
        <v>751</v>
      </c>
    </row>
    <row r="1836" customFormat="false" ht="17.15" hidden="false" customHeight="false" outlineLevel="0" collapsed="false">
      <c r="A1836" s="0" t="s">
        <v>752</v>
      </c>
      <c r="B1836" s="0" t="s">
        <v>95</v>
      </c>
      <c r="C1836" s="6" t="n">
        <f aca="false">Sens!C1817*Sens!C1834/1000</f>
        <v>18.0267076733333</v>
      </c>
      <c r="D1836" s="6" t="n">
        <f aca="false">Sens!D1817*Sens!D1834/1000</f>
        <v>27.2240075066667</v>
      </c>
      <c r="E1836" s="6" t="n">
        <f aca="false">Sens!E1817*Sens!E1834/1000</f>
        <v>54.08012302</v>
      </c>
      <c r="F1836" s="6" t="n">
        <f aca="false">(Sens!F1817+Sens!F1835)*Sens!F1834/1000</f>
        <v>104.738617497173</v>
      </c>
      <c r="G1836" s="6" t="n">
        <f aca="false">(Sens!G1817+Sens!G1835)*Sens!G1834/1000</f>
        <v>121.24364518656</v>
      </c>
      <c r="H1836" s="6" t="n">
        <f aca="false">(Sens!H1817+Sens!H1835)*Sens!H1834/1000</f>
        <v>124.84852952832</v>
      </c>
      <c r="I1836" s="6" t="n">
        <f aca="false">(Sens!I1817+Sens!I1835)*Sens!I1834/1000</f>
        <v>149.055469805653</v>
      </c>
      <c r="J1836" s="6" t="n">
        <f aca="false">(Sens!J1817+Sens!J1835)*Sens!J1834/1000</f>
        <v>161.405949538987</v>
      </c>
      <c r="K1836" s="6" t="n">
        <f aca="false">(Sens!K1817+Sens!K1835)*Sens!K1834/1000</f>
        <v>197.46935036032</v>
      </c>
    </row>
    <row r="1837" customFormat="false" ht="17.15" hidden="false" customHeight="false" outlineLevel="0" collapsed="false">
      <c r="A1837" s="0" t="s">
        <v>753</v>
      </c>
      <c r="B1837" s="0" t="s">
        <v>95</v>
      </c>
      <c r="C1837" s="6" t="n">
        <f aca="false">Sens!C1817*self_build*tk_cxfac/1000</f>
        <v>4.96664</v>
      </c>
      <c r="D1837" s="6" t="n">
        <f aca="false">Sens!D1817*self_build*tk_cxfac/1000</f>
        <v>7.50064</v>
      </c>
      <c r="E1837" s="6" t="n">
        <f aca="false">Sens!E1817*self_build*tk_cxfac/1000</f>
        <v>14.89992</v>
      </c>
      <c r="F1837" s="6" t="n">
        <f aca="false">Sens!F1817*self_build*tk_cxfac/1000</f>
        <v>23.5276832</v>
      </c>
      <c r="G1837" s="6" t="n">
        <f aca="false">Sens!G1817*self_build*tk_cxfac/1000</f>
        <v>25.6156992</v>
      </c>
      <c r="H1837" s="6" t="n">
        <f aca="false">Sens!H1817*self_build*tk_cxfac/1000</f>
        <v>25.6156992</v>
      </c>
      <c r="I1837" s="6" t="n">
        <f aca="false">Sens!I1817*self_build*tk_cxfac/1000</f>
        <v>25.6156992</v>
      </c>
      <c r="J1837" s="6" t="n">
        <f aca="false">Sens!J1817*self_build*tk_cxfac/1000</f>
        <v>25.6156992</v>
      </c>
      <c r="K1837" s="6" t="n">
        <f aca="false">Sens!K1817*self_build*tk_cxfac/1000</f>
        <v>25.6156992</v>
      </c>
    </row>
    <row r="1838" customFormat="false" ht="17.15" hidden="false" customHeight="false" outlineLevel="0" collapsed="false">
      <c r="A1838" s="0" t="s">
        <v>754</v>
      </c>
      <c r="B1838" s="0" t="s">
        <v>95</v>
      </c>
      <c r="F1838" s="6" t="n">
        <f aca="false">MAX(0,capex_floor27-Sens!F1836-Sens!F1837-Sens!F1925)</f>
        <v>40.3543520732642</v>
      </c>
      <c r="G1838" s="6" t="n">
        <f aca="false">0</f>
        <v>0</v>
      </c>
      <c r="H1838" s="6" t="n">
        <f aca="false">0</f>
        <v>0</v>
      </c>
      <c r="I1838" s="6" t="n">
        <f aca="false">0</f>
        <v>0</v>
      </c>
      <c r="J1838" s="6" t="n">
        <f aca="false">0</f>
        <v>0</v>
      </c>
      <c r="K1838" s="6" t="n">
        <f aca="false">0</f>
        <v>0</v>
      </c>
      <c r="L1838" s="1" t="s">
        <v>755</v>
      </c>
    </row>
    <row r="1839" customFormat="false" ht="17.15" hidden="false" customHeight="false" outlineLevel="0" collapsed="false">
      <c r="A1839" s="0" t="s">
        <v>756</v>
      </c>
      <c r="B1839" s="0" t="s">
        <v>95</v>
      </c>
      <c r="C1839" s="6" t="n">
        <f aca="false">Sens!C1836</f>
        <v>18.0267076733333</v>
      </c>
      <c r="D1839" s="6" t="n">
        <f aca="false">Sens!D1836</f>
        <v>27.2240075066667</v>
      </c>
      <c r="E1839" s="6" t="n">
        <f aca="false">Sens!E1836</f>
        <v>54.08012302</v>
      </c>
      <c r="F1839" s="6" t="n">
        <f aca="false">Sens!F1836+Sens!F1838</f>
        <v>145.092969570438</v>
      </c>
      <c r="G1839" s="6" t="n">
        <f aca="false">Sens!G1836+Sens!G1838</f>
        <v>121.24364518656</v>
      </c>
      <c r="H1839" s="6" t="n">
        <f aca="false">Sens!H1836+Sens!H1838</f>
        <v>124.84852952832</v>
      </c>
      <c r="I1839" s="6" t="n">
        <f aca="false">Sens!I1836+Sens!I1838</f>
        <v>149.055469805653</v>
      </c>
      <c r="J1839" s="6" t="n">
        <f aca="false">Sens!J1836+Sens!J1838</f>
        <v>161.405949538987</v>
      </c>
      <c r="K1839" s="6" t="n">
        <f aca="false">Sens!K1836+Sens!K1838</f>
        <v>197.46935036032</v>
      </c>
    </row>
    <row r="1840" customFormat="false" ht="17.15" hidden="false" customHeight="false" outlineLevel="0" collapsed="false">
      <c r="A1840" s="0" t="s">
        <v>757</v>
      </c>
      <c r="B1840" s="0" t="s">
        <v>95</v>
      </c>
      <c r="C1840" s="6" t="n">
        <f aca="false">Sens!C1839+Sens!C1837</f>
        <v>22.9933476733333</v>
      </c>
      <c r="D1840" s="6" t="n">
        <f aca="false">Sens!D1839+Sens!D1837</f>
        <v>34.7246475066667</v>
      </c>
      <c r="E1840" s="6" t="n">
        <f aca="false">Sens!E1839+Sens!E1837</f>
        <v>68.98004302</v>
      </c>
      <c r="F1840" s="6" t="n">
        <f aca="false">Sens!F1839+Sens!F1837</f>
        <v>168.620652770438</v>
      </c>
      <c r="G1840" s="6" t="n">
        <f aca="false">Sens!G1839+Sens!G1837</f>
        <v>146.85934438656</v>
      </c>
      <c r="H1840" s="6" t="n">
        <f aca="false">Sens!H1839+Sens!H1837</f>
        <v>150.46422872832</v>
      </c>
      <c r="I1840" s="6" t="n">
        <f aca="false">Sens!I1839+Sens!I1837</f>
        <v>174.671169005653</v>
      </c>
      <c r="J1840" s="6" t="n">
        <f aca="false">Sens!J1839+Sens!J1837</f>
        <v>187.021648738987</v>
      </c>
      <c r="K1840" s="6" t="n">
        <f aca="false">Sens!K1839+Sens!K1837</f>
        <v>223.08504956032</v>
      </c>
      <c r="L1840" s="11" t="s">
        <v>758</v>
      </c>
    </row>
    <row r="1841" customFormat="false" ht="17.15" hidden="false" customHeight="false" outlineLevel="0" collapsed="false">
      <c r="A1841" s="0" t="s">
        <v>759</v>
      </c>
      <c r="B1841" s="0" t="s">
        <v>95</v>
      </c>
      <c r="E1841" s="6" t="n">
        <f aca="false">(Sens!C1839*IF(2&lt;life_it,1,IF(2=life_it,0.5,0))+Sens!D1839*IF(1&lt;life_it,1,IF(1=life_it,0.5,0))+Sens!E1839*0.5)/life_it</f>
        <v>12.0484627816667</v>
      </c>
      <c r="F1841" s="6" t="n">
        <f aca="false">(Sens!C1839*IF(3&lt;life_it,1,IF(3=life_it,0.5,0))+Sens!D1839*IF(2&lt;life_it,1,IF(2=life_it,0.5,0))+Sens!E1839*IF(1&lt;life_it,1,IF(1=life_it,0.5,0))+Sens!F1839*0.5)/life_it</f>
        <v>28.6462204975365</v>
      </c>
      <c r="G1841" s="6" t="n">
        <f aca="false">(Sens!C1839*IF(4&lt;life_it,1,IF(4=life_it,0.5,0))+Sens!D1839*IF(3&lt;life_it,1,IF(3=life_it,0.5,0))+Sens!E1839*IF(2&lt;life_it,1,IF(2=life_it,0.5,0))+Sens!F1839*IF(1&lt;life_it,1,IF(1=life_it,0.5,0))+Sens!G1839*0.5)/life_it</f>
        <v>50.8409383939529</v>
      </c>
      <c r="H1841" s="6" t="n">
        <f aca="false">(Sens!C1839*IF(5&lt;life_it,1,IF(5=life_it,0.5,0))+Sens!D1839*IF(4&lt;life_it,1,IF(4=life_it,0.5,0))+Sens!E1839*IF(3&lt;life_it,1,IF(3=life_it,0.5,0))+Sens!F1839*IF(2&lt;life_it,1,IF(2=life_it,0.5,0))+Sens!G1839*IF(1&lt;life_it,1,IF(1=life_it,0.5,0))+Sens!H1839*0.5)/life_it</f>
        <v>71.3486196201929</v>
      </c>
      <c r="I1841" s="6" t="n">
        <f aca="false">(Sens!C1839*IF(6&lt;life_it,1,IF(6=life_it,0.5,0))+Sens!D1839*IF(5&lt;life_it,1,IF(5=life_it,0.5,0))+Sens!E1839*IF(4&lt;life_it,1,IF(4=life_it,0.5,0))+Sens!F1839*IF(3&lt;life_it,1,IF(3=life_it,0.5,0))+Sens!G1839*IF(2&lt;life_it,1,IF(2=life_it,0.5,0))+Sens!H1839*IF(1&lt;life_it,1,IF(1=life_it,0.5,0))+Sens!I1839*0.5)/life_it</f>
        <v>92.6717272585796</v>
      </c>
      <c r="J1841" s="6" t="n">
        <f aca="false">(Sens!C1839*IF(7&lt;life_it,1,IF(7=life_it,0.5,0))+Sens!D1839*IF(6&lt;life_it,1,IF(6=life_it,0.5,0))+Sens!E1839*IF(5&lt;life_it,1,IF(5=life_it,0.5,0))+Sens!F1839*IF(4&lt;life_it,1,IF(4=life_it,0.5,0))+Sens!G1839*IF(3&lt;life_it,1,IF(3=life_it,0.5,0))+Sens!H1839*IF(2&lt;life_it,1,IF(2=life_it,0.5,0))+Sens!I1839*IF(1&lt;life_it,1,IF(1=life_it,0.5,0))+Sens!J1839*0.5)/life_it</f>
        <v>114.7726192723</v>
      </c>
      <c r="K1841" s="6" t="n">
        <f aca="false">(Sens!C1839*IF(8&lt;life_it,1,IF(8=life_it,0.5,0))+Sens!D1839*IF(7&lt;life_it,1,IF(7=life_it,0.5,0))+Sens!E1839*IF(6&lt;life_it,1,IF(6=life_it,0.5,0))+Sens!F1839*IF(5&lt;life_it,1,IF(5=life_it,0.5,0))+Sens!G1839*IF(4&lt;life_it,1,IF(4=life_it,0.5,0))+Sens!H1839*IF(3&lt;life_it,1,IF(3=life_it,0.5,0))+Sens!I1839*IF(2&lt;life_it,1,IF(2=life_it,0.5,0))+Sens!J1839*IF(1&lt;life_it,1,IF(1=life_it,0.5,0))+Sens!K1839*0.5)/life_it</f>
        <v>137.903550053353</v>
      </c>
    </row>
    <row r="1842" customFormat="false" ht="17.15" hidden="false" customHeight="false" outlineLevel="0" collapsed="false">
      <c r="A1842" s="0" t="s">
        <v>760</v>
      </c>
      <c r="B1842" s="0" t="s">
        <v>95</v>
      </c>
      <c r="E1842" s="6" t="n">
        <f aca="false">(Sens!C1837*IF(2&lt;life_fac,1,IF(2=life_fac,0.5,0))+Sens!D1837*IF(1&lt;life_fac,1,IF(1=life_fac,0.5,0))+Sens!E1837*0.5)/life_fac</f>
        <v>0.995862</v>
      </c>
      <c r="F1842" s="6" t="n">
        <f aca="false">(Sens!C1837*IF(3&lt;life_fac,1,IF(3=life_fac,0.5,0))+Sens!D1837*IF(2&lt;life_fac,1,IF(2=life_fac,0.5,0))+Sens!E1837*IF(1&lt;life_fac,1,IF(1=life_fac,0.5,0))+Sens!F1837*0.5)/life_fac</f>
        <v>1.95655208</v>
      </c>
      <c r="G1842" s="6" t="n">
        <f aca="false">(Sens!C1837*IF(4&lt;life_fac,1,IF(4=life_fac,0.5,0))+Sens!D1837*IF(3&lt;life_fac,1,IF(3=life_fac,0.5,0))+Sens!E1837*IF(2&lt;life_fac,1,IF(2=life_fac,0.5,0))+Sens!F1837*IF(1&lt;life_fac,1,IF(1=life_fac,0.5,0))+Sens!G1837*0.5)/life_fac</f>
        <v>3.18513664</v>
      </c>
      <c r="H1842" s="6" t="n">
        <f aca="false">(Sens!C1837*IF(5&lt;life_fac,1,IF(5=life_fac,0.5,0))+Sens!D1837*IF(4&lt;life_fac,1,IF(4=life_fac,0.5,0))+Sens!E1837*IF(3&lt;life_fac,1,IF(3=life_fac,0.5,0))+Sens!F1837*IF(2&lt;life_fac,1,IF(2=life_fac,0.5,0))+Sens!G1837*IF(1&lt;life_fac,1,IF(1=life_fac,0.5,0))+Sens!H1837*0.5)/life_fac</f>
        <v>4.4659216</v>
      </c>
      <c r="I1842" s="6" t="n">
        <f aca="false">(Sens!C1837*IF(6&lt;life_fac,1,IF(6=life_fac,0.5,0))+Sens!D1837*IF(5&lt;life_fac,1,IF(5=life_fac,0.5,0))+Sens!E1837*IF(4&lt;life_fac,1,IF(4=life_fac,0.5,0))+Sens!F1837*IF(3&lt;life_fac,1,IF(3=life_fac,0.5,0))+Sens!G1837*IF(2&lt;life_fac,1,IF(2=life_fac,0.5,0))+Sens!H1837*IF(1&lt;life_fac,1,IF(1=life_fac,0.5,0))+Sens!I1837*0.5)/life_fac</f>
        <v>5.74670656</v>
      </c>
      <c r="J1842" s="6" t="n">
        <f aca="false">(Sens!C1837*IF(7&lt;life_fac,1,IF(7=life_fac,0.5,0))+Sens!D1837*IF(6&lt;life_fac,1,IF(6=life_fac,0.5,0))+Sens!E1837*IF(5&lt;life_fac,1,IF(5=life_fac,0.5,0))+Sens!F1837*IF(4&lt;life_fac,1,IF(4=life_fac,0.5,0))+Sens!G1837*IF(3&lt;life_fac,1,IF(3=life_fac,0.5,0))+Sens!H1837*IF(2&lt;life_fac,1,IF(2=life_fac,0.5,0))+Sens!I1837*IF(1&lt;life_fac,1,IF(1=life_fac,0.5,0))+Sens!J1837*0.5)/life_fac</f>
        <v>7.02749152</v>
      </c>
      <c r="K1842" s="6" t="n">
        <f aca="false">(Sens!C1837*IF(8&lt;life_fac,1,IF(8=life_fac,0.5,0))+Sens!D1837*IF(7&lt;life_fac,1,IF(7=life_fac,0.5,0))+Sens!E1837*IF(6&lt;life_fac,1,IF(6=life_fac,0.5,0))+Sens!F1837*IF(5&lt;life_fac,1,IF(5=life_fac,0.5,0))+Sens!G1837*IF(4&lt;life_fac,1,IF(4=life_fac,0.5,0))+Sens!H1837*IF(3&lt;life_fac,1,IF(3=life_fac,0.5,0))+Sens!I1837*IF(2&lt;life_fac,1,IF(2=life_fac,0.5,0))+Sens!J1837*IF(1&lt;life_fac,1,IF(1=life_fac,0.5,0))+Sens!K1837*0.5)/life_fac</f>
        <v>8.30827648</v>
      </c>
    </row>
    <row r="1843" customFormat="false" ht="17.15" hidden="false" customHeight="false" outlineLevel="0" collapsed="false">
      <c r="A1843" s="0" t="s">
        <v>761</v>
      </c>
      <c r="B1843" s="0" t="s">
        <v>95</v>
      </c>
      <c r="E1843" s="6" t="n">
        <f aca="false">Sens!E1841+Sens!E1842</f>
        <v>13.0443247816667</v>
      </c>
      <c r="F1843" s="6" t="n">
        <f aca="false">Sens!F1841+Sens!F1842</f>
        <v>30.6027725775365</v>
      </c>
      <c r="G1843" s="6" t="n">
        <f aca="false">Sens!G1841+Sens!G1842</f>
        <v>54.0260750339529</v>
      </c>
      <c r="H1843" s="6" t="n">
        <f aca="false">Sens!H1841+Sens!H1842</f>
        <v>75.8145412201929</v>
      </c>
      <c r="I1843" s="6" t="n">
        <f aca="false">Sens!I1841+Sens!I1842</f>
        <v>98.4184338185796</v>
      </c>
      <c r="J1843" s="6" t="n">
        <f aca="false">Sens!J1841+Sens!J1842</f>
        <v>121.8001107923</v>
      </c>
      <c r="K1843" s="6" t="n">
        <f aca="false">Sens!K1841+Sens!K1842</f>
        <v>146.211826533353</v>
      </c>
    </row>
    <row r="1844" customFormat="false" ht="17.15" hidden="false" customHeight="false" outlineLevel="0" collapsed="false">
      <c r="A1844" s="0" t="s">
        <v>762</v>
      </c>
      <c r="B1844" s="0" t="s">
        <v>95</v>
      </c>
      <c r="E1844" s="6" t="n">
        <f aca="false">Sens!E1832-Sens!E1831*Sens!E1843</f>
        <v>8.92707889977379</v>
      </c>
      <c r="F1844" s="6" t="n">
        <f aca="false">Sens!F1832-Sens!F1831*Sens!F1843</f>
        <v>16.5073613160415</v>
      </c>
      <c r="G1844" s="6" t="n">
        <f aca="false">Sens!G1832-Sens!G1831*Sens!G1843</f>
        <v>26.0331982823414</v>
      </c>
      <c r="H1844" s="6" t="n">
        <f aca="false">Sens!H1832-Sens!H1831*Sens!H1843</f>
        <v>38.3587390687143</v>
      </c>
      <c r="I1844" s="6" t="n">
        <f aca="false">Sens!I1832-Sens!I1831*Sens!I1843</f>
        <v>50.2180150985581</v>
      </c>
      <c r="J1844" s="6" t="n">
        <f aca="false">Sens!J1832-Sens!J1831*Sens!J1843</f>
        <v>61.5699110036848</v>
      </c>
      <c r="K1844" s="6" t="n">
        <f aca="false">Sens!K1832-Sens!K1831*Sens!K1843</f>
        <v>72.1939603638336</v>
      </c>
    </row>
    <row r="1845" customFormat="false" ht="17.15" hidden="false" customHeight="false" outlineLevel="0" collapsed="false">
      <c r="A1845" s="3" t="s">
        <v>1165</v>
      </c>
    </row>
    <row r="1846" customFormat="false" ht="15" hidden="false" customHeight="false" outlineLevel="0" collapsed="false">
      <c r="A1846" s="4" t="s">
        <v>43</v>
      </c>
      <c r="B1846" s="4" t="s">
        <v>63</v>
      </c>
      <c r="C1846" s="19" t="s">
        <v>710</v>
      </c>
      <c r="D1846" s="19" t="s">
        <v>711</v>
      </c>
      <c r="E1846" s="19" t="s">
        <v>712</v>
      </c>
      <c r="F1846" s="19" t="s">
        <v>713</v>
      </c>
      <c r="G1846" s="19" t="s">
        <v>714</v>
      </c>
      <c r="H1846" s="19" t="s">
        <v>715</v>
      </c>
      <c r="I1846" s="19" t="s">
        <v>716</v>
      </c>
      <c r="J1846" s="19" t="s">
        <v>717</v>
      </c>
      <c r="K1846" s="19" t="s">
        <v>718</v>
      </c>
      <c r="L1846" s="4" t="s">
        <v>47</v>
      </c>
    </row>
    <row r="1847" customFormat="false" ht="17.15" hidden="false" customHeight="false" outlineLevel="0" collapsed="false">
      <c r="A1847" s="0" t="s">
        <v>780</v>
      </c>
      <c r="B1847" s="0" t="s">
        <v>95</v>
      </c>
      <c r="D1847" s="6" t="n">
        <f aca="false">Sens!D1826</f>
        <v>12.9359794422418</v>
      </c>
      <c r="E1847" s="6" t="n">
        <f aca="false">Sens!E1826</f>
        <v>27.8095064661409</v>
      </c>
      <c r="F1847" s="6" t="n">
        <f aca="false">Sens!F1826</f>
        <v>55.0640065749585</v>
      </c>
      <c r="G1847" s="6" t="n">
        <f aca="false">Sens!G1826</f>
        <v>89.4505413190538</v>
      </c>
      <c r="H1847" s="6" t="n">
        <f aca="false">Sens!H1826</f>
        <v>124.835630736874</v>
      </c>
      <c r="I1847" s="6" t="n">
        <f aca="false">Sens!I1826</f>
        <v>160.384516075608</v>
      </c>
      <c r="J1847" s="6" t="n">
        <f aca="false">Sens!J1826</f>
        <v>196.019025664981</v>
      </c>
      <c r="K1847" s="6" t="n">
        <f aca="false">Sens!K1826</f>
        <v>231.703903883012</v>
      </c>
    </row>
    <row r="1848" customFormat="false" ht="17.15" hidden="false" customHeight="false" outlineLevel="0" collapsed="false">
      <c r="A1848" s="0" t="s">
        <v>781</v>
      </c>
      <c r="B1848" s="0" t="s">
        <v>95</v>
      </c>
      <c r="D1848" s="6" t="n">
        <f aca="false">Q!L6-Sens!D1847</f>
        <v>59.6740205577583</v>
      </c>
      <c r="E1848" s="6" t="n">
        <f aca="false">Q!M6-Sens!E1847</f>
        <v>74.1284935338591</v>
      </c>
      <c r="F1848" s="6" t="n">
        <f aca="false">Sens!E1848*(1+Sens!F1849)</f>
        <v>90.0799497373663</v>
      </c>
      <c r="G1848" s="6" t="n">
        <f aca="false">Sens!F1848*(1+Sens!G1849)</f>
        <v>107.02842520331</v>
      </c>
      <c r="H1848" s="6" t="n">
        <f aca="false">Sens!G1848*(1+Sens!H1849)</f>
        <v>124.271982585636</v>
      </c>
      <c r="I1848" s="6" t="n">
        <f aca="false">Sens!H1848*(1+Sens!I1849)</f>
        <v>140.933702381855</v>
      </c>
      <c r="J1848" s="6" t="n">
        <f aca="false">Sens!I1848*(1+Sens!J1849)</f>
        <v>156.018867314332</v>
      </c>
      <c r="K1848" s="6" t="n">
        <f aca="false">Sens!J1848*(1+Sens!K1849)</f>
        <v>168.500376699478</v>
      </c>
    </row>
    <row r="1849" customFormat="false" ht="15" hidden="false" customHeight="false" outlineLevel="0" collapsed="false">
      <c r="A1849" s="1" t="s">
        <v>782</v>
      </c>
      <c r="B1849" s="0" t="s">
        <v>126</v>
      </c>
      <c r="E1849" s="7" t="n">
        <f aca="false">Sens!E1848/Sens!D1848-1</f>
        <v>0.242223883039864</v>
      </c>
      <c r="F1849" s="7" t="n">
        <f aca="false">Sens!$E$1849+(glt_azo-Sens!$E$1849)*MIN(1,1/n_conv)</f>
        <v>0.215186569199887</v>
      </c>
      <c r="G1849" s="7" t="n">
        <f aca="false">Sens!$E$1849+(glt_azo-Sens!$E$1849)*MIN(1,2/n_conv)</f>
        <v>0.18814925535991</v>
      </c>
      <c r="H1849" s="7" t="n">
        <f aca="false">Sens!$E$1849+(glt_azo-Sens!$E$1849)*MIN(1,3/n_conv)</f>
        <v>0.161111941519932</v>
      </c>
      <c r="I1849" s="7" t="n">
        <f aca="false">Sens!$E$1849+(glt_azo-Sens!$E$1849)*MIN(1,4/n_conv)</f>
        <v>0.134074627679955</v>
      </c>
      <c r="J1849" s="7" t="n">
        <f aca="false">Sens!$E$1849+(glt_azo-Sens!$E$1849)*MIN(1,5/n_conv)</f>
        <v>0.107037313839977</v>
      </c>
      <c r="K1849" s="7" t="n">
        <f aca="false">Sens!$E$1849+(glt_azo-Sens!$E$1849)*MIN(1,6/n_conv)</f>
        <v>0.08</v>
      </c>
    </row>
    <row r="1850" customFormat="false" ht="15" hidden="false" customHeight="false" outlineLevel="0" collapsed="false">
      <c r="A1850" s="0" t="s">
        <v>783</v>
      </c>
      <c r="B1850" s="0" t="s">
        <v>95</v>
      </c>
      <c r="D1850" s="6" t="n">
        <f aca="false">Sens!D1847+Sens!D1848</f>
        <v>72.61</v>
      </c>
      <c r="E1850" s="6" t="n">
        <f aca="false">Sens!E1847+Sens!E1848</f>
        <v>101.938</v>
      </c>
      <c r="F1850" s="6" t="n">
        <f aca="false">Sens!F1847+Sens!F1848</f>
        <v>145.143956312325</v>
      </c>
      <c r="G1850" s="6" t="n">
        <f aca="false">Sens!G1847+Sens!G1848</f>
        <v>196.478966522364</v>
      </c>
      <c r="H1850" s="6" t="n">
        <f aca="false">Sens!H1847+Sens!H1848</f>
        <v>249.10761332251</v>
      </c>
      <c r="I1850" s="6" t="n">
        <f aca="false">Sens!I1847+Sens!I1848</f>
        <v>301.318218457463</v>
      </c>
      <c r="J1850" s="6" t="n">
        <f aca="false">Sens!J1847+Sens!J1848</f>
        <v>352.037892979313</v>
      </c>
      <c r="K1850" s="6" t="n">
        <f aca="false">Sens!K1847+Sens!K1848</f>
        <v>400.20428058249</v>
      </c>
    </row>
    <row r="1851" customFormat="false" ht="17.15" hidden="false" customHeight="false" outlineLevel="0" collapsed="false">
      <c r="A1851" s="0" t="s">
        <v>784</v>
      </c>
      <c r="B1851" s="1" t="s">
        <v>451</v>
      </c>
      <c r="C1851" s="27" t="n">
        <f aca="false">cop_s24</f>
        <v>1</v>
      </c>
      <c r="D1851" s="27" t="n">
        <f aca="false">cop_s25</f>
        <v>5</v>
      </c>
      <c r="E1851" s="27" t="n">
        <f aca="false">cop_s26</f>
        <v>30</v>
      </c>
      <c r="F1851" s="27" t="n">
        <f aca="false">Sens!E1851+IF(2027&lt;=2029,cop_add_B,cop_add_B*cop_tail)</f>
        <v>50</v>
      </c>
      <c r="G1851" s="27" t="n">
        <f aca="false">Sens!F1851+IF(2028&lt;=2029,cop_add_B,cop_add_B*cop_tail)</f>
        <v>70</v>
      </c>
      <c r="H1851" s="27" t="n">
        <f aca="false">Sens!G1851+IF(2029&lt;=2029,cop_add_B,cop_add_B*cop_tail)</f>
        <v>90</v>
      </c>
      <c r="I1851" s="27" t="n">
        <f aca="false">Sens!H1851+IF(2030&lt;=2029,cop_add_B,cop_add_B*cop_tail)</f>
        <v>100</v>
      </c>
      <c r="J1851" s="27" t="n">
        <f aca="false">Sens!I1851+IF(2031&lt;=2029,cop_add_B,cop_add_B*cop_tail)</f>
        <v>110</v>
      </c>
      <c r="K1851" s="27" t="n">
        <f aca="false">Sens!J1851+IF(2032&lt;=2029,cop_add_B,cop_add_B*cop_tail)</f>
        <v>120</v>
      </c>
    </row>
    <row r="1852" customFormat="false" ht="17.15" hidden="false" customHeight="false" outlineLevel="0" collapsed="false">
      <c r="A1852" s="0" t="s">
        <v>785</v>
      </c>
      <c r="B1852" s="0" t="s">
        <v>95</v>
      </c>
      <c r="D1852" s="6" t="n">
        <f aca="false">(Sens!C1851+Sens!D1851)/2*cop_px*12/1000</f>
        <v>0.9</v>
      </c>
      <c r="E1852" s="6" t="n">
        <f aca="false">(Sens!D1851+Sens!E1851)/2*cop_px*12/1000</f>
        <v>5.25</v>
      </c>
      <c r="F1852" s="6" t="n">
        <f aca="false">(Sens!E1851+Sens!F1851)/2*cop_px*12/1000</f>
        <v>12</v>
      </c>
      <c r="G1852" s="6" t="n">
        <f aca="false">(Sens!F1851+Sens!G1851)/2*cop_px*12/1000</f>
        <v>18</v>
      </c>
      <c r="H1852" s="6" t="n">
        <f aca="false">(Sens!G1851+Sens!H1851)/2*cop_px*12/1000</f>
        <v>24</v>
      </c>
      <c r="I1852" s="6" t="n">
        <f aca="false">(Sens!H1851+Sens!I1851)/2*cop_px*12/1000</f>
        <v>28.5</v>
      </c>
      <c r="J1852" s="6" t="n">
        <f aca="false">(Sens!I1851+Sens!J1851)/2*cop_px*12/1000</f>
        <v>31.5</v>
      </c>
      <c r="K1852" s="6" t="n">
        <f aca="false">(Sens!J1851+Sens!K1851)/2*cop_px*12/1000</f>
        <v>34.5</v>
      </c>
      <c r="L1852" s="1" t="s">
        <v>786</v>
      </c>
    </row>
    <row r="1853" customFormat="false" ht="17.15" hidden="false" customHeight="false" outlineLevel="0" collapsed="false">
      <c r="A1853" s="0" t="s">
        <v>787</v>
      </c>
      <c r="B1853" s="0" t="s">
        <v>95</v>
      </c>
      <c r="D1853" s="6" t="n">
        <f aca="false">Q!L7-Sens!D1852</f>
        <v>83.705</v>
      </c>
      <c r="E1853" s="6" t="n">
        <f aca="false">Q!M7-Sens!E1852</f>
        <v>95.049</v>
      </c>
      <c r="F1853" s="6" t="n">
        <f aca="false">Sens!E1853*(1+Sens!F1854)</f>
        <v>106.89238776686</v>
      </c>
      <c r="G1853" s="6" t="n">
        <f aca="false">Sens!F1853*(1+Sens!G1854)</f>
        <v>119.044168448684</v>
      </c>
      <c r="H1853" s="6" t="n">
        <f aca="false">Sens!G1853*(1+Sens!H1854)</f>
        <v>131.277359388781</v>
      </c>
      <c r="I1853" s="6" t="n">
        <f aca="false">Sens!H1853*(1+Sens!I1854)</f>
        <v>143.334028071957</v>
      </c>
      <c r="J1853" s="6" t="n">
        <f aca="false">Sens!I1853*(1+Sens!J1854)</f>
        <v>154.932702785465</v>
      </c>
      <c r="K1853" s="6" t="n">
        <f aca="false">Sens!J1853*(1+Sens!K1854)</f>
        <v>165.777991980448</v>
      </c>
    </row>
    <row r="1854" customFormat="false" ht="15" hidden="false" customHeight="false" outlineLevel="0" collapsed="false">
      <c r="A1854" s="1" t="s">
        <v>782</v>
      </c>
      <c r="B1854" s="0" t="s">
        <v>126</v>
      </c>
      <c r="E1854" s="7" t="n">
        <f aca="false">Sens!E1853/Sens!D1853-1</f>
        <v>0.135523564900544</v>
      </c>
      <c r="F1854" s="7" t="n">
        <f aca="false">Sens!$E$1854+(glt_m365b-Sens!$E$1854)*MIN(1,1/n_conv)</f>
        <v>0.124602970750453</v>
      </c>
      <c r="G1854" s="7" t="n">
        <f aca="false">Sens!$E$1854+(glt_m365b-Sens!$E$1854)*MIN(1,2/n_conv)</f>
        <v>0.113682376600363</v>
      </c>
      <c r="H1854" s="7" t="n">
        <f aca="false">Sens!$E$1854+(glt_m365b-Sens!$E$1854)*MIN(1,3/n_conv)</f>
        <v>0.102761782450272</v>
      </c>
      <c r="I1854" s="7" t="n">
        <f aca="false">Sens!$E$1854+(glt_m365b-Sens!$E$1854)*MIN(1,4/n_conv)</f>
        <v>0.0918411883001813</v>
      </c>
      <c r="J1854" s="7" t="n">
        <f aca="false">Sens!$E$1854+(glt_m365b-Sens!$E$1854)*MIN(1,5/n_conv)</f>
        <v>0.0809205941500906</v>
      </c>
      <c r="K1854" s="7" t="n">
        <f aca="false">Sens!$E$1854+(glt_m365b-Sens!$E$1854)*MIN(1,6/n_conv)</f>
        <v>0.07</v>
      </c>
    </row>
    <row r="1855" customFormat="false" ht="15" hidden="false" customHeight="false" outlineLevel="0" collapsed="false">
      <c r="A1855" s="0" t="s">
        <v>788</v>
      </c>
      <c r="B1855" s="0" t="s">
        <v>95</v>
      </c>
      <c r="D1855" s="6" t="n">
        <f aca="false">Sens!D1853+Sens!D1852</f>
        <v>84.605</v>
      </c>
      <c r="E1855" s="6" t="n">
        <f aca="false">Sens!E1853+Sens!E1852</f>
        <v>100.299</v>
      </c>
      <c r="F1855" s="6" t="n">
        <f aca="false">Sens!F1853+Sens!F1852</f>
        <v>118.89238776686</v>
      </c>
      <c r="G1855" s="6" t="n">
        <f aca="false">Sens!G1853+Sens!G1852</f>
        <v>137.044168448684</v>
      </c>
      <c r="H1855" s="6" t="n">
        <f aca="false">Sens!H1853+Sens!H1852</f>
        <v>155.277359388781</v>
      </c>
      <c r="I1855" s="6" t="n">
        <f aca="false">Sens!I1853+Sens!I1852</f>
        <v>171.834028071957</v>
      </c>
      <c r="J1855" s="6" t="n">
        <f aca="false">Sens!J1853+Sens!J1852</f>
        <v>186.432702785465</v>
      </c>
      <c r="K1855" s="6" t="n">
        <f aca="false">Sens!K1853+Sens!K1852</f>
        <v>200.277991980448</v>
      </c>
    </row>
    <row r="1856" customFormat="false" ht="15" hidden="false" customHeight="false" outlineLevel="0" collapsed="false">
      <c r="A1856" s="0" t="s">
        <v>789</v>
      </c>
      <c r="B1856" s="0" t="s">
        <v>95</v>
      </c>
      <c r="D1856" s="6" t="n">
        <f aca="false">Q!L8</f>
        <v>35.391</v>
      </c>
      <c r="E1856" s="6" t="n">
        <f aca="false">Q!M8</f>
        <v>37.285</v>
      </c>
      <c r="F1856" s="6" t="n">
        <f aca="false">Sens!E1856*(1+Sens!F1857)</f>
        <v>39.0720834331704</v>
      </c>
      <c r="G1856" s="6" t="n">
        <f aca="false">Sens!F1856*(1+Sens!G1857)</f>
        <v>40.726562953769</v>
      </c>
      <c r="H1856" s="6" t="n">
        <f aca="false">Sens!G1856*(1+Sens!H1857)</f>
        <v>42.2235987259198</v>
      </c>
      <c r="I1856" s="6" t="n">
        <f aca="false">Sens!H1856*(1+Sens!I1857)</f>
        <v>43.5397988077414</v>
      </c>
      <c r="J1856" s="6" t="n">
        <f aca="false">Sens!I1856*(1+Sens!J1857)</f>
        <v>44.653811225693</v>
      </c>
      <c r="K1856" s="6" t="n">
        <f aca="false">Sens!J1856*(1+Sens!K1857)</f>
        <v>45.5468874502068</v>
      </c>
    </row>
    <row r="1857" customFormat="false" ht="15" hidden="false" customHeight="false" outlineLevel="0" collapsed="false">
      <c r="A1857" s="1" t="s">
        <v>782</v>
      </c>
      <c r="B1857" s="0" t="s">
        <v>126</v>
      </c>
      <c r="E1857" s="7" t="n">
        <f aca="false">Sens!E1856/Sens!D1856-1</f>
        <v>0.0535164307309768</v>
      </c>
      <c r="F1857" s="7" t="n">
        <f aca="false">Sens!$E$1857+(glt_lic-Sens!$E$1857)*MIN(1,1/n_conv)</f>
        <v>0.0479303589424807</v>
      </c>
      <c r="G1857" s="7" t="n">
        <f aca="false">Sens!$E$1857+(glt_lic-Sens!$E$1857)*MIN(1,2/n_conv)</f>
        <v>0.0423442871539845</v>
      </c>
      <c r="H1857" s="7" t="n">
        <f aca="false">Sens!$E$1857+(glt_lic-Sens!$E$1857)*MIN(1,3/n_conv)</f>
        <v>0.0367582153654884</v>
      </c>
      <c r="I1857" s="7" t="n">
        <f aca="false">Sens!$E$1857+(glt_lic-Sens!$E$1857)*MIN(1,4/n_conv)</f>
        <v>0.0311721435769923</v>
      </c>
      <c r="J1857" s="7" t="n">
        <f aca="false">Sens!$E$1857+(glt_lic-Sens!$E$1857)*MIN(1,5/n_conv)</f>
        <v>0.0255860717884961</v>
      </c>
      <c r="K1857" s="7" t="n">
        <f aca="false">Sens!$E$1857+(glt_lic-Sens!$E$1857)*MIN(1,6/n_conv)</f>
        <v>0.02</v>
      </c>
    </row>
    <row r="1858" customFormat="false" ht="15" hidden="false" customHeight="false" outlineLevel="0" collapsed="false">
      <c r="A1858" s="0" t="s">
        <v>790</v>
      </c>
      <c r="B1858" s="0" t="s">
        <v>95</v>
      </c>
      <c r="D1858" s="6" t="n">
        <f aca="false">Q!L9</f>
        <v>18.417</v>
      </c>
      <c r="E1858" s="6" t="n">
        <f aca="false">Q!M9</f>
        <v>20.345</v>
      </c>
      <c r="F1858" s="6" t="n">
        <f aca="false">Sens!E1858*(1+Sens!F1859)</f>
        <v>22.3572203267814</v>
      </c>
      <c r="G1858" s="6" t="n">
        <f aca="false">Sens!F1858*(1+Sens!G1859)</f>
        <v>24.4392124437232</v>
      </c>
      <c r="H1858" s="6" t="n">
        <f aca="false">Sens!G1858*(1+Sens!H1859)</f>
        <v>26.5738052080665</v>
      </c>
      <c r="I1858" s="6" t="n">
        <f aca="false">Sens!H1858*(1+Sens!I1859)</f>
        <v>28.7412169166967</v>
      </c>
      <c r="J1858" s="6" t="n">
        <f aca="false">Sens!I1858*(1+Sens!J1859)</f>
        <v>30.9192545395413</v>
      </c>
      <c r="K1858" s="6" t="n">
        <f aca="false">Sens!J1858*(1+Sens!K1859)</f>
        <v>33.0836023573092</v>
      </c>
    </row>
    <row r="1859" customFormat="false" ht="15" hidden="false" customHeight="false" outlineLevel="0" collapsed="false">
      <c r="A1859" s="1" t="s">
        <v>782</v>
      </c>
      <c r="B1859" s="0" t="s">
        <v>126</v>
      </c>
      <c r="E1859" s="7" t="n">
        <f aca="false">Sens!E1858/Sens!D1858-1</f>
        <v>0.104685888038225</v>
      </c>
      <c r="F1859" s="7" t="n">
        <f aca="false">Sens!$E$1859+(glt_ind-Sens!$E$1859)*MIN(1,1/n_conv)</f>
        <v>0.0989049066985211</v>
      </c>
      <c r="G1859" s="7" t="n">
        <f aca="false">Sens!$E$1859+(glt_ind-Sens!$E$1859)*MIN(1,2/n_conv)</f>
        <v>0.0931239253588169</v>
      </c>
      <c r="H1859" s="7" t="n">
        <f aca="false">Sens!$E$1859+(glt_ind-Sens!$E$1859)*MIN(1,3/n_conv)</f>
        <v>0.0873429440191127</v>
      </c>
      <c r="I1859" s="7" t="n">
        <f aca="false">Sens!$E$1859+(glt_ind-Sens!$E$1859)*MIN(1,4/n_conv)</f>
        <v>0.0815619626794085</v>
      </c>
      <c r="J1859" s="7" t="n">
        <f aca="false">Sens!$E$1859+(glt_ind-Sens!$E$1859)*MIN(1,5/n_conv)</f>
        <v>0.0757809813397042</v>
      </c>
      <c r="K1859" s="7" t="n">
        <f aca="false">Sens!$E$1859+(glt_ind-Sens!$E$1859)*MIN(1,6/n_conv)</f>
        <v>0.07</v>
      </c>
    </row>
    <row r="1860" customFormat="false" ht="15" hidden="false" customHeight="false" outlineLevel="0" collapsed="false">
      <c r="A1860" s="0" t="s">
        <v>791</v>
      </c>
      <c r="B1860" s="0" t="s">
        <v>95</v>
      </c>
      <c r="D1860" s="6" t="n">
        <f aca="false">Q!L10</f>
        <v>7.76</v>
      </c>
      <c r="E1860" s="6" t="n">
        <f aca="false">Q!M10</f>
        <v>8.26</v>
      </c>
      <c r="F1860" s="6" t="n">
        <f aca="false">Sens!E1860*(1+Sens!F1861)</f>
        <v>8.79988041237113</v>
      </c>
      <c r="G1860" s="6" t="n">
        <f aca="false">Sens!F1860*(1+Sens!G1861)</f>
        <v>9.38321269125306</v>
      </c>
      <c r="H1860" s="6" t="n">
        <f aca="false">Sens!G1860*(1+Sens!H1861)</f>
        <v>10.0139193587476</v>
      </c>
      <c r="I1860" s="6" t="n">
        <f aca="false">Sens!H1860*(1+Sens!I1861)</f>
        <v>10.6963111830911</v>
      </c>
      <c r="J1860" s="6" t="n">
        <f aca="false">Sens!I1860*(1+Sens!J1861)</f>
        <v>11.4351285534696</v>
      </c>
      <c r="K1860" s="6" t="n">
        <f aca="false">Sens!J1860*(1+Sens!K1861)</f>
        <v>12.2355875522124</v>
      </c>
    </row>
    <row r="1861" customFormat="false" ht="15" hidden="false" customHeight="false" outlineLevel="0" collapsed="false">
      <c r="A1861" s="1" t="s">
        <v>782</v>
      </c>
      <c r="B1861" s="0" t="s">
        <v>126</v>
      </c>
      <c r="E1861" s="7" t="n">
        <f aca="false">Sens!E1860/Sens!D1860-1</f>
        <v>0.0644329896907216</v>
      </c>
      <c r="F1861" s="7" t="n">
        <f aca="false">Sens!$E$1861+(glt_fro-Sens!$E$1861)*MIN(1,1/n_conv)</f>
        <v>0.065360824742268</v>
      </c>
      <c r="G1861" s="7" t="n">
        <f aca="false">Sens!$E$1861+(glt_fro-Sens!$E$1861)*MIN(1,2/n_conv)</f>
        <v>0.0662886597938144</v>
      </c>
      <c r="H1861" s="7" t="n">
        <f aca="false">Sens!$E$1861+(glt_fro-Sens!$E$1861)*MIN(1,3/n_conv)</f>
        <v>0.0672164948453608</v>
      </c>
      <c r="I1861" s="7" t="n">
        <f aca="false">Sens!$E$1861+(glt_fro-Sens!$E$1861)*MIN(1,4/n_conv)</f>
        <v>0.0681443298969072</v>
      </c>
      <c r="J1861" s="7" t="n">
        <f aca="false">Sens!$E$1861+(glt_fro-Sens!$E$1861)*MIN(1,5/n_conv)</f>
        <v>0.0690721649484536</v>
      </c>
      <c r="K1861" s="7" t="n">
        <f aca="false">Sens!$E$1861+(glt_fro-Sens!$E$1861)*MIN(1,6/n_conv)</f>
        <v>0.07</v>
      </c>
    </row>
    <row r="1862" customFormat="false" ht="15" hidden="false" customHeight="false" outlineLevel="0" collapsed="false">
      <c r="A1862" s="0" t="s">
        <v>626</v>
      </c>
      <c r="B1862" s="0" t="s">
        <v>95</v>
      </c>
      <c r="D1862" s="6" t="n">
        <f aca="false">Sens!D1850+Sens!D1855+Sens!D1856+Sens!D1858+Sens!D1860</f>
        <v>218.783</v>
      </c>
      <c r="E1862" s="6" t="n">
        <f aca="false">Sens!E1850+Sens!E1855+Sens!E1856+Sens!E1858+Sens!E1860</f>
        <v>268.127</v>
      </c>
      <c r="F1862" s="6" t="n">
        <f aca="false">Sens!F1850+Sens!F1855+Sens!F1856+Sens!F1858+Sens!F1860</f>
        <v>334.265528251508</v>
      </c>
      <c r="G1862" s="6" t="n">
        <f aca="false">Sens!G1850+Sens!G1855+Sens!G1856+Sens!G1858+Sens!G1860</f>
        <v>408.072123059793</v>
      </c>
      <c r="H1862" s="6" t="n">
        <f aca="false">Sens!H1850+Sens!H1855+Sens!H1856+Sens!H1858+Sens!H1860</f>
        <v>483.196296004025</v>
      </c>
      <c r="I1862" s="6" t="n">
        <f aca="false">Sens!I1850+Sens!I1855+Sens!I1856+Sens!I1858+Sens!I1860</f>
        <v>556.129573436949</v>
      </c>
      <c r="J1862" s="6" t="n">
        <f aca="false">Sens!J1850+Sens!J1855+Sens!J1856+Sens!J1858+Sens!J1860</f>
        <v>625.478790083482</v>
      </c>
      <c r="K1862" s="6" t="n">
        <f aca="false">Sens!K1850+Sens!K1855+Sens!K1856+Sens!K1858+Sens!K1860</f>
        <v>691.348349922667</v>
      </c>
    </row>
    <row r="1863" customFormat="false" ht="15" hidden="false" customHeight="false" outlineLevel="0" collapsed="false">
      <c r="A1863" s="0" t="s">
        <v>792</v>
      </c>
      <c r="B1863" s="0" t="s">
        <v>95</v>
      </c>
      <c r="D1863" s="6" t="n">
        <f aca="false">Q!L13</f>
        <v>22.171</v>
      </c>
      <c r="E1863" s="6" t="n">
        <f aca="false">Q!M13</f>
        <v>24.835</v>
      </c>
      <c r="F1863" s="6" t="n">
        <f aca="false">Sens!E1863*(1+Sens!F1864)</f>
        <v>27.6114901218559</v>
      </c>
      <c r="G1863" s="6" t="n">
        <f aca="false">Sens!F1863*(1+Sens!G1864)</f>
        <v>30.4675667338515</v>
      </c>
      <c r="H1863" s="6" t="n">
        <f aca="false">Sens!G1863*(1+Sens!H1864)</f>
        <v>33.3643766955789</v>
      </c>
      <c r="I1863" s="6" t="n">
        <f aca="false">Sens!H1863*(1+Sens!I1864)</f>
        <v>36.2577016533691</v>
      </c>
      <c r="J1863" s="6" t="n">
        <f aca="false">Sens!I1863*(1+Sens!J1864)</f>
        <v>39.0988367952171</v>
      </c>
      <c r="K1863" s="6" t="n">
        <f aca="false">Sens!J1863*(1+Sens!K1864)</f>
        <v>41.8357553708823</v>
      </c>
    </row>
    <row r="1864" customFormat="false" ht="15" hidden="false" customHeight="false" outlineLevel="0" collapsed="false">
      <c r="A1864" s="1" t="s">
        <v>782</v>
      </c>
      <c r="B1864" s="0" t="s">
        <v>126</v>
      </c>
      <c r="E1864" s="7" t="n">
        <f aca="false">Sens!E1863/Sens!D1863-1</f>
        <v>0.120156961796942</v>
      </c>
      <c r="F1864" s="7" t="n">
        <f aca="false">Sens!$E$1864+(glt_srch-Sens!$E$1864)*MIN(1,1/n_conv)</f>
        <v>0.111797468164118</v>
      </c>
      <c r="G1864" s="7" t="n">
        <f aca="false">Sens!$E$1864+(glt_srch-Sens!$E$1864)*MIN(1,2/n_conv)</f>
        <v>0.103437974531295</v>
      </c>
      <c r="H1864" s="7" t="n">
        <f aca="false">Sens!$E$1864+(glt_srch-Sens!$E$1864)*MIN(1,3/n_conv)</f>
        <v>0.095078480898471</v>
      </c>
      <c r="I1864" s="7" t="n">
        <f aca="false">Sens!$E$1864+(glt_srch-Sens!$E$1864)*MIN(1,4/n_conv)</f>
        <v>0.0867189872656474</v>
      </c>
      <c r="J1864" s="7" t="n">
        <f aca="false">Sens!$E$1864+(glt_srch-Sens!$E$1864)*MIN(1,5/n_conv)</f>
        <v>0.0783594936328237</v>
      </c>
      <c r="K1864" s="7" t="n">
        <f aca="false">Sens!$E$1864+(glt_srch-Sens!$E$1864)*MIN(1,6/n_conv)</f>
        <v>0.07</v>
      </c>
    </row>
    <row r="1865" customFormat="false" ht="15" hidden="false" customHeight="false" outlineLevel="0" collapsed="false">
      <c r="A1865" s="0" t="s">
        <v>793</v>
      </c>
      <c r="B1865" s="0" t="s">
        <v>95</v>
      </c>
      <c r="D1865" s="6" t="n">
        <f aca="false">Q!L14</f>
        <v>23.455</v>
      </c>
      <c r="E1865" s="6" t="n">
        <f aca="false">Q!M14</f>
        <v>21.79</v>
      </c>
      <c r="F1865" s="6" t="n">
        <f aca="false">Sens!E1865*(1+Sens!F1866)</f>
        <v>20.5736277908051</v>
      </c>
      <c r="G1865" s="6" t="n">
        <f aca="false">Sens!F1865*(1+Sens!G1866)</f>
        <v>19.7371452817919</v>
      </c>
      <c r="H1865" s="6" t="n">
        <f aca="false">Sens!G1865*(1+Sens!H1866)</f>
        <v>19.2339764043138</v>
      </c>
      <c r="I1865" s="6" t="n">
        <f aca="false">Sens!H1865*(1+Sens!I1866)</f>
        <v>19.0353086852681</v>
      </c>
      <c r="J1865" s="6" t="n">
        <f aca="false">Sens!I1865*(1+Sens!J1866)</f>
        <v>19.1273539319129</v>
      </c>
      <c r="K1865" s="6" t="n">
        <f aca="false">Sens!J1865*(1+Sens!K1866)</f>
        <v>19.5099010105511</v>
      </c>
    </row>
    <row r="1866" customFormat="false" ht="15" hidden="false" customHeight="false" outlineLevel="0" collapsed="false">
      <c r="A1866" s="1" t="s">
        <v>782</v>
      </c>
      <c r="B1866" s="0" t="s">
        <v>126</v>
      </c>
      <c r="E1866" s="7" t="n">
        <f aca="false">Sens!E1865/Sens!D1865-1</f>
        <v>-0.0709869963760392</v>
      </c>
      <c r="F1866" s="7" t="n">
        <f aca="false">Sens!$E$1866+(glt_xbox-Sens!$E$1866)*MIN(1,1/n_conv)</f>
        <v>-0.0558224969800327</v>
      </c>
      <c r="G1866" s="7" t="n">
        <f aca="false">Sens!$E$1866+(glt_xbox-Sens!$E$1866)*MIN(1,2/n_conv)</f>
        <v>-0.0406579975840262</v>
      </c>
      <c r="H1866" s="7" t="n">
        <f aca="false">Sens!$E$1866+(glt_xbox-Sens!$E$1866)*MIN(1,3/n_conv)</f>
        <v>-0.0254934981880196</v>
      </c>
      <c r="I1866" s="7" t="n">
        <f aca="false">Sens!$E$1866+(glt_xbox-Sens!$E$1866)*MIN(1,4/n_conv)</f>
        <v>-0.0103289987920131</v>
      </c>
      <c r="J1866" s="7" t="n">
        <f aca="false">Sens!$E$1866+(glt_xbox-Sens!$E$1866)*MIN(1,5/n_conv)</f>
        <v>0.00483550060399347</v>
      </c>
      <c r="K1866" s="7" t="n">
        <f aca="false">Sens!$E$1866+(glt_xbox-Sens!$E$1866)*MIN(1,6/n_conv)</f>
        <v>0.02</v>
      </c>
    </row>
    <row r="1867" customFormat="false" ht="15" hidden="false" customHeight="false" outlineLevel="0" collapsed="false">
      <c r="A1867" s="0" t="s">
        <v>794</v>
      </c>
      <c r="B1867" s="0" t="s">
        <v>95</v>
      </c>
      <c r="D1867" s="6" t="n">
        <f aca="false">Q!L15</f>
        <v>17.315</v>
      </c>
      <c r="E1867" s="6" t="n">
        <f aca="false">Q!M15</f>
        <v>17.087</v>
      </c>
      <c r="F1867" s="6" t="n">
        <f aca="false">Sens!E1867*(1+Sens!F1868)</f>
        <v>16.9564585436519</v>
      </c>
      <c r="G1867" s="6" t="n">
        <f aca="false">Sens!F1867*(1+Sens!G1868)</f>
        <v>16.9206490624268</v>
      </c>
      <c r="H1867" s="6" t="n">
        <f aca="false">Sens!G1867*(1+Sens!H1868)</f>
        <v>16.9784519149849</v>
      </c>
      <c r="I1867" s="6" t="n">
        <f aca="false">Sens!H1867*(1+Sens!I1868)</f>
        <v>17.1303084701817</v>
      </c>
      <c r="J1867" s="6" t="n">
        <f aca="false">Sens!I1867*(1+Sens!J1868)</f>
        <v>17.3782189407267</v>
      </c>
      <c r="K1867" s="6" t="n">
        <f aca="false">Sens!J1867*(1+Sens!K1868)</f>
        <v>17.7257833195413</v>
      </c>
    </row>
    <row r="1868" customFormat="false" ht="15" hidden="false" customHeight="false" outlineLevel="0" collapsed="false">
      <c r="A1868" s="1" t="s">
        <v>782</v>
      </c>
      <c r="B1868" s="0" t="s">
        <v>126</v>
      </c>
      <c r="E1868" s="7" t="n">
        <f aca="false">Sens!E1867/Sens!D1867-1</f>
        <v>-0.0131677736066995</v>
      </c>
      <c r="F1868" s="7" t="n">
        <f aca="false">Sens!$E$1868+(glt_win-Sens!$E$1868)*MIN(1,1/n_conv)</f>
        <v>-0.00763981133891627</v>
      </c>
      <c r="G1868" s="7" t="n">
        <f aca="false">Sens!$E$1868+(glt_win-Sens!$E$1868)*MIN(1,2/n_conv)</f>
        <v>-0.00211184907113301</v>
      </c>
      <c r="H1868" s="7" t="n">
        <f aca="false">Sens!$E$1868+(glt_win-Sens!$E$1868)*MIN(1,3/n_conv)</f>
        <v>0.00341611319665024</v>
      </c>
      <c r="I1868" s="7" t="n">
        <f aca="false">Sens!$E$1868+(glt_win-Sens!$E$1868)*MIN(1,4/n_conv)</f>
        <v>0.00894407546443349</v>
      </c>
      <c r="J1868" s="7" t="n">
        <f aca="false">Sens!$E$1868+(glt_win-Sens!$E$1868)*MIN(1,5/n_conv)</f>
        <v>0.0144720377322168</v>
      </c>
      <c r="K1868" s="7" t="n">
        <f aca="false">Sens!$E$1868+(glt_win-Sens!$E$1868)*MIN(1,6/n_conv)</f>
        <v>0.02</v>
      </c>
    </row>
    <row r="1869" customFormat="false" ht="15" hidden="false" customHeight="false" outlineLevel="0" collapsed="false">
      <c r="A1869" s="0" t="s">
        <v>640</v>
      </c>
      <c r="B1869" s="0" t="s">
        <v>95</v>
      </c>
      <c r="D1869" s="6" t="n">
        <f aca="false">Sens!D1863+Sens!D1865+Sens!D1867</f>
        <v>62.941</v>
      </c>
      <c r="E1869" s="6" t="n">
        <f aca="false">Sens!E1863+Sens!E1865+Sens!E1867</f>
        <v>63.712</v>
      </c>
      <c r="F1869" s="6" t="n">
        <f aca="false">Sens!F1863+Sens!F1865+Sens!F1867</f>
        <v>65.1415764563129</v>
      </c>
      <c r="G1869" s="6" t="n">
        <f aca="false">Sens!G1863+Sens!G1865+Sens!G1867</f>
        <v>67.1253610780702</v>
      </c>
      <c r="H1869" s="6" t="n">
        <f aca="false">Sens!H1863+Sens!H1865+Sens!H1867</f>
        <v>69.5768050148776</v>
      </c>
      <c r="I1869" s="6" t="n">
        <f aca="false">Sens!I1863+Sens!I1865+Sens!I1867</f>
        <v>72.4233188088189</v>
      </c>
      <c r="J1869" s="6" t="n">
        <f aca="false">Sens!J1863+Sens!J1865+Sens!J1867</f>
        <v>75.6044096678567</v>
      </c>
      <c r="K1869" s="6" t="n">
        <f aca="false">Sens!K1863+Sens!K1865+Sens!K1867</f>
        <v>79.0714397009747</v>
      </c>
    </row>
    <row r="1870" customFormat="false" ht="15" hidden="false" customHeight="false" outlineLevel="0" collapsed="false">
      <c r="A1870" s="1" t="s">
        <v>795</v>
      </c>
      <c r="B1870" s="0" t="s">
        <v>95</v>
      </c>
      <c r="D1870" s="6" t="n">
        <f aca="false">Sens!D1862+Sens!D1869</f>
        <v>281.724</v>
      </c>
      <c r="E1870" s="6" t="n">
        <f aca="false">Sens!E1862+Sens!E1869</f>
        <v>331.839</v>
      </c>
      <c r="F1870" s="6" t="n">
        <f aca="false">Sens!F1862+Sens!F1869</f>
        <v>399.407104707821</v>
      </c>
      <c r="G1870" s="6" t="n">
        <f aca="false">Sens!G1862+Sens!G1869</f>
        <v>475.197484137863</v>
      </c>
      <c r="H1870" s="6" t="n">
        <f aca="false">Sens!H1862+Sens!H1869</f>
        <v>552.773101018903</v>
      </c>
      <c r="I1870" s="6" t="n">
        <f aca="false">Sens!I1862+Sens!I1869</f>
        <v>628.552892245768</v>
      </c>
      <c r="J1870" s="6" t="n">
        <f aca="false">Sens!J1862+Sens!J1869</f>
        <v>701.083199751338</v>
      </c>
      <c r="K1870" s="6" t="n">
        <f aca="false">Sens!K1862+Sens!K1869</f>
        <v>770.419789623641</v>
      </c>
    </row>
    <row r="1871" customFormat="false" ht="15" hidden="false" customHeight="false" outlineLevel="0" collapsed="false">
      <c r="A1871" s="22" t="s">
        <v>796</v>
      </c>
      <c r="B1871" s="28" t="s">
        <v>95</v>
      </c>
      <c r="C1871" s="28"/>
      <c r="D1871" s="23" t="n">
        <f aca="false">(Sens!D1850+Sens!D1855+Sens!D1856+Sens!D1858+Sens!D1860-Sens!D1862)+(Sens!D1863+Sens!D1865+Sens!D1867-Sens!D1869)+(Sens!D1862-Q!L5)+(Sens!D1869-Q!L12)+(Sens!D1850-Q!L6)+(Sens!D1855-Q!L7)</f>
        <v>0</v>
      </c>
      <c r="E1871" s="23" t="n">
        <f aca="false">(Sens!E1850+Sens!E1855+Sens!E1856+Sens!E1858+Sens!E1860-Sens!E1862)+(Sens!E1863+Sens!E1865+Sens!E1867-Sens!E1869)+(Sens!E1862-Q!M5)+(Sens!E1869-Q!M12)+(Sens!E1850-Q!M6)+(Sens!E1855-Q!M7)</f>
        <v>0</v>
      </c>
      <c r="F1871" s="23" t="n">
        <f aca="false">(Sens!F1850+Sens!F1855+Sens!F1856+Sens!F1858+Sens!F1860-Sens!F1862)+(Sens!F1863+Sens!F1865+Sens!F1867-Sens!F1869)</f>
        <v>0</v>
      </c>
      <c r="G1871" s="23" t="n">
        <f aca="false">(Sens!G1850+Sens!G1855+Sens!G1856+Sens!G1858+Sens!G1860-Sens!G1862)+(Sens!G1863+Sens!G1865+Sens!G1867-Sens!G1869)</f>
        <v>0</v>
      </c>
      <c r="H1871" s="23" t="n">
        <f aca="false">(Sens!H1850+Sens!H1855+Sens!H1856+Sens!H1858+Sens!H1860-Sens!H1862)+(Sens!H1863+Sens!H1865+Sens!H1867-Sens!H1869)</f>
        <v>0</v>
      </c>
      <c r="I1871" s="23" t="n">
        <f aca="false">(Sens!I1850+Sens!I1855+Sens!I1856+Sens!I1858+Sens!I1860-Sens!I1862)+(Sens!I1863+Sens!I1865+Sens!I1867-Sens!I1869)</f>
        <v>0</v>
      </c>
      <c r="J1871" s="23" t="n">
        <f aca="false">(Sens!J1850+Sens!J1855+Sens!J1856+Sens!J1858+Sens!J1860-Sens!J1862)+(Sens!J1863+Sens!J1865+Sens!J1867-Sens!J1869)</f>
        <v>0</v>
      </c>
      <c r="K1871" s="23" t="n">
        <f aca="false">(Sens!K1850+Sens!K1855+Sens!K1856+Sens!K1858+Sens!K1860-Sens!K1862)+(Sens!K1863+Sens!K1865+Sens!K1867-Sens!K1869)</f>
        <v>0</v>
      </c>
    </row>
    <row r="1872" customFormat="false" ht="17.15" hidden="false" customHeight="false" outlineLevel="0" collapsed="false">
      <c r="A1872" s="3" t="s">
        <v>1166</v>
      </c>
    </row>
    <row r="1873" customFormat="false" ht="15" hidden="false" customHeight="false" outlineLevel="0" collapsed="false">
      <c r="A1873" s="4" t="s">
        <v>43</v>
      </c>
      <c r="B1873" s="4" t="s">
        <v>63</v>
      </c>
      <c r="C1873" s="19" t="s">
        <v>710</v>
      </c>
      <c r="D1873" s="19" t="s">
        <v>711</v>
      </c>
      <c r="E1873" s="19" t="s">
        <v>712</v>
      </c>
      <c r="F1873" s="19" t="s">
        <v>713</v>
      </c>
      <c r="G1873" s="19" t="s">
        <v>714</v>
      </c>
      <c r="H1873" s="19" t="s">
        <v>715</v>
      </c>
      <c r="I1873" s="19" t="s">
        <v>716</v>
      </c>
      <c r="J1873" s="19" t="s">
        <v>717</v>
      </c>
      <c r="K1873" s="19" t="s">
        <v>718</v>
      </c>
      <c r="L1873" s="4" t="s">
        <v>47</v>
      </c>
    </row>
    <row r="1874" customFormat="false" ht="15" hidden="false" customHeight="false" outlineLevel="0" collapsed="false">
      <c r="A1874" s="0" t="s">
        <v>783</v>
      </c>
      <c r="B1874" s="0" t="s">
        <v>95</v>
      </c>
      <c r="D1874" s="6" t="n">
        <f aca="false">Sens!D1850</f>
        <v>72.61</v>
      </c>
      <c r="E1874" s="6" t="n">
        <f aca="false">Sens!E1850</f>
        <v>101.938</v>
      </c>
      <c r="F1874" s="6" t="n">
        <f aca="false">Sens!F1850</f>
        <v>145.143956312325</v>
      </c>
      <c r="G1874" s="6" t="n">
        <f aca="false">Sens!G1850</f>
        <v>196.478966522364</v>
      </c>
      <c r="H1874" s="6" t="n">
        <f aca="false">Sens!H1850</f>
        <v>249.10761332251</v>
      </c>
      <c r="I1874" s="6" t="n">
        <f aca="false">Sens!I1850</f>
        <v>301.318218457463</v>
      </c>
      <c r="J1874" s="6" t="n">
        <f aca="false">Sens!J1850</f>
        <v>352.037892979313</v>
      </c>
      <c r="K1874" s="6" t="n">
        <f aca="false">Sens!K1850</f>
        <v>400.20428058249</v>
      </c>
    </row>
    <row r="1875" customFormat="false" ht="17.15" hidden="false" customHeight="false" outlineLevel="0" collapsed="false">
      <c r="A1875" s="0" t="s">
        <v>780</v>
      </c>
      <c r="B1875" s="0" t="s">
        <v>95</v>
      </c>
      <c r="D1875" s="6" t="n">
        <f aca="false">Sens!D1847</f>
        <v>12.9359794422418</v>
      </c>
      <c r="E1875" s="6" t="n">
        <f aca="false">Sens!E1847</f>
        <v>27.8095064661409</v>
      </c>
      <c r="F1875" s="6" t="n">
        <f aca="false">Sens!F1847</f>
        <v>55.0640065749585</v>
      </c>
      <c r="G1875" s="6" t="n">
        <f aca="false">Sens!G1847</f>
        <v>89.4505413190538</v>
      </c>
      <c r="H1875" s="6" t="n">
        <f aca="false">Sens!H1847</f>
        <v>124.835630736874</v>
      </c>
      <c r="I1875" s="6" t="n">
        <f aca="false">Sens!I1847</f>
        <v>160.384516075608</v>
      </c>
      <c r="J1875" s="6" t="n">
        <f aca="false">Sens!J1847</f>
        <v>196.019025664981</v>
      </c>
      <c r="K1875" s="6" t="n">
        <f aca="false">Sens!K1847</f>
        <v>231.703903883012</v>
      </c>
    </row>
    <row r="1876" customFormat="false" ht="17.15" hidden="false" customHeight="false" outlineLevel="0" collapsed="false">
      <c r="A1876" s="0" t="s">
        <v>807</v>
      </c>
      <c r="B1876" s="0" t="s">
        <v>95</v>
      </c>
      <c r="D1876" s="6" t="n">
        <f aca="false">Sens!D1848</f>
        <v>59.6740205577583</v>
      </c>
      <c r="E1876" s="6" t="n">
        <f aca="false">Sens!E1848</f>
        <v>74.1284935338591</v>
      </c>
      <c r="F1876" s="6" t="n">
        <f aca="false">Sens!F1848</f>
        <v>90.0799497373663</v>
      </c>
      <c r="G1876" s="6" t="n">
        <f aca="false">Sens!G1848</f>
        <v>107.02842520331</v>
      </c>
      <c r="H1876" s="6" t="n">
        <f aca="false">Sens!H1848</f>
        <v>124.271982585636</v>
      </c>
      <c r="I1876" s="6" t="n">
        <f aca="false">Sens!I1848</f>
        <v>140.933702381855</v>
      </c>
      <c r="J1876" s="6" t="n">
        <f aca="false">Sens!J1848</f>
        <v>156.018867314332</v>
      </c>
      <c r="K1876" s="6" t="n">
        <f aca="false">Sens!K1848</f>
        <v>168.500376699478</v>
      </c>
    </row>
    <row r="1877" customFormat="false" ht="15" hidden="false" customHeight="false" outlineLevel="0" collapsed="false">
      <c r="A1877" s="0" t="s">
        <v>788</v>
      </c>
      <c r="B1877" s="0" t="s">
        <v>95</v>
      </c>
      <c r="D1877" s="6" t="n">
        <f aca="false">Sens!D1855</f>
        <v>84.605</v>
      </c>
      <c r="E1877" s="6" t="n">
        <f aca="false">Sens!E1855</f>
        <v>100.299</v>
      </c>
      <c r="F1877" s="6" t="n">
        <f aca="false">Sens!F1855</f>
        <v>118.89238776686</v>
      </c>
      <c r="G1877" s="6" t="n">
        <f aca="false">Sens!G1855</f>
        <v>137.044168448684</v>
      </c>
      <c r="H1877" s="6" t="n">
        <f aca="false">Sens!H1855</f>
        <v>155.277359388781</v>
      </c>
      <c r="I1877" s="6" t="n">
        <f aca="false">Sens!I1855</f>
        <v>171.834028071957</v>
      </c>
      <c r="J1877" s="6" t="n">
        <f aca="false">Sens!J1855</f>
        <v>186.432702785465</v>
      </c>
      <c r="K1877" s="6" t="n">
        <f aca="false">Sens!K1855</f>
        <v>200.277991980448</v>
      </c>
    </row>
    <row r="1878" customFormat="false" ht="17.15" hidden="false" customHeight="false" outlineLevel="0" collapsed="false">
      <c r="A1878" s="0" t="s">
        <v>808</v>
      </c>
      <c r="B1878" s="0" t="s">
        <v>95</v>
      </c>
      <c r="D1878" s="6" t="n">
        <f aca="false">Sens!D1853</f>
        <v>83.705</v>
      </c>
      <c r="E1878" s="6" t="n">
        <f aca="false">Sens!E1853</f>
        <v>95.049</v>
      </c>
      <c r="F1878" s="6" t="n">
        <f aca="false">Sens!F1853</f>
        <v>106.89238776686</v>
      </c>
      <c r="G1878" s="6" t="n">
        <f aca="false">Sens!G1853</f>
        <v>119.044168448684</v>
      </c>
      <c r="H1878" s="6" t="n">
        <f aca="false">Sens!H1853</f>
        <v>131.277359388781</v>
      </c>
      <c r="I1878" s="6" t="n">
        <f aca="false">Sens!I1853</f>
        <v>143.334028071957</v>
      </c>
      <c r="J1878" s="6" t="n">
        <f aca="false">Sens!J1853</f>
        <v>154.932702785465</v>
      </c>
      <c r="K1878" s="6" t="n">
        <f aca="false">Sens!K1853</f>
        <v>165.777991980448</v>
      </c>
    </row>
    <row r="1879" customFormat="false" ht="17.15" hidden="false" customHeight="false" outlineLevel="0" collapsed="false">
      <c r="A1879" s="0" t="s">
        <v>809</v>
      </c>
      <c r="B1879" s="0" t="s">
        <v>95</v>
      </c>
      <c r="D1879" s="6" t="n">
        <f aca="false">Sens!D1852</f>
        <v>0.9</v>
      </c>
      <c r="E1879" s="6" t="n">
        <f aca="false">Sens!E1852</f>
        <v>5.25</v>
      </c>
      <c r="F1879" s="6" t="n">
        <f aca="false">Sens!F1852</f>
        <v>12</v>
      </c>
      <c r="G1879" s="6" t="n">
        <f aca="false">Sens!G1852</f>
        <v>18</v>
      </c>
      <c r="H1879" s="6" t="n">
        <f aca="false">Sens!H1852</f>
        <v>24</v>
      </c>
      <c r="I1879" s="6" t="n">
        <f aca="false">Sens!I1852</f>
        <v>28.5</v>
      </c>
      <c r="J1879" s="6" t="n">
        <f aca="false">Sens!J1852</f>
        <v>31.5</v>
      </c>
      <c r="K1879" s="6" t="n">
        <f aca="false">Sens!K1852</f>
        <v>34.5</v>
      </c>
    </row>
    <row r="1880" customFormat="false" ht="15" hidden="false" customHeight="false" outlineLevel="0" collapsed="false">
      <c r="A1880" s="0" t="s">
        <v>789</v>
      </c>
      <c r="B1880" s="0" t="s">
        <v>95</v>
      </c>
      <c r="D1880" s="6" t="n">
        <f aca="false">Sens!D1856</f>
        <v>35.391</v>
      </c>
      <c r="E1880" s="6" t="n">
        <f aca="false">Sens!E1856</f>
        <v>37.285</v>
      </c>
      <c r="F1880" s="6" t="n">
        <f aca="false">Sens!F1856</f>
        <v>39.0720834331704</v>
      </c>
      <c r="G1880" s="6" t="n">
        <f aca="false">Sens!G1856</f>
        <v>40.726562953769</v>
      </c>
      <c r="H1880" s="6" t="n">
        <f aca="false">Sens!H1856</f>
        <v>42.2235987259198</v>
      </c>
      <c r="I1880" s="6" t="n">
        <f aca="false">Sens!I1856</f>
        <v>43.5397988077414</v>
      </c>
      <c r="J1880" s="6" t="n">
        <f aca="false">Sens!J1856</f>
        <v>44.653811225693</v>
      </c>
      <c r="K1880" s="6" t="n">
        <f aca="false">Sens!K1856</f>
        <v>45.5468874502068</v>
      </c>
    </row>
    <row r="1881" customFormat="false" ht="15" hidden="false" customHeight="false" outlineLevel="0" collapsed="false">
      <c r="A1881" s="0" t="s">
        <v>790</v>
      </c>
      <c r="B1881" s="0" t="s">
        <v>95</v>
      </c>
      <c r="D1881" s="6" t="n">
        <f aca="false">Sens!D1858</f>
        <v>18.417</v>
      </c>
      <c r="E1881" s="6" t="n">
        <f aca="false">Sens!E1858</f>
        <v>20.345</v>
      </c>
      <c r="F1881" s="6" t="n">
        <f aca="false">Sens!F1858</f>
        <v>22.3572203267814</v>
      </c>
      <c r="G1881" s="6" t="n">
        <f aca="false">Sens!G1858</f>
        <v>24.4392124437232</v>
      </c>
      <c r="H1881" s="6" t="n">
        <f aca="false">Sens!H1858</f>
        <v>26.5738052080665</v>
      </c>
      <c r="I1881" s="6" t="n">
        <f aca="false">Sens!I1858</f>
        <v>28.7412169166967</v>
      </c>
      <c r="J1881" s="6" t="n">
        <f aca="false">Sens!J1858</f>
        <v>30.9192545395413</v>
      </c>
      <c r="K1881" s="6" t="n">
        <f aca="false">Sens!K1858</f>
        <v>33.0836023573092</v>
      </c>
    </row>
    <row r="1882" customFormat="false" ht="15" hidden="false" customHeight="false" outlineLevel="0" collapsed="false">
      <c r="A1882" s="0" t="s">
        <v>791</v>
      </c>
      <c r="B1882" s="0" t="s">
        <v>95</v>
      </c>
      <c r="D1882" s="6" t="n">
        <f aca="false">Sens!D1860</f>
        <v>7.76</v>
      </c>
      <c r="E1882" s="6" t="n">
        <f aca="false">Sens!E1860</f>
        <v>8.26</v>
      </c>
      <c r="F1882" s="6" t="n">
        <f aca="false">Sens!F1860</f>
        <v>8.79988041237113</v>
      </c>
      <c r="G1882" s="6" t="n">
        <f aca="false">Sens!G1860</f>
        <v>9.38321269125306</v>
      </c>
      <c r="H1882" s="6" t="n">
        <f aca="false">Sens!H1860</f>
        <v>10.0139193587476</v>
      </c>
      <c r="I1882" s="6" t="n">
        <f aca="false">Sens!I1860</f>
        <v>10.6963111830911</v>
      </c>
      <c r="J1882" s="6" t="n">
        <f aca="false">Sens!J1860</f>
        <v>11.4351285534696</v>
      </c>
      <c r="K1882" s="6" t="n">
        <f aca="false">Sens!K1860</f>
        <v>12.2355875522124</v>
      </c>
    </row>
    <row r="1883" customFormat="false" ht="15" hidden="false" customHeight="false" outlineLevel="0" collapsed="false">
      <c r="A1883" s="0" t="s">
        <v>626</v>
      </c>
      <c r="B1883" s="0" t="s">
        <v>95</v>
      </c>
      <c r="D1883" s="6" t="n">
        <f aca="false">Sens!D1862</f>
        <v>218.783</v>
      </c>
      <c r="E1883" s="6" t="n">
        <f aca="false">Sens!E1862</f>
        <v>268.127</v>
      </c>
      <c r="F1883" s="6" t="n">
        <f aca="false">Sens!F1862</f>
        <v>334.265528251508</v>
      </c>
      <c r="G1883" s="6" t="n">
        <f aca="false">Sens!G1862</f>
        <v>408.072123059793</v>
      </c>
      <c r="H1883" s="6" t="n">
        <f aca="false">Sens!H1862</f>
        <v>483.196296004025</v>
      </c>
      <c r="I1883" s="6" t="n">
        <f aca="false">Sens!I1862</f>
        <v>556.129573436949</v>
      </c>
      <c r="J1883" s="6" t="n">
        <f aca="false">Sens!J1862</f>
        <v>625.478790083482</v>
      </c>
      <c r="K1883" s="6" t="n">
        <f aca="false">Sens!K1862</f>
        <v>691.348349922667</v>
      </c>
    </row>
    <row r="1884" customFormat="false" ht="15" hidden="false" customHeight="false" outlineLevel="0" collapsed="false">
      <c r="A1884" s="0" t="s">
        <v>792</v>
      </c>
      <c r="B1884" s="0" t="s">
        <v>95</v>
      </c>
      <c r="D1884" s="6" t="n">
        <f aca="false">Sens!D1863</f>
        <v>22.171</v>
      </c>
      <c r="E1884" s="6" t="n">
        <f aca="false">Sens!E1863</f>
        <v>24.835</v>
      </c>
      <c r="F1884" s="6" t="n">
        <f aca="false">Sens!F1863</f>
        <v>27.6114901218559</v>
      </c>
      <c r="G1884" s="6" t="n">
        <f aca="false">Sens!G1863</f>
        <v>30.4675667338515</v>
      </c>
      <c r="H1884" s="6" t="n">
        <f aca="false">Sens!H1863</f>
        <v>33.3643766955789</v>
      </c>
      <c r="I1884" s="6" t="n">
        <f aca="false">Sens!I1863</f>
        <v>36.2577016533691</v>
      </c>
      <c r="J1884" s="6" t="n">
        <f aca="false">Sens!J1863</f>
        <v>39.0988367952171</v>
      </c>
      <c r="K1884" s="6" t="n">
        <f aca="false">Sens!K1863</f>
        <v>41.8357553708823</v>
      </c>
    </row>
    <row r="1885" customFormat="false" ht="15" hidden="false" customHeight="false" outlineLevel="0" collapsed="false">
      <c r="A1885" s="0" t="s">
        <v>793</v>
      </c>
      <c r="B1885" s="0" t="s">
        <v>95</v>
      </c>
      <c r="D1885" s="6" t="n">
        <f aca="false">Sens!D1865</f>
        <v>23.455</v>
      </c>
      <c r="E1885" s="6" t="n">
        <f aca="false">Sens!E1865</f>
        <v>21.79</v>
      </c>
      <c r="F1885" s="6" t="n">
        <f aca="false">Sens!F1865</f>
        <v>20.5736277908051</v>
      </c>
      <c r="G1885" s="6" t="n">
        <f aca="false">Sens!G1865</f>
        <v>19.7371452817919</v>
      </c>
      <c r="H1885" s="6" t="n">
        <f aca="false">Sens!H1865</f>
        <v>19.2339764043138</v>
      </c>
      <c r="I1885" s="6" t="n">
        <f aca="false">Sens!I1865</f>
        <v>19.0353086852681</v>
      </c>
      <c r="J1885" s="6" t="n">
        <f aca="false">Sens!J1865</f>
        <v>19.1273539319129</v>
      </c>
      <c r="K1885" s="6" t="n">
        <f aca="false">Sens!K1865</f>
        <v>19.5099010105511</v>
      </c>
    </row>
    <row r="1886" customFormat="false" ht="15" hidden="false" customHeight="false" outlineLevel="0" collapsed="false">
      <c r="A1886" s="0" t="s">
        <v>794</v>
      </c>
      <c r="B1886" s="0" t="s">
        <v>95</v>
      </c>
      <c r="D1886" s="6" t="n">
        <f aca="false">Sens!D1867</f>
        <v>17.315</v>
      </c>
      <c r="E1886" s="6" t="n">
        <f aca="false">Sens!E1867</f>
        <v>17.087</v>
      </c>
      <c r="F1886" s="6" t="n">
        <f aca="false">Sens!F1867</f>
        <v>16.9564585436519</v>
      </c>
      <c r="G1886" s="6" t="n">
        <f aca="false">Sens!G1867</f>
        <v>16.9206490624268</v>
      </c>
      <c r="H1886" s="6" t="n">
        <f aca="false">Sens!H1867</f>
        <v>16.9784519149849</v>
      </c>
      <c r="I1886" s="6" t="n">
        <f aca="false">Sens!I1867</f>
        <v>17.1303084701817</v>
      </c>
      <c r="J1886" s="6" t="n">
        <f aca="false">Sens!J1867</f>
        <v>17.3782189407267</v>
      </c>
      <c r="K1886" s="6" t="n">
        <f aca="false">Sens!K1867</f>
        <v>17.7257833195413</v>
      </c>
    </row>
    <row r="1887" customFormat="false" ht="15" hidden="false" customHeight="false" outlineLevel="0" collapsed="false">
      <c r="A1887" s="0" t="s">
        <v>640</v>
      </c>
      <c r="B1887" s="0" t="s">
        <v>95</v>
      </c>
      <c r="D1887" s="6" t="n">
        <f aca="false">Sens!D1869</f>
        <v>62.941</v>
      </c>
      <c r="E1887" s="6" t="n">
        <f aca="false">Sens!E1869</f>
        <v>63.712</v>
      </c>
      <c r="F1887" s="6" t="n">
        <f aca="false">Sens!F1869</f>
        <v>65.1415764563129</v>
      </c>
      <c r="G1887" s="6" t="n">
        <f aca="false">Sens!G1869</f>
        <v>67.1253610780702</v>
      </c>
      <c r="H1887" s="6" t="n">
        <f aca="false">Sens!H1869</f>
        <v>69.5768050148776</v>
      </c>
      <c r="I1887" s="6" t="n">
        <f aca="false">Sens!I1869</f>
        <v>72.4233188088189</v>
      </c>
      <c r="J1887" s="6" t="n">
        <f aca="false">Sens!J1869</f>
        <v>75.6044096678567</v>
      </c>
      <c r="K1887" s="6" t="n">
        <f aca="false">Sens!K1869</f>
        <v>79.0714397009747</v>
      </c>
    </row>
    <row r="1888" customFormat="false" ht="15" hidden="false" customHeight="false" outlineLevel="0" collapsed="false">
      <c r="A1888" s="1" t="s">
        <v>810</v>
      </c>
      <c r="B1888" s="0" t="s">
        <v>95</v>
      </c>
      <c r="D1888" s="6" t="n">
        <f aca="false">Sens!D1870</f>
        <v>281.724</v>
      </c>
      <c r="E1888" s="6" t="n">
        <f aca="false">Sens!E1870</f>
        <v>331.839</v>
      </c>
      <c r="F1888" s="6" t="n">
        <f aca="false">Sens!F1870</f>
        <v>399.407104707821</v>
      </c>
      <c r="G1888" s="6" t="n">
        <f aca="false">Sens!G1870</f>
        <v>475.197484137863</v>
      </c>
      <c r="H1888" s="6" t="n">
        <f aca="false">Sens!H1870</f>
        <v>552.773101018903</v>
      </c>
      <c r="I1888" s="6" t="n">
        <f aca="false">Sens!I1870</f>
        <v>628.552892245768</v>
      </c>
      <c r="J1888" s="6" t="n">
        <f aca="false">Sens!J1870</f>
        <v>701.083199751338</v>
      </c>
      <c r="K1888" s="6" t="n">
        <f aca="false">Sens!K1870</f>
        <v>770.419789623641</v>
      </c>
    </row>
    <row r="1889" customFormat="false" ht="15" hidden="false" customHeight="false" outlineLevel="0" collapsed="false">
      <c r="A1889" s="1" t="s">
        <v>811</v>
      </c>
      <c r="B1889" s="0" t="s">
        <v>126</v>
      </c>
      <c r="E1889" s="7" t="n">
        <f aca="false">Sens!E1888/Sens!D1888-1</f>
        <v>0.177886867998467</v>
      </c>
      <c r="F1889" s="7" t="n">
        <f aca="false">Sens!F1888/Sens!E1888-1</f>
        <v>0.203617129715978</v>
      </c>
      <c r="G1889" s="7" t="n">
        <f aca="false">Sens!G1888/Sens!F1888-1</f>
        <v>0.189757213972159</v>
      </c>
      <c r="H1889" s="7" t="n">
        <f aca="false">Sens!H1888/Sens!G1888-1</f>
        <v>0.163249216316418</v>
      </c>
      <c r="I1889" s="7" t="n">
        <f aca="false">Sens!I1888/Sens!H1888-1</f>
        <v>0.137090229403682</v>
      </c>
      <c r="J1889" s="7" t="n">
        <f aca="false">Sens!J1888/Sens!I1888-1</f>
        <v>0.11539252845759</v>
      </c>
      <c r="K1889" s="7" t="n">
        <f aca="false">Sens!K1888/Sens!J1888-1</f>
        <v>0.098899231784324</v>
      </c>
    </row>
    <row r="1890" customFormat="false" ht="17.15" hidden="false" customHeight="false" outlineLevel="0" collapsed="false">
      <c r="A1890" s="22" t="s">
        <v>812</v>
      </c>
      <c r="B1890" s="28" t="s">
        <v>95</v>
      </c>
      <c r="C1890" s="28"/>
      <c r="D1890" s="23" t="n">
        <f aca="false">(Sens!D1883+Sens!D1887-Sens!D1888)+(Sens!D1875+Sens!D1876-Sens!D1874)+(Sens!D1878+Sens!D1879-Sens!D1877)+(Sens!D1888-Q!L18)</f>
        <v>0</v>
      </c>
      <c r="E1890" s="23" t="n">
        <f aca="false">(Sens!E1883+Sens!E1887-Sens!E1888)+(Sens!E1875+Sens!E1876-Sens!E1874)+(Sens!E1878+Sens!E1879-Sens!E1877)+(Sens!E1888-Q!M18)</f>
        <v>0</v>
      </c>
      <c r="F1890" s="23" t="n">
        <f aca="false">(Sens!F1883+Sens!F1887-Sens!F1888)+(Sens!F1875+Sens!F1876-Sens!F1874)+(Sens!F1878+Sens!F1879-Sens!F1877)</f>
        <v>0</v>
      </c>
      <c r="G1890" s="23" t="n">
        <f aca="false">(Sens!G1883+Sens!G1887-Sens!G1888)+(Sens!G1875+Sens!G1876-Sens!G1874)+(Sens!G1878+Sens!G1879-Sens!G1877)</f>
        <v>0</v>
      </c>
      <c r="H1890" s="23" t="n">
        <f aca="false">(Sens!H1883+Sens!H1887-Sens!H1888)+(Sens!H1875+Sens!H1876-Sens!H1874)+(Sens!H1878+Sens!H1879-Sens!H1877)</f>
        <v>0</v>
      </c>
      <c r="I1890" s="23" t="n">
        <f aca="false">(Sens!I1883+Sens!I1887-Sens!I1888)+(Sens!I1875+Sens!I1876-Sens!I1874)+(Sens!I1878+Sens!I1879-Sens!I1877)</f>
        <v>0</v>
      </c>
      <c r="J1890" s="23" t="n">
        <f aca="false">(Sens!J1883+Sens!J1887-Sens!J1888)+(Sens!J1875+Sens!J1876-Sens!J1874)+(Sens!J1878+Sens!J1879-Sens!J1877)</f>
        <v>0</v>
      </c>
      <c r="K1890" s="23" t="n">
        <f aca="false">(Sens!K1883+Sens!K1887-Sens!K1888)+(Sens!K1875+Sens!K1876-Sens!K1874)+(Sens!K1878+Sens!K1879-Sens!K1877)</f>
        <v>0</v>
      </c>
    </row>
    <row r="1891" customFormat="false" ht="17.15" hidden="false" customHeight="false" outlineLevel="0" collapsed="false">
      <c r="A1891" s="0" t="s">
        <v>813</v>
      </c>
      <c r="B1891" s="0" t="s">
        <v>126</v>
      </c>
      <c r="E1891" s="7" t="n">
        <f aca="false">(Q!M21+Sens!E1828+Sens!E1829+Sens!E1830+Sens!E1843-Sens!E1826)/(Q!M5-Sens!E1826)</f>
        <v>0.550623586919075</v>
      </c>
      <c r="F1891" s="7" t="n">
        <f aca="false">Sens!$E$1891+dm_seg</f>
        <v>0.550623586919075</v>
      </c>
      <c r="G1891" s="7" t="n">
        <f aca="false">Sens!$E$1891+dm_seg</f>
        <v>0.550623586919075</v>
      </c>
      <c r="H1891" s="7" t="n">
        <f aca="false">Sens!$E$1891+dm_seg</f>
        <v>0.550623586919075</v>
      </c>
      <c r="I1891" s="7" t="n">
        <f aca="false">Sens!$E$1891+dm_seg</f>
        <v>0.550623586919075</v>
      </c>
      <c r="J1891" s="7" t="n">
        <f aca="false">Sens!$E$1891+dm_seg</f>
        <v>0.550623586919075</v>
      </c>
      <c r="K1891" s="7" t="n">
        <f aca="false">Sens!$E$1891+dm_seg</f>
        <v>0.550623586919075</v>
      </c>
      <c r="L1891" s="11" t="s">
        <v>814</v>
      </c>
    </row>
    <row r="1892" customFormat="false" ht="17.15" hidden="false" customHeight="false" outlineLevel="0" collapsed="false">
      <c r="A1892" s="0" t="s">
        <v>654</v>
      </c>
      <c r="B1892" s="0" t="s">
        <v>95</v>
      </c>
      <c r="D1892" s="6" t="n">
        <f aca="false">Q!L21</f>
        <v>110.814</v>
      </c>
      <c r="E1892" s="6" t="n">
        <f aca="false">Q!M21</f>
        <v>136.365</v>
      </c>
      <c r="F1892" s="6" t="n">
        <f aca="false">Sens!F1891*(Sens!F1862-Sens!F1826)+Sens!F1826-(Sens!F1828+Sens!F1829+Sens!F1830)-Sens!F1843</f>
        <v>159.325146235208</v>
      </c>
      <c r="G1892" s="6" t="n">
        <f aca="false">Sens!G1891*(Sens!G1862-Sens!G1826)+Sens!G1826-(Sens!G1828+Sens!G1829+Sens!G1830)-Sens!G1843</f>
        <v>182.574922144686</v>
      </c>
      <c r="H1892" s="6" t="n">
        <f aca="false">Sens!H1891*(Sens!H1862-Sens!H1826)+Sens!H1826-(Sens!H1828+Sens!H1829+Sens!H1830)-Sens!H1843</f>
        <v>209.095223432766</v>
      </c>
      <c r="I1892" s="6" t="n">
        <f aca="false">Sens!I1891*(Sens!I1862-Sens!I1826)+Sens!I1826-(Sens!I1828+Sens!I1829+Sens!I1830)-Sens!I1843</f>
        <v>233.642691096005</v>
      </c>
      <c r="J1892" s="6" t="n">
        <f aca="false">Sens!J1891*(Sens!J1862-Sens!J1826)+Sens!J1826-(Sens!J1828+Sens!J1829+Sens!J1830)-Sens!J1843</f>
        <v>255.464495371455</v>
      </c>
      <c r="K1892" s="6" t="n">
        <f aca="false">Sens!K1891*(Sens!K1862-Sens!K1826)+Sens!K1826-(Sens!K1828+Sens!K1829+Sens!K1830)-Sens!K1843</f>
        <v>274.35533277656</v>
      </c>
      <c r="L1892" s="1" t="s">
        <v>815</v>
      </c>
    </row>
    <row r="1893" customFormat="false" ht="17.15" hidden="false" customHeight="false" outlineLevel="0" collapsed="false">
      <c r="A1893" s="0" t="s">
        <v>816</v>
      </c>
      <c r="B1893" s="0" t="s">
        <v>126</v>
      </c>
      <c r="E1893" s="7" t="n">
        <f aca="false">Q!M22/Q!M12</f>
        <v>0.296207935710698</v>
      </c>
      <c r="F1893" s="7" t="n">
        <f aca="false">Sens!$E$1893+dm_seg</f>
        <v>0.296207935710698</v>
      </c>
      <c r="G1893" s="7" t="n">
        <f aca="false">Sens!$E$1893+dm_seg</f>
        <v>0.296207935710698</v>
      </c>
      <c r="H1893" s="7" t="n">
        <f aca="false">Sens!$E$1893+dm_seg</f>
        <v>0.296207935710698</v>
      </c>
      <c r="I1893" s="7" t="n">
        <f aca="false">Sens!$E$1893+dm_seg</f>
        <v>0.296207935710698</v>
      </c>
      <c r="J1893" s="7" t="n">
        <f aca="false">Sens!$E$1893+dm_seg</f>
        <v>0.296207935710698</v>
      </c>
      <c r="K1893" s="7" t="n">
        <f aca="false">Sens!$E$1893+dm_seg</f>
        <v>0.296207935710698</v>
      </c>
      <c r="L1893" s="11" t="s">
        <v>817</v>
      </c>
    </row>
    <row r="1894" customFormat="false" ht="17.15" hidden="false" customHeight="false" outlineLevel="0" collapsed="false">
      <c r="A1894" s="0" t="s">
        <v>656</v>
      </c>
      <c r="B1894" s="0" t="s">
        <v>95</v>
      </c>
      <c r="D1894" s="6" t="n">
        <f aca="false">Q!L22</f>
        <v>17.714</v>
      </c>
      <c r="E1894" s="6" t="n">
        <f aca="false">Q!M22</f>
        <v>18.872</v>
      </c>
      <c r="F1894" s="6" t="n">
        <f aca="false">Sens!F1869*Sens!F1893</f>
        <v>19.2954518910651</v>
      </c>
      <c r="G1894" s="6" t="n">
        <f aca="false">Sens!G1869*Sens!G1893</f>
        <v>19.8830646387704</v>
      </c>
      <c r="H1894" s="6" t="n">
        <f aca="false">Sens!H1869*Sens!H1893</f>
        <v>20.6092017868026</v>
      </c>
      <c r="I1894" s="6" t="n">
        <f aca="false">Sens!I1869*Sens!I1893</f>
        <v>21.452361761678</v>
      </c>
      <c r="J1894" s="6" t="n">
        <f aca="false">Sens!J1869*Sens!J1893</f>
        <v>22.3946261183418</v>
      </c>
      <c r="K1894" s="6" t="n">
        <f aca="false">Sens!K1869*Sens!K1893</f>
        <v>23.4215879274986</v>
      </c>
    </row>
    <row r="1895" customFormat="false" ht="15" hidden="false" customHeight="false" outlineLevel="0" collapsed="false">
      <c r="A1895" s="1" t="s">
        <v>818</v>
      </c>
      <c r="B1895" s="0" t="s">
        <v>95</v>
      </c>
      <c r="D1895" s="6" t="n">
        <f aca="false">Sens!D1892+Sens!D1894</f>
        <v>128.528</v>
      </c>
      <c r="E1895" s="6" t="n">
        <f aca="false">Sens!E1892+Sens!E1894</f>
        <v>155.237</v>
      </c>
      <c r="F1895" s="6" t="n">
        <f aca="false">Sens!F1892+Sens!F1894</f>
        <v>178.620598126273</v>
      </c>
      <c r="G1895" s="6" t="n">
        <f aca="false">Sens!G1892+Sens!G1894</f>
        <v>202.457986783456</v>
      </c>
      <c r="H1895" s="6" t="n">
        <f aca="false">Sens!H1892+Sens!H1894</f>
        <v>229.704425219568</v>
      </c>
      <c r="I1895" s="6" t="n">
        <f aca="false">Sens!I1892+Sens!I1894</f>
        <v>255.095052857683</v>
      </c>
      <c r="J1895" s="6" t="n">
        <f aca="false">Sens!J1892+Sens!J1894</f>
        <v>277.859121489797</v>
      </c>
      <c r="K1895" s="6" t="n">
        <f aca="false">Sens!K1892+Sens!K1894</f>
        <v>297.776920704059</v>
      </c>
    </row>
    <row r="1896" customFormat="false" ht="15" hidden="false" customHeight="false" outlineLevel="0" collapsed="false">
      <c r="A1896" s="22" t="s">
        <v>819</v>
      </c>
      <c r="B1896" s="28" t="s">
        <v>95</v>
      </c>
      <c r="C1896" s="28"/>
      <c r="D1896" s="23" t="n">
        <f aca="false">Sens!D1895-Q!L23</f>
        <v>0</v>
      </c>
      <c r="E1896" s="23" t="n">
        <f aca="false">Sens!E1895-Q!M23</f>
        <v>0</v>
      </c>
      <c r="F1896" s="28"/>
      <c r="G1896" s="28"/>
      <c r="H1896" s="28"/>
      <c r="I1896" s="28"/>
      <c r="J1896" s="28"/>
      <c r="K1896" s="28"/>
    </row>
    <row r="1897" customFormat="false" ht="15" hidden="false" customHeight="false" outlineLevel="0" collapsed="false">
      <c r="A1897" s="1" t="s">
        <v>820</v>
      </c>
      <c r="B1897" s="0" t="s">
        <v>126</v>
      </c>
      <c r="D1897" s="7" t="n">
        <f aca="false">Sens!D1895/Sens!D1888</f>
        <v>0.456219562408598</v>
      </c>
      <c r="E1897" s="7" t="n">
        <f aca="false">Sens!E1895/Sens!E1888</f>
        <v>0.467808184089272</v>
      </c>
      <c r="F1897" s="7" t="n">
        <f aca="false">Sens!F1895/Sens!F1888</f>
        <v>0.447214373557375</v>
      </c>
      <c r="G1897" s="7" t="n">
        <f aca="false">Sens!G1895/Sens!G1888</f>
        <v>0.426050207632664</v>
      </c>
      <c r="H1897" s="7" t="n">
        <f aca="false">Sens!H1895/Sens!H1888</f>
        <v>0.415549209605468</v>
      </c>
      <c r="I1897" s="7" t="n">
        <f aca="false">Sens!I1895/Sens!I1888</f>
        <v>0.405845006847791</v>
      </c>
      <c r="J1897" s="7" t="n">
        <f aca="false">Sens!J1895/Sens!J1888</f>
        <v>0.396328312514618</v>
      </c>
      <c r="K1897" s="7" t="n">
        <f aca="false">Sens!K1895/Sens!K1888</f>
        <v>0.386512554213497</v>
      </c>
    </row>
    <row r="1898" customFormat="false" ht="17.15" hidden="false" customHeight="false" outlineLevel="0" collapsed="false">
      <c r="A1898" s="1" t="s">
        <v>821</v>
      </c>
      <c r="B1898" s="0" t="s">
        <v>95</v>
      </c>
      <c r="E1898" s="6" t="n">
        <f aca="false">Sens!E1843</f>
        <v>13.0443247816667</v>
      </c>
      <c r="F1898" s="6" t="n">
        <f aca="false">Sens!F1843</f>
        <v>30.6027725775365</v>
      </c>
      <c r="G1898" s="6" t="n">
        <f aca="false">Sens!G1843</f>
        <v>54.0260750339529</v>
      </c>
      <c r="H1898" s="6" t="n">
        <f aca="false">Sens!H1843</f>
        <v>75.8145412201929</v>
      </c>
      <c r="I1898" s="6" t="n">
        <f aca="false">Sens!I1843</f>
        <v>98.4184338185796</v>
      </c>
      <c r="J1898" s="6" t="n">
        <f aca="false">Sens!J1843</f>
        <v>121.8001107923</v>
      </c>
      <c r="K1898" s="6" t="n">
        <f aca="false">Sens!K1843</f>
        <v>146.211826533353</v>
      </c>
    </row>
    <row r="1899" customFormat="false" ht="17.15" hidden="false" customHeight="false" outlineLevel="0" collapsed="false">
      <c r="A1899" s="1" t="s">
        <v>822</v>
      </c>
      <c r="B1899" s="0" t="s">
        <v>95</v>
      </c>
      <c r="E1899" s="6" t="n">
        <f aca="false">Sens!E1919</f>
        <v>25.4896752183333</v>
      </c>
      <c r="F1899" s="6" t="n">
        <f aca="false">Sens!F1919</f>
        <v>26.4986424194562</v>
      </c>
      <c r="G1899" s="6" t="n">
        <f aca="false">Sens!G1919</f>
        <v>27.9640675345495</v>
      </c>
      <c r="H1899" s="6" t="n">
        <f aca="false">Sens!H1919</f>
        <v>29.8488121455036</v>
      </c>
      <c r="I1899" s="6" t="n">
        <f aca="false">Sens!I1919</f>
        <v>32.0837709621176</v>
      </c>
      <c r="J1899" s="6" t="n">
        <f aca="false">Sens!J1919</f>
        <v>34.5834851909432</v>
      </c>
      <c r="K1899" s="6" t="n">
        <f aca="false">Sens!K1919</f>
        <v>37.2620069460483</v>
      </c>
    </row>
    <row r="1900" customFormat="false" ht="17.15" hidden="false" customHeight="false" outlineLevel="0" collapsed="false">
      <c r="A1900" s="1" t="s">
        <v>823</v>
      </c>
      <c r="B1900" s="0" t="s">
        <v>95</v>
      </c>
      <c r="D1900" s="6" t="n">
        <f aca="false">Q!L27</f>
        <v>-4.901</v>
      </c>
      <c r="E1900" s="6" t="n">
        <f aca="false">Q!M27</f>
        <v>10.697</v>
      </c>
      <c r="F1900" s="6" t="n">
        <f aca="false">oie_f</f>
        <v>-0.4</v>
      </c>
      <c r="G1900" s="6" t="n">
        <f aca="false">oie_f</f>
        <v>-0.4</v>
      </c>
      <c r="H1900" s="6" t="n">
        <f aca="false">oie_f</f>
        <v>-0.4</v>
      </c>
      <c r="I1900" s="6" t="n">
        <f aca="false">oie_f</f>
        <v>-0.4</v>
      </c>
      <c r="J1900" s="6" t="n">
        <f aca="false">oie_f</f>
        <v>-0.4</v>
      </c>
      <c r="K1900" s="6" t="n">
        <f aca="false">oie_f</f>
        <v>-0.4</v>
      </c>
      <c r="L1900" s="11" t="s">
        <v>824</v>
      </c>
    </row>
    <row r="1901" customFormat="false" ht="15" hidden="false" customHeight="false" outlineLevel="0" collapsed="false">
      <c r="A1901" s="1" t="s">
        <v>666</v>
      </c>
      <c r="B1901" s="0" t="s">
        <v>95</v>
      </c>
      <c r="D1901" s="6" t="n">
        <f aca="false">Sens!D1895+Sens!D1900</f>
        <v>123.627</v>
      </c>
      <c r="E1901" s="6" t="n">
        <f aca="false">Sens!E1895+Sens!E1900</f>
        <v>165.934</v>
      </c>
      <c r="F1901" s="6" t="n">
        <f aca="false">Sens!F1895+Sens!F1900</f>
        <v>178.220598126273</v>
      </c>
      <c r="G1901" s="6" t="n">
        <f aca="false">Sens!G1895+Sens!G1900</f>
        <v>202.057986783456</v>
      </c>
      <c r="H1901" s="6" t="n">
        <f aca="false">Sens!H1895+Sens!H1900</f>
        <v>229.304425219568</v>
      </c>
      <c r="I1901" s="6" t="n">
        <f aca="false">Sens!I1895+Sens!I1900</f>
        <v>254.695052857683</v>
      </c>
      <c r="J1901" s="6" t="n">
        <f aca="false">Sens!J1895+Sens!J1900</f>
        <v>277.459121489797</v>
      </c>
      <c r="K1901" s="6" t="n">
        <f aca="false">Sens!K1895+Sens!K1900</f>
        <v>297.376920704059</v>
      </c>
    </row>
    <row r="1902" customFormat="false" ht="15" hidden="false" customHeight="false" outlineLevel="0" collapsed="false">
      <c r="A1902" s="1" t="s">
        <v>668</v>
      </c>
      <c r="B1902" s="0" t="s">
        <v>95</v>
      </c>
      <c r="D1902" s="6" t="n">
        <f aca="false">Q!L29</f>
        <v>21.795</v>
      </c>
      <c r="E1902" s="6" t="n">
        <f aca="false">Q!M29</f>
        <v>32.185</v>
      </c>
      <c r="F1902" s="6" t="n">
        <f aca="false">Sens!F1901*tax_f</f>
        <v>35.6441196252546</v>
      </c>
      <c r="G1902" s="6" t="n">
        <f aca="false">Sens!G1901*tax_f</f>
        <v>40.4115973566912</v>
      </c>
      <c r="H1902" s="6" t="n">
        <f aca="false">Sens!H1901*tax_f</f>
        <v>45.8608850439137</v>
      </c>
      <c r="I1902" s="6" t="n">
        <f aca="false">Sens!I1901*tax_f</f>
        <v>50.9390105715366</v>
      </c>
      <c r="J1902" s="6" t="n">
        <f aca="false">Sens!J1901*tax_f</f>
        <v>55.4918242979594</v>
      </c>
      <c r="K1902" s="6" t="n">
        <f aca="false">Sens!K1901*tax_f</f>
        <v>59.4753841408117</v>
      </c>
    </row>
    <row r="1903" customFormat="false" ht="15" hidden="false" customHeight="false" outlineLevel="0" collapsed="false">
      <c r="A1903" s="1" t="s">
        <v>825</v>
      </c>
      <c r="B1903" s="0" t="s">
        <v>95</v>
      </c>
      <c r="D1903" s="6" t="n">
        <f aca="false">Sens!D1901-Sens!D1902</f>
        <v>101.832</v>
      </c>
      <c r="E1903" s="6" t="n">
        <f aca="false">Sens!E1901-Sens!E1902</f>
        <v>133.749</v>
      </c>
      <c r="F1903" s="6" t="n">
        <f aca="false">Sens!F1901-Sens!F1902</f>
        <v>142.576478501018</v>
      </c>
      <c r="G1903" s="6" t="n">
        <f aca="false">Sens!G1901-Sens!G1902</f>
        <v>161.646389426765</v>
      </c>
      <c r="H1903" s="6" t="n">
        <f aca="false">Sens!H1901-Sens!H1902</f>
        <v>183.443540175655</v>
      </c>
      <c r="I1903" s="6" t="n">
        <f aca="false">Sens!I1901-Sens!I1902</f>
        <v>203.756042286146</v>
      </c>
      <c r="J1903" s="6" t="n">
        <f aca="false">Sens!J1901-Sens!J1902</f>
        <v>221.967297191838</v>
      </c>
      <c r="K1903" s="6" t="n">
        <f aca="false">Sens!K1901-Sens!K1902</f>
        <v>237.901536563247</v>
      </c>
    </row>
    <row r="1904" customFormat="false" ht="17.15" hidden="false" customHeight="false" outlineLevel="0" collapsed="false">
      <c r="A1904" s="1" t="s">
        <v>826</v>
      </c>
      <c r="B1904" s="1" t="s">
        <v>79</v>
      </c>
      <c r="D1904" s="18" t="n">
        <f aca="false">Q!L31</f>
        <v>7.465</v>
      </c>
      <c r="E1904" s="18" t="n">
        <f aca="false">Q!M31</f>
        <v>7.453</v>
      </c>
      <c r="F1904" s="18" t="n">
        <f aca="false">Sens!F1941</f>
        <v>7.4735</v>
      </c>
      <c r="G1904" s="18" t="n">
        <f aca="false">Sens!G1941</f>
        <v>7.49987171271795</v>
      </c>
      <c r="H1904" s="18" t="n">
        <f aca="false">Sens!H1941</f>
        <v>7.50899501128585</v>
      </c>
      <c r="I1904" s="18" t="n">
        <f aca="false">Sens!I1941</f>
        <v>7.52077584329316</v>
      </c>
      <c r="J1904" s="18" t="n">
        <f aca="false">Sens!J1941</f>
        <v>7.53501735441104</v>
      </c>
      <c r="K1904" s="18" t="n">
        <f aca="false">Sens!K1941</f>
        <v>7.55153727211278</v>
      </c>
    </row>
    <row r="1905" customFormat="false" ht="17.15" hidden="false" customHeight="false" outlineLevel="0" collapsed="false">
      <c r="A1905" s="0" t="s">
        <v>827</v>
      </c>
      <c r="B1905" s="0" t="s">
        <v>73</v>
      </c>
      <c r="D1905" s="8" t="n">
        <f aca="false">Sens!D1903/Sens!D1904</f>
        <v>13.641259209645</v>
      </c>
      <c r="E1905" s="8" t="n">
        <f aca="false">Sens!E1903/Sens!E1904</f>
        <v>17.9456594659869</v>
      </c>
      <c r="F1905" s="8" t="n">
        <f aca="false">Sens!F1903/Sens!F1904</f>
        <v>19.0776046699697</v>
      </c>
      <c r="G1905" s="8" t="n">
        <f aca="false">Sens!G1903/Sens!G1904</f>
        <v>21.5532205907805</v>
      </c>
      <c r="H1905" s="8" t="n">
        <f aca="false">Sens!H1903/Sens!H1904</f>
        <v>24.4298391329257</v>
      </c>
      <c r="I1905" s="8" t="n">
        <f aca="false">Sens!I1903/Sens!I1904</f>
        <v>27.0924232461802</v>
      </c>
      <c r="J1905" s="8" t="n">
        <f aca="false">Sens!J1903/Sens!J1904</f>
        <v>29.4581003269882</v>
      </c>
      <c r="K1905" s="8" t="n">
        <f aca="false">Sens!K1903/Sens!K1904</f>
        <v>31.5037227508362</v>
      </c>
      <c r="L1905" s="1" t="s">
        <v>828</v>
      </c>
    </row>
    <row r="1906" customFormat="false" ht="17.15" hidden="false" customHeight="false" outlineLevel="0" collapsed="false">
      <c r="A1906" s="0" t="s">
        <v>829</v>
      </c>
      <c r="B1906" s="0" t="s">
        <v>126</v>
      </c>
      <c r="E1906" s="7" t="n">
        <f aca="false">Sens!E1905/Sens!D1905-1</f>
        <v>0.315542736208578</v>
      </c>
      <c r="F1906" s="7" t="n">
        <f aca="false">Sens!F1905/Sens!E1905-1</f>
        <v>0.0630762667779496</v>
      </c>
      <c r="G1906" s="7" t="n">
        <f aca="false">Sens!G1905/Sens!F1905-1</f>
        <v>0.129765553047011</v>
      </c>
      <c r="H1906" s="7" t="n">
        <f aca="false">Sens!H1905/Sens!G1905-1</f>
        <v>0.133465833100398</v>
      </c>
      <c r="I1906" s="7" t="n">
        <f aca="false">Sens!I1905/Sens!H1905-1</f>
        <v>0.108989015390854</v>
      </c>
      <c r="J1906" s="7" t="n">
        <f aca="false">Sens!J1905/Sens!I1905-1</f>
        <v>0.0873187702447955</v>
      </c>
      <c r="K1906" s="7" t="n">
        <f aca="false">Sens!K1905/Sens!J1905-1</f>
        <v>0.0694417630852413</v>
      </c>
    </row>
    <row r="1907" customFormat="false" ht="17.15" hidden="false" customHeight="false" outlineLevel="0" collapsed="false">
      <c r="A1907" s="0" t="s">
        <v>763</v>
      </c>
      <c r="B1907" s="0" t="s">
        <v>95</v>
      </c>
      <c r="E1907" s="6" t="n">
        <f aca="false">Sens!E1852</f>
        <v>5.25</v>
      </c>
      <c r="F1907" s="6" t="n">
        <f aca="false">Sens!F1852</f>
        <v>12</v>
      </c>
      <c r="G1907" s="6" t="n">
        <f aca="false">Sens!G1852</f>
        <v>18</v>
      </c>
      <c r="H1907" s="6" t="n">
        <f aca="false">Sens!H1852</f>
        <v>24</v>
      </c>
      <c r="I1907" s="6" t="n">
        <f aca="false">Sens!I1852</f>
        <v>28.5</v>
      </c>
      <c r="J1907" s="6" t="n">
        <f aca="false">Sens!J1852</f>
        <v>31.5</v>
      </c>
      <c r="K1907" s="6" t="n">
        <f aca="false">Sens!K1852</f>
        <v>34.5</v>
      </c>
    </row>
    <row r="1908" customFormat="false" ht="17.15" hidden="false" customHeight="false" outlineLevel="0" collapsed="false">
      <c r="A1908" s="0" t="s">
        <v>764</v>
      </c>
      <c r="B1908" s="0" t="s">
        <v>95</v>
      </c>
      <c r="E1908" s="6" t="n">
        <f aca="false">Sens!E1832+Sens!E1907*Sens!E1891-Sens!E1833-Sens!E1843</f>
        <v>6.93129354230991</v>
      </c>
      <c r="F1908" s="6" t="n">
        <f aca="false">Sens!F1832+Sens!F1907*Sens!F1891-Sens!F1833-Sens!F1843</f>
        <v>12.1976859394314</v>
      </c>
      <c r="G1908" s="6" t="n">
        <f aca="false">Sens!G1832+Sens!G1907*Sens!G1891-Sens!G1833-Sens!G1843</f>
        <v>17.045588501314</v>
      </c>
      <c r="H1908" s="6" t="n">
        <f aca="false">Sens!H1832+Sens!H1907*Sens!H1891-Sens!H1833-Sens!H1843</f>
        <v>24.9883545987189</v>
      </c>
      <c r="I1908" s="6" t="n">
        <f aca="false">Sens!I1832+Sens!I1907*Sens!I1891-Sens!I1833-Sens!I1843</f>
        <v>31.4289003334017</v>
      </c>
      <c r="J1908" s="6" t="n">
        <f aca="false">Sens!J1832+Sens!J1907*Sens!J1891-Sens!J1833-Sens!J1843</f>
        <v>36.3384624378702</v>
      </c>
      <c r="K1908" s="6" t="n">
        <f aca="false">Sens!K1832+Sens!K1907*Sens!K1891-Sens!K1833-Sens!K1843</f>
        <v>40.2607729394821</v>
      </c>
    </row>
    <row r="1909" customFormat="false" ht="17.15" hidden="false" customHeight="false" outlineLevel="0" collapsed="false">
      <c r="A1909" s="0" t="s">
        <v>765</v>
      </c>
      <c r="B1909" s="0" t="s">
        <v>95</v>
      </c>
      <c r="E1909" s="6" t="n">
        <f aca="false">Sens!E1815*(cxit_open+self_build*tk_cxfac)/1000*ai_net_open</f>
        <v>101.35843056</v>
      </c>
      <c r="F1909" s="6" t="n">
        <f aca="false">Sens!E1909+Sens!F1840-Sens!F1843</f>
        <v>239.376310752901</v>
      </c>
      <c r="G1909" s="6" t="n">
        <f aca="false">Sens!F1909+Sens!G1840-Sens!G1843</f>
        <v>332.209580105508</v>
      </c>
      <c r="H1909" s="6" t="n">
        <f aca="false">Sens!G1909+Sens!H1840-Sens!H1843</f>
        <v>406.859267613635</v>
      </c>
      <c r="I1909" s="6" t="n">
        <f aca="false">Sens!H1909+Sens!I1840-Sens!I1843</f>
        <v>483.112002800709</v>
      </c>
      <c r="J1909" s="6" t="n">
        <f aca="false">Sens!I1909+Sens!J1840-Sens!J1843</f>
        <v>548.333540747396</v>
      </c>
      <c r="K1909" s="6" t="n">
        <f aca="false">Sens!J1909+Sens!K1840-Sens!K1843</f>
        <v>625.206763774363</v>
      </c>
      <c r="L1909" s="1" t="s">
        <v>766</v>
      </c>
    </row>
    <row r="1910" customFormat="false" ht="17.15" hidden="false" customHeight="false" outlineLevel="0" collapsed="false">
      <c r="A1910" s="0" t="s">
        <v>767</v>
      </c>
      <c r="B1910" s="0" t="s">
        <v>126</v>
      </c>
      <c r="F1910" s="7" t="n">
        <f aca="false">Sens!F1908*(1-tax_f)/((Sens!E1909+Sens!F1909)/2)</f>
        <v>0.0572770989770256</v>
      </c>
      <c r="G1910" s="7" t="n">
        <f aca="false">Sens!G1908*(1-tax_f)/((Sens!F1909+Sens!G1909)/2)</f>
        <v>0.0477145115691078</v>
      </c>
      <c r="H1910" s="7" t="n">
        <f aca="false">Sens!H1908*(1-tax_f)/((Sens!G1909+Sens!H1909)/2)</f>
        <v>0.0540969457464451</v>
      </c>
      <c r="I1910" s="7" t="n">
        <f aca="false">Sens!I1908*(1-tax_f)/((Sens!H1909+Sens!I1909)/2)</f>
        <v>0.0565032178061556</v>
      </c>
      <c r="J1910" s="7" t="n">
        <f aca="false">Sens!J1908*(1-tax_f)/((Sens!I1909+Sens!J1909)/2)</f>
        <v>0.056368986481428</v>
      </c>
      <c r="K1910" s="7" t="n">
        <f aca="false">Sens!K1908*(1-tax_f)/((Sens!J1909+Sens!K1909)/2)</f>
        <v>0.0548913713955676</v>
      </c>
    </row>
    <row r="1911" customFormat="false" ht="17.15" hidden="false" customHeight="false" outlineLevel="0" collapsed="false">
      <c r="A1911" s="1" t="s">
        <v>768</v>
      </c>
      <c r="B1911" s="0" t="s">
        <v>126</v>
      </c>
      <c r="F1911" s="7" t="n">
        <f aca="false">Sens!F1844*(1-tax_f)/(Sens!F1831*(Sens!E1909+Sens!F1909)/2)</f>
        <v>0.103352255790523</v>
      </c>
      <c r="G1911" s="7" t="n">
        <f aca="false">Sens!G1844*(1-tax_f)/(Sens!G1831*(Sens!F1909+Sens!G1909)/2)</f>
        <v>0.0971638568362643</v>
      </c>
      <c r="H1911" s="7" t="n">
        <f aca="false">Sens!H1844*(1-tax_f)/(Sens!H1831*(Sens!G1909+Sens!H1909)/2)</f>
        <v>0.110723076655804</v>
      </c>
      <c r="I1911" s="7" t="n">
        <f aca="false">Sens!I1844*(1-tax_f)/(Sens!I1831*(Sens!H1909+Sens!I1909)/2)</f>
        <v>0.120376656084317</v>
      </c>
      <c r="J1911" s="7" t="n">
        <f aca="false">Sens!J1844*(1-tax_f)/(Sens!J1831*(Sens!I1909+Sens!J1909)/2)</f>
        <v>0.127344719550288</v>
      </c>
      <c r="K1911" s="7" t="n">
        <f aca="false">Sens!K1844*(1-tax_f)/(Sens!K1831*(Sens!J1909+Sens!K1909)/2)</f>
        <v>0.131238596165877</v>
      </c>
    </row>
    <row r="1912" customFormat="false" ht="17.15" hidden="false" customHeight="false" outlineLevel="0" collapsed="false">
      <c r="A1912" s="0" t="s">
        <v>769</v>
      </c>
      <c r="B1912" s="0" t="s">
        <v>208</v>
      </c>
      <c r="F1912" s="7" t="n">
        <f aca="false">Sens!F1910-wacc</f>
        <v>-0.0516861221732284</v>
      </c>
      <c r="G1912" s="7" t="n">
        <f aca="false">Sens!G1910-wacc</f>
        <v>-0.0612487095811461</v>
      </c>
      <c r="H1912" s="7" t="n">
        <f aca="false">Sens!H1910-wacc</f>
        <v>-0.0548662754038089</v>
      </c>
      <c r="I1912" s="7" t="n">
        <f aca="false">Sens!I1910-wacc</f>
        <v>-0.0524600033440984</v>
      </c>
      <c r="J1912" s="7" t="n">
        <f aca="false">Sens!J1910-wacc</f>
        <v>-0.052594234668826</v>
      </c>
      <c r="K1912" s="7" t="n">
        <f aca="false">Sens!K1910-wacc</f>
        <v>-0.0540718497546864</v>
      </c>
    </row>
    <row r="1913" customFormat="false" ht="17.15" hidden="false" customHeight="false" outlineLevel="0" collapsed="false">
      <c r="A1913" s="0" t="s">
        <v>770</v>
      </c>
      <c r="B1913" s="0" t="s">
        <v>95</v>
      </c>
      <c r="F1913" s="6" t="n">
        <f aca="false">Sens!F1908*(1-tax_f)-wacc*(Sens!E1909+Sens!F1909)/2</f>
        <v>-8.80562873408099</v>
      </c>
      <c r="G1913" s="6" t="n">
        <f aca="false">Sens!G1908*(1-tax_f)-wacc*(Sens!F1909+Sens!G1909)/2</f>
        <v>-17.5044491149337</v>
      </c>
      <c r="H1913" s="6" t="n">
        <f aca="false">Sens!H1908*(1-tax_f)-wacc*(Sens!G1909+Sens!H1909)/2</f>
        <v>-20.2749774706671</v>
      </c>
      <c r="I1913" s="6" t="n">
        <f aca="false">Sens!I1908*(1-tax_f)-wacc*(Sens!H1909+Sens!I1909)/2</f>
        <v>-23.343947911044</v>
      </c>
      <c r="J1913" s="6" t="n">
        <f aca="false">Sens!J1908*(1-tax_f)-wacc*(Sens!I1909+Sens!J1909)/2</f>
        <v>-27.1240444827419</v>
      </c>
      <c r="K1913" s="6" t="n">
        <f aca="false">Sens!K1908*(1-tax_f)-wacc*(Sens!J1909+Sens!K1909)/2</f>
        <v>-31.7277475135848</v>
      </c>
    </row>
    <row r="1914" customFormat="false" ht="17.15" hidden="false" customHeight="false" outlineLevel="0" collapsed="false">
      <c r="A1914" s="1" t="s">
        <v>771</v>
      </c>
      <c r="B1914" s="0" t="s">
        <v>95</v>
      </c>
      <c r="F1914" s="6" t="n">
        <f aca="false">(Sens!E1816+Sens!F1816)/2*Sens!F1823/1000</f>
        <v>13.3936533382984</v>
      </c>
      <c r="G1914" s="6" t="n">
        <f aca="false">(Sens!F1816+Sens!G1816)/2*Sens!G1823/1000</f>
        <v>22.7065908798609</v>
      </c>
      <c r="H1914" s="6" t="n">
        <f aca="false">(Sens!G1816+Sens!H1816)/2*Sens!H1823/1000</f>
        <v>32.6957564678986</v>
      </c>
      <c r="I1914" s="6" t="n">
        <f aca="false">(Sens!H1816+Sens!I1816)/2*Sens!I1823/1000</f>
        <v>42.759370964465</v>
      </c>
      <c r="J1914" s="6" t="n">
        <f aca="false">(Sens!I1816+Sens!J1816)/2*Sens!J1823/1000</f>
        <v>52.8619035975029</v>
      </c>
      <c r="K1914" s="6" t="n">
        <f aca="false">(Sens!J1816+Sens!K1816)/2*Sens!K1823/1000</f>
        <v>62.9873298985075</v>
      </c>
      <c r="L1914" s="1" t="s">
        <v>772</v>
      </c>
    </row>
    <row r="1915" customFormat="false" ht="17.15" hidden="false" customHeight="false" outlineLevel="0" collapsed="false">
      <c r="A1915" s="1" t="s">
        <v>773</v>
      </c>
      <c r="B1915" s="0" t="s">
        <v>126</v>
      </c>
      <c r="F1915" s="7" t="n">
        <f aca="false">(Sens!F1832+Sens!F1914-Sens!F1833-Sens!F1843)*(1-tax_f)/((Sens!E1909+Sens!F1909)/2)</f>
        <v>0.0891431553427315</v>
      </c>
      <c r="G1915" s="7" t="n">
        <f aca="false">(Sens!G1832+Sens!G1914-Sens!G1833-Sens!G1843)*(1-tax_f)/((Sens!F1909+Sens!G1909)/2)</f>
        <v>0.0835316764640674</v>
      </c>
      <c r="H1915" s="7" t="n">
        <f aca="false">(Sens!H1832+Sens!H1914-Sens!H1833-Sens!H1843)*(1-tax_f)/((Sens!G1909+Sens!H1909)/2)</f>
        <v>0.0962706413461681</v>
      </c>
      <c r="I1915" s="7" t="n">
        <f aca="false">(Sens!I1832+Sens!I1914-Sens!I1833-Sens!I1843)*(1-tax_f)/((Sens!H1909+Sens!I1909)/2)</f>
        <v>0.105163842501908</v>
      </c>
      <c r="J1915" s="7" t="n">
        <f aca="false">(Sens!J1832+Sens!J1914-Sens!J1833-Sens!J1843)*(1-tax_f)/((Sens!I1909+Sens!J1909)/2)</f>
        <v>0.111464107431585</v>
      </c>
      <c r="K1915" s="7" t="n">
        <f aca="false">(Sens!K1832+Sens!K1914-Sens!K1833-Sens!K1843)*(1-tax_f)/((Sens!J1909+Sens!K1909)/2)</f>
        <v>0.114868268284816</v>
      </c>
      <c r="L1915" s="1" t="s">
        <v>774</v>
      </c>
    </row>
    <row r="1916" customFormat="false" ht="17.15" hidden="false" customHeight="false" outlineLevel="0" collapsed="false">
      <c r="A1916" s="3" t="s">
        <v>1167</v>
      </c>
    </row>
    <row r="1917" customFormat="false" ht="15" hidden="false" customHeight="false" outlineLevel="0" collapsed="false">
      <c r="A1917" s="4" t="s">
        <v>43</v>
      </c>
      <c r="B1917" s="4" t="s">
        <v>63</v>
      </c>
      <c r="C1917" s="19" t="s">
        <v>710</v>
      </c>
      <c r="D1917" s="19" t="s">
        <v>711</v>
      </c>
      <c r="E1917" s="19" t="s">
        <v>712</v>
      </c>
      <c r="F1917" s="19" t="s">
        <v>713</v>
      </c>
      <c r="G1917" s="19" t="s">
        <v>714</v>
      </c>
      <c r="H1917" s="19" t="s">
        <v>715</v>
      </c>
      <c r="I1917" s="19" t="s">
        <v>716</v>
      </c>
      <c r="J1917" s="19" t="s">
        <v>717</v>
      </c>
      <c r="K1917" s="19" t="s">
        <v>718</v>
      </c>
      <c r="L1917" s="4" t="s">
        <v>47</v>
      </c>
    </row>
    <row r="1918" customFormat="false" ht="15" hidden="false" customHeight="false" outlineLevel="0" collapsed="false">
      <c r="A1918" s="1" t="s">
        <v>825</v>
      </c>
      <c r="B1918" s="0" t="s">
        <v>95</v>
      </c>
      <c r="F1918" s="6" t="n">
        <f aca="false">Sens!F1903</f>
        <v>142.576478501018</v>
      </c>
      <c r="G1918" s="6" t="n">
        <f aca="false">Sens!G1903</f>
        <v>161.646389426765</v>
      </c>
      <c r="H1918" s="6" t="n">
        <f aca="false">Sens!H1903</f>
        <v>183.443540175655</v>
      </c>
      <c r="I1918" s="6" t="n">
        <f aca="false">Sens!I1903</f>
        <v>203.756042286146</v>
      </c>
      <c r="J1918" s="6" t="n">
        <f aca="false">Sens!J1903</f>
        <v>221.967297191838</v>
      </c>
      <c r="K1918" s="6" t="n">
        <f aca="false">Sens!K1903</f>
        <v>237.901536563247</v>
      </c>
    </row>
    <row r="1919" customFormat="false" ht="17.15" hidden="false" customHeight="false" outlineLevel="0" collapsed="false">
      <c r="A1919" s="1" t="s">
        <v>843</v>
      </c>
      <c r="B1919" s="0" t="s">
        <v>95</v>
      </c>
      <c r="E1919" s="6" t="n">
        <f aca="false">Q!M38-Sens!E1843</f>
        <v>25.4896752183333</v>
      </c>
      <c r="F1919" s="6" t="n">
        <f aca="false">Sens!E1919*(1-1/life_nonai)+Sens!F1925/life_nonai</f>
        <v>26.4986424194562</v>
      </c>
      <c r="G1919" s="6" t="n">
        <f aca="false">Sens!F1919*(1-1/life_nonai)+Sens!G1925/life_nonai</f>
        <v>27.9640675345495</v>
      </c>
      <c r="H1919" s="6" t="n">
        <f aca="false">Sens!G1919*(1-1/life_nonai)+Sens!H1925/life_nonai</f>
        <v>29.8488121455036</v>
      </c>
      <c r="I1919" s="6" t="n">
        <f aca="false">Sens!H1919*(1-1/life_nonai)+Sens!I1925/life_nonai</f>
        <v>32.0837709621176</v>
      </c>
      <c r="J1919" s="6" t="n">
        <f aca="false">Sens!I1919*(1-1/life_nonai)+Sens!J1925/life_nonai</f>
        <v>34.5834851909432</v>
      </c>
      <c r="K1919" s="6" t="n">
        <f aca="false">Sens!J1919*(1-1/life_nonai)+Sens!K1925/life_nonai</f>
        <v>37.2620069460483</v>
      </c>
      <c r="L1919" s="11" t="s">
        <v>844</v>
      </c>
    </row>
    <row r="1920" customFormat="false" ht="17.15" hidden="false" customHeight="false" outlineLevel="0" collapsed="false">
      <c r="A1920" s="1" t="s">
        <v>845</v>
      </c>
      <c r="B1920" s="0" t="s">
        <v>95</v>
      </c>
      <c r="E1920" s="6" t="n">
        <f aca="false">Sens!E1843+Sens!E1919</f>
        <v>38.534</v>
      </c>
      <c r="F1920" s="6" t="n">
        <f aca="false">Sens!F1843+Sens!F1919</f>
        <v>57.1014149969927</v>
      </c>
      <c r="G1920" s="6" t="n">
        <f aca="false">Sens!G1843+Sens!G1919</f>
        <v>81.9901425685025</v>
      </c>
      <c r="H1920" s="6" t="n">
        <f aca="false">Sens!H1843+Sens!H1919</f>
        <v>105.663353365696</v>
      </c>
      <c r="I1920" s="6" t="n">
        <f aca="false">Sens!I1843+Sens!I1919</f>
        <v>130.502204780697</v>
      </c>
      <c r="J1920" s="6" t="n">
        <f aca="false">Sens!J1843+Sens!J1919</f>
        <v>156.383595983243</v>
      </c>
      <c r="K1920" s="6" t="n">
        <f aca="false">Sens!K1843+Sens!K1919</f>
        <v>183.473833479401</v>
      </c>
    </row>
    <row r="1921" customFormat="false" ht="15" hidden="false" customHeight="false" outlineLevel="0" collapsed="false">
      <c r="A1921" s="1" t="s">
        <v>685</v>
      </c>
      <c r="B1921" s="0" t="s">
        <v>95</v>
      </c>
      <c r="F1921" s="6" t="n">
        <f aca="false">Sens!F1870*sbc_r</f>
        <v>14.9308704941267</v>
      </c>
      <c r="G1921" s="6" t="n">
        <f aca="false">Sens!G1870*sbc_r</f>
        <v>17.7641108812713</v>
      </c>
      <c r="H1921" s="6" t="n">
        <f aca="false">Sens!H1870*sbc_r</f>
        <v>20.6640880611968</v>
      </c>
      <c r="I1921" s="6" t="n">
        <f aca="false">Sens!I1870*sbc_r</f>
        <v>23.4969326339241</v>
      </c>
      <c r="J1921" s="6" t="n">
        <f aca="false">Sens!J1870*sbc_r</f>
        <v>26.2083031015503</v>
      </c>
      <c r="K1921" s="6" t="n">
        <f aca="false">Sens!K1870*sbc_r</f>
        <v>28.8002841446643</v>
      </c>
    </row>
    <row r="1922" customFormat="false" ht="17.15" hidden="false" customHeight="false" outlineLevel="0" collapsed="false">
      <c r="A1922" s="1" t="s">
        <v>846</v>
      </c>
      <c r="B1922" s="0" t="s">
        <v>95</v>
      </c>
      <c r="F1922" s="6" t="n">
        <f aca="false">wc27</f>
        <v>-4.895</v>
      </c>
      <c r="G1922" s="6" t="n">
        <f aca="false">0</f>
        <v>0</v>
      </c>
      <c r="H1922" s="6" t="n">
        <f aca="false">0</f>
        <v>0</v>
      </c>
      <c r="I1922" s="6" t="n">
        <f aca="false">0</f>
        <v>0</v>
      </c>
      <c r="J1922" s="6" t="n">
        <f aca="false">0</f>
        <v>0</v>
      </c>
      <c r="K1922" s="6" t="n">
        <f aca="false">0</f>
        <v>0</v>
      </c>
      <c r="L1922" s="11" t="s">
        <v>847</v>
      </c>
    </row>
    <row r="1923" customFormat="false" ht="15" hidden="false" customHeight="false" outlineLevel="0" collapsed="false">
      <c r="A1923" s="1" t="s">
        <v>678</v>
      </c>
      <c r="B1923" s="0" t="s">
        <v>95</v>
      </c>
      <c r="E1923" s="6" t="n">
        <f aca="false">Q!M35</f>
        <v>182.935</v>
      </c>
      <c r="F1923" s="6" t="n">
        <f aca="false">Sens!F1918+Sens!F1920+Sens!F1921+Sens!F1922</f>
        <v>209.713763992138</v>
      </c>
      <c r="G1923" s="6" t="n">
        <f aca="false">Sens!G1918+Sens!G1920+Sens!G1921+Sens!G1922</f>
        <v>261.400642876539</v>
      </c>
      <c r="H1923" s="6" t="n">
        <f aca="false">Sens!H1918+Sens!H1920+Sens!H1921+Sens!H1922</f>
        <v>309.770981602548</v>
      </c>
      <c r="I1923" s="6" t="n">
        <f aca="false">Sens!I1918+Sens!I1920+Sens!I1921+Sens!I1922</f>
        <v>357.755179700768</v>
      </c>
      <c r="J1923" s="6" t="n">
        <f aca="false">Sens!J1918+Sens!J1920+Sens!J1921+Sens!J1922</f>
        <v>404.559196276631</v>
      </c>
      <c r="K1923" s="6" t="n">
        <f aca="false">Sens!K1918+Sens!K1920+Sens!K1921+Sens!K1922</f>
        <v>450.175654187312</v>
      </c>
    </row>
    <row r="1924" customFormat="false" ht="17.15" hidden="false" customHeight="false" outlineLevel="0" collapsed="false">
      <c r="A1924" s="0" t="s">
        <v>848</v>
      </c>
      <c r="B1924" s="0" t="s">
        <v>95</v>
      </c>
      <c r="F1924" s="6" t="n">
        <f aca="false">Sens!F1840</f>
        <v>168.620652770438</v>
      </c>
      <c r="G1924" s="6" t="n">
        <f aca="false">Sens!G1840</f>
        <v>146.85934438656</v>
      </c>
      <c r="H1924" s="6" t="n">
        <f aca="false">Sens!H1840</f>
        <v>150.46422872832</v>
      </c>
      <c r="I1924" s="6" t="n">
        <f aca="false">Sens!I1840</f>
        <v>174.671169005653</v>
      </c>
      <c r="J1924" s="6" t="n">
        <f aca="false">Sens!J1840</f>
        <v>187.021648738987</v>
      </c>
      <c r="K1924" s="6" t="n">
        <f aca="false">Sens!K1840</f>
        <v>223.08504956032</v>
      </c>
    </row>
    <row r="1925" customFormat="false" ht="17.15" hidden="false" customHeight="false" outlineLevel="0" collapsed="false">
      <c r="A1925" s="1" t="s">
        <v>849</v>
      </c>
      <c r="B1925" s="0" t="s">
        <v>95</v>
      </c>
      <c r="E1925" s="6" t="n">
        <f aca="false">Sens!E1848*cx_azo+Sens!E1855*cx_m365+Sens!E1856*cx_lic+(Sens!E1858+Sens!E1860)*cx_ind+Sens!E1863*cx_srch+(Sens!E1865+Sens!E1867)*cx_dev</f>
        <v>30.1846587067718</v>
      </c>
      <c r="F1925" s="6" t="n">
        <f aca="false">Sens!F1848*cx_azo+Sens!F1855*cx_m365+Sens!F1856*cx_lic+(Sens!F1858+Sens!F1860)*cx_ind+Sens!F1863*cx_srch+(Sens!F1865+Sens!F1867)*cx_dev</f>
        <v>35.5793472295625</v>
      </c>
      <c r="G1925" s="6" t="n">
        <f aca="false">Sens!G1848*cx_azo+Sens!G1855*cx_m365+Sens!G1856*cx_lic+(Sens!G1858+Sens!G1860)*cx_ind+Sens!G1863*cx_srch+(Sens!G1865+Sens!G1867)*cx_dev</f>
        <v>41.1528935703892</v>
      </c>
      <c r="H1925" s="6" t="n">
        <f aca="false">Sens!H1848*cx_azo+Sens!H1855*cx_m365+Sens!H1856*cx_lic+(Sens!H1858+Sens!H1860)*cx_ind+Sens!H1863*cx_srch+(Sens!H1865+Sens!H1867)*cx_dev</f>
        <v>46.8115136440897</v>
      </c>
      <c r="I1925" s="6" t="n">
        <f aca="false">Sens!I1848*cx_azo+Sens!I1855*cx_m365+Sens!I1856*cx_lic+(Sens!I1858+Sens!I1860)*cx_ind+Sens!I1863*cx_srch+(Sens!I1865+Sens!I1867)*cx_dev</f>
        <v>52.1984003116439</v>
      </c>
      <c r="J1925" s="6" t="n">
        <f aca="false">Sens!J1848*cx_azo+Sens!J1855*cx_m365+Sens!J1856*cx_lic+(Sens!J1858+Sens!J1860)*cx_ind+Sens!J1863*cx_srch+(Sens!J1865+Sens!J1867)*cx_dev</f>
        <v>57.0809132503738</v>
      </c>
      <c r="K1925" s="6" t="n">
        <f aca="false">Sens!K1848*cx_azo+Sens!K1855*cx_m365+Sens!K1856*cx_lic+(Sens!K1858+Sens!K1860)*cx_ind+Sens!K1863*cx_srch+(Sens!K1865+Sens!K1867)*cx_dev</f>
        <v>61.368702741994</v>
      </c>
    </row>
    <row r="1926" customFormat="false" ht="17.15" hidden="false" customHeight="false" outlineLevel="0" collapsed="false">
      <c r="A1926" s="1" t="s">
        <v>850</v>
      </c>
      <c r="B1926" s="0" t="s">
        <v>95</v>
      </c>
      <c r="E1926" s="6" t="n">
        <f aca="false">Q!M42</f>
        <v>145.3</v>
      </c>
      <c r="F1926" s="6" t="n">
        <f aca="false">Sens!F1924+Sens!F1925</f>
        <v>204.2</v>
      </c>
      <c r="G1926" s="6" t="n">
        <f aca="false">Sens!G1924+Sens!G1925</f>
        <v>188.012237956949</v>
      </c>
      <c r="H1926" s="6" t="n">
        <f aca="false">Sens!H1924+Sens!H1925</f>
        <v>197.27574237241</v>
      </c>
      <c r="I1926" s="6" t="n">
        <f aca="false">Sens!I1924+Sens!I1925</f>
        <v>226.869569317297</v>
      </c>
      <c r="J1926" s="6" t="n">
        <f aca="false">Sens!J1924+Sens!J1925</f>
        <v>244.10256198936</v>
      </c>
      <c r="K1926" s="6" t="n">
        <f aca="false">Sens!K1924+Sens!K1925</f>
        <v>284.453752302314</v>
      </c>
      <c r="L1926" s="1" t="s">
        <v>851</v>
      </c>
    </row>
    <row r="1927" customFormat="false" ht="15" hidden="false" customHeight="false" outlineLevel="0" collapsed="false">
      <c r="A1927" s="1" t="s">
        <v>852</v>
      </c>
      <c r="B1927" s="0" t="s">
        <v>95</v>
      </c>
      <c r="E1927" s="6" t="n">
        <f aca="false">fl_liab</f>
        <v>66.594</v>
      </c>
      <c r="F1927" s="6" t="n">
        <f aca="false">Sens!E1927-Sens!F1928</f>
        <v>62.46973</v>
      </c>
      <c r="G1927" s="6" t="n">
        <f aca="false">Sens!F1927-Sens!G1928</f>
        <v>57.98686785</v>
      </c>
      <c r="H1927" s="6" t="n">
        <f aca="false">Sens!G1927-Sens!H1928</f>
        <v>53.92827690325</v>
      </c>
      <c r="I1927" s="6" t="n">
        <f aca="false">Sens!H1927-Sens!I1928</f>
        <v>49.7850493638962</v>
      </c>
      <c r="J1927" s="6" t="n">
        <f aca="false">Sens!I1927-Sens!J1928</f>
        <v>45.4823765852716</v>
      </c>
      <c r="K1927" s="6" t="n">
        <f aca="false">Sens!J1927-Sens!K1928</f>
        <v>40.9860835316088</v>
      </c>
    </row>
    <row r="1928" customFormat="false" ht="15" hidden="false" customHeight="false" outlineLevel="0" collapsed="false">
      <c r="A1928" s="1" t="s">
        <v>853</v>
      </c>
      <c r="B1928" s="0" t="s">
        <v>95</v>
      </c>
      <c r="F1928" s="6" t="n">
        <f aca="false">fl_pay_27-Sens!E1927*fl_rate</f>
        <v>4.12427</v>
      </c>
      <c r="G1928" s="6" t="n">
        <f aca="false">fl_pay_28-Sens!F1927*fl_rate</f>
        <v>4.48286215</v>
      </c>
      <c r="H1928" s="6" t="n">
        <f aca="false">fl_pay_29-Sens!G1927*fl_rate</f>
        <v>4.05859094675</v>
      </c>
      <c r="I1928" s="6" t="n">
        <f aca="false">fl_pay_30-Sens!H1927*fl_rate</f>
        <v>4.14322753935375</v>
      </c>
      <c r="J1928" s="6" t="n">
        <f aca="false">fl_pay_31-Sens!I1927*fl_rate</f>
        <v>4.30267277862467</v>
      </c>
      <c r="K1928" s="6" t="n">
        <f aca="false">fl_pay_32-Sens!J1927*fl_rate</f>
        <v>4.49629305366278</v>
      </c>
    </row>
    <row r="1929" customFormat="false" ht="17.15" hidden="false" customHeight="false" outlineLevel="0" collapsed="false">
      <c r="A1929" s="1" t="s">
        <v>854</v>
      </c>
      <c r="B1929" s="0" t="s">
        <v>95</v>
      </c>
      <c r="E1929" s="6" t="n">
        <f aca="false">Q!M35-Q!M36-Q!M43</f>
        <v>63.886</v>
      </c>
      <c r="F1929" s="6" t="n">
        <f aca="false">Sens!F1923-Sens!F1926-Sens!F1928</f>
        <v>1.3894939921378</v>
      </c>
      <c r="G1929" s="6" t="n">
        <f aca="false">Sens!G1923-Sens!G1926-Sens!G1928</f>
        <v>68.9055427695895</v>
      </c>
      <c r="H1929" s="6" t="n">
        <f aca="false">Sens!H1923-Sens!H1926-Sens!H1928</f>
        <v>108.436648283388</v>
      </c>
      <c r="I1929" s="6" t="n">
        <f aca="false">Sens!I1923-Sens!I1926-Sens!I1928</f>
        <v>126.742382844116</v>
      </c>
      <c r="J1929" s="6" t="n">
        <f aca="false">Sens!J1923-Sens!J1926-Sens!J1928</f>
        <v>156.153961508646</v>
      </c>
      <c r="K1929" s="6" t="n">
        <f aca="false">Sens!K1923-Sens!K1926-Sens!K1928</f>
        <v>161.225608831335</v>
      </c>
      <c r="L1929" s="11" t="s">
        <v>855</v>
      </c>
    </row>
    <row r="1930" customFormat="false" ht="15" hidden="false" customHeight="false" outlineLevel="0" collapsed="false">
      <c r="A1930" s="1" t="s">
        <v>856</v>
      </c>
      <c r="B1930" s="0" t="s">
        <v>73</v>
      </c>
      <c r="F1930" s="8" t="n">
        <f aca="false">dps_27</f>
        <v>3.85</v>
      </c>
      <c r="G1930" s="8" t="n">
        <f aca="false">Sens!F1930*(1+dps_g)</f>
        <v>4.158</v>
      </c>
      <c r="H1930" s="8" t="n">
        <f aca="false">Sens!G1930*(1+dps_g)</f>
        <v>4.49064</v>
      </c>
      <c r="I1930" s="8" t="n">
        <f aca="false">Sens!H1930*(1+dps_g)</f>
        <v>4.8498912</v>
      </c>
      <c r="J1930" s="8" t="n">
        <f aca="false">Sens!I1930*(1+dps_g)</f>
        <v>5.237882496</v>
      </c>
      <c r="K1930" s="8" t="n">
        <f aca="false">Sens!J1930*(1+dps_g)</f>
        <v>5.65691309568</v>
      </c>
    </row>
    <row r="1931" customFormat="false" ht="17.15" hidden="false" customHeight="false" outlineLevel="0" collapsed="false">
      <c r="A1931" s="1" t="s">
        <v>857</v>
      </c>
      <c r="B1931" s="0" t="s">
        <v>95</v>
      </c>
      <c r="E1931" s="6" t="n">
        <f aca="false">Q!M41</f>
        <v>26.445</v>
      </c>
      <c r="F1931" s="6" t="n">
        <f aca="false">Sens!F1930*Sens!E1940</f>
        <v>28.59395</v>
      </c>
      <c r="G1931" s="6" t="n">
        <f aca="false">Sens!G1930*Sens!F1940</f>
        <v>31.068576</v>
      </c>
      <c r="H1931" s="6" t="n">
        <f aca="false">Sens!H1930*Sens!G1940</f>
        <v>33.5888350159995</v>
      </c>
      <c r="I1931" s="6" t="n">
        <f aca="false">Sens!I1930*Sens!H1940</f>
        <v>36.3268810572789</v>
      </c>
      <c r="J1931" s="6" t="n">
        <f aca="false">Sens!J1930*Sens!I1940</f>
        <v>39.3014303901806</v>
      </c>
      <c r="K1931" s="6" t="n">
        <f aca="false">Sens!K1930*Sens!J1940</f>
        <v>42.5328000467001</v>
      </c>
      <c r="L1931" s="1" t="s">
        <v>858</v>
      </c>
    </row>
    <row r="1932" customFormat="false" ht="15" hidden="false" customHeight="false" outlineLevel="0" collapsed="false">
      <c r="A1932" s="1" t="s">
        <v>859</v>
      </c>
      <c r="B1932" s="0" t="s">
        <v>95</v>
      </c>
      <c r="E1932" s="6" t="n">
        <f aca="false">Sens!E1929-Sens!E1931</f>
        <v>37.441</v>
      </c>
      <c r="F1932" s="6" t="n">
        <f aca="false">Sens!F1929-Sens!F1931</f>
        <v>-27.2044560078622</v>
      </c>
      <c r="G1932" s="6" t="n">
        <f aca="false">Sens!G1929-Sens!G1931</f>
        <v>37.8369667695895</v>
      </c>
      <c r="H1932" s="6" t="n">
        <f aca="false">Sens!H1929-Sens!H1931</f>
        <v>74.8478132673889</v>
      </c>
      <c r="I1932" s="6" t="n">
        <f aca="false">Sens!I1929-Sens!I1931</f>
        <v>90.4155017868376</v>
      </c>
      <c r="J1932" s="6" t="n">
        <f aca="false">Sens!J1929-Sens!J1931</f>
        <v>116.852531118465</v>
      </c>
      <c r="K1932" s="6" t="n">
        <f aca="false">Sens!K1929-Sens!K1931</f>
        <v>118.692808784635</v>
      </c>
    </row>
    <row r="1933" customFormat="false" ht="15" hidden="false" customHeight="false" outlineLevel="0" collapsed="false">
      <c r="A1933" s="1" t="s">
        <v>860</v>
      </c>
      <c r="B1933" s="0" t="s">
        <v>95</v>
      </c>
      <c r="F1933" s="6" t="n">
        <f aca="false">debt_mat_27</f>
        <v>9.25</v>
      </c>
      <c r="G1933" s="6" t="n">
        <f aca="false">debt_mat_28</f>
        <v>0</v>
      </c>
      <c r="H1933" s="6" t="n">
        <f aca="false">debt_mat_29</f>
        <v>2.001</v>
      </c>
      <c r="I1933" s="6" t="n">
        <f aca="false">debt_mat_30</f>
        <v>0</v>
      </c>
      <c r="J1933" s="6" t="n">
        <f aca="false">debt_mat_31</f>
        <v>0.5</v>
      </c>
      <c r="K1933" s="6" t="n">
        <f aca="false">debt_mat_32</f>
        <v>0</v>
      </c>
    </row>
    <row r="1934" customFormat="false" ht="15" hidden="false" customHeight="false" outlineLevel="0" collapsed="false">
      <c r="A1934" s="1" t="s">
        <v>861</v>
      </c>
      <c r="B1934" s="0" t="s">
        <v>95</v>
      </c>
      <c r="E1934" s="6" t="n">
        <f aca="false">Q!M40</f>
        <v>22.271</v>
      </c>
      <c r="F1934" s="6" t="n">
        <f aca="false">MAX(0,MIN(bb_target,Sens!E1936+Sens!F1932-Sens!F1933-min_cash))</f>
        <v>0</v>
      </c>
      <c r="G1934" s="6" t="n">
        <f aca="false">MAX(0,MIN(bb_target,Sens!F1936+Sens!G1932-Sens!G1933-min_cash))</f>
        <v>22.271</v>
      </c>
      <c r="H1934" s="6" t="n">
        <f aca="false">MAX(0,MIN(bb_target,Sens!G1936+Sens!H1932-Sens!H1933-min_cash))</f>
        <v>22.271</v>
      </c>
      <c r="I1934" s="6" t="n">
        <f aca="false">MAX(0,MIN(bb_target,Sens!H1936+Sens!I1932-Sens!I1933-min_cash))</f>
        <v>22.271</v>
      </c>
      <c r="J1934" s="6" t="n">
        <f aca="false">MAX(0,MIN(bb_target,Sens!I1936+Sens!J1932-Sens!J1933-min_cash))</f>
        <v>22.271</v>
      </c>
      <c r="K1934" s="6" t="n">
        <f aca="false">MAX(0,MIN(bb_target,Sens!J1936+Sens!K1932-Sens!K1933-min_cash))</f>
        <v>22.271</v>
      </c>
    </row>
    <row r="1935" customFormat="false" ht="15" hidden="false" customHeight="false" outlineLevel="0" collapsed="false">
      <c r="A1935" s="1" t="s">
        <v>862</v>
      </c>
      <c r="B1935" s="0" t="s">
        <v>95</v>
      </c>
      <c r="F1935" s="6" t="n">
        <f aca="false">MAX(0,min_cash-(Sens!E1936+Sens!F1932-Sens!F1933-Sens!F1934))</f>
        <v>9.6114560078622</v>
      </c>
      <c r="G1935" s="6" t="n">
        <f aca="false">MAX(0,min_cash-(Sens!F1936+Sens!G1932-Sens!G1933-Sens!G1934))</f>
        <v>0</v>
      </c>
      <c r="H1935" s="6" t="n">
        <f aca="false">MAX(0,min_cash-(Sens!G1936+Sens!H1932-Sens!H1933-Sens!H1934))</f>
        <v>0</v>
      </c>
      <c r="I1935" s="6" t="n">
        <f aca="false">MAX(0,min_cash-(Sens!H1936+Sens!I1932-Sens!I1933-Sens!I1934))</f>
        <v>0</v>
      </c>
      <c r="J1935" s="6" t="n">
        <f aca="false">MAX(0,min_cash-(Sens!I1936+Sens!J1932-Sens!J1933-Sens!J1934))</f>
        <v>0</v>
      </c>
      <c r="K1935" s="6" t="n">
        <f aca="false">MAX(0,min_cash-(Sens!J1936+Sens!K1932-Sens!K1933-Sens!K1934))</f>
        <v>0</v>
      </c>
    </row>
    <row r="1936" customFormat="false" ht="15" hidden="false" customHeight="false" outlineLevel="0" collapsed="false">
      <c r="A1936" s="1" t="s">
        <v>863</v>
      </c>
      <c r="B1936" s="0" t="s">
        <v>95</v>
      </c>
      <c r="E1936" s="6" t="n">
        <f aca="false">cash_open</f>
        <v>76.843</v>
      </c>
      <c r="F1936" s="6" t="n">
        <f aca="false">Sens!E1936+Sens!F1932-Sens!F1933-Sens!F1934+Sens!F1935</f>
        <v>50</v>
      </c>
      <c r="G1936" s="6" t="n">
        <f aca="false">Sens!F1936+Sens!G1932-Sens!G1933-Sens!G1934+Sens!G1935</f>
        <v>65.5659667695895</v>
      </c>
      <c r="H1936" s="6" t="n">
        <f aca="false">Sens!G1936+Sens!H1932-Sens!H1933-Sens!H1934+Sens!H1935</f>
        <v>116.141780036978</v>
      </c>
      <c r="I1936" s="6" t="n">
        <f aca="false">Sens!H1936+Sens!I1932-Sens!I1933-Sens!I1934+Sens!I1935</f>
        <v>184.286281823816</v>
      </c>
      <c r="J1936" s="6" t="n">
        <f aca="false">Sens!I1936+Sens!J1932-Sens!J1933-Sens!J1934+Sens!J1935</f>
        <v>278.367812942281</v>
      </c>
      <c r="K1936" s="6" t="n">
        <f aca="false">Sens!J1936+Sens!K1932-Sens!K1933-Sens!K1934+Sens!K1935</f>
        <v>374.789621726916</v>
      </c>
    </row>
    <row r="1937" customFormat="false" ht="15" hidden="false" customHeight="false" outlineLevel="0" collapsed="false">
      <c r="A1937" s="1" t="s">
        <v>864</v>
      </c>
      <c r="B1937" s="0" t="s">
        <v>95</v>
      </c>
      <c r="E1937" s="6" t="n">
        <f aca="false">debt_face</f>
        <v>46.136</v>
      </c>
      <c r="F1937" s="6" t="n">
        <f aca="false">Sens!E1937-Sens!F1933+Sens!F1935</f>
        <v>46.4974560078622</v>
      </c>
      <c r="G1937" s="6" t="n">
        <f aca="false">Sens!F1937-Sens!G1933+Sens!G1935</f>
        <v>46.4974560078622</v>
      </c>
      <c r="H1937" s="6" t="n">
        <f aca="false">Sens!G1937-Sens!H1933+Sens!H1935</f>
        <v>44.4964560078622</v>
      </c>
      <c r="I1937" s="6" t="n">
        <f aca="false">Sens!H1937-Sens!I1933+Sens!I1935</f>
        <v>44.4964560078622</v>
      </c>
      <c r="J1937" s="6" t="n">
        <f aca="false">Sens!I1937-Sens!J1933+Sens!J1935</f>
        <v>43.9964560078622</v>
      </c>
      <c r="K1937" s="6" t="n">
        <f aca="false">Sens!J1937-Sens!K1933+Sens!K1935</f>
        <v>43.9964560078622</v>
      </c>
    </row>
    <row r="1938" customFormat="false" ht="15" hidden="false" customHeight="false" outlineLevel="0" collapsed="false">
      <c r="A1938" s="1" t="s">
        <v>865</v>
      </c>
      <c r="B1938" s="0" t="s">
        <v>95</v>
      </c>
      <c r="E1938" s="6" t="n">
        <f aca="false">Sens!E1936-Sens!E1937</f>
        <v>30.707</v>
      </c>
      <c r="F1938" s="6" t="n">
        <f aca="false">Sens!F1936-Sens!F1937</f>
        <v>3.5025439921378</v>
      </c>
      <c r="G1938" s="6" t="n">
        <f aca="false">Sens!G1936-Sens!G1937</f>
        <v>19.0685107617273</v>
      </c>
      <c r="H1938" s="6" t="n">
        <f aca="false">Sens!H1936-Sens!H1937</f>
        <v>71.6453240291162</v>
      </c>
      <c r="I1938" s="6" t="n">
        <f aca="false">Sens!I1936-Sens!I1937</f>
        <v>139.789825815954</v>
      </c>
      <c r="J1938" s="6" t="n">
        <f aca="false">Sens!J1936-Sens!J1937</f>
        <v>234.371356934419</v>
      </c>
      <c r="K1938" s="6" t="n">
        <f aca="false">Sens!K1936-Sens!K1937</f>
        <v>330.793165719054</v>
      </c>
    </row>
    <row r="1939" customFormat="false" ht="15" hidden="false" customHeight="false" outlineLevel="0" collapsed="false">
      <c r="A1939" s="1" t="s">
        <v>866</v>
      </c>
      <c r="B1939" s="0" t="s">
        <v>73</v>
      </c>
      <c r="F1939" s="27" t="n">
        <f aca="false">px*(1+bb_g)^(1-0.5)</f>
        <v>553.494156066711</v>
      </c>
      <c r="G1939" s="27" t="n">
        <f aca="false">px*(1+bb_g)^(2-0.5)</f>
        <v>597.773688552047</v>
      </c>
      <c r="H1939" s="27" t="n">
        <f aca="false">px*(1+bb_g)^(3-0.5)</f>
        <v>645.595583636211</v>
      </c>
      <c r="I1939" s="27" t="n">
        <f aca="false">px*(1+bb_g)^(4-0.5)</f>
        <v>697.243230327108</v>
      </c>
      <c r="J1939" s="27" t="n">
        <f aca="false">px*(1+bb_g)^(5-0.5)</f>
        <v>753.022688753277</v>
      </c>
      <c r="K1939" s="27" t="n">
        <f aca="false">px*(1+bb_g)^(6-0.5)</f>
        <v>813.264503853539</v>
      </c>
    </row>
    <row r="1940" customFormat="false" ht="15" hidden="false" customHeight="false" outlineLevel="0" collapsed="false">
      <c r="A1940" s="1" t="s">
        <v>867</v>
      </c>
      <c r="B1940" s="1" t="s">
        <v>79</v>
      </c>
      <c r="E1940" s="18" t="n">
        <f aca="false">sh_out26</f>
        <v>7.427</v>
      </c>
      <c r="F1940" s="18" t="n">
        <f aca="false">Sens!E1940+sh_iss-Sens!F1934/Sens!F1939</f>
        <v>7.472</v>
      </c>
      <c r="G1940" s="18" t="n">
        <f aca="false">Sens!F1940+sh_iss-Sens!G1934/Sens!G1939</f>
        <v>7.47974342543589</v>
      </c>
      <c r="H1940" s="18" t="n">
        <f aca="false">Sens!G1940+sh_iss-Sens!H1934/Sens!H1939</f>
        <v>7.4902465971358</v>
      </c>
      <c r="I1940" s="18" t="n">
        <f aca="false">Sens!H1940+sh_iss-Sens!I1934/Sens!I1939</f>
        <v>7.50330508945052</v>
      </c>
      <c r="J1940" s="18" t="n">
        <f aca="false">Sens!I1940+sh_iss-Sens!J1934/Sens!J1939</f>
        <v>7.51872961937156</v>
      </c>
      <c r="K1940" s="18" t="n">
        <f aca="false">Sens!J1940+sh_iss-Sens!K1934/Sens!K1939</f>
        <v>7.53634492485401</v>
      </c>
    </row>
    <row r="1941" customFormat="false" ht="15" hidden="false" customHeight="false" outlineLevel="0" collapsed="false">
      <c r="A1941" s="1" t="s">
        <v>868</v>
      </c>
      <c r="B1941" s="1" t="s">
        <v>79</v>
      </c>
      <c r="E1941" s="18" t="n">
        <f aca="false">sh_dil26</f>
        <v>7.453</v>
      </c>
      <c r="F1941" s="18" t="n">
        <f aca="false">(Sens!E1940+Sens!F1940)/2+dil_gap</f>
        <v>7.4735</v>
      </c>
      <c r="G1941" s="18" t="n">
        <f aca="false">(Sens!F1940+Sens!G1940)/2+dil_gap</f>
        <v>7.49987171271795</v>
      </c>
      <c r="H1941" s="18" t="n">
        <f aca="false">(Sens!G1940+Sens!H1940)/2+dil_gap</f>
        <v>7.50899501128585</v>
      </c>
      <c r="I1941" s="18" t="n">
        <f aca="false">(Sens!H1940+Sens!I1940)/2+dil_gap</f>
        <v>7.52077584329316</v>
      </c>
      <c r="J1941" s="18" t="n">
        <f aca="false">(Sens!I1940+Sens!J1940)/2+dil_gap</f>
        <v>7.53501735441104</v>
      </c>
      <c r="K1941" s="18" t="n">
        <f aca="false">(Sens!J1940+Sens!K1940)/2+dil_gap</f>
        <v>7.55153727211278</v>
      </c>
    </row>
    <row r="1942" customFormat="false" ht="17.15" hidden="false" customHeight="false" outlineLevel="0" collapsed="false">
      <c r="A1942" s="1" t="s">
        <v>869</v>
      </c>
      <c r="B1942" s="0" t="s">
        <v>95</v>
      </c>
      <c r="C1942" s="6" t="n">
        <f aca="false">SUM(Sens!F1932:J1932)</f>
        <v>292.748356934419</v>
      </c>
    </row>
    <row r="1943" customFormat="false" ht="17.15" hidden="false" customHeight="false" outlineLevel="0" collapsed="false">
      <c r="A1943" s="1" t="s">
        <v>836</v>
      </c>
      <c r="B1943" s="1" t="s">
        <v>870</v>
      </c>
      <c r="C1943" s="30" t="str">
        <f aca="false">IF(SUM(Sens!F1935:J1935)&gt;0.05,"需要舉債 "&amp;TEXT(SUM(Sens!F1935:J1935),"0.0")&amp;" 十億美元","不需舉債")&amp;"；"&amp;IF(SUM(Sens!F1934:J1934)&lt;5*bb_target-0.05,"回購較每年 "&amp;TEXT(bb_target,"0.0")&amp;" 的目標少 "&amp;TEXT(5*bb_target-SUM(Sens!F1934:J1934),"0.0")&amp;" 十億美元（"&amp;TEXT(COUNTIF(Sens!F1934:J1934,"&lt;"&amp;(bb_target-0.05)),"0")&amp;" 年減少）","回購不減")</f>
        <v>需要舉債 9.6 十億美元；回購較每年 22.3 的目標少 22.3 十億美元（1 年減少）</v>
      </c>
    </row>
    <row r="1944" customFormat="false" ht="17.15" hidden="false" customHeight="false" outlineLevel="0" collapsed="false">
      <c r="A1944" s="3" t="s">
        <v>1168</v>
      </c>
    </row>
    <row r="1945" customFormat="false" ht="15" hidden="false" customHeight="false" outlineLevel="0" collapsed="false">
      <c r="A1945" s="4" t="s">
        <v>43</v>
      </c>
      <c r="B1945" s="4" t="s">
        <v>63</v>
      </c>
      <c r="C1945" s="19" t="s">
        <v>710</v>
      </c>
      <c r="D1945" s="19" t="s">
        <v>711</v>
      </c>
      <c r="E1945" s="19" t="s">
        <v>712</v>
      </c>
      <c r="F1945" s="19" t="s">
        <v>713</v>
      </c>
      <c r="G1945" s="19" t="s">
        <v>714</v>
      </c>
      <c r="H1945" s="19" t="s">
        <v>715</v>
      </c>
      <c r="I1945" s="19" t="s">
        <v>716</v>
      </c>
      <c r="J1945" s="19" t="s">
        <v>717</v>
      </c>
      <c r="K1945" s="19" t="s">
        <v>718</v>
      </c>
      <c r="L1945" s="4" t="s">
        <v>47</v>
      </c>
    </row>
    <row r="1946" customFormat="false" ht="17.15" hidden="false" customHeight="false" outlineLevel="0" collapsed="false">
      <c r="A1946" s="1" t="s">
        <v>938</v>
      </c>
      <c r="B1946" s="1" t="s">
        <v>213</v>
      </c>
      <c r="F1946" s="34" t="n">
        <f aca="false">1-0.5</f>
        <v>0.5</v>
      </c>
      <c r="G1946" s="34" t="n">
        <f aca="false">2-0.5</f>
        <v>1.5</v>
      </c>
      <c r="H1946" s="34" t="n">
        <f aca="false">3-0.5</f>
        <v>2.5</v>
      </c>
      <c r="I1946" s="34" t="n">
        <f aca="false">4-0.5</f>
        <v>3.5</v>
      </c>
      <c r="J1946" s="34" t="n">
        <f aca="false">5-0.5</f>
        <v>4.5</v>
      </c>
      <c r="K1946" s="34" t="n">
        <f aca="false">6-0.5</f>
        <v>5.5</v>
      </c>
    </row>
    <row r="1947" customFormat="false" ht="15" hidden="false" customHeight="false" outlineLevel="0" collapsed="false">
      <c r="A1947" s="1" t="s">
        <v>939</v>
      </c>
      <c r="B1947" s="0" t="s">
        <v>182</v>
      </c>
      <c r="F1947" s="18" t="n">
        <f aca="false">1/(1+wacc)^Sens!F1946</f>
        <v>0.949601579913219</v>
      </c>
      <c r="G1947" s="18" t="n">
        <f aca="false">1/(1+wacc)^Sens!G1946</f>
        <v>0.856296729956707</v>
      </c>
      <c r="H1947" s="18" t="n">
        <f aca="false">1/(1+wacc)^Sens!H1946</f>
        <v>0.772159719660069</v>
      </c>
      <c r="I1947" s="18" t="n">
        <f aca="false">1/(1+wacc)^Sens!I1946</f>
        <v>0.696289746073958</v>
      </c>
      <c r="J1947" s="18" t="n">
        <f aca="false">1/(1+wacc)^Sens!J1946</f>
        <v>0.627874516299776</v>
      </c>
      <c r="K1947" s="18" t="n">
        <f aca="false">1/(1+wacc)^Sens!K1946</f>
        <v>0.566181550771831</v>
      </c>
    </row>
    <row r="1948" customFormat="false" ht="15" hidden="false" customHeight="false" outlineLevel="0" collapsed="false">
      <c r="A1948" s="1" t="s">
        <v>940</v>
      </c>
      <c r="B1948" s="0" t="s">
        <v>95</v>
      </c>
      <c r="F1948" s="6" t="n">
        <f aca="false">Sens!F1929*Sens!F1947</f>
        <v>1.31946569021398</v>
      </c>
      <c r="G1948" s="6" t="n">
        <f aca="false">Sens!G1929*Sens!G1947</f>
        <v>59.0035909494915</v>
      </c>
      <c r="H1948" s="6" t="n">
        <f aca="false">Sens!H1929*Sens!H1947</f>
        <v>83.7304119393786</v>
      </c>
      <c r="I1948" s="6" t="n">
        <f aca="false">Sens!I1929*Sens!I1947</f>
        <v>88.2494215673382</v>
      </c>
      <c r="J1948" s="6" t="n">
        <f aca="false">Sens!J1929*Sens!J1947</f>
        <v>98.0450930505348</v>
      </c>
      <c r="K1948" s="6" t="n">
        <f aca="false">Sens!K1929*Sens!K1947</f>
        <v>91.2829652322582</v>
      </c>
    </row>
    <row r="1949" customFormat="false" ht="17.15" hidden="false" customHeight="false" outlineLevel="0" collapsed="false">
      <c r="A1949" s="1" t="s">
        <v>941</v>
      </c>
      <c r="B1949" s="0" t="s">
        <v>95</v>
      </c>
      <c r="C1949" s="6" t="n">
        <f aca="false">SUM(Sens!F1948:K1948)</f>
        <v>421.630948429215</v>
      </c>
    </row>
    <row r="1950" customFormat="false" ht="17.15" hidden="false" customHeight="false" outlineLevel="0" collapsed="false">
      <c r="A1950" s="1" t="s">
        <v>942</v>
      </c>
      <c r="B1950" s="0" t="s">
        <v>95</v>
      </c>
      <c r="C1950" s="6" t="n">
        <f aca="false">Sens!K1895*(1+g_tv)*(1-tax_f)</f>
        <v>245.368182660144</v>
      </c>
    </row>
    <row r="1951" customFormat="false" ht="17.15" hidden="false" customHeight="false" outlineLevel="0" collapsed="false">
      <c r="A1951" s="1" t="s">
        <v>943</v>
      </c>
      <c r="B1951" s="0" t="s">
        <v>95</v>
      </c>
      <c r="C1951" s="6" t="n">
        <f aca="false">Sens!$C$1950*(1-g_tv/(wacc+ronic_prem))</f>
        <v>177.812860762548</v>
      </c>
    </row>
    <row r="1952" customFormat="false" ht="17.15" hidden="false" customHeight="false" outlineLevel="0" collapsed="false">
      <c r="A1952" s="1" t="s">
        <v>944</v>
      </c>
      <c r="B1952" s="0" t="s">
        <v>95</v>
      </c>
      <c r="C1952" s="6" t="n">
        <f aca="false">Sens!$C$1951/(wacc-g_tv)</f>
        <v>2251.84406325319</v>
      </c>
    </row>
    <row r="1953" customFormat="false" ht="15" hidden="false" customHeight="false" outlineLevel="0" collapsed="false">
      <c r="A1953" s="1" t="s">
        <v>945</v>
      </c>
      <c r="B1953" s="0" t="s">
        <v>95</v>
      </c>
      <c r="C1953" s="6" t="n">
        <f aca="false">Sens!$C$1952/(1+wacc)^6</f>
        <v>1210.69696892646</v>
      </c>
    </row>
    <row r="1954" customFormat="false" ht="17.15" hidden="false" customHeight="false" outlineLevel="0" collapsed="false">
      <c r="A1954" s="0" t="s">
        <v>877</v>
      </c>
      <c r="B1954" s="0" t="s">
        <v>95</v>
      </c>
      <c r="C1954" s="6" t="n">
        <f aca="false">Sens!$C$1949+Sens!$C$1953</f>
        <v>1632.32791735568</v>
      </c>
    </row>
    <row r="1955" customFormat="false" ht="15" hidden="false" customHeight="false" outlineLevel="0" collapsed="false">
      <c r="A1955" s="1" t="s">
        <v>878</v>
      </c>
      <c r="B1955" s="0" t="s">
        <v>126</v>
      </c>
      <c r="C1955" s="7" t="n">
        <f aca="false">Sens!$C$1953/Sens!$C$1954</f>
        <v>0.741699603403068</v>
      </c>
    </row>
    <row r="1956" customFormat="false" ht="17.15" hidden="false" customHeight="false" outlineLevel="0" collapsed="false">
      <c r="A1956" s="1" t="s">
        <v>946</v>
      </c>
      <c r="B1956" s="0" t="s">
        <v>95</v>
      </c>
      <c r="C1956" s="6" t="n">
        <f aca="false">Sens!$C$1954+Sens!E1938+oai_v</f>
        <v>1833.43491735568</v>
      </c>
    </row>
    <row r="1957" customFormat="false" ht="17.15" hidden="false" customHeight="false" outlineLevel="0" collapsed="false">
      <c r="A1957" s="0" t="s">
        <v>883</v>
      </c>
      <c r="B1957" s="0" t="s">
        <v>73</v>
      </c>
      <c r="C1957" s="5" t="n">
        <f aca="false">Sens!$C$1956/sh_dil26</f>
        <v>245.999586388793</v>
      </c>
    </row>
    <row r="1958" customFormat="false" ht="17.15" hidden="false" customHeight="false" outlineLevel="0" collapsed="false">
      <c r="A1958" s="0" t="s">
        <v>947</v>
      </c>
      <c r="B1958" s="0" t="s">
        <v>73</v>
      </c>
      <c r="C1958" s="5" t="n">
        <f aca="false">Sens!$C$1957*(1+wacc)^t_roll</f>
        <v>282.160189997516</v>
      </c>
    </row>
    <row r="1959" customFormat="false" ht="17.15" hidden="false" customHeight="false" outlineLevel="0" collapsed="false">
      <c r="A1959" s="1" t="s">
        <v>948</v>
      </c>
      <c r="B1959" s="0" t="s">
        <v>126</v>
      </c>
      <c r="F1959" s="7" t="n">
        <f aca="false">Sens!F1919/(Sens!F1870-Sens!F1826)</f>
        <v>0.0769541848323382</v>
      </c>
      <c r="G1959" s="7" t="n">
        <f aca="false">Sens!G1919/(Sens!G1870-Sens!G1826)</f>
        <v>0.0724932965902588</v>
      </c>
      <c r="H1959" s="7" t="n">
        <f aca="false">Sens!H1919/(Sens!H1870-Sens!H1826)</f>
        <v>0.069750405651162</v>
      </c>
      <c r="I1959" s="7" t="n">
        <f aca="false">Sens!I1919/(Sens!I1870-Sens!I1826)</f>
        <v>0.0685304104146848</v>
      </c>
      <c r="J1959" s="7" t="n">
        <f aca="false">Sens!J1919/(Sens!J1870-Sens!J1826)</f>
        <v>0.0684734474653711</v>
      </c>
      <c r="K1959" s="7" t="n">
        <f aca="false">Sens!K1919/(Sens!K1870-Sens!K1826)</f>
        <v>0.0691681978058255</v>
      </c>
    </row>
    <row r="1960" customFormat="false" ht="17.15" hidden="false" customHeight="false" outlineLevel="0" collapsed="false">
      <c r="A1960" s="0" t="s">
        <v>949</v>
      </c>
      <c r="B1960" s="0" t="s">
        <v>95</v>
      </c>
      <c r="F1960" s="6" t="n">
        <f aca="false">Sens!F1855*(al_m365+Sens!F1959)</f>
        <v>80.4846994434848</v>
      </c>
      <c r="G1960" s="6" t="n">
        <f aca="false">Sens!G1855*(al_m365+Sens!G1959)</f>
        <v>92.1612846185262</v>
      </c>
      <c r="H1960" s="6" t="n">
        <f aca="false">Sens!H1855*(al_m365+Sens!H1959)</f>
        <v>103.997074439077</v>
      </c>
      <c r="I1960" s="6" t="n">
        <f aca="false">Sens!I1855*(al_m365+Sens!I1959)</f>
        <v>114.876273310154</v>
      </c>
      <c r="J1960" s="6" t="n">
        <f aca="false">Sens!J1855*(al_m365+Sens!J1959)</f>
        <v>124.625311551287</v>
      </c>
      <c r="K1960" s="6" t="n">
        <f aca="false">Sens!K1855*(al_m365+Sens!K1959)</f>
        <v>134.019662953726</v>
      </c>
    </row>
    <row r="1961" customFormat="false" ht="17.15" hidden="false" customHeight="false" outlineLevel="0" collapsed="false">
      <c r="A1961" s="0" t="s">
        <v>950</v>
      </c>
      <c r="B1961" s="0" t="s">
        <v>95</v>
      </c>
      <c r="F1961" s="6" t="n">
        <f aca="false">Sens!F1856*(al_lic+Sens!F1959)</f>
        <v>32.3108229051785</v>
      </c>
      <c r="G1961" s="6" t="n">
        <f aca="false">Sens!G1856*(al_lic+Sens!G1959)</f>
        <v>33.4973250226362</v>
      </c>
      <c r="H1961" s="6" t="n">
        <f aca="false">Sens!H1856*(al_lic+Sens!H1959)</f>
        <v>34.6128121836246</v>
      </c>
      <c r="I1961" s="6" t="n">
        <f aca="false">Sens!I1856*(al_lic+Sens!I1959)</f>
        <v>35.6386493874734</v>
      </c>
      <c r="J1961" s="6" t="n">
        <f aca="false">Sens!J1856*(al_lic+Sens!J1959)</f>
        <v>36.5479588163608</v>
      </c>
      <c r="K1961" s="6" t="n">
        <f aca="false">Sens!K1856*(al_lic+Sens!K1959)</f>
        <v>37.3105617082507</v>
      </c>
    </row>
    <row r="1962" customFormat="false" ht="17.15" hidden="false" customHeight="false" outlineLevel="0" collapsed="false">
      <c r="A1962" s="0" t="s">
        <v>951</v>
      </c>
      <c r="B1962" s="0" t="s">
        <v>95</v>
      </c>
      <c r="F1962" s="6" t="n">
        <f aca="false">Sens!F1858*(al_ind+Sens!F1959)</f>
        <v>8.42764776339887</v>
      </c>
      <c r="G1962" s="6" t="n">
        <f aca="false">Sens!G1858*(al_ind+Sens!G1959)</f>
        <v>9.10344280923214</v>
      </c>
      <c r="H1962" s="6" t="n">
        <f aca="false">Sens!H1858*(al_ind+Sens!H1959)</f>
        <v>9.82567525537757</v>
      </c>
      <c r="I1962" s="6" t="n">
        <f aca="false">Sens!I1858*(al_ind+Sens!I1959)</f>
        <v>10.5920124661277</v>
      </c>
      <c r="J1962" s="6" t="n">
        <f aca="false">Sens!J1858*(al_ind+Sens!J1959)</f>
        <v>11.3929243132441</v>
      </c>
      <c r="K1962" s="6" t="n">
        <f aca="false">Sens!K1858*(al_ind+Sens!K1959)</f>
        <v>12.2134138591724</v>
      </c>
    </row>
    <row r="1963" customFormat="false" ht="17.15" hidden="false" customHeight="false" outlineLevel="0" collapsed="false">
      <c r="A1963" s="0" t="s">
        <v>952</v>
      </c>
      <c r="B1963" s="0" t="s">
        <v>95</v>
      </c>
      <c r="F1963" s="6" t="n">
        <f aca="false">Sens!F1860*(al_fro+Sens!F1959)</f>
        <v>3.31715174746742</v>
      </c>
      <c r="G1963" s="6" t="n">
        <f aca="false">Sens!G1860*(al_fro+Sens!G1959)</f>
        <v>3.49518382797241</v>
      </c>
      <c r="H1963" s="6" t="n">
        <f aca="false">Sens!H1860*(al_fro+Sens!H1959)</f>
        <v>3.70265074505495</v>
      </c>
      <c r="I1963" s="6" t="n">
        <f aca="false">Sens!I1860*(al_fro+Sens!I1959)</f>
        <v>3.94191595022775</v>
      </c>
      <c r="J1963" s="6" t="n">
        <f aca="false">Sens!J1860*(al_fro+Sens!J1959)</f>
        <v>4.21354124030664</v>
      </c>
      <c r="K1963" s="6" t="n">
        <f aca="false">Sens!K1860*(al_fro+Sens!K1959)</f>
        <v>4.51698980574566</v>
      </c>
    </row>
    <row r="1964" customFormat="false" ht="17.15" hidden="false" customHeight="false" outlineLevel="0" collapsed="false">
      <c r="A1964" s="0" t="s">
        <v>953</v>
      </c>
      <c r="B1964" s="0" t="s">
        <v>95</v>
      </c>
      <c r="F1964" s="6" t="n">
        <f aca="false">Sens!F1863*(al_srch+Sens!F1959)</f>
        <v>10.4082667508903</v>
      </c>
      <c r="G1964" s="6" t="n">
        <f aca="false">Sens!G1863*(al_srch+Sens!G1959)</f>
        <v>11.3489643717761</v>
      </c>
      <c r="H1964" s="6" t="n">
        <f aca="false">Sens!H1863*(al_srch+Sens!H1959)</f>
        <v>12.3364918174885</v>
      </c>
      <c r="I1964" s="6" t="n">
        <f aca="false">Sens!I1863*(al_srch+Sens!I1959)</f>
        <v>13.3620656710093</v>
      </c>
      <c r="J1964" s="6" t="n">
        <f aca="false">Sens!J1863*(al_srch+Sens!J1959)</f>
        <v>14.4068831858195</v>
      </c>
      <c r="K1964" s="6" t="n">
        <f aca="false">Sens!K1863*(al_srch+Sens!K1959)</f>
        <v>15.444430414114</v>
      </c>
    </row>
    <row r="1965" customFormat="false" ht="17.15" hidden="false" customHeight="false" outlineLevel="0" collapsed="false">
      <c r="A1965" s="0" t="s">
        <v>954</v>
      </c>
      <c r="B1965" s="0" t="s">
        <v>95</v>
      </c>
      <c r="F1965" s="6" t="n">
        <f aca="false">Sens!F1832</f>
        <v>39.4594407491938</v>
      </c>
      <c r="G1965" s="6" t="n">
        <f aca="false">Sens!G1832</f>
        <v>66.5527545578061</v>
      </c>
      <c r="H1965" s="6" t="n">
        <f aca="false">Sens!H1832</f>
        <v>95.219644983859</v>
      </c>
      <c r="I1965" s="6" t="n">
        <f aca="false">Sens!I1832</f>
        <v>124.031840462493</v>
      </c>
      <c r="J1965" s="6" t="n">
        <f aca="false">Sens!J1832</f>
        <v>152.919994097909</v>
      </c>
      <c r="K1965" s="6" t="n">
        <f aca="false">Sens!K1832</f>
        <v>181.852830263848</v>
      </c>
    </row>
    <row r="1966" customFormat="false" ht="17.15" hidden="false" customHeight="false" outlineLevel="0" collapsed="false">
      <c r="A1966" s="0" t="s">
        <v>955</v>
      </c>
      <c r="B1966" s="0" t="s">
        <v>95</v>
      </c>
      <c r="F1966" s="6" t="n">
        <f aca="false">Sens!F1892+Sens!F1843+Sens!F1959*(Sens!F1862-Sens!F1826)</f>
        <v>211.413644317312</v>
      </c>
      <c r="G1966" s="6" t="n">
        <f aca="false">Sens!G1892+Sens!G1843+Sens!G1959*(Sens!G1862-Sens!G1826)</f>
        <v>259.698926003827</v>
      </c>
      <c r="H1966" s="6" t="n">
        <f aca="false">Sens!H1892+Sens!H1843+Sens!H1959*(Sens!H1862-Sens!H1826)</f>
        <v>309.905566424763</v>
      </c>
      <c r="I1966" s="6" t="n">
        <f aca="false">Sens!I1892+Sens!I1843+Sens!I1959*(Sens!I1862-Sens!I1826)</f>
        <v>359.18169611514</v>
      </c>
      <c r="J1966" s="6" t="n">
        <f aca="false">Sens!J1892+Sens!J1843+Sens!J1959*(Sens!J1862-Sens!J1826)</f>
        <v>406.671196781156</v>
      </c>
      <c r="K1966" s="6" t="n">
        <f aca="false">Sens!K1892+Sens!K1843+Sens!K1959*(Sens!K1862-Sens!K1826)</f>
        <v>452.359937273933</v>
      </c>
    </row>
    <row r="1967" customFormat="false" ht="17.15" hidden="false" customHeight="false" outlineLevel="0" collapsed="false">
      <c r="A1967" s="0" t="s">
        <v>956</v>
      </c>
      <c r="B1967" s="0" t="s">
        <v>95</v>
      </c>
      <c r="F1967" s="6" t="n">
        <f aca="false">Sens!F1966-Sens!F1960-Sens!F1961-Sens!F1962-Sens!F1963-Sens!F1965</f>
        <v>47.4138817085882</v>
      </c>
      <c r="G1967" s="6" t="n">
        <f aca="false">Sens!G1966-Sens!G1960-Sens!G1961-Sens!G1962-Sens!G1963-Sens!G1965</f>
        <v>54.8889351676544</v>
      </c>
      <c r="H1967" s="6" t="n">
        <f aca="false">Sens!H1966-Sens!H1960-Sens!H1961-Sens!H1962-Sens!H1963-Sens!H1965</f>
        <v>62.5477088177692</v>
      </c>
      <c r="I1967" s="6" t="n">
        <f aca="false">Sens!I1966-Sens!I1960-Sens!I1961-Sens!I1962-Sens!I1963-Sens!I1965</f>
        <v>70.1010045386647</v>
      </c>
      <c r="J1967" s="6" t="n">
        <f aca="false">Sens!J1966-Sens!J1960-Sens!J1961-Sens!J1962-Sens!J1963-Sens!J1965</f>
        <v>76.9714667620477</v>
      </c>
      <c r="K1967" s="6" t="n">
        <f aca="false">Sens!K1966-Sens!K1960-Sens!K1961-Sens!K1962-Sens!K1963-Sens!K1965</f>
        <v>82.4464786831898</v>
      </c>
    </row>
    <row r="1968" customFormat="false" ht="17.15" hidden="false" customHeight="false" outlineLevel="0" collapsed="false">
      <c r="A1968" s="0" t="s">
        <v>957</v>
      </c>
      <c r="B1968" s="0" t="s">
        <v>95</v>
      </c>
      <c r="F1968" s="6" t="n">
        <f aca="false">Sens!F1894+Sens!F1959*Sens!F1869</f>
        <v>24.3083688059541</v>
      </c>
      <c r="G1968" s="6" t="n">
        <f aca="false">Sens!G1894+Sens!G1959*Sens!G1869</f>
        <v>24.7492033481312</v>
      </c>
      <c r="H1968" s="6" t="n">
        <f aca="false">Sens!H1894+Sens!H1959*Sens!H1869</f>
        <v>25.4622121605022</v>
      </c>
      <c r="I1968" s="6" t="n">
        <f aca="false">Sens!I1894+Sens!I1959*Sens!I1869</f>
        <v>26.4155615232399</v>
      </c>
      <c r="J1968" s="6" t="n">
        <f aca="false">Sens!J1894+Sens!J1959*Sens!J1869</f>
        <v>27.5715206918842</v>
      </c>
      <c r="K1968" s="6" t="n">
        <f aca="false">Sens!K1894+Sens!K1959*Sens!K1869</f>
        <v>28.8908169095271</v>
      </c>
    </row>
    <row r="1969" customFormat="false" ht="17.15" hidden="false" customHeight="false" outlineLevel="0" collapsed="false">
      <c r="A1969" s="0" t="s">
        <v>958</v>
      </c>
      <c r="B1969" s="0" t="s">
        <v>95</v>
      </c>
      <c r="F1969" s="6" t="n">
        <f aca="false">(Sens!F1968-Sens!F1964)*Sens!F1865/(Sens!F1865+Sens!F1867)</f>
        <v>7.61990056155364</v>
      </c>
      <c r="G1969" s="6" t="n">
        <f aca="false">(Sens!G1968-Sens!G1964)*Sens!G1865/(Sens!G1865+Sens!G1867)</f>
        <v>7.21490390293389</v>
      </c>
      <c r="H1969" s="6" t="n">
        <f aca="false">(Sens!H1968-Sens!H1964)*Sens!H1865/(Sens!H1865+Sens!H1867)</f>
        <v>6.97163396889912</v>
      </c>
      <c r="I1969" s="6" t="n">
        <f aca="false">(Sens!I1968-Sens!I1964)*Sens!I1865/(Sens!I1865+Sens!I1867)</f>
        <v>6.87054010169528</v>
      </c>
      <c r="J1969" s="6" t="n">
        <f aca="false">(Sens!J1968-Sens!J1964)*Sens!J1865/(Sens!J1865+Sens!J1867)</f>
        <v>6.89770523098836</v>
      </c>
      <c r="K1969" s="6" t="n">
        <f aca="false">(Sens!K1968-Sens!K1964)*Sens!K1865/(Sens!K1865+Sens!K1867)</f>
        <v>7.04532961310745</v>
      </c>
    </row>
    <row r="1970" customFormat="false" ht="17.15" hidden="false" customHeight="false" outlineLevel="0" collapsed="false">
      <c r="A1970" s="0" t="s">
        <v>959</v>
      </c>
      <c r="B1970" s="0" t="s">
        <v>95</v>
      </c>
      <c r="F1970" s="6" t="n">
        <f aca="false">Sens!F1968-Sens!F1964-Sens!F1969</f>
        <v>6.28020149351007</v>
      </c>
      <c r="G1970" s="6" t="n">
        <f aca="false">Sens!G1968-Sens!G1964-Sens!G1969</f>
        <v>6.18533507342124</v>
      </c>
      <c r="H1970" s="6" t="n">
        <f aca="false">Sens!H1968-Sens!H1964-Sens!H1969</f>
        <v>6.15408637411456</v>
      </c>
      <c r="I1970" s="6" t="n">
        <f aca="false">Sens!I1968-Sens!I1964-Sens!I1969</f>
        <v>6.18295575053536</v>
      </c>
      <c r="J1970" s="6" t="n">
        <f aca="false">Sens!J1968-Sens!J1964-Sens!J1969</f>
        <v>6.26693227507626</v>
      </c>
      <c r="K1970" s="6" t="n">
        <f aca="false">Sens!K1968-Sens!K1964-Sens!K1969</f>
        <v>6.40105688230563</v>
      </c>
    </row>
    <row r="1971" customFormat="false" ht="17.15" hidden="false" customHeight="false" outlineLevel="0" collapsed="false">
      <c r="A1971" s="1" t="s">
        <v>960</v>
      </c>
      <c r="B1971" s="0" t="s">
        <v>95</v>
      </c>
      <c r="C1971" s="6" t="n">
        <f aca="false">(w_ntm28*Sens!G1965+(1-w_ntm28)*Sens!H1965)*m_ai*1</f>
        <v>454.922440830797</v>
      </c>
    </row>
    <row r="1972" customFormat="false" ht="17.15" hidden="false" customHeight="false" outlineLevel="0" collapsed="false">
      <c r="A1972" s="1" t="s">
        <v>961</v>
      </c>
      <c r="B1972" s="0" t="s">
        <v>95</v>
      </c>
      <c r="C1972" s="6" t="n">
        <f aca="false">(w_ntm28*Sens!G1967+(1-w_ntm28)*Sens!H1967)*m_cloud*1</f>
        <v>792.783225709206</v>
      </c>
    </row>
    <row r="1973" customFormat="false" ht="17.15" hidden="false" customHeight="false" outlineLevel="0" collapsed="false">
      <c r="A1973" s="1" t="s">
        <v>962</v>
      </c>
      <c r="B1973" s="0" t="s">
        <v>95</v>
      </c>
      <c r="C1973" s="6" t="n">
        <f aca="false">(w_ntm28*Sens!G1960+(1-w_ntm28)*Sens!H1960)*m_sw*1</f>
        <v>1036.66661510559</v>
      </c>
    </row>
    <row r="1974" customFormat="false" ht="17.15" hidden="false" customHeight="false" outlineLevel="0" collapsed="false">
      <c r="A1974" s="1" t="s">
        <v>963</v>
      </c>
      <c r="B1974" s="0" t="s">
        <v>95</v>
      </c>
      <c r="C1974" s="6" t="n">
        <f aca="false">(w_ntm28*Sens!G1961+(1-w_ntm28)*Sens!H1961)*m_sw*1</f>
        <v>365.665841307385</v>
      </c>
    </row>
    <row r="1975" customFormat="false" ht="17.15" hidden="false" customHeight="false" outlineLevel="0" collapsed="false">
      <c r="A1975" s="1" t="s">
        <v>964</v>
      </c>
      <c r="B1975" s="0" t="s">
        <v>95</v>
      </c>
      <c r="C1975" s="6" t="n">
        <f aca="false">(w_ntm28*Sens!G1962+(1-w_ntm28)*Sens!H1962)*m_sw*1</f>
        <v>100.838861872221</v>
      </c>
    </row>
    <row r="1976" customFormat="false" ht="17.15" hidden="false" customHeight="false" outlineLevel="0" collapsed="false">
      <c r="A1976" s="1" t="s">
        <v>965</v>
      </c>
      <c r="B1976" s="0" t="s">
        <v>95</v>
      </c>
      <c r="C1976" s="6" t="n">
        <f aca="false">(w_ntm28*Sens!G1963+(1-w_ntm28)*Sens!H1963)*m_sw*1</f>
        <v>38.472357504102</v>
      </c>
    </row>
    <row r="1977" customFormat="false" ht="17.15" hidden="false" customHeight="false" outlineLevel="0" collapsed="false">
      <c r="A1977" s="1" t="s">
        <v>966</v>
      </c>
      <c r="B1977" s="0" t="s">
        <v>95</v>
      </c>
      <c r="C1977" s="6" t="n">
        <f aca="false">(w_ntm28*Sens!G1964+(1-w_ntm28)*Sens!H1964)*m_ads*1</f>
        <v>106.297482560008</v>
      </c>
    </row>
    <row r="1978" customFormat="false" ht="17.15" hidden="false" customHeight="false" outlineLevel="0" collapsed="false">
      <c r="A1978" s="1" t="s">
        <v>967</v>
      </c>
      <c r="B1978" s="0" t="s">
        <v>95</v>
      </c>
      <c r="C1978" s="6" t="n">
        <f aca="false">(w_ntm28*Sens!G1969+(1-w_ntm28)*Sens!H1969)*m_game*1</f>
        <v>90.1309351612074</v>
      </c>
    </row>
    <row r="1979" customFormat="false" ht="17.15" hidden="false" customHeight="false" outlineLevel="0" collapsed="false">
      <c r="A1979" s="1" t="s">
        <v>968</v>
      </c>
      <c r="B1979" s="0" t="s">
        <v>95</v>
      </c>
      <c r="C1979" s="6" t="n">
        <f aca="false">(w_ntm28*Sens!G1970+(1-w_ntm28)*Sens!H1970)*m_pc*1</f>
        <v>89.3556179531774</v>
      </c>
    </row>
    <row r="1980" customFormat="false" ht="17.15" hidden="false" customHeight="false" outlineLevel="0" collapsed="false">
      <c r="A1980" s="1" t="s">
        <v>969</v>
      </c>
      <c r="B1980" s="0" t="s">
        <v>95</v>
      </c>
      <c r="C1980" s="6" t="n">
        <f aca="false">Sens!$C$1971+Sens!$C$1972+Sens!$C$1973+Sens!$C$1974+Sens!$C$1975+Sens!$C$1976+Sens!$C$1977+Sens!$C$1978+Sens!$C$1979</f>
        <v>3075.1333780037</v>
      </c>
    </row>
    <row r="1981" customFormat="false" ht="17.15" hidden="false" customHeight="false" outlineLevel="0" collapsed="false">
      <c r="A1981" s="1" t="s">
        <v>903</v>
      </c>
      <c r="B1981" s="0" t="s">
        <v>95</v>
      </c>
      <c r="C1981" s="6" t="n">
        <f aca="false">Sens!F1938+oai_v-Sens!F1927</f>
        <v>111.432813992138</v>
      </c>
      <c r="L1981" s="1" t="s">
        <v>970</v>
      </c>
    </row>
    <row r="1982" customFormat="false" ht="15" hidden="false" customHeight="false" outlineLevel="0" collapsed="false">
      <c r="A1982" s="1" t="s">
        <v>904</v>
      </c>
      <c r="B1982" s="0" t="s">
        <v>73</v>
      </c>
      <c r="C1982" s="5" t="n">
        <f aca="false">(Sens!$C$1980+Sens!$C$1981)/Sens!F1940</f>
        <v>426.467638115074</v>
      </c>
    </row>
    <row r="1983" customFormat="false" ht="17.15" hidden="false" customHeight="false" outlineLevel="0" collapsed="false">
      <c r="A1983" s="1" t="s">
        <v>971</v>
      </c>
      <c r="B1983" s="0" t="s">
        <v>73</v>
      </c>
      <c r="C1983" s="5" t="n">
        <f aca="false">w_dcf*Sens!$C$1958+(1-w_dcf)*Sens!$C$1982</f>
        <v>354.313914056295</v>
      </c>
    </row>
    <row r="1984" customFormat="false" ht="17.15" hidden="false" customHeight="false" outlineLevel="0" collapsed="false">
      <c r="A1984" s="3" t="s">
        <v>1169</v>
      </c>
    </row>
    <row r="1985" customFormat="false" ht="15" hidden="false" customHeight="false" outlineLevel="0" collapsed="false">
      <c r="A1985" s="4" t="s">
        <v>43</v>
      </c>
      <c r="B1985" s="4" t="s">
        <v>63</v>
      </c>
      <c r="C1985" s="19" t="s">
        <v>710</v>
      </c>
      <c r="D1985" s="19" t="s">
        <v>711</v>
      </c>
      <c r="E1985" s="19" t="s">
        <v>712</v>
      </c>
      <c r="F1985" s="19" t="s">
        <v>713</v>
      </c>
      <c r="G1985" s="19" t="s">
        <v>714</v>
      </c>
      <c r="H1985" s="19" t="s">
        <v>715</v>
      </c>
      <c r="I1985" s="19" t="s">
        <v>716</v>
      </c>
      <c r="J1985" s="19" t="s">
        <v>717</v>
      </c>
      <c r="K1985" s="19" t="s">
        <v>718</v>
      </c>
      <c r="L1985" s="4" t="s">
        <v>47</v>
      </c>
    </row>
    <row r="1986" customFormat="false" ht="17.15" hidden="false" customHeight="false" outlineLevel="0" collapsed="false">
      <c r="A1986" s="1" t="s">
        <v>719</v>
      </c>
      <c r="B1986" s="0" t="s">
        <v>340</v>
      </c>
      <c r="C1986" s="27" t="n">
        <f aca="false">mw_ext_24</f>
        <v>640</v>
      </c>
      <c r="D1986" s="27" t="n">
        <f aca="false">mw_ext_25</f>
        <v>1630</v>
      </c>
      <c r="E1986" s="27" t="n">
        <f aca="false">mw_ext_26</f>
        <v>3250</v>
      </c>
      <c r="F1986" s="27" t="n">
        <f aca="false">MIN(1000000000,Sens!E1986+pace)</f>
        <v>5777.2</v>
      </c>
      <c r="G1986" s="27" t="n">
        <f aca="false">MIN(1000000000,Sens!F1986+pace)</f>
        <v>8304.4</v>
      </c>
      <c r="H1986" s="27" t="n">
        <f aca="false">MIN(1000000000,Sens!G1986+pace)</f>
        <v>10831.6</v>
      </c>
      <c r="I1986" s="27" t="n">
        <f aca="false">MIN(1000000000,Sens!H1986+pace)</f>
        <v>13358.8</v>
      </c>
      <c r="J1986" s="27" t="n">
        <f aca="false">MIN(1000000000,Sens!I1986+pace)</f>
        <v>15886</v>
      </c>
      <c r="K1986" s="27" t="n">
        <f aca="false">MIN(1000000000,Sens!J1986+pace)</f>
        <v>18413.2</v>
      </c>
      <c r="L1986" s="11" t="s">
        <v>720</v>
      </c>
    </row>
    <row r="1987" customFormat="false" ht="17.15" hidden="false" customHeight="false" outlineLevel="0" collapsed="false">
      <c r="A1987" s="1" t="s">
        <v>721</v>
      </c>
      <c r="B1987" s="0" t="s">
        <v>340</v>
      </c>
      <c r="C1987" s="27" t="n">
        <f aca="false">rent_ext_24</f>
        <v>150</v>
      </c>
      <c r="D1987" s="27" t="n">
        <f aca="false">rent_ext_25</f>
        <v>400</v>
      </c>
      <c r="E1987" s="27" t="n">
        <f aca="false">rent_ext_26</f>
        <v>550</v>
      </c>
      <c r="F1987" s="27" t="n">
        <f aca="false">rent_ext_f</f>
        <v>756</v>
      </c>
      <c r="G1987" s="27" t="n">
        <f aca="false">rent_ext_f</f>
        <v>756</v>
      </c>
      <c r="H1987" s="27" t="n">
        <f aca="false">rent_ext_f</f>
        <v>756</v>
      </c>
      <c r="I1987" s="27" t="n">
        <f aca="false">rent_ext_f</f>
        <v>756</v>
      </c>
      <c r="J1987" s="27" t="n">
        <f aca="false">rent_ext_f</f>
        <v>756</v>
      </c>
      <c r="K1987" s="27" t="n">
        <f aca="false">rent_ext_f</f>
        <v>756</v>
      </c>
      <c r="L1987" s="1" t="s">
        <v>722</v>
      </c>
    </row>
    <row r="1988" customFormat="false" ht="17.15" hidden="false" customHeight="false" outlineLevel="0" collapsed="false">
      <c r="A1988" s="1" t="s">
        <v>723</v>
      </c>
      <c r="B1988" s="0" t="s">
        <v>340</v>
      </c>
      <c r="C1988" s="27" t="n">
        <f aca="false">Sens!C1986-Sens!C1987</f>
        <v>490</v>
      </c>
      <c r="D1988" s="27" t="n">
        <f aca="false">Sens!D1986-Sens!D1987</f>
        <v>1230</v>
      </c>
      <c r="E1988" s="27" t="n">
        <f aca="false">Sens!E1986-Sens!E1987</f>
        <v>2700</v>
      </c>
      <c r="F1988" s="27" t="n">
        <f aca="false">Sens!F1986-Sens!F1987</f>
        <v>5021.2</v>
      </c>
      <c r="G1988" s="27" t="n">
        <f aca="false">Sens!G1986-Sens!G1987</f>
        <v>7548.4</v>
      </c>
      <c r="H1988" s="27" t="n">
        <f aca="false">Sens!H1986-Sens!H1987</f>
        <v>10075.6</v>
      </c>
      <c r="I1988" s="27" t="n">
        <f aca="false">Sens!I1986-Sens!I1987</f>
        <v>12602.8</v>
      </c>
      <c r="J1988" s="27" t="n">
        <f aca="false">Sens!J1986-Sens!J1987</f>
        <v>15130</v>
      </c>
      <c r="K1988" s="27" t="n">
        <f aca="false">Sens!K1986-Sens!K1987</f>
        <v>17657.2</v>
      </c>
    </row>
    <row r="1989" customFormat="false" ht="17.15" hidden="false" customHeight="false" outlineLevel="0" collapsed="false">
      <c r="A1989" s="1" t="s">
        <v>724</v>
      </c>
      <c r="B1989" s="0" t="s">
        <v>340</v>
      </c>
      <c r="C1989" s="27" t="n">
        <f aca="false">Sens!C1988/ext_sh_hi</f>
        <v>653.333333333333</v>
      </c>
      <c r="D1989" s="27" t="n">
        <f aca="false">Sens!D1988/ext_sh_hi</f>
        <v>1640</v>
      </c>
      <c r="E1989" s="27" t="n">
        <f aca="false">Sens!E1988/ext_sh_hi</f>
        <v>3600</v>
      </c>
      <c r="F1989" s="27" t="n">
        <f aca="false">Sens!F1988/ext_sh_hi</f>
        <v>6694.93333333333</v>
      </c>
      <c r="G1989" s="27" t="n">
        <f aca="false">Sens!G1988/ext_sh_hi</f>
        <v>10064.5333333333</v>
      </c>
      <c r="H1989" s="27" t="n">
        <f aca="false">Sens!H1988/ext_sh_hi</f>
        <v>13434.1333333333</v>
      </c>
      <c r="I1989" s="27" t="n">
        <f aca="false">Sens!I1988/ext_sh_hi</f>
        <v>16803.7333333333</v>
      </c>
      <c r="J1989" s="27" t="n">
        <f aca="false">Sens!J1988/ext_sh_hi</f>
        <v>20173.3333333333</v>
      </c>
      <c r="K1989" s="27" t="n">
        <f aca="false">Sens!K1988/ext_sh_hi</f>
        <v>23542.9333333333</v>
      </c>
      <c r="L1989" s="1" t="s">
        <v>725</v>
      </c>
    </row>
    <row r="1990" customFormat="false" ht="17.15" hidden="false" customHeight="false" outlineLevel="0" collapsed="false">
      <c r="A1990" s="1" t="s">
        <v>726</v>
      </c>
      <c r="B1990" s="0" t="s">
        <v>340</v>
      </c>
      <c r="C1990" s="27" t="n">
        <f aca="false">Sens!C1989-Sens!C1988</f>
        <v>163.333333333333</v>
      </c>
      <c r="D1990" s="27" t="n">
        <f aca="false">Sens!D1989-Sens!D1988</f>
        <v>410</v>
      </c>
      <c r="E1990" s="27" t="n">
        <f aca="false">Sens!E1989-Sens!E1988</f>
        <v>900</v>
      </c>
      <c r="F1990" s="27" t="n">
        <f aca="false">Sens!F1989-Sens!F1988</f>
        <v>1673.73333333333</v>
      </c>
      <c r="G1990" s="27" t="n">
        <f aca="false">Sens!G1989-Sens!G1988</f>
        <v>2516.13333333333</v>
      </c>
      <c r="H1990" s="27" t="n">
        <f aca="false">Sens!H1989-Sens!H1988</f>
        <v>3358.53333333333</v>
      </c>
      <c r="I1990" s="27" t="n">
        <f aca="false">Sens!I1989-Sens!I1988</f>
        <v>4200.93333333333</v>
      </c>
      <c r="J1990" s="27" t="n">
        <f aca="false">Sens!J1989-Sens!J1988</f>
        <v>5043.33333333333</v>
      </c>
      <c r="K1990" s="27" t="n">
        <f aca="false">Sens!K1989-Sens!K1988</f>
        <v>5885.73333333333</v>
      </c>
    </row>
    <row r="1991" customFormat="false" ht="17.15" hidden="false" customHeight="false" outlineLevel="0" collapsed="false">
      <c r="A1991" s="1" t="s">
        <v>727</v>
      </c>
      <c r="B1991" s="0" t="s">
        <v>340</v>
      </c>
      <c r="C1991" s="27" t="n">
        <f aca="false">Sens!C1989</f>
        <v>653.333333333333</v>
      </c>
      <c r="D1991" s="27" t="n">
        <f aca="false">Sens!D1989-Sens!C1989</f>
        <v>986.666666666667</v>
      </c>
      <c r="E1991" s="27" t="n">
        <f aca="false">Sens!E1989-Sens!D1989</f>
        <v>1960</v>
      </c>
      <c r="F1991" s="27" t="n">
        <f aca="false">Sens!F1989-Sens!E1989</f>
        <v>3094.93333333333</v>
      </c>
      <c r="G1991" s="27" t="n">
        <f aca="false">Sens!G1989-Sens!F1989</f>
        <v>3369.6</v>
      </c>
      <c r="H1991" s="27" t="n">
        <f aca="false">Sens!H1989-Sens!G1989</f>
        <v>3369.6</v>
      </c>
      <c r="I1991" s="27" t="n">
        <f aca="false">Sens!I1989-Sens!H1989</f>
        <v>3369.6</v>
      </c>
      <c r="J1991" s="27" t="n">
        <f aca="false">Sens!J1989-Sens!I1989</f>
        <v>3369.6</v>
      </c>
      <c r="K1991" s="27" t="n">
        <f aca="false">Sens!K1989-Sens!J1989</f>
        <v>3369.6</v>
      </c>
    </row>
    <row r="1992" customFormat="false" ht="17.15" hidden="false" customHeight="false" outlineLevel="0" collapsed="false">
      <c r="A1992" s="1" t="s">
        <v>728</v>
      </c>
      <c r="B1992" s="0" t="s">
        <v>340</v>
      </c>
      <c r="D1992" s="27" t="n">
        <f aca="false">Sens!D1986-Sens!C1986</f>
        <v>990</v>
      </c>
      <c r="E1992" s="27" t="n">
        <f aca="false">Sens!E1986-Sens!D1986</f>
        <v>1620</v>
      </c>
      <c r="F1992" s="27" t="n">
        <f aca="false">Sens!F1986-Sens!E1986</f>
        <v>2527.2</v>
      </c>
      <c r="G1992" s="27" t="n">
        <f aca="false">Sens!G1986-Sens!F1986</f>
        <v>2527.2</v>
      </c>
      <c r="H1992" s="27" t="n">
        <f aca="false">Sens!H1986-Sens!G1986</f>
        <v>2527.2</v>
      </c>
      <c r="I1992" s="27" t="n">
        <f aca="false">Sens!I1986-Sens!H1986</f>
        <v>2527.2</v>
      </c>
      <c r="J1992" s="27" t="n">
        <f aca="false">Sens!J1986-Sens!I1986</f>
        <v>2527.2</v>
      </c>
      <c r="K1992" s="27" t="n">
        <f aca="false">Sens!K1986-Sens!J1986</f>
        <v>2527.2</v>
      </c>
    </row>
    <row r="1993" customFormat="false" ht="17.15" hidden="false" customHeight="false" outlineLevel="0" collapsed="false">
      <c r="A1993" s="1" t="s">
        <v>729</v>
      </c>
      <c r="B1993" s="0" t="s">
        <v>340</v>
      </c>
      <c r="C1993" s="27" t="n">
        <f aca="false">mix_h*Sens!C1986</f>
        <v>128</v>
      </c>
      <c r="D1993" s="27" t="n">
        <f aca="false">mix_h*Sens!D1986</f>
        <v>326</v>
      </c>
      <c r="E1993" s="27" t="n">
        <f aca="false">mix_h*Sens!E1986</f>
        <v>650</v>
      </c>
      <c r="F1993" s="27" t="n">
        <f aca="false">Sens!E1993</f>
        <v>650</v>
      </c>
      <c r="G1993" s="27" t="n">
        <f aca="false">Sens!F1993</f>
        <v>650</v>
      </c>
      <c r="H1993" s="27" t="n">
        <f aca="false">Sens!G1993</f>
        <v>650</v>
      </c>
      <c r="I1993" s="27" t="n">
        <f aca="false">Sens!H1993</f>
        <v>650</v>
      </c>
      <c r="J1993" s="27" t="n">
        <f aca="false">Sens!I1993</f>
        <v>650</v>
      </c>
      <c r="K1993" s="27" t="n">
        <f aca="false">Sens!J1993</f>
        <v>650</v>
      </c>
    </row>
    <row r="1994" customFormat="false" ht="17.15" hidden="false" customHeight="false" outlineLevel="0" collapsed="false">
      <c r="A1994" s="1" t="s">
        <v>730</v>
      </c>
      <c r="B1994" s="0" t="s">
        <v>340</v>
      </c>
      <c r="C1994" s="27" t="n">
        <f aca="false">mix_g2*Sens!C1986</f>
        <v>288</v>
      </c>
      <c r="D1994" s="27" t="n">
        <f aca="false">mix_g2*Sens!D1986</f>
        <v>733.5</v>
      </c>
      <c r="E1994" s="27" t="n">
        <f aca="false">mix_g2*Sens!E1986</f>
        <v>1462.5</v>
      </c>
      <c r="F1994" s="27" t="n">
        <f aca="false">Sens!E1994</f>
        <v>1462.5</v>
      </c>
      <c r="G1994" s="27" t="n">
        <f aca="false">Sens!F1994</f>
        <v>1462.5</v>
      </c>
      <c r="H1994" s="27" t="n">
        <f aca="false">Sens!G1994</f>
        <v>1462.5</v>
      </c>
      <c r="I1994" s="27" t="n">
        <f aca="false">Sens!H1994</f>
        <v>1462.5</v>
      </c>
      <c r="J1994" s="27" t="n">
        <f aca="false">Sens!I1994</f>
        <v>1462.5</v>
      </c>
      <c r="K1994" s="27" t="n">
        <f aca="false">Sens!J1994</f>
        <v>1462.5</v>
      </c>
    </row>
    <row r="1995" customFormat="false" ht="17.15" hidden="false" customHeight="false" outlineLevel="0" collapsed="false">
      <c r="A1995" s="1" t="s">
        <v>731</v>
      </c>
      <c r="B1995" s="0" t="s">
        <v>340</v>
      </c>
      <c r="C1995" s="27" t="n">
        <f aca="false">mix_g3*Sens!C1986</f>
        <v>224</v>
      </c>
      <c r="D1995" s="27" t="n">
        <f aca="false">mix_g3*Sens!D1986</f>
        <v>570.5</v>
      </c>
      <c r="E1995" s="27" t="n">
        <f aca="false">mix_g3*Sens!E1986</f>
        <v>1137.5</v>
      </c>
      <c r="F1995" s="27" t="n">
        <f aca="false">Sens!E1995+Sens!F1992*a_g3_27</f>
        <v>2906.54</v>
      </c>
      <c r="G1995" s="27" t="n">
        <f aca="false">Sens!F1995+Sens!G1992*a_g3_28</f>
        <v>3664.7</v>
      </c>
      <c r="H1995" s="27" t="n">
        <f aca="false">Sens!G1995+Sens!H1992*a_g3_29</f>
        <v>3917.42</v>
      </c>
      <c r="I1995" s="27" t="n">
        <f aca="false">Sens!H1995+Sens!I1992*a_g3_29</f>
        <v>4170.14</v>
      </c>
      <c r="J1995" s="27" t="n">
        <f aca="false">Sens!I1995+Sens!J1992*a_g3_29</f>
        <v>4422.86</v>
      </c>
      <c r="K1995" s="27" t="n">
        <f aca="false">Sens!J1995+Sens!K1992*a_g3_29</f>
        <v>4675.58</v>
      </c>
    </row>
    <row r="1996" customFormat="false" ht="17.15" hidden="false" customHeight="false" outlineLevel="0" collapsed="false">
      <c r="A1996" s="1" t="s">
        <v>732</v>
      </c>
      <c r="B1996" s="0" t="s">
        <v>340</v>
      </c>
      <c r="C1996" s="27" t="n">
        <f aca="false">0</f>
        <v>0</v>
      </c>
      <c r="D1996" s="27" t="n">
        <f aca="false">0</f>
        <v>0</v>
      </c>
      <c r="E1996" s="27" t="n">
        <f aca="false">0</f>
        <v>0</v>
      </c>
      <c r="F1996" s="27" t="n">
        <f aca="false">Sens!E1996+Sens!F1992*(1-a_g3_27)</f>
        <v>758.16</v>
      </c>
      <c r="G1996" s="27" t="n">
        <f aca="false">Sens!F1996+Sens!G1992*(1-a_g3_28)</f>
        <v>2527.2</v>
      </c>
      <c r="H1996" s="27" t="n">
        <f aca="false">Sens!G1996+Sens!H1992*(1-a_g3_29)</f>
        <v>4801.68</v>
      </c>
      <c r="I1996" s="27" t="n">
        <f aca="false">Sens!H1996+Sens!I1992*(1-a_g3_29)</f>
        <v>7076.16</v>
      </c>
      <c r="J1996" s="27" t="n">
        <f aca="false">Sens!I1996+Sens!J1992*(1-a_g3_29)</f>
        <v>9350.64</v>
      </c>
      <c r="K1996" s="27" t="n">
        <f aca="false">Sens!J1996+Sens!K1992*(1-a_g3_29)</f>
        <v>11625.12</v>
      </c>
    </row>
    <row r="1997" customFormat="false" ht="17.15" hidden="false" customHeight="false" outlineLevel="0" collapsed="false">
      <c r="A1997" s="1" t="s">
        <v>733</v>
      </c>
      <c r="B1997" s="0" t="s">
        <v>291</v>
      </c>
      <c r="C1997" s="18" t="n">
        <f aca="false">(Sens!C1993*tk_hold_h100+Sens!C1994*tk_hold_gb200+Sens!C1995*tk_hold_gb300+Sens!C1996*tk_hold_vr200)/Sens!C1986</f>
        <v>9.7235358126469</v>
      </c>
      <c r="D1997" s="18" t="n">
        <f aca="false">(Sens!D1993*tk_hold_h100+Sens!D1994*tk_hold_gb200+Sens!D1995*tk_hold_gb300+Sens!D1996*tk_hold_vr200)/Sens!D1986</f>
        <v>9.7235358126469</v>
      </c>
      <c r="E1997" s="18" t="n">
        <f aca="false">(Sens!E1993*tk_hold_h100+Sens!E1994*tk_hold_gb200+Sens!E1995*tk_hold_gb300+Sens!E1996*tk_hold_vr200)/Sens!E1986</f>
        <v>9.7235358126469</v>
      </c>
      <c r="F1997" s="18" t="n">
        <f aca="false">(Sens!F1993*tk_hold_h100+Sens!F1994*tk_hold_gb200+Sens!F1995*tk_hold_gb300+Sens!F1996*tk_hold_vr200)/Sens!F1986</f>
        <v>10.4079573161931</v>
      </c>
      <c r="G1997" s="18" t="n">
        <f aca="false">(Sens!G1993*tk_hold_h100+Sens!G1994*tk_hold_gb200+Sens!G1995*tk_hold_gb300+Sens!G1996*tk_hold_vr200)/Sens!G1986</f>
        <v>10.8388131109316</v>
      </c>
      <c r="H1997" s="18" t="n">
        <f aca="false">(Sens!H1993*tk_hold_h100+Sens!H1994*tk_hold_gb200+Sens!H1995*tk_hold_gb300+Sens!H1996*tk_hold_vr200)/Sens!H1986</f>
        <v>11.1311018388216</v>
      </c>
      <c r="I1997" s="18" t="n">
        <f aca="false">(Sens!I1993*tk_hold_h100+Sens!I1994*tk_hold_gb200+Sens!I1995*tk_hold_gb300+Sens!I1996*tk_hold_vr200)/Sens!I1986</f>
        <v>11.3128009818501</v>
      </c>
      <c r="J1997" s="18" t="n">
        <f aca="false">(Sens!J1993*tk_hold_h100+Sens!J1994*tk_hold_gb200+Sens!J1995*tk_hold_gb300+Sens!J1996*tk_hold_vr200)/Sens!J1986</f>
        <v>11.4366894646418</v>
      </c>
      <c r="K1997" s="18" t="n">
        <f aca="false">(Sens!K1993*tk_hold_h100+Sens!K1994*tk_hold_gb200+Sens!K1995*tk_hold_gb300+Sens!K1996*tk_hold_vr200)/Sens!K1986</f>
        <v>11.526570716348</v>
      </c>
    </row>
    <row r="1998" customFormat="false" ht="17.15" hidden="false" customHeight="false" outlineLevel="0" collapsed="false">
      <c r="A1998" s="0" t="s">
        <v>734</v>
      </c>
      <c r="B1998" s="0" t="s">
        <v>182</v>
      </c>
      <c r="C1998" s="18" t="n">
        <f aca="false">k_B</f>
        <v>1.17213932619116</v>
      </c>
      <c r="D1998" s="18" t="n">
        <f aca="false">k_B</f>
        <v>1.17213932619116</v>
      </c>
      <c r="E1998" s="18" t="n">
        <f aca="false">k_B</f>
        <v>1.17213932619116</v>
      </c>
      <c r="F1998" s="18" t="n">
        <f aca="false">(k_B+((ls_C*k_long+(1-ls_C)*k_spot)-k_B)*MIN(1,1/3))*1</f>
        <v>1.07843258004497</v>
      </c>
      <c r="G1998" s="18" t="n">
        <f aca="false">(k_B+((ls_C*k_long+(1-ls_C)*k_spot)-k_B)*MIN(1,2/3))*1</f>
        <v>0.984725833898784</v>
      </c>
      <c r="H1998" s="18" t="n">
        <f aca="false">(k_B+((ls_C*k_long+(1-ls_C)*k_spot)-k_B)*MIN(1,3/3))*1</f>
        <v>0.891019087752599</v>
      </c>
      <c r="I1998" s="18" t="n">
        <f aca="false">(k_B+((ls_C*k_long+(1-ls_C)*k_spot)-k_B)*MIN(1,4/3))*1</f>
        <v>0.891019087752599</v>
      </c>
      <c r="J1998" s="18" t="n">
        <f aca="false">(k_B+((ls_C*k_long+(1-ls_C)*k_spot)-k_B)*MIN(1,5/3))*1</f>
        <v>0.891019087752599</v>
      </c>
      <c r="K1998" s="18" t="n">
        <f aca="false">(k_B+((ls_C*k_long+(1-ls_C)*k_spot)-k_B)*MIN(1,6/3))*1</f>
        <v>0.891019087752599</v>
      </c>
      <c r="L1998" s="1" t="s">
        <v>735</v>
      </c>
    </row>
    <row r="1999" customFormat="false" ht="17.15" hidden="false" customHeight="false" outlineLevel="0" collapsed="false">
      <c r="A1999" s="1" t="s">
        <v>736</v>
      </c>
      <c r="B1999" s="0" t="s">
        <v>291</v>
      </c>
      <c r="C1999" s="18" t="n">
        <f aca="false">Sens!C1997*Sens!C1998*chip_f</f>
        <v>11.3973387156315</v>
      </c>
      <c r="D1999" s="18" t="n">
        <f aca="false">Sens!D1997*Sens!D1998*chip_f</f>
        <v>11.3973387156315</v>
      </c>
      <c r="E1999" s="18" t="n">
        <f aca="false">Sens!E1997*Sens!E1998*chip_f</f>
        <v>11.3973387156315</v>
      </c>
      <c r="F1999" s="18" t="n">
        <f aca="false">Sens!F1997*Sens!F1998*chip_f</f>
        <v>11.2242802615</v>
      </c>
      <c r="G1999" s="18" t="n">
        <f aca="false">Sens!G1997*Sens!G1998*chip_f</f>
        <v>10.6732592791352</v>
      </c>
      <c r="H1999" s="18" t="n">
        <f aca="false">Sens!H1997*Sens!H1998*chip_f</f>
        <v>9.91802420610807</v>
      </c>
      <c r="I1999" s="18" t="n">
        <f aca="false">Sens!I1997*Sens!I1998*chip_f</f>
        <v>10.0799216107748</v>
      </c>
      <c r="J1999" s="18" t="n">
        <f aca="false">Sens!J1997*Sens!J1998*chip_f</f>
        <v>10.1903086136949</v>
      </c>
      <c r="K1999" s="18" t="n">
        <f aca="false">Sens!K1997*Sens!K1998*chip_f</f>
        <v>10.2703945245962</v>
      </c>
      <c r="L1999" s="1" t="s">
        <v>737</v>
      </c>
    </row>
    <row r="2000" customFormat="false" ht="17.15" hidden="false" customHeight="false" outlineLevel="0" collapsed="false">
      <c r="A2000" s="0" t="s">
        <v>738</v>
      </c>
      <c r="B2000" s="0" t="s">
        <v>95</v>
      </c>
      <c r="D2000" s="6" t="n">
        <f aca="false">(Sens!C1986+Sens!D1986)/2*Sens!D1999/1000</f>
        <v>12.9359794422418</v>
      </c>
      <c r="E2000" s="6" t="n">
        <f aca="false">(Sens!D1986+Sens!E1986)/2*Sens!E1999/1000</f>
        <v>27.8095064661409</v>
      </c>
      <c r="F2000" s="6" t="n">
        <f aca="false">(Sens!E1986+Sens!F1986)/2*Sens!F1999/1000</f>
        <v>50.6619113883066</v>
      </c>
      <c r="G2000" s="6" t="n">
        <f aca="false">(Sens!F1986+Sens!G1986)/2*Sens!G1999/1000</f>
        <v>75.1482839325348</v>
      </c>
      <c r="H2000" s="6" t="n">
        <f aca="false">(Sens!G1986+Sens!H1986)/2*Sens!H1999/1000</f>
        <v>94.895655604042</v>
      </c>
      <c r="I2000" s="6" t="n">
        <f aca="false">(Sens!H1986+Sens!I1986)/2*Sens!I1999/1000</f>
        <v>121.918667866643</v>
      </c>
      <c r="J2000" s="6" t="n">
        <f aca="false">(Sens!I1986+Sens!J1986)/2*Sens!J1999/1000</f>
        <v>149.006768672892</v>
      </c>
      <c r="K2000" s="6" t="n">
        <f aca="false">(Sens!J1986+Sens!K1986)/2*Sens!K1999/1000</f>
        <v>176.133157939015</v>
      </c>
      <c r="L2000" s="11" t="s">
        <v>739</v>
      </c>
    </row>
    <row r="2001" customFormat="false" ht="17.15" hidden="false" customHeight="false" outlineLevel="0" collapsed="false">
      <c r="A2001" s="1" t="s">
        <v>740</v>
      </c>
      <c r="B2001" s="0" t="s">
        <v>291</v>
      </c>
      <c r="C2001" s="18" t="n">
        <f aca="false">(Sens!C1993*tk_opex_h100+Sens!C1994*tk_opex_gb200+Sens!C1995*tk_opex_gb300+Sens!C1996*tk_opex_vr200)/Sens!C1986</f>
        <v>1.88636041306092</v>
      </c>
      <c r="D2001" s="18" t="n">
        <f aca="false">(Sens!D1993*tk_opex_h100+Sens!D1994*tk_opex_gb200+Sens!D1995*tk_opex_gb300+Sens!D1996*tk_opex_vr200)/Sens!D1986</f>
        <v>1.88636041306092</v>
      </c>
      <c r="E2001" s="18" t="n">
        <f aca="false">(Sens!E1993*tk_opex_h100+Sens!E1994*tk_opex_gb200+Sens!E1995*tk_opex_gb300+Sens!E1996*tk_opex_vr200)/Sens!E1986</f>
        <v>1.88636041306092</v>
      </c>
      <c r="F2001" s="18" t="n">
        <f aca="false">(Sens!F1993*tk_opex_h100+Sens!F1994*tk_opex_gb200+Sens!F1995*tk_opex_gb300+Sens!F1996*tk_opex_vr200)/Sens!F1986</f>
        <v>1.9430236476499</v>
      </c>
      <c r="G2001" s="18" t="n">
        <f aca="false">(Sens!G1993*tk_opex_h100+Sens!G1994*tk_opex_gb200+Sens!G1995*tk_opex_gb300+Sens!G1996*tk_opex_vr200)/Sens!G1986</f>
        <v>1.9786941852423</v>
      </c>
      <c r="H2001" s="18" t="n">
        <f aca="false">(Sens!H1993*tk_opex_h100+Sens!H1994*tk_opex_gb200+Sens!H1995*tk_opex_gb300+Sens!H1996*tk_opex_vr200)/Sens!H1986</f>
        <v>2.00289275976156</v>
      </c>
      <c r="I2001" s="18" t="n">
        <f aca="false">(Sens!I1993*tk_opex_h100+Sens!I1994*tk_opex_gb200+Sens!I1995*tk_opex_gb300+Sens!I1996*tk_opex_vr200)/Sens!I1986</f>
        <v>2.01793562605478</v>
      </c>
      <c r="J2001" s="18" t="n">
        <f aca="false">(Sens!J1993*tk_opex_h100+Sens!J1994*tk_opex_gb200+Sens!J1995*tk_opex_gb300+Sens!J1996*tk_opex_vr200)/Sens!J1986</f>
        <v>2.02819234961902</v>
      </c>
      <c r="K2001" s="18" t="n">
        <f aca="false">(Sens!K1993*tk_opex_h100+Sens!K1994*tk_opex_gb200+Sens!K1995*tk_opex_gb300+Sens!K1996*tk_opex_vr200)/Sens!K1986</f>
        <v>2.0356336155994</v>
      </c>
    </row>
    <row r="2002" customFormat="false" ht="17.15" hidden="false" customHeight="false" outlineLevel="0" collapsed="false">
      <c r="A2002" s="0" t="s">
        <v>741</v>
      </c>
      <c r="B2002" s="0" t="s">
        <v>95</v>
      </c>
      <c r="D2002" s="6" t="n">
        <f aca="false">(Sens!C1989+Sens!D1989)/2*Sens!D2001/1000</f>
        <v>2.16302660697652</v>
      </c>
      <c r="E2002" s="6" t="n">
        <f aca="false">(Sens!D1989+Sens!E1989)/2*Sens!E2001/1000</f>
        <v>4.9422642822196</v>
      </c>
      <c r="F2002" s="6" t="n">
        <f aca="false">(Sens!E1989+Sens!F1989)/2*Sens!F2001/1000</f>
        <v>10.001649458823</v>
      </c>
      <c r="G2002" s="6" t="n">
        <f aca="false">(Sens!F1989+Sens!G1989)/2*Sens!G2001/1000</f>
        <v>16.5809296205477</v>
      </c>
      <c r="H2002" s="6" t="n">
        <f aca="false">(Sens!G1989+Sens!H1989)/2*Sens!H2001/1000</f>
        <v>23.5326546653585</v>
      </c>
      <c r="I2002" s="6" t="n">
        <f aca="false">(Sens!H1989+Sens!I1989)/2*Sens!I2001/1000</f>
        <v>30.5090342012804</v>
      </c>
      <c r="J2002" s="6" t="n">
        <f aca="false">(Sens!I1989+Sens!J1989)/2*Sens!J2001/1000</f>
        <v>37.4983018623429</v>
      </c>
      <c r="K2002" s="6" t="n">
        <f aca="false">(Sens!J1989+Sens!K1989)/2*Sens!K2001/1000</f>
        <v>44.4951509875872</v>
      </c>
    </row>
    <row r="2003" customFormat="false" ht="17.15" hidden="false" customHeight="false" outlineLevel="0" collapsed="false">
      <c r="A2003" s="0" t="s">
        <v>742</v>
      </c>
      <c r="B2003" s="0" t="s">
        <v>95</v>
      </c>
      <c r="D2003" s="6" t="n">
        <f aca="false">(Sens!C1987+Sens!D1987)/2*rent_mw/1000</f>
        <v>2.44475</v>
      </c>
      <c r="E2003" s="6" t="n">
        <f aca="false">(Sens!D1987+Sens!E1987)/2*rent_mw/1000</f>
        <v>4.22275</v>
      </c>
      <c r="F2003" s="6" t="n">
        <f aca="false">(Sens!E1987+Sens!F1987)/2*rent_mw/1000</f>
        <v>5.80517</v>
      </c>
      <c r="G2003" s="6" t="n">
        <f aca="false">(Sens!F1987+Sens!G1987)/2*rent_mw/1000</f>
        <v>6.72084</v>
      </c>
      <c r="H2003" s="6" t="n">
        <f aca="false">(Sens!G1987+Sens!H1987)/2*rent_mw/1000</f>
        <v>6.72084</v>
      </c>
      <c r="I2003" s="6" t="n">
        <f aca="false">(Sens!H1987+Sens!I1987)/2*rent_mw/1000</f>
        <v>6.72084</v>
      </c>
      <c r="J2003" s="6" t="n">
        <f aca="false">(Sens!I1987+Sens!J1987)/2*rent_mw/1000</f>
        <v>6.72084</v>
      </c>
      <c r="K2003" s="6" t="n">
        <f aca="false">(Sens!J1987+Sens!K1987)/2*rent_mw/1000</f>
        <v>6.72084</v>
      </c>
    </row>
    <row r="2004" customFormat="false" ht="17.15" hidden="false" customHeight="false" outlineLevel="0" collapsed="false">
      <c r="A2004" s="0" t="s">
        <v>743</v>
      </c>
      <c r="B2004" s="0" t="s">
        <v>95</v>
      </c>
      <c r="D2004" s="6" t="n">
        <f aca="false">(Sens!C1989+Sens!D1989)/2*(1-self_build)*fac_rent/1000</f>
        <v>0.682593900504861</v>
      </c>
      <c r="E2004" s="6" t="n">
        <f aca="false">(Sens!D1989+Sens!E1989)/2*(1-self_build)*fac_rent/1000</f>
        <v>1.55964769126983</v>
      </c>
      <c r="F2004" s="6" t="n">
        <f aca="false">(Sens!E1989+Sens!F1989)/2*(1-self_build)*fac_rent/1000</f>
        <v>3.06421164219659</v>
      </c>
      <c r="G2004" s="6" t="n">
        <f aca="false">(Sens!F1989+Sens!G1989)/2*(1-self_build)*fac_rent/1000</f>
        <v>4.9883327277825</v>
      </c>
      <c r="H2004" s="6" t="n">
        <f aca="false">(Sens!G1989+Sens!H1989)/2*(1-self_build)*fac_rent/1000</f>
        <v>6.99420633866143</v>
      </c>
      <c r="I2004" s="6" t="n">
        <f aca="false">(Sens!H1989+Sens!I1989)/2*(1-self_build)*fac_rent/1000</f>
        <v>9.00007994954036</v>
      </c>
      <c r="J2004" s="6" t="n">
        <f aca="false">(Sens!I1989+Sens!J1989)/2*(1-self_build)*fac_rent/1000</f>
        <v>11.0059535604193</v>
      </c>
      <c r="K2004" s="6" t="n">
        <f aca="false">(Sens!J1989+Sens!K1989)/2*(1-self_build)*fac_rent/1000</f>
        <v>13.0118271712982</v>
      </c>
      <c r="L2004" s="11" t="s">
        <v>744</v>
      </c>
    </row>
    <row r="2005" customFormat="false" ht="17.15" hidden="false" customHeight="false" outlineLevel="0" collapsed="false">
      <c r="A2005" s="1" t="s">
        <v>745</v>
      </c>
      <c r="B2005" s="0" t="s">
        <v>126</v>
      </c>
      <c r="D2005" s="7" t="n">
        <f aca="false">(Sens!C1988+Sens!D1988)/(Sens!C1989+Sens!D1989)</f>
        <v>0.75</v>
      </c>
      <c r="E2005" s="7" t="n">
        <f aca="false">(Sens!D1988+Sens!E1988)/(Sens!D1989+Sens!E1989)</f>
        <v>0.75</v>
      </c>
      <c r="F2005" s="7" t="n">
        <f aca="false">(Sens!E1988+Sens!F1988)/(Sens!E1989+Sens!F1989)</f>
        <v>0.75</v>
      </c>
      <c r="G2005" s="7" t="n">
        <f aca="false">(Sens!F1988+Sens!G1988)/(Sens!F1989+Sens!G1989)</f>
        <v>0.75</v>
      </c>
      <c r="H2005" s="7" t="n">
        <f aca="false">(Sens!G1988+Sens!H1988)/(Sens!G1989+Sens!H1989)</f>
        <v>0.75</v>
      </c>
      <c r="I2005" s="7" t="n">
        <f aca="false">(Sens!H1988+Sens!I1988)/(Sens!H1989+Sens!I1989)</f>
        <v>0.75</v>
      </c>
      <c r="J2005" s="7" t="n">
        <f aca="false">(Sens!I1988+Sens!J1988)/(Sens!I1989+Sens!J1989)</f>
        <v>0.75</v>
      </c>
      <c r="K2005" s="7" t="n">
        <f aca="false">(Sens!J1988+Sens!K1988)/(Sens!J1989+Sens!K1989)</f>
        <v>0.75</v>
      </c>
    </row>
    <row r="2006" customFormat="false" ht="17.15" hidden="false" customHeight="false" outlineLevel="0" collapsed="false">
      <c r="A2006" s="0" t="s">
        <v>746</v>
      </c>
      <c r="B2006" s="0" t="s">
        <v>95</v>
      </c>
      <c r="D2006" s="6" t="n">
        <f aca="false">Sens!D2000-Sens!D2005*(Sens!D2002+Sens!D2004)-Sens!D2003</f>
        <v>8.35701406163072</v>
      </c>
      <c r="E2006" s="6" t="n">
        <f aca="false">Sens!E2000-Sens!E2005*(Sens!E2002+Sens!E2004)-Sens!E2003</f>
        <v>18.7103224860238</v>
      </c>
      <c r="F2006" s="6" t="n">
        <f aca="false">Sens!F2000-Sens!F2005*(Sens!F2002+Sens!F2004)-Sens!F2003</f>
        <v>35.0573455625419</v>
      </c>
      <c r="G2006" s="6" t="n">
        <f aca="false">Sens!G2000-Sens!G2005*(Sens!G2002+Sens!G2004)-Sens!G2003</f>
        <v>52.2504971712871</v>
      </c>
      <c r="H2006" s="6" t="n">
        <f aca="false">Sens!H2000-Sens!H2005*(Sens!H2002+Sens!H2004)-Sens!H2003</f>
        <v>65.2796698510271</v>
      </c>
      <c r="I2006" s="6" t="n">
        <f aca="false">Sens!I2000-Sens!I2005*(Sens!I2002+Sens!I2004)-Sens!I2003</f>
        <v>85.5659922535278</v>
      </c>
      <c r="J2006" s="6" t="n">
        <f aca="false">Sens!J2000-Sens!J2005*(Sens!J2002+Sens!J2004)-Sens!J2003</f>
        <v>105.90773710582</v>
      </c>
      <c r="K2006" s="6" t="n">
        <f aca="false">Sens!K2000-Sens!K2005*(Sens!K2002+Sens!K2004)-Sens!K2003</f>
        <v>126.282084319851</v>
      </c>
    </row>
    <row r="2007" customFormat="false" ht="17.15" hidden="false" customHeight="false" outlineLevel="0" collapsed="false">
      <c r="A2007" s="1" t="s">
        <v>747</v>
      </c>
      <c r="B2007" s="0" t="s">
        <v>95</v>
      </c>
      <c r="D2007" s="6" t="n">
        <f aca="false">(1-Sens!D2005)*(Sens!D2002+Sens!D2004)</f>
        <v>0.711405126870345</v>
      </c>
      <c r="E2007" s="6" t="n">
        <f aca="false">(1-Sens!E2005)*(Sens!E2002+Sens!E2004)</f>
        <v>1.62547799337236</v>
      </c>
      <c r="F2007" s="6" t="n">
        <f aca="false">(1-Sens!F2005)*(Sens!F2002+Sens!F2004)</f>
        <v>3.26646527525489</v>
      </c>
      <c r="G2007" s="6" t="n">
        <f aca="false">(1-Sens!G2005)*(Sens!G2002+Sens!G2004)</f>
        <v>5.39231558708256</v>
      </c>
      <c r="H2007" s="6" t="n">
        <f aca="false">(1-Sens!H2005)*(Sens!H2002+Sens!H2004)</f>
        <v>7.63171525100499</v>
      </c>
      <c r="I2007" s="6" t="n">
        <f aca="false">(1-Sens!I2005)*(Sens!I2002+Sens!I2004)</f>
        <v>9.8772785377052</v>
      </c>
      <c r="J2007" s="6" t="n">
        <f aca="false">(1-Sens!J2005)*(Sens!J2002+Sens!J2004)</f>
        <v>12.1260638556905</v>
      </c>
      <c r="K2007" s="6" t="n">
        <f aca="false">(1-Sens!K2005)*(Sens!K2002+Sens!K2004)</f>
        <v>14.3767445397213</v>
      </c>
    </row>
    <row r="2008" customFormat="false" ht="17.15" hidden="false" customHeight="false" outlineLevel="0" collapsed="false">
      <c r="A2008" s="1" t="s">
        <v>748</v>
      </c>
      <c r="B2008" s="0" t="s">
        <v>302</v>
      </c>
      <c r="C2008" s="8" t="n">
        <f aca="false">cxit_open</f>
        <v>27.5918995</v>
      </c>
      <c r="D2008" s="8" t="n">
        <f aca="false">cxit_open</f>
        <v>27.5918995</v>
      </c>
      <c r="E2008" s="8" t="n">
        <f aca="false">cxit_open</f>
        <v>27.5918995</v>
      </c>
      <c r="F2008" s="8" t="n">
        <f aca="false">(a_g3_27*tk_cxit_gb300+(1-a_g3_27)*tk_cxit_vr200)</f>
        <v>33.8419624</v>
      </c>
      <c r="G2008" s="8" t="n">
        <f aca="false">(a_g3_28*tk_cxit_gb300+(1-a_g3_28)*tk_cxit_vr200)</f>
        <v>35.9816136</v>
      </c>
      <c r="H2008" s="8" t="n">
        <f aca="false">(a_g3_29*tk_cxit_gb300+(1-a_g3_29)*tk_cxit_vr200)</f>
        <v>37.0514392</v>
      </c>
      <c r="I2008" s="8" t="n">
        <f aca="false">(a_g3_29*tk_cxit_gb300+(1-a_g3_29)*tk_cxit_vr200)</f>
        <v>37.0514392</v>
      </c>
      <c r="J2008" s="8" t="n">
        <f aca="false">(a_g3_29*tk_cxit_gb300+(1-a_g3_29)*tk_cxit_vr200)</f>
        <v>37.0514392</v>
      </c>
      <c r="K2008" s="8" t="n">
        <f aca="false">(a_g3_29*tk_cxit_gb300+(1-a_g3_29)*tk_cxit_vr200)</f>
        <v>37.0514392</v>
      </c>
      <c r="L2008" s="11" t="s">
        <v>749</v>
      </c>
    </row>
    <row r="2009" customFormat="false" ht="17.15" hidden="false" customHeight="false" outlineLevel="0" collapsed="false">
      <c r="A2009" s="0" t="s">
        <v>750</v>
      </c>
      <c r="B2009" s="0" t="s">
        <v>340</v>
      </c>
      <c r="F2009" s="27" t="n">
        <f aca="false">Sens!C1991*IF(3=life_it,1,0)+Sens!D1991*IF(2=life_it,1,0)+Sens!E1991*IF(1=life_it,1,0)</f>
        <v>0</v>
      </c>
      <c r="G2009" s="27" t="n">
        <f aca="false">Sens!C1991*IF(4=life_it,1,0)+Sens!D1991*IF(3=life_it,1,0)+Sens!E1991*IF(2=life_it,1,0)+Sens!F1991*IF(1=life_it,1,0)</f>
        <v>0</v>
      </c>
      <c r="H2009" s="27" t="n">
        <f aca="false">Sens!C1991*IF(5=life_it,1,0)+Sens!D1991*IF(4=life_it,1,0)+Sens!E1991*IF(3=life_it,1,0)+Sens!F1991*IF(2=life_it,1,0)+Sens!G1991*IF(1=life_it,1,0)</f>
        <v>0</v>
      </c>
      <c r="I2009" s="27" t="n">
        <f aca="false">Sens!C1991*IF(6=life_it,1,0)+Sens!D1991*IF(5=life_it,1,0)+Sens!E1991*IF(4=life_it,1,0)+Sens!F1991*IF(3=life_it,1,0)+Sens!G1991*IF(2=life_it,1,0)+Sens!H1991*IF(1=life_it,1,0)</f>
        <v>653.333333333333</v>
      </c>
      <c r="J2009" s="27" t="n">
        <f aca="false">Sens!C1991*IF(7=life_it,1,0)+Sens!D1991*IF(6=life_it,1,0)+Sens!E1991*IF(5=life_it,1,0)+Sens!F1991*IF(4=life_it,1,0)+Sens!G1991*IF(3=life_it,1,0)+Sens!H1991*IF(2=life_it,1,0)+Sens!I1991*IF(1=life_it,1,0)</f>
        <v>986.666666666667</v>
      </c>
      <c r="K2009" s="27" t="n">
        <f aca="false">Sens!C1991*IF(8=life_it,1,0)+Sens!D1991*IF(7=life_it,1,0)+Sens!E1991*IF(6=life_it,1,0)+Sens!F1991*IF(5=life_it,1,0)+Sens!G1991*IF(4=life_it,1,0)+Sens!H1991*IF(3=life_it,1,0)+Sens!I1991*IF(2=life_it,1,0)+Sens!J1991*IF(1=life_it,1,0)</f>
        <v>1960</v>
      </c>
      <c r="L2009" s="1" t="s">
        <v>751</v>
      </c>
    </row>
    <row r="2010" customFormat="false" ht="17.15" hidden="false" customHeight="false" outlineLevel="0" collapsed="false">
      <c r="A2010" s="0" t="s">
        <v>752</v>
      </c>
      <c r="B2010" s="0" t="s">
        <v>95</v>
      </c>
      <c r="C2010" s="6" t="n">
        <f aca="false">Sens!C1991*Sens!C2008/1000</f>
        <v>18.0267076733333</v>
      </c>
      <c r="D2010" s="6" t="n">
        <f aca="false">Sens!D1991*Sens!D2008/1000</f>
        <v>27.2240075066667</v>
      </c>
      <c r="E2010" s="6" t="n">
        <f aca="false">Sens!E1991*Sens!E2008/1000</f>
        <v>54.08012302</v>
      </c>
      <c r="F2010" s="6" t="n">
        <f aca="false">(Sens!F1991+Sens!F2009)*Sens!F2008/1000</f>
        <v>104.738617497173</v>
      </c>
      <c r="G2010" s="6" t="n">
        <f aca="false">(Sens!G1991+Sens!G2009)*Sens!G2008/1000</f>
        <v>121.24364518656</v>
      </c>
      <c r="H2010" s="6" t="n">
        <f aca="false">(Sens!H1991+Sens!H2009)*Sens!H2008/1000</f>
        <v>124.84852952832</v>
      </c>
      <c r="I2010" s="6" t="n">
        <f aca="false">(Sens!I1991+Sens!I2009)*Sens!I2008/1000</f>
        <v>149.055469805653</v>
      </c>
      <c r="J2010" s="6" t="n">
        <f aca="false">(Sens!J1991+Sens!J2009)*Sens!J2008/1000</f>
        <v>161.405949538987</v>
      </c>
      <c r="K2010" s="6" t="n">
        <f aca="false">(Sens!K1991+Sens!K2009)*Sens!K2008/1000</f>
        <v>197.46935036032</v>
      </c>
    </row>
    <row r="2011" customFormat="false" ht="17.15" hidden="false" customHeight="false" outlineLevel="0" collapsed="false">
      <c r="A2011" s="0" t="s">
        <v>753</v>
      </c>
      <c r="B2011" s="0" t="s">
        <v>95</v>
      </c>
      <c r="C2011" s="6" t="n">
        <f aca="false">Sens!C1991*self_build*tk_cxfac/1000</f>
        <v>4.96664</v>
      </c>
      <c r="D2011" s="6" t="n">
        <f aca="false">Sens!D1991*self_build*tk_cxfac/1000</f>
        <v>7.50064</v>
      </c>
      <c r="E2011" s="6" t="n">
        <f aca="false">Sens!E1991*self_build*tk_cxfac/1000</f>
        <v>14.89992</v>
      </c>
      <c r="F2011" s="6" t="n">
        <f aca="false">Sens!F1991*self_build*tk_cxfac/1000</f>
        <v>23.5276832</v>
      </c>
      <c r="G2011" s="6" t="n">
        <f aca="false">Sens!G1991*self_build*tk_cxfac/1000</f>
        <v>25.6156992</v>
      </c>
      <c r="H2011" s="6" t="n">
        <f aca="false">Sens!H1991*self_build*tk_cxfac/1000</f>
        <v>25.6156992</v>
      </c>
      <c r="I2011" s="6" t="n">
        <f aca="false">Sens!I1991*self_build*tk_cxfac/1000</f>
        <v>25.6156992</v>
      </c>
      <c r="J2011" s="6" t="n">
        <f aca="false">Sens!J1991*self_build*tk_cxfac/1000</f>
        <v>25.6156992</v>
      </c>
      <c r="K2011" s="6" t="n">
        <f aca="false">Sens!K1991*self_build*tk_cxfac/1000</f>
        <v>25.6156992</v>
      </c>
    </row>
    <row r="2012" customFormat="false" ht="17.15" hidden="false" customHeight="false" outlineLevel="0" collapsed="false">
      <c r="A2012" s="0" t="s">
        <v>754</v>
      </c>
      <c r="B2012" s="0" t="s">
        <v>95</v>
      </c>
      <c r="F2012" s="6" t="n">
        <f aca="false">MAX(0,capex_floor27-Sens!F2010-Sens!F2011-Sens!F2099)</f>
        <v>40.5043520732642</v>
      </c>
      <c r="G2012" s="6" t="n">
        <f aca="false">0</f>
        <v>0</v>
      </c>
      <c r="H2012" s="6" t="n">
        <f aca="false">0</f>
        <v>0</v>
      </c>
      <c r="I2012" s="6" t="n">
        <f aca="false">0</f>
        <v>0</v>
      </c>
      <c r="J2012" s="6" t="n">
        <f aca="false">0</f>
        <v>0</v>
      </c>
      <c r="K2012" s="6" t="n">
        <f aca="false">0</f>
        <v>0</v>
      </c>
      <c r="L2012" s="1" t="s">
        <v>755</v>
      </c>
    </row>
    <row r="2013" customFormat="false" ht="17.15" hidden="false" customHeight="false" outlineLevel="0" collapsed="false">
      <c r="A2013" s="0" t="s">
        <v>756</v>
      </c>
      <c r="B2013" s="0" t="s">
        <v>95</v>
      </c>
      <c r="C2013" s="6" t="n">
        <f aca="false">Sens!C2010</f>
        <v>18.0267076733333</v>
      </c>
      <c r="D2013" s="6" t="n">
        <f aca="false">Sens!D2010</f>
        <v>27.2240075066667</v>
      </c>
      <c r="E2013" s="6" t="n">
        <f aca="false">Sens!E2010</f>
        <v>54.08012302</v>
      </c>
      <c r="F2013" s="6" t="n">
        <f aca="false">Sens!F2010+Sens!F2012</f>
        <v>145.242969570438</v>
      </c>
      <c r="G2013" s="6" t="n">
        <f aca="false">Sens!G2010+Sens!G2012</f>
        <v>121.24364518656</v>
      </c>
      <c r="H2013" s="6" t="n">
        <f aca="false">Sens!H2010+Sens!H2012</f>
        <v>124.84852952832</v>
      </c>
      <c r="I2013" s="6" t="n">
        <f aca="false">Sens!I2010+Sens!I2012</f>
        <v>149.055469805653</v>
      </c>
      <c r="J2013" s="6" t="n">
        <f aca="false">Sens!J2010+Sens!J2012</f>
        <v>161.405949538987</v>
      </c>
      <c r="K2013" s="6" t="n">
        <f aca="false">Sens!K2010+Sens!K2012</f>
        <v>197.46935036032</v>
      </c>
    </row>
    <row r="2014" customFormat="false" ht="17.15" hidden="false" customHeight="false" outlineLevel="0" collapsed="false">
      <c r="A2014" s="0" t="s">
        <v>757</v>
      </c>
      <c r="B2014" s="0" t="s">
        <v>95</v>
      </c>
      <c r="C2014" s="6" t="n">
        <f aca="false">Sens!C2013+Sens!C2011</f>
        <v>22.9933476733333</v>
      </c>
      <c r="D2014" s="6" t="n">
        <f aca="false">Sens!D2013+Sens!D2011</f>
        <v>34.7246475066667</v>
      </c>
      <c r="E2014" s="6" t="n">
        <f aca="false">Sens!E2013+Sens!E2011</f>
        <v>68.98004302</v>
      </c>
      <c r="F2014" s="6" t="n">
        <f aca="false">Sens!F2013+Sens!F2011</f>
        <v>168.770652770438</v>
      </c>
      <c r="G2014" s="6" t="n">
        <f aca="false">Sens!G2013+Sens!G2011</f>
        <v>146.85934438656</v>
      </c>
      <c r="H2014" s="6" t="n">
        <f aca="false">Sens!H2013+Sens!H2011</f>
        <v>150.46422872832</v>
      </c>
      <c r="I2014" s="6" t="n">
        <f aca="false">Sens!I2013+Sens!I2011</f>
        <v>174.671169005653</v>
      </c>
      <c r="J2014" s="6" t="n">
        <f aca="false">Sens!J2013+Sens!J2011</f>
        <v>187.021648738987</v>
      </c>
      <c r="K2014" s="6" t="n">
        <f aca="false">Sens!K2013+Sens!K2011</f>
        <v>223.08504956032</v>
      </c>
      <c r="L2014" s="11" t="s">
        <v>758</v>
      </c>
    </row>
    <row r="2015" customFormat="false" ht="17.15" hidden="false" customHeight="false" outlineLevel="0" collapsed="false">
      <c r="A2015" s="0" t="s">
        <v>759</v>
      </c>
      <c r="B2015" s="0" t="s">
        <v>95</v>
      </c>
      <c r="E2015" s="6" t="n">
        <f aca="false">(Sens!C2013*IF(2&lt;life_it,1,IF(2=life_it,0.5,0))+Sens!D2013*IF(1&lt;life_it,1,IF(1=life_it,0.5,0))+Sens!E2013*0.5)/life_it</f>
        <v>12.0484627816667</v>
      </c>
      <c r="F2015" s="6" t="n">
        <f aca="false">(Sens!C2013*IF(3&lt;life_it,1,IF(3=life_it,0.5,0))+Sens!D2013*IF(2&lt;life_it,1,IF(2=life_it,0.5,0))+Sens!E2013*IF(1&lt;life_it,1,IF(1=life_it,0.5,0))+Sens!F2013*0.5)/life_it</f>
        <v>28.6587204975365</v>
      </c>
      <c r="G2015" s="6" t="n">
        <f aca="false">(Sens!C2013*IF(4&lt;life_it,1,IF(4=life_it,0.5,0))+Sens!D2013*IF(3&lt;life_it,1,IF(3=life_it,0.5,0))+Sens!E2013*IF(2&lt;life_it,1,IF(2=life_it,0.5,0))+Sens!F2013*IF(1&lt;life_it,1,IF(1=life_it,0.5,0))+Sens!G2013*0.5)/life_it</f>
        <v>50.8659383939529</v>
      </c>
      <c r="H2015" s="6" t="n">
        <f aca="false">(Sens!C2013*IF(5&lt;life_it,1,IF(5=life_it,0.5,0))+Sens!D2013*IF(4&lt;life_it,1,IF(4=life_it,0.5,0))+Sens!E2013*IF(3&lt;life_it,1,IF(3=life_it,0.5,0))+Sens!F2013*IF(2&lt;life_it,1,IF(2=life_it,0.5,0))+Sens!G2013*IF(1&lt;life_it,1,IF(1=life_it,0.5,0))+Sens!H2013*0.5)/life_it</f>
        <v>71.3736196201929</v>
      </c>
      <c r="I2015" s="6" t="n">
        <f aca="false">(Sens!C2013*IF(6&lt;life_it,1,IF(6=life_it,0.5,0))+Sens!D2013*IF(5&lt;life_it,1,IF(5=life_it,0.5,0))+Sens!E2013*IF(4&lt;life_it,1,IF(4=life_it,0.5,0))+Sens!F2013*IF(3&lt;life_it,1,IF(3=life_it,0.5,0))+Sens!G2013*IF(2&lt;life_it,1,IF(2=life_it,0.5,0))+Sens!H2013*IF(1&lt;life_it,1,IF(1=life_it,0.5,0))+Sens!I2013*0.5)/life_it</f>
        <v>92.6967272585796</v>
      </c>
      <c r="J2015" s="6" t="n">
        <f aca="false">(Sens!C2013*IF(7&lt;life_it,1,IF(7=life_it,0.5,0))+Sens!D2013*IF(6&lt;life_it,1,IF(6=life_it,0.5,0))+Sens!E2013*IF(5&lt;life_it,1,IF(5=life_it,0.5,0))+Sens!F2013*IF(4&lt;life_it,1,IF(4=life_it,0.5,0))+Sens!G2013*IF(3&lt;life_it,1,IF(3=life_it,0.5,0))+Sens!H2013*IF(2&lt;life_it,1,IF(2=life_it,0.5,0))+Sens!I2013*IF(1&lt;life_it,1,IF(1=life_it,0.5,0))+Sens!J2013*0.5)/life_it</f>
        <v>114.7976192723</v>
      </c>
      <c r="K2015" s="6" t="n">
        <f aca="false">(Sens!C2013*IF(8&lt;life_it,1,IF(8=life_it,0.5,0))+Sens!D2013*IF(7&lt;life_it,1,IF(7=life_it,0.5,0))+Sens!E2013*IF(6&lt;life_it,1,IF(6=life_it,0.5,0))+Sens!F2013*IF(5&lt;life_it,1,IF(5=life_it,0.5,0))+Sens!G2013*IF(4&lt;life_it,1,IF(4=life_it,0.5,0))+Sens!H2013*IF(3&lt;life_it,1,IF(3=life_it,0.5,0))+Sens!I2013*IF(2&lt;life_it,1,IF(2=life_it,0.5,0))+Sens!J2013*IF(1&lt;life_it,1,IF(1=life_it,0.5,0))+Sens!K2013*0.5)/life_it</f>
        <v>137.928550053353</v>
      </c>
    </row>
    <row r="2016" customFormat="false" ht="17.15" hidden="false" customHeight="false" outlineLevel="0" collapsed="false">
      <c r="A2016" s="0" t="s">
        <v>760</v>
      </c>
      <c r="B2016" s="0" t="s">
        <v>95</v>
      </c>
      <c r="E2016" s="6" t="n">
        <f aca="false">(Sens!C2011*IF(2&lt;life_fac,1,IF(2=life_fac,0.5,0))+Sens!D2011*IF(1&lt;life_fac,1,IF(1=life_fac,0.5,0))+Sens!E2011*0.5)/life_fac</f>
        <v>0.995862</v>
      </c>
      <c r="F2016" s="6" t="n">
        <f aca="false">(Sens!C2011*IF(3&lt;life_fac,1,IF(3=life_fac,0.5,0))+Sens!D2011*IF(2&lt;life_fac,1,IF(2=life_fac,0.5,0))+Sens!E2011*IF(1&lt;life_fac,1,IF(1=life_fac,0.5,0))+Sens!F2011*0.5)/life_fac</f>
        <v>1.95655208</v>
      </c>
      <c r="G2016" s="6" t="n">
        <f aca="false">(Sens!C2011*IF(4&lt;life_fac,1,IF(4=life_fac,0.5,0))+Sens!D2011*IF(3&lt;life_fac,1,IF(3=life_fac,0.5,0))+Sens!E2011*IF(2&lt;life_fac,1,IF(2=life_fac,0.5,0))+Sens!F2011*IF(1&lt;life_fac,1,IF(1=life_fac,0.5,0))+Sens!G2011*0.5)/life_fac</f>
        <v>3.18513664</v>
      </c>
      <c r="H2016" s="6" t="n">
        <f aca="false">(Sens!C2011*IF(5&lt;life_fac,1,IF(5=life_fac,0.5,0))+Sens!D2011*IF(4&lt;life_fac,1,IF(4=life_fac,0.5,0))+Sens!E2011*IF(3&lt;life_fac,1,IF(3=life_fac,0.5,0))+Sens!F2011*IF(2&lt;life_fac,1,IF(2=life_fac,0.5,0))+Sens!G2011*IF(1&lt;life_fac,1,IF(1=life_fac,0.5,0))+Sens!H2011*0.5)/life_fac</f>
        <v>4.4659216</v>
      </c>
      <c r="I2016" s="6" t="n">
        <f aca="false">(Sens!C2011*IF(6&lt;life_fac,1,IF(6=life_fac,0.5,0))+Sens!D2011*IF(5&lt;life_fac,1,IF(5=life_fac,0.5,0))+Sens!E2011*IF(4&lt;life_fac,1,IF(4=life_fac,0.5,0))+Sens!F2011*IF(3&lt;life_fac,1,IF(3=life_fac,0.5,0))+Sens!G2011*IF(2&lt;life_fac,1,IF(2=life_fac,0.5,0))+Sens!H2011*IF(1&lt;life_fac,1,IF(1=life_fac,0.5,0))+Sens!I2011*0.5)/life_fac</f>
        <v>5.74670656</v>
      </c>
      <c r="J2016" s="6" t="n">
        <f aca="false">(Sens!C2011*IF(7&lt;life_fac,1,IF(7=life_fac,0.5,0))+Sens!D2011*IF(6&lt;life_fac,1,IF(6=life_fac,0.5,0))+Sens!E2011*IF(5&lt;life_fac,1,IF(5=life_fac,0.5,0))+Sens!F2011*IF(4&lt;life_fac,1,IF(4=life_fac,0.5,0))+Sens!G2011*IF(3&lt;life_fac,1,IF(3=life_fac,0.5,0))+Sens!H2011*IF(2&lt;life_fac,1,IF(2=life_fac,0.5,0))+Sens!I2011*IF(1&lt;life_fac,1,IF(1=life_fac,0.5,0))+Sens!J2011*0.5)/life_fac</f>
        <v>7.02749152</v>
      </c>
      <c r="K2016" s="6" t="n">
        <f aca="false">(Sens!C2011*IF(8&lt;life_fac,1,IF(8=life_fac,0.5,0))+Sens!D2011*IF(7&lt;life_fac,1,IF(7=life_fac,0.5,0))+Sens!E2011*IF(6&lt;life_fac,1,IF(6=life_fac,0.5,0))+Sens!F2011*IF(5&lt;life_fac,1,IF(5=life_fac,0.5,0))+Sens!G2011*IF(4&lt;life_fac,1,IF(4=life_fac,0.5,0))+Sens!H2011*IF(3&lt;life_fac,1,IF(3=life_fac,0.5,0))+Sens!I2011*IF(2&lt;life_fac,1,IF(2=life_fac,0.5,0))+Sens!J2011*IF(1&lt;life_fac,1,IF(1=life_fac,0.5,0))+Sens!K2011*0.5)/life_fac</f>
        <v>8.30827648</v>
      </c>
    </row>
    <row r="2017" customFormat="false" ht="17.15" hidden="false" customHeight="false" outlineLevel="0" collapsed="false">
      <c r="A2017" s="0" t="s">
        <v>761</v>
      </c>
      <c r="B2017" s="0" t="s">
        <v>95</v>
      </c>
      <c r="E2017" s="6" t="n">
        <f aca="false">Sens!E2015+Sens!E2016</f>
        <v>13.0443247816667</v>
      </c>
      <c r="F2017" s="6" t="n">
        <f aca="false">Sens!F2015+Sens!F2016</f>
        <v>30.6152725775365</v>
      </c>
      <c r="G2017" s="6" t="n">
        <f aca="false">Sens!G2015+Sens!G2016</f>
        <v>54.0510750339529</v>
      </c>
      <c r="H2017" s="6" t="n">
        <f aca="false">Sens!H2015+Sens!H2016</f>
        <v>75.8395412201929</v>
      </c>
      <c r="I2017" s="6" t="n">
        <f aca="false">Sens!I2015+Sens!I2016</f>
        <v>98.4434338185796</v>
      </c>
      <c r="J2017" s="6" t="n">
        <f aca="false">Sens!J2015+Sens!J2016</f>
        <v>121.8251107923</v>
      </c>
      <c r="K2017" s="6" t="n">
        <f aca="false">Sens!K2015+Sens!K2016</f>
        <v>146.236826533353</v>
      </c>
    </row>
    <row r="2018" customFormat="false" ht="17.15" hidden="false" customHeight="false" outlineLevel="0" collapsed="false">
      <c r="A2018" s="0" t="s">
        <v>762</v>
      </c>
      <c r="B2018" s="0" t="s">
        <v>95</v>
      </c>
      <c r="E2018" s="6" t="n">
        <f aca="false">Sens!E2006-Sens!E2005*Sens!E2017</f>
        <v>8.92707889977379</v>
      </c>
      <c r="F2018" s="6" t="n">
        <f aca="false">Sens!F2006-Sens!F2005*Sens!F2017</f>
        <v>12.0958911293896</v>
      </c>
      <c r="G2018" s="6" t="n">
        <f aca="false">Sens!G2006-Sens!G2005*Sens!G2017</f>
        <v>11.7121908958224</v>
      </c>
      <c r="H2018" s="6" t="n">
        <f aca="false">Sens!H2006-Sens!H2005*Sens!H2017</f>
        <v>8.40001393588236</v>
      </c>
      <c r="I2018" s="6" t="n">
        <f aca="false">Sens!I2006-Sens!I2005*Sens!I2017</f>
        <v>11.7334168895931</v>
      </c>
      <c r="J2018" s="6" t="n">
        <f aca="false">Sens!J2006-Sens!J2005*Sens!J2017</f>
        <v>14.5389040115956</v>
      </c>
      <c r="K2018" s="6" t="n">
        <f aca="false">Sens!K2006-Sens!K2005*Sens!K2017</f>
        <v>16.6044644198364</v>
      </c>
    </row>
    <row r="2019" customFormat="false" ht="17.15" hidden="false" customHeight="false" outlineLevel="0" collapsed="false">
      <c r="A2019" s="3" t="s">
        <v>1170</v>
      </c>
    </row>
    <row r="2020" customFormat="false" ht="15" hidden="false" customHeight="false" outlineLevel="0" collapsed="false">
      <c r="A2020" s="4" t="s">
        <v>43</v>
      </c>
      <c r="B2020" s="4" t="s">
        <v>63</v>
      </c>
      <c r="C2020" s="19" t="s">
        <v>710</v>
      </c>
      <c r="D2020" s="19" t="s">
        <v>711</v>
      </c>
      <c r="E2020" s="19" t="s">
        <v>712</v>
      </c>
      <c r="F2020" s="19" t="s">
        <v>713</v>
      </c>
      <c r="G2020" s="19" t="s">
        <v>714</v>
      </c>
      <c r="H2020" s="19" t="s">
        <v>715</v>
      </c>
      <c r="I2020" s="19" t="s">
        <v>716</v>
      </c>
      <c r="J2020" s="19" t="s">
        <v>717</v>
      </c>
      <c r="K2020" s="19" t="s">
        <v>718</v>
      </c>
      <c r="L2020" s="4" t="s">
        <v>47</v>
      </c>
    </row>
    <row r="2021" customFormat="false" ht="17.15" hidden="false" customHeight="false" outlineLevel="0" collapsed="false">
      <c r="A2021" s="0" t="s">
        <v>780</v>
      </c>
      <c r="B2021" s="0" t="s">
        <v>95</v>
      </c>
      <c r="D2021" s="6" t="n">
        <f aca="false">Sens!D2000</f>
        <v>12.9359794422418</v>
      </c>
      <c r="E2021" s="6" t="n">
        <f aca="false">Sens!E2000</f>
        <v>27.8095064661409</v>
      </c>
      <c r="F2021" s="6" t="n">
        <f aca="false">Sens!F2000</f>
        <v>50.6619113883066</v>
      </c>
      <c r="G2021" s="6" t="n">
        <f aca="false">Sens!G2000</f>
        <v>75.1482839325348</v>
      </c>
      <c r="H2021" s="6" t="n">
        <f aca="false">Sens!H2000</f>
        <v>94.895655604042</v>
      </c>
      <c r="I2021" s="6" t="n">
        <f aca="false">Sens!I2000</f>
        <v>121.918667866643</v>
      </c>
      <c r="J2021" s="6" t="n">
        <f aca="false">Sens!J2000</f>
        <v>149.006768672892</v>
      </c>
      <c r="K2021" s="6" t="n">
        <f aca="false">Sens!K2000</f>
        <v>176.133157939015</v>
      </c>
    </row>
    <row r="2022" customFormat="false" ht="17.15" hidden="false" customHeight="false" outlineLevel="0" collapsed="false">
      <c r="A2022" s="0" t="s">
        <v>781</v>
      </c>
      <c r="B2022" s="0" t="s">
        <v>95</v>
      </c>
      <c r="D2022" s="6" t="n">
        <f aca="false">Q!L6-Sens!D2021</f>
        <v>59.6740205577583</v>
      </c>
      <c r="E2022" s="6" t="n">
        <f aca="false">Q!M6-Sens!E2021</f>
        <v>74.1284935338591</v>
      </c>
      <c r="F2022" s="6" t="n">
        <f aca="false">Sens!E2022*(1+Sens!F2023)</f>
        <v>90.0799497373663</v>
      </c>
      <c r="G2022" s="6" t="n">
        <f aca="false">Sens!F2022*(1+Sens!G2023)</f>
        <v>107.02842520331</v>
      </c>
      <c r="H2022" s="6" t="n">
        <f aca="false">Sens!G2022*(1+Sens!H2023)</f>
        <v>124.271982585636</v>
      </c>
      <c r="I2022" s="6" t="n">
        <f aca="false">Sens!H2022*(1+Sens!I2023)</f>
        <v>140.933702381855</v>
      </c>
      <c r="J2022" s="6" t="n">
        <f aca="false">Sens!I2022*(1+Sens!J2023)</f>
        <v>156.018867314332</v>
      </c>
      <c r="K2022" s="6" t="n">
        <f aca="false">Sens!J2022*(1+Sens!K2023)</f>
        <v>168.500376699478</v>
      </c>
    </row>
    <row r="2023" customFormat="false" ht="15" hidden="false" customHeight="false" outlineLevel="0" collapsed="false">
      <c r="A2023" s="1" t="s">
        <v>782</v>
      </c>
      <c r="B2023" s="0" t="s">
        <v>126</v>
      </c>
      <c r="E2023" s="7" t="n">
        <f aca="false">Sens!E2022/Sens!D2022-1</f>
        <v>0.242223883039864</v>
      </c>
      <c r="F2023" s="7" t="n">
        <f aca="false">Sens!$E$2023+(glt_azo-Sens!$E$2023)*MIN(1,1/n_conv)</f>
        <v>0.215186569199887</v>
      </c>
      <c r="G2023" s="7" t="n">
        <f aca="false">Sens!$E$2023+(glt_azo-Sens!$E$2023)*MIN(1,2/n_conv)</f>
        <v>0.18814925535991</v>
      </c>
      <c r="H2023" s="7" t="n">
        <f aca="false">Sens!$E$2023+(glt_azo-Sens!$E$2023)*MIN(1,3/n_conv)</f>
        <v>0.161111941519932</v>
      </c>
      <c r="I2023" s="7" t="n">
        <f aca="false">Sens!$E$2023+(glt_azo-Sens!$E$2023)*MIN(1,4/n_conv)</f>
        <v>0.134074627679955</v>
      </c>
      <c r="J2023" s="7" t="n">
        <f aca="false">Sens!$E$2023+(glt_azo-Sens!$E$2023)*MIN(1,5/n_conv)</f>
        <v>0.107037313839977</v>
      </c>
      <c r="K2023" s="7" t="n">
        <f aca="false">Sens!$E$2023+(glt_azo-Sens!$E$2023)*MIN(1,6/n_conv)</f>
        <v>0.08</v>
      </c>
    </row>
    <row r="2024" customFormat="false" ht="15" hidden="false" customHeight="false" outlineLevel="0" collapsed="false">
      <c r="A2024" s="0" t="s">
        <v>783</v>
      </c>
      <c r="B2024" s="0" t="s">
        <v>95</v>
      </c>
      <c r="D2024" s="6" t="n">
        <f aca="false">Sens!D2021+Sens!D2022</f>
        <v>72.61</v>
      </c>
      <c r="E2024" s="6" t="n">
        <f aca="false">Sens!E2021+Sens!E2022</f>
        <v>101.938</v>
      </c>
      <c r="F2024" s="6" t="n">
        <f aca="false">Sens!F2021+Sens!F2022</f>
        <v>140.741861125673</v>
      </c>
      <c r="G2024" s="6" t="n">
        <f aca="false">Sens!G2021+Sens!G2022</f>
        <v>182.176709135845</v>
      </c>
      <c r="H2024" s="6" t="n">
        <f aca="false">Sens!H2021+Sens!H2022</f>
        <v>219.167638189678</v>
      </c>
      <c r="I2024" s="6" t="n">
        <f aca="false">Sens!I2021+Sens!I2022</f>
        <v>262.852370248498</v>
      </c>
      <c r="J2024" s="6" t="n">
        <f aca="false">Sens!J2021+Sens!J2022</f>
        <v>305.025635987223</v>
      </c>
      <c r="K2024" s="6" t="n">
        <f aca="false">Sens!K2021+Sens!K2022</f>
        <v>344.633534638493</v>
      </c>
    </row>
    <row r="2025" customFormat="false" ht="17.15" hidden="false" customHeight="false" outlineLevel="0" collapsed="false">
      <c r="A2025" s="0" t="s">
        <v>784</v>
      </c>
      <c r="B2025" s="1" t="s">
        <v>451</v>
      </c>
      <c r="C2025" s="27" t="n">
        <f aca="false">cop_s24</f>
        <v>1</v>
      </c>
      <c r="D2025" s="27" t="n">
        <f aca="false">cop_s25</f>
        <v>5</v>
      </c>
      <c r="E2025" s="27" t="n">
        <f aca="false">cop_s26</f>
        <v>30</v>
      </c>
      <c r="F2025" s="27" t="n">
        <f aca="false">Sens!E2025+IF(2027&lt;=2029,cop_add_C,cop_add_C*cop_tail)</f>
        <v>40</v>
      </c>
      <c r="G2025" s="27" t="n">
        <f aca="false">Sens!F2025+IF(2028&lt;=2029,cop_add_C,cop_add_C*cop_tail)</f>
        <v>50</v>
      </c>
      <c r="H2025" s="27" t="n">
        <f aca="false">Sens!G2025+IF(2029&lt;=2029,cop_add_C,cop_add_C*cop_tail)</f>
        <v>60</v>
      </c>
      <c r="I2025" s="27" t="n">
        <f aca="false">Sens!H2025+IF(2030&lt;=2029,cop_add_C,cop_add_C*cop_tail)</f>
        <v>65</v>
      </c>
      <c r="J2025" s="27" t="n">
        <f aca="false">Sens!I2025+IF(2031&lt;=2029,cop_add_C,cop_add_C*cop_tail)</f>
        <v>70</v>
      </c>
      <c r="K2025" s="27" t="n">
        <f aca="false">Sens!J2025+IF(2032&lt;=2029,cop_add_C,cop_add_C*cop_tail)</f>
        <v>75</v>
      </c>
    </row>
    <row r="2026" customFormat="false" ht="17.15" hidden="false" customHeight="false" outlineLevel="0" collapsed="false">
      <c r="A2026" s="0" t="s">
        <v>785</v>
      </c>
      <c r="B2026" s="0" t="s">
        <v>95</v>
      </c>
      <c r="D2026" s="6" t="n">
        <f aca="false">(Sens!C2025+Sens!D2025)/2*cop_px*12/1000</f>
        <v>0.9</v>
      </c>
      <c r="E2026" s="6" t="n">
        <f aca="false">(Sens!D2025+Sens!E2025)/2*cop_px*12/1000</f>
        <v>5.25</v>
      </c>
      <c r="F2026" s="6" t="n">
        <f aca="false">(Sens!E2025+Sens!F2025)/2*cop_px*12/1000</f>
        <v>10.5</v>
      </c>
      <c r="G2026" s="6" t="n">
        <f aca="false">(Sens!F2025+Sens!G2025)/2*cop_px*12/1000</f>
        <v>13.5</v>
      </c>
      <c r="H2026" s="6" t="n">
        <f aca="false">(Sens!G2025+Sens!H2025)/2*cop_px*12/1000</f>
        <v>16.5</v>
      </c>
      <c r="I2026" s="6" t="n">
        <f aca="false">(Sens!H2025+Sens!I2025)/2*cop_px*12/1000</f>
        <v>18.75</v>
      </c>
      <c r="J2026" s="6" t="n">
        <f aca="false">(Sens!I2025+Sens!J2025)/2*cop_px*12/1000</f>
        <v>20.25</v>
      </c>
      <c r="K2026" s="6" t="n">
        <f aca="false">(Sens!J2025+Sens!K2025)/2*cop_px*12/1000</f>
        <v>21.75</v>
      </c>
      <c r="L2026" s="1" t="s">
        <v>786</v>
      </c>
    </row>
    <row r="2027" customFormat="false" ht="17.15" hidden="false" customHeight="false" outlineLevel="0" collapsed="false">
      <c r="A2027" s="0" t="s">
        <v>787</v>
      </c>
      <c r="B2027" s="0" t="s">
        <v>95</v>
      </c>
      <c r="D2027" s="6" t="n">
        <f aca="false">Q!L7-Sens!D2026</f>
        <v>83.705</v>
      </c>
      <c r="E2027" s="6" t="n">
        <f aca="false">Q!M7-Sens!E2026</f>
        <v>95.049</v>
      </c>
      <c r="F2027" s="6" t="n">
        <f aca="false">Sens!E2027*(1+Sens!F2028)</f>
        <v>106.89238776686</v>
      </c>
      <c r="G2027" s="6" t="n">
        <f aca="false">Sens!F2027*(1+Sens!G2028)</f>
        <v>119.044168448684</v>
      </c>
      <c r="H2027" s="6" t="n">
        <f aca="false">Sens!G2027*(1+Sens!H2028)</f>
        <v>131.277359388781</v>
      </c>
      <c r="I2027" s="6" t="n">
        <f aca="false">Sens!H2027*(1+Sens!I2028)</f>
        <v>143.334028071957</v>
      </c>
      <c r="J2027" s="6" t="n">
        <f aca="false">Sens!I2027*(1+Sens!J2028)</f>
        <v>154.932702785465</v>
      </c>
      <c r="K2027" s="6" t="n">
        <f aca="false">Sens!J2027*(1+Sens!K2028)</f>
        <v>165.777991980448</v>
      </c>
    </row>
    <row r="2028" customFormat="false" ht="15" hidden="false" customHeight="false" outlineLevel="0" collapsed="false">
      <c r="A2028" s="1" t="s">
        <v>782</v>
      </c>
      <c r="B2028" s="0" t="s">
        <v>126</v>
      </c>
      <c r="E2028" s="7" t="n">
        <f aca="false">Sens!E2027/Sens!D2027-1</f>
        <v>0.135523564900544</v>
      </c>
      <c r="F2028" s="7" t="n">
        <f aca="false">Sens!$E$2028+(glt_m365b-Sens!$E$2028)*MIN(1,1/n_conv)</f>
        <v>0.124602970750453</v>
      </c>
      <c r="G2028" s="7" t="n">
        <f aca="false">Sens!$E$2028+(glt_m365b-Sens!$E$2028)*MIN(1,2/n_conv)</f>
        <v>0.113682376600363</v>
      </c>
      <c r="H2028" s="7" t="n">
        <f aca="false">Sens!$E$2028+(glt_m365b-Sens!$E$2028)*MIN(1,3/n_conv)</f>
        <v>0.102761782450272</v>
      </c>
      <c r="I2028" s="7" t="n">
        <f aca="false">Sens!$E$2028+(glt_m365b-Sens!$E$2028)*MIN(1,4/n_conv)</f>
        <v>0.0918411883001813</v>
      </c>
      <c r="J2028" s="7" t="n">
        <f aca="false">Sens!$E$2028+(glt_m365b-Sens!$E$2028)*MIN(1,5/n_conv)</f>
        <v>0.0809205941500906</v>
      </c>
      <c r="K2028" s="7" t="n">
        <f aca="false">Sens!$E$2028+(glt_m365b-Sens!$E$2028)*MIN(1,6/n_conv)</f>
        <v>0.07</v>
      </c>
    </row>
    <row r="2029" customFormat="false" ht="15" hidden="false" customHeight="false" outlineLevel="0" collapsed="false">
      <c r="A2029" s="0" t="s">
        <v>788</v>
      </c>
      <c r="B2029" s="0" t="s">
        <v>95</v>
      </c>
      <c r="D2029" s="6" t="n">
        <f aca="false">Sens!D2027+Sens!D2026</f>
        <v>84.605</v>
      </c>
      <c r="E2029" s="6" t="n">
        <f aca="false">Sens!E2027+Sens!E2026</f>
        <v>100.299</v>
      </c>
      <c r="F2029" s="6" t="n">
        <f aca="false">Sens!F2027+Sens!F2026</f>
        <v>117.39238776686</v>
      </c>
      <c r="G2029" s="6" t="n">
        <f aca="false">Sens!G2027+Sens!G2026</f>
        <v>132.544168448684</v>
      </c>
      <c r="H2029" s="6" t="n">
        <f aca="false">Sens!H2027+Sens!H2026</f>
        <v>147.777359388781</v>
      </c>
      <c r="I2029" s="6" t="n">
        <f aca="false">Sens!I2027+Sens!I2026</f>
        <v>162.084028071957</v>
      </c>
      <c r="J2029" s="6" t="n">
        <f aca="false">Sens!J2027+Sens!J2026</f>
        <v>175.182702785465</v>
      </c>
      <c r="K2029" s="6" t="n">
        <f aca="false">Sens!K2027+Sens!K2026</f>
        <v>187.527991980448</v>
      </c>
    </row>
    <row r="2030" customFormat="false" ht="15" hidden="false" customHeight="false" outlineLevel="0" collapsed="false">
      <c r="A2030" s="0" t="s">
        <v>789</v>
      </c>
      <c r="B2030" s="0" t="s">
        <v>95</v>
      </c>
      <c r="D2030" s="6" t="n">
        <f aca="false">Q!L8</f>
        <v>35.391</v>
      </c>
      <c r="E2030" s="6" t="n">
        <f aca="false">Q!M8</f>
        <v>37.285</v>
      </c>
      <c r="F2030" s="6" t="n">
        <f aca="false">Sens!E2030*(1+Sens!F2031)</f>
        <v>39.0720834331704</v>
      </c>
      <c r="G2030" s="6" t="n">
        <f aca="false">Sens!F2030*(1+Sens!G2031)</f>
        <v>40.726562953769</v>
      </c>
      <c r="H2030" s="6" t="n">
        <f aca="false">Sens!G2030*(1+Sens!H2031)</f>
        <v>42.2235987259198</v>
      </c>
      <c r="I2030" s="6" t="n">
        <f aca="false">Sens!H2030*(1+Sens!I2031)</f>
        <v>43.5397988077414</v>
      </c>
      <c r="J2030" s="6" t="n">
        <f aca="false">Sens!I2030*(1+Sens!J2031)</f>
        <v>44.653811225693</v>
      </c>
      <c r="K2030" s="6" t="n">
        <f aca="false">Sens!J2030*(1+Sens!K2031)</f>
        <v>45.5468874502068</v>
      </c>
    </row>
    <row r="2031" customFormat="false" ht="15" hidden="false" customHeight="false" outlineLevel="0" collapsed="false">
      <c r="A2031" s="1" t="s">
        <v>782</v>
      </c>
      <c r="B2031" s="0" t="s">
        <v>126</v>
      </c>
      <c r="E2031" s="7" t="n">
        <f aca="false">Sens!E2030/Sens!D2030-1</f>
        <v>0.0535164307309768</v>
      </c>
      <c r="F2031" s="7" t="n">
        <f aca="false">Sens!$E$2031+(glt_lic-Sens!$E$2031)*MIN(1,1/n_conv)</f>
        <v>0.0479303589424807</v>
      </c>
      <c r="G2031" s="7" t="n">
        <f aca="false">Sens!$E$2031+(glt_lic-Sens!$E$2031)*MIN(1,2/n_conv)</f>
        <v>0.0423442871539845</v>
      </c>
      <c r="H2031" s="7" t="n">
        <f aca="false">Sens!$E$2031+(glt_lic-Sens!$E$2031)*MIN(1,3/n_conv)</f>
        <v>0.0367582153654884</v>
      </c>
      <c r="I2031" s="7" t="n">
        <f aca="false">Sens!$E$2031+(glt_lic-Sens!$E$2031)*MIN(1,4/n_conv)</f>
        <v>0.0311721435769923</v>
      </c>
      <c r="J2031" s="7" t="n">
        <f aca="false">Sens!$E$2031+(glt_lic-Sens!$E$2031)*MIN(1,5/n_conv)</f>
        <v>0.0255860717884961</v>
      </c>
      <c r="K2031" s="7" t="n">
        <f aca="false">Sens!$E$2031+(glt_lic-Sens!$E$2031)*MIN(1,6/n_conv)</f>
        <v>0.02</v>
      </c>
    </row>
    <row r="2032" customFormat="false" ht="15" hidden="false" customHeight="false" outlineLevel="0" collapsed="false">
      <c r="A2032" s="0" t="s">
        <v>790</v>
      </c>
      <c r="B2032" s="0" t="s">
        <v>95</v>
      </c>
      <c r="D2032" s="6" t="n">
        <f aca="false">Q!L9</f>
        <v>18.417</v>
      </c>
      <c r="E2032" s="6" t="n">
        <f aca="false">Q!M9</f>
        <v>20.345</v>
      </c>
      <c r="F2032" s="6" t="n">
        <f aca="false">Sens!E2032*(1+Sens!F2033)</f>
        <v>22.3572203267814</v>
      </c>
      <c r="G2032" s="6" t="n">
        <f aca="false">Sens!F2032*(1+Sens!G2033)</f>
        <v>24.4392124437232</v>
      </c>
      <c r="H2032" s="6" t="n">
        <f aca="false">Sens!G2032*(1+Sens!H2033)</f>
        <v>26.5738052080665</v>
      </c>
      <c r="I2032" s="6" t="n">
        <f aca="false">Sens!H2032*(1+Sens!I2033)</f>
        <v>28.7412169166967</v>
      </c>
      <c r="J2032" s="6" t="n">
        <f aca="false">Sens!I2032*(1+Sens!J2033)</f>
        <v>30.9192545395413</v>
      </c>
      <c r="K2032" s="6" t="n">
        <f aca="false">Sens!J2032*(1+Sens!K2033)</f>
        <v>33.0836023573092</v>
      </c>
    </row>
    <row r="2033" customFormat="false" ht="15" hidden="false" customHeight="false" outlineLevel="0" collapsed="false">
      <c r="A2033" s="1" t="s">
        <v>782</v>
      </c>
      <c r="B2033" s="0" t="s">
        <v>126</v>
      </c>
      <c r="E2033" s="7" t="n">
        <f aca="false">Sens!E2032/Sens!D2032-1</f>
        <v>0.104685888038225</v>
      </c>
      <c r="F2033" s="7" t="n">
        <f aca="false">Sens!$E$2033+(glt_ind-Sens!$E$2033)*MIN(1,1/n_conv)</f>
        <v>0.0989049066985211</v>
      </c>
      <c r="G2033" s="7" t="n">
        <f aca="false">Sens!$E$2033+(glt_ind-Sens!$E$2033)*MIN(1,2/n_conv)</f>
        <v>0.0931239253588169</v>
      </c>
      <c r="H2033" s="7" t="n">
        <f aca="false">Sens!$E$2033+(glt_ind-Sens!$E$2033)*MIN(1,3/n_conv)</f>
        <v>0.0873429440191127</v>
      </c>
      <c r="I2033" s="7" t="n">
        <f aca="false">Sens!$E$2033+(glt_ind-Sens!$E$2033)*MIN(1,4/n_conv)</f>
        <v>0.0815619626794085</v>
      </c>
      <c r="J2033" s="7" t="n">
        <f aca="false">Sens!$E$2033+(glt_ind-Sens!$E$2033)*MIN(1,5/n_conv)</f>
        <v>0.0757809813397042</v>
      </c>
      <c r="K2033" s="7" t="n">
        <f aca="false">Sens!$E$2033+(glt_ind-Sens!$E$2033)*MIN(1,6/n_conv)</f>
        <v>0.07</v>
      </c>
    </row>
    <row r="2034" customFormat="false" ht="15" hidden="false" customHeight="false" outlineLevel="0" collapsed="false">
      <c r="A2034" s="0" t="s">
        <v>791</v>
      </c>
      <c r="B2034" s="0" t="s">
        <v>95</v>
      </c>
      <c r="D2034" s="6" t="n">
        <f aca="false">Q!L10</f>
        <v>7.76</v>
      </c>
      <c r="E2034" s="6" t="n">
        <f aca="false">Q!M10</f>
        <v>8.26</v>
      </c>
      <c r="F2034" s="6" t="n">
        <f aca="false">Sens!E2034*(1+Sens!F2035)</f>
        <v>8.79988041237113</v>
      </c>
      <c r="G2034" s="6" t="n">
        <f aca="false">Sens!F2034*(1+Sens!G2035)</f>
        <v>9.38321269125306</v>
      </c>
      <c r="H2034" s="6" t="n">
        <f aca="false">Sens!G2034*(1+Sens!H2035)</f>
        <v>10.0139193587476</v>
      </c>
      <c r="I2034" s="6" t="n">
        <f aca="false">Sens!H2034*(1+Sens!I2035)</f>
        <v>10.6963111830911</v>
      </c>
      <c r="J2034" s="6" t="n">
        <f aca="false">Sens!I2034*(1+Sens!J2035)</f>
        <v>11.4351285534696</v>
      </c>
      <c r="K2034" s="6" t="n">
        <f aca="false">Sens!J2034*(1+Sens!K2035)</f>
        <v>12.2355875522124</v>
      </c>
    </row>
    <row r="2035" customFormat="false" ht="15" hidden="false" customHeight="false" outlineLevel="0" collapsed="false">
      <c r="A2035" s="1" t="s">
        <v>782</v>
      </c>
      <c r="B2035" s="0" t="s">
        <v>126</v>
      </c>
      <c r="E2035" s="7" t="n">
        <f aca="false">Sens!E2034/Sens!D2034-1</f>
        <v>0.0644329896907216</v>
      </c>
      <c r="F2035" s="7" t="n">
        <f aca="false">Sens!$E$2035+(glt_fro-Sens!$E$2035)*MIN(1,1/n_conv)</f>
        <v>0.065360824742268</v>
      </c>
      <c r="G2035" s="7" t="n">
        <f aca="false">Sens!$E$2035+(glt_fro-Sens!$E$2035)*MIN(1,2/n_conv)</f>
        <v>0.0662886597938144</v>
      </c>
      <c r="H2035" s="7" t="n">
        <f aca="false">Sens!$E$2035+(glt_fro-Sens!$E$2035)*MIN(1,3/n_conv)</f>
        <v>0.0672164948453608</v>
      </c>
      <c r="I2035" s="7" t="n">
        <f aca="false">Sens!$E$2035+(glt_fro-Sens!$E$2035)*MIN(1,4/n_conv)</f>
        <v>0.0681443298969072</v>
      </c>
      <c r="J2035" s="7" t="n">
        <f aca="false">Sens!$E$2035+(glt_fro-Sens!$E$2035)*MIN(1,5/n_conv)</f>
        <v>0.0690721649484536</v>
      </c>
      <c r="K2035" s="7" t="n">
        <f aca="false">Sens!$E$2035+(glt_fro-Sens!$E$2035)*MIN(1,6/n_conv)</f>
        <v>0.07</v>
      </c>
    </row>
    <row r="2036" customFormat="false" ht="15" hidden="false" customHeight="false" outlineLevel="0" collapsed="false">
      <c r="A2036" s="0" t="s">
        <v>626</v>
      </c>
      <c r="B2036" s="0" t="s">
        <v>95</v>
      </c>
      <c r="D2036" s="6" t="n">
        <f aca="false">Sens!D2024+Sens!D2029+Sens!D2030+Sens!D2032+Sens!D2034</f>
        <v>218.783</v>
      </c>
      <c r="E2036" s="6" t="n">
        <f aca="false">Sens!E2024+Sens!E2029+Sens!E2030+Sens!E2032+Sens!E2034</f>
        <v>268.127</v>
      </c>
      <c r="F2036" s="6" t="n">
        <f aca="false">Sens!F2024+Sens!F2029+Sens!F2030+Sens!F2032+Sens!F2034</f>
        <v>328.363433064856</v>
      </c>
      <c r="G2036" s="6" t="n">
        <f aca="false">Sens!G2024+Sens!G2029+Sens!G2030+Sens!G2032+Sens!G2034</f>
        <v>389.269865673274</v>
      </c>
      <c r="H2036" s="6" t="n">
        <f aca="false">Sens!H2024+Sens!H2029+Sens!H2030+Sens!H2032+Sens!H2034</f>
        <v>445.756320871193</v>
      </c>
      <c r="I2036" s="6" t="n">
        <f aca="false">Sens!I2024+Sens!I2029+Sens!I2030+Sens!I2032+Sens!I2034</f>
        <v>507.913725227984</v>
      </c>
      <c r="J2036" s="6" t="n">
        <f aca="false">Sens!J2024+Sens!J2029+Sens!J2030+Sens!J2032+Sens!J2034</f>
        <v>567.216533091392</v>
      </c>
      <c r="K2036" s="6" t="n">
        <f aca="false">Sens!K2024+Sens!K2029+Sens!K2030+Sens!K2032+Sens!K2034</f>
        <v>623.027603978669</v>
      </c>
    </row>
    <row r="2037" customFormat="false" ht="15" hidden="false" customHeight="false" outlineLevel="0" collapsed="false">
      <c r="A2037" s="0" t="s">
        <v>792</v>
      </c>
      <c r="B2037" s="0" t="s">
        <v>95</v>
      </c>
      <c r="D2037" s="6" t="n">
        <f aca="false">Q!L13</f>
        <v>22.171</v>
      </c>
      <c r="E2037" s="6" t="n">
        <f aca="false">Q!M13</f>
        <v>24.835</v>
      </c>
      <c r="F2037" s="6" t="n">
        <f aca="false">Sens!E2037*(1+Sens!F2038)</f>
        <v>27.6114901218559</v>
      </c>
      <c r="G2037" s="6" t="n">
        <f aca="false">Sens!F2037*(1+Sens!G2038)</f>
        <v>30.4675667338515</v>
      </c>
      <c r="H2037" s="6" t="n">
        <f aca="false">Sens!G2037*(1+Sens!H2038)</f>
        <v>33.3643766955789</v>
      </c>
      <c r="I2037" s="6" t="n">
        <f aca="false">Sens!H2037*(1+Sens!I2038)</f>
        <v>36.2577016533691</v>
      </c>
      <c r="J2037" s="6" t="n">
        <f aca="false">Sens!I2037*(1+Sens!J2038)</f>
        <v>39.0988367952171</v>
      </c>
      <c r="K2037" s="6" t="n">
        <f aca="false">Sens!J2037*(1+Sens!K2038)</f>
        <v>41.8357553708823</v>
      </c>
    </row>
    <row r="2038" customFormat="false" ht="15" hidden="false" customHeight="false" outlineLevel="0" collapsed="false">
      <c r="A2038" s="1" t="s">
        <v>782</v>
      </c>
      <c r="B2038" s="0" t="s">
        <v>126</v>
      </c>
      <c r="E2038" s="7" t="n">
        <f aca="false">Sens!E2037/Sens!D2037-1</f>
        <v>0.120156961796942</v>
      </c>
      <c r="F2038" s="7" t="n">
        <f aca="false">Sens!$E$2038+(glt_srch-Sens!$E$2038)*MIN(1,1/n_conv)</f>
        <v>0.111797468164118</v>
      </c>
      <c r="G2038" s="7" t="n">
        <f aca="false">Sens!$E$2038+(glt_srch-Sens!$E$2038)*MIN(1,2/n_conv)</f>
        <v>0.103437974531295</v>
      </c>
      <c r="H2038" s="7" t="n">
        <f aca="false">Sens!$E$2038+(glt_srch-Sens!$E$2038)*MIN(1,3/n_conv)</f>
        <v>0.095078480898471</v>
      </c>
      <c r="I2038" s="7" t="n">
        <f aca="false">Sens!$E$2038+(glt_srch-Sens!$E$2038)*MIN(1,4/n_conv)</f>
        <v>0.0867189872656474</v>
      </c>
      <c r="J2038" s="7" t="n">
        <f aca="false">Sens!$E$2038+(glt_srch-Sens!$E$2038)*MIN(1,5/n_conv)</f>
        <v>0.0783594936328237</v>
      </c>
      <c r="K2038" s="7" t="n">
        <f aca="false">Sens!$E$2038+(glt_srch-Sens!$E$2038)*MIN(1,6/n_conv)</f>
        <v>0.07</v>
      </c>
    </row>
    <row r="2039" customFormat="false" ht="15" hidden="false" customHeight="false" outlineLevel="0" collapsed="false">
      <c r="A2039" s="0" t="s">
        <v>793</v>
      </c>
      <c r="B2039" s="0" t="s">
        <v>95</v>
      </c>
      <c r="D2039" s="6" t="n">
        <f aca="false">Q!L14</f>
        <v>23.455</v>
      </c>
      <c r="E2039" s="6" t="n">
        <f aca="false">Q!M14</f>
        <v>21.79</v>
      </c>
      <c r="F2039" s="6" t="n">
        <f aca="false">Sens!E2039*(1+Sens!F2040)</f>
        <v>20.5736277908051</v>
      </c>
      <c r="G2039" s="6" t="n">
        <f aca="false">Sens!F2039*(1+Sens!G2040)</f>
        <v>19.7371452817919</v>
      </c>
      <c r="H2039" s="6" t="n">
        <f aca="false">Sens!G2039*(1+Sens!H2040)</f>
        <v>19.2339764043138</v>
      </c>
      <c r="I2039" s="6" t="n">
        <f aca="false">Sens!H2039*(1+Sens!I2040)</f>
        <v>19.0353086852681</v>
      </c>
      <c r="J2039" s="6" t="n">
        <f aca="false">Sens!I2039*(1+Sens!J2040)</f>
        <v>19.1273539319129</v>
      </c>
      <c r="K2039" s="6" t="n">
        <f aca="false">Sens!J2039*(1+Sens!K2040)</f>
        <v>19.5099010105511</v>
      </c>
    </row>
    <row r="2040" customFormat="false" ht="15" hidden="false" customHeight="false" outlineLevel="0" collapsed="false">
      <c r="A2040" s="1" t="s">
        <v>782</v>
      </c>
      <c r="B2040" s="0" t="s">
        <v>126</v>
      </c>
      <c r="E2040" s="7" t="n">
        <f aca="false">Sens!E2039/Sens!D2039-1</f>
        <v>-0.0709869963760392</v>
      </c>
      <c r="F2040" s="7" t="n">
        <f aca="false">Sens!$E$2040+(glt_xbox-Sens!$E$2040)*MIN(1,1/n_conv)</f>
        <v>-0.0558224969800327</v>
      </c>
      <c r="G2040" s="7" t="n">
        <f aca="false">Sens!$E$2040+(glt_xbox-Sens!$E$2040)*MIN(1,2/n_conv)</f>
        <v>-0.0406579975840262</v>
      </c>
      <c r="H2040" s="7" t="n">
        <f aca="false">Sens!$E$2040+(glt_xbox-Sens!$E$2040)*MIN(1,3/n_conv)</f>
        <v>-0.0254934981880196</v>
      </c>
      <c r="I2040" s="7" t="n">
        <f aca="false">Sens!$E$2040+(glt_xbox-Sens!$E$2040)*MIN(1,4/n_conv)</f>
        <v>-0.0103289987920131</v>
      </c>
      <c r="J2040" s="7" t="n">
        <f aca="false">Sens!$E$2040+(glt_xbox-Sens!$E$2040)*MIN(1,5/n_conv)</f>
        <v>0.00483550060399347</v>
      </c>
      <c r="K2040" s="7" t="n">
        <f aca="false">Sens!$E$2040+(glt_xbox-Sens!$E$2040)*MIN(1,6/n_conv)</f>
        <v>0.02</v>
      </c>
    </row>
    <row r="2041" customFormat="false" ht="15" hidden="false" customHeight="false" outlineLevel="0" collapsed="false">
      <c r="A2041" s="0" t="s">
        <v>794</v>
      </c>
      <c r="B2041" s="0" t="s">
        <v>95</v>
      </c>
      <c r="D2041" s="6" t="n">
        <f aca="false">Q!L15</f>
        <v>17.315</v>
      </c>
      <c r="E2041" s="6" t="n">
        <f aca="false">Q!M15</f>
        <v>17.087</v>
      </c>
      <c r="F2041" s="6" t="n">
        <f aca="false">Sens!E2041*(1+Sens!F2042)</f>
        <v>16.9564585436519</v>
      </c>
      <c r="G2041" s="6" t="n">
        <f aca="false">Sens!F2041*(1+Sens!G2042)</f>
        <v>16.9206490624268</v>
      </c>
      <c r="H2041" s="6" t="n">
        <f aca="false">Sens!G2041*(1+Sens!H2042)</f>
        <v>16.9784519149849</v>
      </c>
      <c r="I2041" s="6" t="n">
        <f aca="false">Sens!H2041*(1+Sens!I2042)</f>
        <v>17.1303084701817</v>
      </c>
      <c r="J2041" s="6" t="n">
        <f aca="false">Sens!I2041*(1+Sens!J2042)</f>
        <v>17.3782189407267</v>
      </c>
      <c r="K2041" s="6" t="n">
        <f aca="false">Sens!J2041*(1+Sens!K2042)</f>
        <v>17.7257833195413</v>
      </c>
    </row>
    <row r="2042" customFormat="false" ht="15" hidden="false" customHeight="false" outlineLevel="0" collapsed="false">
      <c r="A2042" s="1" t="s">
        <v>782</v>
      </c>
      <c r="B2042" s="0" t="s">
        <v>126</v>
      </c>
      <c r="E2042" s="7" t="n">
        <f aca="false">Sens!E2041/Sens!D2041-1</f>
        <v>-0.0131677736066995</v>
      </c>
      <c r="F2042" s="7" t="n">
        <f aca="false">Sens!$E$2042+(glt_win-Sens!$E$2042)*MIN(1,1/n_conv)</f>
        <v>-0.00763981133891627</v>
      </c>
      <c r="G2042" s="7" t="n">
        <f aca="false">Sens!$E$2042+(glt_win-Sens!$E$2042)*MIN(1,2/n_conv)</f>
        <v>-0.00211184907113301</v>
      </c>
      <c r="H2042" s="7" t="n">
        <f aca="false">Sens!$E$2042+(glt_win-Sens!$E$2042)*MIN(1,3/n_conv)</f>
        <v>0.00341611319665024</v>
      </c>
      <c r="I2042" s="7" t="n">
        <f aca="false">Sens!$E$2042+(glt_win-Sens!$E$2042)*MIN(1,4/n_conv)</f>
        <v>0.00894407546443349</v>
      </c>
      <c r="J2042" s="7" t="n">
        <f aca="false">Sens!$E$2042+(glt_win-Sens!$E$2042)*MIN(1,5/n_conv)</f>
        <v>0.0144720377322168</v>
      </c>
      <c r="K2042" s="7" t="n">
        <f aca="false">Sens!$E$2042+(glt_win-Sens!$E$2042)*MIN(1,6/n_conv)</f>
        <v>0.02</v>
      </c>
    </row>
    <row r="2043" customFormat="false" ht="15" hidden="false" customHeight="false" outlineLevel="0" collapsed="false">
      <c r="A2043" s="0" t="s">
        <v>640</v>
      </c>
      <c r="B2043" s="0" t="s">
        <v>95</v>
      </c>
      <c r="D2043" s="6" t="n">
        <f aca="false">Sens!D2037+Sens!D2039+Sens!D2041</f>
        <v>62.941</v>
      </c>
      <c r="E2043" s="6" t="n">
        <f aca="false">Sens!E2037+Sens!E2039+Sens!E2041</f>
        <v>63.712</v>
      </c>
      <c r="F2043" s="6" t="n">
        <f aca="false">Sens!F2037+Sens!F2039+Sens!F2041</f>
        <v>65.1415764563129</v>
      </c>
      <c r="G2043" s="6" t="n">
        <f aca="false">Sens!G2037+Sens!G2039+Sens!G2041</f>
        <v>67.1253610780702</v>
      </c>
      <c r="H2043" s="6" t="n">
        <f aca="false">Sens!H2037+Sens!H2039+Sens!H2041</f>
        <v>69.5768050148776</v>
      </c>
      <c r="I2043" s="6" t="n">
        <f aca="false">Sens!I2037+Sens!I2039+Sens!I2041</f>
        <v>72.4233188088189</v>
      </c>
      <c r="J2043" s="6" t="n">
        <f aca="false">Sens!J2037+Sens!J2039+Sens!J2041</f>
        <v>75.6044096678567</v>
      </c>
      <c r="K2043" s="6" t="n">
        <f aca="false">Sens!K2037+Sens!K2039+Sens!K2041</f>
        <v>79.0714397009747</v>
      </c>
    </row>
    <row r="2044" customFormat="false" ht="15" hidden="false" customHeight="false" outlineLevel="0" collapsed="false">
      <c r="A2044" s="1" t="s">
        <v>795</v>
      </c>
      <c r="B2044" s="0" t="s">
        <v>95</v>
      </c>
      <c r="D2044" s="6" t="n">
        <f aca="false">Sens!D2036+Sens!D2043</f>
        <v>281.724</v>
      </c>
      <c r="E2044" s="6" t="n">
        <f aca="false">Sens!E2036+Sens!E2043</f>
        <v>331.839</v>
      </c>
      <c r="F2044" s="6" t="n">
        <f aca="false">Sens!F2036+Sens!F2043</f>
        <v>393.505009521169</v>
      </c>
      <c r="G2044" s="6" t="n">
        <f aca="false">Sens!G2036+Sens!G2043</f>
        <v>456.395226751344</v>
      </c>
      <c r="H2044" s="6" t="n">
        <f aca="false">Sens!H2036+Sens!H2043</f>
        <v>515.333125886071</v>
      </c>
      <c r="I2044" s="6" t="n">
        <f aca="false">Sens!I2036+Sens!I2043</f>
        <v>580.337044036803</v>
      </c>
      <c r="J2044" s="6" t="n">
        <f aca="false">Sens!J2036+Sens!J2043</f>
        <v>642.820942759249</v>
      </c>
      <c r="K2044" s="6" t="n">
        <f aca="false">Sens!K2036+Sens!K2043</f>
        <v>702.099043679644</v>
      </c>
    </row>
    <row r="2045" customFormat="false" ht="15" hidden="false" customHeight="false" outlineLevel="0" collapsed="false">
      <c r="A2045" s="22" t="s">
        <v>796</v>
      </c>
      <c r="B2045" s="28" t="s">
        <v>95</v>
      </c>
      <c r="C2045" s="28"/>
      <c r="D2045" s="23" t="n">
        <f aca="false">(Sens!D2024+Sens!D2029+Sens!D2030+Sens!D2032+Sens!D2034-Sens!D2036)+(Sens!D2037+Sens!D2039+Sens!D2041-Sens!D2043)+(Sens!D2036-Q!L5)+(Sens!D2043-Q!L12)+(Sens!D2024-Q!L6)+(Sens!D2029-Q!L7)</f>
        <v>0</v>
      </c>
      <c r="E2045" s="23" t="n">
        <f aca="false">(Sens!E2024+Sens!E2029+Sens!E2030+Sens!E2032+Sens!E2034-Sens!E2036)+(Sens!E2037+Sens!E2039+Sens!E2041-Sens!E2043)+(Sens!E2036-Q!M5)+(Sens!E2043-Q!M12)+(Sens!E2024-Q!M6)+(Sens!E2029-Q!M7)</f>
        <v>0</v>
      </c>
      <c r="F2045" s="23" t="n">
        <f aca="false">(Sens!F2024+Sens!F2029+Sens!F2030+Sens!F2032+Sens!F2034-Sens!F2036)+(Sens!F2037+Sens!F2039+Sens!F2041-Sens!F2043)</f>
        <v>0</v>
      </c>
      <c r="G2045" s="23" t="n">
        <f aca="false">(Sens!G2024+Sens!G2029+Sens!G2030+Sens!G2032+Sens!G2034-Sens!G2036)+(Sens!G2037+Sens!G2039+Sens!G2041-Sens!G2043)</f>
        <v>0</v>
      </c>
      <c r="H2045" s="23" t="n">
        <f aca="false">(Sens!H2024+Sens!H2029+Sens!H2030+Sens!H2032+Sens!H2034-Sens!H2036)+(Sens!H2037+Sens!H2039+Sens!H2041-Sens!H2043)</f>
        <v>0</v>
      </c>
      <c r="I2045" s="23" t="n">
        <f aca="false">(Sens!I2024+Sens!I2029+Sens!I2030+Sens!I2032+Sens!I2034-Sens!I2036)+(Sens!I2037+Sens!I2039+Sens!I2041-Sens!I2043)</f>
        <v>0</v>
      </c>
      <c r="J2045" s="23" t="n">
        <f aca="false">(Sens!J2024+Sens!J2029+Sens!J2030+Sens!J2032+Sens!J2034-Sens!J2036)+(Sens!J2037+Sens!J2039+Sens!J2041-Sens!J2043)</f>
        <v>0</v>
      </c>
      <c r="K2045" s="23" t="n">
        <f aca="false">(Sens!K2024+Sens!K2029+Sens!K2030+Sens!K2032+Sens!K2034-Sens!K2036)+(Sens!K2037+Sens!K2039+Sens!K2041-Sens!K2043)</f>
        <v>0</v>
      </c>
    </row>
    <row r="2046" customFormat="false" ht="17.15" hidden="false" customHeight="false" outlineLevel="0" collapsed="false">
      <c r="A2046" s="3" t="s">
        <v>1171</v>
      </c>
    </row>
    <row r="2047" customFormat="false" ht="15" hidden="false" customHeight="false" outlineLevel="0" collapsed="false">
      <c r="A2047" s="4" t="s">
        <v>43</v>
      </c>
      <c r="B2047" s="4" t="s">
        <v>63</v>
      </c>
      <c r="C2047" s="19" t="s">
        <v>710</v>
      </c>
      <c r="D2047" s="19" t="s">
        <v>711</v>
      </c>
      <c r="E2047" s="19" t="s">
        <v>712</v>
      </c>
      <c r="F2047" s="19" t="s">
        <v>713</v>
      </c>
      <c r="G2047" s="19" t="s">
        <v>714</v>
      </c>
      <c r="H2047" s="19" t="s">
        <v>715</v>
      </c>
      <c r="I2047" s="19" t="s">
        <v>716</v>
      </c>
      <c r="J2047" s="19" t="s">
        <v>717</v>
      </c>
      <c r="K2047" s="19" t="s">
        <v>718</v>
      </c>
      <c r="L2047" s="4" t="s">
        <v>47</v>
      </c>
    </row>
    <row r="2048" customFormat="false" ht="15" hidden="false" customHeight="false" outlineLevel="0" collapsed="false">
      <c r="A2048" s="0" t="s">
        <v>783</v>
      </c>
      <c r="B2048" s="0" t="s">
        <v>95</v>
      </c>
      <c r="D2048" s="6" t="n">
        <f aca="false">Sens!D2024</f>
        <v>72.61</v>
      </c>
      <c r="E2048" s="6" t="n">
        <f aca="false">Sens!E2024</f>
        <v>101.938</v>
      </c>
      <c r="F2048" s="6" t="n">
        <f aca="false">Sens!F2024</f>
        <v>140.741861125673</v>
      </c>
      <c r="G2048" s="6" t="n">
        <f aca="false">Sens!G2024</f>
        <v>182.176709135845</v>
      </c>
      <c r="H2048" s="6" t="n">
        <f aca="false">Sens!H2024</f>
        <v>219.167638189678</v>
      </c>
      <c r="I2048" s="6" t="n">
        <f aca="false">Sens!I2024</f>
        <v>262.852370248498</v>
      </c>
      <c r="J2048" s="6" t="n">
        <f aca="false">Sens!J2024</f>
        <v>305.025635987223</v>
      </c>
      <c r="K2048" s="6" t="n">
        <f aca="false">Sens!K2024</f>
        <v>344.633534638493</v>
      </c>
    </row>
    <row r="2049" customFormat="false" ht="17.15" hidden="false" customHeight="false" outlineLevel="0" collapsed="false">
      <c r="A2049" s="0" t="s">
        <v>780</v>
      </c>
      <c r="B2049" s="0" t="s">
        <v>95</v>
      </c>
      <c r="D2049" s="6" t="n">
        <f aca="false">Sens!D2021</f>
        <v>12.9359794422418</v>
      </c>
      <c r="E2049" s="6" t="n">
        <f aca="false">Sens!E2021</f>
        <v>27.8095064661409</v>
      </c>
      <c r="F2049" s="6" t="n">
        <f aca="false">Sens!F2021</f>
        <v>50.6619113883066</v>
      </c>
      <c r="G2049" s="6" t="n">
        <f aca="false">Sens!G2021</f>
        <v>75.1482839325348</v>
      </c>
      <c r="H2049" s="6" t="n">
        <f aca="false">Sens!H2021</f>
        <v>94.895655604042</v>
      </c>
      <c r="I2049" s="6" t="n">
        <f aca="false">Sens!I2021</f>
        <v>121.918667866643</v>
      </c>
      <c r="J2049" s="6" t="n">
        <f aca="false">Sens!J2021</f>
        <v>149.006768672892</v>
      </c>
      <c r="K2049" s="6" t="n">
        <f aca="false">Sens!K2021</f>
        <v>176.133157939015</v>
      </c>
    </row>
    <row r="2050" customFormat="false" ht="17.15" hidden="false" customHeight="false" outlineLevel="0" collapsed="false">
      <c r="A2050" s="0" t="s">
        <v>807</v>
      </c>
      <c r="B2050" s="0" t="s">
        <v>95</v>
      </c>
      <c r="D2050" s="6" t="n">
        <f aca="false">Sens!D2022</f>
        <v>59.6740205577583</v>
      </c>
      <c r="E2050" s="6" t="n">
        <f aca="false">Sens!E2022</f>
        <v>74.1284935338591</v>
      </c>
      <c r="F2050" s="6" t="n">
        <f aca="false">Sens!F2022</f>
        <v>90.0799497373663</v>
      </c>
      <c r="G2050" s="6" t="n">
        <f aca="false">Sens!G2022</f>
        <v>107.02842520331</v>
      </c>
      <c r="H2050" s="6" t="n">
        <f aca="false">Sens!H2022</f>
        <v>124.271982585636</v>
      </c>
      <c r="I2050" s="6" t="n">
        <f aca="false">Sens!I2022</f>
        <v>140.933702381855</v>
      </c>
      <c r="J2050" s="6" t="n">
        <f aca="false">Sens!J2022</f>
        <v>156.018867314332</v>
      </c>
      <c r="K2050" s="6" t="n">
        <f aca="false">Sens!K2022</f>
        <v>168.500376699478</v>
      </c>
    </row>
    <row r="2051" customFormat="false" ht="15" hidden="false" customHeight="false" outlineLevel="0" collapsed="false">
      <c r="A2051" s="0" t="s">
        <v>788</v>
      </c>
      <c r="B2051" s="0" t="s">
        <v>95</v>
      </c>
      <c r="D2051" s="6" t="n">
        <f aca="false">Sens!D2029</f>
        <v>84.605</v>
      </c>
      <c r="E2051" s="6" t="n">
        <f aca="false">Sens!E2029</f>
        <v>100.299</v>
      </c>
      <c r="F2051" s="6" t="n">
        <f aca="false">Sens!F2029</f>
        <v>117.39238776686</v>
      </c>
      <c r="G2051" s="6" t="n">
        <f aca="false">Sens!G2029</f>
        <v>132.544168448684</v>
      </c>
      <c r="H2051" s="6" t="n">
        <f aca="false">Sens!H2029</f>
        <v>147.777359388781</v>
      </c>
      <c r="I2051" s="6" t="n">
        <f aca="false">Sens!I2029</f>
        <v>162.084028071957</v>
      </c>
      <c r="J2051" s="6" t="n">
        <f aca="false">Sens!J2029</f>
        <v>175.182702785465</v>
      </c>
      <c r="K2051" s="6" t="n">
        <f aca="false">Sens!K2029</f>
        <v>187.527991980448</v>
      </c>
    </row>
    <row r="2052" customFormat="false" ht="17.15" hidden="false" customHeight="false" outlineLevel="0" collapsed="false">
      <c r="A2052" s="0" t="s">
        <v>808</v>
      </c>
      <c r="B2052" s="0" t="s">
        <v>95</v>
      </c>
      <c r="D2052" s="6" t="n">
        <f aca="false">Sens!D2027</f>
        <v>83.705</v>
      </c>
      <c r="E2052" s="6" t="n">
        <f aca="false">Sens!E2027</f>
        <v>95.049</v>
      </c>
      <c r="F2052" s="6" t="n">
        <f aca="false">Sens!F2027</f>
        <v>106.89238776686</v>
      </c>
      <c r="G2052" s="6" t="n">
        <f aca="false">Sens!G2027</f>
        <v>119.044168448684</v>
      </c>
      <c r="H2052" s="6" t="n">
        <f aca="false">Sens!H2027</f>
        <v>131.277359388781</v>
      </c>
      <c r="I2052" s="6" t="n">
        <f aca="false">Sens!I2027</f>
        <v>143.334028071957</v>
      </c>
      <c r="J2052" s="6" t="n">
        <f aca="false">Sens!J2027</f>
        <v>154.932702785465</v>
      </c>
      <c r="K2052" s="6" t="n">
        <f aca="false">Sens!K2027</f>
        <v>165.777991980448</v>
      </c>
    </row>
    <row r="2053" customFormat="false" ht="17.15" hidden="false" customHeight="false" outlineLevel="0" collapsed="false">
      <c r="A2053" s="0" t="s">
        <v>809</v>
      </c>
      <c r="B2053" s="0" t="s">
        <v>95</v>
      </c>
      <c r="D2053" s="6" t="n">
        <f aca="false">Sens!D2026</f>
        <v>0.9</v>
      </c>
      <c r="E2053" s="6" t="n">
        <f aca="false">Sens!E2026</f>
        <v>5.25</v>
      </c>
      <c r="F2053" s="6" t="n">
        <f aca="false">Sens!F2026</f>
        <v>10.5</v>
      </c>
      <c r="G2053" s="6" t="n">
        <f aca="false">Sens!G2026</f>
        <v>13.5</v>
      </c>
      <c r="H2053" s="6" t="n">
        <f aca="false">Sens!H2026</f>
        <v>16.5</v>
      </c>
      <c r="I2053" s="6" t="n">
        <f aca="false">Sens!I2026</f>
        <v>18.75</v>
      </c>
      <c r="J2053" s="6" t="n">
        <f aca="false">Sens!J2026</f>
        <v>20.25</v>
      </c>
      <c r="K2053" s="6" t="n">
        <f aca="false">Sens!K2026</f>
        <v>21.75</v>
      </c>
    </row>
    <row r="2054" customFormat="false" ht="15" hidden="false" customHeight="false" outlineLevel="0" collapsed="false">
      <c r="A2054" s="0" t="s">
        <v>789</v>
      </c>
      <c r="B2054" s="0" t="s">
        <v>95</v>
      </c>
      <c r="D2054" s="6" t="n">
        <f aca="false">Sens!D2030</f>
        <v>35.391</v>
      </c>
      <c r="E2054" s="6" t="n">
        <f aca="false">Sens!E2030</f>
        <v>37.285</v>
      </c>
      <c r="F2054" s="6" t="n">
        <f aca="false">Sens!F2030</f>
        <v>39.0720834331704</v>
      </c>
      <c r="G2054" s="6" t="n">
        <f aca="false">Sens!G2030</f>
        <v>40.726562953769</v>
      </c>
      <c r="H2054" s="6" t="n">
        <f aca="false">Sens!H2030</f>
        <v>42.2235987259198</v>
      </c>
      <c r="I2054" s="6" t="n">
        <f aca="false">Sens!I2030</f>
        <v>43.5397988077414</v>
      </c>
      <c r="J2054" s="6" t="n">
        <f aca="false">Sens!J2030</f>
        <v>44.653811225693</v>
      </c>
      <c r="K2054" s="6" t="n">
        <f aca="false">Sens!K2030</f>
        <v>45.5468874502068</v>
      </c>
    </row>
    <row r="2055" customFormat="false" ht="15" hidden="false" customHeight="false" outlineLevel="0" collapsed="false">
      <c r="A2055" s="0" t="s">
        <v>790</v>
      </c>
      <c r="B2055" s="0" t="s">
        <v>95</v>
      </c>
      <c r="D2055" s="6" t="n">
        <f aca="false">Sens!D2032</f>
        <v>18.417</v>
      </c>
      <c r="E2055" s="6" t="n">
        <f aca="false">Sens!E2032</f>
        <v>20.345</v>
      </c>
      <c r="F2055" s="6" t="n">
        <f aca="false">Sens!F2032</f>
        <v>22.3572203267814</v>
      </c>
      <c r="G2055" s="6" t="n">
        <f aca="false">Sens!G2032</f>
        <v>24.4392124437232</v>
      </c>
      <c r="H2055" s="6" t="n">
        <f aca="false">Sens!H2032</f>
        <v>26.5738052080665</v>
      </c>
      <c r="I2055" s="6" t="n">
        <f aca="false">Sens!I2032</f>
        <v>28.7412169166967</v>
      </c>
      <c r="J2055" s="6" t="n">
        <f aca="false">Sens!J2032</f>
        <v>30.9192545395413</v>
      </c>
      <c r="K2055" s="6" t="n">
        <f aca="false">Sens!K2032</f>
        <v>33.0836023573092</v>
      </c>
    </row>
    <row r="2056" customFormat="false" ht="15" hidden="false" customHeight="false" outlineLevel="0" collapsed="false">
      <c r="A2056" s="0" t="s">
        <v>791</v>
      </c>
      <c r="B2056" s="0" t="s">
        <v>95</v>
      </c>
      <c r="D2056" s="6" t="n">
        <f aca="false">Sens!D2034</f>
        <v>7.76</v>
      </c>
      <c r="E2056" s="6" t="n">
        <f aca="false">Sens!E2034</f>
        <v>8.26</v>
      </c>
      <c r="F2056" s="6" t="n">
        <f aca="false">Sens!F2034</f>
        <v>8.79988041237113</v>
      </c>
      <c r="G2056" s="6" t="n">
        <f aca="false">Sens!G2034</f>
        <v>9.38321269125306</v>
      </c>
      <c r="H2056" s="6" t="n">
        <f aca="false">Sens!H2034</f>
        <v>10.0139193587476</v>
      </c>
      <c r="I2056" s="6" t="n">
        <f aca="false">Sens!I2034</f>
        <v>10.6963111830911</v>
      </c>
      <c r="J2056" s="6" t="n">
        <f aca="false">Sens!J2034</f>
        <v>11.4351285534696</v>
      </c>
      <c r="K2056" s="6" t="n">
        <f aca="false">Sens!K2034</f>
        <v>12.2355875522124</v>
      </c>
    </row>
    <row r="2057" customFormat="false" ht="15" hidden="false" customHeight="false" outlineLevel="0" collapsed="false">
      <c r="A2057" s="0" t="s">
        <v>626</v>
      </c>
      <c r="B2057" s="0" t="s">
        <v>95</v>
      </c>
      <c r="D2057" s="6" t="n">
        <f aca="false">Sens!D2036</f>
        <v>218.783</v>
      </c>
      <c r="E2057" s="6" t="n">
        <f aca="false">Sens!E2036</f>
        <v>268.127</v>
      </c>
      <c r="F2057" s="6" t="n">
        <f aca="false">Sens!F2036</f>
        <v>328.363433064856</v>
      </c>
      <c r="G2057" s="6" t="n">
        <f aca="false">Sens!G2036</f>
        <v>389.269865673274</v>
      </c>
      <c r="H2057" s="6" t="n">
        <f aca="false">Sens!H2036</f>
        <v>445.756320871193</v>
      </c>
      <c r="I2057" s="6" t="n">
        <f aca="false">Sens!I2036</f>
        <v>507.913725227984</v>
      </c>
      <c r="J2057" s="6" t="n">
        <f aca="false">Sens!J2036</f>
        <v>567.216533091392</v>
      </c>
      <c r="K2057" s="6" t="n">
        <f aca="false">Sens!K2036</f>
        <v>623.027603978669</v>
      </c>
    </row>
    <row r="2058" customFormat="false" ht="15" hidden="false" customHeight="false" outlineLevel="0" collapsed="false">
      <c r="A2058" s="0" t="s">
        <v>792</v>
      </c>
      <c r="B2058" s="0" t="s">
        <v>95</v>
      </c>
      <c r="D2058" s="6" t="n">
        <f aca="false">Sens!D2037</f>
        <v>22.171</v>
      </c>
      <c r="E2058" s="6" t="n">
        <f aca="false">Sens!E2037</f>
        <v>24.835</v>
      </c>
      <c r="F2058" s="6" t="n">
        <f aca="false">Sens!F2037</f>
        <v>27.6114901218559</v>
      </c>
      <c r="G2058" s="6" t="n">
        <f aca="false">Sens!G2037</f>
        <v>30.4675667338515</v>
      </c>
      <c r="H2058" s="6" t="n">
        <f aca="false">Sens!H2037</f>
        <v>33.3643766955789</v>
      </c>
      <c r="I2058" s="6" t="n">
        <f aca="false">Sens!I2037</f>
        <v>36.2577016533691</v>
      </c>
      <c r="J2058" s="6" t="n">
        <f aca="false">Sens!J2037</f>
        <v>39.0988367952171</v>
      </c>
      <c r="K2058" s="6" t="n">
        <f aca="false">Sens!K2037</f>
        <v>41.8357553708823</v>
      </c>
    </row>
    <row r="2059" customFormat="false" ht="15" hidden="false" customHeight="false" outlineLevel="0" collapsed="false">
      <c r="A2059" s="0" t="s">
        <v>793</v>
      </c>
      <c r="B2059" s="0" t="s">
        <v>95</v>
      </c>
      <c r="D2059" s="6" t="n">
        <f aca="false">Sens!D2039</f>
        <v>23.455</v>
      </c>
      <c r="E2059" s="6" t="n">
        <f aca="false">Sens!E2039</f>
        <v>21.79</v>
      </c>
      <c r="F2059" s="6" t="n">
        <f aca="false">Sens!F2039</f>
        <v>20.5736277908051</v>
      </c>
      <c r="G2059" s="6" t="n">
        <f aca="false">Sens!G2039</f>
        <v>19.7371452817919</v>
      </c>
      <c r="H2059" s="6" t="n">
        <f aca="false">Sens!H2039</f>
        <v>19.2339764043138</v>
      </c>
      <c r="I2059" s="6" t="n">
        <f aca="false">Sens!I2039</f>
        <v>19.0353086852681</v>
      </c>
      <c r="J2059" s="6" t="n">
        <f aca="false">Sens!J2039</f>
        <v>19.1273539319129</v>
      </c>
      <c r="K2059" s="6" t="n">
        <f aca="false">Sens!K2039</f>
        <v>19.5099010105511</v>
      </c>
    </row>
    <row r="2060" customFormat="false" ht="15" hidden="false" customHeight="false" outlineLevel="0" collapsed="false">
      <c r="A2060" s="0" t="s">
        <v>794</v>
      </c>
      <c r="B2060" s="0" t="s">
        <v>95</v>
      </c>
      <c r="D2060" s="6" t="n">
        <f aca="false">Sens!D2041</f>
        <v>17.315</v>
      </c>
      <c r="E2060" s="6" t="n">
        <f aca="false">Sens!E2041</f>
        <v>17.087</v>
      </c>
      <c r="F2060" s="6" t="n">
        <f aca="false">Sens!F2041</f>
        <v>16.9564585436519</v>
      </c>
      <c r="G2060" s="6" t="n">
        <f aca="false">Sens!G2041</f>
        <v>16.9206490624268</v>
      </c>
      <c r="H2060" s="6" t="n">
        <f aca="false">Sens!H2041</f>
        <v>16.9784519149849</v>
      </c>
      <c r="I2060" s="6" t="n">
        <f aca="false">Sens!I2041</f>
        <v>17.1303084701817</v>
      </c>
      <c r="J2060" s="6" t="n">
        <f aca="false">Sens!J2041</f>
        <v>17.3782189407267</v>
      </c>
      <c r="K2060" s="6" t="n">
        <f aca="false">Sens!K2041</f>
        <v>17.7257833195413</v>
      </c>
    </row>
    <row r="2061" customFormat="false" ht="15" hidden="false" customHeight="false" outlineLevel="0" collapsed="false">
      <c r="A2061" s="0" t="s">
        <v>640</v>
      </c>
      <c r="B2061" s="0" t="s">
        <v>95</v>
      </c>
      <c r="D2061" s="6" t="n">
        <f aca="false">Sens!D2043</f>
        <v>62.941</v>
      </c>
      <c r="E2061" s="6" t="n">
        <f aca="false">Sens!E2043</f>
        <v>63.712</v>
      </c>
      <c r="F2061" s="6" t="n">
        <f aca="false">Sens!F2043</f>
        <v>65.1415764563129</v>
      </c>
      <c r="G2061" s="6" t="n">
        <f aca="false">Sens!G2043</f>
        <v>67.1253610780702</v>
      </c>
      <c r="H2061" s="6" t="n">
        <f aca="false">Sens!H2043</f>
        <v>69.5768050148776</v>
      </c>
      <c r="I2061" s="6" t="n">
        <f aca="false">Sens!I2043</f>
        <v>72.4233188088189</v>
      </c>
      <c r="J2061" s="6" t="n">
        <f aca="false">Sens!J2043</f>
        <v>75.6044096678567</v>
      </c>
      <c r="K2061" s="6" t="n">
        <f aca="false">Sens!K2043</f>
        <v>79.0714397009747</v>
      </c>
    </row>
    <row r="2062" customFormat="false" ht="15" hidden="false" customHeight="false" outlineLevel="0" collapsed="false">
      <c r="A2062" s="1" t="s">
        <v>810</v>
      </c>
      <c r="B2062" s="0" t="s">
        <v>95</v>
      </c>
      <c r="D2062" s="6" t="n">
        <f aca="false">Sens!D2044</f>
        <v>281.724</v>
      </c>
      <c r="E2062" s="6" t="n">
        <f aca="false">Sens!E2044</f>
        <v>331.839</v>
      </c>
      <c r="F2062" s="6" t="n">
        <f aca="false">Sens!F2044</f>
        <v>393.505009521169</v>
      </c>
      <c r="G2062" s="6" t="n">
        <f aca="false">Sens!G2044</f>
        <v>456.395226751344</v>
      </c>
      <c r="H2062" s="6" t="n">
        <f aca="false">Sens!H2044</f>
        <v>515.333125886071</v>
      </c>
      <c r="I2062" s="6" t="n">
        <f aca="false">Sens!I2044</f>
        <v>580.337044036803</v>
      </c>
      <c r="J2062" s="6" t="n">
        <f aca="false">Sens!J2044</f>
        <v>642.820942759249</v>
      </c>
      <c r="K2062" s="6" t="n">
        <f aca="false">Sens!K2044</f>
        <v>702.099043679644</v>
      </c>
    </row>
    <row r="2063" customFormat="false" ht="15" hidden="false" customHeight="false" outlineLevel="0" collapsed="false">
      <c r="A2063" s="1" t="s">
        <v>811</v>
      </c>
      <c r="B2063" s="0" t="s">
        <v>126</v>
      </c>
      <c r="E2063" s="7" t="n">
        <f aca="false">Sens!E2062/Sens!D2062-1</f>
        <v>0.177886867998467</v>
      </c>
      <c r="F2063" s="7" t="n">
        <f aca="false">Sens!F2062/Sens!E2062-1</f>
        <v>0.185831109427067</v>
      </c>
      <c r="G2063" s="7" t="n">
        <f aca="false">Sens!G2062/Sens!F2062-1</f>
        <v>0.159820626697237</v>
      </c>
      <c r="H2063" s="7" t="n">
        <f aca="false">Sens!H2062/Sens!G2062-1</f>
        <v>0.129137851756801</v>
      </c>
      <c r="I2063" s="7" t="n">
        <f aca="false">Sens!I2062/Sens!H2062-1</f>
        <v>0.126139607344208</v>
      </c>
      <c r="J2063" s="7" t="n">
        <f aca="false">Sens!J2062/Sens!I2062-1</f>
        <v>0.107668292700756</v>
      </c>
      <c r="K2063" s="7" t="n">
        <f aca="false">Sens!K2062/Sens!J2062-1</f>
        <v>0.0922155719848661</v>
      </c>
    </row>
    <row r="2064" customFormat="false" ht="17.15" hidden="false" customHeight="false" outlineLevel="0" collapsed="false">
      <c r="A2064" s="22" t="s">
        <v>812</v>
      </c>
      <c r="B2064" s="28" t="s">
        <v>95</v>
      </c>
      <c r="C2064" s="28"/>
      <c r="D2064" s="23" t="n">
        <f aca="false">(Sens!D2057+Sens!D2061-Sens!D2062)+(Sens!D2049+Sens!D2050-Sens!D2048)+(Sens!D2052+Sens!D2053-Sens!D2051)+(Sens!D2062-Q!L18)</f>
        <v>0</v>
      </c>
      <c r="E2064" s="23" t="n">
        <f aca="false">(Sens!E2057+Sens!E2061-Sens!E2062)+(Sens!E2049+Sens!E2050-Sens!E2048)+(Sens!E2052+Sens!E2053-Sens!E2051)+(Sens!E2062-Q!M18)</f>
        <v>0</v>
      </c>
      <c r="F2064" s="23" t="n">
        <f aca="false">(Sens!F2057+Sens!F2061-Sens!F2062)+(Sens!F2049+Sens!F2050-Sens!F2048)+(Sens!F2052+Sens!F2053-Sens!F2051)</f>
        <v>0</v>
      </c>
      <c r="G2064" s="23" t="n">
        <f aca="false">(Sens!G2057+Sens!G2061-Sens!G2062)+(Sens!G2049+Sens!G2050-Sens!G2048)+(Sens!G2052+Sens!G2053-Sens!G2051)</f>
        <v>0</v>
      </c>
      <c r="H2064" s="23" t="n">
        <f aca="false">(Sens!H2057+Sens!H2061-Sens!H2062)+(Sens!H2049+Sens!H2050-Sens!H2048)+(Sens!H2052+Sens!H2053-Sens!H2051)</f>
        <v>0</v>
      </c>
      <c r="I2064" s="23" t="n">
        <f aca="false">(Sens!I2057+Sens!I2061-Sens!I2062)+(Sens!I2049+Sens!I2050-Sens!I2048)+(Sens!I2052+Sens!I2053-Sens!I2051)</f>
        <v>0</v>
      </c>
      <c r="J2064" s="23" t="n">
        <f aca="false">(Sens!J2057+Sens!J2061-Sens!J2062)+(Sens!J2049+Sens!J2050-Sens!J2048)+(Sens!J2052+Sens!J2053-Sens!J2051)</f>
        <v>0</v>
      </c>
      <c r="K2064" s="23" t="n">
        <f aca="false">(Sens!K2057+Sens!K2061-Sens!K2062)+(Sens!K2049+Sens!K2050-Sens!K2048)+(Sens!K2052+Sens!K2053-Sens!K2051)</f>
        <v>0</v>
      </c>
    </row>
    <row r="2065" customFormat="false" ht="17.15" hidden="false" customHeight="false" outlineLevel="0" collapsed="false">
      <c r="A2065" s="0" t="s">
        <v>813</v>
      </c>
      <c r="B2065" s="0" t="s">
        <v>126</v>
      </c>
      <c r="E2065" s="7" t="n">
        <f aca="false">(Q!M21+Sens!E2002+Sens!E2003+Sens!E2004+Sens!E2017-Sens!E2000)/(Q!M5-Sens!E2000)</f>
        <v>0.550623586919075</v>
      </c>
      <c r="F2065" s="7" t="n">
        <f aca="false">Sens!$E$2065+dm_seg</f>
        <v>0.550623586919075</v>
      </c>
      <c r="G2065" s="7" t="n">
        <f aca="false">Sens!$E$2065+dm_seg</f>
        <v>0.550623586919075</v>
      </c>
      <c r="H2065" s="7" t="n">
        <f aca="false">Sens!$E$2065+dm_seg</f>
        <v>0.550623586919075</v>
      </c>
      <c r="I2065" s="7" t="n">
        <f aca="false">Sens!$E$2065+dm_seg</f>
        <v>0.550623586919075</v>
      </c>
      <c r="J2065" s="7" t="n">
        <f aca="false">Sens!$E$2065+dm_seg</f>
        <v>0.550623586919075</v>
      </c>
      <c r="K2065" s="7" t="n">
        <f aca="false">Sens!$E$2065+dm_seg</f>
        <v>0.550623586919075</v>
      </c>
      <c r="L2065" s="11" t="s">
        <v>814</v>
      </c>
    </row>
    <row r="2066" customFormat="false" ht="17.15" hidden="false" customHeight="false" outlineLevel="0" collapsed="false">
      <c r="A2066" s="0" t="s">
        <v>654</v>
      </c>
      <c r="B2066" s="0" t="s">
        <v>95</v>
      </c>
      <c r="D2066" s="6" t="n">
        <f aca="false">Q!L21</f>
        <v>110.814</v>
      </c>
      <c r="E2066" s="6" t="n">
        <f aca="false">Q!M21</f>
        <v>136.365</v>
      </c>
      <c r="F2066" s="6" t="n">
        <f aca="false">Sens!F2065*(Sens!F2036-Sens!F2000)+Sens!F2000-(Sens!F2002+Sens!F2003+Sens!F2004)-Sens!F2017</f>
        <v>154.084615668177</v>
      </c>
      <c r="G2066" s="6" t="n">
        <f aca="false">Sens!G2065*(Sens!G2036-Sens!G2000)+Sens!G2000-(Sens!G2002+Sens!G2003+Sens!G2004)-Sens!G2017</f>
        <v>165.769858617031</v>
      </c>
      <c r="H2066" s="6" t="n">
        <f aca="false">Sens!H2065*(Sens!H2036-Sens!H2000)+Sens!H2000-(Sens!H2002+Sens!H2003+Sens!H2004)-Sens!H2017</f>
        <v>175.000571398041</v>
      </c>
      <c r="I2066" s="6" t="n">
        <f aca="false">Sens!I2065*(Sens!I2036-Sens!I2000)+Sens!I2000-(Sens!I2002+Sens!I2003+Sens!I2004)-Sens!I2017</f>
        <v>189.783262914579</v>
      </c>
      <c r="J2066" s="6" t="n">
        <f aca="false">Sens!J2065*(Sens!J2036-Sens!J2000)+Sens!J2000-(Sens!J2002+Sens!J2003+Sens!J2004)-Sens!J2017</f>
        <v>202.232723026526</v>
      </c>
      <c r="K2066" s="6" t="n">
        <f aca="false">Sens!K2065*(Sens!K2036-Sens!K2000)+Sens!K2000-(Sens!K2002+Sens!K2003+Sens!K2004)-Sens!K2017</f>
        <v>211.739136099344</v>
      </c>
      <c r="L2066" s="1" t="s">
        <v>815</v>
      </c>
    </row>
    <row r="2067" customFormat="false" ht="17.15" hidden="false" customHeight="false" outlineLevel="0" collapsed="false">
      <c r="A2067" s="0" t="s">
        <v>816</v>
      </c>
      <c r="B2067" s="0" t="s">
        <v>126</v>
      </c>
      <c r="E2067" s="7" t="n">
        <f aca="false">Q!M22/Q!M12</f>
        <v>0.296207935710698</v>
      </c>
      <c r="F2067" s="7" t="n">
        <f aca="false">Sens!$E$2067+dm_seg</f>
        <v>0.296207935710698</v>
      </c>
      <c r="G2067" s="7" t="n">
        <f aca="false">Sens!$E$2067+dm_seg</f>
        <v>0.296207935710698</v>
      </c>
      <c r="H2067" s="7" t="n">
        <f aca="false">Sens!$E$2067+dm_seg</f>
        <v>0.296207935710698</v>
      </c>
      <c r="I2067" s="7" t="n">
        <f aca="false">Sens!$E$2067+dm_seg</f>
        <v>0.296207935710698</v>
      </c>
      <c r="J2067" s="7" t="n">
        <f aca="false">Sens!$E$2067+dm_seg</f>
        <v>0.296207935710698</v>
      </c>
      <c r="K2067" s="7" t="n">
        <f aca="false">Sens!$E$2067+dm_seg</f>
        <v>0.296207935710698</v>
      </c>
      <c r="L2067" s="11" t="s">
        <v>817</v>
      </c>
    </row>
    <row r="2068" customFormat="false" ht="17.15" hidden="false" customHeight="false" outlineLevel="0" collapsed="false">
      <c r="A2068" s="0" t="s">
        <v>656</v>
      </c>
      <c r="B2068" s="0" t="s">
        <v>95</v>
      </c>
      <c r="D2068" s="6" t="n">
        <f aca="false">Q!L22</f>
        <v>17.714</v>
      </c>
      <c r="E2068" s="6" t="n">
        <f aca="false">Q!M22</f>
        <v>18.872</v>
      </c>
      <c r="F2068" s="6" t="n">
        <f aca="false">Sens!F2043*Sens!F2067</f>
        <v>19.2954518910651</v>
      </c>
      <c r="G2068" s="6" t="n">
        <f aca="false">Sens!G2043*Sens!G2067</f>
        <v>19.8830646387704</v>
      </c>
      <c r="H2068" s="6" t="n">
        <f aca="false">Sens!H2043*Sens!H2067</f>
        <v>20.6092017868026</v>
      </c>
      <c r="I2068" s="6" t="n">
        <f aca="false">Sens!I2043*Sens!I2067</f>
        <v>21.452361761678</v>
      </c>
      <c r="J2068" s="6" t="n">
        <f aca="false">Sens!J2043*Sens!J2067</f>
        <v>22.3946261183418</v>
      </c>
      <c r="K2068" s="6" t="n">
        <f aca="false">Sens!K2043*Sens!K2067</f>
        <v>23.4215879274986</v>
      </c>
    </row>
    <row r="2069" customFormat="false" ht="15" hidden="false" customHeight="false" outlineLevel="0" collapsed="false">
      <c r="A2069" s="1" t="s">
        <v>818</v>
      </c>
      <c r="B2069" s="0" t="s">
        <v>95</v>
      </c>
      <c r="D2069" s="6" t="n">
        <f aca="false">Sens!D2066+Sens!D2068</f>
        <v>128.528</v>
      </c>
      <c r="E2069" s="6" t="n">
        <f aca="false">Sens!E2066+Sens!E2068</f>
        <v>155.237</v>
      </c>
      <c r="F2069" s="6" t="n">
        <f aca="false">Sens!F2066+Sens!F2068</f>
        <v>173.380067559242</v>
      </c>
      <c r="G2069" s="6" t="n">
        <f aca="false">Sens!G2066+Sens!G2068</f>
        <v>185.652923255801</v>
      </c>
      <c r="H2069" s="6" t="n">
        <f aca="false">Sens!H2066+Sens!H2068</f>
        <v>195.609773184844</v>
      </c>
      <c r="I2069" s="6" t="n">
        <f aca="false">Sens!I2066+Sens!I2068</f>
        <v>211.235624676257</v>
      </c>
      <c r="J2069" s="6" t="n">
        <f aca="false">Sens!J2066+Sens!J2068</f>
        <v>224.627349144868</v>
      </c>
      <c r="K2069" s="6" t="n">
        <f aca="false">Sens!K2066+Sens!K2068</f>
        <v>235.160724026843</v>
      </c>
    </row>
    <row r="2070" customFormat="false" ht="15" hidden="false" customHeight="false" outlineLevel="0" collapsed="false">
      <c r="A2070" s="22" t="s">
        <v>819</v>
      </c>
      <c r="B2070" s="28" t="s">
        <v>95</v>
      </c>
      <c r="C2070" s="28"/>
      <c r="D2070" s="23" t="n">
        <f aca="false">Sens!D2069-Q!L23</f>
        <v>0</v>
      </c>
      <c r="E2070" s="23" t="n">
        <f aca="false">Sens!E2069-Q!M23</f>
        <v>0</v>
      </c>
      <c r="F2070" s="28"/>
      <c r="G2070" s="28"/>
      <c r="H2070" s="28"/>
      <c r="I2070" s="28"/>
      <c r="J2070" s="28"/>
      <c r="K2070" s="28"/>
    </row>
    <row r="2071" customFormat="false" ht="15" hidden="false" customHeight="false" outlineLevel="0" collapsed="false">
      <c r="A2071" s="1" t="s">
        <v>820</v>
      </c>
      <c r="B2071" s="0" t="s">
        <v>126</v>
      </c>
      <c r="D2071" s="7" t="n">
        <f aca="false">Sens!D2069/Sens!D2062</f>
        <v>0.456219562408598</v>
      </c>
      <c r="E2071" s="7" t="n">
        <f aca="false">Sens!E2069/Sens!E2062</f>
        <v>0.467808184089272</v>
      </c>
      <c r="F2071" s="7" t="n">
        <f aca="false">Sens!F2069/Sens!F2062</f>
        <v>0.440604473549696</v>
      </c>
      <c r="G2071" s="7" t="n">
        <f aca="false">Sens!G2069/Sens!G2062</f>
        <v>0.406781036202532</v>
      </c>
      <c r="H2071" s="7" t="n">
        <f aca="false">Sens!H2069/Sens!H2062</f>
        <v>0.379579272821846</v>
      </c>
      <c r="I2071" s="7" t="n">
        <f aca="false">Sens!I2069/Sens!I2062</f>
        <v>0.363987835770244</v>
      </c>
      <c r="J2071" s="7" t="n">
        <f aca="false">Sens!J2069/Sens!J2062</f>
        <v>0.3494399982998</v>
      </c>
      <c r="K2071" s="7" t="n">
        <f aca="false">Sens!K2069/Sens!K2062</f>
        <v>0.334939530460524</v>
      </c>
    </row>
    <row r="2072" customFormat="false" ht="17.15" hidden="false" customHeight="false" outlineLevel="0" collapsed="false">
      <c r="A2072" s="1" t="s">
        <v>821</v>
      </c>
      <c r="B2072" s="0" t="s">
        <v>95</v>
      </c>
      <c r="E2072" s="6" t="n">
        <f aca="false">Sens!E2017</f>
        <v>13.0443247816667</v>
      </c>
      <c r="F2072" s="6" t="n">
        <f aca="false">Sens!F2017</f>
        <v>30.6152725775365</v>
      </c>
      <c r="G2072" s="6" t="n">
        <f aca="false">Sens!G2017</f>
        <v>54.0510750339529</v>
      </c>
      <c r="H2072" s="6" t="n">
        <f aca="false">Sens!H2017</f>
        <v>75.8395412201929</v>
      </c>
      <c r="I2072" s="6" t="n">
        <f aca="false">Sens!I2017</f>
        <v>98.4434338185796</v>
      </c>
      <c r="J2072" s="6" t="n">
        <f aca="false">Sens!J2017</f>
        <v>121.8251107923</v>
      </c>
      <c r="K2072" s="6" t="n">
        <f aca="false">Sens!K2017</f>
        <v>146.236826533353</v>
      </c>
    </row>
    <row r="2073" customFormat="false" ht="17.15" hidden="false" customHeight="false" outlineLevel="0" collapsed="false">
      <c r="A2073" s="1" t="s">
        <v>822</v>
      </c>
      <c r="B2073" s="0" t="s">
        <v>95</v>
      </c>
      <c r="E2073" s="6" t="n">
        <f aca="false">Sens!E2093</f>
        <v>25.4896752183333</v>
      </c>
      <c r="F2073" s="6" t="n">
        <f aca="false">Sens!F2093</f>
        <v>26.4836424194562</v>
      </c>
      <c r="G2073" s="6" t="n">
        <f aca="false">Sens!G2093</f>
        <v>27.9055675345495</v>
      </c>
      <c r="H2073" s="6" t="n">
        <f aca="false">Sens!H2093</f>
        <v>29.7211621455036</v>
      </c>
      <c r="I2073" s="6" t="n">
        <f aca="false">Sens!I2093</f>
        <v>31.8713859621176</v>
      </c>
      <c r="J2073" s="6" t="n">
        <f aca="false">Sens!J2093</f>
        <v>34.2798386909432</v>
      </c>
      <c r="K2073" s="6" t="n">
        <f aca="false">Sens!K2093</f>
        <v>36.8612250960483</v>
      </c>
    </row>
    <row r="2074" customFormat="false" ht="17.15" hidden="false" customHeight="false" outlineLevel="0" collapsed="false">
      <c r="A2074" s="1" t="s">
        <v>823</v>
      </c>
      <c r="B2074" s="0" t="s">
        <v>95</v>
      </c>
      <c r="D2074" s="6" t="n">
        <f aca="false">Q!L27</f>
        <v>-4.901</v>
      </c>
      <c r="E2074" s="6" t="n">
        <f aca="false">Q!M27</f>
        <v>10.697</v>
      </c>
      <c r="F2074" s="6" t="n">
        <f aca="false">oie_f</f>
        <v>-0.4</v>
      </c>
      <c r="G2074" s="6" t="n">
        <f aca="false">oie_f</f>
        <v>-0.4</v>
      </c>
      <c r="H2074" s="6" t="n">
        <f aca="false">oie_f</f>
        <v>-0.4</v>
      </c>
      <c r="I2074" s="6" t="n">
        <f aca="false">oie_f</f>
        <v>-0.4</v>
      </c>
      <c r="J2074" s="6" t="n">
        <f aca="false">oie_f</f>
        <v>-0.4</v>
      </c>
      <c r="K2074" s="6" t="n">
        <f aca="false">oie_f</f>
        <v>-0.4</v>
      </c>
      <c r="L2074" s="11" t="s">
        <v>824</v>
      </c>
    </row>
    <row r="2075" customFormat="false" ht="15" hidden="false" customHeight="false" outlineLevel="0" collapsed="false">
      <c r="A2075" s="1" t="s">
        <v>666</v>
      </c>
      <c r="B2075" s="0" t="s">
        <v>95</v>
      </c>
      <c r="D2075" s="6" t="n">
        <f aca="false">Sens!D2069+Sens!D2074</f>
        <v>123.627</v>
      </c>
      <c r="E2075" s="6" t="n">
        <f aca="false">Sens!E2069+Sens!E2074</f>
        <v>165.934</v>
      </c>
      <c r="F2075" s="6" t="n">
        <f aca="false">Sens!F2069+Sens!F2074</f>
        <v>172.980067559242</v>
      </c>
      <c r="G2075" s="6" t="n">
        <f aca="false">Sens!G2069+Sens!G2074</f>
        <v>185.252923255801</v>
      </c>
      <c r="H2075" s="6" t="n">
        <f aca="false">Sens!H2069+Sens!H2074</f>
        <v>195.209773184844</v>
      </c>
      <c r="I2075" s="6" t="n">
        <f aca="false">Sens!I2069+Sens!I2074</f>
        <v>210.835624676257</v>
      </c>
      <c r="J2075" s="6" t="n">
        <f aca="false">Sens!J2069+Sens!J2074</f>
        <v>224.227349144868</v>
      </c>
      <c r="K2075" s="6" t="n">
        <f aca="false">Sens!K2069+Sens!K2074</f>
        <v>234.760724026843</v>
      </c>
    </row>
    <row r="2076" customFormat="false" ht="15" hidden="false" customHeight="false" outlineLevel="0" collapsed="false">
      <c r="A2076" s="1" t="s">
        <v>668</v>
      </c>
      <c r="B2076" s="0" t="s">
        <v>95</v>
      </c>
      <c r="D2076" s="6" t="n">
        <f aca="false">Q!L29</f>
        <v>21.795</v>
      </c>
      <c r="E2076" s="6" t="n">
        <f aca="false">Q!M29</f>
        <v>32.185</v>
      </c>
      <c r="F2076" s="6" t="n">
        <f aca="false">Sens!F2075*tax_f</f>
        <v>34.5960135118485</v>
      </c>
      <c r="G2076" s="6" t="n">
        <f aca="false">Sens!G2075*tax_f</f>
        <v>37.0505846511603</v>
      </c>
      <c r="H2076" s="6" t="n">
        <f aca="false">Sens!H2075*tax_f</f>
        <v>39.0419546369687</v>
      </c>
      <c r="I2076" s="6" t="n">
        <f aca="false">Sens!I2075*tax_f</f>
        <v>42.1671249352514</v>
      </c>
      <c r="J2076" s="6" t="n">
        <f aca="false">Sens!J2075*tax_f</f>
        <v>44.8454698289736</v>
      </c>
      <c r="K2076" s="6" t="n">
        <f aca="false">Sens!K2075*tax_f</f>
        <v>46.9521448053686</v>
      </c>
    </row>
    <row r="2077" customFormat="false" ht="15" hidden="false" customHeight="false" outlineLevel="0" collapsed="false">
      <c r="A2077" s="1" t="s">
        <v>825</v>
      </c>
      <c r="B2077" s="0" t="s">
        <v>95</v>
      </c>
      <c r="D2077" s="6" t="n">
        <f aca="false">Sens!D2075-Sens!D2076</f>
        <v>101.832</v>
      </c>
      <c r="E2077" s="6" t="n">
        <f aca="false">Sens!E2075-Sens!E2076</f>
        <v>133.749</v>
      </c>
      <c r="F2077" s="6" t="n">
        <f aca="false">Sens!F2075-Sens!F2076</f>
        <v>138.384054047394</v>
      </c>
      <c r="G2077" s="6" t="n">
        <f aca="false">Sens!G2075-Sens!G2076</f>
        <v>148.202338604641</v>
      </c>
      <c r="H2077" s="6" t="n">
        <f aca="false">Sens!H2075-Sens!H2076</f>
        <v>156.167818547875</v>
      </c>
      <c r="I2077" s="6" t="n">
        <f aca="false">Sens!I2075-Sens!I2076</f>
        <v>168.668499741005</v>
      </c>
      <c r="J2077" s="6" t="n">
        <f aca="false">Sens!J2075-Sens!J2076</f>
        <v>179.381879315894</v>
      </c>
      <c r="K2077" s="6" t="n">
        <f aca="false">Sens!K2075-Sens!K2076</f>
        <v>187.808579221474</v>
      </c>
    </row>
    <row r="2078" customFormat="false" ht="17.15" hidden="false" customHeight="false" outlineLevel="0" collapsed="false">
      <c r="A2078" s="1" t="s">
        <v>826</v>
      </c>
      <c r="B2078" s="1" t="s">
        <v>79</v>
      </c>
      <c r="D2078" s="18" t="n">
        <f aca="false">Q!L31</f>
        <v>7.465</v>
      </c>
      <c r="E2078" s="18" t="n">
        <f aca="false">Q!M31</f>
        <v>7.453</v>
      </c>
      <c r="F2078" s="18" t="n">
        <f aca="false">Sens!F2115</f>
        <v>7.4735</v>
      </c>
      <c r="G2078" s="18" t="n">
        <f aca="false">Sens!G2115</f>
        <v>7.49987171271795</v>
      </c>
      <c r="H2078" s="18" t="n">
        <f aca="false">Sens!H2115</f>
        <v>7.50899501128585</v>
      </c>
      <c r="I2078" s="18" t="n">
        <f aca="false">Sens!I2115</f>
        <v>7.52077584329316</v>
      </c>
      <c r="J2078" s="18" t="n">
        <f aca="false">Sens!J2115</f>
        <v>7.53501735441104</v>
      </c>
      <c r="K2078" s="18" t="n">
        <f aca="false">Sens!K2115</f>
        <v>7.55153727211278</v>
      </c>
    </row>
    <row r="2079" customFormat="false" ht="17.15" hidden="false" customHeight="false" outlineLevel="0" collapsed="false">
      <c r="A2079" s="0" t="s">
        <v>827</v>
      </c>
      <c r="B2079" s="0" t="s">
        <v>73</v>
      </c>
      <c r="D2079" s="8" t="n">
        <f aca="false">Sens!D2077/Sens!D2078</f>
        <v>13.641259209645</v>
      </c>
      <c r="E2079" s="8" t="n">
        <f aca="false">Sens!E2077/Sens!E2078</f>
        <v>17.9456594659869</v>
      </c>
      <c r="F2079" s="8" t="n">
        <f aca="false">Sens!F2077/Sens!F2078</f>
        <v>18.516632641653</v>
      </c>
      <c r="G2079" s="8" t="n">
        <f aca="false">Sens!G2077/Sens!G2078</f>
        <v>19.7606498192931</v>
      </c>
      <c r="H2079" s="8" t="n">
        <f aca="false">Sens!H2077/Sens!H2078</f>
        <v>20.797432720778</v>
      </c>
      <c r="I2079" s="8" t="n">
        <f aca="false">Sens!I2077/Sens!I2078</f>
        <v>22.4270079650652</v>
      </c>
      <c r="J2079" s="8" t="n">
        <f aca="false">Sens!J2077/Sens!J2078</f>
        <v>23.8064321392549</v>
      </c>
      <c r="K2079" s="8" t="n">
        <f aca="false">Sens!K2077/Sens!K2078</f>
        <v>24.8702446209246</v>
      </c>
      <c r="L2079" s="1" t="s">
        <v>828</v>
      </c>
    </row>
    <row r="2080" customFormat="false" ht="17.15" hidden="false" customHeight="false" outlineLevel="0" collapsed="false">
      <c r="A2080" s="0" t="s">
        <v>829</v>
      </c>
      <c r="B2080" s="0" t="s">
        <v>126</v>
      </c>
      <c r="E2080" s="7" t="n">
        <f aca="false">Sens!E2079/Sens!D2079-1</f>
        <v>0.315542736208578</v>
      </c>
      <c r="F2080" s="7" t="n">
        <f aca="false">Sens!F2079/Sens!E2079-1</f>
        <v>0.031816784261864</v>
      </c>
      <c r="G2080" s="7" t="n">
        <f aca="false">Sens!G2079/Sens!F2079-1</f>
        <v>0.0671837694096507</v>
      </c>
      <c r="H2080" s="7" t="n">
        <f aca="false">Sens!H2079/Sens!G2079-1</f>
        <v>0.0524670449082434</v>
      </c>
      <c r="I2080" s="7" t="n">
        <f aca="false">Sens!I2079/Sens!H2079-1</f>
        <v>0.0783546347361972</v>
      </c>
      <c r="J2080" s="7" t="n">
        <f aca="false">Sens!J2079/Sens!I2079-1</f>
        <v>0.0615072762420417</v>
      </c>
      <c r="K2080" s="7" t="n">
        <f aca="false">Sens!K2079/Sens!J2079-1</f>
        <v>0.0446859267044697</v>
      </c>
    </row>
    <row r="2081" customFormat="false" ht="17.15" hidden="false" customHeight="false" outlineLevel="0" collapsed="false">
      <c r="A2081" s="0" t="s">
        <v>763</v>
      </c>
      <c r="B2081" s="0" t="s">
        <v>95</v>
      </c>
      <c r="E2081" s="6" t="n">
        <f aca="false">Sens!E2026</f>
        <v>5.25</v>
      </c>
      <c r="F2081" s="6" t="n">
        <f aca="false">Sens!F2026</f>
        <v>10.5</v>
      </c>
      <c r="G2081" s="6" t="n">
        <f aca="false">Sens!G2026</f>
        <v>13.5</v>
      </c>
      <c r="H2081" s="6" t="n">
        <f aca="false">Sens!H2026</f>
        <v>16.5</v>
      </c>
      <c r="I2081" s="6" t="n">
        <f aca="false">Sens!I2026</f>
        <v>18.75</v>
      </c>
      <c r="J2081" s="6" t="n">
        <f aca="false">Sens!J2026</f>
        <v>20.25</v>
      </c>
      <c r="K2081" s="6" t="n">
        <f aca="false">Sens!K2026</f>
        <v>21.75</v>
      </c>
    </row>
    <row r="2082" customFormat="false" ht="17.15" hidden="false" customHeight="false" outlineLevel="0" collapsed="false">
      <c r="A2082" s="0" t="s">
        <v>764</v>
      </c>
      <c r="B2082" s="0" t="s">
        <v>95</v>
      </c>
      <c r="E2082" s="6" t="n">
        <f aca="false">Sens!E2006+Sens!E2081*Sens!E2065-Sens!E2007-Sens!E2017</f>
        <v>6.93129354230991</v>
      </c>
      <c r="F2082" s="6" t="n">
        <f aca="false">Sens!F2006+Sens!F2081*Sens!F2065-Sens!F2007-Sens!F2017</f>
        <v>6.95715537240087</v>
      </c>
      <c r="G2082" s="6" t="n">
        <f aca="false">Sens!G2006+Sens!G2081*Sens!G2065-Sens!G2007-Sens!G2017</f>
        <v>0.240524973659127</v>
      </c>
      <c r="H2082" s="6" t="n">
        <f aca="false">Sens!H2006+Sens!H2081*Sens!H2065-Sens!H2007-Sens!H2017</f>
        <v>-9.10629743600612</v>
      </c>
      <c r="I2082" s="6" t="n">
        <f aca="false">Sens!I2006+Sens!I2081*Sens!I2065-Sens!I2007-Sens!I2017</f>
        <v>-12.4305278480243</v>
      </c>
      <c r="J2082" s="6" t="n">
        <f aca="false">Sens!J2006+Sens!J2081*Sens!J2065-Sens!J2007-Sens!J2017</f>
        <v>-16.8933099070586</v>
      </c>
      <c r="K2082" s="6" t="n">
        <f aca="false">Sens!K2006+Sens!K2081*Sens!K2065-Sens!K2007-Sens!K2017</f>
        <v>-22.3554237377333</v>
      </c>
    </row>
    <row r="2083" customFormat="false" ht="17.15" hidden="false" customHeight="false" outlineLevel="0" collapsed="false">
      <c r="A2083" s="0" t="s">
        <v>765</v>
      </c>
      <c r="B2083" s="0" t="s">
        <v>95</v>
      </c>
      <c r="E2083" s="6" t="n">
        <f aca="false">Sens!E1989*(cxit_open+self_build*tk_cxfac)/1000*ai_net_open</f>
        <v>101.35843056</v>
      </c>
      <c r="F2083" s="6" t="n">
        <f aca="false">Sens!E2083+Sens!F2014-Sens!F2017</f>
        <v>239.513810752901</v>
      </c>
      <c r="G2083" s="6" t="n">
        <f aca="false">Sens!F2083+Sens!G2014-Sens!G2017</f>
        <v>332.322080105508</v>
      </c>
      <c r="H2083" s="6" t="n">
        <f aca="false">Sens!G2083+Sens!H2014-Sens!H2017</f>
        <v>406.946767613635</v>
      </c>
      <c r="I2083" s="6" t="n">
        <f aca="false">Sens!H2083+Sens!I2014-Sens!I2017</f>
        <v>483.174502800709</v>
      </c>
      <c r="J2083" s="6" t="n">
        <f aca="false">Sens!I2083+Sens!J2014-Sens!J2017</f>
        <v>548.371040747396</v>
      </c>
      <c r="K2083" s="6" t="n">
        <f aca="false">Sens!J2083+Sens!K2014-Sens!K2017</f>
        <v>625.219263774363</v>
      </c>
      <c r="L2083" s="1" t="s">
        <v>766</v>
      </c>
    </row>
    <row r="2084" customFormat="false" ht="17.15" hidden="false" customHeight="false" outlineLevel="0" collapsed="false">
      <c r="A2084" s="0" t="s">
        <v>767</v>
      </c>
      <c r="B2084" s="0" t="s">
        <v>126</v>
      </c>
      <c r="F2084" s="7" t="n">
        <f aca="false">Sens!F2082*(1-tax_f)/((Sens!E2083+Sens!F2083)/2)</f>
        <v>0.0326557790477969</v>
      </c>
      <c r="G2084" s="7" t="n">
        <f aca="false">Sens!G2082*(1-tax_f)/((Sens!F2083+Sens!G2083)/2)</f>
        <v>0.000672990212763495</v>
      </c>
      <c r="H2084" s="7" t="n">
        <f aca="false">Sens!H2082*(1-tax_f)/((Sens!G2083+Sens!H2083)/2)</f>
        <v>-0.0197087648729723</v>
      </c>
      <c r="I2084" s="7" t="n">
        <f aca="false">Sens!I2082*(1-tax_f)/((Sens!H2083+Sens!I2083)/2)</f>
        <v>-0.0223439717911479</v>
      </c>
      <c r="J2084" s="7" t="n">
        <f aca="false">Sens!J2082*(1-tax_f)/((Sens!I2083+Sens!J2083)/2)</f>
        <v>-0.0262027169041163</v>
      </c>
      <c r="K2084" s="7" t="n">
        <f aca="false">Sens!K2082*(1-tax_f)/((Sens!J2083+Sens!K2083)/2)</f>
        <v>-0.0304779937620131</v>
      </c>
    </row>
    <row r="2085" customFormat="false" ht="17.15" hidden="false" customHeight="false" outlineLevel="0" collapsed="false">
      <c r="A2085" s="1" t="s">
        <v>768</v>
      </c>
      <c r="B2085" s="0" t="s">
        <v>126</v>
      </c>
      <c r="F2085" s="7" t="n">
        <f aca="false">Sens!F2018*(1-tax_f)/(Sens!F2005*(Sens!E2083+Sens!F2083)/2)</f>
        <v>0.0757015814585227</v>
      </c>
      <c r="G2085" s="7" t="n">
        <f aca="false">Sens!G2018*(1-tax_f)/(Sens!G2005*(Sens!F2083+Sens!G2083)/2)</f>
        <v>0.0436943669396363</v>
      </c>
      <c r="H2085" s="7" t="n">
        <f aca="false">Sens!H2018*(1-tax_f)/(Sens!H2005*(Sens!G2083+Sens!H2083)/2)</f>
        <v>0.0242402067734503</v>
      </c>
      <c r="I2085" s="7" t="n">
        <f aca="false">Sens!I2018*(1-tax_f)/(Sens!I2005*(Sens!H2083+Sens!I2083)/2)</f>
        <v>0.0281212124644696</v>
      </c>
      <c r="J2085" s="7" t="n">
        <f aca="false">Sens!J2018*(1-tax_f)/(Sens!J2005*(Sens!I2083+Sens!J2083)/2)</f>
        <v>0.0300678227462326</v>
      </c>
      <c r="K2085" s="7" t="n">
        <f aca="false">Sens!K2018*(1-tax_f)/(Sens!K2005*(Sens!J2083+Sens!K2083)/2)</f>
        <v>0.0301833248728305</v>
      </c>
    </row>
    <row r="2086" customFormat="false" ht="17.15" hidden="false" customHeight="false" outlineLevel="0" collapsed="false">
      <c r="A2086" s="0" t="s">
        <v>769</v>
      </c>
      <c r="B2086" s="0" t="s">
        <v>208</v>
      </c>
      <c r="F2086" s="7" t="n">
        <f aca="false">Sens!F2084-wacc</f>
        <v>-0.0763074421024571</v>
      </c>
      <c r="G2086" s="7" t="n">
        <f aca="false">Sens!G2084-wacc</f>
        <v>-0.10829023093749</v>
      </c>
      <c r="H2086" s="7" t="n">
        <f aca="false">Sens!H2084-wacc</f>
        <v>-0.128671986023226</v>
      </c>
      <c r="I2086" s="7" t="n">
        <f aca="false">Sens!I2084-wacc</f>
        <v>-0.131307192941402</v>
      </c>
      <c r="J2086" s="7" t="n">
        <f aca="false">Sens!J2084-wacc</f>
        <v>-0.13516593805437</v>
      </c>
      <c r="K2086" s="7" t="n">
        <f aca="false">Sens!K2084-wacc</f>
        <v>-0.139441214912267</v>
      </c>
    </row>
    <row r="2087" customFormat="false" ht="17.15" hidden="false" customHeight="false" outlineLevel="0" collapsed="false">
      <c r="A2087" s="0" t="s">
        <v>770</v>
      </c>
      <c r="B2087" s="0" t="s">
        <v>95</v>
      </c>
      <c r="F2087" s="6" t="n">
        <f aca="false">Sens!F2082*(1-tax_f)-wacc*(Sens!E2083+Sens!F2083)/2</f>
        <v>-13.0055444091595</v>
      </c>
      <c r="G2087" s="6" t="n">
        <f aca="false">Sens!G2082*(1-tax_f)-wacc*(Sens!F2083+Sens!G2083)/2</f>
        <v>-30.9621203397014</v>
      </c>
      <c r="H2087" s="6" t="n">
        <f aca="false">Sens!H2082*(1-tax_f)-wacc*(Sens!G2083+Sens!H2083)/2</f>
        <v>-47.5615954205621</v>
      </c>
      <c r="I2087" s="6" t="n">
        <f aca="false">Sens!I2082*(1-tax_f)-wacc*(Sens!H2083+Sens!I2083)/2</f>
        <v>-58.439662697771</v>
      </c>
      <c r="J2087" s="6" t="n">
        <f aca="false">Sens!J2082*(1-tax_f)-wacc*(Sens!I2083+Sens!J2083)/2</f>
        <v>-69.7149105197424</v>
      </c>
      <c r="K2087" s="6" t="n">
        <f aca="false">Sens!K2082*(1-tax_f)-wacc*(Sens!J2083+Sens!K2083)/2</f>
        <v>-81.8234289358858</v>
      </c>
    </row>
    <row r="2088" customFormat="false" ht="17.15" hidden="false" customHeight="false" outlineLevel="0" collapsed="false">
      <c r="A2088" s="1" t="s">
        <v>771</v>
      </c>
      <c r="B2088" s="0" t="s">
        <v>95</v>
      </c>
      <c r="F2088" s="6" t="n">
        <f aca="false">(Sens!E1990+Sens!F1990)/2*Sens!F1997/1000</f>
        <v>13.3936533382984</v>
      </c>
      <c r="G2088" s="6" t="n">
        <f aca="false">(Sens!F1990+Sens!G1990)/2*Sens!G1997/1000</f>
        <v>22.7065908798609</v>
      </c>
      <c r="H2088" s="6" t="n">
        <f aca="false">(Sens!G1990+Sens!H1990)/2*Sens!H1997/1000</f>
        <v>32.6957564678986</v>
      </c>
      <c r="I2088" s="6" t="n">
        <f aca="false">(Sens!H1990+Sens!I1990)/2*Sens!I1997/1000</f>
        <v>42.759370964465</v>
      </c>
      <c r="J2088" s="6" t="n">
        <f aca="false">(Sens!I1990+Sens!J1990)/2*Sens!J1997/1000</f>
        <v>52.8619035975029</v>
      </c>
      <c r="K2088" s="6" t="n">
        <f aca="false">(Sens!J1990+Sens!K1990)/2*Sens!K1997/1000</f>
        <v>62.9873298985075</v>
      </c>
      <c r="L2088" s="1" t="s">
        <v>772</v>
      </c>
    </row>
    <row r="2089" customFormat="false" ht="17.15" hidden="false" customHeight="false" outlineLevel="0" collapsed="false">
      <c r="A2089" s="1" t="s">
        <v>773</v>
      </c>
      <c r="B2089" s="0" t="s">
        <v>126</v>
      </c>
      <c r="F2089" s="7" t="n">
        <f aca="false">(Sens!F2006+Sens!F2088-Sens!F2007-Sens!F2017)*(1-tax_f)/((Sens!E2083+Sens!F2083)/2)</f>
        <v>0.0683857904858856</v>
      </c>
      <c r="G2089" s="7" t="n">
        <f aca="false">(Sens!G2006+Sens!G2088-Sens!G2007-Sens!G2017)*(1-tax_f)/((Sens!F2083+Sens!G2083)/2)</f>
        <v>0.0434074116105561</v>
      </c>
      <c r="H2089" s="7" t="n">
        <f aca="false">(Sens!H2006+Sens!H2088-Sens!H2007-Sens!H2017)*(1-tax_f)/((Sens!G2083+Sens!H2083)/2)</f>
        <v>0.0313913832944044</v>
      </c>
      <c r="I2089" s="7" t="n">
        <f aca="false">(Sens!I2006+Sens!I2088-Sens!I2007-Sens!I2017)*(1-tax_f)/((Sens!H2083+Sens!I2083)/2)</f>
        <v>0.0359585176116886</v>
      </c>
      <c r="J2089" s="7" t="n">
        <f aca="false">(Sens!J2006+Sens!J2088-Sens!J2007-Sens!J2017)*(1-tax_f)/((Sens!I2083+Sens!J2083)/2)</f>
        <v>0.0384951938737943</v>
      </c>
      <c r="K2089" s="7" t="n">
        <f aca="false">(Sens!K2006+Sens!K2088-Sens!K2007-Sens!K2017)*(1-tax_f)/((Sens!J2083+Sens!K2083)/2)</f>
        <v>0.0390675935680455</v>
      </c>
      <c r="L2089" s="1" t="s">
        <v>774</v>
      </c>
    </row>
    <row r="2090" customFormat="false" ht="17.15" hidden="false" customHeight="false" outlineLevel="0" collapsed="false">
      <c r="A2090" s="3" t="s">
        <v>1172</v>
      </c>
    </row>
    <row r="2091" customFormat="false" ht="15" hidden="false" customHeight="false" outlineLevel="0" collapsed="false">
      <c r="A2091" s="4" t="s">
        <v>43</v>
      </c>
      <c r="B2091" s="4" t="s">
        <v>63</v>
      </c>
      <c r="C2091" s="19" t="s">
        <v>710</v>
      </c>
      <c r="D2091" s="19" t="s">
        <v>711</v>
      </c>
      <c r="E2091" s="19" t="s">
        <v>712</v>
      </c>
      <c r="F2091" s="19" t="s">
        <v>713</v>
      </c>
      <c r="G2091" s="19" t="s">
        <v>714</v>
      </c>
      <c r="H2091" s="19" t="s">
        <v>715</v>
      </c>
      <c r="I2091" s="19" t="s">
        <v>716</v>
      </c>
      <c r="J2091" s="19" t="s">
        <v>717</v>
      </c>
      <c r="K2091" s="19" t="s">
        <v>718</v>
      </c>
      <c r="L2091" s="4" t="s">
        <v>47</v>
      </c>
    </row>
    <row r="2092" customFormat="false" ht="15" hidden="false" customHeight="false" outlineLevel="0" collapsed="false">
      <c r="A2092" s="1" t="s">
        <v>825</v>
      </c>
      <c r="B2092" s="0" t="s">
        <v>95</v>
      </c>
      <c r="F2092" s="6" t="n">
        <f aca="false">Sens!F2077</f>
        <v>138.384054047394</v>
      </c>
      <c r="G2092" s="6" t="n">
        <f aca="false">Sens!G2077</f>
        <v>148.202338604641</v>
      </c>
      <c r="H2092" s="6" t="n">
        <f aca="false">Sens!H2077</f>
        <v>156.167818547875</v>
      </c>
      <c r="I2092" s="6" t="n">
        <f aca="false">Sens!I2077</f>
        <v>168.668499741005</v>
      </c>
      <c r="J2092" s="6" t="n">
        <f aca="false">Sens!J2077</f>
        <v>179.381879315894</v>
      </c>
      <c r="K2092" s="6" t="n">
        <f aca="false">Sens!K2077</f>
        <v>187.808579221474</v>
      </c>
    </row>
    <row r="2093" customFormat="false" ht="17.15" hidden="false" customHeight="false" outlineLevel="0" collapsed="false">
      <c r="A2093" s="1" t="s">
        <v>843</v>
      </c>
      <c r="B2093" s="0" t="s">
        <v>95</v>
      </c>
      <c r="E2093" s="6" t="n">
        <f aca="false">Q!M38-Sens!E2017</f>
        <v>25.4896752183333</v>
      </c>
      <c r="F2093" s="6" t="n">
        <f aca="false">Sens!E2093*(1-1/life_nonai)+Sens!F2099/life_nonai</f>
        <v>26.4836424194562</v>
      </c>
      <c r="G2093" s="6" t="n">
        <f aca="false">Sens!F2093*(1-1/life_nonai)+Sens!G2099/life_nonai</f>
        <v>27.9055675345495</v>
      </c>
      <c r="H2093" s="6" t="n">
        <f aca="false">Sens!G2093*(1-1/life_nonai)+Sens!H2099/life_nonai</f>
        <v>29.7211621455036</v>
      </c>
      <c r="I2093" s="6" t="n">
        <f aca="false">Sens!H2093*(1-1/life_nonai)+Sens!I2099/life_nonai</f>
        <v>31.8713859621176</v>
      </c>
      <c r="J2093" s="6" t="n">
        <f aca="false">Sens!I2093*(1-1/life_nonai)+Sens!J2099/life_nonai</f>
        <v>34.2798386909432</v>
      </c>
      <c r="K2093" s="6" t="n">
        <f aca="false">Sens!J2093*(1-1/life_nonai)+Sens!K2099/life_nonai</f>
        <v>36.8612250960483</v>
      </c>
      <c r="L2093" s="11" t="s">
        <v>844</v>
      </c>
    </row>
    <row r="2094" customFormat="false" ht="17.15" hidden="false" customHeight="false" outlineLevel="0" collapsed="false">
      <c r="A2094" s="1" t="s">
        <v>845</v>
      </c>
      <c r="B2094" s="0" t="s">
        <v>95</v>
      </c>
      <c r="E2094" s="6" t="n">
        <f aca="false">Sens!E2017+Sens!E2093</f>
        <v>38.534</v>
      </c>
      <c r="F2094" s="6" t="n">
        <f aca="false">Sens!F2017+Sens!F2093</f>
        <v>57.0989149969927</v>
      </c>
      <c r="G2094" s="6" t="n">
        <f aca="false">Sens!G2017+Sens!G2093</f>
        <v>81.9566425685025</v>
      </c>
      <c r="H2094" s="6" t="n">
        <f aca="false">Sens!H2017+Sens!H2093</f>
        <v>105.560703365696</v>
      </c>
      <c r="I2094" s="6" t="n">
        <f aca="false">Sens!I2017+Sens!I2093</f>
        <v>130.314819780697</v>
      </c>
      <c r="J2094" s="6" t="n">
        <f aca="false">Sens!J2017+Sens!J2093</f>
        <v>156.104949483243</v>
      </c>
      <c r="K2094" s="6" t="n">
        <f aca="false">Sens!K2017+Sens!K2093</f>
        <v>183.098051629401</v>
      </c>
    </row>
    <row r="2095" customFormat="false" ht="15" hidden="false" customHeight="false" outlineLevel="0" collapsed="false">
      <c r="A2095" s="1" t="s">
        <v>685</v>
      </c>
      <c r="B2095" s="0" t="s">
        <v>95</v>
      </c>
      <c r="F2095" s="6" t="n">
        <f aca="false">Sens!F2044*sbc_r</f>
        <v>14.7102349124428</v>
      </c>
      <c r="G2095" s="6" t="n">
        <f aca="false">Sens!G2044*sbc_r</f>
        <v>17.061233875013</v>
      </c>
      <c r="H2095" s="6" t="n">
        <f aca="false">Sens!H2044*sbc_r</f>
        <v>19.2644849659525</v>
      </c>
      <c r="I2095" s="6" t="n">
        <f aca="false">Sens!I2044*sbc_r</f>
        <v>21.6944995352461</v>
      </c>
      <c r="J2095" s="6" t="n">
        <f aca="false">Sens!J2044*sbc_r</f>
        <v>24.0303092612034</v>
      </c>
      <c r="K2095" s="6" t="n">
        <f aca="false">Sens!K2044*sbc_r</f>
        <v>26.2462779746985</v>
      </c>
    </row>
    <row r="2096" customFormat="false" ht="17.15" hidden="false" customHeight="false" outlineLevel="0" collapsed="false">
      <c r="A2096" s="1" t="s">
        <v>846</v>
      </c>
      <c r="B2096" s="0" t="s">
        <v>95</v>
      </c>
      <c r="F2096" s="6" t="n">
        <f aca="false">wc27</f>
        <v>-4.895</v>
      </c>
      <c r="G2096" s="6" t="n">
        <f aca="false">0</f>
        <v>0</v>
      </c>
      <c r="H2096" s="6" t="n">
        <f aca="false">0</f>
        <v>0</v>
      </c>
      <c r="I2096" s="6" t="n">
        <f aca="false">0</f>
        <v>0</v>
      </c>
      <c r="J2096" s="6" t="n">
        <f aca="false">0</f>
        <v>0</v>
      </c>
      <c r="K2096" s="6" t="n">
        <f aca="false">0</f>
        <v>0</v>
      </c>
      <c r="L2096" s="11" t="s">
        <v>847</v>
      </c>
    </row>
    <row r="2097" customFormat="false" ht="15" hidden="false" customHeight="false" outlineLevel="0" collapsed="false">
      <c r="A2097" s="1" t="s">
        <v>678</v>
      </c>
      <c r="B2097" s="0" t="s">
        <v>95</v>
      </c>
      <c r="E2097" s="6" t="n">
        <f aca="false">Q!M35</f>
        <v>182.935</v>
      </c>
      <c r="F2097" s="6" t="n">
        <f aca="false">Sens!F2092+Sens!F2094+Sens!F2095+Sens!F2096</f>
        <v>205.298203956829</v>
      </c>
      <c r="G2097" s="6" t="n">
        <f aca="false">Sens!G2092+Sens!G2094+Sens!G2095+Sens!G2096</f>
        <v>247.220215048156</v>
      </c>
      <c r="H2097" s="6" t="n">
        <f aca="false">Sens!H2092+Sens!H2094+Sens!H2095+Sens!H2096</f>
        <v>280.993006879524</v>
      </c>
      <c r="I2097" s="6" t="n">
        <f aca="false">Sens!I2092+Sens!I2094+Sens!I2095+Sens!I2096</f>
        <v>320.677819056949</v>
      </c>
      <c r="J2097" s="6" t="n">
        <f aca="false">Sens!J2092+Sens!J2094+Sens!J2095+Sens!J2096</f>
        <v>359.517138060341</v>
      </c>
      <c r="K2097" s="6" t="n">
        <f aca="false">Sens!K2092+Sens!K2094+Sens!K2095+Sens!K2096</f>
        <v>397.152908825574</v>
      </c>
    </row>
    <row r="2098" customFormat="false" ht="17.15" hidden="false" customHeight="false" outlineLevel="0" collapsed="false">
      <c r="A2098" s="0" t="s">
        <v>848</v>
      </c>
      <c r="B2098" s="0" t="s">
        <v>95</v>
      </c>
      <c r="F2098" s="6" t="n">
        <f aca="false">Sens!F2014</f>
        <v>168.770652770438</v>
      </c>
      <c r="G2098" s="6" t="n">
        <f aca="false">Sens!G2014</f>
        <v>146.85934438656</v>
      </c>
      <c r="H2098" s="6" t="n">
        <f aca="false">Sens!H2014</f>
        <v>150.46422872832</v>
      </c>
      <c r="I2098" s="6" t="n">
        <f aca="false">Sens!I2014</f>
        <v>174.671169005653</v>
      </c>
      <c r="J2098" s="6" t="n">
        <f aca="false">Sens!J2014</f>
        <v>187.021648738987</v>
      </c>
      <c r="K2098" s="6" t="n">
        <f aca="false">Sens!K2014</f>
        <v>223.08504956032</v>
      </c>
    </row>
    <row r="2099" customFormat="false" ht="17.15" hidden="false" customHeight="false" outlineLevel="0" collapsed="false">
      <c r="A2099" s="1" t="s">
        <v>849</v>
      </c>
      <c r="B2099" s="0" t="s">
        <v>95</v>
      </c>
      <c r="E2099" s="6" t="n">
        <f aca="false">Sens!E2022*cx_azo+Sens!E2029*cx_m365+Sens!E2030*cx_lic+(Sens!E2032+Sens!E2034)*cx_ind+Sens!E2037*cx_srch+(Sens!E2039+Sens!E2041)*cx_dev</f>
        <v>30.1846587067718</v>
      </c>
      <c r="F2099" s="6" t="n">
        <f aca="false">Sens!F2022*cx_azo+Sens!F2029*cx_m365+Sens!F2030*cx_lic+(Sens!F2032+Sens!F2034)*cx_ind+Sens!F2037*cx_srch+(Sens!F2039+Sens!F2041)*cx_dev</f>
        <v>35.4293472295625</v>
      </c>
      <c r="G2099" s="6" t="n">
        <f aca="false">Sens!G2022*cx_azo+Sens!G2029*cx_m365+Sens!G2030*cx_lic+(Sens!G2032+Sens!G2034)*cx_ind+Sens!G2037*cx_srch+(Sens!G2039+Sens!G2041)*cx_dev</f>
        <v>40.7028935703892</v>
      </c>
      <c r="H2099" s="6" t="n">
        <f aca="false">Sens!H2022*cx_azo+Sens!H2029*cx_m365+Sens!H2030*cx_lic+(Sens!H2032+Sens!H2034)*cx_ind+Sens!H2037*cx_srch+(Sens!H2039+Sens!H2041)*cx_dev</f>
        <v>46.0615136440897</v>
      </c>
      <c r="I2099" s="6" t="n">
        <f aca="false">Sens!I2022*cx_azo+Sens!I2029*cx_m365+Sens!I2030*cx_lic+(Sens!I2032+Sens!I2034)*cx_ind+Sens!I2037*cx_srch+(Sens!I2039+Sens!I2041)*cx_dev</f>
        <v>51.2234003116439</v>
      </c>
      <c r="J2099" s="6" t="n">
        <f aca="false">Sens!J2022*cx_azo+Sens!J2029*cx_m365+Sens!J2030*cx_lic+(Sens!J2032+Sens!J2034)*cx_ind+Sens!J2037*cx_srch+(Sens!J2039+Sens!J2041)*cx_dev</f>
        <v>55.9559132503738</v>
      </c>
      <c r="K2099" s="6" t="n">
        <f aca="false">Sens!K2022*cx_azo+Sens!K2029*cx_m365+Sens!K2030*cx_lic+(Sens!K2032+Sens!K2034)*cx_ind+Sens!K2037*cx_srch+(Sens!K2039+Sens!K2041)*cx_dev</f>
        <v>60.093702741994</v>
      </c>
    </row>
    <row r="2100" customFormat="false" ht="17.15" hidden="false" customHeight="false" outlineLevel="0" collapsed="false">
      <c r="A2100" s="1" t="s">
        <v>850</v>
      </c>
      <c r="B2100" s="0" t="s">
        <v>95</v>
      </c>
      <c r="E2100" s="6" t="n">
        <f aca="false">Q!M42</f>
        <v>145.3</v>
      </c>
      <c r="F2100" s="6" t="n">
        <f aca="false">Sens!F2098+Sens!F2099</f>
        <v>204.2</v>
      </c>
      <c r="G2100" s="6" t="n">
        <f aca="false">Sens!G2098+Sens!G2099</f>
        <v>187.562237956949</v>
      </c>
      <c r="H2100" s="6" t="n">
        <f aca="false">Sens!H2098+Sens!H2099</f>
        <v>196.52574237241</v>
      </c>
      <c r="I2100" s="6" t="n">
        <f aca="false">Sens!I2098+Sens!I2099</f>
        <v>225.894569317297</v>
      </c>
      <c r="J2100" s="6" t="n">
        <f aca="false">Sens!J2098+Sens!J2099</f>
        <v>242.97756198936</v>
      </c>
      <c r="K2100" s="6" t="n">
        <f aca="false">Sens!K2098+Sens!K2099</f>
        <v>283.178752302314</v>
      </c>
      <c r="L2100" s="1" t="s">
        <v>851</v>
      </c>
    </row>
    <row r="2101" customFormat="false" ht="15" hidden="false" customHeight="false" outlineLevel="0" collapsed="false">
      <c r="A2101" s="1" t="s">
        <v>852</v>
      </c>
      <c r="B2101" s="0" t="s">
        <v>95</v>
      </c>
      <c r="E2101" s="6" t="n">
        <f aca="false">fl_liab</f>
        <v>66.594</v>
      </c>
      <c r="F2101" s="6" t="n">
        <f aca="false">Sens!E2101-Sens!F2102</f>
        <v>62.46973</v>
      </c>
      <c r="G2101" s="6" t="n">
        <f aca="false">Sens!F2101-Sens!G2102</f>
        <v>57.98686785</v>
      </c>
      <c r="H2101" s="6" t="n">
        <f aca="false">Sens!G2101-Sens!H2102</f>
        <v>53.92827690325</v>
      </c>
      <c r="I2101" s="6" t="n">
        <f aca="false">Sens!H2101-Sens!I2102</f>
        <v>49.7850493638962</v>
      </c>
      <c r="J2101" s="6" t="n">
        <f aca="false">Sens!I2101-Sens!J2102</f>
        <v>45.4823765852716</v>
      </c>
      <c r="K2101" s="6" t="n">
        <f aca="false">Sens!J2101-Sens!K2102</f>
        <v>40.9860835316088</v>
      </c>
    </row>
    <row r="2102" customFormat="false" ht="15" hidden="false" customHeight="false" outlineLevel="0" collapsed="false">
      <c r="A2102" s="1" t="s">
        <v>853</v>
      </c>
      <c r="B2102" s="0" t="s">
        <v>95</v>
      </c>
      <c r="F2102" s="6" t="n">
        <f aca="false">fl_pay_27-Sens!E2101*fl_rate</f>
        <v>4.12427</v>
      </c>
      <c r="G2102" s="6" t="n">
        <f aca="false">fl_pay_28-Sens!F2101*fl_rate</f>
        <v>4.48286215</v>
      </c>
      <c r="H2102" s="6" t="n">
        <f aca="false">fl_pay_29-Sens!G2101*fl_rate</f>
        <v>4.05859094675</v>
      </c>
      <c r="I2102" s="6" t="n">
        <f aca="false">fl_pay_30-Sens!H2101*fl_rate</f>
        <v>4.14322753935375</v>
      </c>
      <c r="J2102" s="6" t="n">
        <f aca="false">fl_pay_31-Sens!I2101*fl_rate</f>
        <v>4.30267277862467</v>
      </c>
      <c r="K2102" s="6" t="n">
        <f aca="false">fl_pay_32-Sens!J2101*fl_rate</f>
        <v>4.49629305366278</v>
      </c>
    </row>
    <row r="2103" customFormat="false" ht="17.15" hidden="false" customHeight="false" outlineLevel="0" collapsed="false">
      <c r="A2103" s="1" t="s">
        <v>854</v>
      </c>
      <c r="B2103" s="0" t="s">
        <v>95</v>
      </c>
      <c r="E2103" s="6" t="n">
        <f aca="false">Q!M35-Q!M36-Q!M43</f>
        <v>63.886</v>
      </c>
      <c r="F2103" s="6" t="n">
        <f aca="false">Sens!F2097-Sens!F2100-Sens!F2102</f>
        <v>-3.02606604317064</v>
      </c>
      <c r="G2103" s="6" t="n">
        <f aca="false">Sens!G2097-Sens!G2100-Sens!G2102</f>
        <v>55.1751149412072</v>
      </c>
      <c r="H2103" s="6" t="n">
        <f aca="false">Sens!H2097-Sens!H2100-Sens!H2102</f>
        <v>80.4086735603641</v>
      </c>
      <c r="I2103" s="6" t="n">
        <f aca="false">Sens!I2097-Sens!I2100-Sens!I2102</f>
        <v>90.6400222002976</v>
      </c>
      <c r="J2103" s="6" t="n">
        <f aca="false">Sens!J2097-Sens!J2100-Sens!J2102</f>
        <v>112.236903292356</v>
      </c>
      <c r="K2103" s="6" t="n">
        <f aca="false">Sens!K2097-Sens!K2100-Sens!K2102</f>
        <v>109.477863469597</v>
      </c>
      <c r="L2103" s="11" t="s">
        <v>855</v>
      </c>
    </row>
    <row r="2104" customFormat="false" ht="15" hidden="false" customHeight="false" outlineLevel="0" collapsed="false">
      <c r="A2104" s="1" t="s">
        <v>856</v>
      </c>
      <c r="B2104" s="0" t="s">
        <v>73</v>
      </c>
      <c r="F2104" s="8" t="n">
        <f aca="false">dps_27</f>
        <v>3.85</v>
      </c>
      <c r="G2104" s="8" t="n">
        <f aca="false">Sens!F2104*(1+dps_g)</f>
        <v>4.158</v>
      </c>
      <c r="H2104" s="8" t="n">
        <f aca="false">Sens!G2104*(1+dps_g)</f>
        <v>4.49064</v>
      </c>
      <c r="I2104" s="8" t="n">
        <f aca="false">Sens!H2104*(1+dps_g)</f>
        <v>4.8498912</v>
      </c>
      <c r="J2104" s="8" t="n">
        <f aca="false">Sens!I2104*(1+dps_g)</f>
        <v>5.237882496</v>
      </c>
      <c r="K2104" s="8" t="n">
        <f aca="false">Sens!J2104*(1+dps_g)</f>
        <v>5.65691309568</v>
      </c>
    </row>
    <row r="2105" customFormat="false" ht="17.15" hidden="false" customHeight="false" outlineLevel="0" collapsed="false">
      <c r="A2105" s="1" t="s">
        <v>857</v>
      </c>
      <c r="B2105" s="0" t="s">
        <v>95</v>
      </c>
      <c r="E2105" s="6" t="n">
        <f aca="false">Q!M41</f>
        <v>26.445</v>
      </c>
      <c r="F2105" s="6" t="n">
        <f aca="false">Sens!F2104*Sens!E2114</f>
        <v>28.59395</v>
      </c>
      <c r="G2105" s="6" t="n">
        <f aca="false">Sens!G2104*Sens!F2114</f>
        <v>31.068576</v>
      </c>
      <c r="H2105" s="6" t="n">
        <f aca="false">Sens!H2104*Sens!G2114</f>
        <v>33.5888350159995</v>
      </c>
      <c r="I2105" s="6" t="n">
        <f aca="false">Sens!I2104*Sens!H2114</f>
        <v>36.3268810572789</v>
      </c>
      <c r="J2105" s="6" t="n">
        <f aca="false">Sens!J2104*Sens!I2114</f>
        <v>39.3014303901806</v>
      </c>
      <c r="K2105" s="6" t="n">
        <f aca="false">Sens!K2104*Sens!J2114</f>
        <v>42.5328000467001</v>
      </c>
      <c r="L2105" s="1" t="s">
        <v>858</v>
      </c>
    </row>
    <row r="2106" customFormat="false" ht="15" hidden="false" customHeight="false" outlineLevel="0" collapsed="false">
      <c r="A2106" s="1" t="s">
        <v>859</v>
      </c>
      <c r="B2106" s="0" t="s">
        <v>95</v>
      </c>
      <c r="E2106" s="6" t="n">
        <f aca="false">Sens!E2103-Sens!E2105</f>
        <v>37.441</v>
      </c>
      <c r="F2106" s="6" t="n">
        <f aca="false">Sens!F2103-Sens!F2105</f>
        <v>-31.6200160431706</v>
      </c>
      <c r="G2106" s="6" t="n">
        <f aca="false">Sens!G2103-Sens!G2105</f>
        <v>24.1065389412072</v>
      </c>
      <c r="H2106" s="6" t="n">
        <f aca="false">Sens!H2103-Sens!H2105</f>
        <v>46.8198385443647</v>
      </c>
      <c r="I2106" s="6" t="n">
        <f aca="false">Sens!I2103-Sens!I2105</f>
        <v>54.3131411430188</v>
      </c>
      <c r="J2106" s="6" t="n">
        <f aca="false">Sens!J2103-Sens!J2105</f>
        <v>72.935472902175</v>
      </c>
      <c r="K2106" s="6" t="n">
        <f aca="false">Sens!K2103-Sens!K2105</f>
        <v>66.9450634228973</v>
      </c>
    </row>
    <row r="2107" customFormat="false" ht="15" hidden="false" customHeight="false" outlineLevel="0" collapsed="false">
      <c r="A2107" s="1" t="s">
        <v>860</v>
      </c>
      <c r="B2107" s="0" t="s">
        <v>95</v>
      </c>
      <c r="F2107" s="6" t="n">
        <f aca="false">debt_mat_27</f>
        <v>9.25</v>
      </c>
      <c r="G2107" s="6" t="n">
        <f aca="false">debt_mat_28</f>
        <v>0</v>
      </c>
      <c r="H2107" s="6" t="n">
        <f aca="false">debt_mat_29</f>
        <v>2.001</v>
      </c>
      <c r="I2107" s="6" t="n">
        <f aca="false">debt_mat_30</f>
        <v>0</v>
      </c>
      <c r="J2107" s="6" t="n">
        <f aca="false">debt_mat_31</f>
        <v>0.5</v>
      </c>
      <c r="K2107" s="6" t="n">
        <f aca="false">debt_mat_32</f>
        <v>0</v>
      </c>
    </row>
    <row r="2108" customFormat="false" ht="15" hidden="false" customHeight="false" outlineLevel="0" collapsed="false">
      <c r="A2108" s="1" t="s">
        <v>861</v>
      </c>
      <c r="B2108" s="0" t="s">
        <v>95</v>
      </c>
      <c r="E2108" s="6" t="n">
        <f aca="false">Q!M40</f>
        <v>22.271</v>
      </c>
      <c r="F2108" s="6" t="n">
        <f aca="false">MAX(0,MIN(bb_target,Sens!E2110+Sens!F2106-Sens!F2107-min_cash))</f>
        <v>0</v>
      </c>
      <c r="G2108" s="6" t="n">
        <f aca="false">MAX(0,MIN(bb_target,Sens!F2110+Sens!G2106-Sens!G2107-min_cash))</f>
        <v>22.271</v>
      </c>
      <c r="H2108" s="6" t="n">
        <f aca="false">MAX(0,MIN(bb_target,Sens!G2110+Sens!H2106-Sens!H2107-min_cash))</f>
        <v>22.271</v>
      </c>
      <c r="I2108" s="6" t="n">
        <f aca="false">MAX(0,MIN(bb_target,Sens!H2110+Sens!I2106-Sens!I2107-min_cash))</f>
        <v>22.271</v>
      </c>
      <c r="J2108" s="6" t="n">
        <f aca="false">MAX(0,MIN(bb_target,Sens!I2110+Sens!J2106-Sens!J2107-min_cash))</f>
        <v>22.271</v>
      </c>
      <c r="K2108" s="6" t="n">
        <f aca="false">MAX(0,MIN(bb_target,Sens!J2110+Sens!K2106-Sens!K2107-min_cash))</f>
        <v>22.271</v>
      </c>
    </row>
    <row r="2109" customFormat="false" ht="15" hidden="false" customHeight="false" outlineLevel="0" collapsed="false">
      <c r="A2109" s="1" t="s">
        <v>862</v>
      </c>
      <c r="B2109" s="0" t="s">
        <v>95</v>
      </c>
      <c r="F2109" s="6" t="n">
        <f aca="false">MAX(0,min_cash-(Sens!E2110+Sens!F2106-Sens!F2107-Sens!F2108))</f>
        <v>14.0270160431706</v>
      </c>
      <c r="G2109" s="6" t="n">
        <f aca="false">MAX(0,min_cash-(Sens!F2110+Sens!G2106-Sens!G2107-Sens!G2108))</f>
        <v>0</v>
      </c>
      <c r="H2109" s="6" t="n">
        <f aca="false">MAX(0,min_cash-(Sens!G2110+Sens!H2106-Sens!H2107-Sens!H2108))</f>
        <v>0</v>
      </c>
      <c r="I2109" s="6" t="n">
        <f aca="false">MAX(0,min_cash-(Sens!H2110+Sens!I2106-Sens!I2107-Sens!I2108))</f>
        <v>0</v>
      </c>
      <c r="J2109" s="6" t="n">
        <f aca="false">MAX(0,min_cash-(Sens!I2110+Sens!J2106-Sens!J2107-Sens!J2108))</f>
        <v>0</v>
      </c>
      <c r="K2109" s="6" t="n">
        <f aca="false">MAX(0,min_cash-(Sens!J2110+Sens!K2106-Sens!K2107-Sens!K2108))</f>
        <v>0</v>
      </c>
    </row>
    <row r="2110" customFormat="false" ht="15" hidden="false" customHeight="false" outlineLevel="0" collapsed="false">
      <c r="A2110" s="1" t="s">
        <v>863</v>
      </c>
      <c r="B2110" s="0" t="s">
        <v>95</v>
      </c>
      <c r="E2110" s="6" t="n">
        <f aca="false">cash_open</f>
        <v>76.843</v>
      </c>
      <c r="F2110" s="6" t="n">
        <f aca="false">Sens!E2110+Sens!F2106-Sens!F2107-Sens!F2108+Sens!F2109</f>
        <v>50</v>
      </c>
      <c r="G2110" s="6" t="n">
        <f aca="false">Sens!F2110+Sens!G2106-Sens!G2107-Sens!G2108+Sens!G2109</f>
        <v>51.8355389412073</v>
      </c>
      <c r="H2110" s="6" t="n">
        <f aca="false">Sens!G2110+Sens!H2106-Sens!H2107-Sens!H2108+Sens!H2109</f>
        <v>74.3833774855719</v>
      </c>
      <c r="I2110" s="6" t="n">
        <f aca="false">Sens!H2110+Sens!I2106-Sens!I2107-Sens!I2108+Sens!I2109</f>
        <v>106.425518628591</v>
      </c>
      <c r="J2110" s="6" t="n">
        <f aca="false">Sens!I2110+Sens!J2106-Sens!J2107-Sens!J2108+Sens!J2109</f>
        <v>156.589991530766</v>
      </c>
      <c r="K2110" s="6" t="n">
        <f aca="false">Sens!J2110+Sens!K2106-Sens!K2107-Sens!K2108+Sens!K2109</f>
        <v>201.264054953663</v>
      </c>
    </row>
    <row r="2111" customFormat="false" ht="15" hidden="false" customHeight="false" outlineLevel="0" collapsed="false">
      <c r="A2111" s="1" t="s">
        <v>864</v>
      </c>
      <c r="B2111" s="0" t="s">
        <v>95</v>
      </c>
      <c r="E2111" s="6" t="n">
        <f aca="false">debt_face</f>
        <v>46.136</v>
      </c>
      <c r="F2111" s="6" t="n">
        <f aca="false">Sens!E2111-Sens!F2107+Sens!F2109</f>
        <v>50.9130160431706</v>
      </c>
      <c r="G2111" s="6" t="n">
        <f aca="false">Sens!F2111-Sens!G2107+Sens!G2109</f>
        <v>50.9130160431706</v>
      </c>
      <c r="H2111" s="6" t="n">
        <f aca="false">Sens!G2111-Sens!H2107+Sens!H2109</f>
        <v>48.9120160431706</v>
      </c>
      <c r="I2111" s="6" t="n">
        <f aca="false">Sens!H2111-Sens!I2107+Sens!I2109</f>
        <v>48.9120160431706</v>
      </c>
      <c r="J2111" s="6" t="n">
        <f aca="false">Sens!I2111-Sens!J2107+Sens!J2109</f>
        <v>48.4120160431706</v>
      </c>
      <c r="K2111" s="6" t="n">
        <f aca="false">Sens!J2111-Sens!K2107+Sens!K2109</f>
        <v>48.4120160431706</v>
      </c>
    </row>
    <row r="2112" customFormat="false" ht="15" hidden="false" customHeight="false" outlineLevel="0" collapsed="false">
      <c r="A2112" s="1" t="s">
        <v>865</v>
      </c>
      <c r="B2112" s="0" t="s">
        <v>95</v>
      </c>
      <c r="E2112" s="6" t="n">
        <f aca="false">Sens!E2110-Sens!E2111</f>
        <v>30.707</v>
      </c>
      <c r="F2112" s="6" t="n">
        <f aca="false">Sens!F2110-Sens!F2111</f>
        <v>-0.913016043170636</v>
      </c>
      <c r="G2112" s="6" t="n">
        <f aca="false">Sens!G2110-Sens!G2111</f>
        <v>0.922522898036611</v>
      </c>
      <c r="H2112" s="6" t="n">
        <f aca="false">Sens!H2110-Sens!H2111</f>
        <v>25.4713614424013</v>
      </c>
      <c r="I2112" s="6" t="n">
        <f aca="false">Sens!I2110-Sens!I2111</f>
        <v>57.51350258542</v>
      </c>
      <c r="J2112" s="6" t="n">
        <f aca="false">Sens!J2110-Sens!J2111</f>
        <v>108.177975487595</v>
      </c>
      <c r="K2112" s="6" t="n">
        <f aca="false">Sens!K2110-Sens!K2111</f>
        <v>152.852038910492</v>
      </c>
    </row>
    <row r="2113" customFormat="false" ht="15" hidden="false" customHeight="false" outlineLevel="0" collapsed="false">
      <c r="A2113" s="1" t="s">
        <v>866</v>
      </c>
      <c r="B2113" s="0" t="s">
        <v>73</v>
      </c>
      <c r="F2113" s="27" t="n">
        <f aca="false">px*(1+bb_g)^(1-0.5)</f>
        <v>553.494156066711</v>
      </c>
      <c r="G2113" s="27" t="n">
        <f aca="false">px*(1+bb_g)^(2-0.5)</f>
        <v>597.773688552047</v>
      </c>
      <c r="H2113" s="27" t="n">
        <f aca="false">px*(1+bb_g)^(3-0.5)</f>
        <v>645.595583636211</v>
      </c>
      <c r="I2113" s="27" t="n">
        <f aca="false">px*(1+bb_g)^(4-0.5)</f>
        <v>697.243230327108</v>
      </c>
      <c r="J2113" s="27" t="n">
        <f aca="false">px*(1+bb_g)^(5-0.5)</f>
        <v>753.022688753277</v>
      </c>
      <c r="K2113" s="27" t="n">
        <f aca="false">px*(1+bb_g)^(6-0.5)</f>
        <v>813.264503853539</v>
      </c>
    </row>
    <row r="2114" customFormat="false" ht="15" hidden="false" customHeight="false" outlineLevel="0" collapsed="false">
      <c r="A2114" s="1" t="s">
        <v>867</v>
      </c>
      <c r="B2114" s="1" t="s">
        <v>79</v>
      </c>
      <c r="E2114" s="18" t="n">
        <f aca="false">sh_out26</f>
        <v>7.427</v>
      </c>
      <c r="F2114" s="18" t="n">
        <f aca="false">Sens!E2114+sh_iss-Sens!F2108/Sens!F2113</f>
        <v>7.472</v>
      </c>
      <c r="G2114" s="18" t="n">
        <f aca="false">Sens!F2114+sh_iss-Sens!G2108/Sens!G2113</f>
        <v>7.47974342543589</v>
      </c>
      <c r="H2114" s="18" t="n">
        <f aca="false">Sens!G2114+sh_iss-Sens!H2108/Sens!H2113</f>
        <v>7.4902465971358</v>
      </c>
      <c r="I2114" s="18" t="n">
        <f aca="false">Sens!H2114+sh_iss-Sens!I2108/Sens!I2113</f>
        <v>7.50330508945052</v>
      </c>
      <c r="J2114" s="18" t="n">
        <f aca="false">Sens!I2114+sh_iss-Sens!J2108/Sens!J2113</f>
        <v>7.51872961937156</v>
      </c>
      <c r="K2114" s="18" t="n">
        <f aca="false">Sens!J2114+sh_iss-Sens!K2108/Sens!K2113</f>
        <v>7.53634492485401</v>
      </c>
    </row>
    <row r="2115" customFormat="false" ht="15" hidden="false" customHeight="false" outlineLevel="0" collapsed="false">
      <c r="A2115" s="1" t="s">
        <v>868</v>
      </c>
      <c r="B2115" s="1" t="s">
        <v>79</v>
      </c>
      <c r="E2115" s="18" t="n">
        <f aca="false">sh_dil26</f>
        <v>7.453</v>
      </c>
      <c r="F2115" s="18" t="n">
        <f aca="false">(Sens!E2114+Sens!F2114)/2+dil_gap</f>
        <v>7.4735</v>
      </c>
      <c r="G2115" s="18" t="n">
        <f aca="false">(Sens!F2114+Sens!G2114)/2+dil_gap</f>
        <v>7.49987171271795</v>
      </c>
      <c r="H2115" s="18" t="n">
        <f aca="false">(Sens!G2114+Sens!H2114)/2+dil_gap</f>
        <v>7.50899501128585</v>
      </c>
      <c r="I2115" s="18" t="n">
        <f aca="false">(Sens!H2114+Sens!I2114)/2+dil_gap</f>
        <v>7.52077584329316</v>
      </c>
      <c r="J2115" s="18" t="n">
        <f aca="false">(Sens!I2114+Sens!J2114)/2+dil_gap</f>
        <v>7.53501735441104</v>
      </c>
      <c r="K2115" s="18" t="n">
        <f aca="false">(Sens!J2114+Sens!K2114)/2+dil_gap</f>
        <v>7.55153727211278</v>
      </c>
    </row>
    <row r="2116" customFormat="false" ht="17.15" hidden="false" customHeight="false" outlineLevel="0" collapsed="false">
      <c r="A2116" s="1" t="s">
        <v>869</v>
      </c>
      <c r="B2116" s="0" t="s">
        <v>95</v>
      </c>
      <c r="C2116" s="6" t="n">
        <f aca="false">SUM(Sens!F2106:J2106)</f>
        <v>166.554975487595</v>
      </c>
    </row>
    <row r="2117" customFormat="false" ht="17.15" hidden="false" customHeight="false" outlineLevel="0" collapsed="false">
      <c r="A2117" s="1" t="s">
        <v>836</v>
      </c>
      <c r="B2117" s="1" t="s">
        <v>870</v>
      </c>
      <c r="C2117" s="30" t="str">
        <f aca="false">IF(SUM(Sens!F2109:J2109)&gt;0.05,"需要舉債 "&amp;TEXT(SUM(Sens!F2109:J2109),"0.0")&amp;" 十億美元","不需舉債")&amp;"；"&amp;IF(SUM(Sens!F2108:J2108)&lt;5*bb_target-0.05,"回購較每年 "&amp;TEXT(bb_target,"0.0")&amp;" 的目標少 "&amp;TEXT(5*bb_target-SUM(Sens!F2108:J2108),"0.0")&amp;" 十億美元（"&amp;TEXT(COUNTIF(Sens!F2108:J2108,"&lt;"&amp;(bb_target-0.05)),"0")&amp;" 年減少）","回購不減")</f>
        <v>需要舉債 14.0 十億美元；回購較每年 22.3 的目標少 22.3 十億美元（1 年減少）</v>
      </c>
    </row>
    <row r="2118" customFormat="false" ht="17.15" hidden="false" customHeight="false" outlineLevel="0" collapsed="false">
      <c r="A2118" s="3" t="s">
        <v>1173</v>
      </c>
    </row>
    <row r="2119" customFormat="false" ht="15" hidden="false" customHeight="false" outlineLevel="0" collapsed="false">
      <c r="A2119" s="4" t="s">
        <v>43</v>
      </c>
      <c r="B2119" s="4" t="s">
        <v>63</v>
      </c>
      <c r="C2119" s="19" t="s">
        <v>710</v>
      </c>
      <c r="D2119" s="19" t="s">
        <v>711</v>
      </c>
      <c r="E2119" s="19" t="s">
        <v>712</v>
      </c>
      <c r="F2119" s="19" t="s">
        <v>713</v>
      </c>
      <c r="G2119" s="19" t="s">
        <v>714</v>
      </c>
      <c r="H2119" s="19" t="s">
        <v>715</v>
      </c>
      <c r="I2119" s="19" t="s">
        <v>716</v>
      </c>
      <c r="J2119" s="19" t="s">
        <v>717</v>
      </c>
      <c r="K2119" s="19" t="s">
        <v>718</v>
      </c>
      <c r="L2119" s="4" t="s">
        <v>47</v>
      </c>
    </row>
    <row r="2120" customFormat="false" ht="17.15" hidden="false" customHeight="false" outlineLevel="0" collapsed="false">
      <c r="A2120" s="1" t="s">
        <v>938</v>
      </c>
      <c r="B2120" s="1" t="s">
        <v>213</v>
      </c>
      <c r="F2120" s="34" t="n">
        <f aca="false">1-0.5</f>
        <v>0.5</v>
      </c>
      <c r="G2120" s="34" t="n">
        <f aca="false">2-0.5</f>
        <v>1.5</v>
      </c>
      <c r="H2120" s="34" t="n">
        <f aca="false">3-0.5</f>
        <v>2.5</v>
      </c>
      <c r="I2120" s="34" t="n">
        <f aca="false">4-0.5</f>
        <v>3.5</v>
      </c>
      <c r="J2120" s="34" t="n">
        <f aca="false">5-0.5</f>
        <v>4.5</v>
      </c>
      <c r="K2120" s="34" t="n">
        <f aca="false">6-0.5</f>
        <v>5.5</v>
      </c>
    </row>
    <row r="2121" customFormat="false" ht="15" hidden="false" customHeight="false" outlineLevel="0" collapsed="false">
      <c r="A2121" s="1" t="s">
        <v>939</v>
      </c>
      <c r="B2121" s="0" t="s">
        <v>182</v>
      </c>
      <c r="F2121" s="18" t="n">
        <f aca="false">1/(1+wacc)^Sens!F2120</f>
        <v>0.949601579913219</v>
      </c>
      <c r="G2121" s="18" t="n">
        <f aca="false">1/(1+wacc)^Sens!G2120</f>
        <v>0.856296729956707</v>
      </c>
      <c r="H2121" s="18" t="n">
        <f aca="false">1/(1+wacc)^Sens!H2120</f>
        <v>0.772159719660069</v>
      </c>
      <c r="I2121" s="18" t="n">
        <f aca="false">1/(1+wacc)^Sens!I2120</f>
        <v>0.696289746073958</v>
      </c>
      <c r="J2121" s="18" t="n">
        <f aca="false">1/(1+wacc)^Sens!J2120</f>
        <v>0.627874516299776</v>
      </c>
      <c r="K2121" s="18" t="n">
        <f aca="false">1/(1+wacc)^Sens!K2120</f>
        <v>0.566181550771831</v>
      </c>
    </row>
    <row r="2122" customFormat="false" ht="15" hidden="false" customHeight="false" outlineLevel="0" collapsed="false">
      <c r="A2122" s="1" t="s">
        <v>940</v>
      </c>
      <c r="B2122" s="0" t="s">
        <v>95</v>
      </c>
      <c r="F2122" s="6" t="n">
        <f aca="false">Sens!F2103*Sens!F2121</f>
        <v>-2.87355709551658</v>
      </c>
      <c r="G2122" s="6" t="n">
        <f aca="false">Sens!G2103*Sens!G2121</f>
        <v>47.2462704991412</v>
      </c>
      <c r="H2122" s="6" t="n">
        <f aca="false">Sens!H2103*Sens!H2121</f>
        <v>62.0883388346087</v>
      </c>
      <c r="I2122" s="6" t="n">
        <f aca="false">Sens!I2103*Sens!I2121</f>
        <v>63.1117180419831</v>
      </c>
      <c r="J2122" s="6" t="n">
        <f aca="false">Sens!J2103*Sens!J2121</f>
        <v>70.4706913656726</v>
      </c>
      <c r="K2122" s="6" t="n">
        <f aca="false">Sens!K2103*Sens!K2121</f>
        <v>61.9843465144035</v>
      </c>
    </row>
    <row r="2123" customFormat="false" ht="17.15" hidden="false" customHeight="false" outlineLevel="0" collapsed="false">
      <c r="A2123" s="1" t="s">
        <v>941</v>
      </c>
      <c r="B2123" s="0" t="s">
        <v>95</v>
      </c>
      <c r="C2123" s="6" t="n">
        <f aca="false">SUM(Sens!F2122:K2122)</f>
        <v>302.027808160292</v>
      </c>
    </row>
    <row r="2124" customFormat="false" ht="17.15" hidden="false" customHeight="false" outlineLevel="0" collapsed="false">
      <c r="A2124" s="1" t="s">
        <v>942</v>
      </c>
      <c r="B2124" s="0" t="s">
        <v>95</v>
      </c>
      <c r="C2124" s="6" t="n">
        <f aca="false">Sens!K2069*(1+g_tv)*(1-tax_f)</f>
        <v>193.772436598119</v>
      </c>
    </row>
    <row r="2125" customFormat="false" ht="17.15" hidden="false" customHeight="false" outlineLevel="0" collapsed="false">
      <c r="A2125" s="1" t="s">
        <v>943</v>
      </c>
      <c r="B2125" s="0" t="s">
        <v>95</v>
      </c>
      <c r="C2125" s="6" t="n">
        <f aca="false">Sens!$C$2124*(1-g_tv/(wacc+ronic_prem))</f>
        <v>140.422571968773</v>
      </c>
    </row>
    <row r="2126" customFormat="false" ht="17.15" hidden="false" customHeight="false" outlineLevel="0" collapsed="false">
      <c r="A2126" s="1" t="s">
        <v>944</v>
      </c>
      <c r="B2126" s="0" t="s">
        <v>95</v>
      </c>
      <c r="C2126" s="6" t="n">
        <f aca="false">Sens!$C$2125/(wacc-g_tv)</f>
        <v>1778.32882097821</v>
      </c>
    </row>
    <row r="2127" customFormat="false" ht="15" hidden="false" customHeight="false" outlineLevel="0" collapsed="false">
      <c r="A2127" s="1" t="s">
        <v>945</v>
      </c>
      <c r="B2127" s="0" t="s">
        <v>95</v>
      </c>
      <c r="C2127" s="6" t="n">
        <f aca="false">Sens!$C$2126/(1+wacc)^6</f>
        <v>956.112969120278</v>
      </c>
    </row>
    <row r="2128" customFormat="false" ht="17.15" hidden="false" customHeight="false" outlineLevel="0" collapsed="false">
      <c r="A2128" s="0" t="s">
        <v>877</v>
      </c>
      <c r="B2128" s="0" t="s">
        <v>95</v>
      </c>
      <c r="C2128" s="6" t="n">
        <f aca="false">Sens!$C$2123+Sens!$C$2127</f>
        <v>1258.14077728057</v>
      </c>
    </row>
    <row r="2129" customFormat="false" ht="15" hidden="false" customHeight="false" outlineLevel="0" collapsed="false">
      <c r="A2129" s="1" t="s">
        <v>878</v>
      </c>
      <c r="B2129" s="0" t="s">
        <v>126</v>
      </c>
      <c r="C2129" s="7" t="n">
        <f aca="false">Sens!$C$2127/Sens!$C$2128</f>
        <v>0.759941165874048</v>
      </c>
    </row>
    <row r="2130" customFormat="false" ht="17.15" hidden="false" customHeight="false" outlineLevel="0" collapsed="false">
      <c r="A2130" s="1" t="s">
        <v>946</v>
      </c>
      <c r="B2130" s="0" t="s">
        <v>95</v>
      </c>
      <c r="C2130" s="6" t="n">
        <f aca="false">Sens!$C$2128+Sens!E2112+oai_v</f>
        <v>1459.24777728057</v>
      </c>
    </row>
    <row r="2131" customFormat="false" ht="17.15" hidden="false" customHeight="false" outlineLevel="0" collapsed="false">
      <c r="A2131" s="0" t="s">
        <v>883</v>
      </c>
      <c r="B2131" s="0" t="s">
        <v>73</v>
      </c>
      <c r="C2131" s="5" t="n">
        <f aca="false">Sens!$C$2130/sh_dil26</f>
        <v>195.7933419134</v>
      </c>
    </row>
    <row r="2132" customFormat="false" ht="17.15" hidden="false" customHeight="false" outlineLevel="0" collapsed="false">
      <c r="A2132" s="0" t="s">
        <v>947</v>
      </c>
      <c r="B2132" s="0" t="s">
        <v>73</v>
      </c>
      <c r="C2132" s="5" t="n">
        <f aca="false">Sens!$C$2131*(1+wacc)^t_roll</f>
        <v>224.573900165916</v>
      </c>
    </row>
    <row r="2133" customFormat="false" ht="17.15" hidden="false" customHeight="false" outlineLevel="0" collapsed="false">
      <c r="A2133" s="1" t="s">
        <v>948</v>
      </c>
      <c r="B2133" s="0" t="s">
        <v>126</v>
      </c>
      <c r="F2133" s="7" t="n">
        <f aca="false">Sens!F2093/(Sens!F2044-Sens!F2000)</f>
        <v>0.0772471213907682</v>
      </c>
      <c r="G2133" s="7" t="n">
        <f aca="false">Sens!G2093/(Sens!G2044-Sens!G2000)</f>
        <v>0.0731955181810124</v>
      </c>
      <c r="H2133" s="7" t="n">
        <f aca="false">Sens!H2093/(Sens!H2044-Sens!H2000)</f>
        <v>0.0706910402766116</v>
      </c>
      <c r="I2133" s="7" t="n">
        <f aca="false">Sens!I2093/(Sens!I2044-Sens!I2000)</f>
        <v>0.0695246692080409</v>
      </c>
      <c r="J2133" s="7" t="n">
        <f aca="false">Sens!J2093/(Sens!J2044-Sens!J2000)</f>
        <v>0.0694184988804076</v>
      </c>
      <c r="K2133" s="7" t="n">
        <f aca="false">Sens!K2093/(Sens!K2044-Sens!K2000)</f>
        <v>0.0700829200056252</v>
      </c>
    </row>
    <row r="2134" customFormat="false" ht="17.15" hidden="false" customHeight="false" outlineLevel="0" collapsed="false">
      <c r="A2134" s="0" t="s">
        <v>949</v>
      </c>
      <c r="B2134" s="0" t="s">
        <v>95</v>
      </c>
      <c r="F2134" s="6" t="n">
        <f aca="false">Sens!F2029*(al_m365+Sens!F2133)</f>
        <v>79.5036566882946</v>
      </c>
      <c r="G2134" s="6" t="n">
        <f aca="false">Sens!G2029*(al_m365+Sens!G2133)</f>
        <v>89.2281401606832</v>
      </c>
      <c r="H2134" s="6" t="n">
        <f aca="false">Sens!H2029*(al_m365+Sens!H2133)</f>
        <v>99.1129508977923</v>
      </c>
      <c r="I2134" s="6" t="n">
        <f aca="false">Sens!I2029*(al_m365+Sens!I2133)</f>
        <v>108.519255278784</v>
      </c>
      <c r="J2134" s="6" t="n">
        <f aca="false">Sens!J2029*(al_m365+Sens!J2133)</f>
        <v>117.270541928459</v>
      </c>
      <c r="K2134" s="6" t="n">
        <f aca="false">Sens!K2029*(al_m365+Sens!K2133)</f>
        <v>125.65930444905</v>
      </c>
    </row>
    <row r="2135" customFormat="false" ht="17.15" hidden="false" customHeight="false" outlineLevel="0" collapsed="false">
      <c r="A2135" s="0" t="s">
        <v>950</v>
      </c>
      <c r="B2135" s="0" t="s">
        <v>95</v>
      </c>
      <c r="F2135" s="6" t="n">
        <f aca="false">Sens!F2030*(al_lic+Sens!F2133)</f>
        <v>32.3222685468301</v>
      </c>
      <c r="G2135" s="6" t="n">
        <f aca="false">Sens!G2030*(al_lic+Sens!G2133)</f>
        <v>33.5259240944595</v>
      </c>
      <c r="H2135" s="6" t="n">
        <f aca="false">Sens!H2030*(al_lic+Sens!H2133)</f>
        <v>34.6525291625973</v>
      </c>
      <c r="I2135" s="6" t="n">
        <f aca="false">Sens!I2030*(al_lic+Sens!I2133)</f>
        <v>35.681939215299</v>
      </c>
      <c r="J2135" s="6" t="n">
        <f aca="false">Sens!J2030*(al_lic+Sens!J2133)</f>
        <v>36.5901589638464</v>
      </c>
      <c r="K2135" s="6" t="n">
        <f aca="false">Sens!K2030*(al_lic+Sens!K2133)</f>
        <v>37.3522244573332</v>
      </c>
    </row>
    <row r="2136" customFormat="false" ht="17.15" hidden="false" customHeight="false" outlineLevel="0" collapsed="false">
      <c r="A2136" s="0" t="s">
        <v>951</v>
      </c>
      <c r="B2136" s="0" t="s">
        <v>95</v>
      </c>
      <c r="F2136" s="6" t="n">
        <f aca="false">Sens!F2032*(al_ind+Sens!F2133)</f>
        <v>8.43419701057746</v>
      </c>
      <c r="G2136" s="6" t="n">
        <f aca="false">Sens!G2032*(al_ind+Sens!G2133)</f>
        <v>9.12060455187113</v>
      </c>
      <c r="H2136" s="6" t="n">
        <f aca="false">Sens!H2032*(al_ind+Sens!H2133)</f>
        <v>9.85067149668623</v>
      </c>
      <c r="I2136" s="6" t="n">
        <f aca="false">Sens!I2032*(al_ind+Sens!I2133)</f>
        <v>10.6205886737789</v>
      </c>
      <c r="J2136" s="6" t="n">
        <f aca="false">Sens!J2032*(al_ind+Sens!J2133)</f>
        <v>11.4221445984986</v>
      </c>
      <c r="K2136" s="6" t="n">
        <f aca="false">Sens!K2032*(al_ind+Sens!K2133)</f>
        <v>12.243676164698</v>
      </c>
    </row>
    <row r="2137" customFormat="false" ht="17.15" hidden="false" customHeight="false" outlineLevel="0" collapsed="false">
      <c r="A2137" s="0" t="s">
        <v>952</v>
      </c>
      <c r="B2137" s="0" t="s">
        <v>95</v>
      </c>
      <c r="F2137" s="6" t="n">
        <f aca="false">Sens!F2034*(al_fro+Sens!F2133)</f>
        <v>3.31972955415002</v>
      </c>
      <c r="G2137" s="6" t="n">
        <f aca="false">Sens!G2034*(al_fro+Sens!G2133)</f>
        <v>3.50177292251484</v>
      </c>
      <c r="H2137" s="6" t="n">
        <f aca="false">Sens!H2034*(al_fro+Sens!H2133)</f>
        <v>3.71207018434024</v>
      </c>
      <c r="I2137" s="6" t="n">
        <f aca="false">Sens!I2034*(al_fro+Sens!I2133)</f>
        <v>3.95255085167801</v>
      </c>
      <c r="J2137" s="6" t="n">
        <f aca="false">Sens!J2034*(al_fro+Sens!J2133)</f>
        <v>4.22434802472722</v>
      </c>
      <c r="K2137" s="6" t="n">
        <f aca="false">Sens!K2034*(al_fro+Sens!K2133)</f>
        <v>4.52818196930726</v>
      </c>
    </row>
    <row r="2138" customFormat="false" ht="17.15" hidden="false" customHeight="false" outlineLevel="0" collapsed="false">
      <c r="A2138" s="0" t="s">
        <v>953</v>
      </c>
      <c r="B2138" s="0" t="s">
        <v>95</v>
      </c>
      <c r="F2138" s="6" t="n">
        <f aca="false">Sens!F2037*(al_srch+Sens!F2133)</f>
        <v>10.4163551657798</v>
      </c>
      <c r="G2138" s="6" t="n">
        <f aca="false">Sens!G2037*(al_srch+Sens!G2133)</f>
        <v>11.3703593549543</v>
      </c>
      <c r="H2138" s="6" t="n">
        <f aca="false">Sens!H2037*(al_srch+Sens!H2133)</f>
        <v>12.3678755054649</v>
      </c>
      <c r="I2138" s="6" t="n">
        <f aca="false">Sens!I2037*(al_srch+Sens!I2133)</f>
        <v>13.398115209705</v>
      </c>
      <c r="J2138" s="6" t="n">
        <f aca="false">Sens!J2037*(al_srch+Sens!J2133)</f>
        <v>14.4438335968591</v>
      </c>
      <c r="K2138" s="6" t="n">
        <f aca="false">Sens!K2037*(al_srch+Sens!K2133)</f>
        <v>15.4826985082971</v>
      </c>
    </row>
    <row r="2139" customFormat="false" ht="17.15" hidden="false" customHeight="false" outlineLevel="0" collapsed="false">
      <c r="A2139" s="0" t="s">
        <v>954</v>
      </c>
      <c r="B2139" s="0" t="s">
        <v>95</v>
      </c>
      <c r="F2139" s="6" t="n">
        <f aca="false">Sens!F2006</f>
        <v>35.0573455625419</v>
      </c>
      <c r="G2139" s="6" t="n">
        <f aca="false">Sens!G2006</f>
        <v>52.2504971712871</v>
      </c>
      <c r="H2139" s="6" t="n">
        <f aca="false">Sens!H2006</f>
        <v>65.2796698510271</v>
      </c>
      <c r="I2139" s="6" t="n">
        <f aca="false">Sens!I2006</f>
        <v>85.5659922535278</v>
      </c>
      <c r="J2139" s="6" t="n">
        <f aca="false">Sens!J2006</f>
        <v>105.90773710582</v>
      </c>
      <c r="K2139" s="6" t="n">
        <f aca="false">Sens!K2006</f>
        <v>126.282084319851</v>
      </c>
    </row>
    <row r="2140" customFormat="false" ht="17.15" hidden="false" customHeight="false" outlineLevel="0" collapsed="false">
      <c r="A2140" s="0" t="s">
        <v>955</v>
      </c>
      <c r="B2140" s="0" t="s">
        <v>95</v>
      </c>
      <c r="F2140" s="6" t="n">
        <f aca="false">Sens!F2066+Sens!F2017+Sens!F2133*(Sens!F2036-Sens!F2000)</f>
        <v>206.151531401063</v>
      </c>
      <c r="G2140" s="6" t="n">
        <f aca="false">Sens!G2066+Sens!G2017+Sens!G2133*(Sens!G2036-Sens!G2000)</f>
        <v>242.813225598336</v>
      </c>
      <c r="H2140" s="6" t="n">
        <f aca="false">Sens!H2066+Sens!H2017+Sens!H2133*(Sens!H2036-Sens!H2000)</f>
        <v>275.642818038113</v>
      </c>
      <c r="I2140" s="6" t="n">
        <f aca="false">Sens!I2066+Sens!I2017+Sens!I2133*(Sens!I2036-Sens!I2000)</f>
        <v>315.062875412144</v>
      </c>
      <c r="J2140" s="6" t="n">
        <f aca="false">Sens!J2066+Sens!J2017+Sens!J2133*(Sens!J2036-Sens!J2000)</f>
        <v>353.089327881887</v>
      </c>
      <c r="K2140" s="6" t="n">
        <f aca="false">Sens!K2066+Sens!K2017+Sens!K2133*(Sens!K2036-Sens!K2000)</f>
        <v>389.295630345453</v>
      </c>
    </row>
    <row r="2141" customFormat="false" ht="17.15" hidden="false" customHeight="false" outlineLevel="0" collapsed="false">
      <c r="A2141" s="0" t="s">
        <v>956</v>
      </c>
      <c r="B2141" s="0" t="s">
        <v>95</v>
      </c>
      <c r="F2141" s="6" t="n">
        <f aca="false">Sens!F2140-Sens!F2134-Sens!F2135-Sens!F2136-Sens!F2137-Sens!F2139</f>
        <v>47.5143340386692</v>
      </c>
      <c r="G2141" s="6" t="n">
        <f aca="false">Sens!G2140-Sens!G2134-Sens!G2135-Sens!G2136-Sens!G2137-Sens!G2139</f>
        <v>55.1862866975207</v>
      </c>
      <c r="H2141" s="6" t="n">
        <f aca="false">Sens!H2140-Sens!H2134-Sens!H2135-Sens!H2136-Sens!H2137-Sens!H2139</f>
        <v>63.0349264456696</v>
      </c>
      <c r="I2141" s="6" t="n">
        <f aca="false">Sens!I2140-Sens!I2134-Sens!I2135-Sens!I2136-Sens!I2137-Sens!I2139</f>
        <v>70.722549139077</v>
      </c>
      <c r="J2141" s="6" t="n">
        <f aca="false">Sens!J2140-Sens!J2134-Sens!J2135-Sens!J2136-Sens!J2137-Sens!J2139</f>
        <v>77.674397260536</v>
      </c>
      <c r="K2141" s="6" t="n">
        <f aca="false">Sens!K2140-Sens!K2134-Sens!K2135-Sens!K2136-Sens!K2137-Sens!K2139</f>
        <v>83.2301589852132</v>
      </c>
    </row>
    <row r="2142" customFormat="false" ht="17.15" hidden="false" customHeight="false" outlineLevel="0" collapsed="false">
      <c r="A2142" s="0" t="s">
        <v>957</v>
      </c>
      <c r="B2142" s="0" t="s">
        <v>95</v>
      </c>
      <c r="F2142" s="6" t="n">
        <f aca="false">Sens!F2068+Sens!F2133*Sens!F2043</f>
        <v>24.3274511551719</v>
      </c>
      <c r="G2142" s="6" t="n">
        <f aca="false">Sens!G2068+Sens!G2133*Sens!G2043</f>
        <v>24.7963402259673</v>
      </c>
      <c r="H2142" s="6" t="n">
        <f aca="false">Sens!H2068+Sens!H2133*Sens!H2043</f>
        <v>25.5276585124273</v>
      </c>
      <c r="I2142" s="6" t="n">
        <f aca="false">Sens!I2068+Sens!I2133*Sens!I2043</f>
        <v>26.4875690448096</v>
      </c>
      <c r="J2142" s="6" t="n">
        <f aca="false">Sens!J2068+Sens!J2133*Sens!J2043</f>
        <v>27.6429707462238</v>
      </c>
      <c r="K2142" s="6" t="n">
        <f aca="false">Sens!K2068+Sens!K2133*Sens!K2043</f>
        <v>28.9631453107917</v>
      </c>
    </row>
    <row r="2143" customFormat="false" ht="17.15" hidden="false" customHeight="false" outlineLevel="0" collapsed="false">
      <c r="A2143" s="0" t="s">
        <v>958</v>
      </c>
      <c r="B2143" s="0" t="s">
        <v>95</v>
      </c>
      <c r="F2143" s="6" t="n">
        <f aca="false">(Sens!F2142-Sens!F2138)*Sens!F2039/(Sens!F2039+Sens!F2041)</f>
        <v>7.6259273292731</v>
      </c>
      <c r="G2143" s="6" t="n">
        <f aca="false">(Sens!G2142-Sens!G2138)*Sens!G2039/(Sens!G2039+Sens!G2041)</f>
        <v>7.2287637524906</v>
      </c>
      <c r="H2143" s="6" t="n">
        <f aca="false">(Sens!H2142-Sens!H2138)*Sens!H2039/(Sens!H2039+Sens!H2041)</f>
        <v>6.9897261130901</v>
      </c>
      <c r="I2143" s="6" t="n">
        <f aca="false">(Sens!I2142-Sens!I2138)*Sens!I2039/(Sens!I2039+Sens!I2041)</f>
        <v>6.88946612473985</v>
      </c>
      <c r="J2143" s="6" t="n">
        <f aca="false">(Sens!J2142-Sens!J2138)*Sens!J2039/(Sens!J2039+Sens!J2041)</f>
        <v>6.91578156388762</v>
      </c>
      <c r="K2143" s="6" t="n">
        <f aca="false">(Sens!K2142-Sens!K2138)*Sens!K2039/(Sens!K2039+Sens!K2041)</f>
        <v>7.06317575267769</v>
      </c>
    </row>
    <row r="2144" customFormat="false" ht="17.15" hidden="false" customHeight="false" outlineLevel="0" collapsed="false">
      <c r="A2144" s="0" t="s">
        <v>959</v>
      </c>
      <c r="B2144" s="0" t="s">
        <v>95</v>
      </c>
      <c r="F2144" s="6" t="n">
        <f aca="false">Sens!F2142-Sens!F2138-Sens!F2143</f>
        <v>6.28516866011901</v>
      </c>
      <c r="G2144" s="6" t="n">
        <f aca="false">Sens!G2142-Sens!G2138-Sens!G2143</f>
        <v>6.19721711852244</v>
      </c>
      <c r="H2144" s="6" t="n">
        <f aca="false">Sens!H2142-Sens!H2138-Sens!H2143</f>
        <v>6.17005689387233</v>
      </c>
      <c r="I2144" s="6" t="n">
        <f aca="false">Sens!I2142-Sens!I2138-Sens!I2143</f>
        <v>6.19998771036474</v>
      </c>
      <c r="J2144" s="6" t="n">
        <f aca="false">Sens!J2142-Sens!J2138-Sens!J2143</f>
        <v>6.28335558547701</v>
      </c>
      <c r="K2144" s="6" t="n">
        <f aca="false">Sens!K2142-Sens!K2138-Sens!K2143</f>
        <v>6.41727104981686</v>
      </c>
    </row>
    <row r="2145" customFormat="false" ht="17.15" hidden="false" customHeight="false" outlineLevel="0" collapsed="false">
      <c r="A2145" s="1" t="s">
        <v>960</v>
      </c>
      <c r="B2145" s="0" t="s">
        <v>95</v>
      </c>
      <c r="C2145" s="6" t="n">
        <f aca="false">(w_ntm28*Sens!G2139+(1-w_ntm28)*Sens!H2139)*m_ai*1</f>
        <v>338.776008390068</v>
      </c>
    </row>
    <row r="2146" customFormat="false" ht="17.15" hidden="false" customHeight="false" outlineLevel="0" collapsed="false">
      <c r="A2146" s="1" t="s">
        <v>961</v>
      </c>
      <c r="B2146" s="0" t="s">
        <v>95</v>
      </c>
      <c r="C2146" s="6" t="n">
        <f aca="false">(w_ntm28*Sens!G2141+(1-w_ntm28)*Sens!H2141)*m_cloud*1</f>
        <v>797.74091436711</v>
      </c>
    </row>
    <row r="2147" customFormat="false" ht="17.15" hidden="false" customHeight="false" outlineLevel="0" collapsed="false">
      <c r="A2147" s="1" t="s">
        <v>962</v>
      </c>
      <c r="B2147" s="0" t="s">
        <v>95</v>
      </c>
      <c r="C2147" s="6" t="n">
        <f aca="false">(w_ntm28*Sens!G2134+(1-w_ntm28)*Sens!H2134)*m_sw*1</f>
        <v>998.176798128178</v>
      </c>
    </row>
    <row r="2148" customFormat="false" ht="17.15" hidden="false" customHeight="false" outlineLevel="0" collapsed="false">
      <c r="A2148" s="1" t="s">
        <v>963</v>
      </c>
      <c r="B2148" s="0" t="s">
        <v>95</v>
      </c>
      <c r="C2148" s="6" t="n">
        <f aca="false">(w_ntm28*Sens!G2135+(1-w_ntm28)*Sens!H2135)*m_sw*1</f>
        <v>366.013529532039</v>
      </c>
    </row>
    <row r="2149" customFormat="false" ht="17.15" hidden="false" customHeight="false" outlineLevel="0" collapsed="false">
      <c r="A2149" s="1" t="s">
        <v>964</v>
      </c>
      <c r="B2149" s="0" t="s">
        <v>95</v>
      </c>
      <c r="C2149" s="6" t="n">
        <f aca="false">(w_ntm28*Sens!G2136+(1-w_ntm28)*Sens!H2136)*m_sw*1</f>
        <v>101.051562898489</v>
      </c>
    </row>
    <row r="2150" customFormat="false" ht="17.15" hidden="false" customHeight="false" outlineLevel="0" collapsed="false">
      <c r="A2150" s="1" t="s">
        <v>965</v>
      </c>
      <c r="B2150" s="0" t="s">
        <v>95</v>
      </c>
      <c r="C2150" s="6" t="n">
        <f aca="false">(w_ntm28*Sens!G2137+(1-w_ntm28)*Sens!H2137)*m_sw*1</f>
        <v>38.5534018932158</v>
      </c>
    </row>
    <row r="2151" customFormat="false" ht="17.15" hidden="false" customHeight="false" outlineLevel="0" collapsed="false">
      <c r="A2151" s="1" t="s">
        <v>966</v>
      </c>
      <c r="B2151" s="0" t="s">
        <v>95</v>
      </c>
      <c r="C2151" s="6" t="n">
        <f aca="false">(w_ntm28*Sens!G2138+(1-w_ntm28)*Sens!H2138)*m_ads*1</f>
        <v>106.52180909754</v>
      </c>
    </row>
    <row r="2152" customFormat="false" ht="17.15" hidden="false" customHeight="false" outlineLevel="0" collapsed="false">
      <c r="A2152" s="1" t="s">
        <v>967</v>
      </c>
      <c r="B2152" s="0" t="s">
        <v>95</v>
      </c>
      <c r="C2152" s="6" t="n">
        <f aca="false">(w_ntm28*Sens!G2143+(1-w_ntm28)*Sens!H2143)*m_game*1</f>
        <v>90.3232660418902</v>
      </c>
    </row>
    <row r="2153" customFormat="false" ht="17.15" hidden="false" customHeight="false" outlineLevel="0" collapsed="false">
      <c r="A2153" s="1" t="s">
        <v>968</v>
      </c>
      <c r="B2153" s="0" t="s">
        <v>95</v>
      </c>
      <c r="C2153" s="6" t="n">
        <f aca="false">(w_ntm28*Sens!G2144+(1-w_ntm28)*Sens!H2144)*m_pc*1</f>
        <v>89.5466769182222</v>
      </c>
    </row>
    <row r="2154" customFormat="false" ht="17.15" hidden="false" customHeight="false" outlineLevel="0" collapsed="false">
      <c r="A2154" s="1" t="s">
        <v>969</v>
      </c>
      <c r="B2154" s="0" t="s">
        <v>95</v>
      </c>
      <c r="C2154" s="6" t="n">
        <f aca="false">Sens!$C$2145+Sens!$C$2146+Sens!$C$2147+Sens!$C$2148+Sens!$C$2149+Sens!$C$2150+Sens!$C$2151+Sens!$C$2152+Sens!$C$2153</f>
        <v>2926.70396726675</v>
      </c>
    </row>
    <row r="2155" customFormat="false" ht="17.15" hidden="false" customHeight="false" outlineLevel="0" collapsed="false">
      <c r="A2155" s="1" t="s">
        <v>903</v>
      </c>
      <c r="B2155" s="0" t="s">
        <v>95</v>
      </c>
      <c r="C2155" s="6" t="n">
        <f aca="false">Sens!F2112+oai_v-Sens!F2101</f>
        <v>107.017253956829</v>
      </c>
      <c r="L2155" s="1" t="s">
        <v>970</v>
      </c>
    </row>
    <row r="2156" customFormat="false" ht="15" hidden="false" customHeight="false" outlineLevel="0" collapsed="false">
      <c r="A2156" s="1" t="s">
        <v>904</v>
      </c>
      <c r="B2156" s="0" t="s">
        <v>73</v>
      </c>
      <c r="C2156" s="5" t="n">
        <f aca="false">(Sens!$C$2154+Sens!$C$2155)/Sens!F2114</f>
        <v>406.011940741914</v>
      </c>
    </row>
    <row r="2157" customFormat="false" ht="17.15" hidden="false" customHeight="false" outlineLevel="0" collapsed="false">
      <c r="A2157" s="1" t="s">
        <v>971</v>
      </c>
      <c r="B2157" s="0" t="s">
        <v>73</v>
      </c>
      <c r="C2157" s="5" t="n">
        <f aca="false">w_dcf*Sens!$C$2132+(1-w_dcf)*Sens!$C$2156</f>
        <v>315.292920453915</v>
      </c>
    </row>
    <row r="2158" customFormat="false" ht="17.15" hidden="false" customHeight="false" outlineLevel="0" collapsed="false">
      <c r="A2158" s="3" t="s">
        <v>1174</v>
      </c>
    </row>
    <row r="2159" customFormat="false" ht="15" hidden="false" customHeight="false" outlineLevel="0" collapsed="false">
      <c r="A2159" s="4" t="s">
        <v>43</v>
      </c>
      <c r="B2159" s="4" t="s">
        <v>63</v>
      </c>
      <c r="C2159" s="19" t="s">
        <v>710</v>
      </c>
      <c r="D2159" s="19" t="s">
        <v>711</v>
      </c>
      <c r="E2159" s="19" t="s">
        <v>712</v>
      </c>
      <c r="F2159" s="19" t="s">
        <v>713</v>
      </c>
      <c r="G2159" s="19" t="s">
        <v>714</v>
      </c>
      <c r="H2159" s="19" t="s">
        <v>715</v>
      </c>
      <c r="I2159" s="19" t="s">
        <v>716</v>
      </c>
      <c r="J2159" s="19" t="s">
        <v>717</v>
      </c>
      <c r="K2159" s="19" t="s">
        <v>718</v>
      </c>
      <c r="L2159" s="4" t="s">
        <v>47</v>
      </c>
    </row>
    <row r="2160" customFormat="false" ht="17.15" hidden="false" customHeight="false" outlineLevel="0" collapsed="false">
      <c r="A2160" s="1" t="s">
        <v>719</v>
      </c>
      <c r="B2160" s="0" t="s">
        <v>340</v>
      </c>
      <c r="C2160" s="27" t="n">
        <f aca="false">mw_ext_24</f>
        <v>640</v>
      </c>
      <c r="D2160" s="27" t="n">
        <f aca="false">mw_ext_25</f>
        <v>1630</v>
      </c>
      <c r="E2160" s="27" t="n">
        <f aca="false">mw_ext_26</f>
        <v>3250</v>
      </c>
      <c r="F2160" s="27" t="n">
        <f aca="false">MIN(cap_epoch,Sens!E2160+pace_epoch)</f>
        <v>3900</v>
      </c>
      <c r="G2160" s="27" t="n">
        <f aca="false">MIN(cap_epoch,Sens!F2160+pace_epoch)</f>
        <v>4386</v>
      </c>
      <c r="H2160" s="27" t="n">
        <f aca="false">MIN(cap_epoch,Sens!G2160+pace_epoch)</f>
        <v>4386</v>
      </c>
      <c r="I2160" s="27" t="n">
        <f aca="false">MIN(cap_epoch,Sens!H2160+pace_epoch)</f>
        <v>4386</v>
      </c>
      <c r="J2160" s="27" t="n">
        <f aca="false">MIN(cap_epoch,Sens!I2160+pace_epoch)</f>
        <v>4386</v>
      </c>
      <c r="K2160" s="27" t="n">
        <f aca="false">MIN(cap_epoch,Sens!J2160+pace_epoch)</f>
        <v>4386</v>
      </c>
      <c r="L2160" s="11" t="s">
        <v>720</v>
      </c>
    </row>
    <row r="2161" customFormat="false" ht="17.15" hidden="false" customHeight="false" outlineLevel="0" collapsed="false">
      <c r="A2161" s="1" t="s">
        <v>721</v>
      </c>
      <c r="B2161" s="0" t="s">
        <v>340</v>
      </c>
      <c r="C2161" s="27" t="n">
        <f aca="false">rent_ext_24</f>
        <v>150</v>
      </c>
      <c r="D2161" s="27" t="n">
        <f aca="false">rent_ext_25</f>
        <v>400</v>
      </c>
      <c r="E2161" s="27" t="n">
        <f aca="false">rent_ext_26</f>
        <v>550</v>
      </c>
      <c r="F2161" s="27" t="n">
        <f aca="false">rent_ext_f</f>
        <v>756</v>
      </c>
      <c r="G2161" s="27" t="n">
        <f aca="false">rent_ext_f</f>
        <v>756</v>
      </c>
      <c r="H2161" s="27" t="n">
        <f aca="false">rent_ext_f</f>
        <v>756</v>
      </c>
      <c r="I2161" s="27" t="n">
        <f aca="false">rent_ext_f</f>
        <v>756</v>
      </c>
      <c r="J2161" s="27" t="n">
        <f aca="false">rent_ext_f</f>
        <v>756</v>
      </c>
      <c r="K2161" s="27" t="n">
        <f aca="false">rent_ext_f</f>
        <v>756</v>
      </c>
      <c r="L2161" s="1" t="s">
        <v>722</v>
      </c>
    </row>
    <row r="2162" customFormat="false" ht="17.15" hidden="false" customHeight="false" outlineLevel="0" collapsed="false">
      <c r="A2162" s="1" t="s">
        <v>723</v>
      </c>
      <c r="B2162" s="0" t="s">
        <v>340</v>
      </c>
      <c r="C2162" s="27" t="n">
        <f aca="false">Sens!C2160-Sens!C2161</f>
        <v>490</v>
      </c>
      <c r="D2162" s="27" t="n">
        <f aca="false">Sens!D2160-Sens!D2161</f>
        <v>1230</v>
      </c>
      <c r="E2162" s="27" t="n">
        <f aca="false">Sens!E2160-Sens!E2161</f>
        <v>2700</v>
      </c>
      <c r="F2162" s="27" t="n">
        <f aca="false">Sens!F2160-Sens!F2161</f>
        <v>3144</v>
      </c>
      <c r="G2162" s="27" t="n">
        <f aca="false">Sens!G2160-Sens!G2161</f>
        <v>3630</v>
      </c>
      <c r="H2162" s="27" t="n">
        <f aca="false">Sens!H2160-Sens!H2161</f>
        <v>3630</v>
      </c>
      <c r="I2162" s="27" t="n">
        <f aca="false">Sens!I2160-Sens!I2161</f>
        <v>3630</v>
      </c>
      <c r="J2162" s="27" t="n">
        <f aca="false">Sens!J2160-Sens!J2161</f>
        <v>3630</v>
      </c>
      <c r="K2162" s="27" t="n">
        <f aca="false">Sens!K2160-Sens!K2161</f>
        <v>3630</v>
      </c>
    </row>
    <row r="2163" customFormat="false" ht="17.15" hidden="false" customHeight="false" outlineLevel="0" collapsed="false">
      <c r="A2163" s="1" t="s">
        <v>724</v>
      </c>
      <c r="B2163" s="0" t="s">
        <v>340</v>
      </c>
      <c r="C2163" s="27" t="n">
        <f aca="false">Sens!C2162/ext_sh</f>
        <v>816.666666666667</v>
      </c>
      <c r="D2163" s="27" t="n">
        <f aca="false">Sens!D2162/ext_sh</f>
        <v>2050</v>
      </c>
      <c r="E2163" s="27" t="n">
        <f aca="false">Sens!E2162/ext_sh</f>
        <v>4500</v>
      </c>
      <c r="F2163" s="27" t="n">
        <f aca="false">Sens!F2162/ext_sh</f>
        <v>5240</v>
      </c>
      <c r="G2163" s="27" t="n">
        <f aca="false">Sens!G2162/ext_sh</f>
        <v>6050</v>
      </c>
      <c r="H2163" s="27" t="n">
        <f aca="false">Sens!H2162/ext_sh</f>
        <v>6050</v>
      </c>
      <c r="I2163" s="27" t="n">
        <f aca="false">Sens!I2162/ext_sh</f>
        <v>6050</v>
      </c>
      <c r="J2163" s="27" t="n">
        <f aca="false">Sens!J2162/ext_sh</f>
        <v>6050</v>
      </c>
      <c r="K2163" s="27" t="n">
        <f aca="false">Sens!K2162/ext_sh</f>
        <v>6050</v>
      </c>
      <c r="L2163" s="1" t="s">
        <v>725</v>
      </c>
    </row>
    <row r="2164" customFormat="false" ht="17.15" hidden="false" customHeight="false" outlineLevel="0" collapsed="false">
      <c r="A2164" s="1" t="s">
        <v>726</v>
      </c>
      <c r="B2164" s="0" t="s">
        <v>340</v>
      </c>
      <c r="C2164" s="27" t="n">
        <f aca="false">Sens!C2163-Sens!C2162</f>
        <v>326.666666666667</v>
      </c>
      <c r="D2164" s="27" t="n">
        <f aca="false">Sens!D2163-Sens!D2162</f>
        <v>820</v>
      </c>
      <c r="E2164" s="27" t="n">
        <f aca="false">Sens!E2163-Sens!E2162</f>
        <v>1800</v>
      </c>
      <c r="F2164" s="27" t="n">
        <f aca="false">Sens!F2163-Sens!F2162</f>
        <v>2096</v>
      </c>
      <c r="G2164" s="27" t="n">
        <f aca="false">Sens!G2163-Sens!G2162</f>
        <v>2420</v>
      </c>
      <c r="H2164" s="27" t="n">
        <f aca="false">Sens!H2163-Sens!H2162</f>
        <v>2420</v>
      </c>
      <c r="I2164" s="27" t="n">
        <f aca="false">Sens!I2163-Sens!I2162</f>
        <v>2420</v>
      </c>
      <c r="J2164" s="27" t="n">
        <f aca="false">Sens!J2163-Sens!J2162</f>
        <v>2420</v>
      </c>
      <c r="K2164" s="27" t="n">
        <f aca="false">Sens!K2163-Sens!K2162</f>
        <v>2420</v>
      </c>
    </row>
    <row r="2165" customFormat="false" ht="17.15" hidden="false" customHeight="false" outlineLevel="0" collapsed="false">
      <c r="A2165" s="1" t="s">
        <v>727</v>
      </c>
      <c r="B2165" s="0" t="s">
        <v>340</v>
      </c>
      <c r="C2165" s="27" t="n">
        <f aca="false">Sens!C2163</f>
        <v>816.666666666667</v>
      </c>
      <c r="D2165" s="27" t="n">
        <f aca="false">Sens!D2163-Sens!C2163</f>
        <v>1233.33333333333</v>
      </c>
      <c r="E2165" s="27" t="n">
        <f aca="false">Sens!E2163-Sens!D2163</f>
        <v>2450</v>
      </c>
      <c r="F2165" s="27" t="n">
        <f aca="false">Sens!F2163-Sens!E2163</f>
        <v>740</v>
      </c>
      <c r="G2165" s="27" t="n">
        <f aca="false">Sens!G2163-Sens!F2163</f>
        <v>810</v>
      </c>
      <c r="H2165" s="27" t="n">
        <f aca="false">Sens!H2163-Sens!G2163</f>
        <v>0</v>
      </c>
      <c r="I2165" s="27" t="n">
        <f aca="false">Sens!I2163-Sens!H2163</f>
        <v>0</v>
      </c>
      <c r="J2165" s="27" t="n">
        <f aca="false">Sens!J2163-Sens!I2163</f>
        <v>0</v>
      </c>
      <c r="K2165" s="27" t="n">
        <f aca="false">Sens!K2163-Sens!J2163</f>
        <v>0</v>
      </c>
    </row>
    <row r="2166" customFormat="false" ht="17.15" hidden="false" customHeight="false" outlineLevel="0" collapsed="false">
      <c r="A2166" s="1" t="s">
        <v>728</v>
      </c>
      <c r="B2166" s="0" t="s">
        <v>340</v>
      </c>
      <c r="D2166" s="27" t="n">
        <f aca="false">Sens!D2160-Sens!C2160</f>
        <v>990</v>
      </c>
      <c r="E2166" s="27" t="n">
        <f aca="false">Sens!E2160-Sens!D2160</f>
        <v>1620</v>
      </c>
      <c r="F2166" s="27" t="n">
        <f aca="false">Sens!F2160-Sens!E2160</f>
        <v>650</v>
      </c>
      <c r="G2166" s="27" t="n">
        <f aca="false">Sens!G2160-Sens!F2160</f>
        <v>486</v>
      </c>
      <c r="H2166" s="27" t="n">
        <f aca="false">Sens!H2160-Sens!G2160</f>
        <v>0</v>
      </c>
      <c r="I2166" s="27" t="n">
        <f aca="false">Sens!I2160-Sens!H2160</f>
        <v>0</v>
      </c>
      <c r="J2166" s="27" t="n">
        <f aca="false">Sens!J2160-Sens!I2160</f>
        <v>0</v>
      </c>
      <c r="K2166" s="27" t="n">
        <f aca="false">Sens!K2160-Sens!J2160</f>
        <v>0</v>
      </c>
    </row>
    <row r="2167" customFormat="false" ht="17.15" hidden="false" customHeight="false" outlineLevel="0" collapsed="false">
      <c r="A2167" s="1" t="s">
        <v>729</v>
      </c>
      <c r="B2167" s="0" t="s">
        <v>340</v>
      </c>
      <c r="C2167" s="27" t="n">
        <f aca="false">mix_h*Sens!C2160</f>
        <v>128</v>
      </c>
      <c r="D2167" s="27" t="n">
        <f aca="false">mix_h*Sens!D2160</f>
        <v>326</v>
      </c>
      <c r="E2167" s="27" t="n">
        <f aca="false">mix_h*Sens!E2160</f>
        <v>650</v>
      </c>
      <c r="F2167" s="27" t="n">
        <f aca="false">Sens!E2167</f>
        <v>650</v>
      </c>
      <c r="G2167" s="27" t="n">
        <f aca="false">Sens!F2167</f>
        <v>650</v>
      </c>
      <c r="H2167" s="27" t="n">
        <f aca="false">Sens!G2167</f>
        <v>650</v>
      </c>
      <c r="I2167" s="27" t="n">
        <f aca="false">Sens!H2167</f>
        <v>650</v>
      </c>
      <c r="J2167" s="27" t="n">
        <f aca="false">Sens!I2167</f>
        <v>650</v>
      </c>
      <c r="K2167" s="27" t="n">
        <f aca="false">Sens!J2167</f>
        <v>650</v>
      </c>
    </row>
    <row r="2168" customFormat="false" ht="17.15" hidden="false" customHeight="false" outlineLevel="0" collapsed="false">
      <c r="A2168" s="1" t="s">
        <v>730</v>
      </c>
      <c r="B2168" s="0" t="s">
        <v>340</v>
      </c>
      <c r="C2168" s="27" t="n">
        <f aca="false">mix_g2*Sens!C2160</f>
        <v>288</v>
      </c>
      <c r="D2168" s="27" t="n">
        <f aca="false">mix_g2*Sens!D2160</f>
        <v>733.5</v>
      </c>
      <c r="E2168" s="27" t="n">
        <f aca="false">mix_g2*Sens!E2160</f>
        <v>1462.5</v>
      </c>
      <c r="F2168" s="27" t="n">
        <f aca="false">Sens!E2168</f>
        <v>1462.5</v>
      </c>
      <c r="G2168" s="27" t="n">
        <f aca="false">Sens!F2168</f>
        <v>1462.5</v>
      </c>
      <c r="H2168" s="27" t="n">
        <f aca="false">Sens!G2168</f>
        <v>1462.5</v>
      </c>
      <c r="I2168" s="27" t="n">
        <f aca="false">Sens!H2168</f>
        <v>1462.5</v>
      </c>
      <c r="J2168" s="27" t="n">
        <f aca="false">Sens!I2168</f>
        <v>1462.5</v>
      </c>
      <c r="K2168" s="27" t="n">
        <f aca="false">Sens!J2168</f>
        <v>1462.5</v>
      </c>
    </row>
    <row r="2169" customFormat="false" ht="17.15" hidden="false" customHeight="false" outlineLevel="0" collapsed="false">
      <c r="A2169" s="1" t="s">
        <v>731</v>
      </c>
      <c r="B2169" s="0" t="s">
        <v>340</v>
      </c>
      <c r="C2169" s="27" t="n">
        <f aca="false">mix_g3*Sens!C2160</f>
        <v>224</v>
      </c>
      <c r="D2169" s="27" t="n">
        <f aca="false">mix_g3*Sens!D2160</f>
        <v>570.5</v>
      </c>
      <c r="E2169" s="27" t="n">
        <f aca="false">mix_g3*Sens!E2160</f>
        <v>1137.5</v>
      </c>
      <c r="F2169" s="27" t="n">
        <f aca="false">Sens!E2169+Sens!F2166*a_g3_27</f>
        <v>1592.5</v>
      </c>
      <c r="G2169" s="27" t="n">
        <f aca="false">Sens!F2169+Sens!G2166*a_g3_28</f>
        <v>1738.3</v>
      </c>
      <c r="H2169" s="27" t="n">
        <f aca="false">Sens!G2169+Sens!H2166*a_g3_29</f>
        <v>1738.3</v>
      </c>
      <c r="I2169" s="27" t="n">
        <f aca="false">Sens!H2169+Sens!I2166*a_g3_29</f>
        <v>1738.3</v>
      </c>
      <c r="J2169" s="27" t="n">
        <f aca="false">Sens!I2169+Sens!J2166*a_g3_29</f>
        <v>1738.3</v>
      </c>
      <c r="K2169" s="27" t="n">
        <f aca="false">Sens!J2169+Sens!K2166*a_g3_29</f>
        <v>1738.3</v>
      </c>
    </row>
    <row r="2170" customFormat="false" ht="17.15" hidden="false" customHeight="false" outlineLevel="0" collapsed="false">
      <c r="A2170" s="1" t="s">
        <v>732</v>
      </c>
      <c r="B2170" s="0" t="s">
        <v>340</v>
      </c>
      <c r="C2170" s="27" t="n">
        <f aca="false">0</f>
        <v>0</v>
      </c>
      <c r="D2170" s="27" t="n">
        <f aca="false">0</f>
        <v>0</v>
      </c>
      <c r="E2170" s="27" t="n">
        <f aca="false">0</f>
        <v>0</v>
      </c>
      <c r="F2170" s="27" t="n">
        <f aca="false">Sens!E2170+Sens!F2166*(1-a_g3_27)</f>
        <v>195</v>
      </c>
      <c r="G2170" s="27" t="n">
        <f aca="false">Sens!F2170+Sens!G2166*(1-a_g3_28)</f>
        <v>535.2</v>
      </c>
      <c r="H2170" s="27" t="n">
        <f aca="false">Sens!G2170+Sens!H2166*(1-a_g3_29)</f>
        <v>535.2</v>
      </c>
      <c r="I2170" s="27" t="n">
        <f aca="false">Sens!H2170+Sens!I2166*(1-a_g3_29)</f>
        <v>535.2</v>
      </c>
      <c r="J2170" s="27" t="n">
        <f aca="false">Sens!I2170+Sens!J2166*(1-a_g3_29)</f>
        <v>535.2</v>
      </c>
      <c r="K2170" s="27" t="n">
        <f aca="false">Sens!J2170+Sens!K2166*(1-a_g3_29)</f>
        <v>535.2</v>
      </c>
    </row>
    <row r="2171" customFormat="false" ht="17.15" hidden="false" customHeight="false" outlineLevel="0" collapsed="false">
      <c r="A2171" s="1" t="s">
        <v>733</v>
      </c>
      <c r="B2171" s="0" t="s">
        <v>291</v>
      </c>
      <c r="C2171" s="18" t="n">
        <f aca="false">(Sens!C2167*tk_hold_h100+Sens!C2168*tk_hold_gb200+Sens!C2169*tk_hold_gb300+Sens!C2170*tk_hold_vr200)/Sens!C2160</f>
        <v>9.7235358126469</v>
      </c>
      <c r="D2171" s="18" t="n">
        <f aca="false">(Sens!D2167*tk_hold_h100+Sens!D2168*tk_hold_gb200+Sens!D2169*tk_hold_gb300+Sens!D2170*tk_hold_vr200)/Sens!D2160</f>
        <v>9.7235358126469</v>
      </c>
      <c r="E2171" s="18" t="n">
        <f aca="false">(Sens!E2167*tk_hold_h100+Sens!E2168*tk_hold_gb200+Sens!E2169*tk_hold_gb300+Sens!E2170*tk_hold_vr200)/Sens!E2160</f>
        <v>9.7235358126469</v>
      </c>
      <c r="F2171" s="18" t="n">
        <f aca="false">(Sens!F2167*tk_hold_h100+Sens!F2168*tk_hold_gb200+Sens!F2169*tk_hold_gb300+Sens!F2170*tk_hold_vr200)/Sens!F2160</f>
        <v>9.9843013443478</v>
      </c>
      <c r="G2171" s="18" t="n">
        <f aca="false">(Sens!G2167*tk_hold_h100+Sens!G2168*tk_hold_gb200+Sens!G2169*tk_hold_gb300+Sens!G2170*tk_hold_vr200)/Sens!G2160</f>
        <v>10.1881256732384</v>
      </c>
      <c r="H2171" s="18" t="n">
        <f aca="false">(Sens!H2167*tk_hold_h100+Sens!H2168*tk_hold_gb200+Sens!H2169*tk_hold_gb300+Sens!H2170*tk_hold_vr200)/Sens!H2160</f>
        <v>10.1881256732384</v>
      </c>
      <c r="I2171" s="18" t="n">
        <f aca="false">(Sens!I2167*tk_hold_h100+Sens!I2168*tk_hold_gb200+Sens!I2169*tk_hold_gb300+Sens!I2170*tk_hold_vr200)/Sens!I2160</f>
        <v>10.1881256732384</v>
      </c>
      <c r="J2171" s="18" t="n">
        <f aca="false">(Sens!J2167*tk_hold_h100+Sens!J2168*tk_hold_gb200+Sens!J2169*tk_hold_gb300+Sens!J2170*tk_hold_vr200)/Sens!J2160</f>
        <v>10.1881256732384</v>
      </c>
      <c r="K2171" s="18" t="n">
        <f aca="false">(Sens!K2167*tk_hold_h100+Sens!K2168*tk_hold_gb200+Sens!K2169*tk_hold_gb300+Sens!K2170*tk_hold_vr200)/Sens!K2160</f>
        <v>10.1881256732384</v>
      </c>
    </row>
    <row r="2172" customFormat="false" ht="17.15" hidden="false" customHeight="false" outlineLevel="0" collapsed="false">
      <c r="A2172" s="0" t="s">
        <v>734</v>
      </c>
      <c r="B2172" s="0" t="s">
        <v>182</v>
      </c>
      <c r="C2172" s="18" t="n">
        <f aca="false">k_B</f>
        <v>1.17213932619116</v>
      </c>
      <c r="D2172" s="18" t="n">
        <f aca="false">k_B</f>
        <v>1.17213932619116</v>
      </c>
      <c r="E2172" s="18" t="n">
        <f aca="false">k_B</f>
        <v>1.17213932619116</v>
      </c>
      <c r="F2172" s="18" t="n">
        <f aca="false">(k_B+((ls_A*k_long+(1-ls_A)*k_spot)-k_B)*MIN(1,1/3))*1</f>
        <v>1.25022828131298</v>
      </c>
      <c r="G2172" s="18" t="n">
        <f aca="false">(k_B+((ls_A*k_long+(1-ls_A)*k_spot)-k_B)*MIN(1,2/3))*1</f>
        <v>1.3283172364348</v>
      </c>
      <c r="H2172" s="18" t="n">
        <f aca="false">(k_B+((ls_A*k_long+(1-ls_A)*k_spot)-k_B)*MIN(1,3/3))*1</f>
        <v>1.40640619155662</v>
      </c>
      <c r="I2172" s="18" t="n">
        <f aca="false">(k_B+((ls_A*k_long+(1-ls_A)*k_spot)-k_B)*MIN(1,4/3))*1</f>
        <v>1.40640619155662</v>
      </c>
      <c r="J2172" s="18" t="n">
        <f aca="false">(k_B+((ls_A*k_long+(1-ls_A)*k_spot)-k_B)*MIN(1,5/3))*1</f>
        <v>1.40640619155662</v>
      </c>
      <c r="K2172" s="18" t="n">
        <f aca="false">(k_B+((ls_A*k_long+(1-ls_A)*k_spot)-k_B)*MIN(1,6/3))*1</f>
        <v>1.40640619155662</v>
      </c>
      <c r="L2172" s="1" t="s">
        <v>735</v>
      </c>
    </row>
    <row r="2173" customFormat="false" ht="17.15" hidden="false" customHeight="false" outlineLevel="0" collapsed="false">
      <c r="A2173" s="1" t="s">
        <v>736</v>
      </c>
      <c r="B2173" s="0" t="s">
        <v>291</v>
      </c>
      <c r="C2173" s="18" t="n">
        <f aca="false">Sens!C2171*Sens!C2172*chip_f</f>
        <v>11.3973387156315</v>
      </c>
      <c r="D2173" s="18" t="n">
        <f aca="false">Sens!D2171*Sens!D2172*chip_f</f>
        <v>11.3973387156315</v>
      </c>
      <c r="E2173" s="18" t="n">
        <f aca="false">Sens!E2171*Sens!E2172*chip_f</f>
        <v>11.3973387156315</v>
      </c>
      <c r="F2173" s="18" t="n">
        <f aca="false">Sens!F2171*Sens!F2172*chip_f</f>
        <v>12.4826559098548</v>
      </c>
      <c r="G2173" s="18" t="n">
        <f aca="false">Sens!G2171*Sens!G2172*chip_f</f>
        <v>13.5330629387264</v>
      </c>
      <c r="H2173" s="18" t="n">
        <f aca="false">Sens!H2171*Sens!H2172*chip_f</f>
        <v>14.3286430271994</v>
      </c>
      <c r="I2173" s="18" t="n">
        <f aca="false">Sens!I2171*Sens!I2172*chip_f</f>
        <v>14.3286430271994</v>
      </c>
      <c r="J2173" s="18" t="n">
        <f aca="false">Sens!J2171*Sens!J2172*chip_f</f>
        <v>14.3286430271994</v>
      </c>
      <c r="K2173" s="18" t="n">
        <f aca="false">Sens!K2171*Sens!K2172*chip_f</f>
        <v>14.3286430271994</v>
      </c>
      <c r="L2173" s="1" t="s">
        <v>737</v>
      </c>
    </row>
    <row r="2174" customFormat="false" ht="17.15" hidden="false" customHeight="false" outlineLevel="0" collapsed="false">
      <c r="A2174" s="0" t="s">
        <v>738</v>
      </c>
      <c r="B2174" s="0" t="s">
        <v>95</v>
      </c>
      <c r="D2174" s="6" t="n">
        <f aca="false">(Sens!C2160+Sens!D2160)/2*Sens!D2173/1000</f>
        <v>12.9359794422418</v>
      </c>
      <c r="E2174" s="6" t="n">
        <f aca="false">(Sens!D2160+Sens!E2160)/2*Sens!E2173/1000</f>
        <v>27.8095064661409</v>
      </c>
      <c r="F2174" s="6" t="n">
        <f aca="false">(Sens!E2160+Sens!F2160)/2*Sens!F2173/1000</f>
        <v>44.6254948777308</v>
      </c>
      <c r="G2174" s="6" t="n">
        <f aca="false">(Sens!F2160+Sens!G2160)/2*Sens!G2173/1000</f>
        <v>56.0674797551436</v>
      </c>
      <c r="H2174" s="6" t="n">
        <f aca="false">(Sens!G2160+Sens!H2160)/2*Sens!H2173/1000</f>
        <v>62.8454283172966</v>
      </c>
      <c r="I2174" s="6" t="n">
        <f aca="false">(Sens!H2160+Sens!I2160)/2*Sens!I2173/1000</f>
        <v>62.8454283172966</v>
      </c>
      <c r="J2174" s="6" t="n">
        <f aca="false">(Sens!I2160+Sens!J2160)/2*Sens!J2173/1000</f>
        <v>62.8454283172966</v>
      </c>
      <c r="K2174" s="6" t="n">
        <f aca="false">(Sens!J2160+Sens!K2160)/2*Sens!K2173/1000</f>
        <v>62.8454283172966</v>
      </c>
      <c r="L2174" s="11" t="s">
        <v>739</v>
      </c>
    </row>
    <row r="2175" customFormat="false" ht="17.15" hidden="false" customHeight="false" outlineLevel="0" collapsed="false">
      <c r="A2175" s="1" t="s">
        <v>740</v>
      </c>
      <c r="B2175" s="0" t="s">
        <v>291</v>
      </c>
      <c r="C2175" s="18" t="n">
        <f aca="false">(Sens!C2167*tk_opex_h100+Sens!C2168*tk_opex_gb200+Sens!C2169*tk_opex_gb300+Sens!C2170*tk_opex_vr200)/Sens!C2160</f>
        <v>1.88636041306092</v>
      </c>
      <c r="D2175" s="18" t="n">
        <f aca="false">(Sens!D2167*tk_opex_h100+Sens!D2168*tk_opex_gb200+Sens!D2169*tk_opex_gb300+Sens!D2170*tk_opex_vr200)/Sens!D2160</f>
        <v>1.88636041306092</v>
      </c>
      <c r="E2175" s="18" t="n">
        <f aca="false">(Sens!E2167*tk_opex_h100+Sens!E2168*tk_opex_gb200+Sens!E2169*tk_opex_gb300+Sens!E2170*tk_opex_vr200)/Sens!E2160</f>
        <v>1.88636041306092</v>
      </c>
      <c r="F2175" s="18" t="n">
        <f aca="false">(Sens!F2167*tk_opex_h100+Sens!F2168*tk_opex_gb200+Sens!F2169*tk_opex_gb300+Sens!F2170*tk_opex_vr200)/Sens!F2160</f>
        <v>1.90794918316667</v>
      </c>
      <c r="G2175" s="18" t="n">
        <f aca="false">(Sens!G2167*tk_opex_h100+Sens!G2168*tk_opex_gb200+Sens!G2169*tk_opex_gb300+Sens!G2170*tk_opex_vr200)/Sens!G2160</f>
        <v>1.92482379289624</v>
      </c>
      <c r="H2175" s="18" t="n">
        <f aca="false">(Sens!H2167*tk_opex_h100+Sens!H2168*tk_opex_gb200+Sens!H2169*tk_opex_gb300+Sens!H2170*tk_opex_vr200)/Sens!H2160</f>
        <v>1.92482379289624</v>
      </c>
      <c r="I2175" s="18" t="n">
        <f aca="false">(Sens!I2167*tk_opex_h100+Sens!I2168*tk_opex_gb200+Sens!I2169*tk_opex_gb300+Sens!I2170*tk_opex_vr200)/Sens!I2160</f>
        <v>1.92482379289624</v>
      </c>
      <c r="J2175" s="18" t="n">
        <f aca="false">(Sens!J2167*tk_opex_h100+Sens!J2168*tk_opex_gb200+Sens!J2169*tk_opex_gb300+Sens!J2170*tk_opex_vr200)/Sens!J2160</f>
        <v>1.92482379289624</v>
      </c>
      <c r="K2175" s="18" t="n">
        <f aca="false">(Sens!K2167*tk_opex_h100+Sens!K2168*tk_opex_gb200+Sens!K2169*tk_opex_gb300+Sens!K2170*tk_opex_vr200)/Sens!K2160</f>
        <v>1.92482379289624</v>
      </c>
    </row>
    <row r="2176" customFormat="false" ht="17.15" hidden="false" customHeight="false" outlineLevel="0" collapsed="false">
      <c r="A2176" s="0" t="s">
        <v>741</v>
      </c>
      <c r="B2176" s="0" t="s">
        <v>95</v>
      </c>
      <c r="D2176" s="6" t="n">
        <f aca="false">(Sens!C2163+Sens!D2163)/2*Sens!D2175/1000</f>
        <v>2.70378325872065</v>
      </c>
      <c r="E2176" s="6" t="n">
        <f aca="false">(Sens!D2163+Sens!E2163)/2*Sens!E2175/1000</f>
        <v>6.17783035277451</v>
      </c>
      <c r="F2176" s="6" t="n">
        <f aca="false">(Sens!E2163+Sens!F2163)/2*Sens!F2175/1000</f>
        <v>9.29171252202166</v>
      </c>
      <c r="G2176" s="6" t="n">
        <f aca="false">(Sens!F2163+Sens!G2163)/2*Sens!G2175/1000</f>
        <v>10.8656303108993</v>
      </c>
      <c r="H2176" s="6" t="n">
        <f aca="false">(Sens!G2163+Sens!H2163)/2*Sens!H2175/1000</f>
        <v>11.6451839470223</v>
      </c>
      <c r="I2176" s="6" t="n">
        <f aca="false">(Sens!H2163+Sens!I2163)/2*Sens!I2175/1000</f>
        <v>11.6451839470223</v>
      </c>
      <c r="J2176" s="6" t="n">
        <f aca="false">(Sens!I2163+Sens!J2163)/2*Sens!J2175/1000</f>
        <v>11.6451839470223</v>
      </c>
      <c r="K2176" s="6" t="n">
        <f aca="false">(Sens!J2163+Sens!K2163)/2*Sens!K2175/1000</f>
        <v>11.6451839470223</v>
      </c>
    </row>
    <row r="2177" customFormat="false" ht="17.15" hidden="false" customHeight="false" outlineLevel="0" collapsed="false">
      <c r="A2177" s="0" t="s">
        <v>742</v>
      </c>
      <c r="B2177" s="0" t="s">
        <v>95</v>
      </c>
      <c r="D2177" s="6" t="n">
        <f aca="false">(Sens!C2161+Sens!D2161)/2*rent_mw/1000</f>
        <v>2.44475</v>
      </c>
      <c r="E2177" s="6" t="n">
        <f aca="false">(Sens!D2161+Sens!E2161)/2*rent_mw/1000</f>
        <v>4.22275</v>
      </c>
      <c r="F2177" s="6" t="n">
        <f aca="false">(Sens!E2161+Sens!F2161)/2*rent_mw/1000</f>
        <v>5.80517</v>
      </c>
      <c r="G2177" s="6" t="n">
        <f aca="false">(Sens!F2161+Sens!G2161)/2*rent_mw/1000</f>
        <v>6.72084</v>
      </c>
      <c r="H2177" s="6" t="n">
        <f aca="false">(Sens!G2161+Sens!H2161)/2*rent_mw/1000</f>
        <v>6.72084</v>
      </c>
      <c r="I2177" s="6" t="n">
        <f aca="false">(Sens!H2161+Sens!I2161)/2*rent_mw/1000</f>
        <v>6.72084</v>
      </c>
      <c r="J2177" s="6" t="n">
        <f aca="false">(Sens!I2161+Sens!J2161)/2*rent_mw/1000</f>
        <v>6.72084</v>
      </c>
      <c r="K2177" s="6" t="n">
        <f aca="false">(Sens!J2161+Sens!K2161)/2*rent_mw/1000</f>
        <v>6.72084</v>
      </c>
    </row>
    <row r="2178" customFormat="false" ht="17.15" hidden="false" customHeight="false" outlineLevel="0" collapsed="false">
      <c r="A2178" s="0" t="s">
        <v>743</v>
      </c>
      <c r="B2178" s="0" t="s">
        <v>95</v>
      </c>
      <c r="D2178" s="6" t="n">
        <f aca="false">(Sens!C2163+Sens!D2163)/2*(1-self_build)*fac_rent/1000</f>
        <v>0.853242375631075</v>
      </c>
      <c r="E2178" s="6" t="n">
        <f aca="false">(Sens!D2163+Sens!E2163)/2*(1-self_build)*fac_rent/1000</f>
        <v>1.94955961408728</v>
      </c>
      <c r="F2178" s="6" t="n">
        <f aca="false">(Sens!E2163+Sens!F2163)/2*(1-self_build)*fac_rent/1000</f>
        <v>2.89903979255117</v>
      </c>
      <c r="G2178" s="6" t="n">
        <f aca="false">(Sens!F2163+Sens!G2163)/2*(1-self_build)*fac_rent/1000</f>
        <v>3.36038596077029</v>
      </c>
      <c r="H2178" s="6" t="n">
        <f aca="false">(Sens!G2163+Sens!H2163)/2*(1-self_build)*fac_rent/1000</f>
        <v>3.60147653900094</v>
      </c>
      <c r="I2178" s="6" t="n">
        <f aca="false">(Sens!H2163+Sens!I2163)/2*(1-self_build)*fac_rent/1000</f>
        <v>3.60147653900094</v>
      </c>
      <c r="J2178" s="6" t="n">
        <f aca="false">(Sens!I2163+Sens!J2163)/2*(1-self_build)*fac_rent/1000</f>
        <v>3.60147653900094</v>
      </c>
      <c r="K2178" s="6" t="n">
        <f aca="false">(Sens!J2163+Sens!K2163)/2*(1-self_build)*fac_rent/1000</f>
        <v>3.60147653900094</v>
      </c>
      <c r="L2178" s="11" t="s">
        <v>744</v>
      </c>
    </row>
    <row r="2179" customFormat="false" ht="17.15" hidden="false" customHeight="false" outlineLevel="0" collapsed="false">
      <c r="A2179" s="1" t="s">
        <v>745</v>
      </c>
      <c r="B2179" s="0" t="s">
        <v>126</v>
      </c>
      <c r="D2179" s="7" t="n">
        <f aca="false">(Sens!C2162+Sens!D2162)/(Sens!C2163+Sens!D2163)</f>
        <v>0.6</v>
      </c>
      <c r="E2179" s="7" t="n">
        <f aca="false">(Sens!D2162+Sens!E2162)/(Sens!D2163+Sens!E2163)</f>
        <v>0.6</v>
      </c>
      <c r="F2179" s="7" t="n">
        <f aca="false">(Sens!E2162+Sens!F2162)/(Sens!E2163+Sens!F2163)</f>
        <v>0.6</v>
      </c>
      <c r="G2179" s="7" t="n">
        <f aca="false">(Sens!F2162+Sens!G2162)/(Sens!F2163+Sens!G2163)</f>
        <v>0.6</v>
      </c>
      <c r="H2179" s="7" t="n">
        <f aca="false">(Sens!G2162+Sens!H2162)/(Sens!G2163+Sens!H2163)</f>
        <v>0.6</v>
      </c>
      <c r="I2179" s="7" t="n">
        <f aca="false">(Sens!H2162+Sens!I2162)/(Sens!H2163+Sens!I2163)</f>
        <v>0.6</v>
      </c>
      <c r="J2179" s="7" t="n">
        <f aca="false">(Sens!I2162+Sens!J2162)/(Sens!I2163+Sens!J2163)</f>
        <v>0.6</v>
      </c>
      <c r="K2179" s="7" t="n">
        <f aca="false">(Sens!J2162+Sens!K2162)/(Sens!J2163+Sens!K2163)</f>
        <v>0.6</v>
      </c>
    </row>
    <row r="2180" customFormat="false" ht="17.15" hidden="false" customHeight="false" outlineLevel="0" collapsed="false">
      <c r="A2180" s="0" t="s">
        <v>746</v>
      </c>
      <c r="B2180" s="0" t="s">
        <v>95</v>
      </c>
      <c r="D2180" s="6" t="n">
        <f aca="false">Sens!D2174-Sens!D2179*(Sens!D2176+Sens!D2178)-Sens!D2177</f>
        <v>8.35701406163072</v>
      </c>
      <c r="E2180" s="6" t="n">
        <f aca="false">Sens!E2174-Sens!E2179*(Sens!E2176+Sens!E2178)-Sens!E2177</f>
        <v>18.7103224860238</v>
      </c>
      <c r="F2180" s="6" t="n">
        <f aca="false">Sens!F2174-Sens!F2179*(Sens!F2176+Sens!F2178)-Sens!F2177</f>
        <v>31.5058734889871</v>
      </c>
      <c r="G2180" s="6" t="n">
        <f aca="false">Sens!G2174-Sens!G2179*(Sens!G2176+Sens!G2178)-Sens!G2177</f>
        <v>40.8110299921418</v>
      </c>
      <c r="H2180" s="6" t="n">
        <f aca="false">Sens!H2174-Sens!H2179*(Sens!H2176+Sens!H2178)-Sens!H2177</f>
        <v>46.9765920256827</v>
      </c>
      <c r="I2180" s="6" t="n">
        <f aca="false">Sens!I2174-Sens!I2179*(Sens!I2176+Sens!I2178)-Sens!I2177</f>
        <v>46.9765920256827</v>
      </c>
      <c r="J2180" s="6" t="n">
        <f aca="false">Sens!J2174-Sens!J2179*(Sens!J2176+Sens!J2178)-Sens!J2177</f>
        <v>46.9765920256827</v>
      </c>
      <c r="K2180" s="6" t="n">
        <f aca="false">Sens!K2174-Sens!K2179*(Sens!K2176+Sens!K2178)-Sens!K2177</f>
        <v>46.9765920256827</v>
      </c>
    </row>
    <row r="2181" customFormat="false" ht="17.15" hidden="false" customHeight="false" outlineLevel="0" collapsed="false">
      <c r="A2181" s="1" t="s">
        <v>747</v>
      </c>
      <c r="B2181" s="0" t="s">
        <v>95</v>
      </c>
      <c r="D2181" s="6" t="n">
        <f aca="false">(1-Sens!D2179)*(Sens!D2176+Sens!D2178)</f>
        <v>1.42281025374069</v>
      </c>
      <c r="E2181" s="6" t="n">
        <f aca="false">(1-Sens!E2179)*(Sens!E2176+Sens!E2178)</f>
        <v>3.25095598674472</v>
      </c>
      <c r="F2181" s="6" t="n">
        <f aca="false">(1-Sens!F2179)*(Sens!F2176+Sens!F2178)</f>
        <v>4.87630092582913</v>
      </c>
      <c r="G2181" s="6" t="n">
        <f aca="false">(1-Sens!G2179)*(Sens!G2176+Sens!G2178)</f>
        <v>5.69040650866783</v>
      </c>
      <c r="H2181" s="6" t="n">
        <f aca="false">(1-Sens!H2179)*(Sens!H2176+Sens!H2178)</f>
        <v>6.09866419440928</v>
      </c>
      <c r="I2181" s="6" t="n">
        <f aca="false">(1-Sens!I2179)*(Sens!I2176+Sens!I2178)</f>
        <v>6.09866419440928</v>
      </c>
      <c r="J2181" s="6" t="n">
        <f aca="false">(1-Sens!J2179)*(Sens!J2176+Sens!J2178)</f>
        <v>6.09866419440928</v>
      </c>
      <c r="K2181" s="6" t="n">
        <f aca="false">(1-Sens!K2179)*(Sens!K2176+Sens!K2178)</f>
        <v>6.09866419440928</v>
      </c>
    </row>
    <row r="2182" customFormat="false" ht="17.15" hidden="false" customHeight="false" outlineLevel="0" collapsed="false">
      <c r="A2182" s="1" t="s">
        <v>748</v>
      </c>
      <c r="B2182" s="0" t="s">
        <v>302</v>
      </c>
      <c r="C2182" s="8" t="n">
        <f aca="false">cxit_open</f>
        <v>27.5918995</v>
      </c>
      <c r="D2182" s="8" t="n">
        <f aca="false">cxit_open</f>
        <v>27.5918995</v>
      </c>
      <c r="E2182" s="8" t="n">
        <f aca="false">cxit_open</f>
        <v>27.5918995</v>
      </c>
      <c r="F2182" s="8" t="n">
        <f aca="false">(a_g3_27*tk_cxit_gb300+(1-a_g3_27)*tk_cxit_vr200)</f>
        <v>33.8419624</v>
      </c>
      <c r="G2182" s="8" t="n">
        <f aca="false">(a_g3_28*tk_cxit_gb300+(1-a_g3_28)*tk_cxit_vr200)</f>
        <v>35.9816136</v>
      </c>
      <c r="H2182" s="8" t="n">
        <f aca="false">(a_g3_29*tk_cxit_gb300+(1-a_g3_29)*tk_cxit_vr200)</f>
        <v>37.0514392</v>
      </c>
      <c r="I2182" s="8" t="n">
        <f aca="false">(a_g3_29*tk_cxit_gb300+(1-a_g3_29)*tk_cxit_vr200)</f>
        <v>37.0514392</v>
      </c>
      <c r="J2182" s="8" t="n">
        <f aca="false">(a_g3_29*tk_cxit_gb300+(1-a_g3_29)*tk_cxit_vr200)</f>
        <v>37.0514392</v>
      </c>
      <c r="K2182" s="8" t="n">
        <f aca="false">(a_g3_29*tk_cxit_gb300+(1-a_g3_29)*tk_cxit_vr200)</f>
        <v>37.0514392</v>
      </c>
      <c r="L2182" s="11" t="s">
        <v>749</v>
      </c>
    </row>
    <row r="2183" customFormat="false" ht="17.15" hidden="false" customHeight="false" outlineLevel="0" collapsed="false">
      <c r="A2183" s="0" t="s">
        <v>750</v>
      </c>
      <c r="B2183" s="0" t="s">
        <v>340</v>
      </c>
      <c r="F2183" s="27" t="n">
        <f aca="false">Sens!C2165*IF(3=life_it,1,0)+Sens!D2165*IF(2=life_it,1,0)+Sens!E2165*IF(1=life_it,1,0)</f>
        <v>0</v>
      </c>
      <c r="G2183" s="27" t="n">
        <f aca="false">Sens!C2165*IF(4=life_it,1,0)+Sens!D2165*IF(3=life_it,1,0)+Sens!E2165*IF(2=life_it,1,0)+Sens!F2165*IF(1=life_it,1,0)</f>
        <v>0</v>
      </c>
      <c r="H2183" s="27" t="n">
        <f aca="false">Sens!C2165*IF(5=life_it,1,0)+Sens!D2165*IF(4=life_it,1,0)+Sens!E2165*IF(3=life_it,1,0)+Sens!F2165*IF(2=life_it,1,0)+Sens!G2165*IF(1=life_it,1,0)</f>
        <v>0</v>
      </c>
      <c r="I2183" s="27" t="n">
        <f aca="false">Sens!C2165*IF(6=life_it,1,0)+Sens!D2165*IF(5=life_it,1,0)+Sens!E2165*IF(4=life_it,1,0)+Sens!F2165*IF(3=life_it,1,0)+Sens!G2165*IF(2=life_it,1,0)+Sens!H2165*IF(1=life_it,1,0)</f>
        <v>816.666666666667</v>
      </c>
      <c r="J2183" s="27" t="n">
        <f aca="false">Sens!C2165*IF(7=life_it,1,0)+Sens!D2165*IF(6=life_it,1,0)+Sens!E2165*IF(5=life_it,1,0)+Sens!F2165*IF(4=life_it,1,0)+Sens!G2165*IF(3=life_it,1,0)+Sens!H2165*IF(2=life_it,1,0)+Sens!I2165*IF(1=life_it,1,0)</f>
        <v>1233.33333333333</v>
      </c>
      <c r="K2183" s="27" t="n">
        <f aca="false">Sens!C2165*IF(8=life_it,1,0)+Sens!D2165*IF(7=life_it,1,0)+Sens!E2165*IF(6=life_it,1,0)+Sens!F2165*IF(5=life_it,1,0)+Sens!G2165*IF(4=life_it,1,0)+Sens!H2165*IF(3=life_it,1,0)+Sens!I2165*IF(2=life_it,1,0)+Sens!J2165*IF(1=life_it,1,0)</f>
        <v>2450</v>
      </c>
      <c r="L2183" s="1" t="s">
        <v>751</v>
      </c>
    </row>
    <row r="2184" customFormat="false" ht="17.15" hidden="false" customHeight="false" outlineLevel="0" collapsed="false">
      <c r="A2184" s="0" t="s">
        <v>752</v>
      </c>
      <c r="B2184" s="0" t="s">
        <v>95</v>
      </c>
      <c r="C2184" s="6" t="n">
        <f aca="false">Sens!C2165*Sens!C2182/1000</f>
        <v>22.5333845916667</v>
      </c>
      <c r="D2184" s="6" t="n">
        <f aca="false">Sens!D2165*Sens!D2182/1000</f>
        <v>34.0300093833333</v>
      </c>
      <c r="E2184" s="6" t="n">
        <f aca="false">Sens!E2165*Sens!E2182/1000</f>
        <v>67.600153775</v>
      </c>
      <c r="F2184" s="6" t="n">
        <f aca="false">(Sens!F2165+Sens!F2183)*Sens!F2182/1000</f>
        <v>25.043052176</v>
      </c>
      <c r="G2184" s="6" t="n">
        <f aca="false">(Sens!G2165+Sens!G2183)*Sens!G2182/1000</f>
        <v>29.145107016</v>
      </c>
      <c r="H2184" s="6" t="n">
        <f aca="false">(Sens!H2165+Sens!H2183)*Sens!H2182/1000</f>
        <v>0</v>
      </c>
      <c r="I2184" s="6" t="n">
        <f aca="false">(Sens!I2165+Sens!I2183)*Sens!I2182/1000</f>
        <v>30.2586753466667</v>
      </c>
      <c r="J2184" s="6" t="n">
        <f aca="false">(Sens!J2165+Sens!J2183)*Sens!J2182/1000</f>
        <v>45.6967750133333</v>
      </c>
      <c r="K2184" s="6" t="n">
        <f aca="false">(Sens!K2165+Sens!K2183)*Sens!K2182/1000</f>
        <v>90.77602604</v>
      </c>
    </row>
    <row r="2185" customFormat="false" ht="17.15" hidden="false" customHeight="false" outlineLevel="0" collapsed="false">
      <c r="A2185" s="0" t="s">
        <v>753</v>
      </c>
      <c r="B2185" s="0" t="s">
        <v>95</v>
      </c>
      <c r="C2185" s="6" t="n">
        <f aca="false">Sens!C2165*self_build*tk_cxfac/1000</f>
        <v>6.2083</v>
      </c>
      <c r="D2185" s="6" t="n">
        <f aca="false">Sens!D2165*self_build*tk_cxfac/1000</f>
        <v>9.3758</v>
      </c>
      <c r="E2185" s="6" t="n">
        <f aca="false">Sens!E2165*self_build*tk_cxfac/1000</f>
        <v>18.6249</v>
      </c>
      <c r="F2185" s="6" t="n">
        <f aca="false">Sens!F2165*self_build*tk_cxfac/1000</f>
        <v>5.62548</v>
      </c>
      <c r="G2185" s="6" t="n">
        <f aca="false">Sens!G2165*self_build*tk_cxfac/1000</f>
        <v>6.15762</v>
      </c>
      <c r="H2185" s="6" t="n">
        <f aca="false">Sens!H2165*self_build*tk_cxfac/1000</f>
        <v>0</v>
      </c>
      <c r="I2185" s="6" t="n">
        <f aca="false">Sens!I2165*self_build*tk_cxfac/1000</f>
        <v>0</v>
      </c>
      <c r="J2185" s="6" t="n">
        <f aca="false">Sens!J2165*self_build*tk_cxfac/1000</f>
        <v>0</v>
      </c>
      <c r="K2185" s="6" t="n">
        <f aca="false">Sens!K2165*self_build*tk_cxfac/1000</f>
        <v>0</v>
      </c>
    </row>
    <row r="2186" customFormat="false" ht="17.15" hidden="false" customHeight="false" outlineLevel="0" collapsed="false">
      <c r="A2186" s="0" t="s">
        <v>754</v>
      </c>
      <c r="B2186" s="0" t="s">
        <v>95</v>
      </c>
      <c r="F2186" s="6" t="n">
        <f aca="false">MAX(0,capex_floor27-Sens!F2184-Sens!F2185-Sens!F2273)</f>
        <v>137.802120594438</v>
      </c>
      <c r="G2186" s="6" t="n">
        <f aca="false">0</f>
        <v>0</v>
      </c>
      <c r="H2186" s="6" t="n">
        <f aca="false">0</f>
        <v>0</v>
      </c>
      <c r="I2186" s="6" t="n">
        <f aca="false">0</f>
        <v>0</v>
      </c>
      <c r="J2186" s="6" t="n">
        <f aca="false">0</f>
        <v>0</v>
      </c>
      <c r="K2186" s="6" t="n">
        <f aca="false">0</f>
        <v>0</v>
      </c>
      <c r="L2186" s="1" t="s">
        <v>755</v>
      </c>
    </row>
    <row r="2187" customFormat="false" ht="17.15" hidden="false" customHeight="false" outlineLevel="0" collapsed="false">
      <c r="A2187" s="0" t="s">
        <v>756</v>
      </c>
      <c r="B2187" s="0" t="s">
        <v>95</v>
      </c>
      <c r="C2187" s="6" t="n">
        <f aca="false">Sens!C2184</f>
        <v>22.5333845916667</v>
      </c>
      <c r="D2187" s="6" t="n">
        <f aca="false">Sens!D2184</f>
        <v>34.0300093833333</v>
      </c>
      <c r="E2187" s="6" t="n">
        <f aca="false">Sens!E2184</f>
        <v>67.600153775</v>
      </c>
      <c r="F2187" s="6" t="n">
        <f aca="false">Sens!F2184+Sens!F2186</f>
        <v>162.845172770438</v>
      </c>
      <c r="G2187" s="6" t="n">
        <f aca="false">Sens!G2184+Sens!G2186</f>
        <v>29.145107016</v>
      </c>
      <c r="H2187" s="6" t="n">
        <f aca="false">Sens!H2184+Sens!H2186</f>
        <v>0</v>
      </c>
      <c r="I2187" s="6" t="n">
        <f aca="false">Sens!I2184+Sens!I2186</f>
        <v>30.2586753466667</v>
      </c>
      <c r="J2187" s="6" t="n">
        <f aca="false">Sens!J2184+Sens!J2186</f>
        <v>45.6967750133333</v>
      </c>
      <c r="K2187" s="6" t="n">
        <f aca="false">Sens!K2184+Sens!K2186</f>
        <v>90.77602604</v>
      </c>
    </row>
    <row r="2188" customFormat="false" ht="17.15" hidden="false" customHeight="false" outlineLevel="0" collapsed="false">
      <c r="A2188" s="0" t="s">
        <v>757</v>
      </c>
      <c r="B2188" s="0" t="s">
        <v>95</v>
      </c>
      <c r="C2188" s="6" t="n">
        <f aca="false">Sens!C2187+Sens!C2185</f>
        <v>28.7416845916667</v>
      </c>
      <c r="D2188" s="6" t="n">
        <f aca="false">Sens!D2187+Sens!D2185</f>
        <v>43.4058093833333</v>
      </c>
      <c r="E2188" s="6" t="n">
        <f aca="false">Sens!E2187+Sens!E2185</f>
        <v>86.225053775</v>
      </c>
      <c r="F2188" s="6" t="n">
        <f aca="false">Sens!F2187+Sens!F2185</f>
        <v>168.470652770438</v>
      </c>
      <c r="G2188" s="6" t="n">
        <f aca="false">Sens!G2187+Sens!G2185</f>
        <v>35.302727016</v>
      </c>
      <c r="H2188" s="6" t="n">
        <f aca="false">Sens!H2187+Sens!H2185</f>
        <v>0</v>
      </c>
      <c r="I2188" s="6" t="n">
        <f aca="false">Sens!I2187+Sens!I2185</f>
        <v>30.2586753466667</v>
      </c>
      <c r="J2188" s="6" t="n">
        <f aca="false">Sens!J2187+Sens!J2185</f>
        <v>45.6967750133333</v>
      </c>
      <c r="K2188" s="6" t="n">
        <f aca="false">Sens!K2187+Sens!K2185</f>
        <v>90.77602604</v>
      </c>
      <c r="L2188" s="11" t="s">
        <v>758</v>
      </c>
    </row>
    <row r="2189" customFormat="false" ht="17.15" hidden="false" customHeight="false" outlineLevel="0" collapsed="false">
      <c r="A2189" s="0" t="s">
        <v>759</v>
      </c>
      <c r="B2189" s="0" t="s">
        <v>95</v>
      </c>
      <c r="E2189" s="6" t="n">
        <f aca="false">(Sens!C2187*IF(2&lt;life_it,1,IF(2=life_it,0.5,0))+Sens!D2187*IF(1&lt;life_it,1,IF(1=life_it,0.5,0))+Sens!E2187*0.5)/life_it</f>
        <v>15.0605784770833</v>
      </c>
      <c r="F2189" s="6" t="n">
        <f aca="false">(Sens!C2187*IF(3&lt;life_it,1,IF(3=life_it,0.5,0))+Sens!D2187*IF(2&lt;life_it,1,IF(2=life_it,0.5,0))+Sens!E2187*IF(1&lt;life_it,1,IF(1=life_it,0.5,0))+Sens!F2187*0.5)/life_it</f>
        <v>34.2643556892031</v>
      </c>
      <c r="G2189" s="6" t="n">
        <f aca="false">(Sens!C2187*IF(4&lt;life_it,1,IF(4=life_it,0.5,0))+Sens!D2187*IF(3&lt;life_it,1,IF(3=life_it,0.5,0))+Sens!E2187*IF(2&lt;life_it,1,IF(2=life_it,0.5,0))+Sens!F2187*IF(1&lt;life_it,1,IF(1=life_it,0.5,0))+Sens!G2187*0.5)/life_it</f>
        <v>50.2635456714062</v>
      </c>
      <c r="H2189" s="6" t="n">
        <f aca="false">(Sens!C2187*IF(5&lt;life_it,1,IF(5=life_it,0.5,0))+Sens!D2187*IF(4&lt;life_it,1,IF(4=life_it,0.5,0))+Sens!E2187*IF(3&lt;life_it,1,IF(3=life_it,0.5,0))+Sens!F2187*IF(2&lt;life_it,1,IF(2=life_it,0.5,0))+Sens!G2187*IF(1&lt;life_it,1,IF(1=life_it,0.5,0))+Sens!H2187*0.5)/life_it</f>
        <v>52.6923045894062</v>
      </c>
      <c r="I2189" s="6" t="n">
        <f aca="false">(Sens!C2187*IF(6&lt;life_it,1,IF(6=life_it,0.5,0))+Sens!D2187*IF(5&lt;life_it,1,IF(5=life_it,0.5,0))+Sens!E2187*IF(4&lt;life_it,1,IF(4=life_it,0.5,0))+Sens!F2187*IF(3&lt;life_it,1,IF(3=life_it,0.5,0))+Sens!G2187*IF(2&lt;life_it,1,IF(2=life_it,0.5,0))+Sens!H2187*IF(1&lt;life_it,1,IF(1=life_it,0.5,0))+Sens!I2187*0.5)/life_it</f>
        <v>53.3360788189896</v>
      </c>
      <c r="J2189" s="6" t="n">
        <f aca="false">(Sens!C2187*IF(7&lt;life_it,1,IF(7=life_it,0.5,0))+Sens!D2187*IF(6&lt;life_it,1,IF(6=life_it,0.5,0))+Sens!E2187*IF(5&lt;life_it,1,IF(5=life_it,0.5,0))+Sens!F2187*IF(4&lt;life_it,1,IF(4=life_it,0.5,0))+Sens!G2187*IF(3&lt;life_it,1,IF(3=life_it,0.5,0))+Sens!H2187*IF(2&lt;life_it,1,IF(2=life_it,0.5,0))+Sens!I2187*IF(1&lt;life_it,1,IF(1=life_it,0.5,0))+Sens!J2187*0.5)/life_it</f>
        <v>54.9520835177396</v>
      </c>
      <c r="K2189" s="6" t="n">
        <f aca="false">(Sens!C2187*IF(8&lt;life_it,1,IF(8=life_it,0.5,0))+Sens!D2187*IF(7&lt;life_it,1,IF(7=life_it,0.5,0))+Sens!E2187*IF(6&lt;life_it,1,IF(6=life_it,0.5,0))+Sens!F2187*IF(5&lt;life_it,1,IF(5=life_it,0.5,0))+Sens!G2187*IF(4&lt;life_it,1,IF(4=life_it,0.5,0))+Sens!H2187*IF(3&lt;life_it,1,IF(3=life_it,0.5,0))+Sens!I2187*IF(2&lt;life_it,1,IF(2=life_it,0.5,0))+Sens!J2187*IF(1&lt;life_it,1,IF(1=life_it,0.5,0))+Sens!K2187*0.5)/life_it</f>
        <v>57.8556366756563</v>
      </c>
    </row>
    <row r="2190" customFormat="false" ht="17.15" hidden="false" customHeight="false" outlineLevel="0" collapsed="false">
      <c r="A2190" s="0" t="s">
        <v>760</v>
      </c>
      <c r="B2190" s="0" t="s">
        <v>95</v>
      </c>
      <c r="E2190" s="6" t="n">
        <f aca="false">(Sens!C2185*IF(2&lt;life_fac,1,IF(2=life_fac,0.5,0))+Sens!D2185*IF(1&lt;life_fac,1,IF(1=life_fac,0.5,0))+Sens!E2185*0.5)/life_fac</f>
        <v>1.2448275</v>
      </c>
      <c r="F2190" s="6" t="n">
        <f aca="false">(Sens!C2185*IF(3&lt;life_fac,1,IF(3=life_fac,0.5,0))+Sens!D2185*IF(2&lt;life_fac,1,IF(2=life_fac,0.5,0))+Sens!E2185*IF(1&lt;life_fac,1,IF(1=life_fac,0.5,0))+Sens!F2185*0.5)/life_fac</f>
        <v>1.851087</v>
      </c>
      <c r="G2190" s="6" t="n">
        <f aca="false">(Sens!C2185*IF(4&lt;life_fac,1,IF(4=life_fac,0.5,0))+Sens!D2185*IF(3&lt;life_fac,1,IF(3=life_fac,0.5,0))+Sens!E2185*IF(2&lt;life_fac,1,IF(2=life_fac,0.5,0))+Sens!F2185*IF(1&lt;life_fac,1,IF(1=life_fac,0.5,0))+Sens!G2185*0.5)/life_fac</f>
        <v>2.1456645</v>
      </c>
      <c r="H2190" s="6" t="n">
        <f aca="false">(Sens!C2185*IF(5&lt;life_fac,1,IF(5=life_fac,0.5,0))+Sens!D2185*IF(4&lt;life_fac,1,IF(4=life_fac,0.5,0))+Sens!E2185*IF(3&lt;life_fac,1,IF(3=life_fac,0.5,0))+Sens!F2185*IF(2&lt;life_fac,1,IF(2=life_fac,0.5,0))+Sens!G2185*IF(1&lt;life_fac,1,IF(1=life_fac,0.5,0))+Sens!H2185*0.5)/life_fac</f>
        <v>2.299605</v>
      </c>
      <c r="I2190" s="6" t="n">
        <f aca="false">(Sens!C2185*IF(6&lt;life_fac,1,IF(6=life_fac,0.5,0))+Sens!D2185*IF(5&lt;life_fac,1,IF(5=life_fac,0.5,0))+Sens!E2185*IF(4&lt;life_fac,1,IF(4=life_fac,0.5,0))+Sens!F2185*IF(3&lt;life_fac,1,IF(3=life_fac,0.5,0))+Sens!G2185*IF(2&lt;life_fac,1,IF(2=life_fac,0.5,0))+Sens!H2185*IF(1&lt;life_fac,1,IF(1=life_fac,0.5,0))+Sens!I2185*0.5)/life_fac</f>
        <v>2.299605</v>
      </c>
      <c r="J2190" s="6" t="n">
        <f aca="false">(Sens!C2185*IF(7&lt;life_fac,1,IF(7=life_fac,0.5,0))+Sens!D2185*IF(6&lt;life_fac,1,IF(6=life_fac,0.5,0))+Sens!E2185*IF(5&lt;life_fac,1,IF(5=life_fac,0.5,0))+Sens!F2185*IF(4&lt;life_fac,1,IF(4=life_fac,0.5,0))+Sens!G2185*IF(3&lt;life_fac,1,IF(3=life_fac,0.5,0))+Sens!H2185*IF(2&lt;life_fac,1,IF(2=life_fac,0.5,0))+Sens!I2185*IF(1&lt;life_fac,1,IF(1=life_fac,0.5,0))+Sens!J2185*0.5)/life_fac</f>
        <v>2.299605</v>
      </c>
      <c r="K2190" s="6" t="n">
        <f aca="false">(Sens!C2185*IF(8&lt;life_fac,1,IF(8=life_fac,0.5,0))+Sens!D2185*IF(7&lt;life_fac,1,IF(7=life_fac,0.5,0))+Sens!E2185*IF(6&lt;life_fac,1,IF(6=life_fac,0.5,0))+Sens!F2185*IF(5&lt;life_fac,1,IF(5=life_fac,0.5,0))+Sens!G2185*IF(4&lt;life_fac,1,IF(4=life_fac,0.5,0))+Sens!H2185*IF(3&lt;life_fac,1,IF(3=life_fac,0.5,0))+Sens!I2185*IF(2&lt;life_fac,1,IF(2=life_fac,0.5,0))+Sens!J2185*IF(1&lt;life_fac,1,IF(1=life_fac,0.5,0))+Sens!K2185*0.5)/life_fac</f>
        <v>2.299605</v>
      </c>
    </row>
    <row r="2191" customFormat="false" ht="17.15" hidden="false" customHeight="false" outlineLevel="0" collapsed="false">
      <c r="A2191" s="0" t="s">
        <v>761</v>
      </c>
      <c r="B2191" s="0" t="s">
        <v>95</v>
      </c>
      <c r="E2191" s="6" t="n">
        <f aca="false">Sens!E2189+Sens!E2190</f>
        <v>16.3054059770833</v>
      </c>
      <c r="F2191" s="6" t="n">
        <f aca="false">Sens!F2189+Sens!F2190</f>
        <v>36.1154426892031</v>
      </c>
      <c r="G2191" s="6" t="n">
        <f aca="false">Sens!G2189+Sens!G2190</f>
        <v>52.4092101714062</v>
      </c>
      <c r="H2191" s="6" t="n">
        <f aca="false">Sens!H2189+Sens!H2190</f>
        <v>54.9919095894062</v>
      </c>
      <c r="I2191" s="6" t="n">
        <f aca="false">Sens!I2189+Sens!I2190</f>
        <v>55.6356838189896</v>
      </c>
      <c r="J2191" s="6" t="n">
        <f aca="false">Sens!J2189+Sens!J2190</f>
        <v>57.2516885177396</v>
      </c>
      <c r="K2191" s="6" t="n">
        <f aca="false">Sens!K2189+Sens!K2190</f>
        <v>60.1552416756563</v>
      </c>
    </row>
    <row r="2192" customFormat="false" ht="17.15" hidden="false" customHeight="false" outlineLevel="0" collapsed="false">
      <c r="A2192" s="0" t="s">
        <v>762</v>
      </c>
      <c r="B2192" s="0" t="s">
        <v>95</v>
      </c>
      <c r="E2192" s="6" t="n">
        <f aca="false">Sens!E2180-Sens!E2179*Sens!E2191</f>
        <v>8.92707889977379</v>
      </c>
      <c r="F2192" s="6" t="n">
        <f aca="false">Sens!F2180-Sens!F2179*Sens!F2191</f>
        <v>9.83660787546527</v>
      </c>
      <c r="G2192" s="6" t="n">
        <f aca="false">Sens!G2180-Sens!G2179*Sens!G2191</f>
        <v>9.36550388929808</v>
      </c>
      <c r="H2192" s="6" t="n">
        <f aca="false">Sens!H2180-Sens!H2179*Sens!H2191</f>
        <v>13.9814462720389</v>
      </c>
      <c r="I2192" s="6" t="n">
        <f aca="false">Sens!I2180-Sens!I2179*Sens!I2191</f>
        <v>13.5951817342889</v>
      </c>
      <c r="J2192" s="6" t="n">
        <f aca="false">Sens!J2180-Sens!J2179*Sens!J2191</f>
        <v>12.6255789150389</v>
      </c>
      <c r="K2192" s="6" t="n">
        <f aca="false">Sens!K2180-Sens!K2179*Sens!K2191</f>
        <v>10.8834470202889</v>
      </c>
    </row>
    <row r="2193" customFormat="false" ht="17.15" hidden="false" customHeight="false" outlineLevel="0" collapsed="false">
      <c r="A2193" s="3" t="s">
        <v>1175</v>
      </c>
    </row>
    <row r="2194" customFormat="false" ht="15" hidden="false" customHeight="false" outlineLevel="0" collapsed="false">
      <c r="A2194" s="4" t="s">
        <v>43</v>
      </c>
      <c r="B2194" s="4" t="s">
        <v>63</v>
      </c>
      <c r="C2194" s="19" t="s">
        <v>710</v>
      </c>
      <c r="D2194" s="19" t="s">
        <v>711</v>
      </c>
      <c r="E2194" s="19" t="s">
        <v>712</v>
      </c>
      <c r="F2194" s="19" t="s">
        <v>713</v>
      </c>
      <c r="G2194" s="19" t="s">
        <v>714</v>
      </c>
      <c r="H2194" s="19" t="s">
        <v>715</v>
      </c>
      <c r="I2194" s="19" t="s">
        <v>716</v>
      </c>
      <c r="J2194" s="19" t="s">
        <v>717</v>
      </c>
      <c r="K2194" s="19" t="s">
        <v>718</v>
      </c>
      <c r="L2194" s="4" t="s">
        <v>47</v>
      </c>
    </row>
    <row r="2195" customFormat="false" ht="17.15" hidden="false" customHeight="false" outlineLevel="0" collapsed="false">
      <c r="A2195" s="0" t="s">
        <v>780</v>
      </c>
      <c r="B2195" s="0" t="s">
        <v>95</v>
      </c>
      <c r="D2195" s="6" t="n">
        <f aca="false">Sens!D2174</f>
        <v>12.9359794422418</v>
      </c>
      <c r="E2195" s="6" t="n">
        <f aca="false">Sens!E2174</f>
        <v>27.8095064661409</v>
      </c>
      <c r="F2195" s="6" t="n">
        <f aca="false">Sens!F2174</f>
        <v>44.6254948777308</v>
      </c>
      <c r="G2195" s="6" t="n">
        <f aca="false">Sens!G2174</f>
        <v>56.0674797551436</v>
      </c>
      <c r="H2195" s="6" t="n">
        <f aca="false">Sens!H2174</f>
        <v>62.8454283172966</v>
      </c>
      <c r="I2195" s="6" t="n">
        <f aca="false">Sens!I2174</f>
        <v>62.8454283172966</v>
      </c>
      <c r="J2195" s="6" t="n">
        <f aca="false">Sens!J2174</f>
        <v>62.8454283172966</v>
      </c>
      <c r="K2195" s="6" t="n">
        <f aca="false">Sens!K2174</f>
        <v>62.8454283172966</v>
      </c>
    </row>
    <row r="2196" customFormat="false" ht="17.15" hidden="false" customHeight="false" outlineLevel="0" collapsed="false">
      <c r="A2196" s="0" t="s">
        <v>781</v>
      </c>
      <c r="B2196" s="0" t="s">
        <v>95</v>
      </c>
      <c r="D2196" s="6" t="n">
        <f aca="false">Q!L6-Sens!D2195</f>
        <v>59.6740205577583</v>
      </c>
      <c r="E2196" s="6" t="n">
        <f aca="false">Q!M6-Sens!E2195</f>
        <v>74.1284935338591</v>
      </c>
      <c r="F2196" s="6" t="n">
        <f aca="false">Sens!E2196*(1+Sens!F2197)</f>
        <v>90.0799497373663</v>
      </c>
      <c r="G2196" s="6" t="n">
        <f aca="false">Sens!F2196*(1+Sens!G2197)</f>
        <v>107.02842520331</v>
      </c>
      <c r="H2196" s="6" t="n">
        <f aca="false">Sens!G2196*(1+Sens!H2197)</f>
        <v>124.271982585636</v>
      </c>
      <c r="I2196" s="6" t="n">
        <f aca="false">Sens!H2196*(1+Sens!I2197)</f>
        <v>140.933702381855</v>
      </c>
      <c r="J2196" s="6" t="n">
        <f aca="false">Sens!I2196*(1+Sens!J2197)</f>
        <v>156.018867314332</v>
      </c>
      <c r="K2196" s="6" t="n">
        <f aca="false">Sens!J2196*(1+Sens!K2197)</f>
        <v>168.500376699478</v>
      </c>
    </row>
    <row r="2197" customFormat="false" ht="15" hidden="false" customHeight="false" outlineLevel="0" collapsed="false">
      <c r="A2197" s="1" t="s">
        <v>782</v>
      </c>
      <c r="B2197" s="0" t="s">
        <v>126</v>
      </c>
      <c r="E2197" s="7" t="n">
        <f aca="false">Sens!E2196/Sens!D2196-1</f>
        <v>0.242223883039864</v>
      </c>
      <c r="F2197" s="7" t="n">
        <f aca="false">Sens!$E$2197+(glt_azo-Sens!$E$2197)*MIN(1,1/n_conv)</f>
        <v>0.215186569199887</v>
      </c>
      <c r="G2197" s="7" t="n">
        <f aca="false">Sens!$E$2197+(glt_azo-Sens!$E$2197)*MIN(1,2/n_conv)</f>
        <v>0.18814925535991</v>
      </c>
      <c r="H2197" s="7" t="n">
        <f aca="false">Sens!$E$2197+(glt_azo-Sens!$E$2197)*MIN(1,3/n_conv)</f>
        <v>0.161111941519932</v>
      </c>
      <c r="I2197" s="7" t="n">
        <f aca="false">Sens!$E$2197+(glt_azo-Sens!$E$2197)*MIN(1,4/n_conv)</f>
        <v>0.134074627679955</v>
      </c>
      <c r="J2197" s="7" t="n">
        <f aca="false">Sens!$E$2197+(glt_azo-Sens!$E$2197)*MIN(1,5/n_conv)</f>
        <v>0.107037313839977</v>
      </c>
      <c r="K2197" s="7" t="n">
        <f aca="false">Sens!$E$2197+(glt_azo-Sens!$E$2197)*MIN(1,6/n_conv)</f>
        <v>0.08</v>
      </c>
    </row>
    <row r="2198" customFormat="false" ht="15" hidden="false" customHeight="false" outlineLevel="0" collapsed="false">
      <c r="A2198" s="0" t="s">
        <v>783</v>
      </c>
      <c r="B2198" s="0" t="s">
        <v>95</v>
      </c>
      <c r="D2198" s="6" t="n">
        <f aca="false">Sens!D2195+Sens!D2196</f>
        <v>72.61</v>
      </c>
      <c r="E2198" s="6" t="n">
        <f aca="false">Sens!E2195+Sens!E2196</f>
        <v>101.938</v>
      </c>
      <c r="F2198" s="6" t="n">
        <f aca="false">Sens!F2195+Sens!F2196</f>
        <v>134.705444615097</v>
      </c>
      <c r="G2198" s="6" t="n">
        <f aca="false">Sens!G2195+Sens!G2196</f>
        <v>163.095904958453</v>
      </c>
      <c r="H2198" s="6" t="n">
        <f aca="false">Sens!H2195+Sens!H2196</f>
        <v>187.117410902933</v>
      </c>
      <c r="I2198" s="6" t="n">
        <f aca="false">Sens!I2195+Sens!I2196</f>
        <v>203.779130699152</v>
      </c>
      <c r="J2198" s="6" t="n">
        <f aca="false">Sens!J2195+Sens!J2196</f>
        <v>218.864295631628</v>
      </c>
      <c r="K2198" s="6" t="n">
        <f aca="false">Sens!K2195+Sens!K2196</f>
        <v>231.345805016775</v>
      </c>
    </row>
    <row r="2199" customFormat="false" ht="17.15" hidden="false" customHeight="false" outlineLevel="0" collapsed="false">
      <c r="A2199" s="0" t="s">
        <v>784</v>
      </c>
      <c r="B2199" s="1" t="s">
        <v>451</v>
      </c>
      <c r="C2199" s="27" t="n">
        <f aca="false">cop_s24</f>
        <v>1</v>
      </c>
      <c r="D2199" s="27" t="n">
        <f aca="false">cop_s25</f>
        <v>5</v>
      </c>
      <c r="E2199" s="27" t="n">
        <f aca="false">cop_s26</f>
        <v>30</v>
      </c>
      <c r="F2199" s="27" t="n">
        <f aca="false">Sens!E2199+IF(2027&lt;=2029,cop_add_A,cop_add_A*cop_tail)</f>
        <v>60</v>
      </c>
      <c r="G2199" s="27" t="n">
        <f aca="false">Sens!F2199+IF(2028&lt;=2029,cop_add_A,cop_add_A*cop_tail)</f>
        <v>90</v>
      </c>
      <c r="H2199" s="27" t="n">
        <f aca="false">Sens!G2199+IF(2029&lt;=2029,cop_add_A,cop_add_A*cop_tail)</f>
        <v>120</v>
      </c>
      <c r="I2199" s="27" t="n">
        <f aca="false">Sens!H2199+IF(2030&lt;=2029,cop_add_A,cop_add_A*cop_tail)</f>
        <v>135</v>
      </c>
      <c r="J2199" s="27" t="n">
        <f aca="false">Sens!I2199+IF(2031&lt;=2029,cop_add_A,cop_add_A*cop_tail)</f>
        <v>150</v>
      </c>
      <c r="K2199" s="27" t="n">
        <f aca="false">Sens!J2199+IF(2032&lt;=2029,cop_add_A,cop_add_A*cop_tail)</f>
        <v>165</v>
      </c>
    </row>
    <row r="2200" customFormat="false" ht="17.15" hidden="false" customHeight="false" outlineLevel="0" collapsed="false">
      <c r="A2200" s="0" t="s">
        <v>785</v>
      </c>
      <c r="B2200" s="0" t="s">
        <v>95</v>
      </c>
      <c r="D2200" s="6" t="n">
        <f aca="false">(Sens!C2199+Sens!D2199)/2*cop_px*12/1000</f>
        <v>0.9</v>
      </c>
      <c r="E2200" s="6" t="n">
        <f aca="false">(Sens!D2199+Sens!E2199)/2*cop_px*12/1000</f>
        <v>5.25</v>
      </c>
      <c r="F2200" s="6" t="n">
        <f aca="false">(Sens!E2199+Sens!F2199)/2*cop_px*12/1000</f>
        <v>13.5</v>
      </c>
      <c r="G2200" s="6" t="n">
        <f aca="false">(Sens!F2199+Sens!G2199)/2*cop_px*12/1000</f>
        <v>22.5</v>
      </c>
      <c r="H2200" s="6" t="n">
        <f aca="false">(Sens!G2199+Sens!H2199)/2*cop_px*12/1000</f>
        <v>31.5</v>
      </c>
      <c r="I2200" s="6" t="n">
        <f aca="false">(Sens!H2199+Sens!I2199)/2*cop_px*12/1000</f>
        <v>38.25</v>
      </c>
      <c r="J2200" s="6" t="n">
        <f aca="false">(Sens!I2199+Sens!J2199)/2*cop_px*12/1000</f>
        <v>42.75</v>
      </c>
      <c r="K2200" s="6" t="n">
        <f aca="false">(Sens!J2199+Sens!K2199)/2*cop_px*12/1000</f>
        <v>47.25</v>
      </c>
      <c r="L2200" s="1" t="s">
        <v>786</v>
      </c>
    </row>
    <row r="2201" customFormat="false" ht="17.15" hidden="false" customHeight="false" outlineLevel="0" collapsed="false">
      <c r="A2201" s="0" t="s">
        <v>787</v>
      </c>
      <c r="B2201" s="0" t="s">
        <v>95</v>
      </c>
      <c r="D2201" s="6" t="n">
        <f aca="false">Q!L7-Sens!D2200</f>
        <v>83.705</v>
      </c>
      <c r="E2201" s="6" t="n">
        <f aca="false">Q!M7-Sens!E2200</f>
        <v>95.049</v>
      </c>
      <c r="F2201" s="6" t="n">
        <f aca="false">Sens!E2201*(1+Sens!F2202)</f>
        <v>106.89238776686</v>
      </c>
      <c r="G2201" s="6" t="n">
        <f aca="false">Sens!F2201*(1+Sens!G2202)</f>
        <v>119.044168448684</v>
      </c>
      <c r="H2201" s="6" t="n">
        <f aca="false">Sens!G2201*(1+Sens!H2202)</f>
        <v>131.277359388781</v>
      </c>
      <c r="I2201" s="6" t="n">
        <f aca="false">Sens!H2201*(1+Sens!I2202)</f>
        <v>143.334028071957</v>
      </c>
      <c r="J2201" s="6" t="n">
        <f aca="false">Sens!I2201*(1+Sens!J2202)</f>
        <v>154.932702785465</v>
      </c>
      <c r="K2201" s="6" t="n">
        <f aca="false">Sens!J2201*(1+Sens!K2202)</f>
        <v>165.777991980448</v>
      </c>
    </row>
    <row r="2202" customFormat="false" ht="15" hidden="false" customHeight="false" outlineLevel="0" collapsed="false">
      <c r="A2202" s="1" t="s">
        <v>782</v>
      </c>
      <c r="B2202" s="0" t="s">
        <v>126</v>
      </c>
      <c r="E2202" s="7" t="n">
        <f aca="false">Sens!E2201/Sens!D2201-1</f>
        <v>0.135523564900544</v>
      </c>
      <c r="F2202" s="7" t="n">
        <f aca="false">Sens!$E$2202+(glt_m365b-Sens!$E$2202)*MIN(1,1/n_conv)</f>
        <v>0.124602970750453</v>
      </c>
      <c r="G2202" s="7" t="n">
        <f aca="false">Sens!$E$2202+(glt_m365b-Sens!$E$2202)*MIN(1,2/n_conv)</f>
        <v>0.113682376600363</v>
      </c>
      <c r="H2202" s="7" t="n">
        <f aca="false">Sens!$E$2202+(glt_m365b-Sens!$E$2202)*MIN(1,3/n_conv)</f>
        <v>0.102761782450272</v>
      </c>
      <c r="I2202" s="7" t="n">
        <f aca="false">Sens!$E$2202+(glt_m365b-Sens!$E$2202)*MIN(1,4/n_conv)</f>
        <v>0.0918411883001813</v>
      </c>
      <c r="J2202" s="7" t="n">
        <f aca="false">Sens!$E$2202+(glt_m365b-Sens!$E$2202)*MIN(1,5/n_conv)</f>
        <v>0.0809205941500906</v>
      </c>
      <c r="K2202" s="7" t="n">
        <f aca="false">Sens!$E$2202+(glt_m365b-Sens!$E$2202)*MIN(1,6/n_conv)</f>
        <v>0.07</v>
      </c>
    </row>
    <row r="2203" customFormat="false" ht="15" hidden="false" customHeight="false" outlineLevel="0" collapsed="false">
      <c r="A2203" s="0" t="s">
        <v>788</v>
      </c>
      <c r="B2203" s="0" t="s">
        <v>95</v>
      </c>
      <c r="D2203" s="6" t="n">
        <f aca="false">Sens!D2201+Sens!D2200</f>
        <v>84.605</v>
      </c>
      <c r="E2203" s="6" t="n">
        <f aca="false">Sens!E2201+Sens!E2200</f>
        <v>100.299</v>
      </c>
      <c r="F2203" s="6" t="n">
        <f aca="false">Sens!F2201+Sens!F2200</f>
        <v>120.39238776686</v>
      </c>
      <c r="G2203" s="6" t="n">
        <f aca="false">Sens!G2201+Sens!G2200</f>
        <v>141.544168448684</v>
      </c>
      <c r="H2203" s="6" t="n">
        <f aca="false">Sens!H2201+Sens!H2200</f>
        <v>162.777359388781</v>
      </c>
      <c r="I2203" s="6" t="n">
        <f aca="false">Sens!I2201+Sens!I2200</f>
        <v>181.584028071957</v>
      </c>
      <c r="J2203" s="6" t="n">
        <f aca="false">Sens!J2201+Sens!J2200</f>
        <v>197.682702785465</v>
      </c>
      <c r="K2203" s="6" t="n">
        <f aca="false">Sens!K2201+Sens!K2200</f>
        <v>213.027991980448</v>
      </c>
    </row>
    <row r="2204" customFormat="false" ht="15" hidden="false" customHeight="false" outlineLevel="0" collapsed="false">
      <c r="A2204" s="0" t="s">
        <v>789</v>
      </c>
      <c r="B2204" s="0" t="s">
        <v>95</v>
      </c>
      <c r="D2204" s="6" t="n">
        <f aca="false">Q!L8</f>
        <v>35.391</v>
      </c>
      <c r="E2204" s="6" t="n">
        <f aca="false">Q!M8</f>
        <v>37.285</v>
      </c>
      <c r="F2204" s="6" t="n">
        <f aca="false">Sens!E2204*(1+Sens!F2205)</f>
        <v>39.0720834331704</v>
      </c>
      <c r="G2204" s="6" t="n">
        <f aca="false">Sens!F2204*(1+Sens!G2205)</f>
        <v>40.726562953769</v>
      </c>
      <c r="H2204" s="6" t="n">
        <f aca="false">Sens!G2204*(1+Sens!H2205)</f>
        <v>42.2235987259198</v>
      </c>
      <c r="I2204" s="6" t="n">
        <f aca="false">Sens!H2204*(1+Sens!I2205)</f>
        <v>43.5397988077414</v>
      </c>
      <c r="J2204" s="6" t="n">
        <f aca="false">Sens!I2204*(1+Sens!J2205)</f>
        <v>44.653811225693</v>
      </c>
      <c r="K2204" s="6" t="n">
        <f aca="false">Sens!J2204*(1+Sens!K2205)</f>
        <v>45.5468874502068</v>
      </c>
    </row>
    <row r="2205" customFormat="false" ht="15" hidden="false" customHeight="false" outlineLevel="0" collapsed="false">
      <c r="A2205" s="1" t="s">
        <v>782</v>
      </c>
      <c r="B2205" s="0" t="s">
        <v>126</v>
      </c>
      <c r="E2205" s="7" t="n">
        <f aca="false">Sens!E2204/Sens!D2204-1</f>
        <v>0.0535164307309768</v>
      </c>
      <c r="F2205" s="7" t="n">
        <f aca="false">Sens!$E$2205+(glt_lic-Sens!$E$2205)*MIN(1,1/n_conv)</f>
        <v>0.0479303589424807</v>
      </c>
      <c r="G2205" s="7" t="n">
        <f aca="false">Sens!$E$2205+(glt_lic-Sens!$E$2205)*MIN(1,2/n_conv)</f>
        <v>0.0423442871539845</v>
      </c>
      <c r="H2205" s="7" t="n">
        <f aca="false">Sens!$E$2205+(glt_lic-Sens!$E$2205)*MIN(1,3/n_conv)</f>
        <v>0.0367582153654884</v>
      </c>
      <c r="I2205" s="7" t="n">
        <f aca="false">Sens!$E$2205+(glt_lic-Sens!$E$2205)*MIN(1,4/n_conv)</f>
        <v>0.0311721435769923</v>
      </c>
      <c r="J2205" s="7" t="n">
        <f aca="false">Sens!$E$2205+(glt_lic-Sens!$E$2205)*MIN(1,5/n_conv)</f>
        <v>0.0255860717884961</v>
      </c>
      <c r="K2205" s="7" t="n">
        <f aca="false">Sens!$E$2205+(glt_lic-Sens!$E$2205)*MIN(1,6/n_conv)</f>
        <v>0.02</v>
      </c>
    </row>
    <row r="2206" customFormat="false" ht="15" hidden="false" customHeight="false" outlineLevel="0" collapsed="false">
      <c r="A2206" s="0" t="s">
        <v>790</v>
      </c>
      <c r="B2206" s="0" t="s">
        <v>95</v>
      </c>
      <c r="D2206" s="6" t="n">
        <f aca="false">Q!L9</f>
        <v>18.417</v>
      </c>
      <c r="E2206" s="6" t="n">
        <f aca="false">Q!M9</f>
        <v>20.345</v>
      </c>
      <c r="F2206" s="6" t="n">
        <f aca="false">Sens!E2206*(1+Sens!F2207)</f>
        <v>22.3572203267814</v>
      </c>
      <c r="G2206" s="6" t="n">
        <f aca="false">Sens!F2206*(1+Sens!G2207)</f>
        <v>24.4392124437232</v>
      </c>
      <c r="H2206" s="6" t="n">
        <f aca="false">Sens!G2206*(1+Sens!H2207)</f>
        <v>26.5738052080665</v>
      </c>
      <c r="I2206" s="6" t="n">
        <f aca="false">Sens!H2206*(1+Sens!I2207)</f>
        <v>28.7412169166967</v>
      </c>
      <c r="J2206" s="6" t="n">
        <f aca="false">Sens!I2206*(1+Sens!J2207)</f>
        <v>30.9192545395413</v>
      </c>
      <c r="K2206" s="6" t="n">
        <f aca="false">Sens!J2206*(1+Sens!K2207)</f>
        <v>33.0836023573092</v>
      </c>
    </row>
    <row r="2207" customFormat="false" ht="15" hidden="false" customHeight="false" outlineLevel="0" collapsed="false">
      <c r="A2207" s="1" t="s">
        <v>782</v>
      </c>
      <c r="B2207" s="0" t="s">
        <v>126</v>
      </c>
      <c r="E2207" s="7" t="n">
        <f aca="false">Sens!E2206/Sens!D2206-1</f>
        <v>0.104685888038225</v>
      </c>
      <c r="F2207" s="7" t="n">
        <f aca="false">Sens!$E$2207+(glt_ind-Sens!$E$2207)*MIN(1,1/n_conv)</f>
        <v>0.0989049066985211</v>
      </c>
      <c r="G2207" s="7" t="n">
        <f aca="false">Sens!$E$2207+(glt_ind-Sens!$E$2207)*MIN(1,2/n_conv)</f>
        <v>0.0931239253588169</v>
      </c>
      <c r="H2207" s="7" t="n">
        <f aca="false">Sens!$E$2207+(glt_ind-Sens!$E$2207)*MIN(1,3/n_conv)</f>
        <v>0.0873429440191127</v>
      </c>
      <c r="I2207" s="7" t="n">
        <f aca="false">Sens!$E$2207+(glt_ind-Sens!$E$2207)*MIN(1,4/n_conv)</f>
        <v>0.0815619626794085</v>
      </c>
      <c r="J2207" s="7" t="n">
        <f aca="false">Sens!$E$2207+(glt_ind-Sens!$E$2207)*MIN(1,5/n_conv)</f>
        <v>0.0757809813397042</v>
      </c>
      <c r="K2207" s="7" t="n">
        <f aca="false">Sens!$E$2207+(glt_ind-Sens!$E$2207)*MIN(1,6/n_conv)</f>
        <v>0.07</v>
      </c>
    </row>
    <row r="2208" customFormat="false" ht="15" hidden="false" customHeight="false" outlineLevel="0" collapsed="false">
      <c r="A2208" s="0" t="s">
        <v>791</v>
      </c>
      <c r="B2208" s="0" t="s">
        <v>95</v>
      </c>
      <c r="D2208" s="6" t="n">
        <f aca="false">Q!L10</f>
        <v>7.76</v>
      </c>
      <c r="E2208" s="6" t="n">
        <f aca="false">Q!M10</f>
        <v>8.26</v>
      </c>
      <c r="F2208" s="6" t="n">
        <f aca="false">Sens!E2208*(1+Sens!F2209)</f>
        <v>8.79988041237113</v>
      </c>
      <c r="G2208" s="6" t="n">
        <f aca="false">Sens!F2208*(1+Sens!G2209)</f>
        <v>9.38321269125306</v>
      </c>
      <c r="H2208" s="6" t="n">
        <f aca="false">Sens!G2208*(1+Sens!H2209)</f>
        <v>10.0139193587476</v>
      </c>
      <c r="I2208" s="6" t="n">
        <f aca="false">Sens!H2208*(1+Sens!I2209)</f>
        <v>10.6963111830911</v>
      </c>
      <c r="J2208" s="6" t="n">
        <f aca="false">Sens!I2208*(1+Sens!J2209)</f>
        <v>11.4351285534696</v>
      </c>
      <c r="K2208" s="6" t="n">
        <f aca="false">Sens!J2208*(1+Sens!K2209)</f>
        <v>12.2355875522124</v>
      </c>
    </row>
    <row r="2209" customFormat="false" ht="15" hidden="false" customHeight="false" outlineLevel="0" collapsed="false">
      <c r="A2209" s="1" t="s">
        <v>782</v>
      </c>
      <c r="B2209" s="0" t="s">
        <v>126</v>
      </c>
      <c r="E2209" s="7" t="n">
        <f aca="false">Sens!E2208/Sens!D2208-1</f>
        <v>0.0644329896907216</v>
      </c>
      <c r="F2209" s="7" t="n">
        <f aca="false">Sens!$E$2209+(glt_fro-Sens!$E$2209)*MIN(1,1/n_conv)</f>
        <v>0.065360824742268</v>
      </c>
      <c r="G2209" s="7" t="n">
        <f aca="false">Sens!$E$2209+(glt_fro-Sens!$E$2209)*MIN(1,2/n_conv)</f>
        <v>0.0662886597938144</v>
      </c>
      <c r="H2209" s="7" t="n">
        <f aca="false">Sens!$E$2209+(glt_fro-Sens!$E$2209)*MIN(1,3/n_conv)</f>
        <v>0.0672164948453608</v>
      </c>
      <c r="I2209" s="7" t="n">
        <f aca="false">Sens!$E$2209+(glt_fro-Sens!$E$2209)*MIN(1,4/n_conv)</f>
        <v>0.0681443298969072</v>
      </c>
      <c r="J2209" s="7" t="n">
        <f aca="false">Sens!$E$2209+(glt_fro-Sens!$E$2209)*MIN(1,5/n_conv)</f>
        <v>0.0690721649484536</v>
      </c>
      <c r="K2209" s="7" t="n">
        <f aca="false">Sens!$E$2209+(glt_fro-Sens!$E$2209)*MIN(1,6/n_conv)</f>
        <v>0.07</v>
      </c>
    </row>
    <row r="2210" customFormat="false" ht="15" hidden="false" customHeight="false" outlineLevel="0" collapsed="false">
      <c r="A2210" s="0" t="s">
        <v>626</v>
      </c>
      <c r="B2210" s="0" t="s">
        <v>95</v>
      </c>
      <c r="D2210" s="6" t="n">
        <f aca="false">Sens!D2198+Sens!D2203+Sens!D2204+Sens!D2206+Sens!D2208</f>
        <v>218.783</v>
      </c>
      <c r="E2210" s="6" t="n">
        <f aca="false">Sens!E2198+Sens!E2203+Sens!E2204+Sens!E2206+Sens!E2208</f>
        <v>268.127</v>
      </c>
      <c r="F2210" s="6" t="n">
        <f aca="false">Sens!F2198+Sens!F2203+Sens!F2204+Sens!F2206+Sens!F2208</f>
        <v>325.32701655428</v>
      </c>
      <c r="G2210" s="6" t="n">
        <f aca="false">Sens!G2198+Sens!G2203+Sens!G2204+Sens!G2206+Sens!G2208</f>
        <v>379.189061495883</v>
      </c>
      <c r="H2210" s="6" t="n">
        <f aca="false">Sens!H2198+Sens!H2203+Sens!H2204+Sens!H2206+Sens!H2208</f>
        <v>428.706093584448</v>
      </c>
      <c r="I2210" s="6" t="n">
        <f aca="false">Sens!I2198+Sens!I2203+Sens!I2204+Sens!I2206+Sens!I2208</f>
        <v>468.340485678638</v>
      </c>
      <c r="J2210" s="6" t="n">
        <f aca="false">Sens!J2198+Sens!J2203+Sens!J2204+Sens!J2206+Sens!J2208</f>
        <v>503.555192735797</v>
      </c>
      <c r="K2210" s="6" t="n">
        <f aca="false">Sens!K2198+Sens!K2203+Sens!K2204+Sens!K2206+Sens!K2208</f>
        <v>535.239874356951</v>
      </c>
    </row>
    <row r="2211" customFormat="false" ht="15" hidden="false" customHeight="false" outlineLevel="0" collapsed="false">
      <c r="A2211" s="0" t="s">
        <v>792</v>
      </c>
      <c r="B2211" s="0" t="s">
        <v>95</v>
      </c>
      <c r="D2211" s="6" t="n">
        <f aca="false">Q!L13</f>
        <v>22.171</v>
      </c>
      <c r="E2211" s="6" t="n">
        <f aca="false">Q!M13</f>
        <v>24.835</v>
      </c>
      <c r="F2211" s="6" t="n">
        <f aca="false">Sens!E2211*(1+Sens!F2212)</f>
        <v>27.6114901218559</v>
      </c>
      <c r="G2211" s="6" t="n">
        <f aca="false">Sens!F2211*(1+Sens!G2212)</f>
        <v>30.4675667338515</v>
      </c>
      <c r="H2211" s="6" t="n">
        <f aca="false">Sens!G2211*(1+Sens!H2212)</f>
        <v>33.3643766955789</v>
      </c>
      <c r="I2211" s="6" t="n">
        <f aca="false">Sens!H2211*(1+Sens!I2212)</f>
        <v>36.2577016533691</v>
      </c>
      <c r="J2211" s="6" t="n">
        <f aca="false">Sens!I2211*(1+Sens!J2212)</f>
        <v>39.0988367952171</v>
      </c>
      <c r="K2211" s="6" t="n">
        <f aca="false">Sens!J2211*(1+Sens!K2212)</f>
        <v>41.8357553708823</v>
      </c>
    </row>
    <row r="2212" customFormat="false" ht="15" hidden="false" customHeight="false" outlineLevel="0" collapsed="false">
      <c r="A2212" s="1" t="s">
        <v>782</v>
      </c>
      <c r="B2212" s="0" t="s">
        <v>126</v>
      </c>
      <c r="E2212" s="7" t="n">
        <f aca="false">Sens!E2211/Sens!D2211-1</f>
        <v>0.120156961796942</v>
      </c>
      <c r="F2212" s="7" t="n">
        <f aca="false">Sens!$E$2212+(glt_srch-Sens!$E$2212)*MIN(1,1/n_conv)</f>
        <v>0.111797468164118</v>
      </c>
      <c r="G2212" s="7" t="n">
        <f aca="false">Sens!$E$2212+(glt_srch-Sens!$E$2212)*MIN(1,2/n_conv)</f>
        <v>0.103437974531295</v>
      </c>
      <c r="H2212" s="7" t="n">
        <f aca="false">Sens!$E$2212+(glt_srch-Sens!$E$2212)*MIN(1,3/n_conv)</f>
        <v>0.095078480898471</v>
      </c>
      <c r="I2212" s="7" t="n">
        <f aca="false">Sens!$E$2212+(glt_srch-Sens!$E$2212)*MIN(1,4/n_conv)</f>
        <v>0.0867189872656474</v>
      </c>
      <c r="J2212" s="7" t="n">
        <f aca="false">Sens!$E$2212+(glt_srch-Sens!$E$2212)*MIN(1,5/n_conv)</f>
        <v>0.0783594936328237</v>
      </c>
      <c r="K2212" s="7" t="n">
        <f aca="false">Sens!$E$2212+(glt_srch-Sens!$E$2212)*MIN(1,6/n_conv)</f>
        <v>0.07</v>
      </c>
    </row>
    <row r="2213" customFormat="false" ht="15" hidden="false" customHeight="false" outlineLevel="0" collapsed="false">
      <c r="A2213" s="0" t="s">
        <v>793</v>
      </c>
      <c r="B2213" s="0" t="s">
        <v>95</v>
      </c>
      <c r="D2213" s="6" t="n">
        <f aca="false">Q!L14</f>
        <v>23.455</v>
      </c>
      <c r="E2213" s="6" t="n">
        <f aca="false">Q!M14</f>
        <v>21.79</v>
      </c>
      <c r="F2213" s="6" t="n">
        <f aca="false">Sens!E2213*(1+Sens!F2214)</f>
        <v>20.5736277908051</v>
      </c>
      <c r="G2213" s="6" t="n">
        <f aca="false">Sens!F2213*(1+Sens!G2214)</f>
        <v>19.7371452817919</v>
      </c>
      <c r="H2213" s="6" t="n">
        <f aca="false">Sens!G2213*(1+Sens!H2214)</f>
        <v>19.2339764043138</v>
      </c>
      <c r="I2213" s="6" t="n">
        <f aca="false">Sens!H2213*(1+Sens!I2214)</f>
        <v>19.0353086852681</v>
      </c>
      <c r="J2213" s="6" t="n">
        <f aca="false">Sens!I2213*(1+Sens!J2214)</f>
        <v>19.1273539319129</v>
      </c>
      <c r="K2213" s="6" t="n">
        <f aca="false">Sens!J2213*(1+Sens!K2214)</f>
        <v>19.5099010105511</v>
      </c>
    </row>
    <row r="2214" customFormat="false" ht="15" hidden="false" customHeight="false" outlineLevel="0" collapsed="false">
      <c r="A2214" s="1" t="s">
        <v>782</v>
      </c>
      <c r="B2214" s="0" t="s">
        <v>126</v>
      </c>
      <c r="E2214" s="7" t="n">
        <f aca="false">Sens!E2213/Sens!D2213-1</f>
        <v>-0.0709869963760392</v>
      </c>
      <c r="F2214" s="7" t="n">
        <f aca="false">Sens!$E$2214+(glt_xbox-Sens!$E$2214)*MIN(1,1/n_conv)</f>
        <v>-0.0558224969800327</v>
      </c>
      <c r="G2214" s="7" t="n">
        <f aca="false">Sens!$E$2214+(glt_xbox-Sens!$E$2214)*MIN(1,2/n_conv)</f>
        <v>-0.0406579975840262</v>
      </c>
      <c r="H2214" s="7" t="n">
        <f aca="false">Sens!$E$2214+(glt_xbox-Sens!$E$2214)*MIN(1,3/n_conv)</f>
        <v>-0.0254934981880196</v>
      </c>
      <c r="I2214" s="7" t="n">
        <f aca="false">Sens!$E$2214+(glt_xbox-Sens!$E$2214)*MIN(1,4/n_conv)</f>
        <v>-0.0103289987920131</v>
      </c>
      <c r="J2214" s="7" t="n">
        <f aca="false">Sens!$E$2214+(glt_xbox-Sens!$E$2214)*MIN(1,5/n_conv)</f>
        <v>0.00483550060399347</v>
      </c>
      <c r="K2214" s="7" t="n">
        <f aca="false">Sens!$E$2214+(glt_xbox-Sens!$E$2214)*MIN(1,6/n_conv)</f>
        <v>0.02</v>
      </c>
    </row>
    <row r="2215" customFormat="false" ht="15" hidden="false" customHeight="false" outlineLevel="0" collapsed="false">
      <c r="A2215" s="0" t="s">
        <v>794</v>
      </c>
      <c r="B2215" s="0" t="s">
        <v>95</v>
      </c>
      <c r="D2215" s="6" t="n">
        <f aca="false">Q!L15</f>
        <v>17.315</v>
      </c>
      <c r="E2215" s="6" t="n">
        <f aca="false">Q!M15</f>
        <v>17.087</v>
      </c>
      <c r="F2215" s="6" t="n">
        <f aca="false">Sens!E2215*(1+Sens!F2216)</f>
        <v>16.9564585436519</v>
      </c>
      <c r="G2215" s="6" t="n">
        <f aca="false">Sens!F2215*(1+Sens!G2216)</f>
        <v>16.9206490624268</v>
      </c>
      <c r="H2215" s="6" t="n">
        <f aca="false">Sens!G2215*(1+Sens!H2216)</f>
        <v>16.9784519149849</v>
      </c>
      <c r="I2215" s="6" t="n">
        <f aca="false">Sens!H2215*(1+Sens!I2216)</f>
        <v>17.1303084701817</v>
      </c>
      <c r="J2215" s="6" t="n">
        <f aca="false">Sens!I2215*(1+Sens!J2216)</f>
        <v>17.3782189407267</v>
      </c>
      <c r="K2215" s="6" t="n">
        <f aca="false">Sens!J2215*(1+Sens!K2216)</f>
        <v>17.7257833195413</v>
      </c>
    </row>
    <row r="2216" customFormat="false" ht="15" hidden="false" customHeight="false" outlineLevel="0" collapsed="false">
      <c r="A2216" s="1" t="s">
        <v>782</v>
      </c>
      <c r="B2216" s="0" t="s">
        <v>126</v>
      </c>
      <c r="E2216" s="7" t="n">
        <f aca="false">Sens!E2215/Sens!D2215-1</f>
        <v>-0.0131677736066995</v>
      </c>
      <c r="F2216" s="7" t="n">
        <f aca="false">Sens!$E$2216+(glt_win-Sens!$E$2216)*MIN(1,1/n_conv)</f>
        <v>-0.00763981133891627</v>
      </c>
      <c r="G2216" s="7" t="n">
        <f aca="false">Sens!$E$2216+(glt_win-Sens!$E$2216)*MIN(1,2/n_conv)</f>
        <v>-0.00211184907113301</v>
      </c>
      <c r="H2216" s="7" t="n">
        <f aca="false">Sens!$E$2216+(glt_win-Sens!$E$2216)*MIN(1,3/n_conv)</f>
        <v>0.00341611319665024</v>
      </c>
      <c r="I2216" s="7" t="n">
        <f aca="false">Sens!$E$2216+(glt_win-Sens!$E$2216)*MIN(1,4/n_conv)</f>
        <v>0.00894407546443349</v>
      </c>
      <c r="J2216" s="7" t="n">
        <f aca="false">Sens!$E$2216+(glt_win-Sens!$E$2216)*MIN(1,5/n_conv)</f>
        <v>0.0144720377322168</v>
      </c>
      <c r="K2216" s="7" t="n">
        <f aca="false">Sens!$E$2216+(glt_win-Sens!$E$2216)*MIN(1,6/n_conv)</f>
        <v>0.02</v>
      </c>
    </row>
    <row r="2217" customFormat="false" ht="15" hidden="false" customHeight="false" outlineLevel="0" collapsed="false">
      <c r="A2217" s="0" t="s">
        <v>640</v>
      </c>
      <c r="B2217" s="0" t="s">
        <v>95</v>
      </c>
      <c r="D2217" s="6" t="n">
        <f aca="false">Sens!D2211+Sens!D2213+Sens!D2215</f>
        <v>62.941</v>
      </c>
      <c r="E2217" s="6" t="n">
        <f aca="false">Sens!E2211+Sens!E2213+Sens!E2215</f>
        <v>63.712</v>
      </c>
      <c r="F2217" s="6" t="n">
        <f aca="false">Sens!F2211+Sens!F2213+Sens!F2215</f>
        <v>65.1415764563129</v>
      </c>
      <c r="G2217" s="6" t="n">
        <f aca="false">Sens!G2211+Sens!G2213+Sens!G2215</f>
        <v>67.1253610780702</v>
      </c>
      <c r="H2217" s="6" t="n">
        <f aca="false">Sens!H2211+Sens!H2213+Sens!H2215</f>
        <v>69.5768050148776</v>
      </c>
      <c r="I2217" s="6" t="n">
        <f aca="false">Sens!I2211+Sens!I2213+Sens!I2215</f>
        <v>72.4233188088189</v>
      </c>
      <c r="J2217" s="6" t="n">
        <f aca="false">Sens!J2211+Sens!J2213+Sens!J2215</f>
        <v>75.6044096678567</v>
      </c>
      <c r="K2217" s="6" t="n">
        <f aca="false">Sens!K2211+Sens!K2213+Sens!K2215</f>
        <v>79.0714397009747</v>
      </c>
    </row>
    <row r="2218" customFormat="false" ht="15" hidden="false" customHeight="false" outlineLevel="0" collapsed="false">
      <c r="A2218" s="1" t="s">
        <v>795</v>
      </c>
      <c r="B2218" s="0" t="s">
        <v>95</v>
      </c>
      <c r="D2218" s="6" t="n">
        <f aca="false">Sens!D2210+Sens!D2217</f>
        <v>281.724</v>
      </c>
      <c r="E2218" s="6" t="n">
        <f aca="false">Sens!E2210+Sens!E2217</f>
        <v>331.839</v>
      </c>
      <c r="F2218" s="6" t="n">
        <f aca="false">Sens!F2210+Sens!F2217</f>
        <v>390.468593010593</v>
      </c>
      <c r="G2218" s="6" t="n">
        <f aca="false">Sens!G2210+Sens!G2217</f>
        <v>446.314422573953</v>
      </c>
      <c r="H2218" s="6" t="n">
        <f aca="false">Sens!H2210+Sens!H2217</f>
        <v>498.282898599325</v>
      </c>
      <c r="I2218" s="6" t="n">
        <f aca="false">Sens!I2210+Sens!I2217</f>
        <v>540.763804487456</v>
      </c>
      <c r="J2218" s="6" t="n">
        <f aca="false">Sens!J2210+Sens!J2217</f>
        <v>579.159602403654</v>
      </c>
      <c r="K2218" s="6" t="n">
        <f aca="false">Sens!K2210+Sens!K2217</f>
        <v>614.311314057926</v>
      </c>
    </row>
    <row r="2219" customFormat="false" ht="15" hidden="false" customHeight="false" outlineLevel="0" collapsed="false">
      <c r="A2219" s="22" t="s">
        <v>796</v>
      </c>
      <c r="B2219" s="28" t="s">
        <v>95</v>
      </c>
      <c r="C2219" s="28"/>
      <c r="D2219" s="23" t="n">
        <f aca="false">(Sens!D2198+Sens!D2203+Sens!D2204+Sens!D2206+Sens!D2208-Sens!D2210)+(Sens!D2211+Sens!D2213+Sens!D2215-Sens!D2217)+(Sens!D2210-Q!L5)+(Sens!D2217-Q!L12)+(Sens!D2198-Q!L6)+(Sens!D2203-Q!L7)</f>
        <v>0</v>
      </c>
      <c r="E2219" s="23" t="n">
        <f aca="false">(Sens!E2198+Sens!E2203+Sens!E2204+Sens!E2206+Sens!E2208-Sens!E2210)+(Sens!E2211+Sens!E2213+Sens!E2215-Sens!E2217)+(Sens!E2210-Q!M5)+(Sens!E2217-Q!M12)+(Sens!E2198-Q!M6)+(Sens!E2203-Q!M7)</f>
        <v>0</v>
      </c>
      <c r="F2219" s="23" t="n">
        <f aca="false">(Sens!F2198+Sens!F2203+Sens!F2204+Sens!F2206+Sens!F2208-Sens!F2210)+(Sens!F2211+Sens!F2213+Sens!F2215-Sens!F2217)</f>
        <v>0</v>
      </c>
      <c r="G2219" s="23" t="n">
        <f aca="false">(Sens!G2198+Sens!G2203+Sens!G2204+Sens!G2206+Sens!G2208-Sens!G2210)+(Sens!G2211+Sens!G2213+Sens!G2215-Sens!G2217)</f>
        <v>0</v>
      </c>
      <c r="H2219" s="23" t="n">
        <f aca="false">(Sens!H2198+Sens!H2203+Sens!H2204+Sens!H2206+Sens!H2208-Sens!H2210)+(Sens!H2211+Sens!H2213+Sens!H2215-Sens!H2217)</f>
        <v>0</v>
      </c>
      <c r="I2219" s="23" t="n">
        <f aca="false">(Sens!I2198+Sens!I2203+Sens!I2204+Sens!I2206+Sens!I2208-Sens!I2210)+(Sens!I2211+Sens!I2213+Sens!I2215-Sens!I2217)</f>
        <v>0</v>
      </c>
      <c r="J2219" s="23" t="n">
        <f aca="false">(Sens!J2198+Sens!J2203+Sens!J2204+Sens!J2206+Sens!J2208-Sens!J2210)+(Sens!J2211+Sens!J2213+Sens!J2215-Sens!J2217)</f>
        <v>0</v>
      </c>
      <c r="K2219" s="23" t="n">
        <f aca="false">(Sens!K2198+Sens!K2203+Sens!K2204+Sens!K2206+Sens!K2208-Sens!K2210)+(Sens!K2211+Sens!K2213+Sens!K2215-Sens!K2217)</f>
        <v>0</v>
      </c>
    </row>
    <row r="2220" customFormat="false" ht="17.15" hidden="false" customHeight="false" outlineLevel="0" collapsed="false">
      <c r="A2220" s="3" t="s">
        <v>1176</v>
      </c>
    </row>
    <row r="2221" customFormat="false" ht="15" hidden="false" customHeight="false" outlineLevel="0" collapsed="false">
      <c r="A2221" s="4" t="s">
        <v>43</v>
      </c>
      <c r="B2221" s="4" t="s">
        <v>63</v>
      </c>
      <c r="C2221" s="19" t="s">
        <v>710</v>
      </c>
      <c r="D2221" s="19" t="s">
        <v>711</v>
      </c>
      <c r="E2221" s="19" t="s">
        <v>712</v>
      </c>
      <c r="F2221" s="19" t="s">
        <v>713</v>
      </c>
      <c r="G2221" s="19" t="s">
        <v>714</v>
      </c>
      <c r="H2221" s="19" t="s">
        <v>715</v>
      </c>
      <c r="I2221" s="19" t="s">
        <v>716</v>
      </c>
      <c r="J2221" s="19" t="s">
        <v>717</v>
      </c>
      <c r="K2221" s="19" t="s">
        <v>718</v>
      </c>
      <c r="L2221" s="4" t="s">
        <v>47</v>
      </c>
    </row>
    <row r="2222" customFormat="false" ht="15" hidden="false" customHeight="false" outlineLevel="0" collapsed="false">
      <c r="A2222" s="0" t="s">
        <v>783</v>
      </c>
      <c r="B2222" s="0" t="s">
        <v>95</v>
      </c>
      <c r="D2222" s="6" t="n">
        <f aca="false">Sens!D2198</f>
        <v>72.61</v>
      </c>
      <c r="E2222" s="6" t="n">
        <f aca="false">Sens!E2198</f>
        <v>101.938</v>
      </c>
      <c r="F2222" s="6" t="n">
        <f aca="false">Sens!F2198</f>
        <v>134.705444615097</v>
      </c>
      <c r="G2222" s="6" t="n">
        <f aca="false">Sens!G2198</f>
        <v>163.095904958453</v>
      </c>
      <c r="H2222" s="6" t="n">
        <f aca="false">Sens!H2198</f>
        <v>187.117410902933</v>
      </c>
      <c r="I2222" s="6" t="n">
        <f aca="false">Sens!I2198</f>
        <v>203.779130699152</v>
      </c>
      <c r="J2222" s="6" t="n">
        <f aca="false">Sens!J2198</f>
        <v>218.864295631628</v>
      </c>
      <c r="K2222" s="6" t="n">
        <f aca="false">Sens!K2198</f>
        <v>231.345805016775</v>
      </c>
    </row>
    <row r="2223" customFormat="false" ht="17.15" hidden="false" customHeight="false" outlineLevel="0" collapsed="false">
      <c r="A2223" s="0" t="s">
        <v>780</v>
      </c>
      <c r="B2223" s="0" t="s">
        <v>95</v>
      </c>
      <c r="D2223" s="6" t="n">
        <f aca="false">Sens!D2195</f>
        <v>12.9359794422418</v>
      </c>
      <c r="E2223" s="6" t="n">
        <f aca="false">Sens!E2195</f>
        <v>27.8095064661409</v>
      </c>
      <c r="F2223" s="6" t="n">
        <f aca="false">Sens!F2195</f>
        <v>44.6254948777308</v>
      </c>
      <c r="G2223" s="6" t="n">
        <f aca="false">Sens!G2195</f>
        <v>56.0674797551436</v>
      </c>
      <c r="H2223" s="6" t="n">
        <f aca="false">Sens!H2195</f>
        <v>62.8454283172966</v>
      </c>
      <c r="I2223" s="6" t="n">
        <f aca="false">Sens!I2195</f>
        <v>62.8454283172966</v>
      </c>
      <c r="J2223" s="6" t="n">
        <f aca="false">Sens!J2195</f>
        <v>62.8454283172966</v>
      </c>
      <c r="K2223" s="6" t="n">
        <f aca="false">Sens!K2195</f>
        <v>62.8454283172966</v>
      </c>
    </row>
    <row r="2224" customFormat="false" ht="17.15" hidden="false" customHeight="false" outlineLevel="0" collapsed="false">
      <c r="A2224" s="0" t="s">
        <v>807</v>
      </c>
      <c r="B2224" s="0" t="s">
        <v>95</v>
      </c>
      <c r="D2224" s="6" t="n">
        <f aca="false">Sens!D2196</f>
        <v>59.6740205577583</v>
      </c>
      <c r="E2224" s="6" t="n">
        <f aca="false">Sens!E2196</f>
        <v>74.1284935338591</v>
      </c>
      <c r="F2224" s="6" t="n">
        <f aca="false">Sens!F2196</f>
        <v>90.0799497373663</v>
      </c>
      <c r="G2224" s="6" t="n">
        <f aca="false">Sens!G2196</f>
        <v>107.02842520331</v>
      </c>
      <c r="H2224" s="6" t="n">
        <f aca="false">Sens!H2196</f>
        <v>124.271982585636</v>
      </c>
      <c r="I2224" s="6" t="n">
        <f aca="false">Sens!I2196</f>
        <v>140.933702381855</v>
      </c>
      <c r="J2224" s="6" t="n">
        <f aca="false">Sens!J2196</f>
        <v>156.018867314332</v>
      </c>
      <c r="K2224" s="6" t="n">
        <f aca="false">Sens!K2196</f>
        <v>168.500376699478</v>
      </c>
    </row>
    <row r="2225" customFormat="false" ht="15" hidden="false" customHeight="false" outlineLevel="0" collapsed="false">
      <c r="A2225" s="0" t="s">
        <v>788</v>
      </c>
      <c r="B2225" s="0" t="s">
        <v>95</v>
      </c>
      <c r="D2225" s="6" t="n">
        <f aca="false">Sens!D2203</f>
        <v>84.605</v>
      </c>
      <c r="E2225" s="6" t="n">
        <f aca="false">Sens!E2203</f>
        <v>100.299</v>
      </c>
      <c r="F2225" s="6" t="n">
        <f aca="false">Sens!F2203</f>
        <v>120.39238776686</v>
      </c>
      <c r="G2225" s="6" t="n">
        <f aca="false">Sens!G2203</f>
        <v>141.544168448684</v>
      </c>
      <c r="H2225" s="6" t="n">
        <f aca="false">Sens!H2203</f>
        <v>162.777359388781</v>
      </c>
      <c r="I2225" s="6" t="n">
        <f aca="false">Sens!I2203</f>
        <v>181.584028071957</v>
      </c>
      <c r="J2225" s="6" t="n">
        <f aca="false">Sens!J2203</f>
        <v>197.682702785465</v>
      </c>
      <c r="K2225" s="6" t="n">
        <f aca="false">Sens!K2203</f>
        <v>213.027991980448</v>
      </c>
    </row>
    <row r="2226" customFormat="false" ht="17.15" hidden="false" customHeight="false" outlineLevel="0" collapsed="false">
      <c r="A2226" s="0" t="s">
        <v>808</v>
      </c>
      <c r="B2226" s="0" t="s">
        <v>95</v>
      </c>
      <c r="D2226" s="6" t="n">
        <f aca="false">Sens!D2201</f>
        <v>83.705</v>
      </c>
      <c r="E2226" s="6" t="n">
        <f aca="false">Sens!E2201</f>
        <v>95.049</v>
      </c>
      <c r="F2226" s="6" t="n">
        <f aca="false">Sens!F2201</f>
        <v>106.89238776686</v>
      </c>
      <c r="G2226" s="6" t="n">
        <f aca="false">Sens!G2201</f>
        <v>119.044168448684</v>
      </c>
      <c r="H2226" s="6" t="n">
        <f aca="false">Sens!H2201</f>
        <v>131.277359388781</v>
      </c>
      <c r="I2226" s="6" t="n">
        <f aca="false">Sens!I2201</f>
        <v>143.334028071957</v>
      </c>
      <c r="J2226" s="6" t="n">
        <f aca="false">Sens!J2201</f>
        <v>154.932702785465</v>
      </c>
      <c r="K2226" s="6" t="n">
        <f aca="false">Sens!K2201</f>
        <v>165.777991980448</v>
      </c>
    </row>
    <row r="2227" customFormat="false" ht="17.15" hidden="false" customHeight="false" outlineLevel="0" collapsed="false">
      <c r="A2227" s="0" t="s">
        <v>809</v>
      </c>
      <c r="B2227" s="0" t="s">
        <v>95</v>
      </c>
      <c r="D2227" s="6" t="n">
        <f aca="false">Sens!D2200</f>
        <v>0.9</v>
      </c>
      <c r="E2227" s="6" t="n">
        <f aca="false">Sens!E2200</f>
        <v>5.25</v>
      </c>
      <c r="F2227" s="6" t="n">
        <f aca="false">Sens!F2200</f>
        <v>13.5</v>
      </c>
      <c r="G2227" s="6" t="n">
        <f aca="false">Sens!G2200</f>
        <v>22.5</v>
      </c>
      <c r="H2227" s="6" t="n">
        <f aca="false">Sens!H2200</f>
        <v>31.5</v>
      </c>
      <c r="I2227" s="6" t="n">
        <f aca="false">Sens!I2200</f>
        <v>38.25</v>
      </c>
      <c r="J2227" s="6" t="n">
        <f aca="false">Sens!J2200</f>
        <v>42.75</v>
      </c>
      <c r="K2227" s="6" t="n">
        <f aca="false">Sens!K2200</f>
        <v>47.25</v>
      </c>
    </row>
    <row r="2228" customFormat="false" ht="15" hidden="false" customHeight="false" outlineLevel="0" collapsed="false">
      <c r="A2228" s="0" t="s">
        <v>789</v>
      </c>
      <c r="B2228" s="0" t="s">
        <v>95</v>
      </c>
      <c r="D2228" s="6" t="n">
        <f aca="false">Sens!D2204</f>
        <v>35.391</v>
      </c>
      <c r="E2228" s="6" t="n">
        <f aca="false">Sens!E2204</f>
        <v>37.285</v>
      </c>
      <c r="F2228" s="6" t="n">
        <f aca="false">Sens!F2204</f>
        <v>39.0720834331704</v>
      </c>
      <c r="G2228" s="6" t="n">
        <f aca="false">Sens!G2204</f>
        <v>40.726562953769</v>
      </c>
      <c r="H2228" s="6" t="n">
        <f aca="false">Sens!H2204</f>
        <v>42.2235987259198</v>
      </c>
      <c r="I2228" s="6" t="n">
        <f aca="false">Sens!I2204</f>
        <v>43.5397988077414</v>
      </c>
      <c r="J2228" s="6" t="n">
        <f aca="false">Sens!J2204</f>
        <v>44.653811225693</v>
      </c>
      <c r="K2228" s="6" t="n">
        <f aca="false">Sens!K2204</f>
        <v>45.5468874502068</v>
      </c>
    </row>
    <row r="2229" customFormat="false" ht="15" hidden="false" customHeight="false" outlineLevel="0" collapsed="false">
      <c r="A2229" s="0" t="s">
        <v>790</v>
      </c>
      <c r="B2229" s="0" t="s">
        <v>95</v>
      </c>
      <c r="D2229" s="6" t="n">
        <f aca="false">Sens!D2206</f>
        <v>18.417</v>
      </c>
      <c r="E2229" s="6" t="n">
        <f aca="false">Sens!E2206</f>
        <v>20.345</v>
      </c>
      <c r="F2229" s="6" t="n">
        <f aca="false">Sens!F2206</f>
        <v>22.3572203267814</v>
      </c>
      <c r="G2229" s="6" t="n">
        <f aca="false">Sens!G2206</f>
        <v>24.4392124437232</v>
      </c>
      <c r="H2229" s="6" t="n">
        <f aca="false">Sens!H2206</f>
        <v>26.5738052080665</v>
      </c>
      <c r="I2229" s="6" t="n">
        <f aca="false">Sens!I2206</f>
        <v>28.7412169166967</v>
      </c>
      <c r="J2229" s="6" t="n">
        <f aca="false">Sens!J2206</f>
        <v>30.9192545395413</v>
      </c>
      <c r="K2229" s="6" t="n">
        <f aca="false">Sens!K2206</f>
        <v>33.0836023573092</v>
      </c>
    </row>
    <row r="2230" customFormat="false" ht="15" hidden="false" customHeight="false" outlineLevel="0" collapsed="false">
      <c r="A2230" s="0" t="s">
        <v>791</v>
      </c>
      <c r="B2230" s="0" t="s">
        <v>95</v>
      </c>
      <c r="D2230" s="6" t="n">
        <f aca="false">Sens!D2208</f>
        <v>7.76</v>
      </c>
      <c r="E2230" s="6" t="n">
        <f aca="false">Sens!E2208</f>
        <v>8.26</v>
      </c>
      <c r="F2230" s="6" t="n">
        <f aca="false">Sens!F2208</f>
        <v>8.79988041237113</v>
      </c>
      <c r="G2230" s="6" t="n">
        <f aca="false">Sens!G2208</f>
        <v>9.38321269125306</v>
      </c>
      <c r="H2230" s="6" t="n">
        <f aca="false">Sens!H2208</f>
        <v>10.0139193587476</v>
      </c>
      <c r="I2230" s="6" t="n">
        <f aca="false">Sens!I2208</f>
        <v>10.6963111830911</v>
      </c>
      <c r="J2230" s="6" t="n">
        <f aca="false">Sens!J2208</f>
        <v>11.4351285534696</v>
      </c>
      <c r="K2230" s="6" t="n">
        <f aca="false">Sens!K2208</f>
        <v>12.2355875522124</v>
      </c>
    </row>
    <row r="2231" customFormat="false" ht="15" hidden="false" customHeight="false" outlineLevel="0" collapsed="false">
      <c r="A2231" s="0" t="s">
        <v>626</v>
      </c>
      <c r="B2231" s="0" t="s">
        <v>95</v>
      </c>
      <c r="D2231" s="6" t="n">
        <f aca="false">Sens!D2210</f>
        <v>218.783</v>
      </c>
      <c r="E2231" s="6" t="n">
        <f aca="false">Sens!E2210</f>
        <v>268.127</v>
      </c>
      <c r="F2231" s="6" t="n">
        <f aca="false">Sens!F2210</f>
        <v>325.32701655428</v>
      </c>
      <c r="G2231" s="6" t="n">
        <f aca="false">Sens!G2210</f>
        <v>379.189061495883</v>
      </c>
      <c r="H2231" s="6" t="n">
        <f aca="false">Sens!H2210</f>
        <v>428.706093584448</v>
      </c>
      <c r="I2231" s="6" t="n">
        <f aca="false">Sens!I2210</f>
        <v>468.340485678638</v>
      </c>
      <c r="J2231" s="6" t="n">
        <f aca="false">Sens!J2210</f>
        <v>503.555192735797</v>
      </c>
      <c r="K2231" s="6" t="n">
        <f aca="false">Sens!K2210</f>
        <v>535.239874356951</v>
      </c>
    </row>
    <row r="2232" customFormat="false" ht="15" hidden="false" customHeight="false" outlineLevel="0" collapsed="false">
      <c r="A2232" s="0" t="s">
        <v>792</v>
      </c>
      <c r="B2232" s="0" t="s">
        <v>95</v>
      </c>
      <c r="D2232" s="6" t="n">
        <f aca="false">Sens!D2211</f>
        <v>22.171</v>
      </c>
      <c r="E2232" s="6" t="n">
        <f aca="false">Sens!E2211</f>
        <v>24.835</v>
      </c>
      <c r="F2232" s="6" t="n">
        <f aca="false">Sens!F2211</f>
        <v>27.6114901218559</v>
      </c>
      <c r="G2232" s="6" t="n">
        <f aca="false">Sens!G2211</f>
        <v>30.4675667338515</v>
      </c>
      <c r="H2232" s="6" t="n">
        <f aca="false">Sens!H2211</f>
        <v>33.3643766955789</v>
      </c>
      <c r="I2232" s="6" t="n">
        <f aca="false">Sens!I2211</f>
        <v>36.2577016533691</v>
      </c>
      <c r="J2232" s="6" t="n">
        <f aca="false">Sens!J2211</f>
        <v>39.0988367952171</v>
      </c>
      <c r="K2232" s="6" t="n">
        <f aca="false">Sens!K2211</f>
        <v>41.8357553708823</v>
      </c>
    </row>
    <row r="2233" customFormat="false" ht="15" hidden="false" customHeight="false" outlineLevel="0" collapsed="false">
      <c r="A2233" s="0" t="s">
        <v>793</v>
      </c>
      <c r="B2233" s="0" t="s">
        <v>95</v>
      </c>
      <c r="D2233" s="6" t="n">
        <f aca="false">Sens!D2213</f>
        <v>23.455</v>
      </c>
      <c r="E2233" s="6" t="n">
        <f aca="false">Sens!E2213</f>
        <v>21.79</v>
      </c>
      <c r="F2233" s="6" t="n">
        <f aca="false">Sens!F2213</f>
        <v>20.5736277908051</v>
      </c>
      <c r="G2233" s="6" t="n">
        <f aca="false">Sens!G2213</f>
        <v>19.7371452817919</v>
      </c>
      <c r="H2233" s="6" t="n">
        <f aca="false">Sens!H2213</f>
        <v>19.2339764043138</v>
      </c>
      <c r="I2233" s="6" t="n">
        <f aca="false">Sens!I2213</f>
        <v>19.0353086852681</v>
      </c>
      <c r="J2233" s="6" t="n">
        <f aca="false">Sens!J2213</f>
        <v>19.1273539319129</v>
      </c>
      <c r="K2233" s="6" t="n">
        <f aca="false">Sens!K2213</f>
        <v>19.5099010105511</v>
      </c>
    </row>
    <row r="2234" customFormat="false" ht="15" hidden="false" customHeight="false" outlineLevel="0" collapsed="false">
      <c r="A2234" s="0" t="s">
        <v>794</v>
      </c>
      <c r="B2234" s="0" t="s">
        <v>95</v>
      </c>
      <c r="D2234" s="6" t="n">
        <f aca="false">Sens!D2215</f>
        <v>17.315</v>
      </c>
      <c r="E2234" s="6" t="n">
        <f aca="false">Sens!E2215</f>
        <v>17.087</v>
      </c>
      <c r="F2234" s="6" t="n">
        <f aca="false">Sens!F2215</f>
        <v>16.9564585436519</v>
      </c>
      <c r="G2234" s="6" t="n">
        <f aca="false">Sens!G2215</f>
        <v>16.9206490624268</v>
      </c>
      <c r="H2234" s="6" t="n">
        <f aca="false">Sens!H2215</f>
        <v>16.9784519149849</v>
      </c>
      <c r="I2234" s="6" t="n">
        <f aca="false">Sens!I2215</f>
        <v>17.1303084701817</v>
      </c>
      <c r="J2234" s="6" t="n">
        <f aca="false">Sens!J2215</f>
        <v>17.3782189407267</v>
      </c>
      <c r="K2234" s="6" t="n">
        <f aca="false">Sens!K2215</f>
        <v>17.7257833195413</v>
      </c>
    </row>
    <row r="2235" customFormat="false" ht="15" hidden="false" customHeight="false" outlineLevel="0" collapsed="false">
      <c r="A2235" s="0" t="s">
        <v>640</v>
      </c>
      <c r="B2235" s="0" t="s">
        <v>95</v>
      </c>
      <c r="D2235" s="6" t="n">
        <f aca="false">Sens!D2217</f>
        <v>62.941</v>
      </c>
      <c r="E2235" s="6" t="n">
        <f aca="false">Sens!E2217</f>
        <v>63.712</v>
      </c>
      <c r="F2235" s="6" t="n">
        <f aca="false">Sens!F2217</f>
        <v>65.1415764563129</v>
      </c>
      <c r="G2235" s="6" t="n">
        <f aca="false">Sens!G2217</f>
        <v>67.1253610780702</v>
      </c>
      <c r="H2235" s="6" t="n">
        <f aca="false">Sens!H2217</f>
        <v>69.5768050148776</v>
      </c>
      <c r="I2235" s="6" t="n">
        <f aca="false">Sens!I2217</f>
        <v>72.4233188088189</v>
      </c>
      <c r="J2235" s="6" t="n">
        <f aca="false">Sens!J2217</f>
        <v>75.6044096678567</v>
      </c>
      <c r="K2235" s="6" t="n">
        <f aca="false">Sens!K2217</f>
        <v>79.0714397009747</v>
      </c>
    </row>
    <row r="2236" customFormat="false" ht="15" hidden="false" customHeight="false" outlineLevel="0" collapsed="false">
      <c r="A2236" s="1" t="s">
        <v>810</v>
      </c>
      <c r="B2236" s="0" t="s">
        <v>95</v>
      </c>
      <c r="D2236" s="6" t="n">
        <f aca="false">Sens!D2218</f>
        <v>281.724</v>
      </c>
      <c r="E2236" s="6" t="n">
        <f aca="false">Sens!E2218</f>
        <v>331.839</v>
      </c>
      <c r="F2236" s="6" t="n">
        <f aca="false">Sens!F2218</f>
        <v>390.468593010593</v>
      </c>
      <c r="G2236" s="6" t="n">
        <f aca="false">Sens!G2218</f>
        <v>446.314422573953</v>
      </c>
      <c r="H2236" s="6" t="n">
        <f aca="false">Sens!H2218</f>
        <v>498.282898599325</v>
      </c>
      <c r="I2236" s="6" t="n">
        <f aca="false">Sens!I2218</f>
        <v>540.763804487456</v>
      </c>
      <c r="J2236" s="6" t="n">
        <f aca="false">Sens!J2218</f>
        <v>579.159602403654</v>
      </c>
      <c r="K2236" s="6" t="n">
        <f aca="false">Sens!K2218</f>
        <v>614.311314057926</v>
      </c>
    </row>
    <row r="2237" customFormat="false" ht="15" hidden="false" customHeight="false" outlineLevel="0" collapsed="false">
      <c r="A2237" s="1" t="s">
        <v>811</v>
      </c>
      <c r="B2237" s="0" t="s">
        <v>126</v>
      </c>
      <c r="E2237" s="7" t="n">
        <f aca="false">Sens!E2236/Sens!D2236-1</f>
        <v>0.177886867998467</v>
      </c>
      <c r="F2237" s="7" t="n">
        <f aca="false">Sens!F2236/Sens!E2236-1</f>
        <v>0.176680839234065</v>
      </c>
      <c r="G2237" s="7" t="n">
        <f aca="false">Sens!G2236/Sens!F2236-1</f>
        <v>0.143022590198042</v>
      </c>
      <c r="H2237" s="7" t="n">
        <f aca="false">Sens!H2236/Sens!G2236-1</f>
        <v>0.116439159025298</v>
      </c>
      <c r="I2237" s="7" t="n">
        <f aca="false">Sens!I2236/Sens!H2236-1</f>
        <v>0.0852545933395368</v>
      </c>
      <c r="J2237" s="7" t="n">
        <f aca="false">Sens!J2236/Sens!I2236-1</f>
        <v>0.0710028992280456</v>
      </c>
      <c r="K2237" s="7" t="n">
        <f aca="false">Sens!K2236/Sens!J2236-1</f>
        <v>0.0606943431627198</v>
      </c>
    </row>
    <row r="2238" customFormat="false" ht="17.15" hidden="false" customHeight="false" outlineLevel="0" collapsed="false">
      <c r="A2238" s="22" t="s">
        <v>812</v>
      </c>
      <c r="B2238" s="28" t="s">
        <v>95</v>
      </c>
      <c r="C2238" s="28"/>
      <c r="D2238" s="23" t="n">
        <f aca="false">(Sens!D2231+Sens!D2235-Sens!D2236)+(Sens!D2223+Sens!D2224-Sens!D2222)+(Sens!D2226+Sens!D2227-Sens!D2225)+(Sens!D2236-Q!L18)</f>
        <v>0</v>
      </c>
      <c r="E2238" s="23" t="n">
        <f aca="false">(Sens!E2231+Sens!E2235-Sens!E2236)+(Sens!E2223+Sens!E2224-Sens!E2222)+(Sens!E2226+Sens!E2227-Sens!E2225)+(Sens!E2236-Q!M18)</f>
        <v>0</v>
      </c>
      <c r="F2238" s="23" t="n">
        <f aca="false">(Sens!F2231+Sens!F2235-Sens!F2236)+(Sens!F2223+Sens!F2224-Sens!F2222)+(Sens!F2226+Sens!F2227-Sens!F2225)</f>
        <v>0</v>
      </c>
      <c r="G2238" s="23" t="n">
        <f aca="false">(Sens!G2231+Sens!G2235-Sens!G2236)+(Sens!G2223+Sens!G2224-Sens!G2222)+(Sens!G2226+Sens!G2227-Sens!G2225)</f>
        <v>0</v>
      </c>
      <c r="H2238" s="23" t="n">
        <f aca="false">(Sens!H2231+Sens!H2235-Sens!H2236)+(Sens!H2223+Sens!H2224-Sens!H2222)+(Sens!H2226+Sens!H2227-Sens!H2225)</f>
        <v>0</v>
      </c>
      <c r="I2238" s="23" t="n">
        <f aca="false">(Sens!I2231+Sens!I2235-Sens!I2236)+(Sens!I2223+Sens!I2224-Sens!I2222)+(Sens!I2226+Sens!I2227-Sens!I2225)</f>
        <v>0</v>
      </c>
      <c r="J2238" s="23" t="n">
        <f aca="false">(Sens!J2231+Sens!J2235-Sens!J2236)+(Sens!J2223+Sens!J2224-Sens!J2222)+(Sens!J2226+Sens!J2227-Sens!J2225)</f>
        <v>0</v>
      </c>
      <c r="K2238" s="23" t="n">
        <f aca="false">(Sens!K2231+Sens!K2235-Sens!K2236)+(Sens!K2223+Sens!K2224-Sens!K2222)+(Sens!K2226+Sens!K2227-Sens!K2225)</f>
        <v>0</v>
      </c>
    </row>
    <row r="2239" customFormat="false" ht="17.15" hidden="false" customHeight="false" outlineLevel="0" collapsed="false">
      <c r="A2239" s="0" t="s">
        <v>813</v>
      </c>
      <c r="B2239" s="0" t="s">
        <v>126</v>
      </c>
      <c r="E2239" s="7" t="n">
        <f aca="false">(Q!M21+Sens!E2176+Sens!E2177+Sens!E2178+Sens!E2191-Sens!E2174)/(Q!M5-Sens!E2174)</f>
        <v>0.570957350878296</v>
      </c>
      <c r="F2239" s="7" t="n">
        <f aca="false">Sens!$E$2239+dm_seg</f>
        <v>0.570957350878296</v>
      </c>
      <c r="G2239" s="7" t="n">
        <f aca="false">Sens!$E$2239+dm_seg</f>
        <v>0.570957350878296</v>
      </c>
      <c r="H2239" s="7" t="n">
        <f aca="false">Sens!$E$2239+dm_seg</f>
        <v>0.570957350878296</v>
      </c>
      <c r="I2239" s="7" t="n">
        <f aca="false">Sens!$E$2239+dm_seg</f>
        <v>0.570957350878296</v>
      </c>
      <c r="J2239" s="7" t="n">
        <f aca="false">Sens!$E$2239+dm_seg</f>
        <v>0.570957350878296</v>
      </c>
      <c r="K2239" s="7" t="n">
        <f aca="false">Sens!$E$2239+dm_seg</f>
        <v>0.570957350878296</v>
      </c>
      <c r="L2239" s="11" t="s">
        <v>814</v>
      </c>
    </row>
    <row r="2240" customFormat="false" ht="17.15" hidden="false" customHeight="false" outlineLevel="0" collapsed="false">
      <c r="A2240" s="0" t="s">
        <v>654</v>
      </c>
      <c r="B2240" s="0" t="s">
        <v>95</v>
      </c>
      <c r="D2240" s="6" t="n">
        <f aca="false">Q!L21</f>
        <v>110.814</v>
      </c>
      <c r="E2240" s="6" t="n">
        <f aca="false">Q!M21</f>
        <v>136.365</v>
      </c>
      <c r="F2240" s="6" t="n">
        <f aca="false">Sens!F2239*(Sens!F2210-Sens!F2174)+Sens!F2174-(Sens!F2176+Sens!F2177+Sens!F2178)-Sens!F2191</f>
        <v>150.782727077904</v>
      </c>
      <c r="G2240" s="6" t="n">
        <f aca="false">Sens!G2239*(Sens!G2210-Sens!G2174)+Sens!G2174-(Sens!G2176+Sens!G2177+Sens!G2178)-Sens!G2191</f>
        <v>167.200055634365</v>
      </c>
      <c r="H2240" s="6" t="n">
        <f aca="false">Sens!H2239*(Sens!H2210-Sens!H2174)+Sens!H2174-(Sens!H2176+Sens!H2177+Sens!H2178)-Sens!H2191</f>
        <v>194.776854473371</v>
      </c>
      <c r="I2240" s="6" t="n">
        <f aca="false">Sens!I2239*(Sens!I2210-Sens!I2174)+Sens!I2174-(Sens!I2176+Sens!I2177+Sens!I2178)-Sens!I2191</f>
        <v>216.762627757558</v>
      </c>
      <c r="J2240" s="6" t="n">
        <f aca="false">Sens!J2239*(Sens!J2210-Sens!J2174)+Sens!J2174-(Sens!J2176+Sens!J2177+Sens!J2178)-Sens!J2191</f>
        <v>235.252718912119</v>
      </c>
      <c r="K2240" s="6" t="n">
        <f aca="false">Sens!K2239*(Sens!K2210-Sens!K2174)+Sens!K2174-(Sens!K2176+Sens!K2177+Sens!K2178)-Sens!K2191</f>
        <v>250.439767636038</v>
      </c>
      <c r="L2240" s="1" t="s">
        <v>815</v>
      </c>
    </row>
    <row r="2241" customFormat="false" ht="17.15" hidden="false" customHeight="false" outlineLevel="0" collapsed="false">
      <c r="A2241" s="0" t="s">
        <v>816</v>
      </c>
      <c r="B2241" s="0" t="s">
        <v>126</v>
      </c>
      <c r="E2241" s="7" t="n">
        <f aca="false">Q!M22/Q!M12</f>
        <v>0.296207935710698</v>
      </c>
      <c r="F2241" s="7" t="n">
        <f aca="false">Sens!$E$2241+dm_seg</f>
        <v>0.296207935710698</v>
      </c>
      <c r="G2241" s="7" t="n">
        <f aca="false">Sens!$E$2241+dm_seg</f>
        <v>0.296207935710698</v>
      </c>
      <c r="H2241" s="7" t="n">
        <f aca="false">Sens!$E$2241+dm_seg</f>
        <v>0.296207935710698</v>
      </c>
      <c r="I2241" s="7" t="n">
        <f aca="false">Sens!$E$2241+dm_seg</f>
        <v>0.296207935710698</v>
      </c>
      <c r="J2241" s="7" t="n">
        <f aca="false">Sens!$E$2241+dm_seg</f>
        <v>0.296207935710698</v>
      </c>
      <c r="K2241" s="7" t="n">
        <f aca="false">Sens!$E$2241+dm_seg</f>
        <v>0.296207935710698</v>
      </c>
      <c r="L2241" s="11" t="s">
        <v>817</v>
      </c>
    </row>
    <row r="2242" customFormat="false" ht="17.15" hidden="false" customHeight="false" outlineLevel="0" collapsed="false">
      <c r="A2242" s="0" t="s">
        <v>656</v>
      </c>
      <c r="B2242" s="0" t="s">
        <v>95</v>
      </c>
      <c r="D2242" s="6" t="n">
        <f aca="false">Q!L22</f>
        <v>17.714</v>
      </c>
      <c r="E2242" s="6" t="n">
        <f aca="false">Q!M22</f>
        <v>18.872</v>
      </c>
      <c r="F2242" s="6" t="n">
        <f aca="false">Sens!F2217*Sens!F2241</f>
        <v>19.2954518910651</v>
      </c>
      <c r="G2242" s="6" t="n">
        <f aca="false">Sens!G2217*Sens!G2241</f>
        <v>19.8830646387704</v>
      </c>
      <c r="H2242" s="6" t="n">
        <f aca="false">Sens!H2217*Sens!H2241</f>
        <v>20.6092017868026</v>
      </c>
      <c r="I2242" s="6" t="n">
        <f aca="false">Sens!I2217*Sens!I2241</f>
        <v>21.452361761678</v>
      </c>
      <c r="J2242" s="6" t="n">
        <f aca="false">Sens!J2217*Sens!J2241</f>
        <v>22.3946261183418</v>
      </c>
      <c r="K2242" s="6" t="n">
        <f aca="false">Sens!K2217*Sens!K2241</f>
        <v>23.4215879274986</v>
      </c>
    </row>
    <row r="2243" customFormat="false" ht="15" hidden="false" customHeight="false" outlineLevel="0" collapsed="false">
      <c r="A2243" s="1" t="s">
        <v>818</v>
      </c>
      <c r="B2243" s="0" t="s">
        <v>95</v>
      </c>
      <c r="D2243" s="6" t="n">
        <f aca="false">Sens!D2240+Sens!D2242</f>
        <v>128.528</v>
      </c>
      <c r="E2243" s="6" t="n">
        <f aca="false">Sens!E2240+Sens!E2242</f>
        <v>155.237</v>
      </c>
      <c r="F2243" s="6" t="n">
        <f aca="false">Sens!F2240+Sens!F2242</f>
        <v>170.078178968969</v>
      </c>
      <c r="G2243" s="6" t="n">
        <f aca="false">Sens!G2240+Sens!G2242</f>
        <v>187.083120273135</v>
      </c>
      <c r="H2243" s="6" t="n">
        <f aca="false">Sens!H2240+Sens!H2242</f>
        <v>215.386056260173</v>
      </c>
      <c r="I2243" s="6" t="n">
        <f aca="false">Sens!I2240+Sens!I2242</f>
        <v>238.214989519236</v>
      </c>
      <c r="J2243" s="6" t="n">
        <f aca="false">Sens!J2240+Sens!J2242</f>
        <v>257.647345030461</v>
      </c>
      <c r="K2243" s="6" t="n">
        <f aca="false">Sens!K2240+Sens!K2242</f>
        <v>273.861355563537</v>
      </c>
    </row>
    <row r="2244" customFormat="false" ht="15" hidden="false" customHeight="false" outlineLevel="0" collapsed="false">
      <c r="A2244" s="22" t="s">
        <v>819</v>
      </c>
      <c r="B2244" s="28" t="s">
        <v>95</v>
      </c>
      <c r="C2244" s="28"/>
      <c r="D2244" s="23" t="n">
        <f aca="false">Sens!D2243-Q!L23</f>
        <v>0</v>
      </c>
      <c r="E2244" s="23" t="n">
        <f aca="false">Sens!E2243-Q!M23</f>
        <v>0</v>
      </c>
      <c r="F2244" s="28"/>
      <c r="G2244" s="28"/>
      <c r="H2244" s="28"/>
      <c r="I2244" s="28"/>
      <c r="J2244" s="28"/>
      <c r="K2244" s="28"/>
    </row>
    <row r="2245" customFormat="false" ht="15" hidden="false" customHeight="false" outlineLevel="0" collapsed="false">
      <c r="A2245" s="1" t="s">
        <v>820</v>
      </c>
      <c r="B2245" s="0" t="s">
        <v>126</v>
      </c>
      <c r="D2245" s="7" t="n">
        <f aca="false">Sens!D2243/Sens!D2236</f>
        <v>0.456219562408598</v>
      </c>
      <c r="E2245" s="7" t="n">
        <f aca="false">Sens!E2243/Sens!E2236</f>
        <v>0.467808184089272</v>
      </c>
      <c r="F2245" s="7" t="n">
        <f aca="false">Sens!F2243/Sens!F2236</f>
        <v>0.435574543032082</v>
      </c>
      <c r="G2245" s="7" t="n">
        <f aca="false">Sens!G2243/Sens!G2236</f>
        <v>0.419173369290203</v>
      </c>
      <c r="H2245" s="7" t="n">
        <f aca="false">Sens!H2243/Sens!H2236</f>
        <v>0.432256569241337</v>
      </c>
      <c r="I2245" s="7" t="n">
        <f aca="false">Sens!I2243/Sens!I2236</f>
        <v>0.440515780720604</v>
      </c>
      <c r="J2245" s="7" t="n">
        <f aca="false">Sens!J2243/Sens!J2236</f>
        <v>0.444864151368917</v>
      </c>
      <c r="K2245" s="7" t="n">
        <f aca="false">Sens!K2243/Sens!K2236</f>
        <v>0.445802232998941</v>
      </c>
    </row>
    <row r="2246" customFormat="false" ht="17.15" hidden="false" customHeight="false" outlineLevel="0" collapsed="false">
      <c r="A2246" s="1" t="s">
        <v>821</v>
      </c>
      <c r="B2246" s="0" t="s">
        <v>95</v>
      </c>
      <c r="E2246" s="6" t="n">
        <f aca="false">Sens!E2191</f>
        <v>16.3054059770833</v>
      </c>
      <c r="F2246" s="6" t="n">
        <f aca="false">Sens!F2191</f>
        <v>36.1154426892031</v>
      </c>
      <c r="G2246" s="6" t="n">
        <f aca="false">Sens!G2191</f>
        <v>52.4092101714062</v>
      </c>
      <c r="H2246" s="6" t="n">
        <f aca="false">Sens!H2191</f>
        <v>54.9919095894062</v>
      </c>
      <c r="I2246" s="6" t="n">
        <f aca="false">Sens!I2191</f>
        <v>55.6356838189896</v>
      </c>
      <c r="J2246" s="6" t="n">
        <f aca="false">Sens!J2191</f>
        <v>57.2516885177396</v>
      </c>
      <c r="K2246" s="6" t="n">
        <f aca="false">Sens!K2191</f>
        <v>60.1552416756563</v>
      </c>
    </row>
    <row r="2247" customFormat="false" ht="17.15" hidden="false" customHeight="false" outlineLevel="0" collapsed="false">
      <c r="A2247" s="1" t="s">
        <v>822</v>
      </c>
      <c r="B2247" s="0" t="s">
        <v>95</v>
      </c>
      <c r="E2247" s="6" t="n">
        <f aca="false">Sens!E2267</f>
        <v>22.2285940229167</v>
      </c>
      <c r="F2247" s="6" t="n">
        <f aca="false">Sens!F2267</f>
        <v>23.5786693435813</v>
      </c>
      <c r="G2247" s="6" t="n">
        <f aca="false">Sens!G2267</f>
        <v>25.3810917662621</v>
      </c>
      <c r="H2247" s="6" t="n">
        <f aca="false">Sens!H2267</f>
        <v>27.5991339540448</v>
      </c>
      <c r="I2247" s="6" t="n">
        <f aca="false">Sens!I2267</f>
        <v>30.1565605898047</v>
      </c>
      <c r="J2247" s="6" t="n">
        <f aca="false">Sens!J2267</f>
        <v>32.9614958558616</v>
      </c>
      <c r="K2247" s="6" t="n">
        <f aca="false">Sens!K2267</f>
        <v>35.9297165444749</v>
      </c>
    </row>
    <row r="2248" customFormat="false" ht="17.15" hidden="false" customHeight="false" outlineLevel="0" collapsed="false">
      <c r="A2248" s="1" t="s">
        <v>823</v>
      </c>
      <c r="B2248" s="0" t="s">
        <v>95</v>
      </c>
      <c r="D2248" s="6" t="n">
        <f aca="false">Q!L27</f>
        <v>-4.901</v>
      </c>
      <c r="E2248" s="6" t="n">
        <f aca="false">Q!M27</f>
        <v>10.697</v>
      </c>
      <c r="F2248" s="6" t="n">
        <f aca="false">oie_f</f>
        <v>-0.4</v>
      </c>
      <c r="G2248" s="6" t="n">
        <f aca="false">oie_f</f>
        <v>-0.4</v>
      </c>
      <c r="H2248" s="6" t="n">
        <f aca="false">oie_f</f>
        <v>-0.4</v>
      </c>
      <c r="I2248" s="6" t="n">
        <f aca="false">oie_f</f>
        <v>-0.4</v>
      </c>
      <c r="J2248" s="6" t="n">
        <f aca="false">oie_f</f>
        <v>-0.4</v>
      </c>
      <c r="K2248" s="6" t="n">
        <f aca="false">oie_f</f>
        <v>-0.4</v>
      </c>
      <c r="L2248" s="11" t="s">
        <v>824</v>
      </c>
    </row>
    <row r="2249" customFormat="false" ht="15" hidden="false" customHeight="false" outlineLevel="0" collapsed="false">
      <c r="A2249" s="1" t="s">
        <v>666</v>
      </c>
      <c r="B2249" s="0" t="s">
        <v>95</v>
      </c>
      <c r="D2249" s="6" t="n">
        <f aca="false">Sens!D2243+Sens!D2248</f>
        <v>123.627</v>
      </c>
      <c r="E2249" s="6" t="n">
        <f aca="false">Sens!E2243+Sens!E2248</f>
        <v>165.934</v>
      </c>
      <c r="F2249" s="6" t="n">
        <f aca="false">Sens!F2243+Sens!F2248</f>
        <v>169.678178968969</v>
      </c>
      <c r="G2249" s="6" t="n">
        <f aca="false">Sens!G2243+Sens!G2248</f>
        <v>186.683120273135</v>
      </c>
      <c r="H2249" s="6" t="n">
        <f aca="false">Sens!H2243+Sens!H2248</f>
        <v>214.986056260173</v>
      </c>
      <c r="I2249" s="6" t="n">
        <f aca="false">Sens!I2243+Sens!I2248</f>
        <v>237.814989519236</v>
      </c>
      <c r="J2249" s="6" t="n">
        <f aca="false">Sens!J2243+Sens!J2248</f>
        <v>257.247345030461</v>
      </c>
      <c r="K2249" s="6" t="n">
        <f aca="false">Sens!K2243+Sens!K2248</f>
        <v>273.461355563537</v>
      </c>
    </row>
    <row r="2250" customFormat="false" ht="15" hidden="false" customHeight="false" outlineLevel="0" collapsed="false">
      <c r="A2250" s="1" t="s">
        <v>668</v>
      </c>
      <c r="B2250" s="0" t="s">
        <v>95</v>
      </c>
      <c r="D2250" s="6" t="n">
        <f aca="false">Q!L29</f>
        <v>21.795</v>
      </c>
      <c r="E2250" s="6" t="n">
        <f aca="false">Q!M29</f>
        <v>32.185</v>
      </c>
      <c r="F2250" s="6" t="n">
        <f aca="false">Sens!F2249*tax_f</f>
        <v>33.9356357937938</v>
      </c>
      <c r="G2250" s="6" t="n">
        <f aca="false">Sens!G2249*tax_f</f>
        <v>37.3366240546271</v>
      </c>
      <c r="H2250" s="6" t="n">
        <f aca="false">Sens!H2249*tax_f</f>
        <v>42.9972112520347</v>
      </c>
      <c r="I2250" s="6" t="n">
        <f aca="false">Sens!I2249*tax_f</f>
        <v>47.5629979038472</v>
      </c>
      <c r="J2250" s="6" t="n">
        <f aca="false">Sens!J2249*tax_f</f>
        <v>51.4494690060921</v>
      </c>
      <c r="K2250" s="6" t="n">
        <f aca="false">Sens!K2249*tax_f</f>
        <v>54.6922711127074</v>
      </c>
    </row>
    <row r="2251" customFormat="false" ht="15" hidden="false" customHeight="false" outlineLevel="0" collapsed="false">
      <c r="A2251" s="1" t="s">
        <v>825</v>
      </c>
      <c r="B2251" s="0" t="s">
        <v>95</v>
      </c>
      <c r="D2251" s="6" t="n">
        <f aca="false">Sens!D2249-Sens!D2250</f>
        <v>101.832</v>
      </c>
      <c r="E2251" s="6" t="n">
        <f aca="false">Sens!E2249-Sens!E2250</f>
        <v>133.749</v>
      </c>
      <c r="F2251" s="6" t="n">
        <f aca="false">Sens!F2249-Sens!F2250</f>
        <v>135.742543175175</v>
      </c>
      <c r="G2251" s="6" t="n">
        <f aca="false">Sens!G2249-Sens!G2250</f>
        <v>149.346496218508</v>
      </c>
      <c r="H2251" s="6" t="n">
        <f aca="false">Sens!H2249-Sens!H2250</f>
        <v>171.988845008139</v>
      </c>
      <c r="I2251" s="6" t="n">
        <f aca="false">Sens!I2249-Sens!I2250</f>
        <v>190.251991615389</v>
      </c>
      <c r="J2251" s="6" t="n">
        <f aca="false">Sens!J2249-Sens!J2250</f>
        <v>205.797876024368</v>
      </c>
      <c r="K2251" s="6" t="n">
        <f aca="false">Sens!K2249-Sens!K2250</f>
        <v>218.76908445083</v>
      </c>
    </row>
    <row r="2252" customFormat="false" ht="17.15" hidden="false" customHeight="false" outlineLevel="0" collapsed="false">
      <c r="A2252" s="1" t="s">
        <v>826</v>
      </c>
      <c r="B2252" s="1" t="s">
        <v>79</v>
      </c>
      <c r="D2252" s="18" t="n">
        <f aca="false">Q!L31</f>
        <v>7.465</v>
      </c>
      <c r="E2252" s="18" t="n">
        <f aca="false">Q!M31</f>
        <v>7.453</v>
      </c>
      <c r="F2252" s="18" t="n">
        <f aca="false">Sens!F2289</f>
        <v>7.4735</v>
      </c>
      <c r="G2252" s="18" t="n">
        <f aca="false">Sens!G2289</f>
        <v>7.49987171271795</v>
      </c>
      <c r="H2252" s="18" t="n">
        <f aca="false">Sens!H2289</f>
        <v>7.50899501128585</v>
      </c>
      <c r="I2252" s="18" t="n">
        <f aca="false">Sens!I2289</f>
        <v>7.52077584329316</v>
      </c>
      <c r="J2252" s="18" t="n">
        <f aca="false">Sens!J2289</f>
        <v>7.53501735441104</v>
      </c>
      <c r="K2252" s="18" t="n">
        <f aca="false">Sens!K2289</f>
        <v>7.55153727211278</v>
      </c>
    </row>
    <row r="2253" customFormat="false" ht="17.15" hidden="false" customHeight="false" outlineLevel="0" collapsed="false">
      <c r="A2253" s="0" t="s">
        <v>827</v>
      </c>
      <c r="B2253" s="0" t="s">
        <v>73</v>
      </c>
      <c r="D2253" s="8" t="n">
        <f aca="false">Sens!D2251/Sens!D2252</f>
        <v>13.641259209645</v>
      </c>
      <c r="E2253" s="8" t="n">
        <f aca="false">Sens!E2251/Sens!E2252</f>
        <v>17.9456594659869</v>
      </c>
      <c r="F2253" s="8" t="n">
        <f aca="false">Sens!F2251/Sens!F2252</f>
        <v>18.1631823342711</v>
      </c>
      <c r="G2253" s="8" t="n">
        <f aca="false">Sens!G2251/Sens!G2252</f>
        <v>19.913206777291</v>
      </c>
      <c r="H2253" s="8" t="n">
        <f aca="false">Sens!H2251/Sens!H2252</f>
        <v>22.9043759850211</v>
      </c>
      <c r="I2253" s="8" t="n">
        <f aca="false">Sens!I2251/Sens!I2252</f>
        <v>25.2968570769265</v>
      </c>
      <c r="J2253" s="8" t="n">
        <f aca="false">Sens!J2251/Sens!J2252</f>
        <v>27.3121966870976</v>
      </c>
      <c r="K2253" s="8" t="n">
        <f aca="false">Sens!K2251/Sens!K2252</f>
        <v>28.9701390018594</v>
      </c>
      <c r="L2253" s="1" t="s">
        <v>828</v>
      </c>
    </row>
    <row r="2254" customFormat="false" ht="17.15" hidden="false" customHeight="false" outlineLevel="0" collapsed="false">
      <c r="A2254" s="0" t="s">
        <v>829</v>
      </c>
      <c r="B2254" s="0" t="s">
        <v>126</v>
      </c>
      <c r="E2254" s="7" t="n">
        <f aca="false">Sens!E2253/Sens!D2253-1</f>
        <v>0.315542736208578</v>
      </c>
      <c r="F2254" s="7" t="n">
        <f aca="false">Sens!F2253/Sens!E2253-1</f>
        <v>0.0121211966992101</v>
      </c>
      <c r="G2254" s="7" t="n">
        <f aca="false">Sens!G2253/Sens!F2253-1</f>
        <v>0.0963501004842022</v>
      </c>
      <c r="H2254" s="7" t="n">
        <f aca="false">Sens!H2253/Sens!G2253-1</f>
        <v>0.150210322284263</v>
      </c>
      <c r="I2254" s="7" t="n">
        <f aca="false">Sens!I2253/Sens!H2253-1</f>
        <v>0.104455196398717</v>
      </c>
      <c r="J2254" s="7" t="n">
        <f aca="false">Sens!J2253/Sens!I2253-1</f>
        <v>0.0796675889041301</v>
      </c>
      <c r="K2254" s="7" t="n">
        <f aca="false">Sens!K2253/Sens!J2253-1</f>
        <v>0.0607033675744209</v>
      </c>
    </row>
    <row r="2255" customFormat="false" ht="17.15" hidden="false" customHeight="false" outlineLevel="0" collapsed="false">
      <c r="A2255" s="0" t="s">
        <v>763</v>
      </c>
      <c r="B2255" s="0" t="s">
        <v>95</v>
      </c>
      <c r="E2255" s="6" t="n">
        <f aca="false">Sens!E2200</f>
        <v>5.25</v>
      </c>
      <c r="F2255" s="6" t="n">
        <f aca="false">Sens!F2200</f>
        <v>13.5</v>
      </c>
      <c r="G2255" s="6" t="n">
        <f aca="false">Sens!G2200</f>
        <v>22.5</v>
      </c>
      <c r="H2255" s="6" t="n">
        <f aca="false">Sens!H2200</f>
        <v>31.5</v>
      </c>
      <c r="I2255" s="6" t="n">
        <f aca="false">Sens!I2200</f>
        <v>38.25</v>
      </c>
      <c r="J2255" s="6" t="n">
        <f aca="false">Sens!J2200</f>
        <v>42.75</v>
      </c>
      <c r="K2255" s="6" t="n">
        <f aca="false">Sens!K2200</f>
        <v>47.25</v>
      </c>
    </row>
    <row r="2256" customFormat="false" ht="17.15" hidden="false" customHeight="false" outlineLevel="0" collapsed="false">
      <c r="A2256" s="0" t="s">
        <v>764</v>
      </c>
      <c r="B2256" s="0" t="s">
        <v>95</v>
      </c>
      <c r="E2256" s="6" t="n">
        <f aca="false">Sens!E2180+Sens!E2255*Sens!E2239-Sens!E2181-Sens!E2191</f>
        <v>2.1514866143068</v>
      </c>
      <c r="F2256" s="6" t="n">
        <f aca="false">Sens!F2180+Sens!F2255*Sens!F2239-Sens!F2181-Sens!F2191</f>
        <v>-1.77794588918811</v>
      </c>
      <c r="G2256" s="6" t="n">
        <f aca="false">Sens!G2180+Sens!G2255*Sens!G2239-Sens!G2181-Sens!G2191</f>
        <v>-4.44204629317059</v>
      </c>
      <c r="H2256" s="6" t="n">
        <f aca="false">Sens!H2180+Sens!H2255*Sens!H2239-Sens!H2181-Sens!H2191</f>
        <v>3.8711747945335</v>
      </c>
      <c r="I2256" s="6" t="n">
        <f aca="false">Sens!I2180+Sens!I2255*Sens!I2239-Sens!I2181-Sens!I2191</f>
        <v>7.08136268337864</v>
      </c>
      <c r="J2256" s="6" t="n">
        <f aca="false">Sens!J2180+Sens!J2255*Sens!J2239-Sens!J2181-Sens!J2191</f>
        <v>8.03466606358098</v>
      </c>
      <c r="K2256" s="6" t="n">
        <f aca="false">Sens!K2180+Sens!K2255*Sens!K2239-Sens!K2181-Sens!K2191</f>
        <v>7.70042098461664</v>
      </c>
    </row>
    <row r="2257" customFormat="false" ht="17.15" hidden="false" customHeight="false" outlineLevel="0" collapsed="false">
      <c r="A2257" s="0" t="s">
        <v>765</v>
      </c>
      <c r="B2257" s="0" t="s">
        <v>95</v>
      </c>
      <c r="E2257" s="6" t="n">
        <f aca="false">Sens!E2163*(cxit_open+self_build*tk_cxfac)/1000*ai_net_open</f>
        <v>126.6980382</v>
      </c>
      <c r="F2257" s="6" t="n">
        <f aca="false">Sens!E2257+Sens!F2188-Sens!F2191</f>
        <v>259.053248281234</v>
      </c>
      <c r="G2257" s="6" t="n">
        <f aca="false">Sens!F2257+Sens!G2188-Sens!G2191</f>
        <v>241.946765125828</v>
      </c>
      <c r="H2257" s="6" t="n">
        <f aca="false">Sens!G2257+Sens!H2188-Sens!H2191</f>
        <v>186.954855536422</v>
      </c>
      <c r="I2257" s="6" t="n">
        <f aca="false">Sens!H2257+Sens!I2188-Sens!I2191</f>
        <v>161.577847064099</v>
      </c>
      <c r="J2257" s="6" t="n">
        <f aca="false">Sens!I2257+Sens!J2188-Sens!J2191</f>
        <v>150.022933559693</v>
      </c>
      <c r="K2257" s="6" t="n">
        <f aca="false">Sens!J2257+Sens!K2188-Sens!K2191</f>
        <v>180.643717924037</v>
      </c>
      <c r="L2257" s="1" t="s">
        <v>766</v>
      </c>
    </row>
    <row r="2258" customFormat="false" ht="17.15" hidden="false" customHeight="false" outlineLevel="0" collapsed="false">
      <c r="A2258" s="0" t="s">
        <v>767</v>
      </c>
      <c r="B2258" s="0" t="s">
        <v>126</v>
      </c>
      <c r="F2258" s="7" t="n">
        <f aca="false">Sens!F2256*(1-tax_f)/((Sens!E2257+Sens!F2257)/2)</f>
        <v>-0.00737447552968657</v>
      </c>
      <c r="G2258" s="7" t="n">
        <f aca="false">Sens!G2256*(1-tax_f)/((Sens!F2257+Sens!G2257)/2)</f>
        <v>-0.0141861754069421</v>
      </c>
      <c r="H2258" s="7" t="n">
        <f aca="false">Sens!H2256*(1-tax_f)/((Sens!G2257+Sens!H2257)/2)</f>
        <v>0.0144412596569112</v>
      </c>
      <c r="I2258" s="7" t="n">
        <f aca="false">Sens!I2256*(1-tax_f)/((Sens!H2257+Sens!I2257)/2)</f>
        <v>0.0325082272305224</v>
      </c>
      <c r="J2258" s="7" t="n">
        <f aca="false">Sens!J2256*(1-tax_f)/((Sens!I2257+Sens!J2257)/2)</f>
        <v>0.0412562050582617</v>
      </c>
      <c r="K2258" s="7" t="n">
        <f aca="false">Sens!K2256*(1-tax_f)/((Sens!J2257+Sens!K2257)/2)</f>
        <v>0.0372601032493078</v>
      </c>
    </row>
    <row r="2259" customFormat="false" ht="17.15" hidden="false" customHeight="false" outlineLevel="0" collapsed="false">
      <c r="A2259" s="1" t="s">
        <v>768</v>
      </c>
      <c r="B2259" s="0" t="s">
        <v>126</v>
      </c>
      <c r="F2259" s="7" t="n">
        <f aca="false">Sens!F2192*(1-tax_f)/(Sens!F2179*(Sens!E2257+Sens!F2257)/2)</f>
        <v>0.0679996548393886</v>
      </c>
      <c r="G2259" s="7" t="n">
        <f aca="false">Sens!G2192*(1-tax_f)/(Sens!G2179*(Sens!F2257+Sens!G2257)/2)</f>
        <v>0.0498496534327161</v>
      </c>
      <c r="H2259" s="7" t="n">
        <f aca="false">Sens!H2192*(1-tax_f)/(Sens!H2179*(Sens!G2257+Sens!H2257)/2)</f>
        <v>0.0869286916376503</v>
      </c>
      <c r="I2259" s="7" t="n">
        <f aca="false">Sens!I2192*(1-tax_f)/(Sens!I2179*(Sens!H2257+Sens!I2257)/2)</f>
        <v>0.104018411149375</v>
      </c>
      <c r="J2259" s="7" t="n">
        <f aca="false">Sens!J2192*(1-tax_f)/(Sens!J2179*(Sens!I2257+Sens!J2257)/2)</f>
        <v>0.108049185155132</v>
      </c>
      <c r="K2259" s="7" t="n">
        <f aca="false">Sens!K2192*(1-tax_f)/(Sens!K2179*(Sens!J2257+Sens!K2257)/2)</f>
        <v>0.0877697380646359</v>
      </c>
    </row>
    <row r="2260" customFormat="false" ht="17.15" hidden="false" customHeight="false" outlineLevel="0" collapsed="false">
      <c r="A2260" s="0" t="s">
        <v>769</v>
      </c>
      <c r="B2260" s="0" t="s">
        <v>208</v>
      </c>
      <c r="F2260" s="7" t="n">
        <f aca="false">Sens!F2258-wacc</f>
        <v>-0.116337696679941</v>
      </c>
      <c r="G2260" s="7" t="n">
        <f aca="false">Sens!G2258-wacc</f>
        <v>-0.123149396557196</v>
      </c>
      <c r="H2260" s="7" t="n">
        <f aca="false">Sens!H2258-wacc</f>
        <v>-0.0945219614933427</v>
      </c>
      <c r="I2260" s="7" t="n">
        <f aca="false">Sens!I2258-wacc</f>
        <v>-0.0764549939197315</v>
      </c>
      <c r="J2260" s="7" t="n">
        <f aca="false">Sens!J2258-wacc</f>
        <v>-0.0677070160919923</v>
      </c>
      <c r="K2260" s="7" t="n">
        <f aca="false">Sens!K2258-wacc</f>
        <v>-0.0717031179009462</v>
      </c>
    </row>
    <row r="2261" customFormat="false" ht="17.15" hidden="false" customHeight="false" outlineLevel="0" collapsed="false">
      <c r="A2261" s="0" t="s">
        <v>770</v>
      </c>
      <c r="B2261" s="0" t="s">
        <v>95</v>
      </c>
      <c r="F2261" s="6" t="n">
        <f aca="false">Sens!F2256*(1-tax_f)-wacc*(Sens!E2257+Sens!F2257)/2</f>
        <v>-22.4387080802753</v>
      </c>
      <c r="G2261" s="6" t="n">
        <f aca="false">Sens!G2256*(1-tax_f)-wacc*(Sens!F2257+Sens!G2257)/2</f>
        <v>-30.8489246631135</v>
      </c>
      <c r="H2261" s="6" t="n">
        <f aca="false">Sens!H2256*(1-tax_f)-wacc*(Sens!G2257+Sens!H2257)/2</f>
        <v>-20.2703112363347</v>
      </c>
      <c r="I2261" s="6" t="n">
        <f aca="false">Sens!I2256*(1-tax_f)-wacc*(Sens!H2257+Sens!I2257)/2</f>
        <v>-13.3235328290752</v>
      </c>
      <c r="J2261" s="6" t="n">
        <f aca="false">Sens!J2256*(1-tax_f)-wacc*(Sens!I2257+Sens!J2257)/2</f>
        <v>-10.5487795339862</v>
      </c>
      <c r="K2261" s="6" t="n">
        <f aca="false">Sens!K2256*(1-tax_f)-wacc*(Sens!J2257+Sens!K2257)/2</f>
        <v>-11.8549149486245</v>
      </c>
    </row>
    <row r="2262" customFormat="false" ht="17.15" hidden="false" customHeight="false" outlineLevel="0" collapsed="false">
      <c r="A2262" s="1" t="s">
        <v>771</v>
      </c>
      <c r="B2262" s="0" t="s">
        <v>95</v>
      </c>
      <c r="F2262" s="6" t="n">
        <f aca="false">(Sens!E2164+Sens!F2164)/2*Sens!F2171/1000</f>
        <v>19.4494190187895</v>
      </c>
      <c r="G2262" s="6" t="n">
        <f aca="false">(Sens!F2164+Sens!G2164)/2*Sens!G2171/1000</f>
        <v>23.0047877701723</v>
      </c>
      <c r="H2262" s="6" t="n">
        <f aca="false">(Sens!G2164+Sens!H2164)/2*Sens!H2171/1000</f>
        <v>24.6552641292369</v>
      </c>
      <c r="I2262" s="6" t="n">
        <f aca="false">(Sens!H2164+Sens!I2164)/2*Sens!I2171/1000</f>
        <v>24.6552641292369</v>
      </c>
      <c r="J2262" s="6" t="n">
        <f aca="false">(Sens!I2164+Sens!J2164)/2*Sens!J2171/1000</f>
        <v>24.6552641292369</v>
      </c>
      <c r="K2262" s="6" t="n">
        <f aca="false">(Sens!J2164+Sens!K2164)/2*Sens!K2171/1000</f>
        <v>24.6552641292369</v>
      </c>
      <c r="L2262" s="1" t="s">
        <v>772</v>
      </c>
    </row>
    <row r="2263" customFormat="false" ht="17.15" hidden="false" customHeight="false" outlineLevel="0" collapsed="false">
      <c r="A2263" s="1" t="s">
        <v>773</v>
      </c>
      <c r="B2263" s="0" t="s">
        <v>126</v>
      </c>
      <c r="F2263" s="7" t="n">
        <f aca="false">(Sens!F2180+Sens!F2262-Sens!F2181-Sens!F2191)*(1-tax_f)/((Sens!E2257+Sens!F2257)/2)</f>
        <v>0.0413263125414529</v>
      </c>
      <c r="G2263" s="7" t="n">
        <f aca="false">(Sens!G2180+Sens!G2262-Sens!G2181-Sens!G2191)*(1-tax_f)/((Sens!F2257+Sens!G2257)/2)</f>
        <v>0.0182553323090492</v>
      </c>
      <c r="H2263" s="7" t="n">
        <f aca="false">(Sens!H2180+Sens!H2262-Sens!H2181-Sens!H2191)*(1-tax_f)/((Sens!G2257+Sens!H2257)/2)</f>
        <v>0.039323823882326</v>
      </c>
      <c r="I2263" s="7" t="n">
        <f aca="false">(Sens!I2180+Sens!I2262-Sens!I2181-Sens!I2191)*(1-tax_f)/((Sens!H2257+Sens!I2257)/2)</f>
        <v>0.0454362328363315</v>
      </c>
      <c r="J2263" s="7" t="n">
        <f aca="false">(Sens!J2180+Sens!J2262-Sens!J2181-Sens!J2191)*(1-tax_f)/((Sens!I2257+Sens!J2257)/2)</f>
        <v>0.0425236595425315</v>
      </c>
      <c r="K2263" s="7" t="n">
        <f aca="false">(Sens!K2180+Sens!K2262-Sens!K2181-Sens!K2191)*(1-tax_f)/((Sens!J2257+Sens!K2257)/2)</f>
        <v>0.026022341282849</v>
      </c>
      <c r="L2263" s="1" t="s">
        <v>774</v>
      </c>
    </row>
    <row r="2264" customFormat="false" ht="17.15" hidden="false" customHeight="false" outlineLevel="0" collapsed="false">
      <c r="A2264" s="3" t="s">
        <v>1177</v>
      </c>
    </row>
    <row r="2265" customFormat="false" ht="15" hidden="false" customHeight="false" outlineLevel="0" collapsed="false">
      <c r="A2265" s="4" t="s">
        <v>43</v>
      </c>
      <c r="B2265" s="4" t="s">
        <v>63</v>
      </c>
      <c r="C2265" s="19" t="s">
        <v>710</v>
      </c>
      <c r="D2265" s="19" t="s">
        <v>711</v>
      </c>
      <c r="E2265" s="19" t="s">
        <v>712</v>
      </c>
      <c r="F2265" s="19" t="s">
        <v>713</v>
      </c>
      <c r="G2265" s="19" t="s">
        <v>714</v>
      </c>
      <c r="H2265" s="19" t="s">
        <v>715</v>
      </c>
      <c r="I2265" s="19" t="s">
        <v>716</v>
      </c>
      <c r="J2265" s="19" t="s">
        <v>717</v>
      </c>
      <c r="K2265" s="19" t="s">
        <v>718</v>
      </c>
      <c r="L2265" s="4" t="s">
        <v>47</v>
      </c>
    </row>
    <row r="2266" customFormat="false" ht="15" hidden="false" customHeight="false" outlineLevel="0" collapsed="false">
      <c r="A2266" s="1" t="s">
        <v>825</v>
      </c>
      <c r="B2266" s="0" t="s">
        <v>95</v>
      </c>
      <c r="F2266" s="6" t="n">
        <f aca="false">Sens!F2251</f>
        <v>135.742543175175</v>
      </c>
      <c r="G2266" s="6" t="n">
        <f aca="false">Sens!G2251</f>
        <v>149.346496218508</v>
      </c>
      <c r="H2266" s="6" t="n">
        <f aca="false">Sens!H2251</f>
        <v>171.988845008139</v>
      </c>
      <c r="I2266" s="6" t="n">
        <f aca="false">Sens!I2251</f>
        <v>190.251991615389</v>
      </c>
      <c r="J2266" s="6" t="n">
        <f aca="false">Sens!J2251</f>
        <v>205.797876024368</v>
      </c>
      <c r="K2266" s="6" t="n">
        <f aca="false">Sens!K2251</f>
        <v>218.76908445083</v>
      </c>
    </row>
    <row r="2267" customFormat="false" ht="17.15" hidden="false" customHeight="false" outlineLevel="0" collapsed="false">
      <c r="A2267" s="1" t="s">
        <v>843</v>
      </c>
      <c r="B2267" s="0" t="s">
        <v>95</v>
      </c>
      <c r="E2267" s="6" t="n">
        <f aca="false">Q!M38-Sens!E2191</f>
        <v>22.2285940229167</v>
      </c>
      <c r="F2267" s="6" t="n">
        <f aca="false">Sens!E2267*(1-1/life_nonai)+Sens!F2273/life_nonai</f>
        <v>23.5786693435813</v>
      </c>
      <c r="G2267" s="6" t="n">
        <f aca="false">Sens!F2267*(1-1/life_nonai)+Sens!G2273/life_nonai</f>
        <v>25.3810917662621</v>
      </c>
      <c r="H2267" s="6" t="n">
        <f aca="false">Sens!G2267*(1-1/life_nonai)+Sens!H2273/life_nonai</f>
        <v>27.5991339540448</v>
      </c>
      <c r="I2267" s="6" t="n">
        <f aca="false">Sens!H2267*(1-1/life_nonai)+Sens!I2273/life_nonai</f>
        <v>30.1565605898047</v>
      </c>
      <c r="J2267" s="6" t="n">
        <f aca="false">Sens!I2267*(1-1/life_nonai)+Sens!J2273/life_nonai</f>
        <v>32.9614958558616</v>
      </c>
      <c r="K2267" s="6" t="n">
        <f aca="false">Sens!J2267*(1-1/life_nonai)+Sens!K2273/life_nonai</f>
        <v>35.9297165444749</v>
      </c>
      <c r="L2267" s="11" t="s">
        <v>844</v>
      </c>
    </row>
    <row r="2268" customFormat="false" ht="17.15" hidden="false" customHeight="false" outlineLevel="0" collapsed="false">
      <c r="A2268" s="1" t="s">
        <v>845</v>
      </c>
      <c r="B2268" s="0" t="s">
        <v>95</v>
      </c>
      <c r="E2268" s="6" t="n">
        <f aca="false">Sens!E2191+Sens!E2267</f>
        <v>38.534</v>
      </c>
      <c r="F2268" s="6" t="n">
        <f aca="false">Sens!F2191+Sens!F2267</f>
        <v>59.6941120327844</v>
      </c>
      <c r="G2268" s="6" t="n">
        <f aca="false">Sens!G2191+Sens!G2267</f>
        <v>77.7903019376683</v>
      </c>
      <c r="H2268" s="6" t="n">
        <f aca="false">Sens!H2191+Sens!H2267</f>
        <v>82.5910435434511</v>
      </c>
      <c r="I2268" s="6" t="n">
        <f aca="false">Sens!I2191+Sens!I2267</f>
        <v>85.7922444087943</v>
      </c>
      <c r="J2268" s="6" t="n">
        <f aca="false">Sens!J2191+Sens!J2267</f>
        <v>90.2131843736012</v>
      </c>
      <c r="K2268" s="6" t="n">
        <f aca="false">Sens!K2191+Sens!K2267</f>
        <v>96.0849582201311</v>
      </c>
    </row>
    <row r="2269" customFormat="false" ht="15" hidden="false" customHeight="false" outlineLevel="0" collapsed="false">
      <c r="A2269" s="1" t="s">
        <v>685</v>
      </c>
      <c r="B2269" s="0" t="s">
        <v>95</v>
      </c>
      <c r="F2269" s="6" t="n">
        <f aca="false">Sens!F2218*sbc_r</f>
        <v>14.5967258106986</v>
      </c>
      <c r="G2269" s="6" t="n">
        <f aca="false">Sens!G2218*sbc_r</f>
        <v>16.6843873445553</v>
      </c>
      <c r="H2269" s="6" t="n">
        <f aca="false">Sens!H2218*sbc_r</f>
        <v>18.6271033758076</v>
      </c>
      <c r="I2269" s="6" t="n">
        <f aca="false">Sens!I2218*sbc_r</f>
        <v>20.2151494992056</v>
      </c>
      <c r="J2269" s="6" t="n">
        <f aca="false">Sens!J2218*sbc_r</f>
        <v>21.6504837219776</v>
      </c>
      <c r="K2269" s="6" t="n">
        <f aca="false">Sens!K2218*sbc_r</f>
        <v>22.9645456106382</v>
      </c>
    </row>
    <row r="2270" customFormat="false" ht="17.15" hidden="false" customHeight="false" outlineLevel="0" collapsed="false">
      <c r="A2270" s="1" t="s">
        <v>846</v>
      </c>
      <c r="B2270" s="0" t="s">
        <v>95</v>
      </c>
      <c r="F2270" s="6" t="n">
        <f aca="false">wc27</f>
        <v>-4.895</v>
      </c>
      <c r="G2270" s="6" t="n">
        <f aca="false">0</f>
        <v>0</v>
      </c>
      <c r="H2270" s="6" t="n">
        <f aca="false">0</f>
        <v>0</v>
      </c>
      <c r="I2270" s="6" t="n">
        <f aca="false">0</f>
        <v>0</v>
      </c>
      <c r="J2270" s="6" t="n">
        <f aca="false">0</f>
        <v>0</v>
      </c>
      <c r="K2270" s="6" t="n">
        <f aca="false">0</f>
        <v>0</v>
      </c>
      <c r="L2270" s="11" t="s">
        <v>847</v>
      </c>
    </row>
    <row r="2271" customFormat="false" ht="15" hidden="false" customHeight="false" outlineLevel="0" collapsed="false">
      <c r="A2271" s="1" t="s">
        <v>678</v>
      </c>
      <c r="B2271" s="0" t="s">
        <v>95</v>
      </c>
      <c r="E2271" s="6" t="n">
        <f aca="false">Q!M35</f>
        <v>182.935</v>
      </c>
      <c r="F2271" s="6" t="n">
        <f aca="false">Sens!F2266+Sens!F2268+Sens!F2269+Sens!F2270</f>
        <v>205.138381018658</v>
      </c>
      <c r="G2271" s="6" t="n">
        <f aca="false">Sens!G2266+Sens!G2268+Sens!G2269+Sens!G2270</f>
        <v>243.821185500732</v>
      </c>
      <c r="H2271" s="6" t="n">
        <f aca="false">Sens!H2266+Sens!H2268+Sens!H2269+Sens!H2270</f>
        <v>273.206991927397</v>
      </c>
      <c r="I2271" s="6" t="n">
        <f aca="false">Sens!I2266+Sens!I2268+Sens!I2269+Sens!I2270</f>
        <v>296.259385523389</v>
      </c>
      <c r="J2271" s="6" t="n">
        <f aca="false">Sens!J2266+Sens!J2268+Sens!J2269+Sens!J2270</f>
        <v>317.661544119947</v>
      </c>
      <c r="K2271" s="6" t="n">
        <f aca="false">Sens!K2266+Sens!K2268+Sens!K2269+Sens!K2270</f>
        <v>337.818588281599</v>
      </c>
    </row>
    <row r="2272" customFormat="false" ht="17.15" hidden="false" customHeight="false" outlineLevel="0" collapsed="false">
      <c r="A2272" s="0" t="s">
        <v>848</v>
      </c>
      <c r="B2272" s="0" t="s">
        <v>95</v>
      </c>
      <c r="F2272" s="6" t="n">
        <f aca="false">Sens!F2188</f>
        <v>168.470652770438</v>
      </c>
      <c r="G2272" s="6" t="n">
        <f aca="false">Sens!G2188</f>
        <v>35.302727016</v>
      </c>
      <c r="H2272" s="6" t="n">
        <f aca="false">Sens!H2188</f>
        <v>0</v>
      </c>
      <c r="I2272" s="6" t="n">
        <f aca="false">Sens!I2188</f>
        <v>30.2586753466667</v>
      </c>
      <c r="J2272" s="6" t="n">
        <f aca="false">Sens!J2188</f>
        <v>45.6967750133333</v>
      </c>
      <c r="K2272" s="6" t="n">
        <f aca="false">Sens!K2188</f>
        <v>90.77602604</v>
      </c>
    </row>
    <row r="2273" customFormat="false" ht="17.15" hidden="false" customHeight="false" outlineLevel="0" collapsed="false">
      <c r="A2273" s="1" t="s">
        <v>849</v>
      </c>
      <c r="B2273" s="0" t="s">
        <v>95</v>
      </c>
      <c r="E2273" s="6" t="n">
        <f aca="false">Sens!E2196*cx_azo+Sens!E2203*cx_m365+Sens!E2204*cx_lic+(Sens!E2206+Sens!E2208)*cx_ind+Sens!E2211*cx_srch+(Sens!E2213+Sens!E2215)*cx_dev</f>
        <v>30.1846587067718</v>
      </c>
      <c r="F2273" s="6" t="n">
        <f aca="false">Sens!F2196*cx_azo+Sens!F2203*cx_m365+Sens!F2204*cx_lic+(Sens!F2206+Sens!F2208)*cx_ind+Sens!F2211*cx_srch+(Sens!F2213+Sens!F2215)*cx_dev</f>
        <v>35.7293472295625</v>
      </c>
      <c r="G2273" s="6" t="n">
        <f aca="false">Sens!G2196*cx_azo+Sens!G2203*cx_m365+Sens!G2204*cx_lic+(Sens!G2206+Sens!G2208)*cx_ind+Sens!G2211*cx_srch+(Sens!G2213+Sens!G2215)*cx_dev</f>
        <v>41.6028935703892</v>
      </c>
      <c r="H2273" s="6" t="n">
        <f aca="false">Sens!H2196*cx_azo+Sens!H2203*cx_m365+Sens!H2204*cx_lic+(Sens!H2206+Sens!H2208)*cx_ind+Sens!H2211*cx_srch+(Sens!H2213+Sens!H2215)*cx_dev</f>
        <v>47.5615136440897</v>
      </c>
      <c r="I2273" s="6" t="n">
        <f aca="false">Sens!I2196*cx_azo+Sens!I2203*cx_m365+Sens!I2204*cx_lic+(Sens!I2206+Sens!I2208)*cx_ind+Sens!I2211*cx_srch+(Sens!I2213+Sens!I2215)*cx_dev</f>
        <v>53.1734003116439</v>
      </c>
      <c r="J2273" s="6" t="n">
        <f aca="false">Sens!J2196*cx_azo+Sens!J2203*cx_m365+Sens!J2204*cx_lic+(Sens!J2206+Sens!J2208)*cx_ind+Sens!J2211*cx_srch+(Sens!J2213+Sens!J2215)*cx_dev</f>
        <v>58.2059132503738</v>
      </c>
      <c r="K2273" s="6" t="n">
        <f aca="false">Sens!K2196*cx_azo+Sens!K2203*cx_m365+Sens!K2204*cx_lic+(Sens!K2206+Sens!K2208)*cx_ind+Sens!K2211*cx_srch+(Sens!K2213+Sens!K2215)*cx_dev</f>
        <v>62.643702741994</v>
      </c>
    </row>
    <row r="2274" customFormat="false" ht="17.15" hidden="false" customHeight="false" outlineLevel="0" collapsed="false">
      <c r="A2274" s="1" t="s">
        <v>850</v>
      </c>
      <c r="B2274" s="0" t="s">
        <v>95</v>
      </c>
      <c r="E2274" s="6" t="n">
        <f aca="false">Q!M42</f>
        <v>145.3</v>
      </c>
      <c r="F2274" s="6" t="n">
        <f aca="false">Sens!F2272+Sens!F2273</f>
        <v>204.2</v>
      </c>
      <c r="G2274" s="6" t="n">
        <f aca="false">Sens!G2272+Sens!G2273</f>
        <v>76.9056205863892</v>
      </c>
      <c r="H2274" s="6" t="n">
        <f aca="false">Sens!H2272+Sens!H2273</f>
        <v>47.5615136440897</v>
      </c>
      <c r="I2274" s="6" t="n">
        <f aca="false">Sens!I2272+Sens!I2273</f>
        <v>83.4320756583106</v>
      </c>
      <c r="J2274" s="6" t="n">
        <f aca="false">Sens!J2272+Sens!J2273</f>
        <v>103.902688263707</v>
      </c>
      <c r="K2274" s="6" t="n">
        <f aca="false">Sens!K2272+Sens!K2273</f>
        <v>153.419728781994</v>
      </c>
      <c r="L2274" s="1" t="s">
        <v>851</v>
      </c>
    </row>
    <row r="2275" customFormat="false" ht="15" hidden="false" customHeight="false" outlineLevel="0" collapsed="false">
      <c r="A2275" s="1" t="s">
        <v>852</v>
      </c>
      <c r="B2275" s="0" t="s">
        <v>95</v>
      </c>
      <c r="E2275" s="6" t="n">
        <f aca="false">fl_liab</f>
        <v>66.594</v>
      </c>
      <c r="F2275" s="6" t="n">
        <f aca="false">Sens!E2275-Sens!F2276</f>
        <v>62.46973</v>
      </c>
      <c r="G2275" s="6" t="n">
        <f aca="false">Sens!F2275-Sens!G2276</f>
        <v>57.98686785</v>
      </c>
      <c r="H2275" s="6" t="n">
        <f aca="false">Sens!G2275-Sens!H2276</f>
        <v>53.92827690325</v>
      </c>
      <c r="I2275" s="6" t="n">
        <f aca="false">Sens!H2275-Sens!I2276</f>
        <v>49.7850493638962</v>
      </c>
      <c r="J2275" s="6" t="n">
        <f aca="false">Sens!I2275-Sens!J2276</f>
        <v>45.4823765852716</v>
      </c>
      <c r="K2275" s="6" t="n">
        <f aca="false">Sens!J2275-Sens!K2276</f>
        <v>40.9860835316088</v>
      </c>
    </row>
    <row r="2276" customFormat="false" ht="15" hidden="false" customHeight="false" outlineLevel="0" collapsed="false">
      <c r="A2276" s="1" t="s">
        <v>853</v>
      </c>
      <c r="B2276" s="0" t="s">
        <v>95</v>
      </c>
      <c r="F2276" s="6" t="n">
        <f aca="false">fl_pay_27-Sens!E2275*fl_rate</f>
        <v>4.12427</v>
      </c>
      <c r="G2276" s="6" t="n">
        <f aca="false">fl_pay_28-Sens!F2275*fl_rate</f>
        <v>4.48286215</v>
      </c>
      <c r="H2276" s="6" t="n">
        <f aca="false">fl_pay_29-Sens!G2275*fl_rate</f>
        <v>4.05859094675</v>
      </c>
      <c r="I2276" s="6" t="n">
        <f aca="false">fl_pay_30-Sens!H2275*fl_rate</f>
        <v>4.14322753935375</v>
      </c>
      <c r="J2276" s="6" t="n">
        <f aca="false">fl_pay_31-Sens!I2275*fl_rate</f>
        <v>4.30267277862467</v>
      </c>
      <c r="K2276" s="6" t="n">
        <f aca="false">fl_pay_32-Sens!J2275*fl_rate</f>
        <v>4.49629305366278</v>
      </c>
    </row>
    <row r="2277" customFormat="false" ht="17.15" hidden="false" customHeight="false" outlineLevel="0" collapsed="false">
      <c r="A2277" s="1" t="s">
        <v>854</v>
      </c>
      <c r="B2277" s="0" t="s">
        <v>95</v>
      </c>
      <c r="E2277" s="6" t="n">
        <f aca="false">Q!M35-Q!M36-Q!M43</f>
        <v>63.886</v>
      </c>
      <c r="F2277" s="6" t="n">
        <f aca="false">Sens!F2271-Sens!F2274-Sens!F2276</f>
        <v>-3.18588898134187</v>
      </c>
      <c r="G2277" s="6" t="n">
        <f aca="false">Sens!G2271-Sens!G2274-Sens!G2276</f>
        <v>162.432702764343</v>
      </c>
      <c r="H2277" s="6" t="n">
        <f aca="false">Sens!H2271-Sens!H2274-Sens!H2276</f>
        <v>221.586887336558</v>
      </c>
      <c r="I2277" s="6" t="n">
        <f aca="false">Sens!I2271-Sens!I2274-Sens!I2276</f>
        <v>208.684082325724</v>
      </c>
      <c r="J2277" s="6" t="n">
        <f aca="false">Sens!J2271-Sens!J2274-Sens!J2276</f>
        <v>209.456183077616</v>
      </c>
      <c r="K2277" s="6" t="n">
        <f aca="false">Sens!K2271-Sens!K2274-Sens!K2276</f>
        <v>179.902566445942</v>
      </c>
      <c r="L2277" s="11" t="s">
        <v>855</v>
      </c>
    </row>
    <row r="2278" customFormat="false" ht="15" hidden="false" customHeight="false" outlineLevel="0" collapsed="false">
      <c r="A2278" s="1" t="s">
        <v>856</v>
      </c>
      <c r="B2278" s="0" t="s">
        <v>73</v>
      </c>
      <c r="F2278" s="8" t="n">
        <f aca="false">dps_27</f>
        <v>3.85</v>
      </c>
      <c r="G2278" s="8" t="n">
        <f aca="false">Sens!F2278*(1+dps_g)</f>
        <v>4.158</v>
      </c>
      <c r="H2278" s="8" t="n">
        <f aca="false">Sens!G2278*(1+dps_g)</f>
        <v>4.49064</v>
      </c>
      <c r="I2278" s="8" t="n">
        <f aca="false">Sens!H2278*(1+dps_g)</f>
        <v>4.8498912</v>
      </c>
      <c r="J2278" s="8" t="n">
        <f aca="false">Sens!I2278*(1+dps_g)</f>
        <v>5.237882496</v>
      </c>
      <c r="K2278" s="8" t="n">
        <f aca="false">Sens!J2278*(1+dps_g)</f>
        <v>5.65691309568</v>
      </c>
    </row>
    <row r="2279" customFormat="false" ht="17.15" hidden="false" customHeight="false" outlineLevel="0" collapsed="false">
      <c r="A2279" s="1" t="s">
        <v>857</v>
      </c>
      <c r="B2279" s="0" t="s">
        <v>95</v>
      </c>
      <c r="E2279" s="6" t="n">
        <f aca="false">Q!M41</f>
        <v>26.445</v>
      </c>
      <c r="F2279" s="6" t="n">
        <f aca="false">Sens!F2278*Sens!E2288</f>
        <v>28.59395</v>
      </c>
      <c r="G2279" s="6" t="n">
        <f aca="false">Sens!G2278*Sens!F2288</f>
        <v>31.068576</v>
      </c>
      <c r="H2279" s="6" t="n">
        <f aca="false">Sens!H2278*Sens!G2288</f>
        <v>33.5888350159995</v>
      </c>
      <c r="I2279" s="6" t="n">
        <f aca="false">Sens!I2278*Sens!H2288</f>
        <v>36.3268810572789</v>
      </c>
      <c r="J2279" s="6" t="n">
        <f aca="false">Sens!J2278*Sens!I2288</f>
        <v>39.3014303901806</v>
      </c>
      <c r="K2279" s="6" t="n">
        <f aca="false">Sens!K2278*Sens!J2288</f>
        <v>42.5328000467001</v>
      </c>
      <c r="L2279" s="1" t="s">
        <v>858</v>
      </c>
    </row>
    <row r="2280" customFormat="false" ht="15" hidden="false" customHeight="false" outlineLevel="0" collapsed="false">
      <c r="A2280" s="1" t="s">
        <v>859</v>
      </c>
      <c r="B2280" s="0" t="s">
        <v>95</v>
      </c>
      <c r="E2280" s="6" t="n">
        <f aca="false">Sens!E2277-Sens!E2279</f>
        <v>37.441</v>
      </c>
      <c r="F2280" s="6" t="n">
        <f aca="false">Sens!F2277-Sens!F2279</f>
        <v>-31.7798389813419</v>
      </c>
      <c r="G2280" s="6" t="n">
        <f aca="false">Sens!G2277-Sens!G2279</f>
        <v>131.364126764343</v>
      </c>
      <c r="H2280" s="6" t="n">
        <f aca="false">Sens!H2277-Sens!H2279</f>
        <v>187.998052320558</v>
      </c>
      <c r="I2280" s="6" t="n">
        <f aca="false">Sens!I2277-Sens!I2279</f>
        <v>172.357201268445</v>
      </c>
      <c r="J2280" s="6" t="n">
        <f aca="false">Sens!J2277-Sens!J2279</f>
        <v>170.154752687435</v>
      </c>
      <c r="K2280" s="6" t="n">
        <f aca="false">Sens!K2277-Sens!K2279</f>
        <v>137.369766399242</v>
      </c>
    </row>
    <row r="2281" customFormat="false" ht="15" hidden="false" customHeight="false" outlineLevel="0" collapsed="false">
      <c r="A2281" s="1" t="s">
        <v>860</v>
      </c>
      <c r="B2281" s="0" t="s">
        <v>95</v>
      </c>
      <c r="F2281" s="6" t="n">
        <f aca="false">debt_mat_27</f>
        <v>9.25</v>
      </c>
      <c r="G2281" s="6" t="n">
        <f aca="false">debt_mat_28</f>
        <v>0</v>
      </c>
      <c r="H2281" s="6" t="n">
        <f aca="false">debt_mat_29</f>
        <v>2.001</v>
      </c>
      <c r="I2281" s="6" t="n">
        <f aca="false">debt_mat_30</f>
        <v>0</v>
      </c>
      <c r="J2281" s="6" t="n">
        <f aca="false">debt_mat_31</f>
        <v>0.5</v>
      </c>
      <c r="K2281" s="6" t="n">
        <f aca="false">debt_mat_32</f>
        <v>0</v>
      </c>
    </row>
    <row r="2282" customFormat="false" ht="15" hidden="false" customHeight="false" outlineLevel="0" collapsed="false">
      <c r="A2282" s="1" t="s">
        <v>861</v>
      </c>
      <c r="B2282" s="0" t="s">
        <v>95</v>
      </c>
      <c r="E2282" s="6" t="n">
        <f aca="false">Q!M40</f>
        <v>22.271</v>
      </c>
      <c r="F2282" s="6" t="n">
        <f aca="false">MAX(0,MIN(bb_target,Sens!E2284+Sens!F2280-Sens!F2281-min_cash))</f>
        <v>0</v>
      </c>
      <c r="G2282" s="6" t="n">
        <f aca="false">MAX(0,MIN(bb_target,Sens!F2284+Sens!G2280-Sens!G2281-min_cash))</f>
        <v>22.271</v>
      </c>
      <c r="H2282" s="6" t="n">
        <f aca="false">MAX(0,MIN(bb_target,Sens!G2284+Sens!H2280-Sens!H2281-min_cash))</f>
        <v>22.271</v>
      </c>
      <c r="I2282" s="6" t="n">
        <f aca="false">MAX(0,MIN(bb_target,Sens!H2284+Sens!I2280-Sens!I2281-min_cash))</f>
        <v>22.271</v>
      </c>
      <c r="J2282" s="6" t="n">
        <f aca="false">MAX(0,MIN(bb_target,Sens!I2284+Sens!J2280-Sens!J2281-min_cash))</f>
        <v>22.271</v>
      </c>
      <c r="K2282" s="6" t="n">
        <f aca="false">MAX(0,MIN(bb_target,Sens!J2284+Sens!K2280-Sens!K2281-min_cash))</f>
        <v>22.271</v>
      </c>
    </row>
    <row r="2283" customFormat="false" ht="15" hidden="false" customHeight="false" outlineLevel="0" collapsed="false">
      <c r="A2283" s="1" t="s">
        <v>862</v>
      </c>
      <c r="B2283" s="0" t="s">
        <v>95</v>
      </c>
      <c r="F2283" s="6" t="n">
        <f aca="false">MAX(0,min_cash-(Sens!E2284+Sens!F2280-Sens!F2281-Sens!F2282))</f>
        <v>14.1868389813419</v>
      </c>
      <c r="G2283" s="6" t="n">
        <f aca="false">MAX(0,min_cash-(Sens!F2284+Sens!G2280-Sens!G2281-Sens!G2282))</f>
        <v>0</v>
      </c>
      <c r="H2283" s="6" t="n">
        <f aca="false">MAX(0,min_cash-(Sens!G2284+Sens!H2280-Sens!H2281-Sens!H2282))</f>
        <v>0</v>
      </c>
      <c r="I2283" s="6" t="n">
        <f aca="false">MAX(0,min_cash-(Sens!H2284+Sens!I2280-Sens!I2281-Sens!I2282))</f>
        <v>0</v>
      </c>
      <c r="J2283" s="6" t="n">
        <f aca="false">MAX(0,min_cash-(Sens!I2284+Sens!J2280-Sens!J2281-Sens!J2282))</f>
        <v>0</v>
      </c>
      <c r="K2283" s="6" t="n">
        <f aca="false">MAX(0,min_cash-(Sens!J2284+Sens!K2280-Sens!K2281-Sens!K2282))</f>
        <v>0</v>
      </c>
    </row>
    <row r="2284" customFormat="false" ht="15" hidden="false" customHeight="false" outlineLevel="0" collapsed="false">
      <c r="A2284" s="1" t="s">
        <v>863</v>
      </c>
      <c r="B2284" s="0" t="s">
        <v>95</v>
      </c>
      <c r="E2284" s="6" t="n">
        <f aca="false">cash_open</f>
        <v>76.843</v>
      </c>
      <c r="F2284" s="6" t="n">
        <f aca="false">Sens!E2284+Sens!F2280-Sens!F2281-Sens!F2282+Sens!F2283</f>
        <v>50</v>
      </c>
      <c r="G2284" s="6" t="n">
        <f aca="false">Sens!F2284+Sens!G2280-Sens!G2281-Sens!G2282+Sens!G2283</f>
        <v>159.093126764343</v>
      </c>
      <c r="H2284" s="6" t="n">
        <f aca="false">Sens!G2284+Sens!H2280-Sens!H2281-Sens!H2282+Sens!H2283</f>
        <v>322.819179084901</v>
      </c>
      <c r="I2284" s="6" t="n">
        <f aca="false">Sens!H2284+Sens!I2280-Sens!I2281-Sens!I2282+Sens!I2283</f>
        <v>472.905380353346</v>
      </c>
      <c r="J2284" s="6" t="n">
        <f aca="false">Sens!I2284+Sens!J2280-Sens!J2281-Sens!J2282+Sens!J2283</f>
        <v>620.289133040781</v>
      </c>
      <c r="K2284" s="6" t="n">
        <f aca="false">Sens!J2284+Sens!K2280-Sens!K2281-Sens!K2282+Sens!K2283</f>
        <v>735.387899440023</v>
      </c>
    </row>
    <row r="2285" customFormat="false" ht="15" hidden="false" customHeight="false" outlineLevel="0" collapsed="false">
      <c r="A2285" s="1" t="s">
        <v>864</v>
      </c>
      <c r="B2285" s="0" t="s">
        <v>95</v>
      </c>
      <c r="E2285" s="6" t="n">
        <f aca="false">debt_face</f>
        <v>46.136</v>
      </c>
      <c r="F2285" s="6" t="n">
        <f aca="false">Sens!E2285-Sens!F2281+Sens!F2283</f>
        <v>51.0728389813419</v>
      </c>
      <c r="G2285" s="6" t="n">
        <f aca="false">Sens!F2285-Sens!G2281+Sens!G2283</f>
        <v>51.0728389813419</v>
      </c>
      <c r="H2285" s="6" t="n">
        <f aca="false">Sens!G2285-Sens!H2281+Sens!H2283</f>
        <v>49.0718389813419</v>
      </c>
      <c r="I2285" s="6" t="n">
        <f aca="false">Sens!H2285-Sens!I2281+Sens!I2283</f>
        <v>49.0718389813419</v>
      </c>
      <c r="J2285" s="6" t="n">
        <f aca="false">Sens!I2285-Sens!J2281+Sens!J2283</f>
        <v>48.5718389813419</v>
      </c>
      <c r="K2285" s="6" t="n">
        <f aca="false">Sens!J2285-Sens!K2281+Sens!K2283</f>
        <v>48.5718389813419</v>
      </c>
    </row>
    <row r="2286" customFormat="false" ht="15" hidden="false" customHeight="false" outlineLevel="0" collapsed="false">
      <c r="A2286" s="1" t="s">
        <v>865</v>
      </c>
      <c r="B2286" s="0" t="s">
        <v>95</v>
      </c>
      <c r="E2286" s="6" t="n">
        <f aca="false">Sens!E2284-Sens!E2285</f>
        <v>30.707</v>
      </c>
      <c r="F2286" s="6" t="n">
        <f aca="false">Sens!F2284-Sens!F2285</f>
        <v>-1.07283898134187</v>
      </c>
      <c r="G2286" s="6" t="n">
        <f aca="false">Sens!G2284-Sens!G2285</f>
        <v>108.020287783001</v>
      </c>
      <c r="H2286" s="6" t="n">
        <f aca="false">Sens!H2284-Sens!H2285</f>
        <v>273.747340103559</v>
      </c>
      <c r="I2286" s="6" t="n">
        <f aca="false">Sens!I2284-Sens!I2285</f>
        <v>423.833541372004</v>
      </c>
      <c r="J2286" s="6" t="n">
        <f aca="false">Sens!J2284-Sens!J2285</f>
        <v>571.717294059439</v>
      </c>
      <c r="K2286" s="6" t="n">
        <f aca="false">Sens!K2284-Sens!K2285</f>
        <v>686.816060458681</v>
      </c>
    </row>
    <row r="2287" customFormat="false" ht="15" hidden="false" customHeight="false" outlineLevel="0" collapsed="false">
      <c r="A2287" s="1" t="s">
        <v>866</v>
      </c>
      <c r="B2287" s="0" t="s">
        <v>73</v>
      </c>
      <c r="F2287" s="27" t="n">
        <f aca="false">px*(1+bb_g)^(1-0.5)</f>
        <v>553.494156066711</v>
      </c>
      <c r="G2287" s="27" t="n">
        <f aca="false">px*(1+bb_g)^(2-0.5)</f>
        <v>597.773688552047</v>
      </c>
      <c r="H2287" s="27" t="n">
        <f aca="false">px*(1+bb_g)^(3-0.5)</f>
        <v>645.595583636211</v>
      </c>
      <c r="I2287" s="27" t="n">
        <f aca="false">px*(1+bb_g)^(4-0.5)</f>
        <v>697.243230327108</v>
      </c>
      <c r="J2287" s="27" t="n">
        <f aca="false">px*(1+bb_g)^(5-0.5)</f>
        <v>753.022688753277</v>
      </c>
      <c r="K2287" s="27" t="n">
        <f aca="false">px*(1+bb_g)^(6-0.5)</f>
        <v>813.264503853539</v>
      </c>
    </row>
    <row r="2288" customFormat="false" ht="15" hidden="false" customHeight="false" outlineLevel="0" collapsed="false">
      <c r="A2288" s="1" t="s">
        <v>867</v>
      </c>
      <c r="B2288" s="1" t="s">
        <v>79</v>
      </c>
      <c r="E2288" s="18" t="n">
        <f aca="false">sh_out26</f>
        <v>7.427</v>
      </c>
      <c r="F2288" s="18" t="n">
        <f aca="false">Sens!E2288+sh_iss-Sens!F2282/Sens!F2287</f>
        <v>7.472</v>
      </c>
      <c r="G2288" s="18" t="n">
        <f aca="false">Sens!F2288+sh_iss-Sens!G2282/Sens!G2287</f>
        <v>7.47974342543589</v>
      </c>
      <c r="H2288" s="18" t="n">
        <f aca="false">Sens!G2288+sh_iss-Sens!H2282/Sens!H2287</f>
        <v>7.4902465971358</v>
      </c>
      <c r="I2288" s="18" t="n">
        <f aca="false">Sens!H2288+sh_iss-Sens!I2282/Sens!I2287</f>
        <v>7.50330508945052</v>
      </c>
      <c r="J2288" s="18" t="n">
        <f aca="false">Sens!I2288+sh_iss-Sens!J2282/Sens!J2287</f>
        <v>7.51872961937156</v>
      </c>
      <c r="K2288" s="18" t="n">
        <f aca="false">Sens!J2288+sh_iss-Sens!K2282/Sens!K2287</f>
        <v>7.53634492485401</v>
      </c>
    </row>
    <row r="2289" customFormat="false" ht="15" hidden="false" customHeight="false" outlineLevel="0" collapsed="false">
      <c r="A2289" s="1" t="s">
        <v>868</v>
      </c>
      <c r="B2289" s="1" t="s">
        <v>79</v>
      </c>
      <c r="E2289" s="18" t="n">
        <f aca="false">sh_dil26</f>
        <v>7.453</v>
      </c>
      <c r="F2289" s="18" t="n">
        <f aca="false">(Sens!E2288+Sens!F2288)/2+dil_gap</f>
        <v>7.4735</v>
      </c>
      <c r="G2289" s="18" t="n">
        <f aca="false">(Sens!F2288+Sens!G2288)/2+dil_gap</f>
        <v>7.49987171271795</v>
      </c>
      <c r="H2289" s="18" t="n">
        <f aca="false">(Sens!G2288+Sens!H2288)/2+dil_gap</f>
        <v>7.50899501128585</v>
      </c>
      <c r="I2289" s="18" t="n">
        <f aca="false">(Sens!H2288+Sens!I2288)/2+dil_gap</f>
        <v>7.52077584329316</v>
      </c>
      <c r="J2289" s="18" t="n">
        <f aca="false">(Sens!I2288+Sens!J2288)/2+dil_gap</f>
        <v>7.53501735441104</v>
      </c>
      <c r="K2289" s="18" t="n">
        <f aca="false">(Sens!J2288+Sens!K2288)/2+dil_gap</f>
        <v>7.55153727211278</v>
      </c>
    </row>
    <row r="2290" customFormat="false" ht="17.15" hidden="false" customHeight="false" outlineLevel="0" collapsed="false">
      <c r="A2290" s="1" t="s">
        <v>869</v>
      </c>
      <c r="B2290" s="0" t="s">
        <v>95</v>
      </c>
      <c r="C2290" s="6" t="n">
        <f aca="false">SUM(Sens!F2280:J2280)</f>
        <v>630.094294059439</v>
      </c>
    </row>
    <row r="2291" customFormat="false" ht="17.15" hidden="false" customHeight="false" outlineLevel="0" collapsed="false">
      <c r="A2291" s="1" t="s">
        <v>836</v>
      </c>
      <c r="B2291" s="1" t="s">
        <v>870</v>
      </c>
      <c r="C2291" s="30" t="str">
        <f aca="false">IF(SUM(Sens!F2283:J2283)&gt;0.05,"需要舉債 "&amp;TEXT(SUM(Sens!F2283:J2283),"0.0")&amp;" 十億美元","不需舉債")&amp;"；"&amp;IF(SUM(Sens!F2282:J2282)&lt;5*bb_target-0.05,"回購較每年 "&amp;TEXT(bb_target,"0.0")&amp;" 的目標少 "&amp;TEXT(5*bb_target-SUM(Sens!F2282:J2282),"0.0")&amp;" 十億美元（"&amp;TEXT(COUNTIF(Sens!F2282:J2282,"&lt;"&amp;(bb_target-0.05)),"0")&amp;" 年減少）","回購不減")</f>
        <v>需要舉債 14.2 十億美元；回購較每年 22.3 的目標少 22.3 十億美元（1 年減少）</v>
      </c>
    </row>
    <row r="2292" customFormat="false" ht="17.15" hidden="false" customHeight="false" outlineLevel="0" collapsed="false">
      <c r="A2292" s="3" t="s">
        <v>1178</v>
      </c>
    </row>
    <row r="2293" customFormat="false" ht="15" hidden="false" customHeight="false" outlineLevel="0" collapsed="false">
      <c r="A2293" s="4" t="s">
        <v>43</v>
      </c>
      <c r="B2293" s="4" t="s">
        <v>63</v>
      </c>
      <c r="C2293" s="19" t="s">
        <v>710</v>
      </c>
      <c r="D2293" s="19" t="s">
        <v>711</v>
      </c>
      <c r="E2293" s="19" t="s">
        <v>712</v>
      </c>
      <c r="F2293" s="19" t="s">
        <v>713</v>
      </c>
      <c r="G2293" s="19" t="s">
        <v>714</v>
      </c>
      <c r="H2293" s="19" t="s">
        <v>715</v>
      </c>
      <c r="I2293" s="19" t="s">
        <v>716</v>
      </c>
      <c r="J2293" s="19" t="s">
        <v>717</v>
      </c>
      <c r="K2293" s="19" t="s">
        <v>718</v>
      </c>
      <c r="L2293" s="4" t="s">
        <v>47</v>
      </c>
    </row>
    <row r="2294" customFormat="false" ht="17.15" hidden="false" customHeight="false" outlineLevel="0" collapsed="false">
      <c r="A2294" s="1" t="s">
        <v>938</v>
      </c>
      <c r="B2294" s="1" t="s">
        <v>213</v>
      </c>
      <c r="F2294" s="34" t="n">
        <f aca="false">1-0.5</f>
        <v>0.5</v>
      </c>
      <c r="G2294" s="34" t="n">
        <f aca="false">2-0.5</f>
        <v>1.5</v>
      </c>
      <c r="H2294" s="34" t="n">
        <f aca="false">3-0.5</f>
        <v>2.5</v>
      </c>
      <c r="I2294" s="34" t="n">
        <f aca="false">4-0.5</f>
        <v>3.5</v>
      </c>
      <c r="J2294" s="34" t="n">
        <f aca="false">5-0.5</f>
        <v>4.5</v>
      </c>
      <c r="K2294" s="34" t="n">
        <f aca="false">6-0.5</f>
        <v>5.5</v>
      </c>
    </row>
    <row r="2295" customFormat="false" ht="15" hidden="false" customHeight="false" outlineLevel="0" collapsed="false">
      <c r="A2295" s="1" t="s">
        <v>939</v>
      </c>
      <c r="B2295" s="0" t="s">
        <v>182</v>
      </c>
      <c r="F2295" s="18" t="n">
        <f aca="false">1/(1+wacc)^Sens!F2294</f>
        <v>0.949601579913219</v>
      </c>
      <c r="G2295" s="18" t="n">
        <f aca="false">1/(1+wacc)^Sens!G2294</f>
        <v>0.856296729956707</v>
      </c>
      <c r="H2295" s="18" t="n">
        <f aca="false">1/(1+wacc)^Sens!H2294</f>
        <v>0.772159719660069</v>
      </c>
      <c r="I2295" s="18" t="n">
        <f aca="false">1/(1+wacc)^Sens!I2294</f>
        <v>0.696289746073958</v>
      </c>
      <c r="J2295" s="18" t="n">
        <f aca="false">1/(1+wacc)^Sens!J2294</f>
        <v>0.627874516299776</v>
      </c>
      <c r="K2295" s="18" t="n">
        <f aca="false">1/(1+wacc)^Sens!K2294</f>
        <v>0.566181550771831</v>
      </c>
    </row>
    <row r="2296" customFormat="false" ht="15" hidden="false" customHeight="false" outlineLevel="0" collapsed="false">
      <c r="A2296" s="1" t="s">
        <v>940</v>
      </c>
      <c r="B2296" s="0" t="s">
        <v>95</v>
      </c>
      <c r="F2296" s="6" t="n">
        <f aca="false">Sens!F2277*Sens!F2295</f>
        <v>-3.02532521011035</v>
      </c>
      <c r="G2296" s="6" t="n">
        <f aca="false">Sens!G2277*Sens!G2295</f>
        <v>139.090592215136</v>
      </c>
      <c r="H2296" s="6" t="n">
        <f aca="false">Sens!H2277*Sens!H2295</f>
        <v>171.100468806144</v>
      </c>
      <c r="I2296" s="6" t="n">
        <f aca="false">Sens!I2277*Sens!I2295</f>
        <v>145.304586692255</v>
      </c>
      <c r="J2296" s="6" t="n">
        <f aca="false">Sens!J2277*Sens!J2295</f>
        <v>131.512199635855</v>
      </c>
      <c r="K2296" s="6" t="n">
        <f aca="false">Sens!K2277*Sens!K2295</f>
        <v>101.857514058196</v>
      </c>
    </row>
    <row r="2297" customFormat="false" ht="17.15" hidden="false" customHeight="false" outlineLevel="0" collapsed="false">
      <c r="A2297" s="1" t="s">
        <v>941</v>
      </c>
      <c r="B2297" s="0" t="s">
        <v>95</v>
      </c>
      <c r="C2297" s="6" t="n">
        <f aca="false">SUM(Sens!F2296:K2296)</f>
        <v>685.840036197476</v>
      </c>
    </row>
    <row r="2298" customFormat="false" ht="17.15" hidden="false" customHeight="false" outlineLevel="0" collapsed="false">
      <c r="A2298" s="1" t="s">
        <v>942</v>
      </c>
      <c r="B2298" s="0" t="s">
        <v>95</v>
      </c>
      <c r="C2298" s="6" t="n">
        <f aca="false">Sens!K2243*(1+g_tv)*(1-tax_f)</f>
        <v>225.661756984354</v>
      </c>
    </row>
    <row r="2299" customFormat="false" ht="17.15" hidden="false" customHeight="false" outlineLevel="0" collapsed="false">
      <c r="A2299" s="1" t="s">
        <v>943</v>
      </c>
      <c r="B2299" s="0" t="s">
        <v>95</v>
      </c>
      <c r="C2299" s="6" t="n">
        <f aca="false">Sens!$C$2298*(1-g_tv/(wacc+ronic_prem))</f>
        <v>163.532052685365</v>
      </c>
    </row>
    <row r="2300" customFormat="false" ht="17.15" hidden="false" customHeight="false" outlineLevel="0" collapsed="false">
      <c r="A2300" s="1" t="s">
        <v>944</v>
      </c>
      <c r="B2300" s="0" t="s">
        <v>95</v>
      </c>
      <c r="C2300" s="6" t="n">
        <f aca="false">Sens!$C$2299/(wacc-g_tv)</f>
        <v>2070.99014329964</v>
      </c>
    </row>
    <row r="2301" customFormat="false" ht="15" hidden="false" customHeight="false" outlineLevel="0" collapsed="false">
      <c r="A2301" s="1" t="s">
        <v>945</v>
      </c>
      <c r="B2301" s="0" t="s">
        <v>95</v>
      </c>
      <c r="C2301" s="6" t="n">
        <f aca="false">Sens!$C$2300/(1+wacc)^6</f>
        <v>1113.46142039122</v>
      </c>
    </row>
    <row r="2302" customFormat="false" ht="17.15" hidden="false" customHeight="false" outlineLevel="0" collapsed="false">
      <c r="A2302" s="0" t="s">
        <v>877</v>
      </c>
      <c r="B2302" s="0" t="s">
        <v>95</v>
      </c>
      <c r="C2302" s="6" t="n">
        <f aca="false">Sens!$C$2297+Sens!$C$2301</f>
        <v>1799.3014565887</v>
      </c>
    </row>
    <row r="2303" customFormat="false" ht="15" hidden="false" customHeight="false" outlineLevel="0" collapsed="false">
      <c r="A2303" s="1" t="s">
        <v>878</v>
      </c>
      <c r="B2303" s="0" t="s">
        <v>126</v>
      </c>
      <c r="C2303" s="7" t="n">
        <f aca="false">Sens!$C$2301/Sens!$C$2302</f>
        <v>0.61882983327443</v>
      </c>
    </row>
    <row r="2304" customFormat="false" ht="17.15" hidden="false" customHeight="false" outlineLevel="0" collapsed="false">
      <c r="A2304" s="1" t="s">
        <v>946</v>
      </c>
      <c r="B2304" s="0" t="s">
        <v>95</v>
      </c>
      <c r="C2304" s="6" t="n">
        <f aca="false">Sens!$C$2302+Sens!E2286+oai_v</f>
        <v>2000.4084565887</v>
      </c>
    </row>
    <row r="2305" customFormat="false" ht="17.15" hidden="false" customHeight="false" outlineLevel="0" collapsed="false">
      <c r="A2305" s="0" t="s">
        <v>883</v>
      </c>
      <c r="B2305" s="0" t="s">
        <v>73</v>
      </c>
      <c r="C2305" s="5" t="n">
        <f aca="false">Sens!$C$2304/sh_dil26</f>
        <v>268.403120433208</v>
      </c>
    </row>
    <row r="2306" customFormat="false" ht="17.15" hidden="false" customHeight="false" outlineLevel="0" collapsed="false">
      <c r="A2306" s="0" t="s">
        <v>947</v>
      </c>
      <c r="B2306" s="0" t="s">
        <v>73</v>
      </c>
      <c r="C2306" s="5" t="n">
        <f aca="false">Sens!$C$2305*(1+wacc)^t_roll</f>
        <v>307.856921912329</v>
      </c>
    </row>
    <row r="2307" customFormat="false" ht="17.15" hidden="false" customHeight="false" outlineLevel="0" collapsed="false">
      <c r="A2307" s="1" t="s">
        <v>948</v>
      </c>
      <c r="B2307" s="0" t="s">
        <v>126</v>
      </c>
      <c r="F2307" s="7" t="n">
        <f aca="false">Sens!F2267/(Sens!F2218-Sens!F2174)</f>
        <v>0.0681773598226415</v>
      </c>
      <c r="G2307" s="7" t="n">
        <f aca="false">Sens!G2267/(Sens!G2218-Sens!G2174)</f>
        <v>0.0650385409375172</v>
      </c>
      <c r="H2307" s="7" t="n">
        <f aca="false">Sens!H2267/(Sens!H2218-Sens!H2174)</f>
        <v>0.063382542471986</v>
      </c>
      <c r="I2307" s="7" t="n">
        <f aca="false">Sens!I2267/(Sens!I2218-Sens!I2174)</f>
        <v>0.0630998138876076</v>
      </c>
      <c r="J2307" s="7" t="n">
        <f aca="false">Sens!J2267/(Sens!J2218-Sens!J2174)</f>
        <v>0.0638399980286975</v>
      </c>
      <c r="K2307" s="7" t="n">
        <f aca="false">Sens!K2267/(Sens!K2218-Sens!K2174)</f>
        <v>0.0651531082402687</v>
      </c>
    </row>
    <row r="2308" customFormat="false" ht="17.15" hidden="false" customHeight="false" outlineLevel="0" collapsed="false">
      <c r="A2308" s="0" t="s">
        <v>949</v>
      </c>
      <c r="B2308" s="0" t="s">
        <v>95</v>
      </c>
      <c r="F2308" s="6" t="n">
        <f aca="false">Sens!F2203*(al_m365+Sens!F2307)</f>
        <v>80.4434678008041</v>
      </c>
      <c r="G2308" s="6" t="n">
        <f aca="false">Sens!G2203*(al_m365+Sens!G2307)</f>
        <v>94.1323272633269</v>
      </c>
      <c r="H2308" s="6" t="n">
        <f aca="false">Sens!H2203*(al_m365+Sens!H2307)</f>
        <v>107.983658528206</v>
      </c>
      <c r="I2308" s="6" t="n">
        <f aca="false">Sens!I2203*(al_m365+Sens!I2307)</f>
        <v>120.408335219477</v>
      </c>
      <c r="J2308" s="6" t="n">
        <f aca="false">Sens!J2203*(al_m365+Sens!J2307)</f>
        <v>131.229685027411</v>
      </c>
      <c r="K2308" s="6" t="n">
        <f aca="false">Sens!K2203*(al_m365+Sens!K2307)</f>
        <v>141.696231007978</v>
      </c>
    </row>
    <row r="2309" customFormat="false" ht="17.15" hidden="false" customHeight="false" outlineLevel="0" collapsed="false">
      <c r="A2309" s="0" t="s">
        <v>950</v>
      </c>
      <c r="B2309" s="0" t="s">
        <v>95</v>
      </c>
      <c r="F2309" s="6" t="n">
        <f aca="false">Sens!F2204*(al_lic+Sens!F2307)</f>
        <v>31.9678940661213</v>
      </c>
      <c r="G2309" s="6" t="n">
        <f aca="false">Sens!G2204*(al_lic+Sens!G2307)</f>
        <v>33.1937184472398</v>
      </c>
      <c r="H2309" s="6" t="n">
        <f aca="false">Sens!H2204*(al_lic+Sens!H2307)</f>
        <v>34.3439380840055</v>
      </c>
      <c r="I2309" s="6" t="n">
        <f aca="false">Sens!I2204*(al_lic+Sens!I2307)</f>
        <v>35.4022023072784</v>
      </c>
      <c r="J2309" s="6" t="n">
        <f aca="false">Sens!J2204*(al_lic+Sens!J2307)</f>
        <v>36.3410576398918</v>
      </c>
      <c r="K2309" s="6" t="n">
        <f aca="false">Sens!K2204*(al_lic+Sens!K2307)</f>
        <v>37.1276868757058</v>
      </c>
    </row>
    <row r="2310" customFormat="false" ht="17.15" hidden="false" customHeight="false" outlineLevel="0" collapsed="false">
      <c r="A2310" s="0" t="s">
        <v>951</v>
      </c>
      <c r="B2310" s="0" t="s">
        <v>95</v>
      </c>
      <c r="F2310" s="6" t="n">
        <f aca="false">Sens!F2206*(al_ind+Sens!F2307)</f>
        <v>8.23142235288747</v>
      </c>
      <c r="G2310" s="6" t="n">
        <f aca="false">Sens!G2206*(al_ind+Sens!G2307)</f>
        <v>8.92125445211874</v>
      </c>
      <c r="H2310" s="6" t="n">
        <f aca="false">Sens!H2206*(al_ind+Sens!H2307)</f>
        <v>9.65645689966252</v>
      </c>
      <c r="I2310" s="6" t="n">
        <f aca="false">Sens!I2206*(al_ind+Sens!I2307)</f>
        <v>10.4359305133559</v>
      </c>
      <c r="J2310" s="6" t="n">
        <f aca="false">Sens!J2206*(al_ind+Sens!J2307)</f>
        <v>11.2496615107155</v>
      </c>
      <c r="K2310" s="6" t="n">
        <f aca="false">Sens!K2206*(al_ind+Sens!K2307)</f>
        <v>12.0805802325565</v>
      </c>
    </row>
    <row r="2311" customFormat="false" ht="17.15" hidden="false" customHeight="false" outlineLevel="0" collapsed="false">
      <c r="A2311" s="0" t="s">
        <v>952</v>
      </c>
      <c r="B2311" s="0" t="s">
        <v>95</v>
      </c>
      <c r="F2311" s="6" t="n">
        <f aca="false">Sens!F2208*(al_fro+Sens!F2307)</f>
        <v>3.23991673698178</v>
      </c>
      <c r="G2311" s="6" t="n">
        <f aca="false">Sens!G2208*(al_fro+Sens!G2307)</f>
        <v>3.42523427012141</v>
      </c>
      <c r="H2311" s="6" t="n">
        <f aca="false">Sens!H2208*(al_fro+Sens!H2307)</f>
        <v>3.63888347669114</v>
      </c>
      <c r="I2311" s="6" t="n">
        <f aca="false">Sens!I2208*(al_fro+Sens!I2307)</f>
        <v>3.88382859986432</v>
      </c>
      <c r="J2311" s="6" t="n">
        <f aca="false">Sens!J2208*(al_fro+Sens!J2307)</f>
        <v>4.16055715035227</v>
      </c>
      <c r="K2311" s="6" t="n">
        <f aca="false">Sens!K2208*(al_fro+Sens!K2307)</f>
        <v>4.46786282583631</v>
      </c>
    </row>
    <row r="2312" customFormat="false" ht="17.15" hidden="false" customHeight="false" outlineLevel="0" collapsed="false">
      <c r="A2312" s="0" t="s">
        <v>953</v>
      </c>
      <c r="B2312" s="0" t="s">
        <v>95</v>
      </c>
      <c r="F2312" s="6" t="n">
        <f aca="false">Sens!F2211*(al_srch+Sens!F2307)</f>
        <v>10.1659255338338</v>
      </c>
      <c r="G2312" s="6" t="n">
        <f aca="false">Sens!G2211*(al_srch+Sens!G2307)</f>
        <v>11.1218361064416</v>
      </c>
      <c r="H2312" s="6" t="n">
        <f aca="false">Sens!H2211*(al_srch+Sens!H2307)</f>
        <v>12.1240320316325</v>
      </c>
      <c r="I2312" s="6" t="n">
        <f aca="false">Sens!I2211*(al_srch+Sens!I2307)</f>
        <v>13.1651647223307</v>
      </c>
      <c r="J2312" s="6" t="n">
        <f aca="false">Sens!J2211*(al_srch+Sens!J2307)</f>
        <v>14.2257207024961</v>
      </c>
      <c r="K2312" s="6" t="n">
        <f aca="false">Sens!K2211*(al_srch+Sens!K2307)</f>
        <v>15.2764561092572</v>
      </c>
    </row>
    <row r="2313" customFormat="false" ht="17.15" hidden="false" customHeight="false" outlineLevel="0" collapsed="false">
      <c r="A2313" s="0" t="s">
        <v>954</v>
      </c>
      <c r="B2313" s="0" t="s">
        <v>95</v>
      </c>
      <c r="F2313" s="6" t="n">
        <f aca="false">Sens!F2180</f>
        <v>31.5058734889871</v>
      </c>
      <c r="G2313" s="6" t="n">
        <f aca="false">Sens!G2180</f>
        <v>40.8110299921418</v>
      </c>
      <c r="H2313" s="6" t="n">
        <f aca="false">Sens!H2180</f>
        <v>46.9765920256827</v>
      </c>
      <c r="I2313" s="6" t="n">
        <f aca="false">Sens!I2180</f>
        <v>46.9765920256827</v>
      </c>
      <c r="J2313" s="6" t="n">
        <f aca="false">Sens!J2180</f>
        <v>46.9765920256827</v>
      </c>
      <c r="K2313" s="6" t="n">
        <f aca="false">Sens!K2180</f>
        <v>46.9765920256827</v>
      </c>
    </row>
    <row r="2314" customFormat="false" ht="17.15" hidden="false" customHeight="false" outlineLevel="0" collapsed="false">
      <c r="A2314" s="0" t="s">
        <v>955</v>
      </c>
      <c r="B2314" s="0" t="s">
        <v>95</v>
      </c>
      <c r="F2314" s="6" t="n">
        <f aca="false">Sens!F2240+Sens!F2191+Sens!F2307*(Sens!F2210-Sens!F2174)</f>
        <v>206.035658413212</v>
      </c>
      <c r="G2314" s="6" t="n">
        <f aca="false">Sens!G2240+Sens!G2191+Sens!G2307*(Sens!G2210-Sens!G2174)</f>
        <v>240.624622027612</v>
      </c>
      <c r="H2314" s="6" t="n">
        <f aca="false">Sens!H2240+Sens!H2191+Sens!H2307*(Sens!H2210-Sens!H2174)</f>
        <v>272.957943217901</v>
      </c>
      <c r="I2314" s="6" t="n">
        <f aca="false">Sens!I2240+Sens!I2191+Sens!I2307*(Sens!I2210-Sens!I2174)</f>
        <v>297.984974228393</v>
      </c>
      <c r="J2314" s="6" t="n">
        <f aca="false">Sens!J2240+Sens!J2191+Sens!J2307*(Sens!J2210-Sens!J2174)</f>
        <v>320.639317921563</v>
      </c>
      <c r="K2314" s="6" t="n">
        <f aca="false">Sens!K2240+Sens!K2191+Sens!K2307*(Sens!K2210-Sens!K2174)</f>
        <v>341.372975786618</v>
      </c>
    </row>
    <row r="2315" customFormat="false" ht="17.15" hidden="false" customHeight="false" outlineLevel="0" collapsed="false">
      <c r="A2315" s="0" t="s">
        <v>956</v>
      </c>
      <c r="B2315" s="0" t="s">
        <v>95</v>
      </c>
      <c r="F2315" s="6" t="n">
        <f aca="false">Sens!F2314-Sens!F2308-Sens!F2309-Sens!F2310-Sens!F2311-Sens!F2313</f>
        <v>50.6470839674304</v>
      </c>
      <c r="G2315" s="6" t="n">
        <f aca="false">Sens!G2314-Sens!G2308-Sens!G2309-Sens!G2310-Sens!G2311-Sens!G2313</f>
        <v>60.1410576026629</v>
      </c>
      <c r="H2315" s="6" t="n">
        <f aca="false">Sens!H2314-Sens!H2308-Sens!H2309-Sens!H2310-Sens!H2311-Sens!H2313</f>
        <v>70.3584142036535</v>
      </c>
      <c r="I2315" s="6" t="n">
        <f aca="false">Sens!I2314-Sens!I2308-Sens!I2309-Sens!I2310-Sens!I2311-Sens!I2313</f>
        <v>80.8780855627347</v>
      </c>
      <c r="J2315" s="6" t="n">
        <f aca="false">Sens!J2314-Sens!J2308-Sens!J2309-Sens!J2310-Sens!J2311-Sens!J2313</f>
        <v>90.6817645675101</v>
      </c>
      <c r="K2315" s="6" t="n">
        <f aca="false">Sens!K2314-Sens!K2308-Sens!K2309-Sens!K2310-Sens!K2311-Sens!K2313</f>
        <v>99.0240228188587</v>
      </c>
    </row>
    <row r="2316" customFormat="false" ht="17.15" hidden="false" customHeight="false" outlineLevel="0" collapsed="false">
      <c r="A2316" s="0" t="s">
        <v>957</v>
      </c>
      <c r="B2316" s="0" t="s">
        <v>95</v>
      </c>
      <c r="F2316" s="6" t="n">
        <f aca="false">Sens!F2242+Sens!F2307*Sens!F2217</f>
        <v>23.7366325885412</v>
      </c>
      <c r="G2316" s="6" t="n">
        <f aca="false">Sens!G2242+Sens!G2307*Sens!G2217</f>
        <v>24.2488001831921</v>
      </c>
      <c r="H2316" s="6" t="n">
        <f aca="false">Sens!H2242+Sens!H2307*Sens!H2217</f>
        <v>25.0191565857232</v>
      </c>
      <c r="I2316" s="6" t="n">
        <f aca="false">Sens!I2242+Sens!I2307*Sens!I2217</f>
        <v>26.0222596996374</v>
      </c>
      <c r="J2316" s="6" t="n">
        <f aca="false">Sens!J2242+Sens!J2307*Sens!J2217</f>
        <v>27.2212114824986</v>
      </c>
      <c r="K2316" s="6" t="n">
        <f aca="false">Sens!K2242+Sens!K2307*Sens!K2217</f>
        <v>28.5733379970501</v>
      </c>
    </row>
    <row r="2317" customFormat="false" ht="17.15" hidden="false" customHeight="false" outlineLevel="0" collapsed="false">
      <c r="A2317" s="0" t="s">
        <v>958</v>
      </c>
      <c r="B2317" s="0" t="s">
        <v>95</v>
      </c>
      <c r="F2317" s="6" t="n">
        <f aca="false">(Sens!F2316-Sens!F2312)*Sens!F2213/(Sens!F2213+Sens!F2215)</f>
        <v>7.43932943061911</v>
      </c>
      <c r="G2317" s="6" t="n">
        <f aca="false">(Sens!G2316-Sens!G2312)*Sens!G2213/(Sens!G2213+Sens!G2215)</f>
        <v>7.06776830757547</v>
      </c>
      <c r="H2317" s="6" t="n">
        <f aca="false">(Sens!H2316-Sens!H2312)*Sens!H2213/(Sens!H2213+Sens!H2215)</f>
        <v>6.84915463876495</v>
      </c>
      <c r="I2317" s="6" t="n">
        <f aca="false">(Sens!I2316-Sens!I2312)*Sens!I2213/(Sens!I2213+Sens!I2215)</f>
        <v>6.76716702045722</v>
      </c>
      <c r="J2317" s="6" t="n">
        <f aca="false">(Sens!J2316-Sens!J2312)*Sens!J2213/(Sens!J2213+Sens!J2215)</f>
        <v>6.80907960368748</v>
      </c>
      <c r="K2317" s="6" t="n">
        <f aca="false">(Sens!K2316-Sens!K2312)*Sens!K2213/(Sens!K2213+Sens!K2215)</f>
        <v>6.96699561313494</v>
      </c>
    </row>
    <row r="2318" customFormat="false" ht="17.15" hidden="false" customHeight="false" outlineLevel="0" collapsed="false">
      <c r="A2318" s="0" t="s">
        <v>959</v>
      </c>
      <c r="B2318" s="0" t="s">
        <v>95</v>
      </c>
      <c r="F2318" s="6" t="n">
        <f aca="false">Sens!F2316-Sens!F2312-Sens!F2317</f>
        <v>6.13137762408826</v>
      </c>
      <c r="G2318" s="6" t="n">
        <f aca="false">Sens!G2316-Sens!G2312-Sens!G2317</f>
        <v>6.05919576917505</v>
      </c>
      <c r="H2318" s="6" t="n">
        <f aca="false">Sens!H2316-Sens!H2312-Sens!H2317</f>
        <v>6.04596991532572</v>
      </c>
      <c r="I2318" s="6" t="n">
        <f aca="false">Sens!I2316-Sens!I2312-Sens!I2317</f>
        <v>6.08992795684943</v>
      </c>
      <c r="J2318" s="6" t="n">
        <f aca="false">Sens!J2316-Sens!J2312-Sens!J2317</f>
        <v>6.18641117631496</v>
      </c>
      <c r="K2318" s="6" t="n">
        <f aca="false">Sens!K2316-Sens!K2312-Sens!K2317</f>
        <v>6.32988627465802</v>
      </c>
    </row>
    <row r="2319" customFormat="false" ht="17.15" hidden="false" customHeight="false" outlineLevel="0" collapsed="false">
      <c r="A2319" s="1" t="s">
        <v>960</v>
      </c>
      <c r="B2319" s="0" t="s">
        <v>95</v>
      </c>
      <c r="C2319" s="6" t="n">
        <f aca="false">(w_ntm28*Sens!G2313+(1-w_ntm28)*Sens!H2313)*m_ai*1</f>
        <v>256.825681102843</v>
      </c>
    </row>
    <row r="2320" customFormat="false" ht="17.15" hidden="false" customHeight="false" outlineLevel="0" collapsed="false">
      <c r="A2320" s="1" t="s">
        <v>961</v>
      </c>
      <c r="B2320" s="0" t="s">
        <v>95</v>
      </c>
      <c r="C2320" s="6" t="n">
        <f aca="false">(w_ntm28*Sens!G2315+(1-w_ntm28)*Sens!H2315)*m_cloud*1</f>
        <v>876.798885796558</v>
      </c>
    </row>
    <row r="2321" customFormat="false" ht="17.15" hidden="false" customHeight="false" outlineLevel="0" collapsed="false">
      <c r="A2321" s="1" t="s">
        <v>962</v>
      </c>
      <c r="B2321" s="0" t="s">
        <v>95</v>
      </c>
      <c r="C2321" s="6" t="n">
        <f aca="false">(w_ntm28*Sens!G2308+(1-w_ntm28)*Sens!H2308)*m_sw*1</f>
        <v>1064.99115242739</v>
      </c>
    </row>
    <row r="2322" customFormat="false" ht="17.15" hidden="false" customHeight="false" outlineLevel="0" collapsed="false">
      <c r="A2322" s="1" t="s">
        <v>963</v>
      </c>
      <c r="B2322" s="0" t="s">
        <v>95</v>
      </c>
      <c r="C2322" s="6" t="n">
        <f aca="false">(w_ntm28*Sens!G2309+(1-w_ntm28)*Sens!H2309)*m_sw*1</f>
        <v>362.508158970174</v>
      </c>
    </row>
    <row r="2323" customFormat="false" ht="17.15" hidden="false" customHeight="false" outlineLevel="0" collapsed="false">
      <c r="A2323" s="1" t="s">
        <v>964</v>
      </c>
      <c r="B2323" s="0" t="s">
        <v>95</v>
      </c>
      <c r="C2323" s="6" t="n">
        <f aca="false">(w_ntm28*Sens!G2310+(1-w_ntm28)*Sens!H2310)*m_sw*1</f>
        <v>98.9165124641147</v>
      </c>
    </row>
    <row r="2324" customFormat="false" ht="17.15" hidden="false" customHeight="false" outlineLevel="0" collapsed="false">
      <c r="A2324" s="1" t="s">
        <v>965</v>
      </c>
      <c r="B2324" s="0" t="s">
        <v>95</v>
      </c>
      <c r="C2324" s="6" t="n">
        <f aca="false">(w_ntm28*Sens!G2311+(1-w_ntm28)*Sens!H2311)*m_sw*1</f>
        <v>37.7384877854002</v>
      </c>
    </row>
    <row r="2325" customFormat="false" ht="17.15" hidden="false" customHeight="false" outlineLevel="0" collapsed="false">
      <c r="A2325" s="1" t="s">
        <v>966</v>
      </c>
      <c r="B2325" s="0" t="s">
        <v>95</v>
      </c>
      <c r="C2325" s="6" t="n">
        <f aca="false">(w_ntm28*Sens!G2312+(1-w_ntm28)*Sens!H2312)*m_ads*1</f>
        <v>104.271544945195</v>
      </c>
    </row>
    <row r="2326" customFormat="false" ht="17.15" hidden="false" customHeight="false" outlineLevel="0" collapsed="false">
      <c r="A2326" s="1" t="s">
        <v>967</v>
      </c>
      <c r="B2326" s="0" t="s">
        <v>95</v>
      </c>
      <c r="C2326" s="6" t="n">
        <f aca="false">(w_ntm28*Sens!G2317+(1-w_ntm28)*Sens!H2317)*m_game*1</f>
        <v>88.3732871625547</v>
      </c>
    </row>
    <row r="2327" customFormat="false" ht="17.15" hidden="false" customHeight="false" outlineLevel="0" collapsed="false">
      <c r="A2327" s="1" t="s">
        <v>968</v>
      </c>
      <c r="B2327" s="0" t="s">
        <v>95</v>
      </c>
      <c r="C2327" s="6" t="n">
        <f aca="false">(w_ntm28*Sens!G2318+(1-w_ntm28)*Sens!H2318)*m_pc*1</f>
        <v>87.614692598008</v>
      </c>
    </row>
    <row r="2328" customFormat="false" ht="17.15" hidden="false" customHeight="false" outlineLevel="0" collapsed="false">
      <c r="A2328" s="1" t="s">
        <v>969</v>
      </c>
      <c r="B2328" s="0" t="s">
        <v>95</v>
      </c>
      <c r="C2328" s="6" t="n">
        <f aca="false">Sens!$C$2319+Sens!$C$2320+Sens!$C$2321+Sens!$C$2322+Sens!$C$2323+Sens!$C$2324+Sens!$C$2325+Sens!$C$2326+Sens!$C$2327</f>
        <v>2978.03840325223</v>
      </c>
    </row>
    <row r="2329" customFormat="false" ht="17.15" hidden="false" customHeight="false" outlineLevel="0" collapsed="false">
      <c r="A2329" s="1" t="s">
        <v>903</v>
      </c>
      <c r="B2329" s="0" t="s">
        <v>95</v>
      </c>
      <c r="C2329" s="6" t="n">
        <f aca="false">Sens!F2286+oai_v-Sens!F2275</f>
        <v>106.857431018658</v>
      </c>
      <c r="L2329" s="1" t="s">
        <v>970</v>
      </c>
    </row>
    <row r="2330" customFormat="false" ht="15" hidden="false" customHeight="false" outlineLevel="0" collapsed="false">
      <c r="A2330" s="1" t="s">
        <v>904</v>
      </c>
      <c r="B2330" s="0" t="s">
        <v>73</v>
      </c>
      <c r="C2330" s="5" t="n">
        <f aca="false">(Sens!$C$2328+Sens!$C$2329)/Sens!F2288</f>
        <v>412.860791524477</v>
      </c>
    </row>
    <row r="2331" customFormat="false" ht="17.15" hidden="false" customHeight="false" outlineLevel="0" collapsed="false">
      <c r="A2331" s="1" t="s">
        <v>971</v>
      </c>
      <c r="B2331" s="0" t="s">
        <v>73</v>
      </c>
      <c r="C2331" s="5" t="n">
        <f aca="false">w_dcf*Sens!$C$2306+(1-w_dcf)*Sens!$C$2330</f>
        <v>360.358856718403</v>
      </c>
    </row>
    <row r="2332" customFormat="false" ht="17.15" hidden="false" customHeight="false" outlineLevel="0" collapsed="false">
      <c r="A2332" s="3" t="s">
        <v>1179</v>
      </c>
    </row>
    <row r="2333" customFormat="false" ht="15" hidden="false" customHeight="false" outlineLevel="0" collapsed="false">
      <c r="A2333" s="4" t="s">
        <v>43</v>
      </c>
      <c r="B2333" s="4" t="s">
        <v>63</v>
      </c>
      <c r="C2333" s="19" t="s">
        <v>710</v>
      </c>
      <c r="D2333" s="19" t="s">
        <v>711</v>
      </c>
      <c r="E2333" s="19" t="s">
        <v>712</v>
      </c>
      <c r="F2333" s="19" t="s">
        <v>713</v>
      </c>
      <c r="G2333" s="19" t="s">
        <v>714</v>
      </c>
      <c r="H2333" s="19" t="s">
        <v>715</v>
      </c>
      <c r="I2333" s="19" t="s">
        <v>716</v>
      </c>
      <c r="J2333" s="19" t="s">
        <v>717</v>
      </c>
      <c r="K2333" s="19" t="s">
        <v>718</v>
      </c>
      <c r="L2333" s="4" t="s">
        <v>47</v>
      </c>
    </row>
    <row r="2334" customFormat="false" ht="17.15" hidden="false" customHeight="false" outlineLevel="0" collapsed="false">
      <c r="A2334" s="1" t="s">
        <v>719</v>
      </c>
      <c r="B2334" s="0" t="s">
        <v>340</v>
      </c>
      <c r="C2334" s="27" t="n">
        <f aca="false">mw_ext_24</f>
        <v>640</v>
      </c>
      <c r="D2334" s="27" t="n">
        <f aca="false">mw_ext_25</f>
        <v>1630</v>
      </c>
      <c r="E2334" s="27" t="n">
        <f aca="false">mw_ext_26</f>
        <v>3250</v>
      </c>
      <c r="F2334" s="27" t="n">
        <f aca="false">MIN(cap_epoch,Sens!E2334+pace_epoch)</f>
        <v>3900</v>
      </c>
      <c r="G2334" s="27" t="n">
        <f aca="false">MIN(cap_epoch,Sens!F2334+pace_epoch)</f>
        <v>4386</v>
      </c>
      <c r="H2334" s="27" t="n">
        <f aca="false">MIN(cap_epoch,Sens!G2334+pace_epoch)</f>
        <v>4386</v>
      </c>
      <c r="I2334" s="27" t="n">
        <f aca="false">MIN(cap_epoch,Sens!H2334+pace_epoch)</f>
        <v>4386</v>
      </c>
      <c r="J2334" s="27" t="n">
        <f aca="false">MIN(cap_epoch,Sens!I2334+pace_epoch)</f>
        <v>4386</v>
      </c>
      <c r="K2334" s="27" t="n">
        <f aca="false">MIN(cap_epoch,Sens!J2334+pace_epoch)</f>
        <v>4386</v>
      </c>
      <c r="L2334" s="11" t="s">
        <v>720</v>
      </c>
    </row>
    <row r="2335" customFormat="false" ht="17.15" hidden="false" customHeight="false" outlineLevel="0" collapsed="false">
      <c r="A2335" s="1" t="s">
        <v>721</v>
      </c>
      <c r="B2335" s="0" t="s">
        <v>340</v>
      </c>
      <c r="C2335" s="27" t="n">
        <f aca="false">rent_ext_24</f>
        <v>150</v>
      </c>
      <c r="D2335" s="27" t="n">
        <f aca="false">rent_ext_25</f>
        <v>400</v>
      </c>
      <c r="E2335" s="27" t="n">
        <f aca="false">rent_ext_26</f>
        <v>550</v>
      </c>
      <c r="F2335" s="27" t="n">
        <f aca="false">rent_ext_f</f>
        <v>756</v>
      </c>
      <c r="G2335" s="27" t="n">
        <f aca="false">rent_ext_f</f>
        <v>756</v>
      </c>
      <c r="H2335" s="27" t="n">
        <f aca="false">rent_ext_f</f>
        <v>756</v>
      </c>
      <c r="I2335" s="27" t="n">
        <f aca="false">rent_ext_f</f>
        <v>756</v>
      </c>
      <c r="J2335" s="27" t="n">
        <f aca="false">rent_ext_f</f>
        <v>756</v>
      </c>
      <c r="K2335" s="27" t="n">
        <f aca="false">rent_ext_f</f>
        <v>756</v>
      </c>
      <c r="L2335" s="1" t="s">
        <v>722</v>
      </c>
    </row>
    <row r="2336" customFormat="false" ht="17.15" hidden="false" customHeight="false" outlineLevel="0" collapsed="false">
      <c r="A2336" s="1" t="s">
        <v>723</v>
      </c>
      <c r="B2336" s="0" t="s">
        <v>340</v>
      </c>
      <c r="C2336" s="27" t="n">
        <f aca="false">Sens!C2334-Sens!C2335</f>
        <v>490</v>
      </c>
      <c r="D2336" s="27" t="n">
        <f aca="false">Sens!D2334-Sens!D2335</f>
        <v>1230</v>
      </c>
      <c r="E2336" s="27" t="n">
        <f aca="false">Sens!E2334-Sens!E2335</f>
        <v>2700</v>
      </c>
      <c r="F2336" s="27" t="n">
        <f aca="false">Sens!F2334-Sens!F2335</f>
        <v>3144</v>
      </c>
      <c r="G2336" s="27" t="n">
        <f aca="false">Sens!G2334-Sens!G2335</f>
        <v>3630</v>
      </c>
      <c r="H2336" s="27" t="n">
        <f aca="false">Sens!H2334-Sens!H2335</f>
        <v>3630</v>
      </c>
      <c r="I2336" s="27" t="n">
        <f aca="false">Sens!I2334-Sens!I2335</f>
        <v>3630</v>
      </c>
      <c r="J2336" s="27" t="n">
        <f aca="false">Sens!J2334-Sens!J2335</f>
        <v>3630</v>
      </c>
      <c r="K2336" s="27" t="n">
        <f aca="false">Sens!K2334-Sens!K2335</f>
        <v>3630</v>
      </c>
    </row>
    <row r="2337" customFormat="false" ht="17.15" hidden="false" customHeight="false" outlineLevel="0" collapsed="false">
      <c r="A2337" s="1" t="s">
        <v>724</v>
      </c>
      <c r="B2337" s="0" t="s">
        <v>340</v>
      </c>
      <c r="C2337" s="27" t="n">
        <f aca="false">Sens!C2336/ext_sh</f>
        <v>816.666666666667</v>
      </c>
      <c r="D2337" s="27" t="n">
        <f aca="false">Sens!D2336/ext_sh</f>
        <v>2050</v>
      </c>
      <c r="E2337" s="27" t="n">
        <f aca="false">Sens!E2336/ext_sh</f>
        <v>4500</v>
      </c>
      <c r="F2337" s="27" t="n">
        <f aca="false">Sens!F2336/ext_sh</f>
        <v>5240</v>
      </c>
      <c r="G2337" s="27" t="n">
        <f aca="false">Sens!G2336/ext_sh</f>
        <v>6050</v>
      </c>
      <c r="H2337" s="27" t="n">
        <f aca="false">Sens!H2336/ext_sh</f>
        <v>6050</v>
      </c>
      <c r="I2337" s="27" t="n">
        <f aca="false">Sens!I2336/ext_sh</f>
        <v>6050</v>
      </c>
      <c r="J2337" s="27" t="n">
        <f aca="false">Sens!J2336/ext_sh</f>
        <v>6050</v>
      </c>
      <c r="K2337" s="27" t="n">
        <f aca="false">Sens!K2336/ext_sh</f>
        <v>6050</v>
      </c>
      <c r="L2337" s="1" t="s">
        <v>725</v>
      </c>
    </row>
    <row r="2338" customFormat="false" ht="17.15" hidden="false" customHeight="false" outlineLevel="0" collapsed="false">
      <c r="A2338" s="1" t="s">
        <v>726</v>
      </c>
      <c r="B2338" s="0" t="s">
        <v>340</v>
      </c>
      <c r="C2338" s="27" t="n">
        <f aca="false">Sens!C2337-Sens!C2336</f>
        <v>326.666666666667</v>
      </c>
      <c r="D2338" s="27" t="n">
        <f aca="false">Sens!D2337-Sens!D2336</f>
        <v>820</v>
      </c>
      <c r="E2338" s="27" t="n">
        <f aca="false">Sens!E2337-Sens!E2336</f>
        <v>1800</v>
      </c>
      <c r="F2338" s="27" t="n">
        <f aca="false">Sens!F2337-Sens!F2336</f>
        <v>2096</v>
      </c>
      <c r="G2338" s="27" t="n">
        <f aca="false">Sens!G2337-Sens!G2336</f>
        <v>2420</v>
      </c>
      <c r="H2338" s="27" t="n">
        <f aca="false">Sens!H2337-Sens!H2336</f>
        <v>2420</v>
      </c>
      <c r="I2338" s="27" t="n">
        <f aca="false">Sens!I2337-Sens!I2336</f>
        <v>2420</v>
      </c>
      <c r="J2338" s="27" t="n">
        <f aca="false">Sens!J2337-Sens!J2336</f>
        <v>2420</v>
      </c>
      <c r="K2338" s="27" t="n">
        <f aca="false">Sens!K2337-Sens!K2336</f>
        <v>2420</v>
      </c>
    </row>
    <row r="2339" customFormat="false" ht="17.15" hidden="false" customHeight="false" outlineLevel="0" collapsed="false">
      <c r="A2339" s="1" t="s">
        <v>727</v>
      </c>
      <c r="B2339" s="0" t="s">
        <v>340</v>
      </c>
      <c r="C2339" s="27" t="n">
        <f aca="false">Sens!C2337</f>
        <v>816.666666666667</v>
      </c>
      <c r="D2339" s="27" t="n">
        <f aca="false">Sens!D2337-Sens!C2337</f>
        <v>1233.33333333333</v>
      </c>
      <c r="E2339" s="27" t="n">
        <f aca="false">Sens!E2337-Sens!D2337</f>
        <v>2450</v>
      </c>
      <c r="F2339" s="27" t="n">
        <f aca="false">Sens!F2337-Sens!E2337</f>
        <v>740</v>
      </c>
      <c r="G2339" s="27" t="n">
        <f aca="false">Sens!G2337-Sens!F2337</f>
        <v>810</v>
      </c>
      <c r="H2339" s="27" t="n">
        <f aca="false">Sens!H2337-Sens!G2337</f>
        <v>0</v>
      </c>
      <c r="I2339" s="27" t="n">
        <f aca="false">Sens!I2337-Sens!H2337</f>
        <v>0</v>
      </c>
      <c r="J2339" s="27" t="n">
        <f aca="false">Sens!J2337-Sens!I2337</f>
        <v>0</v>
      </c>
      <c r="K2339" s="27" t="n">
        <f aca="false">Sens!K2337-Sens!J2337</f>
        <v>0</v>
      </c>
    </row>
    <row r="2340" customFormat="false" ht="17.15" hidden="false" customHeight="false" outlineLevel="0" collapsed="false">
      <c r="A2340" s="1" t="s">
        <v>728</v>
      </c>
      <c r="B2340" s="0" t="s">
        <v>340</v>
      </c>
      <c r="D2340" s="27" t="n">
        <f aca="false">Sens!D2334-Sens!C2334</f>
        <v>990</v>
      </c>
      <c r="E2340" s="27" t="n">
        <f aca="false">Sens!E2334-Sens!D2334</f>
        <v>1620</v>
      </c>
      <c r="F2340" s="27" t="n">
        <f aca="false">Sens!F2334-Sens!E2334</f>
        <v>650</v>
      </c>
      <c r="G2340" s="27" t="n">
        <f aca="false">Sens!G2334-Sens!F2334</f>
        <v>486</v>
      </c>
      <c r="H2340" s="27" t="n">
        <f aca="false">Sens!H2334-Sens!G2334</f>
        <v>0</v>
      </c>
      <c r="I2340" s="27" t="n">
        <f aca="false">Sens!I2334-Sens!H2334</f>
        <v>0</v>
      </c>
      <c r="J2340" s="27" t="n">
        <f aca="false">Sens!J2334-Sens!I2334</f>
        <v>0</v>
      </c>
      <c r="K2340" s="27" t="n">
        <f aca="false">Sens!K2334-Sens!J2334</f>
        <v>0</v>
      </c>
    </row>
    <row r="2341" customFormat="false" ht="17.15" hidden="false" customHeight="false" outlineLevel="0" collapsed="false">
      <c r="A2341" s="1" t="s">
        <v>729</v>
      </c>
      <c r="B2341" s="0" t="s">
        <v>340</v>
      </c>
      <c r="C2341" s="27" t="n">
        <f aca="false">mix_h*Sens!C2334</f>
        <v>128</v>
      </c>
      <c r="D2341" s="27" t="n">
        <f aca="false">mix_h*Sens!D2334</f>
        <v>326</v>
      </c>
      <c r="E2341" s="27" t="n">
        <f aca="false">mix_h*Sens!E2334</f>
        <v>650</v>
      </c>
      <c r="F2341" s="27" t="n">
        <f aca="false">Sens!E2341</f>
        <v>650</v>
      </c>
      <c r="G2341" s="27" t="n">
        <f aca="false">Sens!F2341</f>
        <v>650</v>
      </c>
      <c r="H2341" s="27" t="n">
        <f aca="false">Sens!G2341</f>
        <v>650</v>
      </c>
      <c r="I2341" s="27" t="n">
        <f aca="false">Sens!H2341</f>
        <v>650</v>
      </c>
      <c r="J2341" s="27" t="n">
        <f aca="false">Sens!I2341</f>
        <v>650</v>
      </c>
      <c r="K2341" s="27" t="n">
        <f aca="false">Sens!J2341</f>
        <v>650</v>
      </c>
    </row>
    <row r="2342" customFormat="false" ht="17.15" hidden="false" customHeight="false" outlineLevel="0" collapsed="false">
      <c r="A2342" s="1" t="s">
        <v>730</v>
      </c>
      <c r="B2342" s="0" t="s">
        <v>340</v>
      </c>
      <c r="C2342" s="27" t="n">
        <f aca="false">mix_g2*Sens!C2334</f>
        <v>288</v>
      </c>
      <c r="D2342" s="27" t="n">
        <f aca="false">mix_g2*Sens!D2334</f>
        <v>733.5</v>
      </c>
      <c r="E2342" s="27" t="n">
        <f aca="false">mix_g2*Sens!E2334</f>
        <v>1462.5</v>
      </c>
      <c r="F2342" s="27" t="n">
        <f aca="false">Sens!E2342</f>
        <v>1462.5</v>
      </c>
      <c r="G2342" s="27" t="n">
        <f aca="false">Sens!F2342</f>
        <v>1462.5</v>
      </c>
      <c r="H2342" s="27" t="n">
        <f aca="false">Sens!G2342</f>
        <v>1462.5</v>
      </c>
      <c r="I2342" s="27" t="n">
        <f aca="false">Sens!H2342</f>
        <v>1462.5</v>
      </c>
      <c r="J2342" s="27" t="n">
        <f aca="false">Sens!I2342</f>
        <v>1462.5</v>
      </c>
      <c r="K2342" s="27" t="n">
        <f aca="false">Sens!J2342</f>
        <v>1462.5</v>
      </c>
    </row>
    <row r="2343" customFormat="false" ht="17.15" hidden="false" customHeight="false" outlineLevel="0" collapsed="false">
      <c r="A2343" s="1" t="s">
        <v>731</v>
      </c>
      <c r="B2343" s="0" t="s">
        <v>340</v>
      </c>
      <c r="C2343" s="27" t="n">
        <f aca="false">mix_g3*Sens!C2334</f>
        <v>224</v>
      </c>
      <c r="D2343" s="27" t="n">
        <f aca="false">mix_g3*Sens!D2334</f>
        <v>570.5</v>
      </c>
      <c r="E2343" s="27" t="n">
        <f aca="false">mix_g3*Sens!E2334</f>
        <v>1137.5</v>
      </c>
      <c r="F2343" s="27" t="n">
        <f aca="false">Sens!E2343+Sens!F2340*a_g3_27</f>
        <v>1592.5</v>
      </c>
      <c r="G2343" s="27" t="n">
        <f aca="false">Sens!F2343+Sens!G2340*a_g3_28</f>
        <v>1738.3</v>
      </c>
      <c r="H2343" s="27" t="n">
        <f aca="false">Sens!G2343+Sens!H2340*a_g3_29</f>
        <v>1738.3</v>
      </c>
      <c r="I2343" s="27" t="n">
        <f aca="false">Sens!H2343+Sens!I2340*a_g3_29</f>
        <v>1738.3</v>
      </c>
      <c r="J2343" s="27" t="n">
        <f aca="false">Sens!I2343+Sens!J2340*a_g3_29</f>
        <v>1738.3</v>
      </c>
      <c r="K2343" s="27" t="n">
        <f aca="false">Sens!J2343+Sens!K2340*a_g3_29</f>
        <v>1738.3</v>
      </c>
    </row>
    <row r="2344" customFormat="false" ht="17.15" hidden="false" customHeight="false" outlineLevel="0" collapsed="false">
      <c r="A2344" s="1" t="s">
        <v>732</v>
      </c>
      <c r="B2344" s="0" t="s">
        <v>340</v>
      </c>
      <c r="C2344" s="27" t="n">
        <f aca="false">0</f>
        <v>0</v>
      </c>
      <c r="D2344" s="27" t="n">
        <f aca="false">0</f>
        <v>0</v>
      </c>
      <c r="E2344" s="27" t="n">
        <f aca="false">0</f>
        <v>0</v>
      </c>
      <c r="F2344" s="27" t="n">
        <f aca="false">Sens!E2344+Sens!F2340*(1-a_g3_27)</f>
        <v>195</v>
      </c>
      <c r="G2344" s="27" t="n">
        <f aca="false">Sens!F2344+Sens!G2340*(1-a_g3_28)</f>
        <v>535.2</v>
      </c>
      <c r="H2344" s="27" t="n">
        <f aca="false">Sens!G2344+Sens!H2340*(1-a_g3_29)</f>
        <v>535.2</v>
      </c>
      <c r="I2344" s="27" t="n">
        <f aca="false">Sens!H2344+Sens!I2340*(1-a_g3_29)</f>
        <v>535.2</v>
      </c>
      <c r="J2344" s="27" t="n">
        <f aca="false">Sens!I2344+Sens!J2340*(1-a_g3_29)</f>
        <v>535.2</v>
      </c>
      <c r="K2344" s="27" t="n">
        <f aca="false">Sens!J2344+Sens!K2340*(1-a_g3_29)</f>
        <v>535.2</v>
      </c>
    </row>
    <row r="2345" customFormat="false" ht="17.15" hidden="false" customHeight="false" outlineLevel="0" collapsed="false">
      <c r="A2345" s="1" t="s">
        <v>733</v>
      </c>
      <c r="B2345" s="0" t="s">
        <v>291</v>
      </c>
      <c r="C2345" s="18" t="n">
        <f aca="false">(Sens!C2341*tk_hold_h100+Sens!C2342*tk_hold_gb200+Sens!C2343*tk_hold_gb300+Sens!C2344*tk_hold_vr200)/Sens!C2334</f>
        <v>9.7235358126469</v>
      </c>
      <c r="D2345" s="18" t="n">
        <f aca="false">(Sens!D2341*tk_hold_h100+Sens!D2342*tk_hold_gb200+Sens!D2343*tk_hold_gb300+Sens!D2344*tk_hold_vr200)/Sens!D2334</f>
        <v>9.7235358126469</v>
      </c>
      <c r="E2345" s="18" t="n">
        <f aca="false">(Sens!E2341*tk_hold_h100+Sens!E2342*tk_hold_gb200+Sens!E2343*tk_hold_gb300+Sens!E2344*tk_hold_vr200)/Sens!E2334</f>
        <v>9.7235358126469</v>
      </c>
      <c r="F2345" s="18" t="n">
        <f aca="false">(Sens!F2341*tk_hold_h100+Sens!F2342*tk_hold_gb200+Sens!F2343*tk_hold_gb300+Sens!F2344*tk_hold_vr200)/Sens!F2334</f>
        <v>9.9843013443478</v>
      </c>
      <c r="G2345" s="18" t="n">
        <f aca="false">(Sens!G2341*tk_hold_h100+Sens!G2342*tk_hold_gb200+Sens!G2343*tk_hold_gb300+Sens!G2344*tk_hold_vr200)/Sens!G2334</f>
        <v>10.1881256732384</v>
      </c>
      <c r="H2345" s="18" t="n">
        <f aca="false">(Sens!H2341*tk_hold_h100+Sens!H2342*tk_hold_gb200+Sens!H2343*tk_hold_gb300+Sens!H2344*tk_hold_vr200)/Sens!H2334</f>
        <v>10.1881256732384</v>
      </c>
      <c r="I2345" s="18" t="n">
        <f aca="false">(Sens!I2341*tk_hold_h100+Sens!I2342*tk_hold_gb200+Sens!I2343*tk_hold_gb300+Sens!I2344*tk_hold_vr200)/Sens!I2334</f>
        <v>10.1881256732384</v>
      </c>
      <c r="J2345" s="18" t="n">
        <f aca="false">(Sens!J2341*tk_hold_h100+Sens!J2342*tk_hold_gb200+Sens!J2343*tk_hold_gb300+Sens!J2344*tk_hold_vr200)/Sens!J2334</f>
        <v>10.1881256732384</v>
      </c>
      <c r="K2345" s="18" t="n">
        <f aca="false">(Sens!K2341*tk_hold_h100+Sens!K2342*tk_hold_gb200+Sens!K2343*tk_hold_gb300+Sens!K2344*tk_hold_vr200)/Sens!K2334</f>
        <v>10.1881256732384</v>
      </c>
    </row>
    <row r="2346" customFormat="false" ht="17.15" hidden="false" customHeight="false" outlineLevel="0" collapsed="false">
      <c r="A2346" s="0" t="s">
        <v>734</v>
      </c>
      <c r="B2346" s="0" t="s">
        <v>182</v>
      </c>
      <c r="C2346" s="18" t="n">
        <f aca="false">k_B</f>
        <v>1.17213932619116</v>
      </c>
      <c r="D2346" s="18" t="n">
        <f aca="false">k_B</f>
        <v>1.17213932619116</v>
      </c>
      <c r="E2346" s="18" t="n">
        <f aca="false">k_B</f>
        <v>1.17213932619116</v>
      </c>
      <c r="F2346" s="18" t="n">
        <f aca="false">(k_B+((ls_B*k_long+(1-ls_B)*k_spot)-k_B)*MIN(1,1/3))*1</f>
        <v>1.17213932619116</v>
      </c>
      <c r="G2346" s="18" t="n">
        <f aca="false">(k_B+((ls_B*k_long+(1-ls_B)*k_spot)-k_B)*MIN(1,2/3))*1</f>
        <v>1.17213932619116</v>
      </c>
      <c r="H2346" s="18" t="n">
        <f aca="false">(k_B+((ls_B*k_long+(1-ls_B)*k_spot)-k_B)*MIN(1,3/3))*1</f>
        <v>1.17213932619116</v>
      </c>
      <c r="I2346" s="18" t="n">
        <f aca="false">(k_B+((ls_B*k_long+(1-ls_B)*k_spot)-k_B)*MIN(1,4/3))*1</f>
        <v>1.17213932619116</v>
      </c>
      <c r="J2346" s="18" t="n">
        <f aca="false">(k_B+((ls_B*k_long+(1-ls_B)*k_spot)-k_B)*MIN(1,5/3))*1</f>
        <v>1.17213932619116</v>
      </c>
      <c r="K2346" s="18" t="n">
        <f aca="false">(k_B+((ls_B*k_long+(1-ls_B)*k_spot)-k_B)*MIN(1,6/3))*1</f>
        <v>1.17213932619116</v>
      </c>
      <c r="L2346" s="1" t="s">
        <v>735</v>
      </c>
    </row>
    <row r="2347" customFormat="false" ht="17.15" hidden="false" customHeight="false" outlineLevel="0" collapsed="false">
      <c r="A2347" s="1" t="s">
        <v>736</v>
      </c>
      <c r="B2347" s="0" t="s">
        <v>291</v>
      </c>
      <c r="C2347" s="18" t="n">
        <f aca="false">Sens!C2345*Sens!C2346*chip_f</f>
        <v>11.3973387156315</v>
      </c>
      <c r="D2347" s="18" t="n">
        <f aca="false">Sens!D2345*Sens!D2346*chip_f</f>
        <v>11.3973387156315</v>
      </c>
      <c r="E2347" s="18" t="n">
        <f aca="false">Sens!E2345*Sens!E2346*chip_f</f>
        <v>11.3973387156315</v>
      </c>
      <c r="F2347" s="18" t="n">
        <f aca="false">Sens!F2345*Sens!F2346*chip_f</f>
        <v>11.7029922502533</v>
      </c>
      <c r="G2347" s="18" t="n">
        <f aca="false">Sens!G2345*Sens!G2346*chip_f</f>
        <v>11.9419027617805</v>
      </c>
      <c r="H2347" s="18" t="n">
        <f aca="false">Sens!H2345*Sens!H2346*chip_f</f>
        <v>11.9419027617805</v>
      </c>
      <c r="I2347" s="18" t="n">
        <f aca="false">Sens!I2345*Sens!I2346*chip_f</f>
        <v>11.9419027617805</v>
      </c>
      <c r="J2347" s="18" t="n">
        <f aca="false">Sens!J2345*Sens!J2346*chip_f</f>
        <v>11.9419027617805</v>
      </c>
      <c r="K2347" s="18" t="n">
        <f aca="false">Sens!K2345*Sens!K2346*chip_f</f>
        <v>11.9419027617805</v>
      </c>
      <c r="L2347" s="1" t="s">
        <v>737</v>
      </c>
    </row>
    <row r="2348" customFormat="false" ht="17.15" hidden="false" customHeight="false" outlineLevel="0" collapsed="false">
      <c r="A2348" s="0" t="s">
        <v>738</v>
      </c>
      <c r="B2348" s="0" t="s">
        <v>95</v>
      </c>
      <c r="D2348" s="6" t="n">
        <f aca="false">(Sens!C2334+Sens!D2334)/2*Sens!D2347/1000</f>
        <v>12.9359794422418</v>
      </c>
      <c r="E2348" s="6" t="n">
        <f aca="false">(Sens!D2334+Sens!E2334)/2*Sens!E2347/1000</f>
        <v>27.8095064661409</v>
      </c>
      <c r="F2348" s="6" t="n">
        <f aca="false">(Sens!E2334+Sens!F2334)/2*Sens!F2347/1000</f>
        <v>41.8381972946555</v>
      </c>
      <c r="G2348" s="6" t="n">
        <f aca="false">(Sens!F2334+Sens!G2334)/2*Sens!G2347/1000</f>
        <v>49.4753031420564</v>
      </c>
      <c r="H2348" s="6" t="n">
        <f aca="false">(Sens!G2334+Sens!H2334)/2*Sens!H2347/1000</f>
        <v>52.3771855131691</v>
      </c>
      <c r="I2348" s="6" t="n">
        <f aca="false">(Sens!H2334+Sens!I2334)/2*Sens!I2347/1000</f>
        <v>52.3771855131691</v>
      </c>
      <c r="J2348" s="6" t="n">
        <f aca="false">(Sens!I2334+Sens!J2334)/2*Sens!J2347/1000</f>
        <v>52.3771855131691</v>
      </c>
      <c r="K2348" s="6" t="n">
        <f aca="false">(Sens!J2334+Sens!K2334)/2*Sens!K2347/1000</f>
        <v>52.3771855131691</v>
      </c>
      <c r="L2348" s="11" t="s">
        <v>739</v>
      </c>
    </row>
    <row r="2349" customFormat="false" ht="17.15" hidden="false" customHeight="false" outlineLevel="0" collapsed="false">
      <c r="A2349" s="1" t="s">
        <v>740</v>
      </c>
      <c r="B2349" s="0" t="s">
        <v>291</v>
      </c>
      <c r="C2349" s="18" t="n">
        <f aca="false">(Sens!C2341*tk_opex_h100+Sens!C2342*tk_opex_gb200+Sens!C2343*tk_opex_gb300+Sens!C2344*tk_opex_vr200)/Sens!C2334</f>
        <v>1.88636041306092</v>
      </c>
      <c r="D2349" s="18" t="n">
        <f aca="false">(Sens!D2341*tk_opex_h100+Sens!D2342*tk_opex_gb200+Sens!D2343*tk_opex_gb300+Sens!D2344*tk_opex_vr200)/Sens!D2334</f>
        <v>1.88636041306092</v>
      </c>
      <c r="E2349" s="18" t="n">
        <f aca="false">(Sens!E2341*tk_opex_h100+Sens!E2342*tk_opex_gb200+Sens!E2343*tk_opex_gb300+Sens!E2344*tk_opex_vr200)/Sens!E2334</f>
        <v>1.88636041306092</v>
      </c>
      <c r="F2349" s="18" t="n">
        <f aca="false">(Sens!F2341*tk_opex_h100+Sens!F2342*tk_opex_gb200+Sens!F2343*tk_opex_gb300+Sens!F2344*tk_opex_vr200)/Sens!F2334</f>
        <v>1.90794918316667</v>
      </c>
      <c r="G2349" s="18" t="n">
        <f aca="false">(Sens!G2341*tk_opex_h100+Sens!G2342*tk_opex_gb200+Sens!G2343*tk_opex_gb300+Sens!G2344*tk_opex_vr200)/Sens!G2334</f>
        <v>1.92482379289624</v>
      </c>
      <c r="H2349" s="18" t="n">
        <f aca="false">(Sens!H2341*tk_opex_h100+Sens!H2342*tk_opex_gb200+Sens!H2343*tk_opex_gb300+Sens!H2344*tk_opex_vr200)/Sens!H2334</f>
        <v>1.92482379289624</v>
      </c>
      <c r="I2349" s="18" t="n">
        <f aca="false">(Sens!I2341*tk_opex_h100+Sens!I2342*tk_opex_gb200+Sens!I2343*tk_opex_gb300+Sens!I2344*tk_opex_vr200)/Sens!I2334</f>
        <v>1.92482379289624</v>
      </c>
      <c r="J2349" s="18" t="n">
        <f aca="false">(Sens!J2341*tk_opex_h100+Sens!J2342*tk_opex_gb200+Sens!J2343*tk_opex_gb300+Sens!J2344*tk_opex_vr200)/Sens!J2334</f>
        <v>1.92482379289624</v>
      </c>
      <c r="K2349" s="18" t="n">
        <f aca="false">(Sens!K2341*tk_opex_h100+Sens!K2342*tk_opex_gb200+Sens!K2343*tk_opex_gb300+Sens!K2344*tk_opex_vr200)/Sens!K2334</f>
        <v>1.92482379289624</v>
      </c>
    </row>
    <row r="2350" customFormat="false" ht="17.15" hidden="false" customHeight="false" outlineLevel="0" collapsed="false">
      <c r="A2350" s="0" t="s">
        <v>741</v>
      </c>
      <c r="B2350" s="0" t="s">
        <v>95</v>
      </c>
      <c r="D2350" s="6" t="n">
        <f aca="false">(Sens!C2337+Sens!D2337)/2*Sens!D2349/1000</f>
        <v>2.70378325872065</v>
      </c>
      <c r="E2350" s="6" t="n">
        <f aca="false">(Sens!D2337+Sens!E2337)/2*Sens!E2349/1000</f>
        <v>6.17783035277451</v>
      </c>
      <c r="F2350" s="6" t="n">
        <f aca="false">(Sens!E2337+Sens!F2337)/2*Sens!F2349/1000</f>
        <v>9.29171252202166</v>
      </c>
      <c r="G2350" s="6" t="n">
        <f aca="false">(Sens!F2337+Sens!G2337)/2*Sens!G2349/1000</f>
        <v>10.8656303108993</v>
      </c>
      <c r="H2350" s="6" t="n">
        <f aca="false">(Sens!G2337+Sens!H2337)/2*Sens!H2349/1000</f>
        <v>11.6451839470223</v>
      </c>
      <c r="I2350" s="6" t="n">
        <f aca="false">(Sens!H2337+Sens!I2337)/2*Sens!I2349/1000</f>
        <v>11.6451839470223</v>
      </c>
      <c r="J2350" s="6" t="n">
        <f aca="false">(Sens!I2337+Sens!J2337)/2*Sens!J2349/1000</f>
        <v>11.6451839470223</v>
      </c>
      <c r="K2350" s="6" t="n">
        <f aca="false">(Sens!J2337+Sens!K2337)/2*Sens!K2349/1000</f>
        <v>11.6451839470223</v>
      </c>
    </row>
    <row r="2351" customFormat="false" ht="17.15" hidden="false" customHeight="false" outlineLevel="0" collapsed="false">
      <c r="A2351" s="0" t="s">
        <v>742</v>
      </c>
      <c r="B2351" s="0" t="s">
        <v>95</v>
      </c>
      <c r="D2351" s="6" t="n">
        <f aca="false">(Sens!C2335+Sens!D2335)/2*rent_mw/1000</f>
        <v>2.44475</v>
      </c>
      <c r="E2351" s="6" t="n">
        <f aca="false">(Sens!D2335+Sens!E2335)/2*rent_mw/1000</f>
        <v>4.22275</v>
      </c>
      <c r="F2351" s="6" t="n">
        <f aca="false">(Sens!E2335+Sens!F2335)/2*rent_mw/1000</f>
        <v>5.80517</v>
      </c>
      <c r="G2351" s="6" t="n">
        <f aca="false">(Sens!F2335+Sens!G2335)/2*rent_mw/1000</f>
        <v>6.72084</v>
      </c>
      <c r="H2351" s="6" t="n">
        <f aca="false">(Sens!G2335+Sens!H2335)/2*rent_mw/1000</f>
        <v>6.72084</v>
      </c>
      <c r="I2351" s="6" t="n">
        <f aca="false">(Sens!H2335+Sens!I2335)/2*rent_mw/1000</f>
        <v>6.72084</v>
      </c>
      <c r="J2351" s="6" t="n">
        <f aca="false">(Sens!I2335+Sens!J2335)/2*rent_mw/1000</f>
        <v>6.72084</v>
      </c>
      <c r="K2351" s="6" t="n">
        <f aca="false">(Sens!J2335+Sens!K2335)/2*rent_mw/1000</f>
        <v>6.72084</v>
      </c>
    </row>
    <row r="2352" customFormat="false" ht="17.15" hidden="false" customHeight="false" outlineLevel="0" collapsed="false">
      <c r="A2352" s="0" t="s">
        <v>743</v>
      </c>
      <c r="B2352" s="0" t="s">
        <v>95</v>
      </c>
      <c r="D2352" s="6" t="n">
        <f aca="false">(Sens!C2337+Sens!D2337)/2*(1-self_build)*fac_rent/1000</f>
        <v>0.853242375631075</v>
      </c>
      <c r="E2352" s="6" t="n">
        <f aca="false">(Sens!D2337+Sens!E2337)/2*(1-self_build)*fac_rent/1000</f>
        <v>1.94955961408728</v>
      </c>
      <c r="F2352" s="6" t="n">
        <f aca="false">(Sens!E2337+Sens!F2337)/2*(1-self_build)*fac_rent/1000</f>
        <v>2.89903979255117</v>
      </c>
      <c r="G2352" s="6" t="n">
        <f aca="false">(Sens!F2337+Sens!G2337)/2*(1-self_build)*fac_rent/1000</f>
        <v>3.36038596077029</v>
      </c>
      <c r="H2352" s="6" t="n">
        <f aca="false">(Sens!G2337+Sens!H2337)/2*(1-self_build)*fac_rent/1000</f>
        <v>3.60147653900094</v>
      </c>
      <c r="I2352" s="6" t="n">
        <f aca="false">(Sens!H2337+Sens!I2337)/2*(1-self_build)*fac_rent/1000</f>
        <v>3.60147653900094</v>
      </c>
      <c r="J2352" s="6" t="n">
        <f aca="false">(Sens!I2337+Sens!J2337)/2*(1-self_build)*fac_rent/1000</f>
        <v>3.60147653900094</v>
      </c>
      <c r="K2352" s="6" t="n">
        <f aca="false">(Sens!J2337+Sens!K2337)/2*(1-self_build)*fac_rent/1000</f>
        <v>3.60147653900094</v>
      </c>
      <c r="L2352" s="11" t="s">
        <v>744</v>
      </c>
    </row>
    <row r="2353" customFormat="false" ht="17.15" hidden="false" customHeight="false" outlineLevel="0" collapsed="false">
      <c r="A2353" s="1" t="s">
        <v>745</v>
      </c>
      <c r="B2353" s="0" t="s">
        <v>126</v>
      </c>
      <c r="D2353" s="7" t="n">
        <f aca="false">(Sens!C2336+Sens!D2336)/(Sens!C2337+Sens!D2337)</f>
        <v>0.6</v>
      </c>
      <c r="E2353" s="7" t="n">
        <f aca="false">(Sens!D2336+Sens!E2336)/(Sens!D2337+Sens!E2337)</f>
        <v>0.6</v>
      </c>
      <c r="F2353" s="7" t="n">
        <f aca="false">(Sens!E2336+Sens!F2336)/(Sens!E2337+Sens!F2337)</f>
        <v>0.6</v>
      </c>
      <c r="G2353" s="7" t="n">
        <f aca="false">(Sens!F2336+Sens!G2336)/(Sens!F2337+Sens!G2337)</f>
        <v>0.6</v>
      </c>
      <c r="H2353" s="7" t="n">
        <f aca="false">(Sens!G2336+Sens!H2336)/(Sens!G2337+Sens!H2337)</f>
        <v>0.6</v>
      </c>
      <c r="I2353" s="7" t="n">
        <f aca="false">(Sens!H2336+Sens!I2336)/(Sens!H2337+Sens!I2337)</f>
        <v>0.6</v>
      </c>
      <c r="J2353" s="7" t="n">
        <f aca="false">(Sens!I2336+Sens!J2336)/(Sens!I2337+Sens!J2337)</f>
        <v>0.6</v>
      </c>
      <c r="K2353" s="7" t="n">
        <f aca="false">(Sens!J2336+Sens!K2336)/(Sens!J2337+Sens!K2337)</f>
        <v>0.6</v>
      </c>
    </row>
    <row r="2354" customFormat="false" ht="17.15" hidden="false" customHeight="false" outlineLevel="0" collapsed="false">
      <c r="A2354" s="0" t="s">
        <v>746</v>
      </c>
      <c r="B2354" s="0" t="s">
        <v>95</v>
      </c>
      <c r="D2354" s="6" t="n">
        <f aca="false">Sens!D2348-Sens!D2353*(Sens!D2350+Sens!D2352)-Sens!D2351</f>
        <v>8.35701406163072</v>
      </c>
      <c r="E2354" s="6" t="n">
        <f aca="false">Sens!E2348-Sens!E2353*(Sens!E2350+Sens!E2352)-Sens!E2351</f>
        <v>18.7103224860238</v>
      </c>
      <c r="F2354" s="6" t="n">
        <f aca="false">Sens!F2348-Sens!F2353*(Sens!F2350+Sens!F2352)-Sens!F2351</f>
        <v>28.7185759059118</v>
      </c>
      <c r="G2354" s="6" t="n">
        <f aca="false">Sens!G2348-Sens!G2353*(Sens!G2350+Sens!G2352)-Sens!G2351</f>
        <v>34.2188533790547</v>
      </c>
      <c r="H2354" s="6" t="n">
        <f aca="false">Sens!H2348-Sens!H2353*(Sens!H2350+Sens!H2352)-Sens!H2351</f>
        <v>36.5083492215552</v>
      </c>
      <c r="I2354" s="6" t="n">
        <f aca="false">Sens!I2348-Sens!I2353*(Sens!I2350+Sens!I2352)-Sens!I2351</f>
        <v>36.5083492215552</v>
      </c>
      <c r="J2354" s="6" t="n">
        <f aca="false">Sens!J2348-Sens!J2353*(Sens!J2350+Sens!J2352)-Sens!J2351</f>
        <v>36.5083492215552</v>
      </c>
      <c r="K2354" s="6" t="n">
        <f aca="false">Sens!K2348-Sens!K2353*(Sens!K2350+Sens!K2352)-Sens!K2351</f>
        <v>36.5083492215552</v>
      </c>
    </row>
    <row r="2355" customFormat="false" ht="17.15" hidden="false" customHeight="false" outlineLevel="0" collapsed="false">
      <c r="A2355" s="1" t="s">
        <v>747</v>
      </c>
      <c r="B2355" s="0" t="s">
        <v>95</v>
      </c>
      <c r="D2355" s="6" t="n">
        <f aca="false">(1-Sens!D2353)*(Sens!D2350+Sens!D2352)</f>
        <v>1.42281025374069</v>
      </c>
      <c r="E2355" s="6" t="n">
        <f aca="false">(1-Sens!E2353)*(Sens!E2350+Sens!E2352)</f>
        <v>3.25095598674472</v>
      </c>
      <c r="F2355" s="6" t="n">
        <f aca="false">(1-Sens!F2353)*(Sens!F2350+Sens!F2352)</f>
        <v>4.87630092582913</v>
      </c>
      <c r="G2355" s="6" t="n">
        <f aca="false">(1-Sens!G2353)*(Sens!G2350+Sens!G2352)</f>
        <v>5.69040650866783</v>
      </c>
      <c r="H2355" s="6" t="n">
        <f aca="false">(1-Sens!H2353)*(Sens!H2350+Sens!H2352)</f>
        <v>6.09866419440928</v>
      </c>
      <c r="I2355" s="6" t="n">
        <f aca="false">(1-Sens!I2353)*(Sens!I2350+Sens!I2352)</f>
        <v>6.09866419440928</v>
      </c>
      <c r="J2355" s="6" t="n">
        <f aca="false">(1-Sens!J2353)*(Sens!J2350+Sens!J2352)</f>
        <v>6.09866419440928</v>
      </c>
      <c r="K2355" s="6" t="n">
        <f aca="false">(1-Sens!K2353)*(Sens!K2350+Sens!K2352)</f>
        <v>6.09866419440928</v>
      </c>
    </row>
    <row r="2356" customFormat="false" ht="17.15" hidden="false" customHeight="false" outlineLevel="0" collapsed="false">
      <c r="A2356" s="1" t="s">
        <v>748</v>
      </c>
      <c r="B2356" s="0" t="s">
        <v>302</v>
      </c>
      <c r="C2356" s="8" t="n">
        <f aca="false">cxit_open</f>
        <v>27.5918995</v>
      </c>
      <c r="D2356" s="8" t="n">
        <f aca="false">cxit_open</f>
        <v>27.5918995</v>
      </c>
      <c r="E2356" s="8" t="n">
        <f aca="false">cxit_open</f>
        <v>27.5918995</v>
      </c>
      <c r="F2356" s="8" t="n">
        <f aca="false">(a_g3_27*tk_cxit_gb300+(1-a_g3_27)*tk_cxit_vr200)</f>
        <v>33.8419624</v>
      </c>
      <c r="G2356" s="8" t="n">
        <f aca="false">(a_g3_28*tk_cxit_gb300+(1-a_g3_28)*tk_cxit_vr200)</f>
        <v>35.9816136</v>
      </c>
      <c r="H2356" s="8" t="n">
        <f aca="false">(a_g3_29*tk_cxit_gb300+(1-a_g3_29)*tk_cxit_vr200)</f>
        <v>37.0514392</v>
      </c>
      <c r="I2356" s="8" t="n">
        <f aca="false">(a_g3_29*tk_cxit_gb300+(1-a_g3_29)*tk_cxit_vr200)</f>
        <v>37.0514392</v>
      </c>
      <c r="J2356" s="8" t="n">
        <f aca="false">(a_g3_29*tk_cxit_gb300+(1-a_g3_29)*tk_cxit_vr200)</f>
        <v>37.0514392</v>
      </c>
      <c r="K2356" s="8" t="n">
        <f aca="false">(a_g3_29*tk_cxit_gb300+(1-a_g3_29)*tk_cxit_vr200)</f>
        <v>37.0514392</v>
      </c>
      <c r="L2356" s="11" t="s">
        <v>749</v>
      </c>
    </row>
    <row r="2357" customFormat="false" ht="17.15" hidden="false" customHeight="false" outlineLevel="0" collapsed="false">
      <c r="A2357" s="0" t="s">
        <v>750</v>
      </c>
      <c r="B2357" s="0" t="s">
        <v>340</v>
      </c>
      <c r="F2357" s="27" t="n">
        <f aca="false">Sens!C2339*IF(3=life_it,1,0)+Sens!D2339*IF(2=life_it,1,0)+Sens!E2339*IF(1=life_it,1,0)</f>
        <v>0</v>
      </c>
      <c r="G2357" s="27" t="n">
        <f aca="false">Sens!C2339*IF(4=life_it,1,0)+Sens!D2339*IF(3=life_it,1,0)+Sens!E2339*IF(2=life_it,1,0)+Sens!F2339*IF(1=life_it,1,0)</f>
        <v>0</v>
      </c>
      <c r="H2357" s="27" t="n">
        <f aca="false">Sens!C2339*IF(5=life_it,1,0)+Sens!D2339*IF(4=life_it,1,0)+Sens!E2339*IF(3=life_it,1,0)+Sens!F2339*IF(2=life_it,1,0)+Sens!G2339*IF(1=life_it,1,0)</f>
        <v>0</v>
      </c>
      <c r="I2357" s="27" t="n">
        <f aca="false">Sens!C2339*IF(6=life_it,1,0)+Sens!D2339*IF(5=life_it,1,0)+Sens!E2339*IF(4=life_it,1,0)+Sens!F2339*IF(3=life_it,1,0)+Sens!G2339*IF(2=life_it,1,0)+Sens!H2339*IF(1=life_it,1,0)</f>
        <v>816.666666666667</v>
      </c>
      <c r="J2357" s="27" t="n">
        <f aca="false">Sens!C2339*IF(7=life_it,1,0)+Sens!D2339*IF(6=life_it,1,0)+Sens!E2339*IF(5=life_it,1,0)+Sens!F2339*IF(4=life_it,1,0)+Sens!G2339*IF(3=life_it,1,0)+Sens!H2339*IF(2=life_it,1,0)+Sens!I2339*IF(1=life_it,1,0)</f>
        <v>1233.33333333333</v>
      </c>
      <c r="K2357" s="27" t="n">
        <f aca="false">Sens!C2339*IF(8=life_it,1,0)+Sens!D2339*IF(7=life_it,1,0)+Sens!E2339*IF(6=life_it,1,0)+Sens!F2339*IF(5=life_it,1,0)+Sens!G2339*IF(4=life_it,1,0)+Sens!H2339*IF(3=life_it,1,0)+Sens!I2339*IF(2=life_it,1,0)+Sens!J2339*IF(1=life_it,1,0)</f>
        <v>2450</v>
      </c>
      <c r="L2357" s="1" t="s">
        <v>751</v>
      </c>
    </row>
    <row r="2358" customFormat="false" ht="17.15" hidden="false" customHeight="false" outlineLevel="0" collapsed="false">
      <c r="A2358" s="0" t="s">
        <v>752</v>
      </c>
      <c r="B2358" s="0" t="s">
        <v>95</v>
      </c>
      <c r="C2358" s="6" t="n">
        <f aca="false">Sens!C2339*Sens!C2356/1000</f>
        <v>22.5333845916667</v>
      </c>
      <c r="D2358" s="6" t="n">
        <f aca="false">Sens!D2339*Sens!D2356/1000</f>
        <v>34.0300093833333</v>
      </c>
      <c r="E2358" s="6" t="n">
        <f aca="false">Sens!E2339*Sens!E2356/1000</f>
        <v>67.600153775</v>
      </c>
      <c r="F2358" s="6" t="n">
        <f aca="false">(Sens!F2339+Sens!F2357)*Sens!F2356/1000</f>
        <v>25.043052176</v>
      </c>
      <c r="G2358" s="6" t="n">
        <f aca="false">(Sens!G2339+Sens!G2357)*Sens!G2356/1000</f>
        <v>29.145107016</v>
      </c>
      <c r="H2358" s="6" t="n">
        <f aca="false">(Sens!H2339+Sens!H2357)*Sens!H2356/1000</f>
        <v>0</v>
      </c>
      <c r="I2358" s="6" t="n">
        <f aca="false">(Sens!I2339+Sens!I2357)*Sens!I2356/1000</f>
        <v>30.2586753466667</v>
      </c>
      <c r="J2358" s="6" t="n">
        <f aca="false">(Sens!J2339+Sens!J2357)*Sens!J2356/1000</f>
        <v>45.6967750133333</v>
      </c>
      <c r="K2358" s="6" t="n">
        <f aca="false">(Sens!K2339+Sens!K2357)*Sens!K2356/1000</f>
        <v>90.77602604</v>
      </c>
    </row>
    <row r="2359" customFormat="false" ht="17.15" hidden="false" customHeight="false" outlineLevel="0" collapsed="false">
      <c r="A2359" s="0" t="s">
        <v>753</v>
      </c>
      <c r="B2359" s="0" t="s">
        <v>95</v>
      </c>
      <c r="C2359" s="6" t="n">
        <f aca="false">Sens!C2339*self_build*tk_cxfac/1000</f>
        <v>6.2083</v>
      </c>
      <c r="D2359" s="6" t="n">
        <f aca="false">Sens!D2339*self_build*tk_cxfac/1000</f>
        <v>9.3758</v>
      </c>
      <c r="E2359" s="6" t="n">
        <f aca="false">Sens!E2339*self_build*tk_cxfac/1000</f>
        <v>18.6249</v>
      </c>
      <c r="F2359" s="6" t="n">
        <f aca="false">Sens!F2339*self_build*tk_cxfac/1000</f>
        <v>5.62548</v>
      </c>
      <c r="G2359" s="6" t="n">
        <f aca="false">Sens!G2339*self_build*tk_cxfac/1000</f>
        <v>6.15762</v>
      </c>
      <c r="H2359" s="6" t="n">
        <f aca="false">Sens!H2339*self_build*tk_cxfac/1000</f>
        <v>0</v>
      </c>
      <c r="I2359" s="6" t="n">
        <f aca="false">Sens!I2339*self_build*tk_cxfac/1000</f>
        <v>0</v>
      </c>
      <c r="J2359" s="6" t="n">
        <f aca="false">Sens!J2339*self_build*tk_cxfac/1000</f>
        <v>0</v>
      </c>
      <c r="K2359" s="6" t="n">
        <f aca="false">Sens!K2339*self_build*tk_cxfac/1000</f>
        <v>0</v>
      </c>
    </row>
    <row r="2360" customFormat="false" ht="17.15" hidden="false" customHeight="false" outlineLevel="0" collapsed="false">
      <c r="A2360" s="0" t="s">
        <v>754</v>
      </c>
      <c r="B2360" s="0" t="s">
        <v>95</v>
      </c>
      <c r="F2360" s="6" t="n">
        <f aca="false">MAX(0,capex_floor27-Sens!F2358-Sens!F2359-Sens!F2447)</f>
        <v>137.952120594438</v>
      </c>
      <c r="G2360" s="6" t="n">
        <f aca="false">0</f>
        <v>0</v>
      </c>
      <c r="H2360" s="6" t="n">
        <f aca="false">0</f>
        <v>0</v>
      </c>
      <c r="I2360" s="6" t="n">
        <f aca="false">0</f>
        <v>0</v>
      </c>
      <c r="J2360" s="6" t="n">
        <f aca="false">0</f>
        <v>0</v>
      </c>
      <c r="K2360" s="6" t="n">
        <f aca="false">0</f>
        <v>0</v>
      </c>
      <c r="L2360" s="1" t="s">
        <v>755</v>
      </c>
    </row>
    <row r="2361" customFormat="false" ht="17.15" hidden="false" customHeight="false" outlineLevel="0" collapsed="false">
      <c r="A2361" s="0" t="s">
        <v>756</v>
      </c>
      <c r="B2361" s="0" t="s">
        <v>95</v>
      </c>
      <c r="C2361" s="6" t="n">
        <f aca="false">Sens!C2358</f>
        <v>22.5333845916667</v>
      </c>
      <c r="D2361" s="6" t="n">
        <f aca="false">Sens!D2358</f>
        <v>34.0300093833333</v>
      </c>
      <c r="E2361" s="6" t="n">
        <f aca="false">Sens!E2358</f>
        <v>67.600153775</v>
      </c>
      <c r="F2361" s="6" t="n">
        <f aca="false">Sens!F2358+Sens!F2360</f>
        <v>162.995172770438</v>
      </c>
      <c r="G2361" s="6" t="n">
        <f aca="false">Sens!G2358+Sens!G2360</f>
        <v>29.145107016</v>
      </c>
      <c r="H2361" s="6" t="n">
        <f aca="false">Sens!H2358+Sens!H2360</f>
        <v>0</v>
      </c>
      <c r="I2361" s="6" t="n">
        <f aca="false">Sens!I2358+Sens!I2360</f>
        <v>30.2586753466667</v>
      </c>
      <c r="J2361" s="6" t="n">
        <f aca="false">Sens!J2358+Sens!J2360</f>
        <v>45.6967750133333</v>
      </c>
      <c r="K2361" s="6" t="n">
        <f aca="false">Sens!K2358+Sens!K2360</f>
        <v>90.77602604</v>
      </c>
    </row>
    <row r="2362" customFormat="false" ht="17.15" hidden="false" customHeight="false" outlineLevel="0" collapsed="false">
      <c r="A2362" s="0" t="s">
        <v>757</v>
      </c>
      <c r="B2362" s="0" t="s">
        <v>95</v>
      </c>
      <c r="C2362" s="6" t="n">
        <f aca="false">Sens!C2361+Sens!C2359</f>
        <v>28.7416845916667</v>
      </c>
      <c r="D2362" s="6" t="n">
        <f aca="false">Sens!D2361+Sens!D2359</f>
        <v>43.4058093833333</v>
      </c>
      <c r="E2362" s="6" t="n">
        <f aca="false">Sens!E2361+Sens!E2359</f>
        <v>86.225053775</v>
      </c>
      <c r="F2362" s="6" t="n">
        <f aca="false">Sens!F2361+Sens!F2359</f>
        <v>168.620652770438</v>
      </c>
      <c r="G2362" s="6" t="n">
        <f aca="false">Sens!G2361+Sens!G2359</f>
        <v>35.302727016</v>
      </c>
      <c r="H2362" s="6" t="n">
        <f aca="false">Sens!H2361+Sens!H2359</f>
        <v>0</v>
      </c>
      <c r="I2362" s="6" t="n">
        <f aca="false">Sens!I2361+Sens!I2359</f>
        <v>30.2586753466667</v>
      </c>
      <c r="J2362" s="6" t="n">
        <f aca="false">Sens!J2361+Sens!J2359</f>
        <v>45.6967750133333</v>
      </c>
      <c r="K2362" s="6" t="n">
        <f aca="false">Sens!K2361+Sens!K2359</f>
        <v>90.77602604</v>
      </c>
      <c r="L2362" s="11" t="s">
        <v>758</v>
      </c>
    </row>
    <row r="2363" customFormat="false" ht="17.15" hidden="false" customHeight="false" outlineLevel="0" collapsed="false">
      <c r="A2363" s="0" t="s">
        <v>759</v>
      </c>
      <c r="B2363" s="0" t="s">
        <v>95</v>
      </c>
      <c r="E2363" s="6" t="n">
        <f aca="false">(Sens!C2361*IF(2&lt;life_it,1,IF(2=life_it,0.5,0))+Sens!D2361*IF(1&lt;life_it,1,IF(1=life_it,0.5,0))+Sens!E2361*0.5)/life_it</f>
        <v>15.0605784770833</v>
      </c>
      <c r="F2363" s="6" t="n">
        <f aca="false">(Sens!C2361*IF(3&lt;life_it,1,IF(3=life_it,0.5,0))+Sens!D2361*IF(2&lt;life_it,1,IF(2=life_it,0.5,0))+Sens!E2361*IF(1&lt;life_it,1,IF(1=life_it,0.5,0))+Sens!F2361*0.5)/life_it</f>
        <v>34.2768556892031</v>
      </c>
      <c r="G2363" s="6" t="n">
        <f aca="false">(Sens!C2361*IF(4&lt;life_it,1,IF(4=life_it,0.5,0))+Sens!D2361*IF(3&lt;life_it,1,IF(3=life_it,0.5,0))+Sens!E2361*IF(2&lt;life_it,1,IF(2=life_it,0.5,0))+Sens!F2361*IF(1&lt;life_it,1,IF(1=life_it,0.5,0))+Sens!G2361*0.5)/life_it</f>
        <v>50.2885456714063</v>
      </c>
      <c r="H2363" s="6" t="n">
        <f aca="false">(Sens!C2361*IF(5&lt;life_it,1,IF(5=life_it,0.5,0))+Sens!D2361*IF(4&lt;life_it,1,IF(4=life_it,0.5,0))+Sens!E2361*IF(3&lt;life_it,1,IF(3=life_it,0.5,0))+Sens!F2361*IF(2&lt;life_it,1,IF(2=life_it,0.5,0))+Sens!G2361*IF(1&lt;life_it,1,IF(1=life_it,0.5,0))+Sens!H2361*0.5)/life_it</f>
        <v>52.7173045894063</v>
      </c>
      <c r="I2363" s="6" t="n">
        <f aca="false">(Sens!C2361*IF(6&lt;life_it,1,IF(6=life_it,0.5,0))+Sens!D2361*IF(5&lt;life_it,1,IF(5=life_it,0.5,0))+Sens!E2361*IF(4&lt;life_it,1,IF(4=life_it,0.5,0))+Sens!F2361*IF(3&lt;life_it,1,IF(3=life_it,0.5,0))+Sens!G2361*IF(2&lt;life_it,1,IF(2=life_it,0.5,0))+Sens!H2361*IF(1&lt;life_it,1,IF(1=life_it,0.5,0))+Sens!I2361*0.5)/life_it</f>
        <v>53.3610788189896</v>
      </c>
      <c r="J2363" s="6" t="n">
        <f aca="false">(Sens!C2361*IF(7&lt;life_it,1,IF(7=life_it,0.5,0))+Sens!D2361*IF(6&lt;life_it,1,IF(6=life_it,0.5,0))+Sens!E2361*IF(5&lt;life_it,1,IF(5=life_it,0.5,0))+Sens!F2361*IF(4&lt;life_it,1,IF(4=life_it,0.5,0))+Sens!G2361*IF(3&lt;life_it,1,IF(3=life_it,0.5,0))+Sens!H2361*IF(2&lt;life_it,1,IF(2=life_it,0.5,0))+Sens!I2361*IF(1&lt;life_it,1,IF(1=life_it,0.5,0))+Sens!J2361*0.5)/life_it</f>
        <v>54.9770835177396</v>
      </c>
      <c r="K2363" s="6" t="n">
        <f aca="false">(Sens!C2361*IF(8&lt;life_it,1,IF(8=life_it,0.5,0))+Sens!D2361*IF(7&lt;life_it,1,IF(7=life_it,0.5,0))+Sens!E2361*IF(6&lt;life_it,1,IF(6=life_it,0.5,0))+Sens!F2361*IF(5&lt;life_it,1,IF(5=life_it,0.5,0))+Sens!G2361*IF(4&lt;life_it,1,IF(4=life_it,0.5,0))+Sens!H2361*IF(3&lt;life_it,1,IF(3=life_it,0.5,0))+Sens!I2361*IF(2&lt;life_it,1,IF(2=life_it,0.5,0))+Sens!J2361*IF(1&lt;life_it,1,IF(1=life_it,0.5,0))+Sens!K2361*0.5)/life_it</f>
        <v>57.8806366756563</v>
      </c>
    </row>
    <row r="2364" customFormat="false" ht="17.15" hidden="false" customHeight="false" outlineLevel="0" collapsed="false">
      <c r="A2364" s="0" t="s">
        <v>760</v>
      </c>
      <c r="B2364" s="0" t="s">
        <v>95</v>
      </c>
      <c r="E2364" s="6" t="n">
        <f aca="false">(Sens!C2359*IF(2&lt;life_fac,1,IF(2=life_fac,0.5,0))+Sens!D2359*IF(1&lt;life_fac,1,IF(1=life_fac,0.5,0))+Sens!E2359*0.5)/life_fac</f>
        <v>1.2448275</v>
      </c>
      <c r="F2364" s="6" t="n">
        <f aca="false">(Sens!C2359*IF(3&lt;life_fac,1,IF(3=life_fac,0.5,0))+Sens!D2359*IF(2&lt;life_fac,1,IF(2=life_fac,0.5,0))+Sens!E2359*IF(1&lt;life_fac,1,IF(1=life_fac,0.5,0))+Sens!F2359*0.5)/life_fac</f>
        <v>1.851087</v>
      </c>
      <c r="G2364" s="6" t="n">
        <f aca="false">(Sens!C2359*IF(4&lt;life_fac,1,IF(4=life_fac,0.5,0))+Sens!D2359*IF(3&lt;life_fac,1,IF(3=life_fac,0.5,0))+Sens!E2359*IF(2&lt;life_fac,1,IF(2=life_fac,0.5,0))+Sens!F2359*IF(1&lt;life_fac,1,IF(1=life_fac,0.5,0))+Sens!G2359*0.5)/life_fac</f>
        <v>2.1456645</v>
      </c>
      <c r="H2364" s="6" t="n">
        <f aca="false">(Sens!C2359*IF(5&lt;life_fac,1,IF(5=life_fac,0.5,0))+Sens!D2359*IF(4&lt;life_fac,1,IF(4=life_fac,0.5,0))+Sens!E2359*IF(3&lt;life_fac,1,IF(3=life_fac,0.5,0))+Sens!F2359*IF(2&lt;life_fac,1,IF(2=life_fac,0.5,0))+Sens!G2359*IF(1&lt;life_fac,1,IF(1=life_fac,0.5,0))+Sens!H2359*0.5)/life_fac</f>
        <v>2.299605</v>
      </c>
      <c r="I2364" s="6" t="n">
        <f aca="false">(Sens!C2359*IF(6&lt;life_fac,1,IF(6=life_fac,0.5,0))+Sens!D2359*IF(5&lt;life_fac,1,IF(5=life_fac,0.5,0))+Sens!E2359*IF(4&lt;life_fac,1,IF(4=life_fac,0.5,0))+Sens!F2359*IF(3&lt;life_fac,1,IF(3=life_fac,0.5,0))+Sens!G2359*IF(2&lt;life_fac,1,IF(2=life_fac,0.5,0))+Sens!H2359*IF(1&lt;life_fac,1,IF(1=life_fac,0.5,0))+Sens!I2359*0.5)/life_fac</f>
        <v>2.299605</v>
      </c>
      <c r="J2364" s="6" t="n">
        <f aca="false">(Sens!C2359*IF(7&lt;life_fac,1,IF(7=life_fac,0.5,0))+Sens!D2359*IF(6&lt;life_fac,1,IF(6=life_fac,0.5,0))+Sens!E2359*IF(5&lt;life_fac,1,IF(5=life_fac,0.5,0))+Sens!F2359*IF(4&lt;life_fac,1,IF(4=life_fac,0.5,0))+Sens!G2359*IF(3&lt;life_fac,1,IF(3=life_fac,0.5,0))+Sens!H2359*IF(2&lt;life_fac,1,IF(2=life_fac,0.5,0))+Sens!I2359*IF(1&lt;life_fac,1,IF(1=life_fac,0.5,0))+Sens!J2359*0.5)/life_fac</f>
        <v>2.299605</v>
      </c>
      <c r="K2364" s="6" t="n">
        <f aca="false">(Sens!C2359*IF(8&lt;life_fac,1,IF(8=life_fac,0.5,0))+Sens!D2359*IF(7&lt;life_fac,1,IF(7=life_fac,0.5,0))+Sens!E2359*IF(6&lt;life_fac,1,IF(6=life_fac,0.5,0))+Sens!F2359*IF(5&lt;life_fac,1,IF(5=life_fac,0.5,0))+Sens!G2359*IF(4&lt;life_fac,1,IF(4=life_fac,0.5,0))+Sens!H2359*IF(3&lt;life_fac,1,IF(3=life_fac,0.5,0))+Sens!I2359*IF(2&lt;life_fac,1,IF(2=life_fac,0.5,0))+Sens!J2359*IF(1&lt;life_fac,1,IF(1=life_fac,0.5,0))+Sens!K2359*0.5)/life_fac</f>
        <v>2.299605</v>
      </c>
    </row>
    <row r="2365" customFormat="false" ht="17.15" hidden="false" customHeight="false" outlineLevel="0" collapsed="false">
      <c r="A2365" s="0" t="s">
        <v>761</v>
      </c>
      <c r="B2365" s="0" t="s">
        <v>95</v>
      </c>
      <c r="E2365" s="6" t="n">
        <f aca="false">Sens!E2363+Sens!E2364</f>
        <v>16.3054059770833</v>
      </c>
      <c r="F2365" s="6" t="n">
        <f aca="false">Sens!F2363+Sens!F2364</f>
        <v>36.1279426892031</v>
      </c>
      <c r="G2365" s="6" t="n">
        <f aca="false">Sens!G2363+Sens!G2364</f>
        <v>52.4342101714063</v>
      </c>
      <c r="H2365" s="6" t="n">
        <f aca="false">Sens!H2363+Sens!H2364</f>
        <v>55.0169095894063</v>
      </c>
      <c r="I2365" s="6" t="n">
        <f aca="false">Sens!I2363+Sens!I2364</f>
        <v>55.6606838189896</v>
      </c>
      <c r="J2365" s="6" t="n">
        <f aca="false">Sens!J2363+Sens!J2364</f>
        <v>57.2766885177396</v>
      </c>
      <c r="K2365" s="6" t="n">
        <f aca="false">Sens!K2363+Sens!K2364</f>
        <v>60.1802416756563</v>
      </c>
    </row>
    <row r="2366" customFormat="false" ht="17.15" hidden="false" customHeight="false" outlineLevel="0" collapsed="false">
      <c r="A2366" s="0" t="s">
        <v>762</v>
      </c>
      <c r="B2366" s="0" t="s">
        <v>95</v>
      </c>
      <c r="E2366" s="6" t="n">
        <f aca="false">Sens!E2354-Sens!E2353*Sens!E2365</f>
        <v>8.92707889977379</v>
      </c>
      <c r="F2366" s="6" t="n">
        <f aca="false">Sens!F2354-Sens!F2353*Sens!F2365</f>
        <v>7.04181029238988</v>
      </c>
      <c r="G2366" s="6" t="n">
        <f aca="false">Sens!G2354-Sens!G2353*Sens!G2365</f>
        <v>2.75832727621092</v>
      </c>
      <c r="H2366" s="6" t="n">
        <f aca="false">Sens!H2354-Sens!H2353*Sens!H2365</f>
        <v>3.49820346791141</v>
      </c>
      <c r="I2366" s="6" t="n">
        <f aca="false">Sens!I2354-Sens!I2353*Sens!I2365</f>
        <v>3.11193893016142</v>
      </c>
      <c r="J2366" s="6" t="n">
        <f aca="false">Sens!J2354-Sens!J2353*Sens!J2365</f>
        <v>2.14233611091141</v>
      </c>
      <c r="K2366" s="6" t="n">
        <f aca="false">Sens!K2354-Sens!K2353*Sens!K2365</f>
        <v>0.400204216161406</v>
      </c>
    </row>
    <row r="2367" customFormat="false" ht="17.15" hidden="false" customHeight="false" outlineLevel="0" collapsed="false">
      <c r="A2367" s="3" t="s">
        <v>1180</v>
      </c>
    </row>
    <row r="2368" customFormat="false" ht="15" hidden="false" customHeight="false" outlineLevel="0" collapsed="false">
      <c r="A2368" s="4" t="s">
        <v>43</v>
      </c>
      <c r="B2368" s="4" t="s">
        <v>63</v>
      </c>
      <c r="C2368" s="19" t="s">
        <v>710</v>
      </c>
      <c r="D2368" s="19" t="s">
        <v>711</v>
      </c>
      <c r="E2368" s="19" t="s">
        <v>712</v>
      </c>
      <c r="F2368" s="19" t="s">
        <v>713</v>
      </c>
      <c r="G2368" s="19" t="s">
        <v>714</v>
      </c>
      <c r="H2368" s="19" t="s">
        <v>715</v>
      </c>
      <c r="I2368" s="19" t="s">
        <v>716</v>
      </c>
      <c r="J2368" s="19" t="s">
        <v>717</v>
      </c>
      <c r="K2368" s="19" t="s">
        <v>718</v>
      </c>
      <c r="L2368" s="4" t="s">
        <v>47</v>
      </c>
    </row>
    <row r="2369" customFormat="false" ht="17.15" hidden="false" customHeight="false" outlineLevel="0" collapsed="false">
      <c r="A2369" s="0" t="s">
        <v>780</v>
      </c>
      <c r="B2369" s="0" t="s">
        <v>95</v>
      </c>
      <c r="D2369" s="6" t="n">
        <f aca="false">Sens!D2348</f>
        <v>12.9359794422418</v>
      </c>
      <c r="E2369" s="6" t="n">
        <f aca="false">Sens!E2348</f>
        <v>27.8095064661409</v>
      </c>
      <c r="F2369" s="6" t="n">
        <f aca="false">Sens!F2348</f>
        <v>41.8381972946555</v>
      </c>
      <c r="G2369" s="6" t="n">
        <f aca="false">Sens!G2348</f>
        <v>49.4753031420564</v>
      </c>
      <c r="H2369" s="6" t="n">
        <f aca="false">Sens!H2348</f>
        <v>52.3771855131691</v>
      </c>
      <c r="I2369" s="6" t="n">
        <f aca="false">Sens!I2348</f>
        <v>52.3771855131691</v>
      </c>
      <c r="J2369" s="6" t="n">
        <f aca="false">Sens!J2348</f>
        <v>52.3771855131691</v>
      </c>
      <c r="K2369" s="6" t="n">
        <f aca="false">Sens!K2348</f>
        <v>52.3771855131691</v>
      </c>
    </row>
    <row r="2370" customFormat="false" ht="17.15" hidden="false" customHeight="false" outlineLevel="0" collapsed="false">
      <c r="A2370" s="0" t="s">
        <v>781</v>
      </c>
      <c r="B2370" s="0" t="s">
        <v>95</v>
      </c>
      <c r="D2370" s="6" t="n">
        <f aca="false">Q!L6-Sens!D2369</f>
        <v>59.6740205577583</v>
      </c>
      <c r="E2370" s="6" t="n">
        <f aca="false">Q!M6-Sens!E2369</f>
        <v>74.1284935338591</v>
      </c>
      <c r="F2370" s="6" t="n">
        <f aca="false">Sens!E2370*(1+Sens!F2371)</f>
        <v>90.0799497373663</v>
      </c>
      <c r="G2370" s="6" t="n">
        <f aca="false">Sens!F2370*(1+Sens!G2371)</f>
        <v>107.02842520331</v>
      </c>
      <c r="H2370" s="6" t="n">
        <f aca="false">Sens!G2370*(1+Sens!H2371)</f>
        <v>124.271982585636</v>
      </c>
      <c r="I2370" s="6" t="n">
        <f aca="false">Sens!H2370*(1+Sens!I2371)</f>
        <v>140.933702381855</v>
      </c>
      <c r="J2370" s="6" t="n">
        <f aca="false">Sens!I2370*(1+Sens!J2371)</f>
        <v>156.018867314332</v>
      </c>
      <c r="K2370" s="6" t="n">
        <f aca="false">Sens!J2370*(1+Sens!K2371)</f>
        <v>168.500376699478</v>
      </c>
    </row>
    <row r="2371" customFormat="false" ht="15" hidden="false" customHeight="false" outlineLevel="0" collapsed="false">
      <c r="A2371" s="1" t="s">
        <v>782</v>
      </c>
      <c r="B2371" s="0" t="s">
        <v>126</v>
      </c>
      <c r="E2371" s="7" t="n">
        <f aca="false">Sens!E2370/Sens!D2370-1</f>
        <v>0.242223883039864</v>
      </c>
      <c r="F2371" s="7" t="n">
        <f aca="false">Sens!$E$2371+(glt_azo-Sens!$E$2371)*MIN(1,1/n_conv)</f>
        <v>0.215186569199887</v>
      </c>
      <c r="G2371" s="7" t="n">
        <f aca="false">Sens!$E$2371+(glt_azo-Sens!$E$2371)*MIN(1,2/n_conv)</f>
        <v>0.18814925535991</v>
      </c>
      <c r="H2371" s="7" t="n">
        <f aca="false">Sens!$E$2371+(glt_azo-Sens!$E$2371)*MIN(1,3/n_conv)</f>
        <v>0.161111941519932</v>
      </c>
      <c r="I2371" s="7" t="n">
        <f aca="false">Sens!$E$2371+(glt_azo-Sens!$E$2371)*MIN(1,4/n_conv)</f>
        <v>0.134074627679955</v>
      </c>
      <c r="J2371" s="7" t="n">
        <f aca="false">Sens!$E$2371+(glt_azo-Sens!$E$2371)*MIN(1,5/n_conv)</f>
        <v>0.107037313839977</v>
      </c>
      <c r="K2371" s="7" t="n">
        <f aca="false">Sens!$E$2371+(glt_azo-Sens!$E$2371)*MIN(1,6/n_conv)</f>
        <v>0.08</v>
      </c>
    </row>
    <row r="2372" customFormat="false" ht="15" hidden="false" customHeight="false" outlineLevel="0" collapsed="false">
      <c r="A2372" s="0" t="s">
        <v>783</v>
      </c>
      <c r="B2372" s="0" t="s">
        <v>95</v>
      </c>
      <c r="D2372" s="6" t="n">
        <f aca="false">Sens!D2369+Sens!D2370</f>
        <v>72.61</v>
      </c>
      <c r="E2372" s="6" t="n">
        <f aca="false">Sens!E2369+Sens!E2370</f>
        <v>101.938</v>
      </c>
      <c r="F2372" s="6" t="n">
        <f aca="false">Sens!F2369+Sens!F2370</f>
        <v>131.918147032022</v>
      </c>
      <c r="G2372" s="6" t="n">
        <f aca="false">Sens!G2369+Sens!G2370</f>
        <v>156.503728345366</v>
      </c>
      <c r="H2372" s="6" t="n">
        <f aca="false">Sens!H2369+Sens!H2370</f>
        <v>176.649168098805</v>
      </c>
      <c r="I2372" s="6" t="n">
        <f aca="false">Sens!I2369+Sens!I2370</f>
        <v>193.310887895024</v>
      </c>
      <c r="J2372" s="6" t="n">
        <f aca="false">Sens!J2369+Sens!J2370</f>
        <v>208.396052827501</v>
      </c>
      <c r="K2372" s="6" t="n">
        <f aca="false">Sens!K2369+Sens!K2370</f>
        <v>220.877562212647</v>
      </c>
    </row>
    <row r="2373" customFormat="false" ht="17.15" hidden="false" customHeight="false" outlineLevel="0" collapsed="false">
      <c r="A2373" s="0" t="s">
        <v>784</v>
      </c>
      <c r="B2373" s="1" t="s">
        <v>451</v>
      </c>
      <c r="C2373" s="27" t="n">
        <f aca="false">cop_s24</f>
        <v>1</v>
      </c>
      <c r="D2373" s="27" t="n">
        <f aca="false">cop_s25</f>
        <v>5</v>
      </c>
      <c r="E2373" s="27" t="n">
        <f aca="false">cop_s26</f>
        <v>30</v>
      </c>
      <c r="F2373" s="27" t="n">
        <f aca="false">Sens!E2373+IF(2027&lt;=2029,cop_add_B,cop_add_B*cop_tail)</f>
        <v>50</v>
      </c>
      <c r="G2373" s="27" t="n">
        <f aca="false">Sens!F2373+IF(2028&lt;=2029,cop_add_B,cop_add_B*cop_tail)</f>
        <v>70</v>
      </c>
      <c r="H2373" s="27" t="n">
        <f aca="false">Sens!G2373+IF(2029&lt;=2029,cop_add_B,cop_add_B*cop_tail)</f>
        <v>90</v>
      </c>
      <c r="I2373" s="27" t="n">
        <f aca="false">Sens!H2373+IF(2030&lt;=2029,cop_add_B,cop_add_B*cop_tail)</f>
        <v>100</v>
      </c>
      <c r="J2373" s="27" t="n">
        <f aca="false">Sens!I2373+IF(2031&lt;=2029,cop_add_B,cop_add_B*cop_tail)</f>
        <v>110</v>
      </c>
      <c r="K2373" s="27" t="n">
        <f aca="false">Sens!J2373+IF(2032&lt;=2029,cop_add_B,cop_add_B*cop_tail)</f>
        <v>120</v>
      </c>
    </row>
    <row r="2374" customFormat="false" ht="17.15" hidden="false" customHeight="false" outlineLevel="0" collapsed="false">
      <c r="A2374" s="0" t="s">
        <v>785</v>
      </c>
      <c r="B2374" s="0" t="s">
        <v>95</v>
      </c>
      <c r="D2374" s="6" t="n">
        <f aca="false">(Sens!C2373+Sens!D2373)/2*cop_px*12/1000</f>
        <v>0.9</v>
      </c>
      <c r="E2374" s="6" t="n">
        <f aca="false">(Sens!D2373+Sens!E2373)/2*cop_px*12/1000</f>
        <v>5.25</v>
      </c>
      <c r="F2374" s="6" t="n">
        <f aca="false">(Sens!E2373+Sens!F2373)/2*cop_px*12/1000</f>
        <v>12</v>
      </c>
      <c r="G2374" s="6" t="n">
        <f aca="false">(Sens!F2373+Sens!G2373)/2*cop_px*12/1000</f>
        <v>18</v>
      </c>
      <c r="H2374" s="6" t="n">
        <f aca="false">(Sens!G2373+Sens!H2373)/2*cop_px*12/1000</f>
        <v>24</v>
      </c>
      <c r="I2374" s="6" t="n">
        <f aca="false">(Sens!H2373+Sens!I2373)/2*cop_px*12/1000</f>
        <v>28.5</v>
      </c>
      <c r="J2374" s="6" t="n">
        <f aca="false">(Sens!I2373+Sens!J2373)/2*cop_px*12/1000</f>
        <v>31.5</v>
      </c>
      <c r="K2374" s="6" t="n">
        <f aca="false">(Sens!J2373+Sens!K2373)/2*cop_px*12/1000</f>
        <v>34.5</v>
      </c>
      <c r="L2374" s="1" t="s">
        <v>786</v>
      </c>
    </row>
    <row r="2375" customFormat="false" ht="17.15" hidden="false" customHeight="false" outlineLevel="0" collapsed="false">
      <c r="A2375" s="0" t="s">
        <v>787</v>
      </c>
      <c r="B2375" s="0" t="s">
        <v>95</v>
      </c>
      <c r="D2375" s="6" t="n">
        <f aca="false">Q!L7-Sens!D2374</f>
        <v>83.705</v>
      </c>
      <c r="E2375" s="6" t="n">
        <f aca="false">Q!M7-Sens!E2374</f>
        <v>95.049</v>
      </c>
      <c r="F2375" s="6" t="n">
        <f aca="false">Sens!E2375*(1+Sens!F2376)</f>
        <v>106.89238776686</v>
      </c>
      <c r="G2375" s="6" t="n">
        <f aca="false">Sens!F2375*(1+Sens!G2376)</f>
        <v>119.044168448684</v>
      </c>
      <c r="H2375" s="6" t="n">
        <f aca="false">Sens!G2375*(1+Sens!H2376)</f>
        <v>131.277359388781</v>
      </c>
      <c r="I2375" s="6" t="n">
        <f aca="false">Sens!H2375*(1+Sens!I2376)</f>
        <v>143.334028071957</v>
      </c>
      <c r="J2375" s="6" t="n">
        <f aca="false">Sens!I2375*(1+Sens!J2376)</f>
        <v>154.932702785465</v>
      </c>
      <c r="K2375" s="6" t="n">
        <f aca="false">Sens!J2375*(1+Sens!K2376)</f>
        <v>165.777991980448</v>
      </c>
    </row>
    <row r="2376" customFormat="false" ht="15" hidden="false" customHeight="false" outlineLevel="0" collapsed="false">
      <c r="A2376" s="1" t="s">
        <v>782</v>
      </c>
      <c r="B2376" s="0" t="s">
        <v>126</v>
      </c>
      <c r="E2376" s="7" t="n">
        <f aca="false">Sens!E2375/Sens!D2375-1</f>
        <v>0.135523564900544</v>
      </c>
      <c r="F2376" s="7" t="n">
        <f aca="false">Sens!$E$2376+(glt_m365b-Sens!$E$2376)*MIN(1,1/n_conv)</f>
        <v>0.124602970750453</v>
      </c>
      <c r="G2376" s="7" t="n">
        <f aca="false">Sens!$E$2376+(glt_m365b-Sens!$E$2376)*MIN(1,2/n_conv)</f>
        <v>0.113682376600363</v>
      </c>
      <c r="H2376" s="7" t="n">
        <f aca="false">Sens!$E$2376+(glt_m365b-Sens!$E$2376)*MIN(1,3/n_conv)</f>
        <v>0.102761782450272</v>
      </c>
      <c r="I2376" s="7" t="n">
        <f aca="false">Sens!$E$2376+(glt_m365b-Sens!$E$2376)*MIN(1,4/n_conv)</f>
        <v>0.0918411883001813</v>
      </c>
      <c r="J2376" s="7" t="n">
        <f aca="false">Sens!$E$2376+(glt_m365b-Sens!$E$2376)*MIN(1,5/n_conv)</f>
        <v>0.0809205941500906</v>
      </c>
      <c r="K2376" s="7" t="n">
        <f aca="false">Sens!$E$2376+(glt_m365b-Sens!$E$2376)*MIN(1,6/n_conv)</f>
        <v>0.07</v>
      </c>
    </row>
    <row r="2377" customFormat="false" ht="15" hidden="false" customHeight="false" outlineLevel="0" collapsed="false">
      <c r="A2377" s="0" t="s">
        <v>788</v>
      </c>
      <c r="B2377" s="0" t="s">
        <v>95</v>
      </c>
      <c r="D2377" s="6" t="n">
        <f aca="false">Sens!D2375+Sens!D2374</f>
        <v>84.605</v>
      </c>
      <c r="E2377" s="6" t="n">
        <f aca="false">Sens!E2375+Sens!E2374</f>
        <v>100.299</v>
      </c>
      <c r="F2377" s="6" t="n">
        <f aca="false">Sens!F2375+Sens!F2374</f>
        <v>118.89238776686</v>
      </c>
      <c r="G2377" s="6" t="n">
        <f aca="false">Sens!G2375+Sens!G2374</f>
        <v>137.044168448684</v>
      </c>
      <c r="H2377" s="6" t="n">
        <f aca="false">Sens!H2375+Sens!H2374</f>
        <v>155.277359388781</v>
      </c>
      <c r="I2377" s="6" t="n">
        <f aca="false">Sens!I2375+Sens!I2374</f>
        <v>171.834028071957</v>
      </c>
      <c r="J2377" s="6" t="n">
        <f aca="false">Sens!J2375+Sens!J2374</f>
        <v>186.432702785465</v>
      </c>
      <c r="K2377" s="6" t="n">
        <f aca="false">Sens!K2375+Sens!K2374</f>
        <v>200.277991980448</v>
      </c>
    </row>
    <row r="2378" customFormat="false" ht="15" hidden="false" customHeight="false" outlineLevel="0" collapsed="false">
      <c r="A2378" s="0" t="s">
        <v>789</v>
      </c>
      <c r="B2378" s="0" t="s">
        <v>95</v>
      </c>
      <c r="D2378" s="6" t="n">
        <f aca="false">Q!L8</f>
        <v>35.391</v>
      </c>
      <c r="E2378" s="6" t="n">
        <f aca="false">Q!M8</f>
        <v>37.285</v>
      </c>
      <c r="F2378" s="6" t="n">
        <f aca="false">Sens!E2378*(1+Sens!F2379)</f>
        <v>39.0720834331704</v>
      </c>
      <c r="G2378" s="6" t="n">
        <f aca="false">Sens!F2378*(1+Sens!G2379)</f>
        <v>40.726562953769</v>
      </c>
      <c r="H2378" s="6" t="n">
        <f aca="false">Sens!G2378*(1+Sens!H2379)</f>
        <v>42.2235987259198</v>
      </c>
      <c r="I2378" s="6" t="n">
        <f aca="false">Sens!H2378*(1+Sens!I2379)</f>
        <v>43.5397988077414</v>
      </c>
      <c r="J2378" s="6" t="n">
        <f aca="false">Sens!I2378*(1+Sens!J2379)</f>
        <v>44.653811225693</v>
      </c>
      <c r="K2378" s="6" t="n">
        <f aca="false">Sens!J2378*(1+Sens!K2379)</f>
        <v>45.5468874502068</v>
      </c>
    </row>
    <row r="2379" customFormat="false" ht="15" hidden="false" customHeight="false" outlineLevel="0" collapsed="false">
      <c r="A2379" s="1" t="s">
        <v>782</v>
      </c>
      <c r="B2379" s="0" t="s">
        <v>126</v>
      </c>
      <c r="E2379" s="7" t="n">
        <f aca="false">Sens!E2378/Sens!D2378-1</f>
        <v>0.0535164307309768</v>
      </c>
      <c r="F2379" s="7" t="n">
        <f aca="false">Sens!$E$2379+(glt_lic-Sens!$E$2379)*MIN(1,1/n_conv)</f>
        <v>0.0479303589424807</v>
      </c>
      <c r="G2379" s="7" t="n">
        <f aca="false">Sens!$E$2379+(glt_lic-Sens!$E$2379)*MIN(1,2/n_conv)</f>
        <v>0.0423442871539845</v>
      </c>
      <c r="H2379" s="7" t="n">
        <f aca="false">Sens!$E$2379+(glt_lic-Sens!$E$2379)*MIN(1,3/n_conv)</f>
        <v>0.0367582153654884</v>
      </c>
      <c r="I2379" s="7" t="n">
        <f aca="false">Sens!$E$2379+(glt_lic-Sens!$E$2379)*MIN(1,4/n_conv)</f>
        <v>0.0311721435769923</v>
      </c>
      <c r="J2379" s="7" t="n">
        <f aca="false">Sens!$E$2379+(glt_lic-Sens!$E$2379)*MIN(1,5/n_conv)</f>
        <v>0.0255860717884961</v>
      </c>
      <c r="K2379" s="7" t="n">
        <f aca="false">Sens!$E$2379+(glt_lic-Sens!$E$2379)*MIN(1,6/n_conv)</f>
        <v>0.02</v>
      </c>
    </row>
    <row r="2380" customFormat="false" ht="15" hidden="false" customHeight="false" outlineLevel="0" collapsed="false">
      <c r="A2380" s="0" t="s">
        <v>790</v>
      </c>
      <c r="B2380" s="0" t="s">
        <v>95</v>
      </c>
      <c r="D2380" s="6" t="n">
        <f aca="false">Q!L9</f>
        <v>18.417</v>
      </c>
      <c r="E2380" s="6" t="n">
        <f aca="false">Q!M9</f>
        <v>20.345</v>
      </c>
      <c r="F2380" s="6" t="n">
        <f aca="false">Sens!E2380*(1+Sens!F2381)</f>
        <v>22.3572203267814</v>
      </c>
      <c r="G2380" s="6" t="n">
        <f aca="false">Sens!F2380*(1+Sens!G2381)</f>
        <v>24.4392124437232</v>
      </c>
      <c r="H2380" s="6" t="n">
        <f aca="false">Sens!G2380*(1+Sens!H2381)</f>
        <v>26.5738052080665</v>
      </c>
      <c r="I2380" s="6" t="n">
        <f aca="false">Sens!H2380*(1+Sens!I2381)</f>
        <v>28.7412169166967</v>
      </c>
      <c r="J2380" s="6" t="n">
        <f aca="false">Sens!I2380*(1+Sens!J2381)</f>
        <v>30.9192545395413</v>
      </c>
      <c r="K2380" s="6" t="n">
        <f aca="false">Sens!J2380*(1+Sens!K2381)</f>
        <v>33.0836023573092</v>
      </c>
    </row>
    <row r="2381" customFormat="false" ht="15" hidden="false" customHeight="false" outlineLevel="0" collapsed="false">
      <c r="A2381" s="1" t="s">
        <v>782</v>
      </c>
      <c r="B2381" s="0" t="s">
        <v>126</v>
      </c>
      <c r="E2381" s="7" t="n">
        <f aca="false">Sens!E2380/Sens!D2380-1</f>
        <v>0.104685888038225</v>
      </c>
      <c r="F2381" s="7" t="n">
        <f aca="false">Sens!$E$2381+(glt_ind-Sens!$E$2381)*MIN(1,1/n_conv)</f>
        <v>0.0989049066985211</v>
      </c>
      <c r="G2381" s="7" t="n">
        <f aca="false">Sens!$E$2381+(glt_ind-Sens!$E$2381)*MIN(1,2/n_conv)</f>
        <v>0.0931239253588169</v>
      </c>
      <c r="H2381" s="7" t="n">
        <f aca="false">Sens!$E$2381+(glt_ind-Sens!$E$2381)*MIN(1,3/n_conv)</f>
        <v>0.0873429440191127</v>
      </c>
      <c r="I2381" s="7" t="n">
        <f aca="false">Sens!$E$2381+(glt_ind-Sens!$E$2381)*MIN(1,4/n_conv)</f>
        <v>0.0815619626794085</v>
      </c>
      <c r="J2381" s="7" t="n">
        <f aca="false">Sens!$E$2381+(glt_ind-Sens!$E$2381)*MIN(1,5/n_conv)</f>
        <v>0.0757809813397042</v>
      </c>
      <c r="K2381" s="7" t="n">
        <f aca="false">Sens!$E$2381+(glt_ind-Sens!$E$2381)*MIN(1,6/n_conv)</f>
        <v>0.07</v>
      </c>
    </row>
    <row r="2382" customFormat="false" ht="15" hidden="false" customHeight="false" outlineLevel="0" collapsed="false">
      <c r="A2382" s="0" t="s">
        <v>791</v>
      </c>
      <c r="B2382" s="0" t="s">
        <v>95</v>
      </c>
      <c r="D2382" s="6" t="n">
        <f aca="false">Q!L10</f>
        <v>7.76</v>
      </c>
      <c r="E2382" s="6" t="n">
        <f aca="false">Q!M10</f>
        <v>8.26</v>
      </c>
      <c r="F2382" s="6" t="n">
        <f aca="false">Sens!E2382*(1+Sens!F2383)</f>
        <v>8.79988041237113</v>
      </c>
      <c r="G2382" s="6" t="n">
        <f aca="false">Sens!F2382*(1+Sens!G2383)</f>
        <v>9.38321269125306</v>
      </c>
      <c r="H2382" s="6" t="n">
        <f aca="false">Sens!G2382*(1+Sens!H2383)</f>
        <v>10.0139193587476</v>
      </c>
      <c r="I2382" s="6" t="n">
        <f aca="false">Sens!H2382*(1+Sens!I2383)</f>
        <v>10.6963111830911</v>
      </c>
      <c r="J2382" s="6" t="n">
        <f aca="false">Sens!I2382*(1+Sens!J2383)</f>
        <v>11.4351285534696</v>
      </c>
      <c r="K2382" s="6" t="n">
        <f aca="false">Sens!J2382*(1+Sens!K2383)</f>
        <v>12.2355875522124</v>
      </c>
    </row>
    <row r="2383" customFormat="false" ht="15" hidden="false" customHeight="false" outlineLevel="0" collapsed="false">
      <c r="A2383" s="1" t="s">
        <v>782</v>
      </c>
      <c r="B2383" s="0" t="s">
        <v>126</v>
      </c>
      <c r="E2383" s="7" t="n">
        <f aca="false">Sens!E2382/Sens!D2382-1</f>
        <v>0.0644329896907216</v>
      </c>
      <c r="F2383" s="7" t="n">
        <f aca="false">Sens!$E$2383+(glt_fro-Sens!$E$2383)*MIN(1,1/n_conv)</f>
        <v>0.065360824742268</v>
      </c>
      <c r="G2383" s="7" t="n">
        <f aca="false">Sens!$E$2383+(glt_fro-Sens!$E$2383)*MIN(1,2/n_conv)</f>
        <v>0.0662886597938144</v>
      </c>
      <c r="H2383" s="7" t="n">
        <f aca="false">Sens!$E$2383+(glt_fro-Sens!$E$2383)*MIN(1,3/n_conv)</f>
        <v>0.0672164948453608</v>
      </c>
      <c r="I2383" s="7" t="n">
        <f aca="false">Sens!$E$2383+(glt_fro-Sens!$E$2383)*MIN(1,4/n_conv)</f>
        <v>0.0681443298969072</v>
      </c>
      <c r="J2383" s="7" t="n">
        <f aca="false">Sens!$E$2383+(glt_fro-Sens!$E$2383)*MIN(1,5/n_conv)</f>
        <v>0.0690721649484536</v>
      </c>
      <c r="K2383" s="7" t="n">
        <f aca="false">Sens!$E$2383+(glt_fro-Sens!$E$2383)*MIN(1,6/n_conv)</f>
        <v>0.07</v>
      </c>
    </row>
    <row r="2384" customFormat="false" ht="15" hidden="false" customHeight="false" outlineLevel="0" collapsed="false">
      <c r="A2384" s="0" t="s">
        <v>626</v>
      </c>
      <c r="B2384" s="0" t="s">
        <v>95</v>
      </c>
      <c r="D2384" s="6" t="n">
        <f aca="false">Sens!D2372+Sens!D2377+Sens!D2378+Sens!D2380+Sens!D2382</f>
        <v>218.783</v>
      </c>
      <c r="E2384" s="6" t="n">
        <f aca="false">Sens!E2372+Sens!E2377+Sens!E2378+Sens!E2380+Sens!E2382</f>
        <v>268.127</v>
      </c>
      <c r="F2384" s="6" t="n">
        <f aca="false">Sens!F2372+Sens!F2377+Sens!F2378+Sens!F2380+Sens!F2382</f>
        <v>321.039718971205</v>
      </c>
      <c r="G2384" s="6" t="n">
        <f aca="false">Sens!G2372+Sens!G2377+Sens!G2378+Sens!G2380+Sens!G2382</f>
        <v>368.096884882795</v>
      </c>
      <c r="H2384" s="6" t="n">
        <f aca="false">Sens!H2372+Sens!H2377+Sens!H2378+Sens!H2380+Sens!H2382</f>
        <v>410.73785078032</v>
      </c>
      <c r="I2384" s="6" t="n">
        <f aca="false">Sens!I2372+Sens!I2377+Sens!I2378+Sens!I2380+Sens!I2382</f>
        <v>448.12224287451</v>
      </c>
      <c r="J2384" s="6" t="n">
        <f aca="false">Sens!J2372+Sens!J2377+Sens!J2378+Sens!J2380+Sens!J2382</f>
        <v>481.83694993167</v>
      </c>
      <c r="K2384" s="6" t="n">
        <f aca="false">Sens!K2372+Sens!K2377+Sens!K2378+Sens!K2380+Sens!K2382</f>
        <v>512.021631552823</v>
      </c>
    </row>
    <row r="2385" customFormat="false" ht="15" hidden="false" customHeight="false" outlineLevel="0" collapsed="false">
      <c r="A2385" s="0" t="s">
        <v>792</v>
      </c>
      <c r="B2385" s="0" t="s">
        <v>95</v>
      </c>
      <c r="D2385" s="6" t="n">
        <f aca="false">Q!L13</f>
        <v>22.171</v>
      </c>
      <c r="E2385" s="6" t="n">
        <f aca="false">Q!M13</f>
        <v>24.835</v>
      </c>
      <c r="F2385" s="6" t="n">
        <f aca="false">Sens!E2385*(1+Sens!F2386)</f>
        <v>27.6114901218559</v>
      </c>
      <c r="G2385" s="6" t="n">
        <f aca="false">Sens!F2385*(1+Sens!G2386)</f>
        <v>30.4675667338515</v>
      </c>
      <c r="H2385" s="6" t="n">
        <f aca="false">Sens!G2385*(1+Sens!H2386)</f>
        <v>33.3643766955789</v>
      </c>
      <c r="I2385" s="6" t="n">
        <f aca="false">Sens!H2385*(1+Sens!I2386)</f>
        <v>36.2577016533691</v>
      </c>
      <c r="J2385" s="6" t="n">
        <f aca="false">Sens!I2385*(1+Sens!J2386)</f>
        <v>39.0988367952171</v>
      </c>
      <c r="K2385" s="6" t="n">
        <f aca="false">Sens!J2385*(1+Sens!K2386)</f>
        <v>41.8357553708823</v>
      </c>
    </row>
    <row r="2386" customFormat="false" ht="15" hidden="false" customHeight="false" outlineLevel="0" collapsed="false">
      <c r="A2386" s="1" t="s">
        <v>782</v>
      </c>
      <c r="B2386" s="0" t="s">
        <v>126</v>
      </c>
      <c r="E2386" s="7" t="n">
        <f aca="false">Sens!E2385/Sens!D2385-1</f>
        <v>0.120156961796942</v>
      </c>
      <c r="F2386" s="7" t="n">
        <f aca="false">Sens!$E$2386+(glt_srch-Sens!$E$2386)*MIN(1,1/n_conv)</f>
        <v>0.111797468164118</v>
      </c>
      <c r="G2386" s="7" t="n">
        <f aca="false">Sens!$E$2386+(glt_srch-Sens!$E$2386)*MIN(1,2/n_conv)</f>
        <v>0.103437974531295</v>
      </c>
      <c r="H2386" s="7" t="n">
        <f aca="false">Sens!$E$2386+(glt_srch-Sens!$E$2386)*MIN(1,3/n_conv)</f>
        <v>0.095078480898471</v>
      </c>
      <c r="I2386" s="7" t="n">
        <f aca="false">Sens!$E$2386+(glt_srch-Sens!$E$2386)*MIN(1,4/n_conv)</f>
        <v>0.0867189872656474</v>
      </c>
      <c r="J2386" s="7" t="n">
        <f aca="false">Sens!$E$2386+(glt_srch-Sens!$E$2386)*MIN(1,5/n_conv)</f>
        <v>0.0783594936328237</v>
      </c>
      <c r="K2386" s="7" t="n">
        <f aca="false">Sens!$E$2386+(glt_srch-Sens!$E$2386)*MIN(1,6/n_conv)</f>
        <v>0.07</v>
      </c>
    </row>
    <row r="2387" customFormat="false" ht="15" hidden="false" customHeight="false" outlineLevel="0" collapsed="false">
      <c r="A2387" s="0" t="s">
        <v>793</v>
      </c>
      <c r="B2387" s="0" t="s">
        <v>95</v>
      </c>
      <c r="D2387" s="6" t="n">
        <f aca="false">Q!L14</f>
        <v>23.455</v>
      </c>
      <c r="E2387" s="6" t="n">
        <f aca="false">Q!M14</f>
        <v>21.79</v>
      </c>
      <c r="F2387" s="6" t="n">
        <f aca="false">Sens!E2387*(1+Sens!F2388)</f>
        <v>20.5736277908051</v>
      </c>
      <c r="G2387" s="6" t="n">
        <f aca="false">Sens!F2387*(1+Sens!G2388)</f>
        <v>19.7371452817919</v>
      </c>
      <c r="H2387" s="6" t="n">
        <f aca="false">Sens!G2387*(1+Sens!H2388)</f>
        <v>19.2339764043138</v>
      </c>
      <c r="I2387" s="6" t="n">
        <f aca="false">Sens!H2387*(1+Sens!I2388)</f>
        <v>19.0353086852681</v>
      </c>
      <c r="J2387" s="6" t="n">
        <f aca="false">Sens!I2387*(1+Sens!J2388)</f>
        <v>19.1273539319129</v>
      </c>
      <c r="K2387" s="6" t="n">
        <f aca="false">Sens!J2387*(1+Sens!K2388)</f>
        <v>19.5099010105511</v>
      </c>
    </row>
    <row r="2388" customFormat="false" ht="15" hidden="false" customHeight="false" outlineLevel="0" collapsed="false">
      <c r="A2388" s="1" t="s">
        <v>782</v>
      </c>
      <c r="B2388" s="0" t="s">
        <v>126</v>
      </c>
      <c r="E2388" s="7" t="n">
        <f aca="false">Sens!E2387/Sens!D2387-1</f>
        <v>-0.0709869963760392</v>
      </c>
      <c r="F2388" s="7" t="n">
        <f aca="false">Sens!$E$2388+(glt_xbox-Sens!$E$2388)*MIN(1,1/n_conv)</f>
        <v>-0.0558224969800327</v>
      </c>
      <c r="G2388" s="7" t="n">
        <f aca="false">Sens!$E$2388+(glt_xbox-Sens!$E$2388)*MIN(1,2/n_conv)</f>
        <v>-0.0406579975840262</v>
      </c>
      <c r="H2388" s="7" t="n">
        <f aca="false">Sens!$E$2388+(glt_xbox-Sens!$E$2388)*MIN(1,3/n_conv)</f>
        <v>-0.0254934981880196</v>
      </c>
      <c r="I2388" s="7" t="n">
        <f aca="false">Sens!$E$2388+(glt_xbox-Sens!$E$2388)*MIN(1,4/n_conv)</f>
        <v>-0.0103289987920131</v>
      </c>
      <c r="J2388" s="7" t="n">
        <f aca="false">Sens!$E$2388+(glt_xbox-Sens!$E$2388)*MIN(1,5/n_conv)</f>
        <v>0.00483550060399347</v>
      </c>
      <c r="K2388" s="7" t="n">
        <f aca="false">Sens!$E$2388+(glt_xbox-Sens!$E$2388)*MIN(1,6/n_conv)</f>
        <v>0.02</v>
      </c>
    </row>
    <row r="2389" customFormat="false" ht="15" hidden="false" customHeight="false" outlineLevel="0" collapsed="false">
      <c r="A2389" s="0" t="s">
        <v>794</v>
      </c>
      <c r="B2389" s="0" t="s">
        <v>95</v>
      </c>
      <c r="D2389" s="6" t="n">
        <f aca="false">Q!L15</f>
        <v>17.315</v>
      </c>
      <c r="E2389" s="6" t="n">
        <f aca="false">Q!M15</f>
        <v>17.087</v>
      </c>
      <c r="F2389" s="6" t="n">
        <f aca="false">Sens!E2389*(1+Sens!F2390)</f>
        <v>16.9564585436519</v>
      </c>
      <c r="G2389" s="6" t="n">
        <f aca="false">Sens!F2389*(1+Sens!G2390)</f>
        <v>16.9206490624268</v>
      </c>
      <c r="H2389" s="6" t="n">
        <f aca="false">Sens!G2389*(1+Sens!H2390)</f>
        <v>16.9784519149849</v>
      </c>
      <c r="I2389" s="6" t="n">
        <f aca="false">Sens!H2389*(1+Sens!I2390)</f>
        <v>17.1303084701817</v>
      </c>
      <c r="J2389" s="6" t="n">
        <f aca="false">Sens!I2389*(1+Sens!J2390)</f>
        <v>17.3782189407267</v>
      </c>
      <c r="K2389" s="6" t="n">
        <f aca="false">Sens!J2389*(1+Sens!K2390)</f>
        <v>17.7257833195413</v>
      </c>
    </row>
    <row r="2390" customFormat="false" ht="15" hidden="false" customHeight="false" outlineLevel="0" collapsed="false">
      <c r="A2390" s="1" t="s">
        <v>782</v>
      </c>
      <c r="B2390" s="0" t="s">
        <v>126</v>
      </c>
      <c r="E2390" s="7" t="n">
        <f aca="false">Sens!E2389/Sens!D2389-1</f>
        <v>-0.0131677736066995</v>
      </c>
      <c r="F2390" s="7" t="n">
        <f aca="false">Sens!$E$2390+(glt_win-Sens!$E$2390)*MIN(1,1/n_conv)</f>
        <v>-0.00763981133891627</v>
      </c>
      <c r="G2390" s="7" t="n">
        <f aca="false">Sens!$E$2390+(glt_win-Sens!$E$2390)*MIN(1,2/n_conv)</f>
        <v>-0.00211184907113301</v>
      </c>
      <c r="H2390" s="7" t="n">
        <f aca="false">Sens!$E$2390+(glt_win-Sens!$E$2390)*MIN(1,3/n_conv)</f>
        <v>0.00341611319665024</v>
      </c>
      <c r="I2390" s="7" t="n">
        <f aca="false">Sens!$E$2390+(glt_win-Sens!$E$2390)*MIN(1,4/n_conv)</f>
        <v>0.00894407546443349</v>
      </c>
      <c r="J2390" s="7" t="n">
        <f aca="false">Sens!$E$2390+(glt_win-Sens!$E$2390)*MIN(1,5/n_conv)</f>
        <v>0.0144720377322168</v>
      </c>
      <c r="K2390" s="7" t="n">
        <f aca="false">Sens!$E$2390+(glt_win-Sens!$E$2390)*MIN(1,6/n_conv)</f>
        <v>0.02</v>
      </c>
    </row>
    <row r="2391" customFormat="false" ht="15" hidden="false" customHeight="false" outlineLevel="0" collapsed="false">
      <c r="A2391" s="0" t="s">
        <v>640</v>
      </c>
      <c r="B2391" s="0" t="s">
        <v>95</v>
      </c>
      <c r="D2391" s="6" t="n">
        <f aca="false">Sens!D2385+Sens!D2387+Sens!D2389</f>
        <v>62.941</v>
      </c>
      <c r="E2391" s="6" t="n">
        <f aca="false">Sens!E2385+Sens!E2387+Sens!E2389</f>
        <v>63.712</v>
      </c>
      <c r="F2391" s="6" t="n">
        <f aca="false">Sens!F2385+Sens!F2387+Sens!F2389</f>
        <v>65.1415764563129</v>
      </c>
      <c r="G2391" s="6" t="n">
        <f aca="false">Sens!G2385+Sens!G2387+Sens!G2389</f>
        <v>67.1253610780702</v>
      </c>
      <c r="H2391" s="6" t="n">
        <f aca="false">Sens!H2385+Sens!H2387+Sens!H2389</f>
        <v>69.5768050148776</v>
      </c>
      <c r="I2391" s="6" t="n">
        <f aca="false">Sens!I2385+Sens!I2387+Sens!I2389</f>
        <v>72.4233188088189</v>
      </c>
      <c r="J2391" s="6" t="n">
        <f aca="false">Sens!J2385+Sens!J2387+Sens!J2389</f>
        <v>75.6044096678567</v>
      </c>
      <c r="K2391" s="6" t="n">
        <f aca="false">Sens!K2385+Sens!K2387+Sens!K2389</f>
        <v>79.0714397009747</v>
      </c>
    </row>
    <row r="2392" customFormat="false" ht="15" hidden="false" customHeight="false" outlineLevel="0" collapsed="false">
      <c r="A2392" s="1" t="s">
        <v>795</v>
      </c>
      <c r="B2392" s="0" t="s">
        <v>95</v>
      </c>
      <c r="D2392" s="6" t="n">
        <f aca="false">Sens!D2384+Sens!D2391</f>
        <v>281.724</v>
      </c>
      <c r="E2392" s="6" t="n">
        <f aca="false">Sens!E2384+Sens!E2391</f>
        <v>331.839</v>
      </c>
      <c r="F2392" s="6" t="n">
        <f aca="false">Sens!F2384+Sens!F2391</f>
        <v>386.181295427517</v>
      </c>
      <c r="G2392" s="6" t="n">
        <f aca="false">Sens!G2384+Sens!G2391</f>
        <v>435.222245960866</v>
      </c>
      <c r="H2392" s="6" t="n">
        <f aca="false">Sens!H2384+Sens!H2391</f>
        <v>480.314655795198</v>
      </c>
      <c r="I2392" s="6" t="n">
        <f aca="false">Sens!I2384+Sens!I2391</f>
        <v>520.545561683329</v>
      </c>
      <c r="J2392" s="6" t="n">
        <f aca="false">Sens!J2384+Sens!J2391</f>
        <v>557.441359599526</v>
      </c>
      <c r="K2392" s="6" t="n">
        <f aca="false">Sens!K2384+Sens!K2391</f>
        <v>591.093071253798</v>
      </c>
    </row>
    <row r="2393" customFormat="false" ht="15" hidden="false" customHeight="false" outlineLevel="0" collapsed="false">
      <c r="A2393" s="22" t="s">
        <v>796</v>
      </c>
      <c r="B2393" s="28" t="s">
        <v>95</v>
      </c>
      <c r="C2393" s="28"/>
      <c r="D2393" s="23" t="n">
        <f aca="false">(Sens!D2372+Sens!D2377+Sens!D2378+Sens!D2380+Sens!D2382-Sens!D2384)+(Sens!D2385+Sens!D2387+Sens!D2389-Sens!D2391)+(Sens!D2384-Q!L5)+(Sens!D2391-Q!L12)+(Sens!D2372-Q!L6)+(Sens!D2377-Q!L7)</f>
        <v>0</v>
      </c>
      <c r="E2393" s="23" t="n">
        <f aca="false">(Sens!E2372+Sens!E2377+Sens!E2378+Sens!E2380+Sens!E2382-Sens!E2384)+(Sens!E2385+Sens!E2387+Sens!E2389-Sens!E2391)+(Sens!E2384-Q!M5)+(Sens!E2391-Q!M12)+(Sens!E2372-Q!M6)+(Sens!E2377-Q!M7)</f>
        <v>0</v>
      </c>
      <c r="F2393" s="23" t="n">
        <f aca="false">(Sens!F2372+Sens!F2377+Sens!F2378+Sens!F2380+Sens!F2382-Sens!F2384)+(Sens!F2385+Sens!F2387+Sens!F2389-Sens!F2391)</f>
        <v>0</v>
      </c>
      <c r="G2393" s="23" t="n">
        <f aca="false">(Sens!G2372+Sens!G2377+Sens!G2378+Sens!G2380+Sens!G2382-Sens!G2384)+(Sens!G2385+Sens!G2387+Sens!G2389-Sens!G2391)</f>
        <v>0</v>
      </c>
      <c r="H2393" s="23" t="n">
        <f aca="false">(Sens!H2372+Sens!H2377+Sens!H2378+Sens!H2380+Sens!H2382-Sens!H2384)+(Sens!H2385+Sens!H2387+Sens!H2389-Sens!H2391)</f>
        <v>0</v>
      </c>
      <c r="I2393" s="23" t="n">
        <f aca="false">(Sens!I2372+Sens!I2377+Sens!I2378+Sens!I2380+Sens!I2382-Sens!I2384)+(Sens!I2385+Sens!I2387+Sens!I2389-Sens!I2391)</f>
        <v>0</v>
      </c>
      <c r="J2393" s="23" t="n">
        <f aca="false">(Sens!J2372+Sens!J2377+Sens!J2378+Sens!J2380+Sens!J2382-Sens!J2384)+(Sens!J2385+Sens!J2387+Sens!J2389-Sens!J2391)</f>
        <v>0</v>
      </c>
      <c r="K2393" s="23" t="n">
        <f aca="false">(Sens!K2372+Sens!K2377+Sens!K2378+Sens!K2380+Sens!K2382-Sens!K2384)+(Sens!K2385+Sens!K2387+Sens!K2389-Sens!K2391)</f>
        <v>0</v>
      </c>
    </row>
    <row r="2394" customFormat="false" ht="17.15" hidden="false" customHeight="false" outlineLevel="0" collapsed="false">
      <c r="A2394" s="3" t="s">
        <v>1181</v>
      </c>
    </row>
    <row r="2395" customFormat="false" ht="15" hidden="false" customHeight="false" outlineLevel="0" collapsed="false">
      <c r="A2395" s="4" t="s">
        <v>43</v>
      </c>
      <c r="B2395" s="4" t="s">
        <v>63</v>
      </c>
      <c r="C2395" s="19" t="s">
        <v>710</v>
      </c>
      <c r="D2395" s="19" t="s">
        <v>711</v>
      </c>
      <c r="E2395" s="19" t="s">
        <v>712</v>
      </c>
      <c r="F2395" s="19" t="s">
        <v>713</v>
      </c>
      <c r="G2395" s="19" t="s">
        <v>714</v>
      </c>
      <c r="H2395" s="19" t="s">
        <v>715</v>
      </c>
      <c r="I2395" s="19" t="s">
        <v>716</v>
      </c>
      <c r="J2395" s="19" t="s">
        <v>717</v>
      </c>
      <c r="K2395" s="19" t="s">
        <v>718</v>
      </c>
      <c r="L2395" s="4" t="s">
        <v>47</v>
      </c>
    </row>
    <row r="2396" customFormat="false" ht="15" hidden="false" customHeight="false" outlineLevel="0" collapsed="false">
      <c r="A2396" s="0" t="s">
        <v>783</v>
      </c>
      <c r="B2396" s="0" t="s">
        <v>95</v>
      </c>
      <c r="D2396" s="6" t="n">
        <f aca="false">Sens!D2372</f>
        <v>72.61</v>
      </c>
      <c r="E2396" s="6" t="n">
        <f aca="false">Sens!E2372</f>
        <v>101.938</v>
      </c>
      <c r="F2396" s="6" t="n">
        <f aca="false">Sens!F2372</f>
        <v>131.918147032022</v>
      </c>
      <c r="G2396" s="6" t="n">
        <f aca="false">Sens!G2372</f>
        <v>156.503728345366</v>
      </c>
      <c r="H2396" s="6" t="n">
        <f aca="false">Sens!H2372</f>
        <v>176.649168098805</v>
      </c>
      <c r="I2396" s="6" t="n">
        <f aca="false">Sens!I2372</f>
        <v>193.310887895024</v>
      </c>
      <c r="J2396" s="6" t="n">
        <f aca="false">Sens!J2372</f>
        <v>208.396052827501</v>
      </c>
      <c r="K2396" s="6" t="n">
        <f aca="false">Sens!K2372</f>
        <v>220.877562212647</v>
      </c>
    </row>
    <row r="2397" customFormat="false" ht="17.15" hidden="false" customHeight="false" outlineLevel="0" collapsed="false">
      <c r="A2397" s="0" t="s">
        <v>780</v>
      </c>
      <c r="B2397" s="0" t="s">
        <v>95</v>
      </c>
      <c r="D2397" s="6" t="n">
        <f aca="false">Sens!D2369</f>
        <v>12.9359794422418</v>
      </c>
      <c r="E2397" s="6" t="n">
        <f aca="false">Sens!E2369</f>
        <v>27.8095064661409</v>
      </c>
      <c r="F2397" s="6" t="n">
        <f aca="false">Sens!F2369</f>
        <v>41.8381972946555</v>
      </c>
      <c r="G2397" s="6" t="n">
        <f aca="false">Sens!G2369</f>
        <v>49.4753031420564</v>
      </c>
      <c r="H2397" s="6" t="n">
        <f aca="false">Sens!H2369</f>
        <v>52.3771855131691</v>
      </c>
      <c r="I2397" s="6" t="n">
        <f aca="false">Sens!I2369</f>
        <v>52.3771855131691</v>
      </c>
      <c r="J2397" s="6" t="n">
        <f aca="false">Sens!J2369</f>
        <v>52.3771855131691</v>
      </c>
      <c r="K2397" s="6" t="n">
        <f aca="false">Sens!K2369</f>
        <v>52.3771855131691</v>
      </c>
    </row>
    <row r="2398" customFormat="false" ht="17.15" hidden="false" customHeight="false" outlineLevel="0" collapsed="false">
      <c r="A2398" s="0" t="s">
        <v>807</v>
      </c>
      <c r="B2398" s="0" t="s">
        <v>95</v>
      </c>
      <c r="D2398" s="6" t="n">
        <f aca="false">Sens!D2370</f>
        <v>59.6740205577583</v>
      </c>
      <c r="E2398" s="6" t="n">
        <f aca="false">Sens!E2370</f>
        <v>74.1284935338591</v>
      </c>
      <c r="F2398" s="6" t="n">
        <f aca="false">Sens!F2370</f>
        <v>90.0799497373663</v>
      </c>
      <c r="G2398" s="6" t="n">
        <f aca="false">Sens!G2370</f>
        <v>107.02842520331</v>
      </c>
      <c r="H2398" s="6" t="n">
        <f aca="false">Sens!H2370</f>
        <v>124.271982585636</v>
      </c>
      <c r="I2398" s="6" t="n">
        <f aca="false">Sens!I2370</f>
        <v>140.933702381855</v>
      </c>
      <c r="J2398" s="6" t="n">
        <f aca="false">Sens!J2370</f>
        <v>156.018867314332</v>
      </c>
      <c r="K2398" s="6" t="n">
        <f aca="false">Sens!K2370</f>
        <v>168.500376699478</v>
      </c>
    </row>
    <row r="2399" customFormat="false" ht="15" hidden="false" customHeight="false" outlineLevel="0" collapsed="false">
      <c r="A2399" s="0" t="s">
        <v>788</v>
      </c>
      <c r="B2399" s="0" t="s">
        <v>95</v>
      </c>
      <c r="D2399" s="6" t="n">
        <f aca="false">Sens!D2377</f>
        <v>84.605</v>
      </c>
      <c r="E2399" s="6" t="n">
        <f aca="false">Sens!E2377</f>
        <v>100.299</v>
      </c>
      <c r="F2399" s="6" t="n">
        <f aca="false">Sens!F2377</f>
        <v>118.89238776686</v>
      </c>
      <c r="G2399" s="6" t="n">
        <f aca="false">Sens!G2377</f>
        <v>137.044168448684</v>
      </c>
      <c r="H2399" s="6" t="n">
        <f aca="false">Sens!H2377</f>
        <v>155.277359388781</v>
      </c>
      <c r="I2399" s="6" t="n">
        <f aca="false">Sens!I2377</f>
        <v>171.834028071957</v>
      </c>
      <c r="J2399" s="6" t="n">
        <f aca="false">Sens!J2377</f>
        <v>186.432702785465</v>
      </c>
      <c r="K2399" s="6" t="n">
        <f aca="false">Sens!K2377</f>
        <v>200.277991980448</v>
      </c>
    </row>
    <row r="2400" customFormat="false" ht="17.15" hidden="false" customHeight="false" outlineLevel="0" collapsed="false">
      <c r="A2400" s="0" t="s">
        <v>808</v>
      </c>
      <c r="B2400" s="0" t="s">
        <v>95</v>
      </c>
      <c r="D2400" s="6" t="n">
        <f aca="false">Sens!D2375</f>
        <v>83.705</v>
      </c>
      <c r="E2400" s="6" t="n">
        <f aca="false">Sens!E2375</f>
        <v>95.049</v>
      </c>
      <c r="F2400" s="6" t="n">
        <f aca="false">Sens!F2375</f>
        <v>106.89238776686</v>
      </c>
      <c r="G2400" s="6" t="n">
        <f aca="false">Sens!G2375</f>
        <v>119.044168448684</v>
      </c>
      <c r="H2400" s="6" t="n">
        <f aca="false">Sens!H2375</f>
        <v>131.277359388781</v>
      </c>
      <c r="I2400" s="6" t="n">
        <f aca="false">Sens!I2375</f>
        <v>143.334028071957</v>
      </c>
      <c r="J2400" s="6" t="n">
        <f aca="false">Sens!J2375</f>
        <v>154.932702785465</v>
      </c>
      <c r="K2400" s="6" t="n">
        <f aca="false">Sens!K2375</f>
        <v>165.777991980448</v>
      </c>
    </row>
    <row r="2401" customFormat="false" ht="17.15" hidden="false" customHeight="false" outlineLevel="0" collapsed="false">
      <c r="A2401" s="0" t="s">
        <v>809</v>
      </c>
      <c r="B2401" s="0" t="s">
        <v>95</v>
      </c>
      <c r="D2401" s="6" t="n">
        <f aca="false">Sens!D2374</f>
        <v>0.9</v>
      </c>
      <c r="E2401" s="6" t="n">
        <f aca="false">Sens!E2374</f>
        <v>5.25</v>
      </c>
      <c r="F2401" s="6" t="n">
        <f aca="false">Sens!F2374</f>
        <v>12</v>
      </c>
      <c r="G2401" s="6" t="n">
        <f aca="false">Sens!G2374</f>
        <v>18</v>
      </c>
      <c r="H2401" s="6" t="n">
        <f aca="false">Sens!H2374</f>
        <v>24</v>
      </c>
      <c r="I2401" s="6" t="n">
        <f aca="false">Sens!I2374</f>
        <v>28.5</v>
      </c>
      <c r="J2401" s="6" t="n">
        <f aca="false">Sens!J2374</f>
        <v>31.5</v>
      </c>
      <c r="K2401" s="6" t="n">
        <f aca="false">Sens!K2374</f>
        <v>34.5</v>
      </c>
    </row>
    <row r="2402" customFormat="false" ht="15" hidden="false" customHeight="false" outlineLevel="0" collapsed="false">
      <c r="A2402" s="0" t="s">
        <v>789</v>
      </c>
      <c r="B2402" s="0" t="s">
        <v>95</v>
      </c>
      <c r="D2402" s="6" t="n">
        <f aca="false">Sens!D2378</f>
        <v>35.391</v>
      </c>
      <c r="E2402" s="6" t="n">
        <f aca="false">Sens!E2378</f>
        <v>37.285</v>
      </c>
      <c r="F2402" s="6" t="n">
        <f aca="false">Sens!F2378</f>
        <v>39.0720834331704</v>
      </c>
      <c r="G2402" s="6" t="n">
        <f aca="false">Sens!G2378</f>
        <v>40.726562953769</v>
      </c>
      <c r="H2402" s="6" t="n">
        <f aca="false">Sens!H2378</f>
        <v>42.2235987259198</v>
      </c>
      <c r="I2402" s="6" t="n">
        <f aca="false">Sens!I2378</f>
        <v>43.5397988077414</v>
      </c>
      <c r="J2402" s="6" t="n">
        <f aca="false">Sens!J2378</f>
        <v>44.653811225693</v>
      </c>
      <c r="K2402" s="6" t="n">
        <f aca="false">Sens!K2378</f>
        <v>45.5468874502068</v>
      </c>
    </row>
    <row r="2403" customFormat="false" ht="15" hidden="false" customHeight="false" outlineLevel="0" collapsed="false">
      <c r="A2403" s="0" t="s">
        <v>790</v>
      </c>
      <c r="B2403" s="0" t="s">
        <v>95</v>
      </c>
      <c r="D2403" s="6" t="n">
        <f aca="false">Sens!D2380</f>
        <v>18.417</v>
      </c>
      <c r="E2403" s="6" t="n">
        <f aca="false">Sens!E2380</f>
        <v>20.345</v>
      </c>
      <c r="F2403" s="6" t="n">
        <f aca="false">Sens!F2380</f>
        <v>22.3572203267814</v>
      </c>
      <c r="G2403" s="6" t="n">
        <f aca="false">Sens!G2380</f>
        <v>24.4392124437232</v>
      </c>
      <c r="H2403" s="6" t="n">
        <f aca="false">Sens!H2380</f>
        <v>26.5738052080665</v>
      </c>
      <c r="I2403" s="6" t="n">
        <f aca="false">Sens!I2380</f>
        <v>28.7412169166967</v>
      </c>
      <c r="J2403" s="6" t="n">
        <f aca="false">Sens!J2380</f>
        <v>30.9192545395413</v>
      </c>
      <c r="K2403" s="6" t="n">
        <f aca="false">Sens!K2380</f>
        <v>33.0836023573092</v>
      </c>
    </row>
    <row r="2404" customFormat="false" ht="15" hidden="false" customHeight="false" outlineLevel="0" collapsed="false">
      <c r="A2404" s="0" t="s">
        <v>791</v>
      </c>
      <c r="B2404" s="0" t="s">
        <v>95</v>
      </c>
      <c r="D2404" s="6" t="n">
        <f aca="false">Sens!D2382</f>
        <v>7.76</v>
      </c>
      <c r="E2404" s="6" t="n">
        <f aca="false">Sens!E2382</f>
        <v>8.26</v>
      </c>
      <c r="F2404" s="6" t="n">
        <f aca="false">Sens!F2382</f>
        <v>8.79988041237113</v>
      </c>
      <c r="G2404" s="6" t="n">
        <f aca="false">Sens!G2382</f>
        <v>9.38321269125306</v>
      </c>
      <c r="H2404" s="6" t="n">
        <f aca="false">Sens!H2382</f>
        <v>10.0139193587476</v>
      </c>
      <c r="I2404" s="6" t="n">
        <f aca="false">Sens!I2382</f>
        <v>10.6963111830911</v>
      </c>
      <c r="J2404" s="6" t="n">
        <f aca="false">Sens!J2382</f>
        <v>11.4351285534696</v>
      </c>
      <c r="K2404" s="6" t="n">
        <f aca="false">Sens!K2382</f>
        <v>12.2355875522124</v>
      </c>
    </row>
    <row r="2405" customFormat="false" ht="15" hidden="false" customHeight="false" outlineLevel="0" collapsed="false">
      <c r="A2405" s="0" t="s">
        <v>626</v>
      </c>
      <c r="B2405" s="0" t="s">
        <v>95</v>
      </c>
      <c r="D2405" s="6" t="n">
        <f aca="false">Sens!D2384</f>
        <v>218.783</v>
      </c>
      <c r="E2405" s="6" t="n">
        <f aca="false">Sens!E2384</f>
        <v>268.127</v>
      </c>
      <c r="F2405" s="6" t="n">
        <f aca="false">Sens!F2384</f>
        <v>321.039718971205</v>
      </c>
      <c r="G2405" s="6" t="n">
        <f aca="false">Sens!G2384</f>
        <v>368.096884882795</v>
      </c>
      <c r="H2405" s="6" t="n">
        <f aca="false">Sens!H2384</f>
        <v>410.73785078032</v>
      </c>
      <c r="I2405" s="6" t="n">
        <f aca="false">Sens!I2384</f>
        <v>448.12224287451</v>
      </c>
      <c r="J2405" s="6" t="n">
        <f aca="false">Sens!J2384</f>
        <v>481.83694993167</v>
      </c>
      <c r="K2405" s="6" t="n">
        <f aca="false">Sens!K2384</f>
        <v>512.021631552823</v>
      </c>
    </row>
    <row r="2406" customFormat="false" ht="15" hidden="false" customHeight="false" outlineLevel="0" collapsed="false">
      <c r="A2406" s="0" t="s">
        <v>792</v>
      </c>
      <c r="B2406" s="0" t="s">
        <v>95</v>
      </c>
      <c r="D2406" s="6" t="n">
        <f aca="false">Sens!D2385</f>
        <v>22.171</v>
      </c>
      <c r="E2406" s="6" t="n">
        <f aca="false">Sens!E2385</f>
        <v>24.835</v>
      </c>
      <c r="F2406" s="6" t="n">
        <f aca="false">Sens!F2385</f>
        <v>27.6114901218559</v>
      </c>
      <c r="G2406" s="6" t="n">
        <f aca="false">Sens!G2385</f>
        <v>30.4675667338515</v>
      </c>
      <c r="H2406" s="6" t="n">
        <f aca="false">Sens!H2385</f>
        <v>33.3643766955789</v>
      </c>
      <c r="I2406" s="6" t="n">
        <f aca="false">Sens!I2385</f>
        <v>36.2577016533691</v>
      </c>
      <c r="J2406" s="6" t="n">
        <f aca="false">Sens!J2385</f>
        <v>39.0988367952171</v>
      </c>
      <c r="K2406" s="6" t="n">
        <f aca="false">Sens!K2385</f>
        <v>41.8357553708823</v>
      </c>
    </row>
    <row r="2407" customFormat="false" ht="15" hidden="false" customHeight="false" outlineLevel="0" collapsed="false">
      <c r="A2407" s="0" t="s">
        <v>793</v>
      </c>
      <c r="B2407" s="0" t="s">
        <v>95</v>
      </c>
      <c r="D2407" s="6" t="n">
        <f aca="false">Sens!D2387</f>
        <v>23.455</v>
      </c>
      <c r="E2407" s="6" t="n">
        <f aca="false">Sens!E2387</f>
        <v>21.79</v>
      </c>
      <c r="F2407" s="6" t="n">
        <f aca="false">Sens!F2387</f>
        <v>20.5736277908051</v>
      </c>
      <c r="G2407" s="6" t="n">
        <f aca="false">Sens!G2387</f>
        <v>19.7371452817919</v>
      </c>
      <c r="H2407" s="6" t="n">
        <f aca="false">Sens!H2387</f>
        <v>19.2339764043138</v>
      </c>
      <c r="I2407" s="6" t="n">
        <f aca="false">Sens!I2387</f>
        <v>19.0353086852681</v>
      </c>
      <c r="J2407" s="6" t="n">
        <f aca="false">Sens!J2387</f>
        <v>19.1273539319129</v>
      </c>
      <c r="K2407" s="6" t="n">
        <f aca="false">Sens!K2387</f>
        <v>19.5099010105511</v>
      </c>
    </row>
    <row r="2408" customFormat="false" ht="15" hidden="false" customHeight="false" outlineLevel="0" collapsed="false">
      <c r="A2408" s="0" t="s">
        <v>794</v>
      </c>
      <c r="B2408" s="0" t="s">
        <v>95</v>
      </c>
      <c r="D2408" s="6" t="n">
        <f aca="false">Sens!D2389</f>
        <v>17.315</v>
      </c>
      <c r="E2408" s="6" t="n">
        <f aca="false">Sens!E2389</f>
        <v>17.087</v>
      </c>
      <c r="F2408" s="6" t="n">
        <f aca="false">Sens!F2389</f>
        <v>16.9564585436519</v>
      </c>
      <c r="G2408" s="6" t="n">
        <f aca="false">Sens!G2389</f>
        <v>16.9206490624268</v>
      </c>
      <c r="H2408" s="6" t="n">
        <f aca="false">Sens!H2389</f>
        <v>16.9784519149849</v>
      </c>
      <c r="I2408" s="6" t="n">
        <f aca="false">Sens!I2389</f>
        <v>17.1303084701817</v>
      </c>
      <c r="J2408" s="6" t="n">
        <f aca="false">Sens!J2389</f>
        <v>17.3782189407267</v>
      </c>
      <c r="K2408" s="6" t="n">
        <f aca="false">Sens!K2389</f>
        <v>17.7257833195413</v>
      </c>
    </row>
    <row r="2409" customFormat="false" ht="15" hidden="false" customHeight="false" outlineLevel="0" collapsed="false">
      <c r="A2409" s="0" t="s">
        <v>640</v>
      </c>
      <c r="B2409" s="0" t="s">
        <v>95</v>
      </c>
      <c r="D2409" s="6" t="n">
        <f aca="false">Sens!D2391</f>
        <v>62.941</v>
      </c>
      <c r="E2409" s="6" t="n">
        <f aca="false">Sens!E2391</f>
        <v>63.712</v>
      </c>
      <c r="F2409" s="6" t="n">
        <f aca="false">Sens!F2391</f>
        <v>65.1415764563129</v>
      </c>
      <c r="G2409" s="6" t="n">
        <f aca="false">Sens!G2391</f>
        <v>67.1253610780702</v>
      </c>
      <c r="H2409" s="6" t="n">
        <f aca="false">Sens!H2391</f>
        <v>69.5768050148776</v>
      </c>
      <c r="I2409" s="6" t="n">
        <f aca="false">Sens!I2391</f>
        <v>72.4233188088189</v>
      </c>
      <c r="J2409" s="6" t="n">
        <f aca="false">Sens!J2391</f>
        <v>75.6044096678567</v>
      </c>
      <c r="K2409" s="6" t="n">
        <f aca="false">Sens!K2391</f>
        <v>79.0714397009747</v>
      </c>
    </row>
    <row r="2410" customFormat="false" ht="15" hidden="false" customHeight="false" outlineLevel="0" collapsed="false">
      <c r="A2410" s="1" t="s">
        <v>810</v>
      </c>
      <c r="B2410" s="0" t="s">
        <v>95</v>
      </c>
      <c r="D2410" s="6" t="n">
        <f aca="false">Sens!D2392</f>
        <v>281.724</v>
      </c>
      <c r="E2410" s="6" t="n">
        <f aca="false">Sens!E2392</f>
        <v>331.839</v>
      </c>
      <c r="F2410" s="6" t="n">
        <f aca="false">Sens!F2392</f>
        <v>386.181295427517</v>
      </c>
      <c r="G2410" s="6" t="n">
        <f aca="false">Sens!G2392</f>
        <v>435.222245960866</v>
      </c>
      <c r="H2410" s="6" t="n">
        <f aca="false">Sens!H2392</f>
        <v>480.314655795198</v>
      </c>
      <c r="I2410" s="6" t="n">
        <f aca="false">Sens!I2392</f>
        <v>520.545561683329</v>
      </c>
      <c r="J2410" s="6" t="n">
        <f aca="false">Sens!J2392</f>
        <v>557.441359599526</v>
      </c>
      <c r="K2410" s="6" t="n">
        <f aca="false">Sens!K2392</f>
        <v>591.093071253798</v>
      </c>
    </row>
    <row r="2411" customFormat="false" ht="15" hidden="false" customHeight="false" outlineLevel="0" collapsed="false">
      <c r="A2411" s="1" t="s">
        <v>811</v>
      </c>
      <c r="B2411" s="0" t="s">
        <v>126</v>
      </c>
      <c r="E2411" s="7" t="n">
        <f aca="false">Sens!E2410/Sens!D2410-1</f>
        <v>0.177886867998467</v>
      </c>
      <c r="F2411" s="7" t="n">
        <f aca="false">Sens!F2410/Sens!E2410-1</f>
        <v>0.163761026966443</v>
      </c>
      <c r="G2411" s="7" t="n">
        <f aca="false">Sens!G2410/Sens!F2410-1</f>
        <v>0.126989450587082</v>
      </c>
      <c r="H2411" s="7" t="n">
        <f aca="false">Sens!H2410/Sens!G2410-1</f>
        <v>0.103607777986575</v>
      </c>
      <c r="I2411" s="7" t="n">
        <f aca="false">Sens!I2410/Sens!H2410-1</f>
        <v>0.0837594801714425</v>
      </c>
      <c r="J2411" s="7" t="n">
        <f aca="false">Sens!J2410/Sens!I2410-1</f>
        <v>0.0708790942273807</v>
      </c>
      <c r="K2411" s="7" t="n">
        <f aca="false">Sens!K2410/Sens!J2410-1</f>
        <v>0.0603681644262055</v>
      </c>
    </row>
    <row r="2412" customFormat="false" ht="17.15" hidden="false" customHeight="false" outlineLevel="0" collapsed="false">
      <c r="A2412" s="22" t="s">
        <v>812</v>
      </c>
      <c r="B2412" s="28" t="s">
        <v>95</v>
      </c>
      <c r="C2412" s="28"/>
      <c r="D2412" s="23" t="n">
        <f aca="false">(Sens!D2405+Sens!D2409-Sens!D2410)+(Sens!D2397+Sens!D2398-Sens!D2396)+(Sens!D2400+Sens!D2401-Sens!D2399)+(Sens!D2410-Q!L18)</f>
        <v>0</v>
      </c>
      <c r="E2412" s="23" t="n">
        <f aca="false">(Sens!E2405+Sens!E2409-Sens!E2410)+(Sens!E2397+Sens!E2398-Sens!E2396)+(Sens!E2400+Sens!E2401-Sens!E2399)+(Sens!E2410-Q!M18)</f>
        <v>0</v>
      </c>
      <c r="F2412" s="23" t="n">
        <f aca="false">(Sens!F2405+Sens!F2409-Sens!F2410)+(Sens!F2397+Sens!F2398-Sens!F2396)+(Sens!F2400+Sens!F2401-Sens!F2399)</f>
        <v>0</v>
      </c>
      <c r="G2412" s="23" t="n">
        <f aca="false">(Sens!G2405+Sens!G2409-Sens!G2410)+(Sens!G2397+Sens!G2398-Sens!G2396)+(Sens!G2400+Sens!G2401-Sens!G2399)</f>
        <v>0</v>
      </c>
      <c r="H2412" s="23" t="n">
        <f aca="false">(Sens!H2405+Sens!H2409-Sens!H2410)+(Sens!H2397+Sens!H2398-Sens!H2396)+(Sens!H2400+Sens!H2401-Sens!H2399)</f>
        <v>0</v>
      </c>
      <c r="I2412" s="23" t="n">
        <f aca="false">(Sens!I2405+Sens!I2409-Sens!I2410)+(Sens!I2397+Sens!I2398-Sens!I2396)+(Sens!I2400+Sens!I2401-Sens!I2399)</f>
        <v>0</v>
      </c>
      <c r="J2412" s="23" t="n">
        <f aca="false">(Sens!J2405+Sens!J2409-Sens!J2410)+(Sens!J2397+Sens!J2398-Sens!J2396)+(Sens!J2400+Sens!J2401-Sens!J2399)</f>
        <v>0</v>
      </c>
      <c r="K2412" s="23" t="n">
        <f aca="false">(Sens!K2405+Sens!K2409-Sens!K2410)+(Sens!K2397+Sens!K2398-Sens!K2396)+(Sens!K2400+Sens!K2401-Sens!K2399)</f>
        <v>0</v>
      </c>
    </row>
    <row r="2413" customFormat="false" ht="17.15" hidden="false" customHeight="false" outlineLevel="0" collapsed="false">
      <c r="A2413" s="0" t="s">
        <v>813</v>
      </c>
      <c r="B2413" s="0" t="s">
        <v>126</v>
      </c>
      <c r="E2413" s="7" t="n">
        <f aca="false">(Q!M21+Sens!E2350+Sens!E2351+Sens!E2352+Sens!E2365-Sens!E2348)/(Q!M5-Sens!E2348)</f>
        <v>0.570957350878296</v>
      </c>
      <c r="F2413" s="7" t="n">
        <f aca="false">Sens!$E$2413+dm_seg</f>
        <v>0.570957350878296</v>
      </c>
      <c r="G2413" s="7" t="n">
        <f aca="false">Sens!$E$2413+dm_seg</f>
        <v>0.570957350878296</v>
      </c>
      <c r="H2413" s="7" t="n">
        <f aca="false">Sens!$E$2413+dm_seg</f>
        <v>0.570957350878296</v>
      </c>
      <c r="I2413" s="7" t="n">
        <f aca="false">Sens!$E$2413+dm_seg</f>
        <v>0.570957350878296</v>
      </c>
      <c r="J2413" s="7" t="n">
        <f aca="false">Sens!$E$2413+dm_seg</f>
        <v>0.570957350878296</v>
      </c>
      <c r="K2413" s="7" t="n">
        <f aca="false">Sens!$E$2413+dm_seg</f>
        <v>0.570957350878296</v>
      </c>
      <c r="L2413" s="11" t="s">
        <v>814</v>
      </c>
    </row>
    <row r="2414" customFormat="false" ht="17.15" hidden="false" customHeight="false" outlineLevel="0" collapsed="false">
      <c r="A2414" s="0" t="s">
        <v>654</v>
      </c>
      <c r="B2414" s="0" t="s">
        <v>95</v>
      </c>
      <c r="D2414" s="6" t="n">
        <f aca="false">Q!L21</f>
        <v>110.814</v>
      </c>
      <c r="E2414" s="6" t="n">
        <f aca="false">Q!M21</f>
        <v>136.365</v>
      </c>
      <c r="F2414" s="6" t="n">
        <f aca="false">Sens!F2413*(Sens!F2384-Sens!F2348)+Sens!F2348-(Sens!F2350+Sens!F2351+Sens!F2352)-Sens!F2365</f>
        <v>147.126493468511</v>
      </c>
      <c r="G2414" s="6" t="n">
        <f aca="false">Sens!G2413*(Sens!G2384-Sens!G2348)+Sens!G2348-(Sens!G2350+Sens!G2351+Sens!G2352)-Sens!G2365</f>
        <v>158.013570942325</v>
      </c>
      <c r="H2414" s="6" t="n">
        <f aca="false">Sens!H2413*(Sens!H2384-Sens!H2348)+Sens!H2348-(Sens!H2350+Sens!H2351+Sens!H2352)-Sens!H2365</f>
        <v>180.001431537656</v>
      </c>
      <c r="I2414" s="6" t="n">
        <f aca="false">Sens!I2413*(Sens!I2384-Sens!I2348)+Sens!I2348-(Sens!I2350+Sens!I2351+Sens!I2352)-Sens!I2365</f>
        <v>200.702550782367</v>
      </c>
      <c r="J2414" s="6" t="n">
        <f aca="false">Sens!J2413*(Sens!J2384-Sens!J2348)+Sens!J2348-(Sens!J2350+Sens!J2351+Sens!J2352)-Sens!J2365</f>
        <v>218.33620591061</v>
      </c>
      <c r="K2414" s="6" t="n">
        <f aca="false">Sens!K2413*(Sens!K2384-Sens!K2348)+Sens!K2348-(Sens!K2350+Sens!K2351+Sens!K2352)-Sens!K2365</f>
        <v>232.666818608213</v>
      </c>
      <c r="L2414" s="1" t="s">
        <v>815</v>
      </c>
    </row>
    <row r="2415" customFormat="false" ht="17.15" hidden="false" customHeight="false" outlineLevel="0" collapsed="false">
      <c r="A2415" s="0" t="s">
        <v>816</v>
      </c>
      <c r="B2415" s="0" t="s">
        <v>126</v>
      </c>
      <c r="E2415" s="7" t="n">
        <f aca="false">Q!M22/Q!M12</f>
        <v>0.296207935710698</v>
      </c>
      <c r="F2415" s="7" t="n">
        <f aca="false">Sens!$E$2415+dm_seg</f>
        <v>0.296207935710698</v>
      </c>
      <c r="G2415" s="7" t="n">
        <f aca="false">Sens!$E$2415+dm_seg</f>
        <v>0.296207935710698</v>
      </c>
      <c r="H2415" s="7" t="n">
        <f aca="false">Sens!$E$2415+dm_seg</f>
        <v>0.296207935710698</v>
      </c>
      <c r="I2415" s="7" t="n">
        <f aca="false">Sens!$E$2415+dm_seg</f>
        <v>0.296207935710698</v>
      </c>
      <c r="J2415" s="7" t="n">
        <f aca="false">Sens!$E$2415+dm_seg</f>
        <v>0.296207935710698</v>
      </c>
      <c r="K2415" s="7" t="n">
        <f aca="false">Sens!$E$2415+dm_seg</f>
        <v>0.296207935710698</v>
      </c>
      <c r="L2415" s="11" t="s">
        <v>817</v>
      </c>
    </row>
    <row r="2416" customFormat="false" ht="17.15" hidden="false" customHeight="false" outlineLevel="0" collapsed="false">
      <c r="A2416" s="0" t="s">
        <v>656</v>
      </c>
      <c r="B2416" s="0" t="s">
        <v>95</v>
      </c>
      <c r="D2416" s="6" t="n">
        <f aca="false">Q!L22</f>
        <v>17.714</v>
      </c>
      <c r="E2416" s="6" t="n">
        <f aca="false">Q!M22</f>
        <v>18.872</v>
      </c>
      <c r="F2416" s="6" t="n">
        <f aca="false">Sens!F2391*Sens!F2415</f>
        <v>19.2954518910651</v>
      </c>
      <c r="G2416" s="6" t="n">
        <f aca="false">Sens!G2391*Sens!G2415</f>
        <v>19.8830646387704</v>
      </c>
      <c r="H2416" s="6" t="n">
        <f aca="false">Sens!H2391*Sens!H2415</f>
        <v>20.6092017868026</v>
      </c>
      <c r="I2416" s="6" t="n">
        <f aca="false">Sens!I2391*Sens!I2415</f>
        <v>21.452361761678</v>
      </c>
      <c r="J2416" s="6" t="n">
        <f aca="false">Sens!J2391*Sens!J2415</f>
        <v>22.3946261183418</v>
      </c>
      <c r="K2416" s="6" t="n">
        <f aca="false">Sens!K2391*Sens!K2415</f>
        <v>23.4215879274986</v>
      </c>
    </row>
    <row r="2417" customFormat="false" ht="15" hidden="false" customHeight="false" outlineLevel="0" collapsed="false">
      <c r="A2417" s="1" t="s">
        <v>818</v>
      </c>
      <c r="B2417" s="0" t="s">
        <v>95</v>
      </c>
      <c r="D2417" s="6" t="n">
        <f aca="false">Sens!D2414+Sens!D2416</f>
        <v>128.528</v>
      </c>
      <c r="E2417" s="6" t="n">
        <f aca="false">Sens!E2414+Sens!E2416</f>
        <v>155.237</v>
      </c>
      <c r="F2417" s="6" t="n">
        <f aca="false">Sens!F2414+Sens!F2416</f>
        <v>166.421945359576</v>
      </c>
      <c r="G2417" s="6" t="n">
        <f aca="false">Sens!G2414+Sens!G2416</f>
        <v>177.896635581096</v>
      </c>
      <c r="H2417" s="6" t="n">
        <f aca="false">Sens!H2414+Sens!H2416</f>
        <v>200.610633324459</v>
      </c>
      <c r="I2417" s="6" t="n">
        <f aca="false">Sens!I2414+Sens!I2416</f>
        <v>222.154912544045</v>
      </c>
      <c r="J2417" s="6" t="n">
        <f aca="false">Sens!J2414+Sens!J2416</f>
        <v>240.730832028952</v>
      </c>
      <c r="K2417" s="6" t="n">
        <f aca="false">Sens!K2414+Sens!K2416</f>
        <v>256.088406535711</v>
      </c>
    </row>
    <row r="2418" customFormat="false" ht="15" hidden="false" customHeight="false" outlineLevel="0" collapsed="false">
      <c r="A2418" s="22" t="s">
        <v>819</v>
      </c>
      <c r="B2418" s="28" t="s">
        <v>95</v>
      </c>
      <c r="C2418" s="28"/>
      <c r="D2418" s="23" t="n">
        <f aca="false">Sens!D2417-Q!L23</f>
        <v>0</v>
      </c>
      <c r="E2418" s="23" t="n">
        <f aca="false">Sens!E2417-Q!M23</f>
        <v>0</v>
      </c>
      <c r="F2418" s="28"/>
      <c r="G2418" s="28"/>
      <c r="H2418" s="28"/>
      <c r="I2418" s="28"/>
      <c r="J2418" s="28"/>
      <c r="K2418" s="28"/>
    </row>
    <row r="2419" customFormat="false" ht="15" hidden="false" customHeight="false" outlineLevel="0" collapsed="false">
      <c r="A2419" s="1" t="s">
        <v>820</v>
      </c>
      <c r="B2419" s="0" t="s">
        <v>126</v>
      </c>
      <c r="D2419" s="7" t="n">
        <f aca="false">Sens!D2417/Sens!D2410</f>
        <v>0.456219562408598</v>
      </c>
      <c r="E2419" s="7" t="n">
        <f aca="false">Sens!E2417/Sens!E2410</f>
        <v>0.467808184089272</v>
      </c>
      <c r="F2419" s="7" t="n">
        <f aca="false">Sens!F2417/Sens!F2410</f>
        <v>0.430942532251182</v>
      </c>
      <c r="G2419" s="7" t="n">
        <f aca="false">Sens!G2417/Sens!G2410</f>
        <v>0.408748948915382</v>
      </c>
      <c r="H2419" s="7" t="n">
        <f aca="false">Sens!H2417/Sens!H2410</f>
        <v>0.417665026257282</v>
      </c>
      <c r="I2419" s="7" t="n">
        <f aca="false">Sens!I2417/Sens!I2410</f>
        <v>0.426773233500724</v>
      </c>
      <c r="J2419" s="7" t="n">
        <f aca="false">Sens!J2417/Sens!J2410</f>
        <v>0.431849606928873</v>
      </c>
      <c r="K2419" s="7" t="n">
        <f aca="false">Sens!K2417/Sens!K2410</f>
        <v>0.43324548872229</v>
      </c>
    </row>
    <row r="2420" customFormat="false" ht="17.15" hidden="false" customHeight="false" outlineLevel="0" collapsed="false">
      <c r="A2420" s="1" t="s">
        <v>821</v>
      </c>
      <c r="B2420" s="0" t="s">
        <v>95</v>
      </c>
      <c r="E2420" s="6" t="n">
        <f aca="false">Sens!E2365</f>
        <v>16.3054059770833</v>
      </c>
      <c r="F2420" s="6" t="n">
        <f aca="false">Sens!F2365</f>
        <v>36.1279426892031</v>
      </c>
      <c r="G2420" s="6" t="n">
        <f aca="false">Sens!G2365</f>
        <v>52.4342101714063</v>
      </c>
      <c r="H2420" s="6" t="n">
        <f aca="false">Sens!H2365</f>
        <v>55.0169095894063</v>
      </c>
      <c r="I2420" s="6" t="n">
        <f aca="false">Sens!I2365</f>
        <v>55.6606838189896</v>
      </c>
      <c r="J2420" s="6" t="n">
        <f aca="false">Sens!J2365</f>
        <v>57.2766885177396</v>
      </c>
      <c r="K2420" s="6" t="n">
        <f aca="false">Sens!K2365</f>
        <v>60.1802416756563</v>
      </c>
    </row>
    <row r="2421" customFormat="false" ht="17.15" hidden="false" customHeight="false" outlineLevel="0" collapsed="false">
      <c r="A2421" s="1" t="s">
        <v>822</v>
      </c>
      <c r="B2421" s="0" t="s">
        <v>95</v>
      </c>
      <c r="E2421" s="6" t="n">
        <f aca="false">Sens!E2441</f>
        <v>22.2285940229167</v>
      </c>
      <c r="F2421" s="6" t="n">
        <f aca="false">Sens!F2441</f>
        <v>23.5636693435813</v>
      </c>
      <c r="G2421" s="6" t="n">
        <f aca="false">Sens!G2441</f>
        <v>25.3225917662621</v>
      </c>
      <c r="H2421" s="6" t="n">
        <f aca="false">Sens!H2441</f>
        <v>27.4714839540448</v>
      </c>
      <c r="I2421" s="6" t="n">
        <f aca="false">Sens!I2441</f>
        <v>29.9441755898047</v>
      </c>
      <c r="J2421" s="6" t="n">
        <f aca="false">Sens!J2441</f>
        <v>32.6578493558616</v>
      </c>
      <c r="K2421" s="6" t="n">
        <f aca="false">Sens!K2441</f>
        <v>35.5289346944749</v>
      </c>
    </row>
    <row r="2422" customFormat="false" ht="17.15" hidden="false" customHeight="false" outlineLevel="0" collapsed="false">
      <c r="A2422" s="1" t="s">
        <v>823</v>
      </c>
      <c r="B2422" s="0" t="s">
        <v>95</v>
      </c>
      <c r="D2422" s="6" t="n">
        <f aca="false">Q!L27</f>
        <v>-4.901</v>
      </c>
      <c r="E2422" s="6" t="n">
        <f aca="false">Q!M27</f>
        <v>10.697</v>
      </c>
      <c r="F2422" s="6" t="n">
        <f aca="false">oie_f</f>
        <v>-0.4</v>
      </c>
      <c r="G2422" s="6" t="n">
        <f aca="false">oie_f</f>
        <v>-0.4</v>
      </c>
      <c r="H2422" s="6" t="n">
        <f aca="false">oie_f</f>
        <v>-0.4</v>
      </c>
      <c r="I2422" s="6" t="n">
        <f aca="false">oie_f</f>
        <v>-0.4</v>
      </c>
      <c r="J2422" s="6" t="n">
        <f aca="false">oie_f</f>
        <v>-0.4</v>
      </c>
      <c r="K2422" s="6" t="n">
        <f aca="false">oie_f</f>
        <v>-0.4</v>
      </c>
      <c r="L2422" s="11" t="s">
        <v>824</v>
      </c>
    </row>
    <row r="2423" customFormat="false" ht="15" hidden="false" customHeight="false" outlineLevel="0" collapsed="false">
      <c r="A2423" s="1" t="s">
        <v>666</v>
      </c>
      <c r="B2423" s="0" t="s">
        <v>95</v>
      </c>
      <c r="D2423" s="6" t="n">
        <f aca="false">Sens!D2417+Sens!D2422</f>
        <v>123.627</v>
      </c>
      <c r="E2423" s="6" t="n">
        <f aca="false">Sens!E2417+Sens!E2422</f>
        <v>165.934</v>
      </c>
      <c r="F2423" s="6" t="n">
        <f aca="false">Sens!F2417+Sens!F2422</f>
        <v>166.021945359576</v>
      </c>
      <c r="G2423" s="6" t="n">
        <f aca="false">Sens!G2417+Sens!G2422</f>
        <v>177.496635581096</v>
      </c>
      <c r="H2423" s="6" t="n">
        <f aca="false">Sens!H2417+Sens!H2422</f>
        <v>200.210633324459</v>
      </c>
      <c r="I2423" s="6" t="n">
        <f aca="false">Sens!I2417+Sens!I2422</f>
        <v>221.754912544045</v>
      </c>
      <c r="J2423" s="6" t="n">
        <f aca="false">Sens!J2417+Sens!J2422</f>
        <v>240.330832028952</v>
      </c>
      <c r="K2423" s="6" t="n">
        <f aca="false">Sens!K2417+Sens!K2422</f>
        <v>255.688406535711</v>
      </c>
    </row>
    <row r="2424" customFormat="false" ht="15" hidden="false" customHeight="false" outlineLevel="0" collapsed="false">
      <c r="A2424" s="1" t="s">
        <v>668</v>
      </c>
      <c r="B2424" s="0" t="s">
        <v>95</v>
      </c>
      <c r="D2424" s="6" t="n">
        <f aca="false">Q!L29</f>
        <v>21.795</v>
      </c>
      <c r="E2424" s="6" t="n">
        <f aca="false">Q!M29</f>
        <v>32.185</v>
      </c>
      <c r="F2424" s="6" t="n">
        <f aca="false">Sens!F2423*tax_f</f>
        <v>33.2043890719152</v>
      </c>
      <c r="G2424" s="6" t="n">
        <f aca="false">Sens!G2423*tax_f</f>
        <v>35.4993271162192</v>
      </c>
      <c r="H2424" s="6" t="n">
        <f aca="false">Sens!H2423*tax_f</f>
        <v>40.0421266648917</v>
      </c>
      <c r="I2424" s="6" t="n">
        <f aca="false">Sens!I2423*tax_f</f>
        <v>44.350982508809</v>
      </c>
      <c r="J2424" s="6" t="n">
        <f aca="false">Sens!J2423*tax_f</f>
        <v>48.0661664057905</v>
      </c>
      <c r="K2424" s="6" t="n">
        <f aca="false">Sens!K2423*tax_f</f>
        <v>51.1376813071422</v>
      </c>
    </row>
    <row r="2425" customFormat="false" ht="15" hidden="false" customHeight="false" outlineLevel="0" collapsed="false">
      <c r="A2425" s="1" t="s">
        <v>825</v>
      </c>
      <c r="B2425" s="0" t="s">
        <v>95</v>
      </c>
      <c r="D2425" s="6" t="n">
        <f aca="false">Sens!D2423-Sens!D2424</f>
        <v>101.832</v>
      </c>
      <c r="E2425" s="6" t="n">
        <f aca="false">Sens!E2423-Sens!E2424</f>
        <v>133.749</v>
      </c>
      <c r="F2425" s="6" t="n">
        <f aca="false">Sens!F2423-Sens!F2424</f>
        <v>132.817556287661</v>
      </c>
      <c r="G2425" s="6" t="n">
        <f aca="false">Sens!G2423-Sens!G2424</f>
        <v>141.997308464877</v>
      </c>
      <c r="H2425" s="6" t="n">
        <f aca="false">Sens!H2423-Sens!H2424</f>
        <v>160.168506659567</v>
      </c>
      <c r="I2425" s="6" t="n">
        <f aca="false">Sens!I2423-Sens!I2424</f>
        <v>177.403930035236</v>
      </c>
      <c r="J2425" s="6" t="n">
        <f aca="false">Sens!J2423-Sens!J2424</f>
        <v>192.264665623162</v>
      </c>
      <c r="K2425" s="6" t="n">
        <f aca="false">Sens!K2423-Sens!K2424</f>
        <v>204.550725228569</v>
      </c>
    </row>
    <row r="2426" customFormat="false" ht="17.15" hidden="false" customHeight="false" outlineLevel="0" collapsed="false">
      <c r="A2426" s="1" t="s">
        <v>826</v>
      </c>
      <c r="B2426" s="1" t="s">
        <v>79</v>
      </c>
      <c r="D2426" s="18" t="n">
        <f aca="false">Q!L31</f>
        <v>7.465</v>
      </c>
      <c r="E2426" s="18" t="n">
        <f aca="false">Q!M31</f>
        <v>7.453</v>
      </c>
      <c r="F2426" s="18" t="n">
        <f aca="false">Sens!F2463</f>
        <v>7.4735</v>
      </c>
      <c r="G2426" s="18" t="n">
        <f aca="false">Sens!G2463</f>
        <v>7.49987171271795</v>
      </c>
      <c r="H2426" s="18" t="n">
        <f aca="false">Sens!H2463</f>
        <v>7.50899501128585</v>
      </c>
      <c r="I2426" s="18" t="n">
        <f aca="false">Sens!I2463</f>
        <v>7.52077584329316</v>
      </c>
      <c r="J2426" s="18" t="n">
        <f aca="false">Sens!J2463</f>
        <v>7.53501735441104</v>
      </c>
      <c r="K2426" s="18" t="n">
        <f aca="false">Sens!K2463</f>
        <v>7.55153727211278</v>
      </c>
    </row>
    <row r="2427" customFormat="false" ht="17.15" hidden="false" customHeight="false" outlineLevel="0" collapsed="false">
      <c r="A2427" s="0" t="s">
        <v>827</v>
      </c>
      <c r="B2427" s="0" t="s">
        <v>73</v>
      </c>
      <c r="D2427" s="8" t="n">
        <f aca="false">Sens!D2425/Sens!D2426</f>
        <v>13.641259209645</v>
      </c>
      <c r="E2427" s="8" t="n">
        <f aca="false">Sens!E2425/Sens!E2426</f>
        <v>17.9456594659869</v>
      </c>
      <c r="F2427" s="8" t="n">
        <f aca="false">Sens!F2425/Sens!F2426</f>
        <v>17.771801202604</v>
      </c>
      <c r="G2427" s="8" t="n">
        <f aca="false">Sens!G2425/Sens!G2426</f>
        <v>18.933298315501</v>
      </c>
      <c r="H2427" s="8" t="n">
        <f aca="false">Sens!H2425/Sens!H2426</f>
        <v>21.3302188134148</v>
      </c>
      <c r="I2427" s="8" t="n">
        <f aca="false">Sens!I2425/Sens!I2426</f>
        <v>23.5885145005938</v>
      </c>
      <c r="J2427" s="8" t="n">
        <f aca="false">Sens!J2425/Sens!J2426</f>
        <v>25.5161543205483</v>
      </c>
      <c r="K2427" s="8" t="n">
        <f aca="false">Sens!K2425/Sens!K2426</f>
        <v>27.0872959846147</v>
      </c>
      <c r="L2427" s="1" t="s">
        <v>828</v>
      </c>
    </row>
    <row r="2428" customFormat="false" ht="17.15" hidden="false" customHeight="false" outlineLevel="0" collapsed="false">
      <c r="A2428" s="0" t="s">
        <v>829</v>
      </c>
      <c r="B2428" s="0" t="s">
        <v>126</v>
      </c>
      <c r="E2428" s="7" t="n">
        <f aca="false">Sens!E2427/Sens!D2427-1</f>
        <v>0.315542736208578</v>
      </c>
      <c r="F2428" s="7" t="n">
        <f aca="false">Sens!F2427/Sens!E2427-1</f>
        <v>-0.00968803981332544</v>
      </c>
      <c r="G2428" s="7" t="n">
        <f aca="false">Sens!G2427/Sens!F2427-1</f>
        <v>0.06535618419628</v>
      </c>
      <c r="H2428" s="7" t="n">
        <f aca="false">Sens!H2427/Sens!G2427-1</f>
        <v>0.126598147769705</v>
      </c>
      <c r="I2428" s="7" t="n">
        <f aca="false">Sens!I2427/Sens!H2427-1</f>
        <v>0.105873067076027</v>
      </c>
      <c r="J2428" s="7" t="n">
        <f aca="false">Sens!J2427/Sens!I2427-1</f>
        <v>0.0817194240826835</v>
      </c>
      <c r="K2428" s="7" t="n">
        <f aca="false">Sens!K2427/Sens!J2427-1</f>
        <v>0.0615743910437614</v>
      </c>
    </row>
    <row r="2429" customFormat="false" ht="17.15" hidden="false" customHeight="false" outlineLevel="0" collapsed="false">
      <c r="A2429" s="0" t="s">
        <v>763</v>
      </c>
      <c r="B2429" s="0" t="s">
        <v>95</v>
      </c>
      <c r="E2429" s="6" t="n">
        <f aca="false">Sens!E2374</f>
        <v>5.25</v>
      </c>
      <c r="F2429" s="6" t="n">
        <f aca="false">Sens!F2374</f>
        <v>12</v>
      </c>
      <c r="G2429" s="6" t="n">
        <f aca="false">Sens!G2374</f>
        <v>18</v>
      </c>
      <c r="H2429" s="6" t="n">
        <f aca="false">Sens!H2374</f>
        <v>24</v>
      </c>
      <c r="I2429" s="6" t="n">
        <f aca="false">Sens!I2374</f>
        <v>28.5</v>
      </c>
      <c r="J2429" s="6" t="n">
        <f aca="false">Sens!J2374</f>
        <v>31.5</v>
      </c>
      <c r="K2429" s="6" t="n">
        <f aca="false">Sens!K2374</f>
        <v>34.5</v>
      </c>
    </row>
    <row r="2430" customFormat="false" ht="17.15" hidden="false" customHeight="false" outlineLevel="0" collapsed="false">
      <c r="A2430" s="0" t="s">
        <v>764</v>
      </c>
      <c r="B2430" s="0" t="s">
        <v>95</v>
      </c>
      <c r="E2430" s="6" t="n">
        <f aca="false">Sens!E2354+Sens!E2429*Sens!E2413-Sens!E2355-Sens!E2365</f>
        <v>2.1514866143068</v>
      </c>
      <c r="F2430" s="6" t="n">
        <f aca="false">Sens!F2354+Sens!F2429*Sens!F2413-Sens!F2355-Sens!F2365</f>
        <v>-5.43417949858095</v>
      </c>
      <c r="G2430" s="6" t="n">
        <f aca="false">Sens!G2354+Sens!G2429*Sens!G2413-Sens!G2355-Sens!G2365</f>
        <v>-13.6285309852101</v>
      </c>
      <c r="H2430" s="6" t="n">
        <f aca="false">Sens!H2354+Sens!H2429*Sens!H2413-Sens!H2355-Sens!H2365</f>
        <v>-10.9042481411813</v>
      </c>
      <c r="I2430" s="6" t="n">
        <f aca="false">Sens!I2354+Sens!I2429*Sens!I2413-Sens!I2355-Sens!I2365</f>
        <v>-8.97871429181225</v>
      </c>
      <c r="J2430" s="6" t="n">
        <f aca="false">Sens!J2354+Sens!J2429*Sens!J2413-Sens!J2355-Sens!J2365</f>
        <v>-8.88184693792737</v>
      </c>
      <c r="K2430" s="6" t="n">
        <f aca="false">Sens!K2354+Sens!K2429*Sens!K2413-Sens!K2355-Sens!K2365</f>
        <v>-10.0725280432092</v>
      </c>
    </row>
    <row r="2431" customFormat="false" ht="17.15" hidden="false" customHeight="false" outlineLevel="0" collapsed="false">
      <c r="A2431" s="0" t="s">
        <v>765</v>
      </c>
      <c r="B2431" s="0" t="s">
        <v>95</v>
      </c>
      <c r="E2431" s="6" t="n">
        <f aca="false">Sens!E2337*(cxit_open+self_build*tk_cxfac)/1000*ai_net_open</f>
        <v>126.6980382</v>
      </c>
      <c r="F2431" s="6" t="n">
        <f aca="false">Sens!E2431+Sens!F2362-Sens!F2365</f>
        <v>259.190748281234</v>
      </c>
      <c r="G2431" s="6" t="n">
        <f aca="false">Sens!F2431+Sens!G2362-Sens!G2365</f>
        <v>242.059265125828</v>
      </c>
      <c r="H2431" s="6" t="n">
        <f aca="false">Sens!G2431+Sens!H2362-Sens!H2365</f>
        <v>187.042355536422</v>
      </c>
      <c r="I2431" s="6" t="n">
        <f aca="false">Sens!H2431+Sens!I2362-Sens!I2365</f>
        <v>161.640347064099</v>
      </c>
      <c r="J2431" s="6" t="n">
        <f aca="false">Sens!I2431+Sens!J2362-Sens!J2365</f>
        <v>150.060433559693</v>
      </c>
      <c r="K2431" s="6" t="n">
        <f aca="false">Sens!J2431+Sens!K2362-Sens!K2365</f>
        <v>180.656217924036</v>
      </c>
      <c r="L2431" s="1" t="s">
        <v>766</v>
      </c>
    </row>
    <row r="2432" customFormat="false" ht="17.15" hidden="false" customHeight="false" outlineLevel="0" collapsed="false">
      <c r="A2432" s="0" t="s">
        <v>767</v>
      </c>
      <c r="B2432" s="0" t="s">
        <v>126</v>
      </c>
      <c r="F2432" s="7" t="n">
        <f aca="false">Sens!F2430*(1-tax_f)/((Sens!E2431+Sens!F2431)/2)</f>
        <v>-0.0225315881215749</v>
      </c>
      <c r="G2432" s="7" t="n">
        <f aca="false">Sens!G2430*(1-tax_f)/((Sens!F2431+Sens!G2431)/2)</f>
        <v>-0.0435025416321094</v>
      </c>
      <c r="H2432" s="7" t="n">
        <f aca="false">Sens!H2430*(1-tax_f)/((Sens!G2431+Sens!H2431)/2)</f>
        <v>-0.0406588933385142</v>
      </c>
      <c r="I2432" s="7" t="n">
        <f aca="false">Sens!I2430*(1-tax_f)/((Sens!H2431+Sens!I2431)/2)</f>
        <v>-0.0412006180970738</v>
      </c>
      <c r="J2432" s="7" t="n">
        <f aca="false">Sens!J2430*(1-tax_f)/((Sens!I2431+Sens!J2431)/2)</f>
        <v>-0.0455916570765209</v>
      </c>
      <c r="K2432" s="7" t="n">
        <f aca="false">Sens!K2430*(1-tax_f)/((Sens!J2431+Sens!K2431)/2)</f>
        <v>-0.0487306726069931</v>
      </c>
    </row>
    <row r="2433" customFormat="false" ht="17.15" hidden="false" customHeight="false" outlineLevel="0" collapsed="false">
      <c r="A2433" s="1" t="s">
        <v>768</v>
      </c>
      <c r="B2433" s="0" t="s">
        <v>126</v>
      </c>
      <c r="F2433" s="7" t="n">
        <f aca="false">Sens!F2366*(1-tax_f)/(Sens!F2353*(Sens!E2431+Sens!F2431)/2)</f>
        <v>0.0486621053463017</v>
      </c>
      <c r="G2433" s="7" t="n">
        <f aca="false">Sens!G2366*(1-tax_f)/(Sens!G2353*(Sens!F2431+Sens!G2431)/2)</f>
        <v>0.0146743924318975</v>
      </c>
      <c r="H2433" s="7" t="n">
        <f aca="false">Sens!H2366*(1-tax_f)/(Sens!H2353*(Sens!G2431+Sens!H2431)/2)</f>
        <v>0.0217397048435752</v>
      </c>
      <c r="I2433" s="7" t="n">
        <f aca="false">Sens!I2366*(1-tax_f)/(Sens!I2353*(Sens!H2431+Sens!I2431)/2)</f>
        <v>0.0237995855598011</v>
      </c>
      <c r="J2433" s="7" t="n">
        <f aca="false">Sens!J2366*(1-tax_f)/(Sens!J2353*(Sens!I2431+Sens!J2431)/2)</f>
        <v>0.018328142407378</v>
      </c>
      <c r="K2433" s="7" t="n">
        <f aca="false">Sens!K2366*(1-tax_f)/(Sens!K2353*(Sens!J2431+Sens!K2431)/2)</f>
        <v>0.00322696555588943</v>
      </c>
    </row>
    <row r="2434" customFormat="false" ht="17.15" hidden="false" customHeight="false" outlineLevel="0" collapsed="false">
      <c r="A2434" s="0" t="s">
        <v>769</v>
      </c>
      <c r="B2434" s="0" t="s">
        <v>208</v>
      </c>
      <c r="F2434" s="7" t="n">
        <f aca="false">Sens!F2432-wacc</f>
        <v>-0.131494809271829</v>
      </c>
      <c r="G2434" s="7" t="n">
        <f aca="false">Sens!G2432-wacc</f>
        <v>-0.152465762782363</v>
      </c>
      <c r="H2434" s="7" t="n">
        <f aca="false">Sens!H2432-wacc</f>
        <v>-0.149622114488768</v>
      </c>
      <c r="I2434" s="7" t="n">
        <f aca="false">Sens!I2432-wacc</f>
        <v>-0.150163839247328</v>
      </c>
      <c r="J2434" s="7" t="n">
        <f aca="false">Sens!J2432-wacc</f>
        <v>-0.154554878226775</v>
      </c>
      <c r="K2434" s="7" t="n">
        <f aca="false">Sens!K2432-wacc</f>
        <v>-0.157693893757247</v>
      </c>
    </row>
    <row r="2435" customFormat="false" ht="17.15" hidden="false" customHeight="false" outlineLevel="0" collapsed="false">
      <c r="A2435" s="0" t="s">
        <v>770</v>
      </c>
      <c r="B2435" s="0" t="s">
        <v>95</v>
      </c>
      <c r="F2435" s="6" t="n">
        <f aca="false">Sens!F2430*(1-tax_f)-wacc*(Sens!E2431+Sens!F2431)/2</f>
        <v>-25.3711861892437</v>
      </c>
      <c r="G2435" s="6" t="n">
        <f aca="false">Sens!G2430*(1-tax_f)-wacc*(Sens!F2431+Sens!G2431)/2</f>
        <v>-38.2117328193888</v>
      </c>
      <c r="H2435" s="6" t="n">
        <f aca="false">Sens!H2430*(1-tax_f)-wacc*(Sens!G2431+Sens!H2431)/2</f>
        <v>-32.1015459070216</v>
      </c>
      <c r="I2435" s="6" t="n">
        <f aca="false">Sens!I2430*(1-tax_f)-wacc*(Sens!H2431+Sens!I2431)/2</f>
        <v>-26.1797666508142</v>
      </c>
      <c r="J2435" s="6" t="n">
        <f aca="false">Sens!J2430*(1-tax_f)-wacc*(Sens!I2431+Sens!J2431)/2</f>
        <v>-24.0874380962504</v>
      </c>
      <c r="K2435" s="6" t="n">
        <f aca="false">Sens!K2430*(1-tax_f)-wacc*(Sens!J2431+Sens!K2431)/2</f>
        <v>-26.0759982514139</v>
      </c>
    </row>
    <row r="2436" customFormat="false" ht="17.15" hidden="false" customHeight="false" outlineLevel="0" collapsed="false">
      <c r="A2436" s="1" t="s">
        <v>771</v>
      </c>
      <c r="B2436" s="0" t="s">
        <v>95</v>
      </c>
      <c r="F2436" s="6" t="n">
        <f aca="false">(Sens!E2338+Sens!F2338)/2*Sens!F2345/1000</f>
        <v>19.4494190187895</v>
      </c>
      <c r="G2436" s="6" t="n">
        <f aca="false">(Sens!F2338+Sens!G2338)/2*Sens!G2345/1000</f>
        <v>23.0047877701723</v>
      </c>
      <c r="H2436" s="6" t="n">
        <f aca="false">(Sens!G2338+Sens!H2338)/2*Sens!H2345/1000</f>
        <v>24.6552641292369</v>
      </c>
      <c r="I2436" s="6" t="n">
        <f aca="false">(Sens!H2338+Sens!I2338)/2*Sens!I2345/1000</f>
        <v>24.6552641292369</v>
      </c>
      <c r="J2436" s="6" t="n">
        <f aca="false">(Sens!I2338+Sens!J2338)/2*Sens!J2345/1000</f>
        <v>24.6552641292369</v>
      </c>
      <c r="K2436" s="6" t="n">
        <f aca="false">(Sens!J2338+Sens!K2338)/2*Sens!K2345/1000</f>
        <v>24.6552641292369</v>
      </c>
      <c r="L2436" s="1" t="s">
        <v>772</v>
      </c>
    </row>
    <row r="2437" customFormat="false" ht="17.15" hidden="false" customHeight="false" outlineLevel="0" collapsed="false">
      <c r="A2437" s="1" t="s">
        <v>773</v>
      </c>
      <c r="B2437" s="0" t="s">
        <v>126</v>
      </c>
      <c r="F2437" s="7" t="n">
        <f aca="false">(Sens!F2354+Sens!F2436-Sens!F2355-Sens!F2365)*(1-tax_f)/((Sens!E2431+Sens!F2431)/2)</f>
        <v>0.0297028638742987</v>
      </c>
      <c r="G2437" s="7" t="n">
        <f aca="false">(Sens!G2354+Sens!G2436-Sens!G2355-Sens!G2365)*(1-tax_f)/((Sens!F2431+Sens!G2431)/2)</f>
        <v>-0.00287593179211493</v>
      </c>
      <c r="H2437" s="7" t="n">
        <f aca="false">(Sens!H2354+Sens!H2436-Sens!H2355-Sens!H2365)*(1-tax_f)/((Sens!G2431+Sens!H2431)/2)</f>
        <v>0.00017912611712778</v>
      </c>
      <c r="I2437" s="7" t="n">
        <f aca="false">(Sens!I2354+Sens!I2436-Sens!I2355-Sens!I2365)*(1-tax_f)/((Sens!H2431+Sens!I2431)/2)</f>
        <v>-0.00273364710397721</v>
      </c>
      <c r="J2437" s="7" t="n">
        <f aca="false">(Sens!J2354+Sens!J2436-Sens!J2355-Sens!J2365)*(1-tax_f)/((Sens!I2431+Sens!J2431)/2)</f>
        <v>-0.0113531412115455</v>
      </c>
      <c r="K2437" s="7" t="n">
        <f aca="false">(Sens!K2354+Sens!K2436-Sens!K2355-Sens!K2365)*(1-tax_f)/((Sens!J2431+Sens!K2431)/2)</f>
        <v>-0.0247476744642845</v>
      </c>
      <c r="L2437" s="1" t="s">
        <v>774</v>
      </c>
    </row>
    <row r="2438" customFormat="false" ht="17.15" hidden="false" customHeight="false" outlineLevel="0" collapsed="false">
      <c r="A2438" s="3" t="s">
        <v>1182</v>
      </c>
    </row>
    <row r="2439" customFormat="false" ht="15" hidden="false" customHeight="false" outlineLevel="0" collapsed="false">
      <c r="A2439" s="4" t="s">
        <v>43</v>
      </c>
      <c r="B2439" s="4" t="s">
        <v>63</v>
      </c>
      <c r="C2439" s="19" t="s">
        <v>710</v>
      </c>
      <c r="D2439" s="19" t="s">
        <v>711</v>
      </c>
      <c r="E2439" s="19" t="s">
        <v>712</v>
      </c>
      <c r="F2439" s="19" t="s">
        <v>713</v>
      </c>
      <c r="G2439" s="19" t="s">
        <v>714</v>
      </c>
      <c r="H2439" s="19" t="s">
        <v>715</v>
      </c>
      <c r="I2439" s="19" t="s">
        <v>716</v>
      </c>
      <c r="J2439" s="19" t="s">
        <v>717</v>
      </c>
      <c r="K2439" s="19" t="s">
        <v>718</v>
      </c>
      <c r="L2439" s="4" t="s">
        <v>47</v>
      </c>
    </row>
    <row r="2440" customFormat="false" ht="15" hidden="false" customHeight="false" outlineLevel="0" collapsed="false">
      <c r="A2440" s="1" t="s">
        <v>825</v>
      </c>
      <c r="B2440" s="0" t="s">
        <v>95</v>
      </c>
      <c r="F2440" s="6" t="n">
        <f aca="false">Sens!F2425</f>
        <v>132.817556287661</v>
      </c>
      <c r="G2440" s="6" t="n">
        <f aca="false">Sens!G2425</f>
        <v>141.997308464877</v>
      </c>
      <c r="H2440" s="6" t="n">
        <f aca="false">Sens!H2425</f>
        <v>160.168506659567</v>
      </c>
      <c r="I2440" s="6" t="n">
        <f aca="false">Sens!I2425</f>
        <v>177.403930035236</v>
      </c>
      <c r="J2440" s="6" t="n">
        <f aca="false">Sens!J2425</f>
        <v>192.264665623162</v>
      </c>
      <c r="K2440" s="6" t="n">
        <f aca="false">Sens!K2425</f>
        <v>204.550725228569</v>
      </c>
    </row>
    <row r="2441" customFormat="false" ht="17.15" hidden="false" customHeight="false" outlineLevel="0" collapsed="false">
      <c r="A2441" s="1" t="s">
        <v>843</v>
      </c>
      <c r="B2441" s="0" t="s">
        <v>95</v>
      </c>
      <c r="E2441" s="6" t="n">
        <f aca="false">Q!M38-Sens!E2365</f>
        <v>22.2285940229167</v>
      </c>
      <c r="F2441" s="6" t="n">
        <f aca="false">Sens!E2441*(1-1/life_nonai)+Sens!F2447/life_nonai</f>
        <v>23.5636693435813</v>
      </c>
      <c r="G2441" s="6" t="n">
        <f aca="false">Sens!F2441*(1-1/life_nonai)+Sens!G2447/life_nonai</f>
        <v>25.3225917662621</v>
      </c>
      <c r="H2441" s="6" t="n">
        <f aca="false">Sens!G2441*(1-1/life_nonai)+Sens!H2447/life_nonai</f>
        <v>27.4714839540448</v>
      </c>
      <c r="I2441" s="6" t="n">
        <f aca="false">Sens!H2441*(1-1/life_nonai)+Sens!I2447/life_nonai</f>
        <v>29.9441755898047</v>
      </c>
      <c r="J2441" s="6" t="n">
        <f aca="false">Sens!I2441*(1-1/life_nonai)+Sens!J2447/life_nonai</f>
        <v>32.6578493558616</v>
      </c>
      <c r="K2441" s="6" t="n">
        <f aca="false">Sens!J2441*(1-1/life_nonai)+Sens!K2447/life_nonai</f>
        <v>35.5289346944749</v>
      </c>
      <c r="L2441" s="11" t="s">
        <v>844</v>
      </c>
    </row>
    <row r="2442" customFormat="false" ht="17.15" hidden="false" customHeight="false" outlineLevel="0" collapsed="false">
      <c r="A2442" s="1" t="s">
        <v>845</v>
      </c>
      <c r="B2442" s="0" t="s">
        <v>95</v>
      </c>
      <c r="E2442" s="6" t="n">
        <f aca="false">Sens!E2365+Sens!E2441</f>
        <v>38.534</v>
      </c>
      <c r="F2442" s="6" t="n">
        <f aca="false">Sens!F2365+Sens!F2441</f>
        <v>59.6916120327844</v>
      </c>
      <c r="G2442" s="6" t="n">
        <f aca="false">Sens!G2365+Sens!G2441</f>
        <v>77.7568019376683</v>
      </c>
      <c r="H2442" s="6" t="n">
        <f aca="false">Sens!H2365+Sens!H2441</f>
        <v>82.4883935434511</v>
      </c>
      <c r="I2442" s="6" t="n">
        <f aca="false">Sens!I2365+Sens!I2441</f>
        <v>85.6048594087943</v>
      </c>
      <c r="J2442" s="6" t="n">
        <f aca="false">Sens!J2365+Sens!J2441</f>
        <v>89.9345378736012</v>
      </c>
      <c r="K2442" s="6" t="n">
        <f aca="false">Sens!K2365+Sens!K2441</f>
        <v>95.7091763701311</v>
      </c>
    </row>
    <row r="2443" customFormat="false" ht="15" hidden="false" customHeight="false" outlineLevel="0" collapsed="false">
      <c r="A2443" s="1" t="s">
        <v>685</v>
      </c>
      <c r="B2443" s="0" t="s">
        <v>95</v>
      </c>
      <c r="F2443" s="6" t="n">
        <f aca="false">Sens!F2392*sbc_r</f>
        <v>14.4364555395187</v>
      </c>
      <c r="G2443" s="6" t="n">
        <f aca="false">Sens!G2392*sbc_r</f>
        <v>16.269733096907</v>
      </c>
      <c r="H2443" s="6" t="n">
        <f aca="false">Sens!H2392*sbc_r</f>
        <v>17.9554039915122</v>
      </c>
      <c r="I2443" s="6" t="n">
        <f aca="false">Sens!I2392*sbc_r</f>
        <v>19.4593392961095</v>
      </c>
      <c r="J2443" s="6" t="n">
        <f aca="false">Sens!J2392*sbc_r</f>
        <v>20.8385996396811</v>
      </c>
      <c r="K2443" s="6" t="n">
        <f aca="false">Sens!K2392*sbc_r</f>
        <v>22.0965876491412</v>
      </c>
    </row>
    <row r="2444" customFormat="false" ht="17.15" hidden="false" customHeight="false" outlineLevel="0" collapsed="false">
      <c r="A2444" s="1" t="s">
        <v>846</v>
      </c>
      <c r="B2444" s="0" t="s">
        <v>95</v>
      </c>
      <c r="F2444" s="6" t="n">
        <f aca="false">wc27</f>
        <v>-4.895</v>
      </c>
      <c r="G2444" s="6" t="n">
        <f aca="false">0</f>
        <v>0</v>
      </c>
      <c r="H2444" s="6" t="n">
        <f aca="false">0</f>
        <v>0</v>
      </c>
      <c r="I2444" s="6" t="n">
        <f aca="false">0</f>
        <v>0</v>
      </c>
      <c r="J2444" s="6" t="n">
        <f aca="false">0</f>
        <v>0</v>
      </c>
      <c r="K2444" s="6" t="n">
        <f aca="false">0</f>
        <v>0</v>
      </c>
      <c r="L2444" s="11" t="s">
        <v>847</v>
      </c>
    </row>
    <row r="2445" customFormat="false" ht="15" hidden="false" customHeight="false" outlineLevel="0" collapsed="false">
      <c r="A2445" s="1" t="s">
        <v>678</v>
      </c>
      <c r="B2445" s="0" t="s">
        <v>95</v>
      </c>
      <c r="E2445" s="6" t="n">
        <f aca="false">Q!M35</f>
        <v>182.935</v>
      </c>
      <c r="F2445" s="6" t="n">
        <f aca="false">Sens!F2440+Sens!F2442+Sens!F2443+Sens!F2444</f>
        <v>202.050623859964</v>
      </c>
      <c r="G2445" s="6" t="n">
        <f aca="false">Sens!G2440+Sens!G2442+Sens!G2443+Sens!G2444</f>
        <v>236.023843499452</v>
      </c>
      <c r="H2445" s="6" t="n">
        <f aca="false">Sens!H2440+Sens!H2442+Sens!H2443+Sens!H2444</f>
        <v>260.61230419453</v>
      </c>
      <c r="I2445" s="6" t="n">
        <f aca="false">Sens!I2440+Sens!I2442+Sens!I2443+Sens!I2444</f>
        <v>282.46812874014</v>
      </c>
      <c r="J2445" s="6" t="n">
        <f aca="false">Sens!J2440+Sens!J2442+Sens!J2443+Sens!J2444</f>
        <v>303.037803136444</v>
      </c>
      <c r="K2445" s="6" t="n">
        <f aca="false">Sens!K2440+Sens!K2442+Sens!K2443+Sens!K2444</f>
        <v>322.356489247841</v>
      </c>
    </row>
    <row r="2446" customFormat="false" ht="17.15" hidden="false" customHeight="false" outlineLevel="0" collapsed="false">
      <c r="A2446" s="0" t="s">
        <v>848</v>
      </c>
      <c r="B2446" s="0" t="s">
        <v>95</v>
      </c>
      <c r="F2446" s="6" t="n">
        <f aca="false">Sens!F2362</f>
        <v>168.620652770438</v>
      </c>
      <c r="G2446" s="6" t="n">
        <f aca="false">Sens!G2362</f>
        <v>35.302727016</v>
      </c>
      <c r="H2446" s="6" t="n">
        <f aca="false">Sens!H2362</f>
        <v>0</v>
      </c>
      <c r="I2446" s="6" t="n">
        <f aca="false">Sens!I2362</f>
        <v>30.2586753466667</v>
      </c>
      <c r="J2446" s="6" t="n">
        <f aca="false">Sens!J2362</f>
        <v>45.6967750133333</v>
      </c>
      <c r="K2446" s="6" t="n">
        <f aca="false">Sens!K2362</f>
        <v>90.77602604</v>
      </c>
    </row>
    <row r="2447" customFormat="false" ht="17.15" hidden="false" customHeight="false" outlineLevel="0" collapsed="false">
      <c r="A2447" s="1" t="s">
        <v>849</v>
      </c>
      <c r="B2447" s="0" t="s">
        <v>95</v>
      </c>
      <c r="E2447" s="6" t="n">
        <f aca="false">Sens!E2370*cx_azo+Sens!E2377*cx_m365+Sens!E2378*cx_lic+(Sens!E2380+Sens!E2382)*cx_ind+Sens!E2385*cx_srch+(Sens!E2387+Sens!E2389)*cx_dev</f>
        <v>30.1846587067718</v>
      </c>
      <c r="F2447" s="6" t="n">
        <f aca="false">Sens!F2370*cx_azo+Sens!F2377*cx_m365+Sens!F2378*cx_lic+(Sens!F2380+Sens!F2382)*cx_ind+Sens!F2385*cx_srch+(Sens!F2387+Sens!F2389)*cx_dev</f>
        <v>35.5793472295625</v>
      </c>
      <c r="G2447" s="6" t="n">
        <f aca="false">Sens!G2370*cx_azo+Sens!G2377*cx_m365+Sens!G2378*cx_lic+(Sens!G2380+Sens!G2382)*cx_ind+Sens!G2385*cx_srch+(Sens!G2387+Sens!G2389)*cx_dev</f>
        <v>41.1528935703892</v>
      </c>
      <c r="H2447" s="6" t="n">
        <f aca="false">Sens!H2370*cx_azo+Sens!H2377*cx_m365+Sens!H2378*cx_lic+(Sens!H2380+Sens!H2382)*cx_ind+Sens!H2385*cx_srch+(Sens!H2387+Sens!H2389)*cx_dev</f>
        <v>46.8115136440897</v>
      </c>
      <c r="I2447" s="6" t="n">
        <f aca="false">Sens!I2370*cx_azo+Sens!I2377*cx_m365+Sens!I2378*cx_lic+(Sens!I2380+Sens!I2382)*cx_ind+Sens!I2385*cx_srch+(Sens!I2387+Sens!I2389)*cx_dev</f>
        <v>52.1984003116439</v>
      </c>
      <c r="J2447" s="6" t="n">
        <f aca="false">Sens!J2370*cx_azo+Sens!J2377*cx_m365+Sens!J2378*cx_lic+(Sens!J2380+Sens!J2382)*cx_ind+Sens!J2385*cx_srch+(Sens!J2387+Sens!J2389)*cx_dev</f>
        <v>57.0809132503738</v>
      </c>
      <c r="K2447" s="6" t="n">
        <f aca="false">Sens!K2370*cx_azo+Sens!K2377*cx_m365+Sens!K2378*cx_lic+(Sens!K2380+Sens!K2382)*cx_ind+Sens!K2385*cx_srch+(Sens!K2387+Sens!K2389)*cx_dev</f>
        <v>61.368702741994</v>
      </c>
    </row>
    <row r="2448" customFormat="false" ht="17.15" hidden="false" customHeight="false" outlineLevel="0" collapsed="false">
      <c r="A2448" s="1" t="s">
        <v>850</v>
      </c>
      <c r="B2448" s="0" t="s">
        <v>95</v>
      </c>
      <c r="E2448" s="6" t="n">
        <f aca="false">Q!M42</f>
        <v>145.3</v>
      </c>
      <c r="F2448" s="6" t="n">
        <f aca="false">Sens!F2446+Sens!F2447</f>
        <v>204.2</v>
      </c>
      <c r="G2448" s="6" t="n">
        <f aca="false">Sens!G2446+Sens!G2447</f>
        <v>76.4556205863892</v>
      </c>
      <c r="H2448" s="6" t="n">
        <f aca="false">Sens!H2446+Sens!H2447</f>
        <v>46.8115136440897</v>
      </c>
      <c r="I2448" s="6" t="n">
        <f aca="false">Sens!I2446+Sens!I2447</f>
        <v>82.4570756583106</v>
      </c>
      <c r="J2448" s="6" t="n">
        <f aca="false">Sens!J2446+Sens!J2447</f>
        <v>102.777688263707</v>
      </c>
      <c r="K2448" s="6" t="n">
        <f aca="false">Sens!K2446+Sens!K2447</f>
        <v>152.144728781994</v>
      </c>
      <c r="L2448" s="1" t="s">
        <v>851</v>
      </c>
    </row>
    <row r="2449" customFormat="false" ht="15" hidden="false" customHeight="false" outlineLevel="0" collapsed="false">
      <c r="A2449" s="1" t="s">
        <v>852</v>
      </c>
      <c r="B2449" s="0" t="s">
        <v>95</v>
      </c>
      <c r="E2449" s="6" t="n">
        <f aca="false">fl_liab</f>
        <v>66.594</v>
      </c>
      <c r="F2449" s="6" t="n">
        <f aca="false">Sens!E2449-Sens!F2450</f>
        <v>62.46973</v>
      </c>
      <c r="G2449" s="6" t="n">
        <f aca="false">Sens!F2449-Sens!G2450</f>
        <v>57.98686785</v>
      </c>
      <c r="H2449" s="6" t="n">
        <f aca="false">Sens!G2449-Sens!H2450</f>
        <v>53.92827690325</v>
      </c>
      <c r="I2449" s="6" t="n">
        <f aca="false">Sens!H2449-Sens!I2450</f>
        <v>49.7850493638962</v>
      </c>
      <c r="J2449" s="6" t="n">
        <f aca="false">Sens!I2449-Sens!J2450</f>
        <v>45.4823765852716</v>
      </c>
      <c r="K2449" s="6" t="n">
        <f aca="false">Sens!J2449-Sens!K2450</f>
        <v>40.9860835316088</v>
      </c>
    </row>
    <row r="2450" customFormat="false" ht="15" hidden="false" customHeight="false" outlineLevel="0" collapsed="false">
      <c r="A2450" s="1" t="s">
        <v>853</v>
      </c>
      <c r="B2450" s="0" t="s">
        <v>95</v>
      </c>
      <c r="F2450" s="6" t="n">
        <f aca="false">fl_pay_27-Sens!E2449*fl_rate</f>
        <v>4.12427</v>
      </c>
      <c r="G2450" s="6" t="n">
        <f aca="false">fl_pay_28-Sens!F2449*fl_rate</f>
        <v>4.48286215</v>
      </c>
      <c r="H2450" s="6" t="n">
        <f aca="false">fl_pay_29-Sens!G2449*fl_rate</f>
        <v>4.05859094675</v>
      </c>
      <c r="I2450" s="6" t="n">
        <f aca="false">fl_pay_30-Sens!H2449*fl_rate</f>
        <v>4.14322753935375</v>
      </c>
      <c r="J2450" s="6" t="n">
        <f aca="false">fl_pay_31-Sens!I2449*fl_rate</f>
        <v>4.30267277862467</v>
      </c>
      <c r="K2450" s="6" t="n">
        <f aca="false">fl_pay_32-Sens!J2449*fl_rate</f>
        <v>4.49629305366278</v>
      </c>
    </row>
    <row r="2451" customFormat="false" ht="17.15" hidden="false" customHeight="false" outlineLevel="0" collapsed="false">
      <c r="A2451" s="1" t="s">
        <v>854</v>
      </c>
      <c r="B2451" s="0" t="s">
        <v>95</v>
      </c>
      <c r="E2451" s="6" t="n">
        <f aca="false">Q!M35-Q!M36-Q!M43</f>
        <v>63.886</v>
      </c>
      <c r="F2451" s="6" t="n">
        <f aca="false">Sens!F2445-Sens!F2448-Sens!F2450</f>
        <v>-6.27364614003597</v>
      </c>
      <c r="G2451" s="6" t="n">
        <f aca="false">Sens!G2445-Sens!G2448-Sens!G2450</f>
        <v>155.085360763063</v>
      </c>
      <c r="H2451" s="6" t="n">
        <f aca="false">Sens!H2445-Sens!H2448-Sens!H2450</f>
        <v>209.74219960369</v>
      </c>
      <c r="I2451" s="6" t="n">
        <f aca="false">Sens!I2445-Sens!I2448-Sens!I2450</f>
        <v>195.867825542475</v>
      </c>
      <c r="J2451" s="6" t="n">
        <f aca="false">Sens!J2445-Sens!J2448-Sens!J2450</f>
        <v>195.957442094112</v>
      </c>
      <c r="K2451" s="6" t="n">
        <f aca="false">Sens!K2445-Sens!K2448-Sens!K2450</f>
        <v>165.715467412185</v>
      </c>
      <c r="L2451" s="11" t="s">
        <v>855</v>
      </c>
    </row>
    <row r="2452" customFormat="false" ht="15" hidden="false" customHeight="false" outlineLevel="0" collapsed="false">
      <c r="A2452" s="1" t="s">
        <v>856</v>
      </c>
      <c r="B2452" s="0" t="s">
        <v>73</v>
      </c>
      <c r="F2452" s="8" t="n">
        <f aca="false">dps_27</f>
        <v>3.85</v>
      </c>
      <c r="G2452" s="8" t="n">
        <f aca="false">Sens!F2452*(1+dps_g)</f>
        <v>4.158</v>
      </c>
      <c r="H2452" s="8" t="n">
        <f aca="false">Sens!G2452*(1+dps_g)</f>
        <v>4.49064</v>
      </c>
      <c r="I2452" s="8" t="n">
        <f aca="false">Sens!H2452*(1+dps_g)</f>
        <v>4.8498912</v>
      </c>
      <c r="J2452" s="8" t="n">
        <f aca="false">Sens!I2452*(1+dps_g)</f>
        <v>5.237882496</v>
      </c>
      <c r="K2452" s="8" t="n">
        <f aca="false">Sens!J2452*(1+dps_g)</f>
        <v>5.65691309568</v>
      </c>
    </row>
    <row r="2453" customFormat="false" ht="17.15" hidden="false" customHeight="false" outlineLevel="0" collapsed="false">
      <c r="A2453" s="1" t="s">
        <v>857</v>
      </c>
      <c r="B2453" s="0" t="s">
        <v>95</v>
      </c>
      <c r="E2453" s="6" t="n">
        <f aca="false">Q!M41</f>
        <v>26.445</v>
      </c>
      <c r="F2453" s="6" t="n">
        <f aca="false">Sens!F2452*Sens!E2462</f>
        <v>28.59395</v>
      </c>
      <c r="G2453" s="6" t="n">
        <f aca="false">Sens!G2452*Sens!F2462</f>
        <v>31.068576</v>
      </c>
      <c r="H2453" s="6" t="n">
        <f aca="false">Sens!H2452*Sens!G2462</f>
        <v>33.5888350159995</v>
      </c>
      <c r="I2453" s="6" t="n">
        <f aca="false">Sens!I2452*Sens!H2462</f>
        <v>36.3268810572789</v>
      </c>
      <c r="J2453" s="6" t="n">
        <f aca="false">Sens!J2452*Sens!I2462</f>
        <v>39.3014303901806</v>
      </c>
      <c r="K2453" s="6" t="n">
        <f aca="false">Sens!K2452*Sens!J2462</f>
        <v>42.5328000467001</v>
      </c>
      <c r="L2453" s="1" t="s">
        <v>858</v>
      </c>
    </row>
    <row r="2454" customFormat="false" ht="15" hidden="false" customHeight="false" outlineLevel="0" collapsed="false">
      <c r="A2454" s="1" t="s">
        <v>859</v>
      </c>
      <c r="B2454" s="0" t="s">
        <v>95</v>
      </c>
      <c r="E2454" s="6" t="n">
        <f aca="false">Sens!E2451-Sens!E2453</f>
        <v>37.441</v>
      </c>
      <c r="F2454" s="6" t="n">
        <f aca="false">Sens!F2451-Sens!F2453</f>
        <v>-34.867596140036</v>
      </c>
      <c r="G2454" s="6" t="n">
        <f aca="false">Sens!G2451-Sens!G2453</f>
        <v>124.016784763063</v>
      </c>
      <c r="H2454" s="6" t="n">
        <f aca="false">Sens!H2451-Sens!H2453</f>
        <v>176.153364587691</v>
      </c>
      <c r="I2454" s="6" t="n">
        <f aca="false">Sens!I2451-Sens!I2453</f>
        <v>159.540944485197</v>
      </c>
      <c r="J2454" s="6" t="n">
        <f aca="false">Sens!J2451-Sens!J2453</f>
        <v>156.656011703932</v>
      </c>
      <c r="K2454" s="6" t="n">
        <f aca="false">Sens!K2451-Sens!K2453</f>
        <v>123.182667365484</v>
      </c>
    </row>
    <row r="2455" customFormat="false" ht="15" hidden="false" customHeight="false" outlineLevel="0" collapsed="false">
      <c r="A2455" s="1" t="s">
        <v>860</v>
      </c>
      <c r="B2455" s="0" t="s">
        <v>95</v>
      </c>
      <c r="F2455" s="6" t="n">
        <f aca="false">debt_mat_27</f>
        <v>9.25</v>
      </c>
      <c r="G2455" s="6" t="n">
        <f aca="false">debt_mat_28</f>
        <v>0</v>
      </c>
      <c r="H2455" s="6" t="n">
        <f aca="false">debt_mat_29</f>
        <v>2.001</v>
      </c>
      <c r="I2455" s="6" t="n">
        <f aca="false">debt_mat_30</f>
        <v>0</v>
      </c>
      <c r="J2455" s="6" t="n">
        <f aca="false">debt_mat_31</f>
        <v>0.5</v>
      </c>
      <c r="K2455" s="6" t="n">
        <f aca="false">debt_mat_32</f>
        <v>0</v>
      </c>
    </row>
    <row r="2456" customFormat="false" ht="15" hidden="false" customHeight="false" outlineLevel="0" collapsed="false">
      <c r="A2456" s="1" t="s">
        <v>861</v>
      </c>
      <c r="B2456" s="0" t="s">
        <v>95</v>
      </c>
      <c r="E2456" s="6" t="n">
        <f aca="false">Q!M40</f>
        <v>22.271</v>
      </c>
      <c r="F2456" s="6" t="n">
        <f aca="false">MAX(0,MIN(bb_target,Sens!E2458+Sens!F2454-Sens!F2455-min_cash))</f>
        <v>0</v>
      </c>
      <c r="G2456" s="6" t="n">
        <f aca="false">MAX(0,MIN(bb_target,Sens!F2458+Sens!G2454-Sens!G2455-min_cash))</f>
        <v>22.271</v>
      </c>
      <c r="H2456" s="6" t="n">
        <f aca="false">MAX(0,MIN(bb_target,Sens!G2458+Sens!H2454-Sens!H2455-min_cash))</f>
        <v>22.271</v>
      </c>
      <c r="I2456" s="6" t="n">
        <f aca="false">MAX(0,MIN(bb_target,Sens!H2458+Sens!I2454-Sens!I2455-min_cash))</f>
        <v>22.271</v>
      </c>
      <c r="J2456" s="6" t="n">
        <f aca="false">MAX(0,MIN(bb_target,Sens!I2458+Sens!J2454-Sens!J2455-min_cash))</f>
        <v>22.271</v>
      </c>
      <c r="K2456" s="6" t="n">
        <f aca="false">MAX(0,MIN(bb_target,Sens!J2458+Sens!K2454-Sens!K2455-min_cash))</f>
        <v>22.271</v>
      </c>
    </row>
    <row r="2457" customFormat="false" ht="15" hidden="false" customHeight="false" outlineLevel="0" collapsed="false">
      <c r="A2457" s="1" t="s">
        <v>862</v>
      </c>
      <c r="B2457" s="0" t="s">
        <v>95</v>
      </c>
      <c r="F2457" s="6" t="n">
        <f aca="false">MAX(0,min_cash-(Sens!E2458+Sens!F2454-Sens!F2455-Sens!F2456))</f>
        <v>17.274596140036</v>
      </c>
      <c r="G2457" s="6" t="n">
        <f aca="false">MAX(0,min_cash-(Sens!F2458+Sens!G2454-Sens!G2455-Sens!G2456))</f>
        <v>0</v>
      </c>
      <c r="H2457" s="6" t="n">
        <f aca="false">MAX(0,min_cash-(Sens!G2458+Sens!H2454-Sens!H2455-Sens!H2456))</f>
        <v>0</v>
      </c>
      <c r="I2457" s="6" t="n">
        <f aca="false">MAX(0,min_cash-(Sens!H2458+Sens!I2454-Sens!I2455-Sens!I2456))</f>
        <v>0</v>
      </c>
      <c r="J2457" s="6" t="n">
        <f aca="false">MAX(0,min_cash-(Sens!I2458+Sens!J2454-Sens!J2455-Sens!J2456))</f>
        <v>0</v>
      </c>
      <c r="K2457" s="6" t="n">
        <f aca="false">MAX(0,min_cash-(Sens!J2458+Sens!K2454-Sens!K2455-Sens!K2456))</f>
        <v>0</v>
      </c>
    </row>
    <row r="2458" customFormat="false" ht="15" hidden="false" customHeight="false" outlineLevel="0" collapsed="false">
      <c r="A2458" s="1" t="s">
        <v>863</v>
      </c>
      <c r="B2458" s="0" t="s">
        <v>95</v>
      </c>
      <c r="E2458" s="6" t="n">
        <f aca="false">cash_open</f>
        <v>76.843</v>
      </c>
      <c r="F2458" s="6" t="n">
        <f aca="false">Sens!E2458+Sens!F2454-Sens!F2455-Sens!F2456+Sens!F2457</f>
        <v>50</v>
      </c>
      <c r="G2458" s="6" t="n">
        <f aca="false">Sens!F2458+Sens!G2454-Sens!G2455-Sens!G2456+Sens!G2457</f>
        <v>151.745784763063</v>
      </c>
      <c r="H2458" s="6" t="n">
        <f aca="false">Sens!G2458+Sens!H2454-Sens!H2455-Sens!H2456+Sens!H2457</f>
        <v>303.627149350754</v>
      </c>
      <c r="I2458" s="6" t="n">
        <f aca="false">Sens!H2458+Sens!I2454-Sens!I2455-Sens!I2456+Sens!I2457</f>
        <v>440.89709383595</v>
      </c>
      <c r="J2458" s="6" t="n">
        <f aca="false">Sens!I2458+Sens!J2454-Sens!J2455-Sens!J2456+Sens!J2457</f>
        <v>574.782105539882</v>
      </c>
      <c r="K2458" s="6" t="n">
        <f aca="false">Sens!J2458+Sens!K2454-Sens!K2455-Sens!K2456+Sens!K2457</f>
        <v>675.693772905367</v>
      </c>
    </row>
    <row r="2459" customFormat="false" ht="15" hidden="false" customHeight="false" outlineLevel="0" collapsed="false">
      <c r="A2459" s="1" t="s">
        <v>864</v>
      </c>
      <c r="B2459" s="0" t="s">
        <v>95</v>
      </c>
      <c r="E2459" s="6" t="n">
        <f aca="false">debt_face</f>
        <v>46.136</v>
      </c>
      <c r="F2459" s="6" t="n">
        <f aca="false">Sens!E2459-Sens!F2455+Sens!F2457</f>
        <v>54.160596140036</v>
      </c>
      <c r="G2459" s="6" t="n">
        <f aca="false">Sens!F2459-Sens!G2455+Sens!G2457</f>
        <v>54.160596140036</v>
      </c>
      <c r="H2459" s="6" t="n">
        <f aca="false">Sens!G2459-Sens!H2455+Sens!H2457</f>
        <v>52.159596140036</v>
      </c>
      <c r="I2459" s="6" t="n">
        <f aca="false">Sens!H2459-Sens!I2455+Sens!I2457</f>
        <v>52.159596140036</v>
      </c>
      <c r="J2459" s="6" t="n">
        <f aca="false">Sens!I2459-Sens!J2455+Sens!J2457</f>
        <v>51.659596140036</v>
      </c>
      <c r="K2459" s="6" t="n">
        <f aca="false">Sens!J2459-Sens!K2455+Sens!K2457</f>
        <v>51.659596140036</v>
      </c>
    </row>
    <row r="2460" customFormat="false" ht="15" hidden="false" customHeight="false" outlineLevel="0" collapsed="false">
      <c r="A2460" s="1" t="s">
        <v>865</v>
      </c>
      <c r="B2460" s="0" t="s">
        <v>95</v>
      </c>
      <c r="E2460" s="6" t="n">
        <f aca="false">Sens!E2458-Sens!E2459</f>
        <v>30.707</v>
      </c>
      <c r="F2460" s="6" t="n">
        <f aca="false">Sens!F2458-Sens!F2459</f>
        <v>-4.16059614003597</v>
      </c>
      <c r="G2460" s="6" t="n">
        <f aca="false">Sens!G2458-Sens!G2459</f>
        <v>97.5851886230267</v>
      </c>
      <c r="H2460" s="6" t="n">
        <f aca="false">Sens!H2458-Sens!H2459</f>
        <v>251.467553210718</v>
      </c>
      <c r="I2460" s="6" t="n">
        <f aca="false">Sens!I2458-Sens!I2459</f>
        <v>388.737497695914</v>
      </c>
      <c r="J2460" s="6" t="n">
        <f aca="false">Sens!J2458-Sens!J2459</f>
        <v>523.122509399846</v>
      </c>
      <c r="K2460" s="6" t="n">
        <f aca="false">Sens!K2458-Sens!K2459</f>
        <v>624.034176765331</v>
      </c>
    </row>
    <row r="2461" customFormat="false" ht="15" hidden="false" customHeight="false" outlineLevel="0" collapsed="false">
      <c r="A2461" s="1" t="s">
        <v>866</v>
      </c>
      <c r="B2461" s="0" t="s">
        <v>73</v>
      </c>
      <c r="F2461" s="27" t="n">
        <f aca="false">px*(1+bb_g)^(1-0.5)</f>
        <v>553.494156066711</v>
      </c>
      <c r="G2461" s="27" t="n">
        <f aca="false">px*(1+bb_g)^(2-0.5)</f>
        <v>597.773688552047</v>
      </c>
      <c r="H2461" s="27" t="n">
        <f aca="false">px*(1+bb_g)^(3-0.5)</f>
        <v>645.595583636211</v>
      </c>
      <c r="I2461" s="27" t="n">
        <f aca="false">px*(1+bb_g)^(4-0.5)</f>
        <v>697.243230327108</v>
      </c>
      <c r="J2461" s="27" t="n">
        <f aca="false">px*(1+bb_g)^(5-0.5)</f>
        <v>753.022688753277</v>
      </c>
      <c r="K2461" s="27" t="n">
        <f aca="false">px*(1+bb_g)^(6-0.5)</f>
        <v>813.264503853539</v>
      </c>
    </row>
    <row r="2462" customFormat="false" ht="15" hidden="false" customHeight="false" outlineLevel="0" collapsed="false">
      <c r="A2462" s="1" t="s">
        <v>867</v>
      </c>
      <c r="B2462" s="1" t="s">
        <v>79</v>
      </c>
      <c r="E2462" s="18" t="n">
        <f aca="false">sh_out26</f>
        <v>7.427</v>
      </c>
      <c r="F2462" s="18" t="n">
        <f aca="false">Sens!E2462+sh_iss-Sens!F2456/Sens!F2461</f>
        <v>7.472</v>
      </c>
      <c r="G2462" s="18" t="n">
        <f aca="false">Sens!F2462+sh_iss-Sens!G2456/Sens!G2461</f>
        <v>7.47974342543589</v>
      </c>
      <c r="H2462" s="18" t="n">
        <f aca="false">Sens!G2462+sh_iss-Sens!H2456/Sens!H2461</f>
        <v>7.4902465971358</v>
      </c>
      <c r="I2462" s="18" t="n">
        <f aca="false">Sens!H2462+sh_iss-Sens!I2456/Sens!I2461</f>
        <v>7.50330508945052</v>
      </c>
      <c r="J2462" s="18" t="n">
        <f aca="false">Sens!I2462+sh_iss-Sens!J2456/Sens!J2461</f>
        <v>7.51872961937156</v>
      </c>
      <c r="K2462" s="18" t="n">
        <f aca="false">Sens!J2462+sh_iss-Sens!K2456/Sens!K2461</f>
        <v>7.53634492485401</v>
      </c>
    </row>
    <row r="2463" customFormat="false" ht="15" hidden="false" customHeight="false" outlineLevel="0" collapsed="false">
      <c r="A2463" s="1" t="s">
        <v>868</v>
      </c>
      <c r="B2463" s="1" t="s">
        <v>79</v>
      </c>
      <c r="E2463" s="18" t="n">
        <f aca="false">sh_dil26</f>
        <v>7.453</v>
      </c>
      <c r="F2463" s="18" t="n">
        <f aca="false">(Sens!E2462+Sens!F2462)/2+dil_gap</f>
        <v>7.4735</v>
      </c>
      <c r="G2463" s="18" t="n">
        <f aca="false">(Sens!F2462+Sens!G2462)/2+dil_gap</f>
        <v>7.49987171271795</v>
      </c>
      <c r="H2463" s="18" t="n">
        <f aca="false">(Sens!G2462+Sens!H2462)/2+dil_gap</f>
        <v>7.50899501128585</v>
      </c>
      <c r="I2463" s="18" t="n">
        <f aca="false">(Sens!H2462+Sens!I2462)/2+dil_gap</f>
        <v>7.52077584329316</v>
      </c>
      <c r="J2463" s="18" t="n">
        <f aca="false">(Sens!I2462+Sens!J2462)/2+dil_gap</f>
        <v>7.53501735441104</v>
      </c>
      <c r="K2463" s="18" t="n">
        <f aca="false">(Sens!J2462+Sens!K2462)/2+dil_gap</f>
        <v>7.55153727211278</v>
      </c>
    </row>
    <row r="2464" customFormat="false" ht="17.15" hidden="false" customHeight="false" outlineLevel="0" collapsed="false">
      <c r="A2464" s="1" t="s">
        <v>869</v>
      </c>
      <c r="B2464" s="0" t="s">
        <v>95</v>
      </c>
      <c r="C2464" s="6" t="n">
        <f aca="false">SUM(Sens!F2454:J2454)</f>
        <v>581.499509399846</v>
      </c>
    </row>
    <row r="2465" customFormat="false" ht="17.15" hidden="false" customHeight="false" outlineLevel="0" collapsed="false">
      <c r="A2465" s="1" t="s">
        <v>836</v>
      </c>
      <c r="B2465" s="1" t="s">
        <v>870</v>
      </c>
      <c r="C2465" s="30" t="str">
        <f aca="false">IF(SUM(Sens!F2457:J2457)&gt;0.05,"需要舉債 "&amp;TEXT(SUM(Sens!F2457:J2457),"0.0")&amp;" 十億美元","不需舉債")&amp;"；"&amp;IF(SUM(Sens!F2456:J2456)&lt;5*bb_target-0.05,"回購較每年 "&amp;TEXT(bb_target,"0.0")&amp;" 的目標少 "&amp;TEXT(5*bb_target-SUM(Sens!F2456:J2456),"0.0")&amp;" 十億美元（"&amp;TEXT(COUNTIF(Sens!F2456:J2456,"&lt;"&amp;(bb_target-0.05)),"0")&amp;" 年減少）","回購不減")</f>
        <v>需要舉債 17.3 十億美元；回購較每年 22.3 的目標少 22.3 十億美元（1 年減少）</v>
      </c>
    </row>
    <row r="2466" customFormat="false" ht="17.15" hidden="false" customHeight="false" outlineLevel="0" collapsed="false">
      <c r="A2466" s="3" t="s">
        <v>1183</v>
      </c>
    </row>
    <row r="2467" customFormat="false" ht="15" hidden="false" customHeight="false" outlineLevel="0" collapsed="false">
      <c r="A2467" s="4" t="s">
        <v>43</v>
      </c>
      <c r="B2467" s="4" t="s">
        <v>63</v>
      </c>
      <c r="C2467" s="19" t="s">
        <v>710</v>
      </c>
      <c r="D2467" s="19" t="s">
        <v>711</v>
      </c>
      <c r="E2467" s="19" t="s">
        <v>712</v>
      </c>
      <c r="F2467" s="19" t="s">
        <v>713</v>
      </c>
      <c r="G2467" s="19" t="s">
        <v>714</v>
      </c>
      <c r="H2467" s="19" t="s">
        <v>715</v>
      </c>
      <c r="I2467" s="19" t="s">
        <v>716</v>
      </c>
      <c r="J2467" s="19" t="s">
        <v>717</v>
      </c>
      <c r="K2467" s="19" t="s">
        <v>718</v>
      </c>
      <c r="L2467" s="4" t="s">
        <v>47</v>
      </c>
    </row>
    <row r="2468" customFormat="false" ht="17.15" hidden="false" customHeight="false" outlineLevel="0" collapsed="false">
      <c r="A2468" s="1" t="s">
        <v>938</v>
      </c>
      <c r="B2468" s="1" t="s">
        <v>213</v>
      </c>
      <c r="F2468" s="34" t="n">
        <f aca="false">1-0.5</f>
        <v>0.5</v>
      </c>
      <c r="G2468" s="34" t="n">
        <f aca="false">2-0.5</f>
        <v>1.5</v>
      </c>
      <c r="H2468" s="34" t="n">
        <f aca="false">3-0.5</f>
        <v>2.5</v>
      </c>
      <c r="I2468" s="34" t="n">
        <f aca="false">4-0.5</f>
        <v>3.5</v>
      </c>
      <c r="J2468" s="34" t="n">
        <f aca="false">5-0.5</f>
        <v>4.5</v>
      </c>
      <c r="K2468" s="34" t="n">
        <f aca="false">6-0.5</f>
        <v>5.5</v>
      </c>
    </row>
    <row r="2469" customFormat="false" ht="15" hidden="false" customHeight="false" outlineLevel="0" collapsed="false">
      <c r="A2469" s="1" t="s">
        <v>939</v>
      </c>
      <c r="B2469" s="0" t="s">
        <v>182</v>
      </c>
      <c r="F2469" s="18" t="n">
        <f aca="false">1/(1+wacc)^Sens!F2468</f>
        <v>0.949601579913219</v>
      </c>
      <c r="G2469" s="18" t="n">
        <f aca="false">1/(1+wacc)^Sens!G2468</f>
        <v>0.856296729956707</v>
      </c>
      <c r="H2469" s="18" t="n">
        <f aca="false">1/(1+wacc)^Sens!H2468</f>
        <v>0.772159719660069</v>
      </c>
      <c r="I2469" s="18" t="n">
        <f aca="false">1/(1+wacc)^Sens!I2468</f>
        <v>0.696289746073958</v>
      </c>
      <c r="J2469" s="18" t="n">
        <f aca="false">1/(1+wacc)^Sens!J2468</f>
        <v>0.627874516299776</v>
      </c>
      <c r="K2469" s="18" t="n">
        <f aca="false">1/(1+wacc)^Sens!K2468</f>
        <v>0.566181550771831</v>
      </c>
    </row>
    <row r="2470" customFormat="false" ht="15" hidden="false" customHeight="false" outlineLevel="0" collapsed="false">
      <c r="A2470" s="1" t="s">
        <v>940</v>
      </c>
      <c r="B2470" s="0" t="s">
        <v>95</v>
      </c>
      <c r="F2470" s="6" t="n">
        <f aca="false">Sens!F2451*Sens!F2469</f>
        <v>-5.95746428639462</v>
      </c>
      <c r="G2470" s="6" t="n">
        <f aca="false">Sens!G2451*Sens!G2469</f>
        <v>132.799087285567</v>
      </c>
      <c r="H2470" s="6" t="n">
        <f aca="false">Sens!H2451*Sens!H2469</f>
        <v>161.954478046872</v>
      </c>
      <c r="I2470" s="6" t="n">
        <f aca="false">Sens!I2451*Sens!I2469</f>
        <v>136.380758511028</v>
      </c>
      <c r="J2470" s="6" t="n">
        <f aca="false">Sens!J2451*Sens!J2469</f>
        <v>123.036684170182</v>
      </c>
      <c r="K2470" s="6" t="n">
        <f aca="false">Sens!K2451*Sens!K2469</f>
        <v>93.8250403263095</v>
      </c>
    </row>
    <row r="2471" customFormat="false" ht="17.15" hidden="false" customHeight="false" outlineLevel="0" collapsed="false">
      <c r="A2471" s="1" t="s">
        <v>941</v>
      </c>
      <c r="B2471" s="0" t="s">
        <v>95</v>
      </c>
      <c r="C2471" s="6" t="n">
        <f aca="false">SUM(Sens!F2470:K2470)</f>
        <v>642.038584053564</v>
      </c>
    </row>
    <row r="2472" customFormat="false" ht="17.15" hidden="false" customHeight="false" outlineLevel="0" collapsed="false">
      <c r="A2472" s="1" t="s">
        <v>942</v>
      </c>
      <c r="B2472" s="0" t="s">
        <v>95</v>
      </c>
      <c r="C2472" s="6" t="n">
        <f aca="false">Sens!K2417*(1+g_tv)*(1-tax_f)</f>
        <v>211.016846985426</v>
      </c>
    </row>
    <row r="2473" customFormat="false" ht="17.15" hidden="false" customHeight="false" outlineLevel="0" collapsed="false">
      <c r="A2473" s="1" t="s">
        <v>943</v>
      </c>
      <c r="B2473" s="0" t="s">
        <v>95</v>
      </c>
      <c r="C2473" s="6" t="n">
        <f aca="false">Sens!$C$2472*(1-g_tv/(wacc+ronic_prem))</f>
        <v>152.919212363985</v>
      </c>
    </row>
    <row r="2474" customFormat="false" ht="17.15" hidden="false" customHeight="false" outlineLevel="0" collapsed="false">
      <c r="A2474" s="1" t="s">
        <v>944</v>
      </c>
      <c r="B2474" s="0" t="s">
        <v>95</v>
      </c>
      <c r="C2474" s="6" t="n">
        <f aca="false">Sens!$C$2473/(wacc-g_tv)</f>
        <v>1936.58782071472</v>
      </c>
    </row>
    <row r="2475" customFormat="false" ht="15" hidden="false" customHeight="false" outlineLevel="0" collapsed="false">
      <c r="A2475" s="1" t="s">
        <v>945</v>
      </c>
      <c r="B2475" s="0" t="s">
        <v>95</v>
      </c>
      <c r="C2475" s="6" t="n">
        <f aca="false">Sens!$C$2474/(1+wacc)^6</f>
        <v>1041.20042895509</v>
      </c>
    </row>
    <row r="2476" customFormat="false" ht="17.15" hidden="false" customHeight="false" outlineLevel="0" collapsed="false">
      <c r="A2476" s="0" t="s">
        <v>877</v>
      </c>
      <c r="B2476" s="0" t="s">
        <v>95</v>
      </c>
      <c r="C2476" s="6" t="n">
        <f aca="false">Sens!$C$2471+Sens!$C$2475</f>
        <v>1683.23901300866</v>
      </c>
    </row>
    <row r="2477" customFormat="false" ht="15" hidden="false" customHeight="false" outlineLevel="0" collapsed="false">
      <c r="A2477" s="1" t="s">
        <v>878</v>
      </c>
      <c r="B2477" s="0" t="s">
        <v>126</v>
      </c>
      <c r="C2477" s="7" t="n">
        <f aca="false">Sens!$C$2475/Sens!$C$2476</f>
        <v>0.618569567903509</v>
      </c>
    </row>
    <row r="2478" customFormat="false" ht="17.15" hidden="false" customHeight="false" outlineLevel="0" collapsed="false">
      <c r="A2478" s="1" t="s">
        <v>946</v>
      </c>
      <c r="B2478" s="0" t="s">
        <v>95</v>
      </c>
      <c r="C2478" s="6" t="n">
        <f aca="false">Sens!$C$2476+Sens!E2460+oai_v</f>
        <v>1884.34601300866</v>
      </c>
    </row>
    <row r="2479" customFormat="false" ht="17.15" hidden="false" customHeight="false" outlineLevel="0" collapsed="false">
      <c r="A2479" s="0" t="s">
        <v>883</v>
      </c>
      <c r="B2479" s="0" t="s">
        <v>73</v>
      </c>
      <c r="C2479" s="5" t="n">
        <f aca="false">Sens!$C$2478/sh_dil26</f>
        <v>252.8305397838</v>
      </c>
    </row>
    <row r="2480" customFormat="false" ht="17.15" hidden="false" customHeight="false" outlineLevel="0" collapsed="false">
      <c r="A2480" s="0" t="s">
        <v>947</v>
      </c>
      <c r="B2480" s="0" t="s">
        <v>73</v>
      </c>
      <c r="C2480" s="5" t="n">
        <f aca="false">Sens!$C$2479*(1+wacc)^t_roll</f>
        <v>289.995256454712</v>
      </c>
    </row>
    <row r="2481" customFormat="false" ht="17.15" hidden="false" customHeight="false" outlineLevel="0" collapsed="false">
      <c r="A2481" s="1" t="s">
        <v>948</v>
      </c>
      <c r="B2481" s="0" t="s">
        <v>126</v>
      </c>
      <c r="F2481" s="7" t="n">
        <f aca="false">Sens!F2441/(Sens!F2392-Sens!F2348)</f>
        <v>0.0684307874075333</v>
      </c>
      <c r="G2481" s="7" t="n">
        <f aca="false">Sens!G2441/(Sens!G2392-Sens!G2348)</f>
        <v>0.0656456058503526</v>
      </c>
      <c r="H2481" s="7" t="n">
        <f aca="false">Sens!H2441/(Sens!H2392-Sens!H2348)</f>
        <v>0.0641950889132002</v>
      </c>
      <c r="I2481" s="7" t="n">
        <f aca="false">Sens!I2441/(Sens!I2392-Sens!I2348)</f>
        <v>0.063960269667854</v>
      </c>
      <c r="J2481" s="7" t="n">
        <f aca="false">Sens!J2441/(Sens!J2392-Sens!J2348)</f>
        <v>0.0646607917002597</v>
      </c>
      <c r="K2481" s="7" t="n">
        <f aca="false">Sens!K2441/(Sens!K2392-Sens!K2348)</f>
        <v>0.0659511546529383</v>
      </c>
    </row>
    <row r="2482" customFormat="false" ht="17.15" hidden="false" customHeight="false" outlineLevel="0" collapsed="false">
      <c r="A2482" s="0" t="s">
        <v>949</v>
      </c>
      <c r="B2482" s="0" t="s">
        <v>95</v>
      </c>
      <c r="F2482" s="6" t="n">
        <f aca="false">Sens!F2377*(al_m365+Sens!F2481)</f>
        <v>79.4713323717639</v>
      </c>
      <c r="G2482" s="6" t="n">
        <f aca="false">Sens!G2377*(al_m365+Sens!G2481)</f>
        <v>91.222848535282</v>
      </c>
      <c r="H2482" s="6" t="n">
        <f aca="false">Sens!H2377*(al_m365+Sens!H2481)</f>
        <v>103.134459525438</v>
      </c>
      <c r="I2482" s="6" t="n">
        <f aca="false">Sens!I2377*(al_m365+Sens!I2481)</f>
        <v>114.09096761677</v>
      </c>
      <c r="J2482" s="6" t="n">
        <f aca="false">Sens!J2377*(al_m365+Sens!J2481)</f>
        <v>123.914507832207</v>
      </c>
      <c r="K2482" s="6" t="n">
        <f aca="false">Sens!K2377*(al_m365+Sens!K2481)</f>
        <v>133.375360010951</v>
      </c>
    </row>
    <row r="2483" customFormat="false" ht="17.15" hidden="false" customHeight="false" outlineLevel="0" collapsed="false">
      <c r="A2483" s="0" t="s">
        <v>950</v>
      </c>
      <c r="B2483" s="0" t="s">
        <v>95</v>
      </c>
      <c r="F2483" s="6" t="n">
        <f aca="false">Sens!F2378*(al_lic+Sens!F2481)</f>
        <v>31.9777960098625</v>
      </c>
      <c r="G2483" s="6" t="n">
        <f aca="false">Sens!G2378*(al_lic+Sens!G2481)</f>
        <v>33.2184421146294</v>
      </c>
      <c r="H2483" s="6" t="n">
        <f aca="false">Sens!H2378*(al_lic+Sens!H2481)</f>
        <v>34.3782467188855</v>
      </c>
      <c r="I2483" s="6" t="n">
        <f aca="false">Sens!I2378*(al_lic+Sens!I2481)</f>
        <v>35.4396663788333</v>
      </c>
      <c r="J2483" s="6" t="n">
        <f aca="false">Sens!J2378*(al_lic+Sens!J2481)</f>
        <v>36.377709205557</v>
      </c>
      <c r="K2483" s="6" t="n">
        <f aca="false">Sens!K2378*(al_lic+Sens!K2481)</f>
        <v>37.1640354058437</v>
      </c>
    </row>
    <row r="2484" customFormat="false" ht="17.15" hidden="false" customHeight="false" outlineLevel="0" collapsed="false">
      <c r="A2484" s="0" t="s">
        <v>951</v>
      </c>
      <c r="B2484" s="0" t="s">
        <v>95</v>
      </c>
      <c r="F2484" s="6" t="n">
        <f aca="false">Sens!F2380*(al_ind+Sens!F2481)</f>
        <v>8.23708828923978</v>
      </c>
      <c r="G2484" s="6" t="n">
        <f aca="false">Sens!G2380*(al_ind+Sens!G2481)</f>
        <v>8.93609064049065</v>
      </c>
      <c r="H2484" s="6" t="n">
        <f aca="false">Sens!H2380*(al_ind+Sens!H2481)</f>
        <v>9.67804935051386</v>
      </c>
      <c r="I2484" s="6" t="n">
        <f aca="false">Sens!I2380*(al_ind+Sens!I2481)</f>
        <v>10.4606610595832</v>
      </c>
      <c r="J2484" s="6" t="n">
        <f aca="false">Sens!J2380*(al_ind+Sens!J2481)</f>
        <v>11.275039839171</v>
      </c>
      <c r="K2484" s="6" t="n">
        <f aca="false">Sens!K2380*(al_ind+Sens!K2481)</f>
        <v>12.106982482736</v>
      </c>
    </row>
    <row r="2485" customFormat="false" ht="17.15" hidden="false" customHeight="false" outlineLevel="0" collapsed="false">
      <c r="A2485" s="0" t="s">
        <v>952</v>
      </c>
      <c r="B2485" s="0" t="s">
        <v>95</v>
      </c>
      <c r="F2485" s="6" t="n">
        <f aca="false">Sens!F2382*(al_fro+Sens!F2481)</f>
        <v>3.24214686942203</v>
      </c>
      <c r="G2485" s="6" t="n">
        <f aca="false">Sens!G2382*(al_fro+Sens!G2481)</f>
        <v>3.43093048931594</v>
      </c>
      <c r="H2485" s="6" t="n">
        <f aca="false">Sens!H2382*(al_fro+Sens!H2481)</f>
        <v>3.6470202512287</v>
      </c>
      <c r="I2485" s="6" t="n">
        <f aca="false">Sens!I2382*(al_fro+Sens!I2481)</f>
        <v>3.89303230264912</v>
      </c>
      <c r="J2485" s="6" t="n">
        <f aca="false">Sens!J2382*(al_fro+Sens!J2481)</f>
        <v>4.16994303150246</v>
      </c>
      <c r="K2485" s="6" t="n">
        <f aca="false">Sens!K2382*(al_fro+Sens!K2481)</f>
        <v>4.47762739258926</v>
      </c>
    </row>
    <row r="2486" customFormat="false" ht="17.15" hidden="false" customHeight="false" outlineLevel="0" collapsed="false">
      <c r="A2486" s="0" t="s">
        <v>953</v>
      </c>
      <c r="B2486" s="0" t="s">
        <v>95</v>
      </c>
      <c r="F2486" s="6" t="n">
        <f aca="false">Sens!F2385*(al_srch+Sens!F2481)</f>
        <v>10.1729230470907</v>
      </c>
      <c r="G2486" s="6" t="n">
        <f aca="false">Sens!G2385*(al_srch+Sens!G2481)</f>
        <v>11.1403318971852</v>
      </c>
      <c r="H2486" s="6" t="n">
        <f aca="false">Sens!H2385*(al_srch+Sens!H2481)</f>
        <v>12.1511421371799</v>
      </c>
      <c r="I2486" s="6" t="n">
        <f aca="false">Sens!I2385*(al_srch+Sens!I2481)</f>
        <v>13.1963628712968</v>
      </c>
      <c r="J2486" s="6" t="n">
        <f aca="false">Sens!J2385*(al_srch+Sens!J2481)</f>
        <v>14.2578127803031</v>
      </c>
      <c r="K2486" s="6" t="n">
        <f aca="false">Sens!K2385*(al_srch+Sens!K2481)</f>
        <v>15.3098429837522</v>
      </c>
    </row>
    <row r="2487" customFormat="false" ht="17.15" hidden="false" customHeight="false" outlineLevel="0" collapsed="false">
      <c r="A2487" s="0" t="s">
        <v>954</v>
      </c>
      <c r="B2487" s="0" t="s">
        <v>95</v>
      </c>
      <c r="F2487" s="6" t="n">
        <f aca="false">Sens!F2354</f>
        <v>28.7185759059118</v>
      </c>
      <c r="G2487" s="6" t="n">
        <f aca="false">Sens!G2354</f>
        <v>34.2188533790547</v>
      </c>
      <c r="H2487" s="6" t="n">
        <f aca="false">Sens!H2354</f>
        <v>36.5083492215552</v>
      </c>
      <c r="I2487" s="6" t="n">
        <f aca="false">Sens!I2354</f>
        <v>36.5083492215552</v>
      </c>
      <c r="J2487" s="6" t="n">
        <f aca="false">Sens!J2354</f>
        <v>36.5083492215552</v>
      </c>
      <c r="K2487" s="6" t="n">
        <f aca="false">Sens!K2354</f>
        <v>36.5083492215552</v>
      </c>
    </row>
    <row r="2488" customFormat="false" ht="17.15" hidden="false" customHeight="false" outlineLevel="0" collapsed="false">
      <c r="A2488" s="0" t="s">
        <v>955</v>
      </c>
      <c r="B2488" s="0" t="s">
        <v>95</v>
      </c>
      <c r="F2488" s="6" t="n">
        <f aca="false">Sens!F2414+Sens!F2365+Sens!F2481*(Sens!F2384-Sens!F2348)</f>
        <v>202.360416131422</v>
      </c>
      <c r="G2488" s="6" t="n">
        <f aca="false">Sens!G2414+Sens!G2365+Sens!G2481*(Sens!G2384-Sens!G2348)</f>
        <v>231.3638878841</v>
      </c>
      <c r="H2488" s="6" t="n">
        <f aca="false">Sens!H2414+Sens!H2365+Sens!H2481*(Sens!H2384-Sens!H2348)</f>
        <v>258.023335896881</v>
      </c>
      <c r="I2488" s="6" t="n">
        <f aca="false">Sens!I2414+Sens!I2365+Sens!I2481*(Sens!I2384-Sens!I2348)</f>
        <v>281.675195189908</v>
      </c>
      <c r="J2488" s="6" t="n">
        <f aca="false">Sens!J2414+Sens!J2365+Sens!J2481*(Sens!J2384-Sens!J2348)</f>
        <v>303.382102799057</v>
      </c>
      <c r="K2488" s="6" t="n">
        <f aca="false">Sens!K2414+Sens!K2365+Sens!K2481*(Sens!K2384-Sens!K2348)</f>
        <v>323.161142229994</v>
      </c>
    </row>
    <row r="2489" customFormat="false" ht="17.15" hidden="false" customHeight="false" outlineLevel="0" collapsed="false">
      <c r="A2489" s="0" t="s">
        <v>956</v>
      </c>
      <c r="B2489" s="0" t="s">
        <v>95</v>
      </c>
      <c r="F2489" s="6" t="n">
        <f aca="false">Sens!F2488-Sens!F2482-Sens!F2483-Sens!F2484-Sens!F2485-Sens!F2487</f>
        <v>50.713476685222</v>
      </c>
      <c r="G2489" s="6" t="n">
        <f aca="false">Sens!G2488-Sens!G2482-Sens!G2483-Sens!G2484-Sens!G2485-Sens!G2487</f>
        <v>60.3367227253275</v>
      </c>
      <c r="H2489" s="6" t="n">
        <f aca="false">Sens!H2488-Sens!H2482-Sens!H2483-Sens!H2484-Sens!H2485-Sens!H2487</f>
        <v>70.6772108292589</v>
      </c>
      <c r="I2489" s="6" t="n">
        <f aca="false">Sens!I2488-Sens!I2482-Sens!I2483-Sens!I2484-Sens!I2485-Sens!I2487</f>
        <v>81.2825186105173</v>
      </c>
      <c r="J2489" s="6" t="n">
        <f aca="false">Sens!J2488-Sens!J2482-Sens!J2483-Sens!J2484-Sens!J2485-Sens!J2487</f>
        <v>91.1365536690652</v>
      </c>
      <c r="K2489" s="6" t="n">
        <f aca="false">Sens!K2488-Sens!K2482-Sens!K2483-Sens!K2484-Sens!K2485-Sens!K2487</f>
        <v>99.5287877163189</v>
      </c>
    </row>
    <row r="2490" customFormat="false" ht="17.15" hidden="false" customHeight="false" outlineLevel="0" collapsed="false">
      <c r="A2490" s="0" t="s">
        <v>957</v>
      </c>
      <c r="B2490" s="0" t="s">
        <v>95</v>
      </c>
      <c r="F2490" s="6" t="n">
        <f aca="false">Sens!F2416+Sens!F2481*Sens!F2391</f>
        <v>23.7531412609386</v>
      </c>
      <c r="G2490" s="6" t="n">
        <f aca="false">Sens!G2416+Sens!G2481*Sens!G2391</f>
        <v>24.289549634664</v>
      </c>
      <c r="H2490" s="6" t="n">
        <f aca="false">Sens!H2416+Sens!H2481*Sens!H2391</f>
        <v>25.0756909710291</v>
      </c>
      <c r="I2490" s="6" t="n">
        <f aca="false">Sens!I2416+Sens!I2481*Sens!I2391</f>
        <v>26.084576762931</v>
      </c>
      <c r="J2490" s="6" t="n">
        <f aca="false">Sens!J2416+Sens!J2481*Sens!J2391</f>
        <v>27.2832671034962</v>
      </c>
      <c r="K2490" s="6" t="n">
        <f aca="false">Sens!K2416+Sens!K2481*Sens!K2391</f>
        <v>28.6364406758481</v>
      </c>
    </row>
    <row r="2491" customFormat="false" ht="17.15" hidden="false" customHeight="false" outlineLevel="0" collapsed="false">
      <c r="A2491" s="0" t="s">
        <v>958</v>
      </c>
      <c r="B2491" s="0" t="s">
        <v>95</v>
      </c>
      <c r="F2491" s="6" t="n">
        <f aca="false">(Sens!F2490-Sens!F2486)*Sens!F2387/(Sens!F2387+Sens!F2389)</f>
        <v>7.4445433554226</v>
      </c>
      <c r="G2491" s="6" t="n">
        <f aca="false">(Sens!G2490-Sens!G2486)*Sens!G2387/(Sens!G2387+Sens!G2389)</f>
        <v>7.07975003595558</v>
      </c>
      <c r="H2491" s="6" t="n">
        <f aca="false">(Sens!H2490-Sens!H2486)*Sens!H2387/(Sens!H2387+Sens!H2389)</f>
        <v>6.86478313784268</v>
      </c>
      <c r="I2491" s="6" t="n">
        <f aca="false">(Sens!I2490-Sens!I2486)*Sens!I2387/(Sens!I2387+Sens!I2389)</f>
        <v>6.78354606184423</v>
      </c>
      <c r="J2491" s="6" t="n">
        <f aca="false">(Sens!J2490-Sens!J2486)*Sens!J2387/(Sens!J2387+Sens!J2389)</f>
        <v>6.82477921474853</v>
      </c>
      <c r="K2491" s="6" t="n">
        <f aca="false">(Sens!K2490-Sens!K2486)*Sens!K2387/(Sens!K2387+Sens!K2389)</f>
        <v>6.98256541964795</v>
      </c>
    </row>
    <row r="2492" customFormat="false" ht="17.15" hidden="false" customHeight="false" outlineLevel="0" collapsed="false">
      <c r="A2492" s="0" t="s">
        <v>959</v>
      </c>
      <c r="B2492" s="0" t="s">
        <v>95</v>
      </c>
      <c r="F2492" s="6" t="n">
        <f aca="false">Sens!F2490-Sens!F2486-Sens!F2491</f>
        <v>6.1356748584253</v>
      </c>
      <c r="G2492" s="6" t="n">
        <f aca="false">Sens!G2490-Sens!G2486-Sens!G2491</f>
        <v>6.06946770152326</v>
      </c>
      <c r="H2492" s="6" t="n">
        <f aca="false">Sens!H2490-Sens!H2486-Sens!H2491</f>
        <v>6.05976569600657</v>
      </c>
      <c r="I2492" s="6" t="n">
        <f aca="false">Sens!I2490-Sens!I2486-Sens!I2491</f>
        <v>6.10466782979</v>
      </c>
      <c r="J2492" s="6" t="n">
        <f aca="false">Sens!J2490-Sens!J2486-Sens!J2491</f>
        <v>6.20067510844453</v>
      </c>
      <c r="K2492" s="6" t="n">
        <f aca="false">Sens!K2490-Sens!K2486-Sens!K2491</f>
        <v>6.34403227244794</v>
      </c>
    </row>
    <row r="2493" customFormat="false" ht="17.15" hidden="false" customHeight="false" outlineLevel="0" collapsed="false">
      <c r="A2493" s="1" t="s">
        <v>960</v>
      </c>
      <c r="B2493" s="0" t="s">
        <v>95</v>
      </c>
      <c r="C2493" s="6" t="n">
        <f aca="false">(w_ntm28*Sens!G2487+(1-w_ntm28)*Sens!H2487)*m_ai*1</f>
        <v>209.754114949644</v>
      </c>
    </row>
    <row r="2494" customFormat="false" ht="17.15" hidden="false" customHeight="false" outlineLevel="0" collapsed="false">
      <c r="A2494" s="1" t="s">
        <v>961</v>
      </c>
      <c r="B2494" s="0" t="s">
        <v>95</v>
      </c>
      <c r="C2494" s="6" t="n">
        <f aca="false">(w_ntm28*Sens!G2489+(1-w_ntm28)*Sens!H2489)*m_cloud*1</f>
        <v>880.053109106127</v>
      </c>
    </row>
    <row r="2495" customFormat="false" ht="17.15" hidden="false" customHeight="false" outlineLevel="0" collapsed="false">
      <c r="A2495" s="1" t="s">
        <v>962</v>
      </c>
      <c r="B2495" s="0" t="s">
        <v>95</v>
      </c>
      <c r="C2495" s="6" t="n">
        <f aca="false">(w_ntm28*Sens!G2482+(1-w_ntm28)*Sens!H2482)*m_sw*1</f>
        <v>1026.79623553955</v>
      </c>
    </row>
    <row r="2496" customFormat="false" ht="17.15" hidden="false" customHeight="false" outlineLevel="0" collapsed="false">
      <c r="A2496" s="1" t="s">
        <v>963</v>
      </c>
      <c r="B2496" s="0" t="s">
        <v>95</v>
      </c>
      <c r="C2496" s="6" t="n">
        <f aca="false">(w_ntm28*Sens!G2483+(1-w_ntm28)*Sens!H2483)*m_sw*1</f>
        <v>362.808640557625</v>
      </c>
    </row>
    <row r="2497" customFormat="false" ht="17.15" hidden="false" customHeight="false" outlineLevel="0" collapsed="false">
      <c r="A2497" s="1" t="s">
        <v>964</v>
      </c>
      <c r="B2497" s="0" t="s">
        <v>95</v>
      </c>
      <c r="C2497" s="6" t="n">
        <f aca="false">(w_ntm28*Sens!G2484+(1-w_ntm28)*Sens!H2484)*m_sw*1</f>
        <v>99.1003328352541</v>
      </c>
    </row>
    <row r="2498" customFormat="false" ht="17.15" hidden="false" customHeight="false" outlineLevel="0" collapsed="false">
      <c r="A2498" s="1" t="s">
        <v>965</v>
      </c>
      <c r="B2498" s="0" t="s">
        <v>95</v>
      </c>
      <c r="C2498" s="6" t="n">
        <f aca="false">(w_ntm28*Sens!G2485+(1-w_ntm28)*Sens!H2485)*m_sw*1</f>
        <v>37.8085281683974</v>
      </c>
    </row>
    <row r="2499" customFormat="false" ht="17.15" hidden="false" customHeight="false" outlineLevel="0" collapsed="false">
      <c r="A2499" s="1" t="s">
        <v>966</v>
      </c>
      <c r="B2499" s="0" t="s">
        <v>95</v>
      </c>
      <c r="C2499" s="6" t="n">
        <f aca="false">(w_ntm28*Sens!G2486+(1-w_ntm28)*Sens!H2486)*m_ads*1</f>
        <v>104.465412054013</v>
      </c>
    </row>
    <row r="2500" customFormat="false" ht="17.15" hidden="false" customHeight="false" outlineLevel="0" collapsed="false">
      <c r="A2500" s="1" t="s">
        <v>967</v>
      </c>
      <c r="B2500" s="0" t="s">
        <v>95</v>
      </c>
      <c r="C2500" s="6" t="n">
        <f aca="false">(w_ntm28*Sens!G2491+(1-w_ntm28)*Sens!H2491)*m_game*1</f>
        <v>88.5395066063557</v>
      </c>
    </row>
    <row r="2501" customFormat="false" ht="17.15" hidden="false" customHeight="false" outlineLevel="0" collapsed="false">
      <c r="A2501" s="1" t="s">
        <v>968</v>
      </c>
      <c r="B2501" s="0" t="s">
        <v>95</v>
      </c>
      <c r="C2501" s="6" t="n">
        <f aca="false">(w_ntm28*Sens!G2492+(1-w_ntm28)*Sens!H2492)*m_pc*1</f>
        <v>87.7798119250428</v>
      </c>
    </row>
    <row r="2502" customFormat="false" ht="17.15" hidden="false" customHeight="false" outlineLevel="0" collapsed="false">
      <c r="A2502" s="1" t="s">
        <v>969</v>
      </c>
      <c r="B2502" s="0" t="s">
        <v>95</v>
      </c>
      <c r="C2502" s="6" t="n">
        <f aca="false">Sens!$C$2493+Sens!$C$2494+Sens!$C$2495+Sens!$C$2496+Sens!$C$2497+Sens!$C$2498+Sens!$C$2499+Sens!$C$2500+Sens!$C$2501</f>
        <v>2897.10569174201</v>
      </c>
    </row>
    <row r="2503" customFormat="false" ht="17.15" hidden="false" customHeight="false" outlineLevel="0" collapsed="false">
      <c r="A2503" s="1" t="s">
        <v>903</v>
      </c>
      <c r="B2503" s="0" t="s">
        <v>95</v>
      </c>
      <c r="C2503" s="6" t="n">
        <f aca="false">Sens!F2460+oai_v-Sens!F2449</f>
        <v>103.769673859964</v>
      </c>
      <c r="L2503" s="1" t="s">
        <v>970</v>
      </c>
    </row>
    <row r="2504" customFormat="false" ht="15" hidden="false" customHeight="false" outlineLevel="0" collapsed="false">
      <c r="A2504" s="1" t="s">
        <v>904</v>
      </c>
      <c r="B2504" s="0" t="s">
        <v>73</v>
      </c>
      <c r="C2504" s="5" t="n">
        <f aca="false">(Sens!$C$2502+Sens!$C$2503)/Sens!F2462</f>
        <v>401.616082120179</v>
      </c>
    </row>
    <row r="2505" customFormat="false" ht="17.15" hidden="false" customHeight="false" outlineLevel="0" collapsed="false">
      <c r="A2505" s="1" t="s">
        <v>971</v>
      </c>
      <c r="B2505" s="0" t="s">
        <v>73</v>
      </c>
      <c r="C2505" s="5" t="n">
        <f aca="false">w_dcf*Sens!$C$2480+(1-w_dcf)*Sens!$C$2504</f>
        <v>345.805669287446</v>
      </c>
    </row>
    <row r="2506" customFormat="false" ht="17.15" hidden="false" customHeight="false" outlineLevel="0" collapsed="false">
      <c r="A2506" s="3" t="s">
        <v>1184</v>
      </c>
    </row>
    <row r="2507" customFormat="false" ht="15" hidden="false" customHeight="false" outlineLevel="0" collapsed="false">
      <c r="A2507" s="4" t="s">
        <v>43</v>
      </c>
      <c r="B2507" s="4" t="s">
        <v>63</v>
      </c>
      <c r="C2507" s="19" t="s">
        <v>710</v>
      </c>
      <c r="D2507" s="19" t="s">
        <v>711</v>
      </c>
      <c r="E2507" s="19" t="s">
        <v>712</v>
      </c>
      <c r="F2507" s="19" t="s">
        <v>713</v>
      </c>
      <c r="G2507" s="19" t="s">
        <v>714</v>
      </c>
      <c r="H2507" s="19" t="s">
        <v>715</v>
      </c>
      <c r="I2507" s="19" t="s">
        <v>716</v>
      </c>
      <c r="J2507" s="19" t="s">
        <v>717</v>
      </c>
      <c r="K2507" s="19" t="s">
        <v>718</v>
      </c>
      <c r="L2507" s="4" t="s">
        <v>47</v>
      </c>
    </row>
    <row r="2508" customFormat="false" ht="17.15" hidden="false" customHeight="false" outlineLevel="0" collapsed="false">
      <c r="A2508" s="1" t="s">
        <v>719</v>
      </c>
      <c r="B2508" s="0" t="s">
        <v>340</v>
      </c>
      <c r="C2508" s="27" t="n">
        <f aca="false">mw_ext_24</f>
        <v>640</v>
      </c>
      <c r="D2508" s="27" t="n">
        <f aca="false">mw_ext_25</f>
        <v>1630</v>
      </c>
      <c r="E2508" s="27" t="n">
        <f aca="false">mw_ext_26</f>
        <v>3250</v>
      </c>
      <c r="F2508" s="27" t="n">
        <f aca="false">MIN(cap_epoch,Sens!E2508+pace_epoch)</f>
        <v>3900</v>
      </c>
      <c r="G2508" s="27" t="n">
        <f aca="false">MIN(cap_epoch,Sens!F2508+pace_epoch)</f>
        <v>4386</v>
      </c>
      <c r="H2508" s="27" t="n">
        <f aca="false">MIN(cap_epoch,Sens!G2508+pace_epoch)</f>
        <v>4386</v>
      </c>
      <c r="I2508" s="27" t="n">
        <f aca="false">MIN(cap_epoch,Sens!H2508+pace_epoch)</f>
        <v>4386</v>
      </c>
      <c r="J2508" s="27" t="n">
        <f aca="false">MIN(cap_epoch,Sens!I2508+pace_epoch)</f>
        <v>4386</v>
      </c>
      <c r="K2508" s="27" t="n">
        <f aca="false">MIN(cap_epoch,Sens!J2508+pace_epoch)</f>
        <v>4386</v>
      </c>
      <c r="L2508" s="11" t="s">
        <v>720</v>
      </c>
    </row>
    <row r="2509" customFormat="false" ht="17.15" hidden="false" customHeight="false" outlineLevel="0" collapsed="false">
      <c r="A2509" s="1" t="s">
        <v>721</v>
      </c>
      <c r="B2509" s="0" t="s">
        <v>340</v>
      </c>
      <c r="C2509" s="27" t="n">
        <f aca="false">rent_ext_24</f>
        <v>150</v>
      </c>
      <c r="D2509" s="27" t="n">
        <f aca="false">rent_ext_25</f>
        <v>400</v>
      </c>
      <c r="E2509" s="27" t="n">
        <f aca="false">rent_ext_26</f>
        <v>550</v>
      </c>
      <c r="F2509" s="27" t="n">
        <f aca="false">rent_ext_f</f>
        <v>756</v>
      </c>
      <c r="G2509" s="27" t="n">
        <f aca="false">rent_ext_f</f>
        <v>756</v>
      </c>
      <c r="H2509" s="27" t="n">
        <f aca="false">rent_ext_f</f>
        <v>756</v>
      </c>
      <c r="I2509" s="27" t="n">
        <f aca="false">rent_ext_f</f>
        <v>756</v>
      </c>
      <c r="J2509" s="27" t="n">
        <f aca="false">rent_ext_f</f>
        <v>756</v>
      </c>
      <c r="K2509" s="27" t="n">
        <f aca="false">rent_ext_f</f>
        <v>756</v>
      </c>
      <c r="L2509" s="1" t="s">
        <v>722</v>
      </c>
    </row>
    <row r="2510" customFormat="false" ht="17.15" hidden="false" customHeight="false" outlineLevel="0" collapsed="false">
      <c r="A2510" s="1" t="s">
        <v>723</v>
      </c>
      <c r="B2510" s="0" t="s">
        <v>340</v>
      </c>
      <c r="C2510" s="27" t="n">
        <f aca="false">Sens!C2508-Sens!C2509</f>
        <v>490</v>
      </c>
      <c r="D2510" s="27" t="n">
        <f aca="false">Sens!D2508-Sens!D2509</f>
        <v>1230</v>
      </c>
      <c r="E2510" s="27" t="n">
        <f aca="false">Sens!E2508-Sens!E2509</f>
        <v>2700</v>
      </c>
      <c r="F2510" s="27" t="n">
        <f aca="false">Sens!F2508-Sens!F2509</f>
        <v>3144</v>
      </c>
      <c r="G2510" s="27" t="n">
        <f aca="false">Sens!G2508-Sens!G2509</f>
        <v>3630</v>
      </c>
      <c r="H2510" s="27" t="n">
        <f aca="false">Sens!H2508-Sens!H2509</f>
        <v>3630</v>
      </c>
      <c r="I2510" s="27" t="n">
        <f aca="false">Sens!I2508-Sens!I2509</f>
        <v>3630</v>
      </c>
      <c r="J2510" s="27" t="n">
        <f aca="false">Sens!J2508-Sens!J2509</f>
        <v>3630</v>
      </c>
      <c r="K2510" s="27" t="n">
        <f aca="false">Sens!K2508-Sens!K2509</f>
        <v>3630</v>
      </c>
    </row>
    <row r="2511" customFormat="false" ht="17.15" hidden="false" customHeight="false" outlineLevel="0" collapsed="false">
      <c r="A2511" s="1" t="s">
        <v>724</v>
      </c>
      <c r="B2511" s="0" t="s">
        <v>340</v>
      </c>
      <c r="C2511" s="27" t="n">
        <f aca="false">Sens!C2510/ext_sh</f>
        <v>816.666666666667</v>
      </c>
      <c r="D2511" s="27" t="n">
        <f aca="false">Sens!D2510/ext_sh</f>
        <v>2050</v>
      </c>
      <c r="E2511" s="27" t="n">
        <f aca="false">Sens!E2510/ext_sh</f>
        <v>4500</v>
      </c>
      <c r="F2511" s="27" t="n">
        <f aca="false">Sens!F2510/ext_sh</f>
        <v>5240</v>
      </c>
      <c r="G2511" s="27" t="n">
        <f aca="false">Sens!G2510/ext_sh</f>
        <v>6050</v>
      </c>
      <c r="H2511" s="27" t="n">
        <f aca="false">Sens!H2510/ext_sh</f>
        <v>6050</v>
      </c>
      <c r="I2511" s="27" t="n">
        <f aca="false">Sens!I2510/ext_sh</f>
        <v>6050</v>
      </c>
      <c r="J2511" s="27" t="n">
        <f aca="false">Sens!J2510/ext_sh</f>
        <v>6050</v>
      </c>
      <c r="K2511" s="27" t="n">
        <f aca="false">Sens!K2510/ext_sh</f>
        <v>6050</v>
      </c>
      <c r="L2511" s="1" t="s">
        <v>725</v>
      </c>
    </row>
    <row r="2512" customFormat="false" ht="17.15" hidden="false" customHeight="false" outlineLevel="0" collapsed="false">
      <c r="A2512" s="1" t="s">
        <v>726</v>
      </c>
      <c r="B2512" s="0" t="s">
        <v>340</v>
      </c>
      <c r="C2512" s="27" t="n">
        <f aca="false">Sens!C2511-Sens!C2510</f>
        <v>326.666666666667</v>
      </c>
      <c r="D2512" s="27" t="n">
        <f aca="false">Sens!D2511-Sens!D2510</f>
        <v>820</v>
      </c>
      <c r="E2512" s="27" t="n">
        <f aca="false">Sens!E2511-Sens!E2510</f>
        <v>1800</v>
      </c>
      <c r="F2512" s="27" t="n">
        <f aca="false">Sens!F2511-Sens!F2510</f>
        <v>2096</v>
      </c>
      <c r="G2512" s="27" t="n">
        <f aca="false">Sens!G2511-Sens!G2510</f>
        <v>2420</v>
      </c>
      <c r="H2512" s="27" t="n">
        <f aca="false">Sens!H2511-Sens!H2510</f>
        <v>2420</v>
      </c>
      <c r="I2512" s="27" t="n">
        <f aca="false">Sens!I2511-Sens!I2510</f>
        <v>2420</v>
      </c>
      <c r="J2512" s="27" t="n">
        <f aca="false">Sens!J2511-Sens!J2510</f>
        <v>2420</v>
      </c>
      <c r="K2512" s="27" t="n">
        <f aca="false">Sens!K2511-Sens!K2510</f>
        <v>2420</v>
      </c>
    </row>
    <row r="2513" customFormat="false" ht="17.15" hidden="false" customHeight="false" outlineLevel="0" collapsed="false">
      <c r="A2513" s="1" t="s">
        <v>727</v>
      </c>
      <c r="B2513" s="0" t="s">
        <v>340</v>
      </c>
      <c r="C2513" s="27" t="n">
        <f aca="false">Sens!C2511</f>
        <v>816.666666666667</v>
      </c>
      <c r="D2513" s="27" t="n">
        <f aca="false">Sens!D2511-Sens!C2511</f>
        <v>1233.33333333333</v>
      </c>
      <c r="E2513" s="27" t="n">
        <f aca="false">Sens!E2511-Sens!D2511</f>
        <v>2450</v>
      </c>
      <c r="F2513" s="27" t="n">
        <f aca="false">Sens!F2511-Sens!E2511</f>
        <v>740</v>
      </c>
      <c r="G2513" s="27" t="n">
        <f aca="false">Sens!G2511-Sens!F2511</f>
        <v>810</v>
      </c>
      <c r="H2513" s="27" t="n">
        <f aca="false">Sens!H2511-Sens!G2511</f>
        <v>0</v>
      </c>
      <c r="I2513" s="27" t="n">
        <f aca="false">Sens!I2511-Sens!H2511</f>
        <v>0</v>
      </c>
      <c r="J2513" s="27" t="n">
        <f aca="false">Sens!J2511-Sens!I2511</f>
        <v>0</v>
      </c>
      <c r="K2513" s="27" t="n">
        <f aca="false">Sens!K2511-Sens!J2511</f>
        <v>0</v>
      </c>
    </row>
    <row r="2514" customFormat="false" ht="17.15" hidden="false" customHeight="false" outlineLevel="0" collapsed="false">
      <c r="A2514" s="1" t="s">
        <v>728</v>
      </c>
      <c r="B2514" s="0" t="s">
        <v>340</v>
      </c>
      <c r="D2514" s="27" t="n">
        <f aca="false">Sens!D2508-Sens!C2508</f>
        <v>990</v>
      </c>
      <c r="E2514" s="27" t="n">
        <f aca="false">Sens!E2508-Sens!D2508</f>
        <v>1620</v>
      </c>
      <c r="F2514" s="27" t="n">
        <f aca="false">Sens!F2508-Sens!E2508</f>
        <v>650</v>
      </c>
      <c r="G2514" s="27" t="n">
        <f aca="false">Sens!G2508-Sens!F2508</f>
        <v>486</v>
      </c>
      <c r="H2514" s="27" t="n">
        <f aca="false">Sens!H2508-Sens!G2508</f>
        <v>0</v>
      </c>
      <c r="I2514" s="27" t="n">
        <f aca="false">Sens!I2508-Sens!H2508</f>
        <v>0</v>
      </c>
      <c r="J2514" s="27" t="n">
        <f aca="false">Sens!J2508-Sens!I2508</f>
        <v>0</v>
      </c>
      <c r="K2514" s="27" t="n">
        <f aca="false">Sens!K2508-Sens!J2508</f>
        <v>0</v>
      </c>
    </row>
    <row r="2515" customFormat="false" ht="17.15" hidden="false" customHeight="false" outlineLevel="0" collapsed="false">
      <c r="A2515" s="1" t="s">
        <v>729</v>
      </c>
      <c r="B2515" s="0" t="s">
        <v>340</v>
      </c>
      <c r="C2515" s="27" t="n">
        <f aca="false">mix_h*Sens!C2508</f>
        <v>128</v>
      </c>
      <c r="D2515" s="27" t="n">
        <f aca="false">mix_h*Sens!D2508</f>
        <v>326</v>
      </c>
      <c r="E2515" s="27" t="n">
        <f aca="false">mix_h*Sens!E2508</f>
        <v>650</v>
      </c>
      <c r="F2515" s="27" t="n">
        <f aca="false">Sens!E2515</f>
        <v>650</v>
      </c>
      <c r="G2515" s="27" t="n">
        <f aca="false">Sens!F2515</f>
        <v>650</v>
      </c>
      <c r="H2515" s="27" t="n">
        <f aca="false">Sens!G2515</f>
        <v>650</v>
      </c>
      <c r="I2515" s="27" t="n">
        <f aca="false">Sens!H2515</f>
        <v>650</v>
      </c>
      <c r="J2515" s="27" t="n">
        <f aca="false">Sens!I2515</f>
        <v>650</v>
      </c>
      <c r="K2515" s="27" t="n">
        <f aca="false">Sens!J2515</f>
        <v>650</v>
      </c>
    </row>
    <row r="2516" customFormat="false" ht="17.15" hidden="false" customHeight="false" outlineLevel="0" collapsed="false">
      <c r="A2516" s="1" t="s">
        <v>730</v>
      </c>
      <c r="B2516" s="0" t="s">
        <v>340</v>
      </c>
      <c r="C2516" s="27" t="n">
        <f aca="false">mix_g2*Sens!C2508</f>
        <v>288</v>
      </c>
      <c r="D2516" s="27" t="n">
        <f aca="false">mix_g2*Sens!D2508</f>
        <v>733.5</v>
      </c>
      <c r="E2516" s="27" t="n">
        <f aca="false">mix_g2*Sens!E2508</f>
        <v>1462.5</v>
      </c>
      <c r="F2516" s="27" t="n">
        <f aca="false">Sens!E2516</f>
        <v>1462.5</v>
      </c>
      <c r="G2516" s="27" t="n">
        <f aca="false">Sens!F2516</f>
        <v>1462.5</v>
      </c>
      <c r="H2516" s="27" t="n">
        <f aca="false">Sens!G2516</f>
        <v>1462.5</v>
      </c>
      <c r="I2516" s="27" t="n">
        <f aca="false">Sens!H2516</f>
        <v>1462.5</v>
      </c>
      <c r="J2516" s="27" t="n">
        <f aca="false">Sens!I2516</f>
        <v>1462.5</v>
      </c>
      <c r="K2516" s="27" t="n">
        <f aca="false">Sens!J2516</f>
        <v>1462.5</v>
      </c>
    </row>
    <row r="2517" customFormat="false" ht="17.15" hidden="false" customHeight="false" outlineLevel="0" collapsed="false">
      <c r="A2517" s="1" t="s">
        <v>731</v>
      </c>
      <c r="B2517" s="0" t="s">
        <v>340</v>
      </c>
      <c r="C2517" s="27" t="n">
        <f aca="false">mix_g3*Sens!C2508</f>
        <v>224</v>
      </c>
      <c r="D2517" s="27" t="n">
        <f aca="false">mix_g3*Sens!D2508</f>
        <v>570.5</v>
      </c>
      <c r="E2517" s="27" t="n">
        <f aca="false">mix_g3*Sens!E2508</f>
        <v>1137.5</v>
      </c>
      <c r="F2517" s="27" t="n">
        <f aca="false">Sens!E2517+Sens!F2514*a_g3_27</f>
        <v>1592.5</v>
      </c>
      <c r="G2517" s="27" t="n">
        <f aca="false">Sens!F2517+Sens!G2514*a_g3_28</f>
        <v>1738.3</v>
      </c>
      <c r="H2517" s="27" t="n">
        <f aca="false">Sens!G2517+Sens!H2514*a_g3_29</f>
        <v>1738.3</v>
      </c>
      <c r="I2517" s="27" t="n">
        <f aca="false">Sens!H2517+Sens!I2514*a_g3_29</f>
        <v>1738.3</v>
      </c>
      <c r="J2517" s="27" t="n">
        <f aca="false">Sens!I2517+Sens!J2514*a_g3_29</f>
        <v>1738.3</v>
      </c>
      <c r="K2517" s="27" t="n">
        <f aca="false">Sens!J2517+Sens!K2514*a_g3_29</f>
        <v>1738.3</v>
      </c>
    </row>
    <row r="2518" customFormat="false" ht="17.15" hidden="false" customHeight="false" outlineLevel="0" collapsed="false">
      <c r="A2518" s="1" t="s">
        <v>732</v>
      </c>
      <c r="B2518" s="0" t="s">
        <v>340</v>
      </c>
      <c r="C2518" s="27" t="n">
        <f aca="false">0</f>
        <v>0</v>
      </c>
      <c r="D2518" s="27" t="n">
        <f aca="false">0</f>
        <v>0</v>
      </c>
      <c r="E2518" s="27" t="n">
        <f aca="false">0</f>
        <v>0</v>
      </c>
      <c r="F2518" s="27" t="n">
        <f aca="false">Sens!E2518+Sens!F2514*(1-a_g3_27)</f>
        <v>195</v>
      </c>
      <c r="G2518" s="27" t="n">
        <f aca="false">Sens!F2518+Sens!G2514*(1-a_g3_28)</f>
        <v>535.2</v>
      </c>
      <c r="H2518" s="27" t="n">
        <f aca="false">Sens!G2518+Sens!H2514*(1-a_g3_29)</f>
        <v>535.2</v>
      </c>
      <c r="I2518" s="27" t="n">
        <f aca="false">Sens!H2518+Sens!I2514*(1-a_g3_29)</f>
        <v>535.2</v>
      </c>
      <c r="J2518" s="27" t="n">
        <f aca="false">Sens!I2518+Sens!J2514*(1-a_g3_29)</f>
        <v>535.2</v>
      </c>
      <c r="K2518" s="27" t="n">
        <f aca="false">Sens!J2518+Sens!K2514*(1-a_g3_29)</f>
        <v>535.2</v>
      </c>
    </row>
    <row r="2519" customFormat="false" ht="17.15" hidden="false" customHeight="false" outlineLevel="0" collapsed="false">
      <c r="A2519" s="1" t="s">
        <v>733</v>
      </c>
      <c r="B2519" s="0" t="s">
        <v>291</v>
      </c>
      <c r="C2519" s="18" t="n">
        <f aca="false">(Sens!C2515*tk_hold_h100+Sens!C2516*tk_hold_gb200+Sens!C2517*tk_hold_gb300+Sens!C2518*tk_hold_vr200)/Sens!C2508</f>
        <v>9.7235358126469</v>
      </c>
      <c r="D2519" s="18" t="n">
        <f aca="false">(Sens!D2515*tk_hold_h100+Sens!D2516*tk_hold_gb200+Sens!D2517*tk_hold_gb300+Sens!D2518*tk_hold_vr200)/Sens!D2508</f>
        <v>9.7235358126469</v>
      </c>
      <c r="E2519" s="18" t="n">
        <f aca="false">(Sens!E2515*tk_hold_h100+Sens!E2516*tk_hold_gb200+Sens!E2517*tk_hold_gb300+Sens!E2518*tk_hold_vr200)/Sens!E2508</f>
        <v>9.7235358126469</v>
      </c>
      <c r="F2519" s="18" t="n">
        <f aca="false">(Sens!F2515*tk_hold_h100+Sens!F2516*tk_hold_gb200+Sens!F2517*tk_hold_gb300+Sens!F2518*tk_hold_vr200)/Sens!F2508</f>
        <v>9.9843013443478</v>
      </c>
      <c r="G2519" s="18" t="n">
        <f aca="false">(Sens!G2515*tk_hold_h100+Sens!G2516*tk_hold_gb200+Sens!G2517*tk_hold_gb300+Sens!G2518*tk_hold_vr200)/Sens!G2508</f>
        <v>10.1881256732384</v>
      </c>
      <c r="H2519" s="18" t="n">
        <f aca="false">(Sens!H2515*tk_hold_h100+Sens!H2516*tk_hold_gb200+Sens!H2517*tk_hold_gb300+Sens!H2518*tk_hold_vr200)/Sens!H2508</f>
        <v>10.1881256732384</v>
      </c>
      <c r="I2519" s="18" t="n">
        <f aca="false">(Sens!I2515*tk_hold_h100+Sens!I2516*tk_hold_gb200+Sens!I2517*tk_hold_gb300+Sens!I2518*tk_hold_vr200)/Sens!I2508</f>
        <v>10.1881256732384</v>
      </c>
      <c r="J2519" s="18" t="n">
        <f aca="false">(Sens!J2515*tk_hold_h100+Sens!J2516*tk_hold_gb200+Sens!J2517*tk_hold_gb300+Sens!J2518*tk_hold_vr200)/Sens!J2508</f>
        <v>10.1881256732384</v>
      </c>
      <c r="K2519" s="18" t="n">
        <f aca="false">(Sens!K2515*tk_hold_h100+Sens!K2516*tk_hold_gb200+Sens!K2517*tk_hold_gb300+Sens!K2518*tk_hold_vr200)/Sens!K2508</f>
        <v>10.1881256732384</v>
      </c>
    </row>
    <row r="2520" customFormat="false" ht="17.15" hidden="false" customHeight="false" outlineLevel="0" collapsed="false">
      <c r="A2520" s="0" t="s">
        <v>734</v>
      </c>
      <c r="B2520" s="0" t="s">
        <v>182</v>
      </c>
      <c r="C2520" s="18" t="n">
        <f aca="false">k_B</f>
        <v>1.17213932619116</v>
      </c>
      <c r="D2520" s="18" t="n">
        <f aca="false">k_B</f>
        <v>1.17213932619116</v>
      </c>
      <c r="E2520" s="18" t="n">
        <f aca="false">k_B</f>
        <v>1.17213932619116</v>
      </c>
      <c r="F2520" s="18" t="n">
        <f aca="false">(k_B+((ls_C*k_long+(1-ls_C)*k_spot)-k_B)*MIN(1,1/3))*1</f>
        <v>1.07843258004497</v>
      </c>
      <c r="G2520" s="18" t="n">
        <f aca="false">(k_B+((ls_C*k_long+(1-ls_C)*k_spot)-k_B)*MIN(1,2/3))*1</f>
        <v>0.984725833898784</v>
      </c>
      <c r="H2520" s="18" t="n">
        <f aca="false">(k_B+((ls_C*k_long+(1-ls_C)*k_spot)-k_B)*MIN(1,3/3))*1</f>
        <v>0.891019087752599</v>
      </c>
      <c r="I2520" s="18" t="n">
        <f aca="false">(k_B+((ls_C*k_long+(1-ls_C)*k_spot)-k_B)*MIN(1,4/3))*1</f>
        <v>0.891019087752599</v>
      </c>
      <c r="J2520" s="18" t="n">
        <f aca="false">(k_B+((ls_C*k_long+(1-ls_C)*k_spot)-k_B)*MIN(1,5/3))*1</f>
        <v>0.891019087752599</v>
      </c>
      <c r="K2520" s="18" t="n">
        <f aca="false">(k_B+((ls_C*k_long+(1-ls_C)*k_spot)-k_B)*MIN(1,6/3))*1</f>
        <v>0.891019087752599</v>
      </c>
      <c r="L2520" s="1" t="s">
        <v>735</v>
      </c>
    </row>
    <row r="2521" customFormat="false" ht="17.15" hidden="false" customHeight="false" outlineLevel="0" collapsed="false">
      <c r="A2521" s="1" t="s">
        <v>736</v>
      </c>
      <c r="B2521" s="0" t="s">
        <v>291</v>
      </c>
      <c r="C2521" s="18" t="n">
        <f aca="false">Sens!C2519*Sens!C2520*chip_f</f>
        <v>11.3973387156315</v>
      </c>
      <c r="D2521" s="18" t="n">
        <f aca="false">Sens!D2519*Sens!D2520*chip_f</f>
        <v>11.3973387156315</v>
      </c>
      <c r="E2521" s="18" t="n">
        <f aca="false">Sens!E2519*Sens!E2520*chip_f</f>
        <v>11.3973387156315</v>
      </c>
      <c r="F2521" s="18" t="n">
        <f aca="false">Sens!F2519*Sens!F2520*chip_f</f>
        <v>10.7673958587315</v>
      </c>
      <c r="G2521" s="18" t="n">
        <f aca="false">Sens!G2519*Sens!G2520*chip_f</f>
        <v>10.0325105494453</v>
      </c>
      <c r="H2521" s="18" t="n">
        <f aca="false">Sens!H2519*Sens!H2520*chip_f</f>
        <v>9.0778144432777</v>
      </c>
      <c r="I2521" s="18" t="n">
        <f aca="false">Sens!I2519*Sens!I2520*chip_f</f>
        <v>9.0778144432777</v>
      </c>
      <c r="J2521" s="18" t="n">
        <f aca="false">Sens!J2519*Sens!J2520*chip_f</f>
        <v>9.0778144432777</v>
      </c>
      <c r="K2521" s="18" t="n">
        <f aca="false">Sens!K2519*Sens!K2520*chip_f</f>
        <v>9.0778144432777</v>
      </c>
      <c r="L2521" s="1" t="s">
        <v>737</v>
      </c>
    </row>
    <row r="2522" customFormat="false" ht="17.15" hidden="false" customHeight="false" outlineLevel="0" collapsed="false">
      <c r="A2522" s="0" t="s">
        <v>738</v>
      </c>
      <c r="B2522" s="0" t="s">
        <v>95</v>
      </c>
      <c r="D2522" s="6" t="n">
        <f aca="false">(Sens!C2508+Sens!D2508)/2*Sens!D2521/1000</f>
        <v>12.9359794422418</v>
      </c>
      <c r="E2522" s="6" t="n">
        <f aca="false">(Sens!D2508+Sens!E2508)/2*Sens!E2521/1000</f>
        <v>27.8095064661409</v>
      </c>
      <c r="F2522" s="6" t="n">
        <f aca="false">(Sens!E2508+Sens!F2508)/2*Sens!F2521/1000</f>
        <v>38.493440194965</v>
      </c>
      <c r="G2522" s="6" t="n">
        <f aca="false">(Sens!F2508+Sens!G2508)/2*Sens!G2521/1000</f>
        <v>41.5646912063518</v>
      </c>
      <c r="H2522" s="6" t="n">
        <f aca="false">(Sens!G2508+Sens!H2508)/2*Sens!H2521/1000</f>
        <v>39.815294148216</v>
      </c>
      <c r="I2522" s="6" t="n">
        <f aca="false">(Sens!H2508+Sens!I2508)/2*Sens!I2521/1000</f>
        <v>39.815294148216</v>
      </c>
      <c r="J2522" s="6" t="n">
        <f aca="false">(Sens!I2508+Sens!J2508)/2*Sens!J2521/1000</f>
        <v>39.815294148216</v>
      </c>
      <c r="K2522" s="6" t="n">
        <f aca="false">(Sens!J2508+Sens!K2508)/2*Sens!K2521/1000</f>
        <v>39.815294148216</v>
      </c>
      <c r="L2522" s="11" t="s">
        <v>739</v>
      </c>
    </row>
    <row r="2523" customFormat="false" ht="17.15" hidden="false" customHeight="false" outlineLevel="0" collapsed="false">
      <c r="A2523" s="1" t="s">
        <v>740</v>
      </c>
      <c r="B2523" s="0" t="s">
        <v>291</v>
      </c>
      <c r="C2523" s="18" t="n">
        <f aca="false">(Sens!C2515*tk_opex_h100+Sens!C2516*tk_opex_gb200+Sens!C2517*tk_opex_gb300+Sens!C2518*tk_opex_vr200)/Sens!C2508</f>
        <v>1.88636041306092</v>
      </c>
      <c r="D2523" s="18" t="n">
        <f aca="false">(Sens!D2515*tk_opex_h100+Sens!D2516*tk_opex_gb200+Sens!D2517*tk_opex_gb300+Sens!D2518*tk_opex_vr200)/Sens!D2508</f>
        <v>1.88636041306092</v>
      </c>
      <c r="E2523" s="18" t="n">
        <f aca="false">(Sens!E2515*tk_opex_h100+Sens!E2516*tk_opex_gb200+Sens!E2517*tk_opex_gb300+Sens!E2518*tk_opex_vr200)/Sens!E2508</f>
        <v>1.88636041306092</v>
      </c>
      <c r="F2523" s="18" t="n">
        <f aca="false">(Sens!F2515*tk_opex_h100+Sens!F2516*tk_opex_gb200+Sens!F2517*tk_opex_gb300+Sens!F2518*tk_opex_vr200)/Sens!F2508</f>
        <v>1.90794918316667</v>
      </c>
      <c r="G2523" s="18" t="n">
        <f aca="false">(Sens!G2515*tk_opex_h100+Sens!G2516*tk_opex_gb200+Sens!G2517*tk_opex_gb300+Sens!G2518*tk_opex_vr200)/Sens!G2508</f>
        <v>1.92482379289624</v>
      </c>
      <c r="H2523" s="18" t="n">
        <f aca="false">(Sens!H2515*tk_opex_h100+Sens!H2516*tk_opex_gb200+Sens!H2517*tk_opex_gb300+Sens!H2518*tk_opex_vr200)/Sens!H2508</f>
        <v>1.92482379289624</v>
      </c>
      <c r="I2523" s="18" t="n">
        <f aca="false">(Sens!I2515*tk_opex_h100+Sens!I2516*tk_opex_gb200+Sens!I2517*tk_opex_gb300+Sens!I2518*tk_opex_vr200)/Sens!I2508</f>
        <v>1.92482379289624</v>
      </c>
      <c r="J2523" s="18" t="n">
        <f aca="false">(Sens!J2515*tk_opex_h100+Sens!J2516*tk_opex_gb200+Sens!J2517*tk_opex_gb300+Sens!J2518*tk_opex_vr200)/Sens!J2508</f>
        <v>1.92482379289624</v>
      </c>
      <c r="K2523" s="18" t="n">
        <f aca="false">(Sens!K2515*tk_opex_h100+Sens!K2516*tk_opex_gb200+Sens!K2517*tk_opex_gb300+Sens!K2518*tk_opex_vr200)/Sens!K2508</f>
        <v>1.92482379289624</v>
      </c>
    </row>
    <row r="2524" customFormat="false" ht="17.15" hidden="false" customHeight="false" outlineLevel="0" collapsed="false">
      <c r="A2524" s="0" t="s">
        <v>741</v>
      </c>
      <c r="B2524" s="0" t="s">
        <v>95</v>
      </c>
      <c r="D2524" s="6" t="n">
        <f aca="false">(Sens!C2511+Sens!D2511)/2*Sens!D2523/1000</f>
        <v>2.70378325872065</v>
      </c>
      <c r="E2524" s="6" t="n">
        <f aca="false">(Sens!D2511+Sens!E2511)/2*Sens!E2523/1000</f>
        <v>6.17783035277451</v>
      </c>
      <c r="F2524" s="6" t="n">
        <f aca="false">(Sens!E2511+Sens!F2511)/2*Sens!F2523/1000</f>
        <v>9.29171252202166</v>
      </c>
      <c r="G2524" s="6" t="n">
        <f aca="false">(Sens!F2511+Sens!G2511)/2*Sens!G2523/1000</f>
        <v>10.8656303108993</v>
      </c>
      <c r="H2524" s="6" t="n">
        <f aca="false">(Sens!G2511+Sens!H2511)/2*Sens!H2523/1000</f>
        <v>11.6451839470223</v>
      </c>
      <c r="I2524" s="6" t="n">
        <f aca="false">(Sens!H2511+Sens!I2511)/2*Sens!I2523/1000</f>
        <v>11.6451839470223</v>
      </c>
      <c r="J2524" s="6" t="n">
        <f aca="false">(Sens!I2511+Sens!J2511)/2*Sens!J2523/1000</f>
        <v>11.6451839470223</v>
      </c>
      <c r="K2524" s="6" t="n">
        <f aca="false">(Sens!J2511+Sens!K2511)/2*Sens!K2523/1000</f>
        <v>11.6451839470223</v>
      </c>
    </row>
    <row r="2525" customFormat="false" ht="17.15" hidden="false" customHeight="false" outlineLevel="0" collapsed="false">
      <c r="A2525" s="0" t="s">
        <v>742</v>
      </c>
      <c r="B2525" s="0" t="s">
        <v>95</v>
      </c>
      <c r="D2525" s="6" t="n">
        <f aca="false">(Sens!C2509+Sens!D2509)/2*rent_mw/1000</f>
        <v>2.44475</v>
      </c>
      <c r="E2525" s="6" t="n">
        <f aca="false">(Sens!D2509+Sens!E2509)/2*rent_mw/1000</f>
        <v>4.22275</v>
      </c>
      <c r="F2525" s="6" t="n">
        <f aca="false">(Sens!E2509+Sens!F2509)/2*rent_mw/1000</f>
        <v>5.80517</v>
      </c>
      <c r="G2525" s="6" t="n">
        <f aca="false">(Sens!F2509+Sens!G2509)/2*rent_mw/1000</f>
        <v>6.72084</v>
      </c>
      <c r="H2525" s="6" t="n">
        <f aca="false">(Sens!G2509+Sens!H2509)/2*rent_mw/1000</f>
        <v>6.72084</v>
      </c>
      <c r="I2525" s="6" t="n">
        <f aca="false">(Sens!H2509+Sens!I2509)/2*rent_mw/1000</f>
        <v>6.72084</v>
      </c>
      <c r="J2525" s="6" t="n">
        <f aca="false">(Sens!I2509+Sens!J2509)/2*rent_mw/1000</f>
        <v>6.72084</v>
      </c>
      <c r="K2525" s="6" t="n">
        <f aca="false">(Sens!J2509+Sens!K2509)/2*rent_mw/1000</f>
        <v>6.72084</v>
      </c>
    </row>
    <row r="2526" customFormat="false" ht="17.15" hidden="false" customHeight="false" outlineLevel="0" collapsed="false">
      <c r="A2526" s="0" t="s">
        <v>743</v>
      </c>
      <c r="B2526" s="0" t="s">
        <v>95</v>
      </c>
      <c r="D2526" s="6" t="n">
        <f aca="false">(Sens!C2511+Sens!D2511)/2*(1-self_build)*fac_rent/1000</f>
        <v>0.853242375631075</v>
      </c>
      <c r="E2526" s="6" t="n">
        <f aca="false">(Sens!D2511+Sens!E2511)/2*(1-self_build)*fac_rent/1000</f>
        <v>1.94955961408728</v>
      </c>
      <c r="F2526" s="6" t="n">
        <f aca="false">(Sens!E2511+Sens!F2511)/2*(1-self_build)*fac_rent/1000</f>
        <v>2.89903979255117</v>
      </c>
      <c r="G2526" s="6" t="n">
        <f aca="false">(Sens!F2511+Sens!G2511)/2*(1-self_build)*fac_rent/1000</f>
        <v>3.36038596077029</v>
      </c>
      <c r="H2526" s="6" t="n">
        <f aca="false">(Sens!G2511+Sens!H2511)/2*(1-self_build)*fac_rent/1000</f>
        <v>3.60147653900094</v>
      </c>
      <c r="I2526" s="6" t="n">
        <f aca="false">(Sens!H2511+Sens!I2511)/2*(1-self_build)*fac_rent/1000</f>
        <v>3.60147653900094</v>
      </c>
      <c r="J2526" s="6" t="n">
        <f aca="false">(Sens!I2511+Sens!J2511)/2*(1-self_build)*fac_rent/1000</f>
        <v>3.60147653900094</v>
      </c>
      <c r="K2526" s="6" t="n">
        <f aca="false">(Sens!J2511+Sens!K2511)/2*(1-self_build)*fac_rent/1000</f>
        <v>3.60147653900094</v>
      </c>
      <c r="L2526" s="11" t="s">
        <v>744</v>
      </c>
    </row>
    <row r="2527" customFormat="false" ht="17.15" hidden="false" customHeight="false" outlineLevel="0" collapsed="false">
      <c r="A2527" s="1" t="s">
        <v>745</v>
      </c>
      <c r="B2527" s="0" t="s">
        <v>126</v>
      </c>
      <c r="D2527" s="7" t="n">
        <f aca="false">(Sens!C2510+Sens!D2510)/(Sens!C2511+Sens!D2511)</f>
        <v>0.6</v>
      </c>
      <c r="E2527" s="7" t="n">
        <f aca="false">(Sens!D2510+Sens!E2510)/(Sens!D2511+Sens!E2511)</f>
        <v>0.6</v>
      </c>
      <c r="F2527" s="7" t="n">
        <f aca="false">(Sens!E2510+Sens!F2510)/(Sens!E2511+Sens!F2511)</f>
        <v>0.6</v>
      </c>
      <c r="G2527" s="7" t="n">
        <f aca="false">(Sens!F2510+Sens!G2510)/(Sens!F2511+Sens!G2511)</f>
        <v>0.6</v>
      </c>
      <c r="H2527" s="7" t="n">
        <f aca="false">(Sens!G2510+Sens!H2510)/(Sens!G2511+Sens!H2511)</f>
        <v>0.6</v>
      </c>
      <c r="I2527" s="7" t="n">
        <f aca="false">(Sens!H2510+Sens!I2510)/(Sens!H2511+Sens!I2511)</f>
        <v>0.6</v>
      </c>
      <c r="J2527" s="7" t="n">
        <f aca="false">(Sens!I2510+Sens!J2510)/(Sens!I2511+Sens!J2511)</f>
        <v>0.6</v>
      </c>
      <c r="K2527" s="7" t="n">
        <f aca="false">(Sens!J2510+Sens!K2510)/(Sens!J2511+Sens!K2511)</f>
        <v>0.6</v>
      </c>
    </row>
    <row r="2528" customFormat="false" ht="17.15" hidden="false" customHeight="false" outlineLevel="0" collapsed="false">
      <c r="A2528" s="0" t="s">
        <v>746</v>
      </c>
      <c r="B2528" s="0" t="s">
        <v>95</v>
      </c>
      <c r="D2528" s="6" t="n">
        <f aca="false">Sens!D2522-Sens!D2527*(Sens!D2524+Sens!D2526)-Sens!D2525</f>
        <v>8.35701406163072</v>
      </c>
      <c r="E2528" s="6" t="n">
        <f aca="false">Sens!E2522-Sens!E2527*(Sens!E2524+Sens!E2526)-Sens!E2525</f>
        <v>18.7103224860238</v>
      </c>
      <c r="F2528" s="6" t="n">
        <f aca="false">Sens!F2522-Sens!F2527*(Sens!F2524+Sens!F2526)-Sens!F2525</f>
        <v>25.3738188062213</v>
      </c>
      <c r="G2528" s="6" t="n">
        <f aca="false">Sens!G2522-Sens!G2527*(Sens!G2524+Sens!G2526)-Sens!G2525</f>
        <v>26.3082414433501</v>
      </c>
      <c r="H2528" s="6" t="n">
        <f aca="false">Sens!H2522-Sens!H2527*(Sens!H2524+Sens!H2526)-Sens!H2525</f>
        <v>23.9464578566021</v>
      </c>
      <c r="I2528" s="6" t="n">
        <f aca="false">Sens!I2522-Sens!I2527*(Sens!I2524+Sens!I2526)-Sens!I2525</f>
        <v>23.9464578566021</v>
      </c>
      <c r="J2528" s="6" t="n">
        <f aca="false">Sens!J2522-Sens!J2527*(Sens!J2524+Sens!J2526)-Sens!J2525</f>
        <v>23.9464578566021</v>
      </c>
      <c r="K2528" s="6" t="n">
        <f aca="false">Sens!K2522-Sens!K2527*(Sens!K2524+Sens!K2526)-Sens!K2525</f>
        <v>23.9464578566021</v>
      </c>
    </row>
    <row r="2529" customFormat="false" ht="17.15" hidden="false" customHeight="false" outlineLevel="0" collapsed="false">
      <c r="A2529" s="1" t="s">
        <v>747</v>
      </c>
      <c r="B2529" s="0" t="s">
        <v>95</v>
      </c>
      <c r="D2529" s="6" t="n">
        <f aca="false">(1-Sens!D2527)*(Sens!D2524+Sens!D2526)</f>
        <v>1.42281025374069</v>
      </c>
      <c r="E2529" s="6" t="n">
        <f aca="false">(1-Sens!E2527)*(Sens!E2524+Sens!E2526)</f>
        <v>3.25095598674472</v>
      </c>
      <c r="F2529" s="6" t="n">
        <f aca="false">(1-Sens!F2527)*(Sens!F2524+Sens!F2526)</f>
        <v>4.87630092582913</v>
      </c>
      <c r="G2529" s="6" t="n">
        <f aca="false">(1-Sens!G2527)*(Sens!G2524+Sens!G2526)</f>
        <v>5.69040650866783</v>
      </c>
      <c r="H2529" s="6" t="n">
        <f aca="false">(1-Sens!H2527)*(Sens!H2524+Sens!H2526)</f>
        <v>6.09866419440928</v>
      </c>
      <c r="I2529" s="6" t="n">
        <f aca="false">(1-Sens!I2527)*(Sens!I2524+Sens!I2526)</f>
        <v>6.09866419440928</v>
      </c>
      <c r="J2529" s="6" t="n">
        <f aca="false">(1-Sens!J2527)*(Sens!J2524+Sens!J2526)</f>
        <v>6.09866419440928</v>
      </c>
      <c r="K2529" s="6" t="n">
        <f aca="false">(1-Sens!K2527)*(Sens!K2524+Sens!K2526)</f>
        <v>6.09866419440928</v>
      </c>
    </row>
    <row r="2530" customFormat="false" ht="17.15" hidden="false" customHeight="false" outlineLevel="0" collapsed="false">
      <c r="A2530" s="1" t="s">
        <v>748</v>
      </c>
      <c r="B2530" s="0" t="s">
        <v>302</v>
      </c>
      <c r="C2530" s="8" t="n">
        <f aca="false">cxit_open</f>
        <v>27.5918995</v>
      </c>
      <c r="D2530" s="8" t="n">
        <f aca="false">cxit_open</f>
        <v>27.5918995</v>
      </c>
      <c r="E2530" s="8" t="n">
        <f aca="false">cxit_open</f>
        <v>27.5918995</v>
      </c>
      <c r="F2530" s="8" t="n">
        <f aca="false">(a_g3_27*tk_cxit_gb300+(1-a_g3_27)*tk_cxit_vr200)</f>
        <v>33.8419624</v>
      </c>
      <c r="G2530" s="8" t="n">
        <f aca="false">(a_g3_28*tk_cxit_gb300+(1-a_g3_28)*tk_cxit_vr200)</f>
        <v>35.9816136</v>
      </c>
      <c r="H2530" s="8" t="n">
        <f aca="false">(a_g3_29*tk_cxit_gb300+(1-a_g3_29)*tk_cxit_vr200)</f>
        <v>37.0514392</v>
      </c>
      <c r="I2530" s="8" t="n">
        <f aca="false">(a_g3_29*tk_cxit_gb300+(1-a_g3_29)*tk_cxit_vr200)</f>
        <v>37.0514392</v>
      </c>
      <c r="J2530" s="8" t="n">
        <f aca="false">(a_g3_29*tk_cxit_gb300+(1-a_g3_29)*tk_cxit_vr200)</f>
        <v>37.0514392</v>
      </c>
      <c r="K2530" s="8" t="n">
        <f aca="false">(a_g3_29*tk_cxit_gb300+(1-a_g3_29)*tk_cxit_vr200)</f>
        <v>37.0514392</v>
      </c>
      <c r="L2530" s="11" t="s">
        <v>749</v>
      </c>
    </row>
    <row r="2531" customFormat="false" ht="17.15" hidden="false" customHeight="false" outlineLevel="0" collapsed="false">
      <c r="A2531" s="0" t="s">
        <v>750</v>
      </c>
      <c r="B2531" s="0" t="s">
        <v>340</v>
      </c>
      <c r="F2531" s="27" t="n">
        <f aca="false">Sens!C2513*IF(3=life_it,1,0)+Sens!D2513*IF(2=life_it,1,0)+Sens!E2513*IF(1=life_it,1,0)</f>
        <v>0</v>
      </c>
      <c r="G2531" s="27" t="n">
        <f aca="false">Sens!C2513*IF(4=life_it,1,0)+Sens!D2513*IF(3=life_it,1,0)+Sens!E2513*IF(2=life_it,1,0)+Sens!F2513*IF(1=life_it,1,0)</f>
        <v>0</v>
      </c>
      <c r="H2531" s="27" t="n">
        <f aca="false">Sens!C2513*IF(5=life_it,1,0)+Sens!D2513*IF(4=life_it,1,0)+Sens!E2513*IF(3=life_it,1,0)+Sens!F2513*IF(2=life_it,1,0)+Sens!G2513*IF(1=life_it,1,0)</f>
        <v>0</v>
      </c>
      <c r="I2531" s="27" t="n">
        <f aca="false">Sens!C2513*IF(6=life_it,1,0)+Sens!D2513*IF(5=life_it,1,0)+Sens!E2513*IF(4=life_it,1,0)+Sens!F2513*IF(3=life_it,1,0)+Sens!G2513*IF(2=life_it,1,0)+Sens!H2513*IF(1=life_it,1,0)</f>
        <v>816.666666666667</v>
      </c>
      <c r="J2531" s="27" t="n">
        <f aca="false">Sens!C2513*IF(7=life_it,1,0)+Sens!D2513*IF(6=life_it,1,0)+Sens!E2513*IF(5=life_it,1,0)+Sens!F2513*IF(4=life_it,1,0)+Sens!G2513*IF(3=life_it,1,0)+Sens!H2513*IF(2=life_it,1,0)+Sens!I2513*IF(1=life_it,1,0)</f>
        <v>1233.33333333333</v>
      </c>
      <c r="K2531" s="27" t="n">
        <f aca="false">Sens!C2513*IF(8=life_it,1,0)+Sens!D2513*IF(7=life_it,1,0)+Sens!E2513*IF(6=life_it,1,0)+Sens!F2513*IF(5=life_it,1,0)+Sens!G2513*IF(4=life_it,1,0)+Sens!H2513*IF(3=life_it,1,0)+Sens!I2513*IF(2=life_it,1,0)+Sens!J2513*IF(1=life_it,1,0)</f>
        <v>2450</v>
      </c>
      <c r="L2531" s="1" t="s">
        <v>751</v>
      </c>
    </row>
    <row r="2532" customFormat="false" ht="17.15" hidden="false" customHeight="false" outlineLevel="0" collapsed="false">
      <c r="A2532" s="0" t="s">
        <v>752</v>
      </c>
      <c r="B2532" s="0" t="s">
        <v>95</v>
      </c>
      <c r="C2532" s="6" t="n">
        <f aca="false">Sens!C2513*Sens!C2530/1000</f>
        <v>22.5333845916667</v>
      </c>
      <c r="D2532" s="6" t="n">
        <f aca="false">Sens!D2513*Sens!D2530/1000</f>
        <v>34.0300093833333</v>
      </c>
      <c r="E2532" s="6" t="n">
        <f aca="false">Sens!E2513*Sens!E2530/1000</f>
        <v>67.600153775</v>
      </c>
      <c r="F2532" s="6" t="n">
        <f aca="false">(Sens!F2513+Sens!F2531)*Sens!F2530/1000</f>
        <v>25.043052176</v>
      </c>
      <c r="G2532" s="6" t="n">
        <f aca="false">(Sens!G2513+Sens!G2531)*Sens!G2530/1000</f>
        <v>29.145107016</v>
      </c>
      <c r="H2532" s="6" t="n">
        <f aca="false">(Sens!H2513+Sens!H2531)*Sens!H2530/1000</f>
        <v>0</v>
      </c>
      <c r="I2532" s="6" t="n">
        <f aca="false">(Sens!I2513+Sens!I2531)*Sens!I2530/1000</f>
        <v>30.2586753466667</v>
      </c>
      <c r="J2532" s="6" t="n">
        <f aca="false">(Sens!J2513+Sens!J2531)*Sens!J2530/1000</f>
        <v>45.6967750133333</v>
      </c>
      <c r="K2532" s="6" t="n">
        <f aca="false">(Sens!K2513+Sens!K2531)*Sens!K2530/1000</f>
        <v>90.77602604</v>
      </c>
    </row>
    <row r="2533" customFormat="false" ht="17.15" hidden="false" customHeight="false" outlineLevel="0" collapsed="false">
      <c r="A2533" s="0" t="s">
        <v>753</v>
      </c>
      <c r="B2533" s="0" t="s">
        <v>95</v>
      </c>
      <c r="C2533" s="6" t="n">
        <f aca="false">Sens!C2513*self_build*tk_cxfac/1000</f>
        <v>6.2083</v>
      </c>
      <c r="D2533" s="6" t="n">
        <f aca="false">Sens!D2513*self_build*tk_cxfac/1000</f>
        <v>9.3758</v>
      </c>
      <c r="E2533" s="6" t="n">
        <f aca="false">Sens!E2513*self_build*tk_cxfac/1000</f>
        <v>18.6249</v>
      </c>
      <c r="F2533" s="6" t="n">
        <f aca="false">Sens!F2513*self_build*tk_cxfac/1000</f>
        <v>5.62548</v>
      </c>
      <c r="G2533" s="6" t="n">
        <f aca="false">Sens!G2513*self_build*tk_cxfac/1000</f>
        <v>6.15762</v>
      </c>
      <c r="H2533" s="6" t="n">
        <f aca="false">Sens!H2513*self_build*tk_cxfac/1000</f>
        <v>0</v>
      </c>
      <c r="I2533" s="6" t="n">
        <f aca="false">Sens!I2513*self_build*tk_cxfac/1000</f>
        <v>0</v>
      </c>
      <c r="J2533" s="6" t="n">
        <f aca="false">Sens!J2513*self_build*tk_cxfac/1000</f>
        <v>0</v>
      </c>
      <c r="K2533" s="6" t="n">
        <f aca="false">Sens!K2513*self_build*tk_cxfac/1000</f>
        <v>0</v>
      </c>
    </row>
    <row r="2534" customFormat="false" ht="17.15" hidden="false" customHeight="false" outlineLevel="0" collapsed="false">
      <c r="A2534" s="0" t="s">
        <v>754</v>
      </c>
      <c r="B2534" s="0" t="s">
        <v>95</v>
      </c>
      <c r="F2534" s="6" t="n">
        <f aca="false">MAX(0,capex_floor27-Sens!F2532-Sens!F2533-Sens!F2621)</f>
        <v>138.102120594438</v>
      </c>
      <c r="G2534" s="6" t="n">
        <f aca="false">0</f>
        <v>0</v>
      </c>
      <c r="H2534" s="6" t="n">
        <f aca="false">0</f>
        <v>0</v>
      </c>
      <c r="I2534" s="6" t="n">
        <f aca="false">0</f>
        <v>0</v>
      </c>
      <c r="J2534" s="6" t="n">
        <f aca="false">0</f>
        <v>0</v>
      </c>
      <c r="K2534" s="6" t="n">
        <f aca="false">0</f>
        <v>0</v>
      </c>
      <c r="L2534" s="1" t="s">
        <v>755</v>
      </c>
    </row>
    <row r="2535" customFormat="false" ht="17.15" hidden="false" customHeight="false" outlineLevel="0" collapsed="false">
      <c r="A2535" s="0" t="s">
        <v>756</v>
      </c>
      <c r="B2535" s="0" t="s">
        <v>95</v>
      </c>
      <c r="C2535" s="6" t="n">
        <f aca="false">Sens!C2532</f>
        <v>22.5333845916667</v>
      </c>
      <c r="D2535" s="6" t="n">
        <f aca="false">Sens!D2532</f>
        <v>34.0300093833333</v>
      </c>
      <c r="E2535" s="6" t="n">
        <f aca="false">Sens!E2532</f>
        <v>67.600153775</v>
      </c>
      <c r="F2535" s="6" t="n">
        <f aca="false">Sens!F2532+Sens!F2534</f>
        <v>163.145172770438</v>
      </c>
      <c r="G2535" s="6" t="n">
        <f aca="false">Sens!G2532+Sens!G2534</f>
        <v>29.145107016</v>
      </c>
      <c r="H2535" s="6" t="n">
        <f aca="false">Sens!H2532+Sens!H2534</f>
        <v>0</v>
      </c>
      <c r="I2535" s="6" t="n">
        <f aca="false">Sens!I2532+Sens!I2534</f>
        <v>30.2586753466667</v>
      </c>
      <c r="J2535" s="6" t="n">
        <f aca="false">Sens!J2532+Sens!J2534</f>
        <v>45.6967750133333</v>
      </c>
      <c r="K2535" s="6" t="n">
        <f aca="false">Sens!K2532+Sens!K2534</f>
        <v>90.77602604</v>
      </c>
    </row>
    <row r="2536" customFormat="false" ht="17.15" hidden="false" customHeight="false" outlineLevel="0" collapsed="false">
      <c r="A2536" s="0" t="s">
        <v>757</v>
      </c>
      <c r="B2536" s="0" t="s">
        <v>95</v>
      </c>
      <c r="C2536" s="6" t="n">
        <f aca="false">Sens!C2535+Sens!C2533</f>
        <v>28.7416845916667</v>
      </c>
      <c r="D2536" s="6" t="n">
        <f aca="false">Sens!D2535+Sens!D2533</f>
        <v>43.4058093833333</v>
      </c>
      <c r="E2536" s="6" t="n">
        <f aca="false">Sens!E2535+Sens!E2533</f>
        <v>86.225053775</v>
      </c>
      <c r="F2536" s="6" t="n">
        <f aca="false">Sens!F2535+Sens!F2533</f>
        <v>168.770652770438</v>
      </c>
      <c r="G2536" s="6" t="n">
        <f aca="false">Sens!G2535+Sens!G2533</f>
        <v>35.302727016</v>
      </c>
      <c r="H2536" s="6" t="n">
        <f aca="false">Sens!H2535+Sens!H2533</f>
        <v>0</v>
      </c>
      <c r="I2536" s="6" t="n">
        <f aca="false">Sens!I2535+Sens!I2533</f>
        <v>30.2586753466667</v>
      </c>
      <c r="J2536" s="6" t="n">
        <f aca="false">Sens!J2535+Sens!J2533</f>
        <v>45.6967750133333</v>
      </c>
      <c r="K2536" s="6" t="n">
        <f aca="false">Sens!K2535+Sens!K2533</f>
        <v>90.77602604</v>
      </c>
      <c r="L2536" s="11" t="s">
        <v>758</v>
      </c>
    </row>
    <row r="2537" customFormat="false" ht="17.15" hidden="false" customHeight="false" outlineLevel="0" collapsed="false">
      <c r="A2537" s="0" t="s">
        <v>759</v>
      </c>
      <c r="B2537" s="0" t="s">
        <v>95</v>
      </c>
      <c r="E2537" s="6" t="n">
        <f aca="false">(Sens!C2535*IF(2&lt;life_it,1,IF(2=life_it,0.5,0))+Sens!D2535*IF(1&lt;life_it,1,IF(1=life_it,0.5,0))+Sens!E2535*0.5)/life_it</f>
        <v>15.0605784770833</v>
      </c>
      <c r="F2537" s="6" t="n">
        <f aca="false">(Sens!C2535*IF(3&lt;life_it,1,IF(3=life_it,0.5,0))+Sens!D2535*IF(2&lt;life_it,1,IF(2=life_it,0.5,0))+Sens!E2535*IF(1&lt;life_it,1,IF(1=life_it,0.5,0))+Sens!F2535*0.5)/life_it</f>
        <v>34.2893556892031</v>
      </c>
      <c r="G2537" s="6" t="n">
        <f aca="false">(Sens!C2535*IF(4&lt;life_it,1,IF(4=life_it,0.5,0))+Sens!D2535*IF(3&lt;life_it,1,IF(3=life_it,0.5,0))+Sens!E2535*IF(2&lt;life_it,1,IF(2=life_it,0.5,0))+Sens!F2535*IF(1&lt;life_it,1,IF(1=life_it,0.5,0))+Sens!G2535*0.5)/life_it</f>
        <v>50.3135456714063</v>
      </c>
      <c r="H2537" s="6" t="n">
        <f aca="false">(Sens!C2535*IF(5&lt;life_it,1,IF(5=life_it,0.5,0))+Sens!D2535*IF(4&lt;life_it,1,IF(4=life_it,0.5,0))+Sens!E2535*IF(3&lt;life_it,1,IF(3=life_it,0.5,0))+Sens!F2535*IF(2&lt;life_it,1,IF(2=life_it,0.5,0))+Sens!G2535*IF(1&lt;life_it,1,IF(1=life_it,0.5,0))+Sens!H2535*0.5)/life_it</f>
        <v>52.7423045894063</v>
      </c>
      <c r="I2537" s="6" t="n">
        <f aca="false">(Sens!C2535*IF(6&lt;life_it,1,IF(6=life_it,0.5,0))+Sens!D2535*IF(5&lt;life_it,1,IF(5=life_it,0.5,0))+Sens!E2535*IF(4&lt;life_it,1,IF(4=life_it,0.5,0))+Sens!F2535*IF(3&lt;life_it,1,IF(3=life_it,0.5,0))+Sens!G2535*IF(2&lt;life_it,1,IF(2=life_it,0.5,0))+Sens!H2535*IF(1&lt;life_it,1,IF(1=life_it,0.5,0))+Sens!I2535*0.5)/life_it</f>
        <v>53.3860788189896</v>
      </c>
      <c r="J2537" s="6" t="n">
        <f aca="false">(Sens!C2535*IF(7&lt;life_it,1,IF(7=life_it,0.5,0))+Sens!D2535*IF(6&lt;life_it,1,IF(6=life_it,0.5,0))+Sens!E2535*IF(5&lt;life_it,1,IF(5=life_it,0.5,0))+Sens!F2535*IF(4&lt;life_it,1,IF(4=life_it,0.5,0))+Sens!G2535*IF(3&lt;life_it,1,IF(3=life_it,0.5,0))+Sens!H2535*IF(2&lt;life_it,1,IF(2=life_it,0.5,0))+Sens!I2535*IF(1&lt;life_it,1,IF(1=life_it,0.5,0))+Sens!J2535*0.5)/life_it</f>
        <v>55.0020835177396</v>
      </c>
      <c r="K2537" s="6" t="n">
        <f aca="false">(Sens!C2535*IF(8&lt;life_it,1,IF(8=life_it,0.5,0))+Sens!D2535*IF(7&lt;life_it,1,IF(7=life_it,0.5,0))+Sens!E2535*IF(6&lt;life_it,1,IF(6=life_it,0.5,0))+Sens!F2535*IF(5&lt;life_it,1,IF(5=life_it,0.5,0))+Sens!G2535*IF(4&lt;life_it,1,IF(4=life_it,0.5,0))+Sens!H2535*IF(3&lt;life_it,1,IF(3=life_it,0.5,0))+Sens!I2535*IF(2&lt;life_it,1,IF(2=life_it,0.5,0))+Sens!J2535*IF(1&lt;life_it,1,IF(1=life_it,0.5,0))+Sens!K2535*0.5)/life_it</f>
        <v>57.9056366756563</v>
      </c>
    </row>
    <row r="2538" customFormat="false" ht="17.15" hidden="false" customHeight="false" outlineLevel="0" collapsed="false">
      <c r="A2538" s="0" t="s">
        <v>760</v>
      </c>
      <c r="B2538" s="0" t="s">
        <v>95</v>
      </c>
      <c r="E2538" s="6" t="n">
        <f aca="false">(Sens!C2533*IF(2&lt;life_fac,1,IF(2=life_fac,0.5,0))+Sens!D2533*IF(1&lt;life_fac,1,IF(1=life_fac,0.5,0))+Sens!E2533*0.5)/life_fac</f>
        <v>1.2448275</v>
      </c>
      <c r="F2538" s="6" t="n">
        <f aca="false">(Sens!C2533*IF(3&lt;life_fac,1,IF(3=life_fac,0.5,0))+Sens!D2533*IF(2&lt;life_fac,1,IF(2=life_fac,0.5,0))+Sens!E2533*IF(1&lt;life_fac,1,IF(1=life_fac,0.5,0))+Sens!F2533*0.5)/life_fac</f>
        <v>1.851087</v>
      </c>
      <c r="G2538" s="6" t="n">
        <f aca="false">(Sens!C2533*IF(4&lt;life_fac,1,IF(4=life_fac,0.5,0))+Sens!D2533*IF(3&lt;life_fac,1,IF(3=life_fac,0.5,0))+Sens!E2533*IF(2&lt;life_fac,1,IF(2=life_fac,0.5,0))+Sens!F2533*IF(1&lt;life_fac,1,IF(1=life_fac,0.5,0))+Sens!G2533*0.5)/life_fac</f>
        <v>2.1456645</v>
      </c>
      <c r="H2538" s="6" t="n">
        <f aca="false">(Sens!C2533*IF(5&lt;life_fac,1,IF(5=life_fac,0.5,0))+Sens!D2533*IF(4&lt;life_fac,1,IF(4=life_fac,0.5,0))+Sens!E2533*IF(3&lt;life_fac,1,IF(3=life_fac,0.5,0))+Sens!F2533*IF(2&lt;life_fac,1,IF(2=life_fac,0.5,0))+Sens!G2533*IF(1&lt;life_fac,1,IF(1=life_fac,0.5,0))+Sens!H2533*0.5)/life_fac</f>
        <v>2.299605</v>
      </c>
      <c r="I2538" s="6" t="n">
        <f aca="false">(Sens!C2533*IF(6&lt;life_fac,1,IF(6=life_fac,0.5,0))+Sens!D2533*IF(5&lt;life_fac,1,IF(5=life_fac,0.5,0))+Sens!E2533*IF(4&lt;life_fac,1,IF(4=life_fac,0.5,0))+Sens!F2533*IF(3&lt;life_fac,1,IF(3=life_fac,0.5,0))+Sens!G2533*IF(2&lt;life_fac,1,IF(2=life_fac,0.5,0))+Sens!H2533*IF(1&lt;life_fac,1,IF(1=life_fac,0.5,0))+Sens!I2533*0.5)/life_fac</f>
        <v>2.299605</v>
      </c>
      <c r="J2538" s="6" t="n">
        <f aca="false">(Sens!C2533*IF(7&lt;life_fac,1,IF(7=life_fac,0.5,0))+Sens!D2533*IF(6&lt;life_fac,1,IF(6=life_fac,0.5,0))+Sens!E2533*IF(5&lt;life_fac,1,IF(5=life_fac,0.5,0))+Sens!F2533*IF(4&lt;life_fac,1,IF(4=life_fac,0.5,0))+Sens!G2533*IF(3&lt;life_fac,1,IF(3=life_fac,0.5,0))+Sens!H2533*IF(2&lt;life_fac,1,IF(2=life_fac,0.5,0))+Sens!I2533*IF(1&lt;life_fac,1,IF(1=life_fac,0.5,0))+Sens!J2533*0.5)/life_fac</f>
        <v>2.299605</v>
      </c>
      <c r="K2538" s="6" t="n">
        <f aca="false">(Sens!C2533*IF(8&lt;life_fac,1,IF(8=life_fac,0.5,0))+Sens!D2533*IF(7&lt;life_fac,1,IF(7=life_fac,0.5,0))+Sens!E2533*IF(6&lt;life_fac,1,IF(6=life_fac,0.5,0))+Sens!F2533*IF(5&lt;life_fac,1,IF(5=life_fac,0.5,0))+Sens!G2533*IF(4&lt;life_fac,1,IF(4=life_fac,0.5,0))+Sens!H2533*IF(3&lt;life_fac,1,IF(3=life_fac,0.5,0))+Sens!I2533*IF(2&lt;life_fac,1,IF(2=life_fac,0.5,0))+Sens!J2533*IF(1&lt;life_fac,1,IF(1=life_fac,0.5,0))+Sens!K2533*0.5)/life_fac</f>
        <v>2.299605</v>
      </c>
    </row>
    <row r="2539" customFormat="false" ht="17.15" hidden="false" customHeight="false" outlineLevel="0" collapsed="false">
      <c r="A2539" s="0" t="s">
        <v>761</v>
      </c>
      <c r="B2539" s="0" t="s">
        <v>95</v>
      </c>
      <c r="E2539" s="6" t="n">
        <f aca="false">Sens!E2537+Sens!E2538</f>
        <v>16.3054059770833</v>
      </c>
      <c r="F2539" s="6" t="n">
        <f aca="false">Sens!F2537+Sens!F2538</f>
        <v>36.1404426892031</v>
      </c>
      <c r="G2539" s="6" t="n">
        <f aca="false">Sens!G2537+Sens!G2538</f>
        <v>52.4592101714063</v>
      </c>
      <c r="H2539" s="6" t="n">
        <f aca="false">Sens!H2537+Sens!H2538</f>
        <v>55.0419095894063</v>
      </c>
      <c r="I2539" s="6" t="n">
        <f aca="false">Sens!I2537+Sens!I2538</f>
        <v>55.6856838189896</v>
      </c>
      <c r="J2539" s="6" t="n">
        <f aca="false">Sens!J2537+Sens!J2538</f>
        <v>57.3016885177396</v>
      </c>
      <c r="K2539" s="6" t="n">
        <f aca="false">Sens!K2537+Sens!K2538</f>
        <v>60.2052416756563</v>
      </c>
    </row>
    <row r="2540" customFormat="false" ht="17.15" hidden="false" customHeight="false" outlineLevel="0" collapsed="false">
      <c r="A2540" s="0" t="s">
        <v>762</v>
      </c>
      <c r="B2540" s="0" t="s">
        <v>95</v>
      </c>
      <c r="E2540" s="6" t="n">
        <f aca="false">Sens!E2528-Sens!E2527*Sens!E2539</f>
        <v>8.92707889977379</v>
      </c>
      <c r="F2540" s="6" t="n">
        <f aca="false">Sens!F2528-Sens!F2527*Sens!F2539</f>
        <v>3.68955319269938</v>
      </c>
      <c r="G2540" s="6" t="n">
        <f aca="false">Sens!G2528-Sens!G2527*Sens!G2539</f>
        <v>-5.16728465949367</v>
      </c>
      <c r="H2540" s="6" t="n">
        <f aca="false">Sens!H2528-Sens!H2527*Sens!H2539</f>
        <v>-9.07868789704165</v>
      </c>
      <c r="I2540" s="6" t="n">
        <f aca="false">Sens!I2528-Sens!I2527*Sens!I2539</f>
        <v>-9.46495243479165</v>
      </c>
      <c r="J2540" s="6" t="n">
        <f aca="false">Sens!J2528-Sens!J2527*Sens!J2539</f>
        <v>-10.4345552540416</v>
      </c>
      <c r="K2540" s="6" t="n">
        <f aca="false">Sens!K2528-Sens!K2527*Sens!K2539</f>
        <v>-12.1766871487916</v>
      </c>
    </row>
    <row r="2541" customFormat="false" ht="17.15" hidden="false" customHeight="false" outlineLevel="0" collapsed="false">
      <c r="A2541" s="3" t="s">
        <v>1185</v>
      </c>
    </row>
    <row r="2542" customFormat="false" ht="15" hidden="false" customHeight="false" outlineLevel="0" collapsed="false">
      <c r="A2542" s="4" t="s">
        <v>43</v>
      </c>
      <c r="B2542" s="4" t="s">
        <v>63</v>
      </c>
      <c r="C2542" s="19" t="s">
        <v>710</v>
      </c>
      <c r="D2542" s="19" t="s">
        <v>711</v>
      </c>
      <c r="E2542" s="19" t="s">
        <v>712</v>
      </c>
      <c r="F2542" s="19" t="s">
        <v>713</v>
      </c>
      <c r="G2542" s="19" t="s">
        <v>714</v>
      </c>
      <c r="H2542" s="19" t="s">
        <v>715</v>
      </c>
      <c r="I2542" s="19" t="s">
        <v>716</v>
      </c>
      <c r="J2542" s="19" t="s">
        <v>717</v>
      </c>
      <c r="K2542" s="19" t="s">
        <v>718</v>
      </c>
      <c r="L2542" s="4" t="s">
        <v>47</v>
      </c>
    </row>
    <row r="2543" customFormat="false" ht="17.15" hidden="false" customHeight="false" outlineLevel="0" collapsed="false">
      <c r="A2543" s="0" t="s">
        <v>780</v>
      </c>
      <c r="B2543" s="0" t="s">
        <v>95</v>
      </c>
      <c r="D2543" s="6" t="n">
        <f aca="false">Sens!D2522</f>
        <v>12.9359794422418</v>
      </c>
      <c r="E2543" s="6" t="n">
        <f aca="false">Sens!E2522</f>
        <v>27.8095064661409</v>
      </c>
      <c r="F2543" s="6" t="n">
        <f aca="false">Sens!F2522</f>
        <v>38.493440194965</v>
      </c>
      <c r="G2543" s="6" t="n">
        <f aca="false">Sens!G2522</f>
        <v>41.5646912063518</v>
      </c>
      <c r="H2543" s="6" t="n">
        <f aca="false">Sens!H2522</f>
        <v>39.815294148216</v>
      </c>
      <c r="I2543" s="6" t="n">
        <f aca="false">Sens!I2522</f>
        <v>39.815294148216</v>
      </c>
      <c r="J2543" s="6" t="n">
        <f aca="false">Sens!J2522</f>
        <v>39.815294148216</v>
      </c>
      <c r="K2543" s="6" t="n">
        <f aca="false">Sens!K2522</f>
        <v>39.815294148216</v>
      </c>
    </row>
    <row r="2544" customFormat="false" ht="17.15" hidden="false" customHeight="false" outlineLevel="0" collapsed="false">
      <c r="A2544" s="0" t="s">
        <v>781</v>
      </c>
      <c r="B2544" s="0" t="s">
        <v>95</v>
      </c>
      <c r="D2544" s="6" t="n">
        <f aca="false">Q!L6-Sens!D2543</f>
        <v>59.6740205577583</v>
      </c>
      <c r="E2544" s="6" t="n">
        <f aca="false">Q!M6-Sens!E2543</f>
        <v>74.1284935338591</v>
      </c>
      <c r="F2544" s="6" t="n">
        <f aca="false">Sens!E2544*(1+Sens!F2545)</f>
        <v>90.0799497373663</v>
      </c>
      <c r="G2544" s="6" t="n">
        <f aca="false">Sens!F2544*(1+Sens!G2545)</f>
        <v>107.02842520331</v>
      </c>
      <c r="H2544" s="6" t="n">
        <f aca="false">Sens!G2544*(1+Sens!H2545)</f>
        <v>124.271982585636</v>
      </c>
      <c r="I2544" s="6" t="n">
        <f aca="false">Sens!H2544*(1+Sens!I2545)</f>
        <v>140.933702381855</v>
      </c>
      <c r="J2544" s="6" t="n">
        <f aca="false">Sens!I2544*(1+Sens!J2545)</f>
        <v>156.018867314332</v>
      </c>
      <c r="K2544" s="6" t="n">
        <f aca="false">Sens!J2544*(1+Sens!K2545)</f>
        <v>168.500376699478</v>
      </c>
    </row>
    <row r="2545" customFormat="false" ht="15" hidden="false" customHeight="false" outlineLevel="0" collapsed="false">
      <c r="A2545" s="1" t="s">
        <v>782</v>
      </c>
      <c r="B2545" s="0" t="s">
        <v>126</v>
      </c>
      <c r="E2545" s="7" t="n">
        <f aca="false">Sens!E2544/Sens!D2544-1</f>
        <v>0.242223883039864</v>
      </c>
      <c r="F2545" s="7" t="n">
        <f aca="false">Sens!$E$2545+(glt_azo-Sens!$E$2545)*MIN(1,1/n_conv)</f>
        <v>0.215186569199887</v>
      </c>
      <c r="G2545" s="7" t="n">
        <f aca="false">Sens!$E$2545+(glt_azo-Sens!$E$2545)*MIN(1,2/n_conv)</f>
        <v>0.18814925535991</v>
      </c>
      <c r="H2545" s="7" t="n">
        <f aca="false">Sens!$E$2545+(glt_azo-Sens!$E$2545)*MIN(1,3/n_conv)</f>
        <v>0.161111941519932</v>
      </c>
      <c r="I2545" s="7" t="n">
        <f aca="false">Sens!$E$2545+(glt_azo-Sens!$E$2545)*MIN(1,4/n_conv)</f>
        <v>0.134074627679955</v>
      </c>
      <c r="J2545" s="7" t="n">
        <f aca="false">Sens!$E$2545+(glt_azo-Sens!$E$2545)*MIN(1,5/n_conv)</f>
        <v>0.107037313839977</v>
      </c>
      <c r="K2545" s="7" t="n">
        <f aca="false">Sens!$E$2545+(glt_azo-Sens!$E$2545)*MIN(1,6/n_conv)</f>
        <v>0.08</v>
      </c>
    </row>
    <row r="2546" customFormat="false" ht="15" hidden="false" customHeight="false" outlineLevel="0" collapsed="false">
      <c r="A2546" s="0" t="s">
        <v>783</v>
      </c>
      <c r="B2546" s="0" t="s">
        <v>95</v>
      </c>
      <c r="D2546" s="6" t="n">
        <f aca="false">Sens!D2543+Sens!D2544</f>
        <v>72.61</v>
      </c>
      <c r="E2546" s="6" t="n">
        <f aca="false">Sens!E2543+Sens!E2544</f>
        <v>101.938</v>
      </c>
      <c r="F2546" s="6" t="n">
        <f aca="false">Sens!F2543+Sens!F2544</f>
        <v>128.573389932331</v>
      </c>
      <c r="G2546" s="6" t="n">
        <f aca="false">Sens!G2543+Sens!G2544</f>
        <v>148.593116409662</v>
      </c>
      <c r="H2546" s="6" t="n">
        <f aca="false">Sens!H2543+Sens!H2544</f>
        <v>164.087276733852</v>
      </c>
      <c r="I2546" s="6" t="n">
        <f aca="false">Sens!I2543+Sens!I2544</f>
        <v>180.748996530071</v>
      </c>
      <c r="J2546" s="6" t="n">
        <f aca="false">Sens!J2543+Sens!J2544</f>
        <v>195.834161462548</v>
      </c>
      <c r="K2546" s="6" t="n">
        <f aca="false">Sens!K2543+Sens!K2544</f>
        <v>208.315670847694</v>
      </c>
    </row>
    <row r="2547" customFormat="false" ht="17.15" hidden="false" customHeight="false" outlineLevel="0" collapsed="false">
      <c r="A2547" s="0" t="s">
        <v>784</v>
      </c>
      <c r="B2547" s="1" t="s">
        <v>451</v>
      </c>
      <c r="C2547" s="27" t="n">
        <f aca="false">cop_s24</f>
        <v>1</v>
      </c>
      <c r="D2547" s="27" t="n">
        <f aca="false">cop_s25</f>
        <v>5</v>
      </c>
      <c r="E2547" s="27" t="n">
        <f aca="false">cop_s26</f>
        <v>30</v>
      </c>
      <c r="F2547" s="27" t="n">
        <f aca="false">Sens!E2547+IF(2027&lt;=2029,cop_add_C,cop_add_C*cop_tail)</f>
        <v>40</v>
      </c>
      <c r="G2547" s="27" t="n">
        <f aca="false">Sens!F2547+IF(2028&lt;=2029,cop_add_C,cop_add_C*cop_tail)</f>
        <v>50</v>
      </c>
      <c r="H2547" s="27" t="n">
        <f aca="false">Sens!G2547+IF(2029&lt;=2029,cop_add_C,cop_add_C*cop_tail)</f>
        <v>60</v>
      </c>
      <c r="I2547" s="27" t="n">
        <f aca="false">Sens!H2547+IF(2030&lt;=2029,cop_add_C,cop_add_C*cop_tail)</f>
        <v>65</v>
      </c>
      <c r="J2547" s="27" t="n">
        <f aca="false">Sens!I2547+IF(2031&lt;=2029,cop_add_C,cop_add_C*cop_tail)</f>
        <v>70</v>
      </c>
      <c r="K2547" s="27" t="n">
        <f aca="false">Sens!J2547+IF(2032&lt;=2029,cop_add_C,cop_add_C*cop_tail)</f>
        <v>75</v>
      </c>
    </row>
    <row r="2548" customFormat="false" ht="17.15" hidden="false" customHeight="false" outlineLevel="0" collapsed="false">
      <c r="A2548" s="0" t="s">
        <v>785</v>
      </c>
      <c r="B2548" s="0" t="s">
        <v>95</v>
      </c>
      <c r="D2548" s="6" t="n">
        <f aca="false">(Sens!C2547+Sens!D2547)/2*cop_px*12/1000</f>
        <v>0.9</v>
      </c>
      <c r="E2548" s="6" t="n">
        <f aca="false">(Sens!D2547+Sens!E2547)/2*cop_px*12/1000</f>
        <v>5.25</v>
      </c>
      <c r="F2548" s="6" t="n">
        <f aca="false">(Sens!E2547+Sens!F2547)/2*cop_px*12/1000</f>
        <v>10.5</v>
      </c>
      <c r="G2548" s="6" t="n">
        <f aca="false">(Sens!F2547+Sens!G2547)/2*cop_px*12/1000</f>
        <v>13.5</v>
      </c>
      <c r="H2548" s="6" t="n">
        <f aca="false">(Sens!G2547+Sens!H2547)/2*cop_px*12/1000</f>
        <v>16.5</v>
      </c>
      <c r="I2548" s="6" t="n">
        <f aca="false">(Sens!H2547+Sens!I2547)/2*cop_px*12/1000</f>
        <v>18.75</v>
      </c>
      <c r="J2548" s="6" t="n">
        <f aca="false">(Sens!I2547+Sens!J2547)/2*cop_px*12/1000</f>
        <v>20.25</v>
      </c>
      <c r="K2548" s="6" t="n">
        <f aca="false">(Sens!J2547+Sens!K2547)/2*cop_px*12/1000</f>
        <v>21.75</v>
      </c>
      <c r="L2548" s="1" t="s">
        <v>786</v>
      </c>
    </row>
    <row r="2549" customFormat="false" ht="17.15" hidden="false" customHeight="false" outlineLevel="0" collapsed="false">
      <c r="A2549" s="0" t="s">
        <v>787</v>
      </c>
      <c r="B2549" s="0" t="s">
        <v>95</v>
      </c>
      <c r="D2549" s="6" t="n">
        <f aca="false">Q!L7-Sens!D2548</f>
        <v>83.705</v>
      </c>
      <c r="E2549" s="6" t="n">
        <f aca="false">Q!M7-Sens!E2548</f>
        <v>95.049</v>
      </c>
      <c r="F2549" s="6" t="n">
        <f aca="false">Sens!E2549*(1+Sens!F2550)</f>
        <v>106.89238776686</v>
      </c>
      <c r="G2549" s="6" t="n">
        <f aca="false">Sens!F2549*(1+Sens!G2550)</f>
        <v>119.044168448684</v>
      </c>
      <c r="H2549" s="6" t="n">
        <f aca="false">Sens!G2549*(1+Sens!H2550)</f>
        <v>131.277359388781</v>
      </c>
      <c r="I2549" s="6" t="n">
        <f aca="false">Sens!H2549*(1+Sens!I2550)</f>
        <v>143.334028071957</v>
      </c>
      <c r="J2549" s="6" t="n">
        <f aca="false">Sens!I2549*(1+Sens!J2550)</f>
        <v>154.932702785465</v>
      </c>
      <c r="K2549" s="6" t="n">
        <f aca="false">Sens!J2549*(1+Sens!K2550)</f>
        <v>165.777991980448</v>
      </c>
    </row>
    <row r="2550" customFormat="false" ht="15" hidden="false" customHeight="false" outlineLevel="0" collapsed="false">
      <c r="A2550" s="1" t="s">
        <v>782</v>
      </c>
      <c r="B2550" s="0" t="s">
        <v>126</v>
      </c>
      <c r="E2550" s="7" t="n">
        <f aca="false">Sens!E2549/Sens!D2549-1</f>
        <v>0.135523564900544</v>
      </c>
      <c r="F2550" s="7" t="n">
        <f aca="false">Sens!$E$2550+(glt_m365b-Sens!$E$2550)*MIN(1,1/n_conv)</f>
        <v>0.124602970750453</v>
      </c>
      <c r="G2550" s="7" t="n">
        <f aca="false">Sens!$E$2550+(glt_m365b-Sens!$E$2550)*MIN(1,2/n_conv)</f>
        <v>0.113682376600363</v>
      </c>
      <c r="H2550" s="7" t="n">
        <f aca="false">Sens!$E$2550+(glt_m365b-Sens!$E$2550)*MIN(1,3/n_conv)</f>
        <v>0.102761782450272</v>
      </c>
      <c r="I2550" s="7" t="n">
        <f aca="false">Sens!$E$2550+(glt_m365b-Sens!$E$2550)*MIN(1,4/n_conv)</f>
        <v>0.0918411883001813</v>
      </c>
      <c r="J2550" s="7" t="n">
        <f aca="false">Sens!$E$2550+(glt_m365b-Sens!$E$2550)*MIN(1,5/n_conv)</f>
        <v>0.0809205941500906</v>
      </c>
      <c r="K2550" s="7" t="n">
        <f aca="false">Sens!$E$2550+(glt_m365b-Sens!$E$2550)*MIN(1,6/n_conv)</f>
        <v>0.07</v>
      </c>
    </row>
    <row r="2551" customFormat="false" ht="15" hidden="false" customHeight="false" outlineLevel="0" collapsed="false">
      <c r="A2551" s="0" t="s">
        <v>788</v>
      </c>
      <c r="B2551" s="0" t="s">
        <v>95</v>
      </c>
      <c r="D2551" s="6" t="n">
        <f aca="false">Sens!D2549+Sens!D2548</f>
        <v>84.605</v>
      </c>
      <c r="E2551" s="6" t="n">
        <f aca="false">Sens!E2549+Sens!E2548</f>
        <v>100.299</v>
      </c>
      <c r="F2551" s="6" t="n">
        <f aca="false">Sens!F2549+Sens!F2548</f>
        <v>117.39238776686</v>
      </c>
      <c r="G2551" s="6" t="n">
        <f aca="false">Sens!G2549+Sens!G2548</f>
        <v>132.544168448684</v>
      </c>
      <c r="H2551" s="6" t="n">
        <f aca="false">Sens!H2549+Sens!H2548</f>
        <v>147.777359388781</v>
      </c>
      <c r="I2551" s="6" t="n">
        <f aca="false">Sens!I2549+Sens!I2548</f>
        <v>162.084028071957</v>
      </c>
      <c r="J2551" s="6" t="n">
        <f aca="false">Sens!J2549+Sens!J2548</f>
        <v>175.182702785465</v>
      </c>
      <c r="K2551" s="6" t="n">
        <f aca="false">Sens!K2549+Sens!K2548</f>
        <v>187.527991980448</v>
      </c>
    </row>
    <row r="2552" customFormat="false" ht="15" hidden="false" customHeight="false" outlineLevel="0" collapsed="false">
      <c r="A2552" s="0" t="s">
        <v>789</v>
      </c>
      <c r="B2552" s="0" t="s">
        <v>95</v>
      </c>
      <c r="D2552" s="6" t="n">
        <f aca="false">Q!L8</f>
        <v>35.391</v>
      </c>
      <c r="E2552" s="6" t="n">
        <f aca="false">Q!M8</f>
        <v>37.285</v>
      </c>
      <c r="F2552" s="6" t="n">
        <f aca="false">Sens!E2552*(1+Sens!F2553)</f>
        <v>39.0720834331704</v>
      </c>
      <c r="G2552" s="6" t="n">
        <f aca="false">Sens!F2552*(1+Sens!G2553)</f>
        <v>40.726562953769</v>
      </c>
      <c r="H2552" s="6" t="n">
        <f aca="false">Sens!G2552*(1+Sens!H2553)</f>
        <v>42.2235987259198</v>
      </c>
      <c r="I2552" s="6" t="n">
        <f aca="false">Sens!H2552*(1+Sens!I2553)</f>
        <v>43.5397988077414</v>
      </c>
      <c r="J2552" s="6" t="n">
        <f aca="false">Sens!I2552*(1+Sens!J2553)</f>
        <v>44.653811225693</v>
      </c>
      <c r="K2552" s="6" t="n">
        <f aca="false">Sens!J2552*(1+Sens!K2553)</f>
        <v>45.5468874502068</v>
      </c>
    </row>
    <row r="2553" customFormat="false" ht="15" hidden="false" customHeight="false" outlineLevel="0" collapsed="false">
      <c r="A2553" s="1" t="s">
        <v>782</v>
      </c>
      <c r="B2553" s="0" t="s">
        <v>126</v>
      </c>
      <c r="E2553" s="7" t="n">
        <f aca="false">Sens!E2552/Sens!D2552-1</f>
        <v>0.0535164307309768</v>
      </c>
      <c r="F2553" s="7" t="n">
        <f aca="false">Sens!$E$2553+(glt_lic-Sens!$E$2553)*MIN(1,1/n_conv)</f>
        <v>0.0479303589424807</v>
      </c>
      <c r="G2553" s="7" t="n">
        <f aca="false">Sens!$E$2553+(glt_lic-Sens!$E$2553)*MIN(1,2/n_conv)</f>
        <v>0.0423442871539845</v>
      </c>
      <c r="H2553" s="7" t="n">
        <f aca="false">Sens!$E$2553+(glt_lic-Sens!$E$2553)*MIN(1,3/n_conv)</f>
        <v>0.0367582153654884</v>
      </c>
      <c r="I2553" s="7" t="n">
        <f aca="false">Sens!$E$2553+(glt_lic-Sens!$E$2553)*MIN(1,4/n_conv)</f>
        <v>0.0311721435769923</v>
      </c>
      <c r="J2553" s="7" t="n">
        <f aca="false">Sens!$E$2553+(glt_lic-Sens!$E$2553)*MIN(1,5/n_conv)</f>
        <v>0.0255860717884961</v>
      </c>
      <c r="K2553" s="7" t="n">
        <f aca="false">Sens!$E$2553+(glt_lic-Sens!$E$2553)*MIN(1,6/n_conv)</f>
        <v>0.02</v>
      </c>
    </row>
    <row r="2554" customFormat="false" ht="15" hidden="false" customHeight="false" outlineLevel="0" collapsed="false">
      <c r="A2554" s="0" t="s">
        <v>790</v>
      </c>
      <c r="B2554" s="0" t="s">
        <v>95</v>
      </c>
      <c r="D2554" s="6" t="n">
        <f aca="false">Q!L9</f>
        <v>18.417</v>
      </c>
      <c r="E2554" s="6" t="n">
        <f aca="false">Q!M9</f>
        <v>20.345</v>
      </c>
      <c r="F2554" s="6" t="n">
        <f aca="false">Sens!E2554*(1+Sens!F2555)</f>
        <v>22.3572203267814</v>
      </c>
      <c r="G2554" s="6" t="n">
        <f aca="false">Sens!F2554*(1+Sens!G2555)</f>
        <v>24.4392124437232</v>
      </c>
      <c r="H2554" s="6" t="n">
        <f aca="false">Sens!G2554*(1+Sens!H2555)</f>
        <v>26.5738052080665</v>
      </c>
      <c r="I2554" s="6" t="n">
        <f aca="false">Sens!H2554*(1+Sens!I2555)</f>
        <v>28.7412169166967</v>
      </c>
      <c r="J2554" s="6" t="n">
        <f aca="false">Sens!I2554*(1+Sens!J2555)</f>
        <v>30.9192545395413</v>
      </c>
      <c r="K2554" s="6" t="n">
        <f aca="false">Sens!J2554*(1+Sens!K2555)</f>
        <v>33.0836023573092</v>
      </c>
    </row>
    <row r="2555" customFormat="false" ht="15" hidden="false" customHeight="false" outlineLevel="0" collapsed="false">
      <c r="A2555" s="1" t="s">
        <v>782</v>
      </c>
      <c r="B2555" s="0" t="s">
        <v>126</v>
      </c>
      <c r="E2555" s="7" t="n">
        <f aca="false">Sens!E2554/Sens!D2554-1</f>
        <v>0.104685888038225</v>
      </c>
      <c r="F2555" s="7" t="n">
        <f aca="false">Sens!$E$2555+(glt_ind-Sens!$E$2555)*MIN(1,1/n_conv)</f>
        <v>0.0989049066985211</v>
      </c>
      <c r="G2555" s="7" t="n">
        <f aca="false">Sens!$E$2555+(glt_ind-Sens!$E$2555)*MIN(1,2/n_conv)</f>
        <v>0.0931239253588169</v>
      </c>
      <c r="H2555" s="7" t="n">
        <f aca="false">Sens!$E$2555+(glt_ind-Sens!$E$2555)*MIN(1,3/n_conv)</f>
        <v>0.0873429440191127</v>
      </c>
      <c r="I2555" s="7" t="n">
        <f aca="false">Sens!$E$2555+(glt_ind-Sens!$E$2555)*MIN(1,4/n_conv)</f>
        <v>0.0815619626794085</v>
      </c>
      <c r="J2555" s="7" t="n">
        <f aca="false">Sens!$E$2555+(glt_ind-Sens!$E$2555)*MIN(1,5/n_conv)</f>
        <v>0.0757809813397042</v>
      </c>
      <c r="K2555" s="7" t="n">
        <f aca="false">Sens!$E$2555+(glt_ind-Sens!$E$2555)*MIN(1,6/n_conv)</f>
        <v>0.07</v>
      </c>
    </row>
    <row r="2556" customFormat="false" ht="15" hidden="false" customHeight="false" outlineLevel="0" collapsed="false">
      <c r="A2556" s="0" t="s">
        <v>791</v>
      </c>
      <c r="B2556" s="0" t="s">
        <v>95</v>
      </c>
      <c r="D2556" s="6" t="n">
        <f aca="false">Q!L10</f>
        <v>7.76</v>
      </c>
      <c r="E2556" s="6" t="n">
        <f aca="false">Q!M10</f>
        <v>8.26</v>
      </c>
      <c r="F2556" s="6" t="n">
        <f aca="false">Sens!E2556*(1+Sens!F2557)</f>
        <v>8.79988041237113</v>
      </c>
      <c r="G2556" s="6" t="n">
        <f aca="false">Sens!F2556*(1+Sens!G2557)</f>
        <v>9.38321269125306</v>
      </c>
      <c r="H2556" s="6" t="n">
        <f aca="false">Sens!G2556*(1+Sens!H2557)</f>
        <v>10.0139193587476</v>
      </c>
      <c r="I2556" s="6" t="n">
        <f aca="false">Sens!H2556*(1+Sens!I2557)</f>
        <v>10.6963111830911</v>
      </c>
      <c r="J2556" s="6" t="n">
        <f aca="false">Sens!I2556*(1+Sens!J2557)</f>
        <v>11.4351285534696</v>
      </c>
      <c r="K2556" s="6" t="n">
        <f aca="false">Sens!J2556*(1+Sens!K2557)</f>
        <v>12.2355875522124</v>
      </c>
    </row>
    <row r="2557" customFormat="false" ht="15" hidden="false" customHeight="false" outlineLevel="0" collapsed="false">
      <c r="A2557" s="1" t="s">
        <v>782</v>
      </c>
      <c r="B2557" s="0" t="s">
        <v>126</v>
      </c>
      <c r="E2557" s="7" t="n">
        <f aca="false">Sens!E2556/Sens!D2556-1</f>
        <v>0.0644329896907216</v>
      </c>
      <c r="F2557" s="7" t="n">
        <f aca="false">Sens!$E$2557+(glt_fro-Sens!$E$2557)*MIN(1,1/n_conv)</f>
        <v>0.065360824742268</v>
      </c>
      <c r="G2557" s="7" t="n">
        <f aca="false">Sens!$E$2557+(glt_fro-Sens!$E$2557)*MIN(1,2/n_conv)</f>
        <v>0.0662886597938144</v>
      </c>
      <c r="H2557" s="7" t="n">
        <f aca="false">Sens!$E$2557+(glt_fro-Sens!$E$2557)*MIN(1,3/n_conv)</f>
        <v>0.0672164948453608</v>
      </c>
      <c r="I2557" s="7" t="n">
        <f aca="false">Sens!$E$2557+(glt_fro-Sens!$E$2557)*MIN(1,4/n_conv)</f>
        <v>0.0681443298969072</v>
      </c>
      <c r="J2557" s="7" t="n">
        <f aca="false">Sens!$E$2557+(glt_fro-Sens!$E$2557)*MIN(1,5/n_conv)</f>
        <v>0.0690721649484536</v>
      </c>
      <c r="K2557" s="7" t="n">
        <f aca="false">Sens!$E$2557+(glt_fro-Sens!$E$2557)*MIN(1,6/n_conv)</f>
        <v>0.07</v>
      </c>
    </row>
    <row r="2558" customFormat="false" ht="15" hidden="false" customHeight="false" outlineLevel="0" collapsed="false">
      <c r="A2558" s="0" t="s">
        <v>626</v>
      </c>
      <c r="B2558" s="0" t="s">
        <v>95</v>
      </c>
      <c r="D2558" s="6" t="n">
        <f aca="false">Sens!D2546+Sens!D2551+Sens!D2552+Sens!D2554+Sens!D2556</f>
        <v>218.783</v>
      </c>
      <c r="E2558" s="6" t="n">
        <f aca="false">Sens!E2546+Sens!E2551+Sens!E2552+Sens!E2554+Sens!E2556</f>
        <v>268.127</v>
      </c>
      <c r="F2558" s="6" t="n">
        <f aca="false">Sens!F2546+Sens!F2551+Sens!F2552+Sens!F2554+Sens!F2556</f>
        <v>316.194961871514</v>
      </c>
      <c r="G2558" s="6" t="n">
        <f aca="false">Sens!G2546+Sens!G2551+Sens!G2552+Sens!G2554+Sens!G2556</f>
        <v>355.686272947091</v>
      </c>
      <c r="H2558" s="6" t="n">
        <f aca="false">Sens!H2546+Sens!H2551+Sens!H2552+Sens!H2554+Sens!H2556</f>
        <v>390.675959415367</v>
      </c>
      <c r="I2558" s="6" t="n">
        <f aca="false">Sens!I2546+Sens!I2551+Sens!I2552+Sens!I2554+Sens!I2556</f>
        <v>425.810351509557</v>
      </c>
      <c r="J2558" s="6" t="n">
        <f aca="false">Sens!J2546+Sens!J2551+Sens!J2552+Sens!J2554+Sens!J2556</f>
        <v>458.025058566717</v>
      </c>
      <c r="K2558" s="6" t="n">
        <f aca="false">Sens!K2546+Sens!K2551+Sens!K2552+Sens!K2554+Sens!K2556</f>
        <v>486.70974018787</v>
      </c>
    </row>
    <row r="2559" customFormat="false" ht="15" hidden="false" customHeight="false" outlineLevel="0" collapsed="false">
      <c r="A2559" s="0" t="s">
        <v>792</v>
      </c>
      <c r="B2559" s="0" t="s">
        <v>95</v>
      </c>
      <c r="D2559" s="6" t="n">
        <f aca="false">Q!L13</f>
        <v>22.171</v>
      </c>
      <c r="E2559" s="6" t="n">
        <f aca="false">Q!M13</f>
        <v>24.835</v>
      </c>
      <c r="F2559" s="6" t="n">
        <f aca="false">Sens!E2559*(1+Sens!F2560)</f>
        <v>27.6114901218559</v>
      </c>
      <c r="G2559" s="6" t="n">
        <f aca="false">Sens!F2559*(1+Sens!G2560)</f>
        <v>30.4675667338515</v>
      </c>
      <c r="H2559" s="6" t="n">
        <f aca="false">Sens!G2559*(1+Sens!H2560)</f>
        <v>33.3643766955789</v>
      </c>
      <c r="I2559" s="6" t="n">
        <f aca="false">Sens!H2559*(1+Sens!I2560)</f>
        <v>36.2577016533691</v>
      </c>
      <c r="J2559" s="6" t="n">
        <f aca="false">Sens!I2559*(1+Sens!J2560)</f>
        <v>39.0988367952171</v>
      </c>
      <c r="K2559" s="6" t="n">
        <f aca="false">Sens!J2559*(1+Sens!K2560)</f>
        <v>41.8357553708823</v>
      </c>
    </row>
    <row r="2560" customFormat="false" ht="15" hidden="false" customHeight="false" outlineLevel="0" collapsed="false">
      <c r="A2560" s="1" t="s">
        <v>782</v>
      </c>
      <c r="B2560" s="0" t="s">
        <v>126</v>
      </c>
      <c r="E2560" s="7" t="n">
        <f aca="false">Sens!E2559/Sens!D2559-1</f>
        <v>0.120156961796942</v>
      </c>
      <c r="F2560" s="7" t="n">
        <f aca="false">Sens!$E$2560+(glt_srch-Sens!$E$2560)*MIN(1,1/n_conv)</f>
        <v>0.111797468164118</v>
      </c>
      <c r="G2560" s="7" t="n">
        <f aca="false">Sens!$E$2560+(glt_srch-Sens!$E$2560)*MIN(1,2/n_conv)</f>
        <v>0.103437974531295</v>
      </c>
      <c r="H2560" s="7" t="n">
        <f aca="false">Sens!$E$2560+(glt_srch-Sens!$E$2560)*MIN(1,3/n_conv)</f>
        <v>0.095078480898471</v>
      </c>
      <c r="I2560" s="7" t="n">
        <f aca="false">Sens!$E$2560+(glt_srch-Sens!$E$2560)*MIN(1,4/n_conv)</f>
        <v>0.0867189872656474</v>
      </c>
      <c r="J2560" s="7" t="n">
        <f aca="false">Sens!$E$2560+(glt_srch-Sens!$E$2560)*MIN(1,5/n_conv)</f>
        <v>0.0783594936328237</v>
      </c>
      <c r="K2560" s="7" t="n">
        <f aca="false">Sens!$E$2560+(glt_srch-Sens!$E$2560)*MIN(1,6/n_conv)</f>
        <v>0.07</v>
      </c>
    </row>
    <row r="2561" customFormat="false" ht="15" hidden="false" customHeight="false" outlineLevel="0" collapsed="false">
      <c r="A2561" s="0" t="s">
        <v>793</v>
      </c>
      <c r="B2561" s="0" t="s">
        <v>95</v>
      </c>
      <c r="D2561" s="6" t="n">
        <f aca="false">Q!L14</f>
        <v>23.455</v>
      </c>
      <c r="E2561" s="6" t="n">
        <f aca="false">Q!M14</f>
        <v>21.79</v>
      </c>
      <c r="F2561" s="6" t="n">
        <f aca="false">Sens!E2561*(1+Sens!F2562)</f>
        <v>20.5736277908051</v>
      </c>
      <c r="G2561" s="6" t="n">
        <f aca="false">Sens!F2561*(1+Sens!G2562)</f>
        <v>19.7371452817919</v>
      </c>
      <c r="H2561" s="6" t="n">
        <f aca="false">Sens!G2561*(1+Sens!H2562)</f>
        <v>19.2339764043138</v>
      </c>
      <c r="I2561" s="6" t="n">
        <f aca="false">Sens!H2561*(1+Sens!I2562)</f>
        <v>19.0353086852681</v>
      </c>
      <c r="J2561" s="6" t="n">
        <f aca="false">Sens!I2561*(1+Sens!J2562)</f>
        <v>19.1273539319129</v>
      </c>
      <c r="K2561" s="6" t="n">
        <f aca="false">Sens!J2561*(1+Sens!K2562)</f>
        <v>19.5099010105511</v>
      </c>
    </row>
    <row r="2562" customFormat="false" ht="15" hidden="false" customHeight="false" outlineLevel="0" collapsed="false">
      <c r="A2562" s="1" t="s">
        <v>782</v>
      </c>
      <c r="B2562" s="0" t="s">
        <v>126</v>
      </c>
      <c r="E2562" s="7" t="n">
        <f aca="false">Sens!E2561/Sens!D2561-1</f>
        <v>-0.0709869963760392</v>
      </c>
      <c r="F2562" s="7" t="n">
        <f aca="false">Sens!$E$2562+(glt_xbox-Sens!$E$2562)*MIN(1,1/n_conv)</f>
        <v>-0.0558224969800327</v>
      </c>
      <c r="G2562" s="7" t="n">
        <f aca="false">Sens!$E$2562+(glt_xbox-Sens!$E$2562)*MIN(1,2/n_conv)</f>
        <v>-0.0406579975840262</v>
      </c>
      <c r="H2562" s="7" t="n">
        <f aca="false">Sens!$E$2562+(glt_xbox-Sens!$E$2562)*MIN(1,3/n_conv)</f>
        <v>-0.0254934981880196</v>
      </c>
      <c r="I2562" s="7" t="n">
        <f aca="false">Sens!$E$2562+(glt_xbox-Sens!$E$2562)*MIN(1,4/n_conv)</f>
        <v>-0.0103289987920131</v>
      </c>
      <c r="J2562" s="7" t="n">
        <f aca="false">Sens!$E$2562+(glt_xbox-Sens!$E$2562)*MIN(1,5/n_conv)</f>
        <v>0.00483550060399347</v>
      </c>
      <c r="K2562" s="7" t="n">
        <f aca="false">Sens!$E$2562+(glt_xbox-Sens!$E$2562)*MIN(1,6/n_conv)</f>
        <v>0.02</v>
      </c>
    </row>
    <row r="2563" customFormat="false" ht="15" hidden="false" customHeight="false" outlineLevel="0" collapsed="false">
      <c r="A2563" s="0" t="s">
        <v>794</v>
      </c>
      <c r="B2563" s="0" t="s">
        <v>95</v>
      </c>
      <c r="D2563" s="6" t="n">
        <f aca="false">Q!L15</f>
        <v>17.315</v>
      </c>
      <c r="E2563" s="6" t="n">
        <f aca="false">Q!M15</f>
        <v>17.087</v>
      </c>
      <c r="F2563" s="6" t="n">
        <f aca="false">Sens!E2563*(1+Sens!F2564)</f>
        <v>16.9564585436519</v>
      </c>
      <c r="G2563" s="6" t="n">
        <f aca="false">Sens!F2563*(1+Sens!G2564)</f>
        <v>16.9206490624268</v>
      </c>
      <c r="H2563" s="6" t="n">
        <f aca="false">Sens!G2563*(1+Sens!H2564)</f>
        <v>16.9784519149849</v>
      </c>
      <c r="I2563" s="6" t="n">
        <f aca="false">Sens!H2563*(1+Sens!I2564)</f>
        <v>17.1303084701817</v>
      </c>
      <c r="J2563" s="6" t="n">
        <f aca="false">Sens!I2563*(1+Sens!J2564)</f>
        <v>17.3782189407267</v>
      </c>
      <c r="K2563" s="6" t="n">
        <f aca="false">Sens!J2563*(1+Sens!K2564)</f>
        <v>17.7257833195413</v>
      </c>
    </row>
    <row r="2564" customFormat="false" ht="15" hidden="false" customHeight="false" outlineLevel="0" collapsed="false">
      <c r="A2564" s="1" t="s">
        <v>782</v>
      </c>
      <c r="B2564" s="0" t="s">
        <v>126</v>
      </c>
      <c r="E2564" s="7" t="n">
        <f aca="false">Sens!E2563/Sens!D2563-1</f>
        <v>-0.0131677736066995</v>
      </c>
      <c r="F2564" s="7" t="n">
        <f aca="false">Sens!$E$2564+(glt_win-Sens!$E$2564)*MIN(1,1/n_conv)</f>
        <v>-0.00763981133891627</v>
      </c>
      <c r="G2564" s="7" t="n">
        <f aca="false">Sens!$E$2564+(glt_win-Sens!$E$2564)*MIN(1,2/n_conv)</f>
        <v>-0.00211184907113301</v>
      </c>
      <c r="H2564" s="7" t="n">
        <f aca="false">Sens!$E$2564+(glt_win-Sens!$E$2564)*MIN(1,3/n_conv)</f>
        <v>0.00341611319665024</v>
      </c>
      <c r="I2564" s="7" t="n">
        <f aca="false">Sens!$E$2564+(glt_win-Sens!$E$2564)*MIN(1,4/n_conv)</f>
        <v>0.00894407546443349</v>
      </c>
      <c r="J2564" s="7" t="n">
        <f aca="false">Sens!$E$2564+(glt_win-Sens!$E$2564)*MIN(1,5/n_conv)</f>
        <v>0.0144720377322168</v>
      </c>
      <c r="K2564" s="7" t="n">
        <f aca="false">Sens!$E$2564+(glt_win-Sens!$E$2564)*MIN(1,6/n_conv)</f>
        <v>0.02</v>
      </c>
    </row>
    <row r="2565" customFormat="false" ht="15" hidden="false" customHeight="false" outlineLevel="0" collapsed="false">
      <c r="A2565" s="0" t="s">
        <v>640</v>
      </c>
      <c r="B2565" s="0" t="s">
        <v>95</v>
      </c>
      <c r="D2565" s="6" t="n">
        <f aca="false">Sens!D2559+Sens!D2561+Sens!D2563</f>
        <v>62.941</v>
      </c>
      <c r="E2565" s="6" t="n">
        <f aca="false">Sens!E2559+Sens!E2561+Sens!E2563</f>
        <v>63.712</v>
      </c>
      <c r="F2565" s="6" t="n">
        <f aca="false">Sens!F2559+Sens!F2561+Sens!F2563</f>
        <v>65.1415764563129</v>
      </c>
      <c r="G2565" s="6" t="n">
        <f aca="false">Sens!G2559+Sens!G2561+Sens!G2563</f>
        <v>67.1253610780702</v>
      </c>
      <c r="H2565" s="6" t="n">
        <f aca="false">Sens!H2559+Sens!H2561+Sens!H2563</f>
        <v>69.5768050148776</v>
      </c>
      <c r="I2565" s="6" t="n">
        <f aca="false">Sens!I2559+Sens!I2561+Sens!I2563</f>
        <v>72.4233188088189</v>
      </c>
      <c r="J2565" s="6" t="n">
        <f aca="false">Sens!J2559+Sens!J2561+Sens!J2563</f>
        <v>75.6044096678567</v>
      </c>
      <c r="K2565" s="6" t="n">
        <f aca="false">Sens!K2559+Sens!K2561+Sens!K2563</f>
        <v>79.0714397009747</v>
      </c>
    </row>
    <row r="2566" customFormat="false" ht="15" hidden="false" customHeight="false" outlineLevel="0" collapsed="false">
      <c r="A2566" s="1" t="s">
        <v>795</v>
      </c>
      <c r="B2566" s="0" t="s">
        <v>95</v>
      </c>
      <c r="D2566" s="6" t="n">
        <f aca="false">Sens!D2558+Sens!D2565</f>
        <v>281.724</v>
      </c>
      <c r="E2566" s="6" t="n">
        <f aca="false">Sens!E2558+Sens!E2565</f>
        <v>331.839</v>
      </c>
      <c r="F2566" s="6" t="n">
        <f aca="false">Sens!F2558+Sens!F2565</f>
        <v>381.336538327827</v>
      </c>
      <c r="G2566" s="6" t="n">
        <f aca="false">Sens!G2558+Sens!G2565</f>
        <v>422.811634025161</v>
      </c>
      <c r="H2566" s="6" t="n">
        <f aca="false">Sens!H2558+Sens!H2565</f>
        <v>460.252764430245</v>
      </c>
      <c r="I2566" s="6" t="n">
        <f aca="false">Sens!I2558+Sens!I2565</f>
        <v>498.233670318376</v>
      </c>
      <c r="J2566" s="6" t="n">
        <f aca="false">Sens!J2558+Sens!J2565</f>
        <v>533.629468234573</v>
      </c>
      <c r="K2566" s="6" t="n">
        <f aca="false">Sens!K2558+Sens!K2565</f>
        <v>565.781179888845</v>
      </c>
    </row>
    <row r="2567" customFormat="false" ht="15" hidden="false" customHeight="false" outlineLevel="0" collapsed="false">
      <c r="A2567" s="22" t="s">
        <v>796</v>
      </c>
      <c r="B2567" s="28" t="s">
        <v>95</v>
      </c>
      <c r="C2567" s="28"/>
      <c r="D2567" s="23" t="n">
        <f aca="false">(Sens!D2546+Sens!D2551+Sens!D2552+Sens!D2554+Sens!D2556-Sens!D2558)+(Sens!D2559+Sens!D2561+Sens!D2563-Sens!D2565)+(Sens!D2558-Q!L5)+(Sens!D2565-Q!L12)+(Sens!D2546-Q!L6)+(Sens!D2551-Q!L7)</f>
        <v>0</v>
      </c>
      <c r="E2567" s="23" t="n">
        <f aca="false">(Sens!E2546+Sens!E2551+Sens!E2552+Sens!E2554+Sens!E2556-Sens!E2558)+(Sens!E2559+Sens!E2561+Sens!E2563-Sens!E2565)+(Sens!E2558-Q!M5)+(Sens!E2565-Q!M12)+(Sens!E2546-Q!M6)+(Sens!E2551-Q!M7)</f>
        <v>0</v>
      </c>
      <c r="F2567" s="23" t="n">
        <f aca="false">(Sens!F2546+Sens!F2551+Sens!F2552+Sens!F2554+Sens!F2556-Sens!F2558)+(Sens!F2559+Sens!F2561+Sens!F2563-Sens!F2565)</f>
        <v>0</v>
      </c>
      <c r="G2567" s="23" t="n">
        <f aca="false">(Sens!G2546+Sens!G2551+Sens!G2552+Sens!G2554+Sens!G2556-Sens!G2558)+(Sens!G2559+Sens!G2561+Sens!G2563-Sens!G2565)</f>
        <v>0</v>
      </c>
      <c r="H2567" s="23" t="n">
        <f aca="false">(Sens!H2546+Sens!H2551+Sens!H2552+Sens!H2554+Sens!H2556-Sens!H2558)+(Sens!H2559+Sens!H2561+Sens!H2563-Sens!H2565)</f>
        <v>0</v>
      </c>
      <c r="I2567" s="23" t="n">
        <f aca="false">(Sens!I2546+Sens!I2551+Sens!I2552+Sens!I2554+Sens!I2556-Sens!I2558)+(Sens!I2559+Sens!I2561+Sens!I2563-Sens!I2565)</f>
        <v>0</v>
      </c>
      <c r="J2567" s="23" t="n">
        <f aca="false">(Sens!J2546+Sens!J2551+Sens!J2552+Sens!J2554+Sens!J2556-Sens!J2558)+(Sens!J2559+Sens!J2561+Sens!J2563-Sens!J2565)</f>
        <v>0</v>
      </c>
      <c r="K2567" s="23" t="n">
        <f aca="false">(Sens!K2546+Sens!K2551+Sens!K2552+Sens!K2554+Sens!K2556-Sens!K2558)+(Sens!K2559+Sens!K2561+Sens!K2563-Sens!K2565)</f>
        <v>0</v>
      </c>
    </row>
    <row r="2568" customFormat="false" ht="17.15" hidden="false" customHeight="false" outlineLevel="0" collapsed="false">
      <c r="A2568" s="3" t="s">
        <v>1186</v>
      </c>
    </row>
    <row r="2569" customFormat="false" ht="15" hidden="false" customHeight="false" outlineLevel="0" collapsed="false">
      <c r="A2569" s="4" t="s">
        <v>43</v>
      </c>
      <c r="B2569" s="4" t="s">
        <v>63</v>
      </c>
      <c r="C2569" s="19" t="s">
        <v>710</v>
      </c>
      <c r="D2569" s="19" t="s">
        <v>711</v>
      </c>
      <c r="E2569" s="19" t="s">
        <v>712</v>
      </c>
      <c r="F2569" s="19" t="s">
        <v>713</v>
      </c>
      <c r="G2569" s="19" t="s">
        <v>714</v>
      </c>
      <c r="H2569" s="19" t="s">
        <v>715</v>
      </c>
      <c r="I2569" s="19" t="s">
        <v>716</v>
      </c>
      <c r="J2569" s="19" t="s">
        <v>717</v>
      </c>
      <c r="K2569" s="19" t="s">
        <v>718</v>
      </c>
      <c r="L2569" s="4" t="s">
        <v>47</v>
      </c>
    </row>
    <row r="2570" customFormat="false" ht="15" hidden="false" customHeight="false" outlineLevel="0" collapsed="false">
      <c r="A2570" s="0" t="s">
        <v>783</v>
      </c>
      <c r="B2570" s="0" t="s">
        <v>95</v>
      </c>
      <c r="D2570" s="6" t="n">
        <f aca="false">Sens!D2546</f>
        <v>72.61</v>
      </c>
      <c r="E2570" s="6" t="n">
        <f aca="false">Sens!E2546</f>
        <v>101.938</v>
      </c>
      <c r="F2570" s="6" t="n">
        <f aca="false">Sens!F2546</f>
        <v>128.573389932331</v>
      </c>
      <c r="G2570" s="6" t="n">
        <f aca="false">Sens!G2546</f>
        <v>148.593116409662</v>
      </c>
      <c r="H2570" s="6" t="n">
        <f aca="false">Sens!H2546</f>
        <v>164.087276733852</v>
      </c>
      <c r="I2570" s="6" t="n">
        <f aca="false">Sens!I2546</f>
        <v>180.748996530071</v>
      </c>
      <c r="J2570" s="6" t="n">
        <f aca="false">Sens!J2546</f>
        <v>195.834161462548</v>
      </c>
      <c r="K2570" s="6" t="n">
        <f aca="false">Sens!K2546</f>
        <v>208.315670847694</v>
      </c>
    </row>
    <row r="2571" customFormat="false" ht="17.15" hidden="false" customHeight="false" outlineLevel="0" collapsed="false">
      <c r="A2571" s="0" t="s">
        <v>780</v>
      </c>
      <c r="B2571" s="0" t="s">
        <v>95</v>
      </c>
      <c r="D2571" s="6" t="n">
        <f aca="false">Sens!D2543</f>
        <v>12.9359794422418</v>
      </c>
      <c r="E2571" s="6" t="n">
        <f aca="false">Sens!E2543</f>
        <v>27.8095064661409</v>
      </c>
      <c r="F2571" s="6" t="n">
        <f aca="false">Sens!F2543</f>
        <v>38.493440194965</v>
      </c>
      <c r="G2571" s="6" t="n">
        <f aca="false">Sens!G2543</f>
        <v>41.5646912063518</v>
      </c>
      <c r="H2571" s="6" t="n">
        <f aca="false">Sens!H2543</f>
        <v>39.815294148216</v>
      </c>
      <c r="I2571" s="6" t="n">
        <f aca="false">Sens!I2543</f>
        <v>39.815294148216</v>
      </c>
      <c r="J2571" s="6" t="n">
        <f aca="false">Sens!J2543</f>
        <v>39.815294148216</v>
      </c>
      <c r="K2571" s="6" t="n">
        <f aca="false">Sens!K2543</f>
        <v>39.815294148216</v>
      </c>
    </row>
    <row r="2572" customFormat="false" ht="17.15" hidden="false" customHeight="false" outlineLevel="0" collapsed="false">
      <c r="A2572" s="0" t="s">
        <v>807</v>
      </c>
      <c r="B2572" s="0" t="s">
        <v>95</v>
      </c>
      <c r="D2572" s="6" t="n">
        <f aca="false">Sens!D2544</f>
        <v>59.6740205577583</v>
      </c>
      <c r="E2572" s="6" t="n">
        <f aca="false">Sens!E2544</f>
        <v>74.1284935338591</v>
      </c>
      <c r="F2572" s="6" t="n">
        <f aca="false">Sens!F2544</f>
        <v>90.0799497373663</v>
      </c>
      <c r="G2572" s="6" t="n">
        <f aca="false">Sens!G2544</f>
        <v>107.02842520331</v>
      </c>
      <c r="H2572" s="6" t="n">
        <f aca="false">Sens!H2544</f>
        <v>124.271982585636</v>
      </c>
      <c r="I2572" s="6" t="n">
        <f aca="false">Sens!I2544</f>
        <v>140.933702381855</v>
      </c>
      <c r="J2572" s="6" t="n">
        <f aca="false">Sens!J2544</f>
        <v>156.018867314332</v>
      </c>
      <c r="K2572" s="6" t="n">
        <f aca="false">Sens!K2544</f>
        <v>168.500376699478</v>
      </c>
    </row>
    <row r="2573" customFormat="false" ht="15" hidden="false" customHeight="false" outlineLevel="0" collapsed="false">
      <c r="A2573" s="0" t="s">
        <v>788</v>
      </c>
      <c r="B2573" s="0" t="s">
        <v>95</v>
      </c>
      <c r="D2573" s="6" t="n">
        <f aca="false">Sens!D2551</f>
        <v>84.605</v>
      </c>
      <c r="E2573" s="6" t="n">
        <f aca="false">Sens!E2551</f>
        <v>100.299</v>
      </c>
      <c r="F2573" s="6" t="n">
        <f aca="false">Sens!F2551</f>
        <v>117.39238776686</v>
      </c>
      <c r="G2573" s="6" t="n">
        <f aca="false">Sens!G2551</f>
        <v>132.544168448684</v>
      </c>
      <c r="H2573" s="6" t="n">
        <f aca="false">Sens!H2551</f>
        <v>147.777359388781</v>
      </c>
      <c r="I2573" s="6" t="n">
        <f aca="false">Sens!I2551</f>
        <v>162.084028071957</v>
      </c>
      <c r="J2573" s="6" t="n">
        <f aca="false">Sens!J2551</f>
        <v>175.182702785465</v>
      </c>
      <c r="K2573" s="6" t="n">
        <f aca="false">Sens!K2551</f>
        <v>187.527991980448</v>
      </c>
    </row>
    <row r="2574" customFormat="false" ht="17.15" hidden="false" customHeight="false" outlineLevel="0" collapsed="false">
      <c r="A2574" s="0" t="s">
        <v>808</v>
      </c>
      <c r="B2574" s="0" t="s">
        <v>95</v>
      </c>
      <c r="D2574" s="6" t="n">
        <f aca="false">Sens!D2549</f>
        <v>83.705</v>
      </c>
      <c r="E2574" s="6" t="n">
        <f aca="false">Sens!E2549</f>
        <v>95.049</v>
      </c>
      <c r="F2574" s="6" t="n">
        <f aca="false">Sens!F2549</f>
        <v>106.89238776686</v>
      </c>
      <c r="G2574" s="6" t="n">
        <f aca="false">Sens!G2549</f>
        <v>119.044168448684</v>
      </c>
      <c r="H2574" s="6" t="n">
        <f aca="false">Sens!H2549</f>
        <v>131.277359388781</v>
      </c>
      <c r="I2574" s="6" t="n">
        <f aca="false">Sens!I2549</f>
        <v>143.334028071957</v>
      </c>
      <c r="J2574" s="6" t="n">
        <f aca="false">Sens!J2549</f>
        <v>154.932702785465</v>
      </c>
      <c r="K2574" s="6" t="n">
        <f aca="false">Sens!K2549</f>
        <v>165.777991980448</v>
      </c>
    </row>
    <row r="2575" customFormat="false" ht="17.15" hidden="false" customHeight="false" outlineLevel="0" collapsed="false">
      <c r="A2575" s="0" t="s">
        <v>809</v>
      </c>
      <c r="B2575" s="0" t="s">
        <v>95</v>
      </c>
      <c r="D2575" s="6" t="n">
        <f aca="false">Sens!D2548</f>
        <v>0.9</v>
      </c>
      <c r="E2575" s="6" t="n">
        <f aca="false">Sens!E2548</f>
        <v>5.25</v>
      </c>
      <c r="F2575" s="6" t="n">
        <f aca="false">Sens!F2548</f>
        <v>10.5</v>
      </c>
      <c r="G2575" s="6" t="n">
        <f aca="false">Sens!G2548</f>
        <v>13.5</v>
      </c>
      <c r="H2575" s="6" t="n">
        <f aca="false">Sens!H2548</f>
        <v>16.5</v>
      </c>
      <c r="I2575" s="6" t="n">
        <f aca="false">Sens!I2548</f>
        <v>18.75</v>
      </c>
      <c r="J2575" s="6" t="n">
        <f aca="false">Sens!J2548</f>
        <v>20.25</v>
      </c>
      <c r="K2575" s="6" t="n">
        <f aca="false">Sens!K2548</f>
        <v>21.75</v>
      </c>
    </row>
    <row r="2576" customFormat="false" ht="15" hidden="false" customHeight="false" outlineLevel="0" collapsed="false">
      <c r="A2576" s="0" t="s">
        <v>789</v>
      </c>
      <c r="B2576" s="0" t="s">
        <v>95</v>
      </c>
      <c r="D2576" s="6" t="n">
        <f aca="false">Sens!D2552</f>
        <v>35.391</v>
      </c>
      <c r="E2576" s="6" t="n">
        <f aca="false">Sens!E2552</f>
        <v>37.285</v>
      </c>
      <c r="F2576" s="6" t="n">
        <f aca="false">Sens!F2552</f>
        <v>39.0720834331704</v>
      </c>
      <c r="G2576" s="6" t="n">
        <f aca="false">Sens!G2552</f>
        <v>40.726562953769</v>
      </c>
      <c r="H2576" s="6" t="n">
        <f aca="false">Sens!H2552</f>
        <v>42.2235987259198</v>
      </c>
      <c r="I2576" s="6" t="n">
        <f aca="false">Sens!I2552</f>
        <v>43.5397988077414</v>
      </c>
      <c r="J2576" s="6" t="n">
        <f aca="false">Sens!J2552</f>
        <v>44.653811225693</v>
      </c>
      <c r="K2576" s="6" t="n">
        <f aca="false">Sens!K2552</f>
        <v>45.5468874502068</v>
      </c>
    </row>
    <row r="2577" customFormat="false" ht="15" hidden="false" customHeight="false" outlineLevel="0" collapsed="false">
      <c r="A2577" s="0" t="s">
        <v>790</v>
      </c>
      <c r="B2577" s="0" t="s">
        <v>95</v>
      </c>
      <c r="D2577" s="6" t="n">
        <f aca="false">Sens!D2554</f>
        <v>18.417</v>
      </c>
      <c r="E2577" s="6" t="n">
        <f aca="false">Sens!E2554</f>
        <v>20.345</v>
      </c>
      <c r="F2577" s="6" t="n">
        <f aca="false">Sens!F2554</f>
        <v>22.3572203267814</v>
      </c>
      <c r="G2577" s="6" t="n">
        <f aca="false">Sens!G2554</f>
        <v>24.4392124437232</v>
      </c>
      <c r="H2577" s="6" t="n">
        <f aca="false">Sens!H2554</f>
        <v>26.5738052080665</v>
      </c>
      <c r="I2577" s="6" t="n">
        <f aca="false">Sens!I2554</f>
        <v>28.7412169166967</v>
      </c>
      <c r="J2577" s="6" t="n">
        <f aca="false">Sens!J2554</f>
        <v>30.9192545395413</v>
      </c>
      <c r="K2577" s="6" t="n">
        <f aca="false">Sens!K2554</f>
        <v>33.0836023573092</v>
      </c>
    </row>
    <row r="2578" customFormat="false" ht="15" hidden="false" customHeight="false" outlineLevel="0" collapsed="false">
      <c r="A2578" s="0" t="s">
        <v>791</v>
      </c>
      <c r="B2578" s="0" t="s">
        <v>95</v>
      </c>
      <c r="D2578" s="6" t="n">
        <f aca="false">Sens!D2556</f>
        <v>7.76</v>
      </c>
      <c r="E2578" s="6" t="n">
        <f aca="false">Sens!E2556</f>
        <v>8.26</v>
      </c>
      <c r="F2578" s="6" t="n">
        <f aca="false">Sens!F2556</f>
        <v>8.79988041237113</v>
      </c>
      <c r="G2578" s="6" t="n">
        <f aca="false">Sens!G2556</f>
        <v>9.38321269125306</v>
      </c>
      <c r="H2578" s="6" t="n">
        <f aca="false">Sens!H2556</f>
        <v>10.0139193587476</v>
      </c>
      <c r="I2578" s="6" t="n">
        <f aca="false">Sens!I2556</f>
        <v>10.6963111830911</v>
      </c>
      <c r="J2578" s="6" t="n">
        <f aca="false">Sens!J2556</f>
        <v>11.4351285534696</v>
      </c>
      <c r="K2578" s="6" t="n">
        <f aca="false">Sens!K2556</f>
        <v>12.2355875522124</v>
      </c>
    </row>
    <row r="2579" customFormat="false" ht="15" hidden="false" customHeight="false" outlineLevel="0" collapsed="false">
      <c r="A2579" s="0" t="s">
        <v>626</v>
      </c>
      <c r="B2579" s="0" t="s">
        <v>95</v>
      </c>
      <c r="D2579" s="6" t="n">
        <f aca="false">Sens!D2558</f>
        <v>218.783</v>
      </c>
      <c r="E2579" s="6" t="n">
        <f aca="false">Sens!E2558</f>
        <v>268.127</v>
      </c>
      <c r="F2579" s="6" t="n">
        <f aca="false">Sens!F2558</f>
        <v>316.194961871514</v>
      </c>
      <c r="G2579" s="6" t="n">
        <f aca="false">Sens!G2558</f>
        <v>355.686272947091</v>
      </c>
      <c r="H2579" s="6" t="n">
        <f aca="false">Sens!H2558</f>
        <v>390.675959415367</v>
      </c>
      <c r="I2579" s="6" t="n">
        <f aca="false">Sens!I2558</f>
        <v>425.810351509557</v>
      </c>
      <c r="J2579" s="6" t="n">
        <f aca="false">Sens!J2558</f>
        <v>458.025058566717</v>
      </c>
      <c r="K2579" s="6" t="n">
        <f aca="false">Sens!K2558</f>
        <v>486.70974018787</v>
      </c>
    </row>
    <row r="2580" customFormat="false" ht="15" hidden="false" customHeight="false" outlineLevel="0" collapsed="false">
      <c r="A2580" s="0" t="s">
        <v>792</v>
      </c>
      <c r="B2580" s="0" t="s">
        <v>95</v>
      </c>
      <c r="D2580" s="6" t="n">
        <f aca="false">Sens!D2559</f>
        <v>22.171</v>
      </c>
      <c r="E2580" s="6" t="n">
        <f aca="false">Sens!E2559</f>
        <v>24.835</v>
      </c>
      <c r="F2580" s="6" t="n">
        <f aca="false">Sens!F2559</f>
        <v>27.6114901218559</v>
      </c>
      <c r="G2580" s="6" t="n">
        <f aca="false">Sens!G2559</f>
        <v>30.4675667338515</v>
      </c>
      <c r="H2580" s="6" t="n">
        <f aca="false">Sens!H2559</f>
        <v>33.3643766955789</v>
      </c>
      <c r="I2580" s="6" t="n">
        <f aca="false">Sens!I2559</f>
        <v>36.2577016533691</v>
      </c>
      <c r="J2580" s="6" t="n">
        <f aca="false">Sens!J2559</f>
        <v>39.0988367952171</v>
      </c>
      <c r="K2580" s="6" t="n">
        <f aca="false">Sens!K2559</f>
        <v>41.8357553708823</v>
      </c>
    </row>
    <row r="2581" customFormat="false" ht="15" hidden="false" customHeight="false" outlineLevel="0" collapsed="false">
      <c r="A2581" s="0" t="s">
        <v>793</v>
      </c>
      <c r="B2581" s="0" t="s">
        <v>95</v>
      </c>
      <c r="D2581" s="6" t="n">
        <f aca="false">Sens!D2561</f>
        <v>23.455</v>
      </c>
      <c r="E2581" s="6" t="n">
        <f aca="false">Sens!E2561</f>
        <v>21.79</v>
      </c>
      <c r="F2581" s="6" t="n">
        <f aca="false">Sens!F2561</f>
        <v>20.5736277908051</v>
      </c>
      <c r="G2581" s="6" t="n">
        <f aca="false">Sens!G2561</f>
        <v>19.7371452817919</v>
      </c>
      <c r="H2581" s="6" t="n">
        <f aca="false">Sens!H2561</f>
        <v>19.2339764043138</v>
      </c>
      <c r="I2581" s="6" t="n">
        <f aca="false">Sens!I2561</f>
        <v>19.0353086852681</v>
      </c>
      <c r="J2581" s="6" t="n">
        <f aca="false">Sens!J2561</f>
        <v>19.1273539319129</v>
      </c>
      <c r="K2581" s="6" t="n">
        <f aca="false">Sens!K2561</f>
        <v>19.5099010105511</v>
      </c>
    </row>
    <row r="2582" customFormat="false" ht="15" hidden="false" customHeight="false" outlineLevel="0" collapsed="false">
      <c r="A2582" s="0" t="s">
        <v>794</v>
      </c>
      <c r="B2582" s="0" t="s">
        <v>95</v>
      </c>
      <c r="D2582" s="6" t="n">
        <f aca="false">Sens!D2563</f>
        <v>17.315</v>
      </c>
      <c r="E2582" s="6" t="n">
        <f aca="false">Sens!E2563</f>
        <v>17.087</v>
      </c>
      <c r="F2582" s="6" t="n">
        <f aca="false">Sens!F2563</f>
        <v>16.9564585436519</v>
      </c>
      <c r="G2582" s="6" t="n">
        <f aca="false">Sens!G2563</f>
        <v>16.9206490624268</v>
      </c>
      <c r="H2582" s="6" t="n">
        <f aca="false">Sens!H2563</f>
        <v>16.9784519149849</v>
      </c>
      <c r="I2582" s="6" t="n">
        <f aca="false">Sens!I2563</f>
        <v>17.1303084701817</v>
      </c>
      <c r="J2582" s="6" t="n">
        <f aca="false">Sens!J2563</f>
        <v>17.3782189407267</v>
      </c>
      <c r="K2582" s="6" t="n">
        <f aca="false">Sens!K2563</f>
        <v>17.7257833195413</v>
      </c>
    </row>
    <row r="2583" customFormat="false" ht="15" hidden="false" customHeight="false" outlineLevel="0" collapsed="false">
      <c r="A2583" s="0" t="s">
        <v>640</v>
      </c>
      <c r="B2583" s="0" t="s">
        <v>95</v>
      </c>
      <c r="D2583" s="6" t="n">
        <f aca="false">Sens!D2565</f>
        <v>62.941</v>
      </c>
      <c r="E2583" s="6" t="n">
        <f aca="false">Sens!E2565</f>
        <v>63.712</v>
      </c>
      <c r="F2583" s="6" t="n">
        <f aca="false">Sens!F2565</f>
        <v>65.1415764563129</v>
      </c>
      <c r="G2583" s="6" t="n">
        <f aca="false">Sens!G2565</f>
        <v>67.1253610780702</v>
      </c>
      <c r="H2583" s="6" t="n">
        <f aca="false">Sens!H2565</f>
        <v>69.5768050148776</v>
      </c>
      <c r="I2583" s="6" t="n">
        <f aca="false">Sens!I2565</f>
        <v>72.4233188088189</v>
      </c>
      <c r="J2583" s="6" t="n">
        <f aca="false">Sens!J2565</f>
        <v>75.6044096678567</v>
      </c>
      <c r="K2583" s="6" t="n">
        <f aca="false">Sens!K2565</f>
        <v>79.0714397009747</v>
      </c>
    </row>
    <row r="2584" customFormat="false" ht="15" hidden="false" customHeight="false" outlineLevel="0" collapsed="false">
      <c r="A2584" s="1" t="s">
        <v>810</v>
      </c>
      <c r="B2584" s="0" t="s">
        <v>95</v>
      </c>
      <c r="D2584" s="6" t="n">
        <f aca="false">Sens!D2566</f>
        <v>281.724</v>
      </c>
      <c r="E2584" s="6" t="n">
        <f aca="false">Sens!E2566</f>
        <v>331.839</v>
      </c>
      <c r="F2584" s="6" t="n">
        <f aca="false">Sens!F2566</f>
        <v>381.336538327827</v>
      </c>
      <c r="G2584" s="6" t="n">
        <f aca="false">Sens!G2566</f>
        <v>422.811634025161</v>
      </c>
      <c r="H2584" s="6" t="n">
        <f aca="false">Sens!H2566</f>
        <v>460.252764430245</v>
      </c>
      <c r="I2584" s="6" t="n">
        <f aca="false">Sens!I2566</f>
        <v>498.233670318376</v>
      </c>
      <c r="J2584" s="6" t="n">
        <f aca="false">Sens!J2566</f>
        <v>533.629468234573</v>
      </c>
      <c r="K2584" s="6" t="n">
        <f aca="false">Sens!K2566</f>
        <v>565.781179888845</v>
      </c>
    </row>
    <row r="2585" customFormat="false" ht="15" hidden="false" customHeight="false" outlineLevel="0" collapsed="false">
      <c r="A2585" s="1" t="s">
        <v>811</v>
      </c>
      <c r="B2585" s="0" t="s">
        <v>126</v>
      </c>
      <c r="E2585" s="7" t="n">
        <f aca="false">Sens!E2584/Sens!D2584-1</f>
        <v>0.177886867998467</v>
      </c>
      <c r="F2585" s="7" t="n">
        <f aca="false">Sens!F2584/Sens!E2584-1</f>
        <v>0.149161305114308</v>
      </c>
      <c r="G2585" s="7" t="n">
        <f aca="false">Sens!G2584/Sens!F2584-1</f>
        <v>0.108762448726272</v>
      </c>
      <c r="H2585" s="7" t="n">
        <f aca="false">Sens!H2584/Sens!G2584-1</f>
        <v>0.088552744040282</v>
      </c>
      <c r="I2585" s="7" t="n">
        <f aca="false">Sens!I2584/Sens!H2584-1</f>
        <v>0.0825218419603593</v>
      </c>
      <c r="J2585" s="7" t="n">
        <f aca="false">Sens!J2584/Sens!I2584-1</f>
        <v>0.0710425650148843</v>
      </c>
      <c r="K2585" s="7" t="n">
        <f aca="false">Sens!K2584/Sens!J2584-1</f>
        <v>0.0602510048042144</v>
      </c>
    </row>
    <row r="2586" customFormat="false" ht="17.15" hidden="false" customHeight="false" outlineLevel="0" collapsed="false">
      <c r="A2586" s="22" t="s">
        <v>812</v>
      </c>
      <c r="B2586" s="28" t="s">
        <v>95</v>
      </c>
      <c r="C2586" s="28"/>
      <c r="D2586" s="23" t="n">
        <f aca="false">(Sens!D2579+Sens!D2583-Sens!D2584)+(Sens!D2571+Sens!D2572-Sens!D2570)+(Sens!D2574+Sens!D2575-Sens!D2573)+(Sens!D2584-Q!L18)</f>
        <v>0</v>
      </c>
      <c r="E2586" s="23" t="n">
        <f aca="false">(Sens!E2579+Sens!E2583-Sens!E2584)+(Sens!E2571+Sens!E2572-Sens!E2570)+(Sens!E2574+Sens!E2575-Sens!E2573)+(Sens!E2584-Q!M18)</f>
        <v>0</v>
      </c>
      <c r="F2586" s="23" t="n">
        <f aca="false">(Sens!F2579+Sens!F2583-Sens!F2584)+(Sens!F2571+Sens!F2572-Sens!F2570)+(Sens!F2574+Sens!F2575-Sens!F2573)</f>
        <v>0</v>
      </c>
      <c r="G2586" s="23" t="n">
        <f aca="false">(Sens!G2579+Sens!G2583-Sens!G2584)+(Sens!G2571+Sens!G2572-Sens!G2570)+(Sens!G2574+Sens!G2575-Sens!G2573)</f>
        <v>0</v>
      </c>
      <c r="H2586" s="23" t="n">
        <f aca="false">(Sens!H2579+Sens!H2583-Sens!H2584)+(Sens!H2571+Sens!H2572-Sens!H2570)+(Sens!H2574+Sens!H2575-Sens!H2573)</f>
        <v>0</v>
      </c>
      <c r="I2586" s="23" t="n">
        <f aca="false">(Sens!I2579+Sens!I2583-Sens!I2584)+(Sens!I2571+Sens!I2572-Sens!I2570)+(Sens!I2574+Sens!I2575-Sens!I2573)</f>
        <v>0</v>
      </c>
      <c r="J2586" s="23" t="n">
        <f aca="false">(Sens!J2579+Sens!J2583-Sens!J2584)+(Sens!J2571+Sens!J2572-Sens!J2570)+(Sens!J2574+Sens!J2575-Sens!J2573)</f>
        <v>0</v>
      </c>
      <c r="K2586" s="23" t="n">
        <f aca="false">(Sens!K2579+Sens!K2583-Sens!K2584)+(Sens!K2571+Sens!K2572-Sens!K2570)+(Sens!K2574+Sens!K2575-Sens!K2573)</f>
        <v>0</v>
      </c>
    </row>
    <row r="2587" customFormat="false" ht="17.15" hidden="false" customHeight="false" outlineLevel="0" collapsed="false">
      <c r="A2587" s="0" t="s">
        <v>813</v>
      </c>
      <c r="B2587" s="0" t="s">
        <v>126</v>
      </c>
      <c r="E2587" s="7" t="n">
        <f aca="false">(Q!M21+Sens!E2524+Sens!E2525+Sens!E2526+Sens!E2539-Sens!E2522)/(Q!M5-Sens!E2522)</f>
        <v>0.570957350878296</v>
      </c>
      <c r="F2587" s="7" t="n">
        <f aca="false">Sens!$E$2587+dm_seg</f>
        <v>0.570957350878296</v>
      </c>
      <c r="G2587" s="7" t="n">
        <f aca="false">Sens!$E$2587+dm_seg</f>
        <v>0.570957350878296</v>
      </c>
      <c r="H2587" s="7" t="n">
        <f aca="false">Sens!$E$2587+dm_seg</f>
        <v>0.570957350878296</v>
      </c>
      <c r="I2587" s="7" t="n">
        <f aca="false">Sens!$E$2587+dm_seg</f>
        <v>0.570957350878296</v>
      </c>
      <c r="J2587" s="7" t="n">
        <f aca="false">Sens!$E$2587+dm_seg</f>
        <v>0.570957350878296</v>
      </c>
      <c r="K2587" s="7" t="n">
        <f aca="false">Sens!$E$2587+dm_seg</f>
        <v>0.570957350878296</v>
      </c>
      <c r="L2587" s="11" t="s">
        <v>814</v>
      </c>
    </row>
    <row r="2588" customFormat="false" ht="17.15" hidden="false" customHeight="false" outlineLevel="0" collapsed="false">
      <c r="A2588" s="0" t="s">
        <v>654</v>
      </c>
      <c r="B2588" s="0" t="s">
        <v>95</v>
      </c>
      <c r="D2588" s="6" t="n">
        <f aca="false">Q!L21</f>
        <v>110.814</v>
      </c>
      <c r="E2588" s="6" t="n">
        <f aca="false">Q!M21</f>
        <v>136.365</v>
      </c>
      <c r="F2588" s="6" t="n">
        <f aca="false">Sens!F2587*(Sens!F2558-Sens!F2522)+Sens!F2522-(Sens!F2524+Sens!F2525+Sens!F2526)-Sens!F2539</f>
        <v>142.912800342503</v>
      </c>
      <c r="G2588" s="6" t="n">
        <f aca="false">Sens!G2587*(Sens!G2558-Sens!G2522)+Sens!G2522-(Sens!G2524+Sens!G2525+Sens!G2526)-Sens!G2539</f>
        <v>147.508650927669</v>
      </c>
      <c r="H2588" s="6" t="n">
        <f aca="false">Sens!H2587*(Sens!H2558-Sens!H2522)+Sens!H2522-(Sens!H2524+Sens!H2525+Sens!H2526)-Sens!H2539</f>
        <v>163.132360041116</v>
      </c>
      <c r="I2588" s="6" t="n">
        <f aca="false">Sens!I2587*(Sens!I2558-Sens!I2522)+Sens!I2522-(Sens!I2524+Sens!I2525+Sens!I2526)-Sens!I2539</f>
        <v>182.54882524635</v>
      </c>
      <c r="J2588" s="6" t="n">
        <f aca="false">Sens!J2587*(Sens!J2558-Sens!J2522)+Sens!J2522-(Sens!J2524+Sens!J2525+Sens!J2526)-Sens!J2539</f>
        <v>199.326044348277</v>
      </c>
      <c r="K2588" s="6" t="n">
        <f aca="false">Sens!K2587*(Sens!K2558-Sens!K2522)+Sens!K2522-(Sens!K2524+Sens!K2525+Sens!K2526)-Sens!K2539</f>
        <v>212.800221019561</v>
      </c>
      <c r="L2588" s="1" t="s">
        <v>815</v>
      </c>
    </row>
    <row r="2589" customFormat="false" ht="17.15" hidden="false" customHeight="false" outlineLevel="0" collapsed="false">
      <c r="A2589" s="0" t="s">
        <v>816</v>
      </c>
      <c r="B2589" s="0" t="s">
        <v>126</v>
      </c>
      <c r="E2589" s="7" t="n">
        <f aca="false">Q!M22/Q!M12</f>
        <v>0.296207935710698</v>
      </c>
      <c r="F2589" s="7" t="n">
        <f aca="false">Sens!$E$2589+dm_seg</f>
        <v>0.296207935710698</v>
      </c>
      <c r="G2589" s="7" t="n">
        <f aca="false">Sens!$E$2589+dm_seg</f>
        <v>0.296207935710698</v>
      </c>
      <c r="H2589" s="7" t="n">
        <f aca="false">Sens!$E$2589+dm_seg</f>
        <v>0.296207935710698</v>
      </c>
      <c r="I2589" s="7" t="n">
        <f aca="false">Sens!$E$2589+dm_seg</f>
        <v>0.296207935710698</v>
      </c>
      <c r="J2589" s="7" t="n">
        <f aca="false">Sens!$E$2589+dm_seg</f>
        <v>0.296207935710698</v>
      </c>
      <c r="K2589" s="7" t="n">
        <f aca="false">Sens!$E$2589+dm_seg</f>
        <v>0.296207935710698</v>
      </c>
      <c r="L2589" s="11" t="s">
        <v>817</v>
      </c>
    </row>
    <row r="2590" customFormat="false" ht="17.15" hidden="false" customHeight="false" outlineLevel="0" collapsed="false">
      <c r="A2590" s="0" t="s">
        <v>656</v>
      </c>
      <c r="B2590" s="0" t="s">
        <v>95</v>
      </c>
      <c r="D2590" s="6" t="n">
        <f aca="false">Q!L22</f>
        <v>17.714</v>
      </c>
      <c r="E2590" s="6" t="n">
        <f aca="false">Q!M22</f>
        <v>18.872</v>
      </c>
      <c r="F2590" s="6" t="n">
        <f aca="false">Sens!F2565*Sens!F2589</f>
        <v>19.2954518910651</v>
      </c>
      <c r="G2590" s="6" t="n">
        <f aca="false">Sens!G2565*Sens!G2589</f>
        <v>19.8830646387704</v>
      </c>
      <c r="H2590" s="6" t="n">
        <f aca="false">Sens!H2565*Sens!H2589</f>
        <v>20.6092017868026</v>
      </c>
      <c r="I2590" s="6" t="n">
        <f aca="false">Sens!I2565*Sens!I2589</f>
        <v>21.452361761678</v>
      </c>
      <c r="J2590" s="6" t="n">
        <f aca="false">Sens!J2565*Sens!J2589</f>
        <v>22.3946261183418</v>
      </c>
      <c r="K2590" s="6" t="n">
        <f aca="false">Sens!K2565*Sens!K2589</f>
        <v>23.4215879274986</v>
      </c>
    </row>
    <row r="2591" customFormat="false" ht="15" hidden="false" customHeight="false" outlineLevel="0" collapsed="false">
      <c r="A2591" s="1" t="s">
        <v>818</v>
      </c>
      <c r="B2591" s="0" t="s">
        <v>95</v>
      </c>
      <c r="D2591" s="6" t="n">
        <f aca="false">Sens!D2588+Sens!D2590</f>
        <v>128.528</v>
      </c>
      <c r="E2591" s="6" t="n">
        <f aca="false">Sens!E2588+Sens!E2590</f>
        <v>155.237</v>
      </c>
      <c r="F2591" s="6" t="n">
        <f aca="false">Sens!F2588+Sens!F2590</f>
        <v>162.208252233568</v>
      </c>
      <c r="G2591" s="6" t="n">
        <f aca="false">Sens!G2588+Sens!G2590</f>
        <v>167.391715566439</v>
      </c>
      <c r="H2591" s="6" t="n">
        <f aca="false">Sens!H2588+Sens!H2590</f>
        <v>183.741561827918</v>
      </c>
      <c r="I2591" s="6" t="n">
        <f aca="false">Sens!I2588+Sens!I2590</f>
        <v>204.001187008028</v>
      </c>
      <c r="J2591" s="6" t="n">
        <f aca="false">Sens!J2588+Sens!J2590</f>
        <v>221.720670466618</v>
      </c>
      <c r="K2591" s="6" t="n">
        <f aca="false">Sens!K2588+Sens!K2590</f>
        <v>236.22180894706</v>
      </c>
    </row>
    <row r="2592" customFormat="false" ht="15" hidden="false" customHeight="false" outlineLevel="0" collapsed="false">
      <c r="A2592" s="22" t="s">
        <v>819</v>
      </c>
      <c r="B2592" s="28" t="s">
        <v>95</v>
      </c>
      <c r="C2592" s="28"/>
      <c r="D2592" s="23" t="n">
        <f aca="false">Sens!D2591-Q!L23</f>
        <v>0</v>
      </c>
      <c r="E2592" s="23" t="n">
        <f aca="false">Sens!E2591-Q!M23</f>
        <v>0</v>
      </c>
      <c r="F2592" s="28"/>
      <c r="G2592" s="28"/>
      <c r="H2592" s="28"/>
      <c r="I2592" s="28"/>
      <c r="J2592" s="28"/>
      <c r="K2592" s="28"/>
    </row>
    <row r="2593" customFormat="false" ht="15" hidden="false" customHeight="false" outlineLevel="0" collapsed="false">
      <c r="A2593" s="1" t="s">
        <v>820</v>
      </c>
      <c r="B2593" s="0" t="s">
        <v>126</v>
      </c>
      <c r="D2593" s="7" t="n">
        <f aca="false">Sens!D2591/Sens!D2584</f>
        <v>0.456219562408598</v>
      </c>
      <c r="E2593" s="7" t="n">
        <f aca="false">Sens!E2591/Sens!E2584</f>
        <v>0.467808184089272</v>
      </c>
      <c r="F2593" s="7" t="n">
        <f aca="false">Sens!F2591/Sens!F2584</f>
        <v>0.42536771573177</v>
      </c>
      <c r="G2593" s="7" t="n">
        <f aca="false">Sens!G2591/Sens!G2584</f>
        <v>0.395901394606558</v>
      </c>
      <c r="H2593" s="7" t="n">
        <f aca="false">Sens!H2591/Sens!H2584</f>
        <v>0.399218811983401</v>
      </c>
      <c r="I2593" s="7" t="n">
        <f aca="false">Sens!I2591/Sens!I2584</f>
        <v>0.409448817213959</v>
      </c>
      <c r="J2593" s="7" t="n">
        <f aca="false">Sens!J2591/Sens!J2584</f>
        <v>0.415495551998178</v>
      </c>
      <c r="K2593" s="7" t="n">
        <f aca="false">Sens!K2591/Sens!K2584</f>
        <v>0.417514433748872</v>
      </c>
    </row>
    <row r="2594" customFormat="false" ht="17.15" hidden="false" customHeight="false" outlineLevel="0" collapsed="false">
      <c r="A2594" s="1" t="s">
        <v>821</v>
      </c>
      <c r="B2594" s="0" t="s">
        <v>95</v>
      </c>
      <c r="E2594" s="6" t="n">
        <f aca="false">Sens!E2539</f>
        <v>16.3054059770833</v>
      </c>
      <c r="F2594" s="6" t="n">
        <f aca="false">Sens!F2539</f>
        <v>36.1404426892031</v>
      </c>
      <c r="G2594" s="6" t="n">
        <f aca="false">Sens!G2539</f>
        <v>52.4592101714063</v>
      </c>
      <c r="H2594" s="6" t="n">
        <f aca="false">Sens!H2539</f>
        <v>55.0419095894063</v>
      </c>
      <c r="I2594" s="6" t="n">
        <f aca="false">Sens!I2539</f>
        <v>55.6856838189896</v>
      </c>
      <c r="J2594" s="6" t="n">
        <f aca="false">Sens!J2539</f>
        <v>57.3016885177396</v>
      </c>
      <c r="K2594" s="6" t="n">
        <f aca="false">Sens!K2539</f>
        <v>60.2052416756563</v>
      </c>
    </row>
    <row r="2595" customFormat="false" ht="17.15" hidden="false" customHeight="false" outlineLevel="0" collapsed="false">
      <c r="A2595" s="1" t="s">
        <v>822</v>
      </c>
      <c r="B2595" s="0" t="s">
        <v>95</v>
      </c>
      <c r="E2595" s="6" t="n">
        <f aca="false">Sens!E2615</f>
        <v>22.2285940229167</v>
      </c>
      <c r="F2595" s="6" t="n">
        <f aca="false">Sens!F2615</f>
        <v>23.5486693435813</v>
      </c>
      <c r="G2595" s="6" t="n">
        <f aca="false">Sens!G2615</f>
        <v>25.264091766262</v>
      </c>
      <c r="H2595" s="6" t="n">
        <f aca="false">Sens!H2615</f>
        <v>27.3438339540448</v>
      </c>
      <c r="I2595" s="6" t="n">
        <f aca="false">Sens!I2615</f>
        <v>29.7317905898047</v>
      </c>
      <c r="J2595" s="6" t="n">
        <f aca="false">Sens!J2615</f>
        <v>32.3542028558616</v>
      </c>
      <c r="K2595" s="6" t="n">
        <f aca="false">Sens!K2615</f>
        <v>35.1281528444749</v>
      </c>
    </row>
    <row r="2596" customFormat="false" ht="17.15" hidden="false" customHeight="false" outlineLevel="0" collapsed="false">
      <c r="A2596" s="1" t="s">
        <v>823</v>
      </c>
      <c r="B2596" s="0" t="s">
        <v>95</v>
      </c>
      <c r="D2596" s="6" t="n">
        <f aca="false">Q!L27</f>
        <v>-4.901</v>
      </c>
      <c r="E2596" s="6" t="n">
        <f aca="false">Q!M27</f>
        <v>10.697</v>
      </c>
      <c r="F2596" s="6" t="n">
        <f aca="false">oie_f</f>
        <v>-0.4</v>
      </c>
      <c r="G2596" s="6" t="n">
        <f aca="false">oie_f</f>
        <v>-0.4</v>
      </c>
      <c r="H2596" s="6" t="n">
        <f aca="false">oie_f</f>
        <v>-0.4</v>
      </c>
      <c r="I2596" s="6" t="n">
        <f aca="false">oie_f</f>
        <v>-0.4</v>
      </c>
      <c r="J2596" s="6" t="n">
        <f aca="false">oie_f</f>
        <v>-0.4</v>
      </c>
      <c r="K2596" s="6" t="n">
        <f aca="false">oie_f</f>
        <v>-0.4</v>
      </c>
      <c r="L2596" s="11" t="s">
        <v>824</v>
      </c>
    </row>
    <row r="2597" customFormat="false" ht="15" hidden="false" customHeight="false" outlineLevel="0" collapsed="false">
      <c r="A2597" s="1" t="s">
        <v>666</v>
      </c>
      <c r="B2597" s="0" t="s">
        <v>95</v>
      </c>
      <c r="D2597" s="6" t="n">
        <f aca="false">Sens!D2591+Sens!D2596</f>
        <v>123.627</v>
      </c>
      <c r="E2597" s="6" t="n">
        <f aca="false">Sens!E2591+Sens!E2596</f>
        <v>165.934</v>
      </c>
      <c r="F2597" s="6" t="n">
        <f aca="false">Sens!F2591+Sens!F2596</f>
        <v>161.808252233568</v>
      </c>
      <c r="G2597" s="6" t="n">
        <f aca="false">Sens!G2591+Sens!G2596</f>
        <v>166.991715566439</v>
      </c>
      <c r="H2597" s="6" t="n">
        <f aca="false">Sens!H2591+Sens!H2596</f>
        <v>183.341561827918</v>
      </c>
      <c r="I2597" s="6" t="n">
        <f aca="false">Sens!I2591+Sens!I2596</f>
        <v>203.601187008028</v>
      </c>
      <c r="J2597" s="6" t="n">
        <f aca="false">Sens!J2591+Sens!J2596</f>
        <v>221.320670466618</v>
      </c>
      <c r="K2597" s="6" t="n">
        <f aca="false">Sens!K2591+Sens!K2596</f>
        <v>235.82180894706</v>
      </c>
    </row>
    <row r="2598" customFormat="false" ht="15" hidden="false" customHeight="false" outlineLevel="0" collapsed="false">
      <c r="A2598" s="1" t="s">
        <v>668</v>
      </c>
      <c r="B2598" s="0" t="s">
        <v>95</v>
      </c>
      <c r="D2598" s="6" t="n">
        <f aca="false">Q!L29</f>
        <v>21.795</v>
      </c>
      <c r="E2598" s="6" t="n">
        <f aca="false">Q!M29</f>
        <v>32.185</v>
      </c>
      <c r="F2598" s="6" t="n">
        <f aca="false">Sens!F2597*tax_f</f>
        <v>32.3616504467137</v>
      </c>
      <c r="G2598" s="6" t="n">
        <f aca="false">Sens!G2597*tax_f</f>
        <v>33.3983431132878</v>
      </c>
      <c r="H2598" s="6" t="n">
        <f aca="false">Sens!H2597*tax_f</f>
        <v>36.6683123655837</v>
      </c>
      <c r="I2598" s="6" t="n">
        <f aca="false">Sens!I2597*tax_f</f>
        <v>40.7202374016057</v>
      </c>
      <c r="J2598" s="6" t="n">
        <f aca="false">Sens!J2597*tax_f</f>
        <v>44.2641340933237</v>
      </c>
      <c r="K2598" s="6" t="n">
        <f aca="false">Sens!K2597*tax_f</f>
        <v>47.164361789412</v>
      </c>
    </row>
    <row r="2599" customFormat="false" ht="15" hidden="false" customHeight="false" outlineLevel="0" collapsed="false">
      <c r="A2599" s="1" t="s">
        <v>825</v>
      </c>
      <c r="B2599" s="0" t="s">
        <v>95</v>
      </c>
      <c r="D2599" s="6" t="n">
        <f aca="false">Sens!D2597-Sens!D2598</f>
        <v>101.832</v>
      </c>
      <c r="E2599" s="6" t="n">
        <f aca="false">Sens!E2597-Sens!E2598</f>
        <v>133.749</v>
      </c>
      <c r="F2599" s="6" t="n">
        <f aca="false">Sens!F2597-Sens!F2598</f>
        <v>129.446601786855</v>
      </c>
      <c r="G2599" s="6" t="n">
        <f aca="false">Sens!G2597-Sens!G2598</f>
        <v>133.593372453151</v>
      </c>
      <c r="H2599" s="6" t="n">
        <f aca="false">Sens!H2597-Sens!H2598</f>
        <v>146.673249462335</v>
      </c>
      <c r="I2599" s="6" t="n">
        <f aca="false">Sens!I2597-Sens!I2598</f>
        <v>162.880949606423</v>
      </c>
      <c r="J2599" s="6" t="n">
        <f aca="false">Sens!J2597-Sens!J2598</f>
        <v>177.056536373295</v>
      </c>
      <c r="K2599" s="6" t="n">
        <f aca="false">Sens!K2597-Sens!K2598</f>
        <v>188.657447157648</v>
      </c>
    </row>
    <row r="2600" customFormat="false" ht="17.15" hidden="false" customHeight="false" outlineLevel="0" collapsed="false">
      <c r="A2600" s="1" t="s">
        <v>826</v>
      </c>
      <c r="B2600" s="1" t="s">
        <v>79</v>
      </c>
      <c r="D2600" s="18" t="n">
        <f aca="false">Q!L31</f>
        <v>7.465</v>
      </c>
      <c r="E2600" s="18" t="n">
        <f aca="false">Q!M31</f>
        <v>7.453</v>
      </c>
      <c r="F2600" s="18" t="n">
        <f aca="false">Sens!F2637</f>
        <v>7.4735</v>
      </c>
      <c r="G2600" s="18" t="n">
        <f aca="false">Sens!G2637</f>
        <v>7.49987171271795</v>
      </c>
      <c r="H2600" s="18" t="n">
        <f aca="false">Sens!H2637</f>
        <v>7.50899501128585</v>
      </c>
      <c r="I2600" s="18" t="n">
        <f aca="false">Sens!I2637</f>
        <v>7.52077584329316</v>
      </c>
      <c r="J2600" s="18" t="n">
        <f aca="false">Sens!J2637</f>
        <v>7.53501735441104</v>
      </c>
      <c r="K2600" s="18" t="n">
        <f aca="false">Sens!K2637</f>
        <v>7.55153727211278</v>
      </c>
    </row>
    <row r="2601" customFormat="false" ht="17.15" hidden="false" customHeight="false" outlineLevel="0" collapsed="false">
      <c r="A2601" s="0" t="s">
        <v>827</v>
      </c>
      <c r="B2601" s="0" t="s">
        <v>73</v>
      </c>
      <c r="D2601" s="8" t="n">
        <f aca="false">Sens!D2599/Sens!D2600</f>
        <v>13.641259209645</v>
      </c>
      <c r="E2601" s="8" t="n">
        <f aca="false">Sens!E2599/Sens!E2600</f>
        <v>17.9456594659869</v>
      </c>
      <c r="F2601" s="8" t="n">
        <f aca="false">Sens!F2599/Sens!F2600</f>
        <v>17.3207468772134</v>
      </c>
      <c r="G2601" s="8" t="n">
        <f aca="false">Sens!G2599/Sens!G2600</f>
        <v>17.8127543470656</v>
      </c>
      <c r="H2601" s="8" t="n">
        <f aca="false">Sens!H2599/Sens!H2600</f>
        <v>19.5330066462806</v>
      </c>
      <c r="I2601" s="8" t="n">
        <f aca="false">Sens!I2599/Sens!I2600</f>
        <v>21.6574663306414</v>
      </c>
      <c r="J2601" s="8" t="n">
        <f aca="false">Sens!J2599/Sens!J2600</f>
        <v>23.4978272836551</v>
      </c>
      <c r="K2601" s="8" t="n">
        <f aca="false">Sens!K2599/Sens!K2600</f>
        <v>24.9826545721153</v>
      </c>
      <c r="L2601" s="1" t="s">
        <v>828</v>
      </c>
    </row>
    <row r="2602" customFormat="false" ht="17.15" hidden="false" customHeight="false" outlineLevel="0" collapsed="false">
      <c r="A2602" s="0" t="s">
        <v>829</v>
      </c>
      <c r="B2602" s="0" t="s">
        <v>126</v>
      </c>
      <c r="E2602" s="7" t="n">
        <f aca="false">Sens!E2601/Sens!D2601-1</f>
        <v>0.315542736208578</v>
      </c>
      <c r="F2602" s="7" t="n">
        <f aca="false">Sens!F2601/Sens!E2601-1</f>
        <v>-0.0348224923111821</v>
      </c>
      <c r="G2602" s="7" t="n">
        <f aca="false">Sens!G2601/Sens!F2601-1</f>
        <v>0.0284056728812001</v>
      </c>
      <c r="H2602" s="7" t="n">
        <f aca="false">Sens!H2601/Sens!G2601-1</f>
        <v>0.0965741886794955</v>
      </c>
      <c r="I2602" s="7" t="n">
        <f aca="false">Sens!I2601/Sens!H2601-1</f>
        <v>0.108762553703696</v>
      </c>
      <c r="J2602" s="7" t="n">
        <f aca="false">Sens!J2601/Sens!I2601-1</f>
        <v>0.0849758196511641</v>
      </c>
      <c r="K2602" s="7" t="n">
        <f aca="false">Sens!K2601/Sens!J2601-1</f>
        <v>0.063189982228401</v>
      </c>
    </row>
    <row r="2603" customFormat="false" ht="17.15" hidden="false" customHeight="false" outlineLevel="0" collapsed="false">
      <c r="A2603" s="0" t="s">
        <v>763</v>
      </c>
      <c r="B2603" s="0" t="s">
        <v>95</v>
      </c>
      <c r="E2603" s="6" t="n">
        <f aca="false">Sens!E2548</f>
        <v>5.25</v>
      </c>
      <c r="F2603" s="6" t="n">
        <f aca="false">Sens!F2548</f>
        <v>10.5</v>
      </c>
      <c r="G2603" s="6" t="n">
        <f aca="false">Sens!G2548</f>
        <v>13.5</v>
      </c>
      <c r="H2603" s="6" t="n">
        <f aca="false">Sens!H2548</f>
        <v>16.5</v>
      </c>
      <c r="I2603" s="6" t="n">
        <f aca="false">Sens!I2548</f>
        <v>18.75</v>
      </c>
      <c r="J2603" s="6" t="n">
        <f aca="false">Sens!J2548</f>
        <v>20.25</v>
      </c>
      <c r="K2603" s="6" t="n">
        <f aca="false">Sens!K2548</f>
        <v>21.75</v>
      </c>
    </row>
    <row r="2604" customFormat="false" ht="17.15" hidden="false" customHeight="false" outlineLevel="0" collapsed="false">
      <c r="A2604" s="0" t="s">
        <v>764</v>
      </c>
      <c r="B2604" s="0" t="s">
        <v>95</v>
      </c>
      <c r="E2604" s="6" t="n">
        <f aca="false">Sens!E2528+Sens!E2603*Sens!E2587-Sens!E2529-Sens!E2539</f>
        <v>2.1514866143068</v>
      </c>
      <c r="F2604" s="6" t="n">
        <f aca="false">Sens!F2528+Sens!F2603*Sens!F2587-Sens!F2529-Sens!F2539</f>
        <v>-9.6478726245889</v>
      </c>
      <c r="G2604" s="6" t="n">
        <f aca="false">Sens!G2528+Sens!G2603*Sens!G2587-Sens!G2529-Sens!G2539</f>
        <v>-24.133450999867</v>
      </c>
      <c r="H2604" s="6" t="n">
        <f aca="false">Sens!H2528+Sens!H2603*Sens!H2587-Sens!H2529-Sens!H2539</f>
        <v>-27.7733196377215</v>
      </c>
      <c r="I2604" s="6" t="n">
        <f aca="false">Sens!I2528+Sens!I2603*Sens!I2587-Sens!I2529-Sens!I2539</f>
        <v>-27.1324398278287</v>
      </c>
      <c r="J2604" s="6" t="n">
        <f aca="false">Sens!J2528+Sens!J2603*Sens!J2587-Sens!J2529-Sens!J2539</f>
        <v>-27.8920085002613</v>
      </c>
      <c r="K2604" s="6" t="n">
        <f aca="false">Sens!K2528+Sens!K2603*Sens!K2587-Sens!K2529-Sens!K2539</f>
        <v>-29.9391256318605</v>
      </c>
    </row>
    <row r="2605" customFormat="false" ht="17.15" hidden="false" customHeight="false" outlineLevel="0" collapsed="false">
      <c r="A2605" s="0" t="s">
        <v>765</v>
      </c>
      <c r="B2605" s="0" t="s">
        <v>95</v>
      </c>
      <c r="E2605" s="6" t="n">
        <f aca="false">Sens!E2511*(cxit_open+self_build*tk_cxfac)/1000*ai_net_open</f>
        <v>126.6980382</v>
      </c>
      <c r="F2605" s="6" t="n">
        <f aca="false">Sens!E2605+Sens!F2536-Sens!F2539</f>
        <v>259.328248281234</v>
      </c>
      <c r="G2605" s="6" t="n">
        <f aca="false">Sens!F2605+Sens!G2536-Sens!G2539</f>
        <v>242.171765125828</v>
      </c>
      <c r="H2605" s="6" t="n">
        <f aca="false">Sens!G2605+Sens!H2536-Sens!H2539</f>
        <v>187.129855536422</v>
      </c>
      <c r="I2605" s="6" t="n">
        <f aca="false">Sens!H2605+Sens!I2536-Sens!I2539</f>
        <v>161.702847064099</v>
      </c>
      <c r="J2605" s="6" t="n">
        <f aca="false">Sens!I2605+Sens!J2536-Sens!J2539</f>
        <v>150.097933559693</v>
      </c>
      <c r="K2605" s="6" t="n">
        <f aca="false">Sens!J2605+Sens!K2536-Sens!K2539</f>
        <v>180.668717924036</v>
      </c>
      <c r="L2605" s="1" t="s">
        <v>766</v>
      </c>
    </row>
    <row r="2606" customFormat="false" ht="17.15" hidden="false" customHeight="false" outlineLevel="0" collapsed="false">
      <c r="A2606" s="0" t="s">
        <v>767</v>
      </c>
      <c r="B2606" s="0" t="s">
        <v>126</v>
      </c>
      <c r="F2606" s="7" t="n">
        <f aca="false">Sens!F2604*(1-tax_f)/((Sens!E2605+Sens!F2605)/2)</f>
        <v>-0.0399884586618498</v>
      </c>
      <c r="G2606" s="7" t="n">
        <f aca="false">Sens!G2604*(1-tax_f)/((Sens!F2605+Sens!G2605)/2)</f>
        <v>-0.0769960529760644</v>
      </c>
      <c r="H2606" s="7" t="n">
        <f aca="false">Sens!H2604*(1-tax_f)/((Sens!G2605+Sens!H2605)/2)</f>
        <v>-0.103510700359818</v>
      </c>
      <c r="I2606" s="7" t="n">
        <f aca="false">Sens!I2604*(1-tax_f)/((Sens!H2605+Sens!I2605)/2)</f>
        <v>-0.124449065127477</v>
      </c>
      <c r="J2606" s="7" t="n">
        <f aca="false">Sens!J2604*(1-tax_f)/((Sens!I2605+Sens!J2605)/2)</f>
        <v>-0.143127331211732</v>
      </c>
      <c r="K2606" s="7" t="n">
        <f aca="false">Sens!K2604*(1-tax_f)/((Sens!J2605+Sens!K2605)/2)</f>
        <v>-0.144822946316077</v>
      </c>
    </row>
    <row r="2607" customFormat="false" ht="17.15" hidden="false" customHeight="false" outlineLevel="0" collapsed="false">
      <c r="A2607" s="1" t="s">
        <v>768</v>
      </c>
      <c r="B2607" s="0" t="s">
        <v>126</v>
      </c>
      <c r="F2607" s="7" t="n">
        <f aca="false">Sens!F2540*(1-tax_f)/(Sens!F2527*(Sens!E2605+Sens!F2605)/2)</f>
        <v>0.0254874055431541</v>
      </c>
      <c r="G2607" s="7" t="n">
        <f aca="false">Sens!G2540*(1-tax_f)/(Sens!G2527*(Sens!F2605+Sens!G2605)/2)</f>
        <v>-0.0274764215159954</v>
      </c>
      <c r="H2607" s="7" t="n">
        <f aca="false">Sens!H2540*(1-tax_f)/(Sens!H2527*(Sens!G2605+Sens!H2605)/2)</f>
        <v>-0.0563935313236517</v>
      </c>
      <c r="I2607" s="7" t="n">
        <f aca="false">Sens!I2540*(1-tax_f)/(Sens!I2527*(Sens!H2605+Sens!I2605)/2)</f>
        <v>-0.0723552378297192</v>
      </c>
      <c r="J2607" s="7" t="n">
        <f aca="false">Sens!J2540*(1-tax_f)/(Sens!J2527*(Sens!I2605+Sens!J2605)/2)</f>
        <v>-0.0892412155664795</v>
      </c>
      <c r="K2607" s="7" t="n">
        <f aca="false">Sens!K2540*(1-tax_f)/(Sens!K2527*(Sens!J2605+Sens!K2605)/2)</f>
        <v>-0.0981694060887161</v>
      </c>
    </row>
    <row r="2608" customFormat="false" ht="17.15" hidden="false" customHeight="false" outlineLevel="0" collapsed="false">
      <c r="A2608" s="0" t="s">
        <v>769</v>
      </c>
      <c r="B2608" s="0" t="s">
        <v>208</v>
      </c>
      <c r="F2608" s="7" t="n">
        <f aca="false">Sens!F2606-wacc</f>
        <v>-0.148951679812104</v>
      </c>
      <c r="G2608" s="7" t="n">
        <f aca="false">Sens!G2606-wacc</f>
        <v>-0.185959274126318</v>
      </c>
      <c r="H2608" s="7" t="n">
        <f aca="false">Sens!H2606-wacc</f>
        <v>-0.212473921510072</v>
      </c>
      <c r="I2608" s="7" t="n">
        <f aca="false">Sens!I2606-wacc</f>
        <v>-0.233412286277731</v>
      </c>
      <c r="J2608" s="7" t="n">
        <f aca="false">Sens!J2606-wacc</f>
        <v>-0.252090552361986</v>
      </c>
      <c r="K2608" s="7" t="n">
        <f aca="false">Sens!K2606-wacc</f>
        <v>-0.253786167466331</v>
      </c>
    </row>
    <row r="2609" customFormat="false" ht="17.15" hidden="false" customHeight="false" outlineLevel="0" collapsed="false">
      <c r="A2609" s="0" t="s">
        <v>770</v>
      </c>
      <c r="B2609" s="0" t="s">
        <v>95</v>
      </c>
      <c r="F2609" s="6" t="n">
        <f aca="false">Sens!F2604*(1-tax_f)-wacc*(Sens!E2605+Sens!F2605)/2</f>
        <v>-28.7496319115041</v>
      </c>
      <c r="G2609" s="6" t="n">
        <f aca="false">Sens!G2604*(1-tax_f)-wacc*(Sens!F2605+Sens!G2605)/2</f>
        <v>-46.6292892337582</v>
      </c>
      <c r="H2609" s="6" t="n">
        <f aca="false">Sens!H2604*(1-tax_f)-wacc*(Sens!G2605+Sens!H2605)/2</f>
        <v>-45.6076994263688</v>
      </c>
      <c r="I2609" s="6" t="n">
        <f aca="false">Sens!I2604*(1-tax_f)-wacc*(Sens!H2605+Sens!I2605)/2</f>
        <v>-40.7109193212136</v>
      </c>
      <c r="J2609" s="6" t="n">
        <f aca="false">Sens!J2604*(1-tax_f)-wacc*(Sens!I2605+Sens!J2605)/2</f>
        <v>-39.301015507175</v>
      </c>
      <c r="K2609" s="6" t="n">
        <f aca="false">Sens!K2604*(1-tax_f)-wacc*(Sens!J2605+Sens!K2605)/2</f>
        <v>-41.9720004028637</v>
      </c>
    </row>
    <row r="2610" customFormat="false" ht="17.15" hidden="false" customHeight="false" outlineLevel="0" collapsed="false">
      <c r="A2610" s="1" t="s">
        <v>771</v>
      </c>
      <c r="B2610" s="0" t="s">
        <v>95</v>
      </c>
      <c r="F2610" s="6" t="n">
        <f aca="false">(Sens!E2512+Sens!F2512)/2*Sens!F2519/1000</f>
        <v>19.4494190187895</v>
      </c>
      <c r="G2610" s="6" t="n">
        <f aca="false">(Sens!F2512+Sens!G2512)/2*Sens!G2519/1000</f>
        <v>23.0047877701723</v>
      </c>
      <c r="H2610" s="6" t="n">
        <f aca="false">(Sens!G2512+Sens!H2512)/2*Sens!H2519/1000</f>
        <v>24.6552641292369</v>
      </c>
      <c r="I2610" s="6" t="n">
        <f aca="false">(Sens!H2512+Sens!I2512)/2*Sens!I2519/1000</f>
        <v>24.6552641292369</v>
      </c>
      <c r="J2610" s="6" t="n">
        <f aca="false">(Sens!I2512+Sens!J2512)/2*Sens!J2519/1000</f>
        <v>24.6552641292369</v>
      </c>
      <c r="K2610" s="6" t="n">
        <f aca="false">(Sens!J2512+Sens!K2512)/2*Sens!K2519/1000</f>
        <v>24.6552641292369</v>
      </c>
      <c r="L2610" s="1" t="s">
        <v>772</v>
      </c>
    </row>
    <row r="2611" customFormat="false" ht="17.15" hidden="false" customHeight="false" outlineLevel="0" collapsed="false">
      <c r="A2611" s="1" t="s">
        <v>773</v>
      </c>
      <c r="B2611" s="0" t="s">
        <v>126</v>
      </c>
      <c r="F2611" s="7" t="n">
        <f aca="false">(Sens!F2528+Sens!F2610-Sens!F2529-Sens!F2539)*(1-tax_f)/((Sens!E2605+Sens!F2605)/2)</f>
        <v>0.0157771399235054</v>
      </c>
      <c r="G2611" s="7" t="n">
        <f aca="false">(Sens!G2528+Sens!G2610-Sens!G2529-Sens!G2539)*(1-tax_f)/((Sens!F2605+Sens!G2605)/2)</f>
        <v>-0.0281925016321119</v>
      </c>
      <c r="H2611" s="7" t="n">
        <f aca="false">(Sens!H2528+Sens!H2610-Sens!H2529-Sens!H2539)*(1-tax_f)/((Sens!G2605+Sens!H2605)/2)</f>
        <v>-0.0467320921030163</v>
      </c>
      <c r="I2611" s="7" t="n">
        <f aca="false">(Sens!I2528+Sens!I2610-Sens!I2529-Sens!I2539)*(1-tax_f)/((Sens!H2605+Sens!I2605)/2)</f>
        <v>-0.0604650925410806</v>
      </c>
      <c r="J2611" s="7" t="n">
        <f aca="false">(Sens!J2528+Sens!J2610-Sens!J2529-Sens!J2539)*(1-tax_f)/((Sens!I2605+Sens!J2605)/2)</f>
        <v>-0.0759389027658164</v>
      </c>
      <c r="K2611" s="7" t="n">
        <f aca="false">(Sens!K2528+Sens!K2610-Sens!K2529-Sens!K2539)*(1-tax_f)/((Sens!J2605+Sens!K2605)/2)</f>
        <v>-0.0856298362840115</v>
      </c>
      <c r="L2611" s="1" t="s">
        <v>774</v>
      </c>
    </row>
    <row r="2612" customFormat="false" ht="17.15" hidden="false" customHeight="false" outlineLevel="0" collapsed="false">
      <c r="A2612" s="3" t="s">
        <v>1187</v>
      </c>
    </row>
    <row r="2613" customFormat="false" ht="15" hidden="false" customHeight="false" outlineLevel="0" collapsed="false">
      <c r="A2613" s="4" t="s">
        <v>43</v>
      </c>
      <c r="B2613" s="4" t="s">
        <v>63</v>
      </c>
      <c r="C2613" s="19" t="s">
        <v>710</v>
      </c>
      <c r="D2613" s="19" t="s">
        <v>711</v>
      </c>
      <c r="E2613" s="19" t="s">
        <v>712</v>
      </c>
      <c r="F2613" s="19" t="s">
        <v>713</v>
      </c>
      <c r="G2613" s="19" t="s">
        <v>714</v>
      </c>
      <c r="H2613" s="19" t="s">
        <v>715</v>
      </c>
      <c r="I2613" s="19" t="s">
        <v>716</v>
      </c>
      <c r="J2613" s="19" t="s">
        <v>717</v>
      </c>
      <c r="K2613" s="19" t="s">
        <v>718</v>
      </c>
      <c r="L2613" s="4" t="s">
        <v>47</v>
      </c>
    </row>
    <row r="2614" customFormat="false" ht="15" hidden="false" customHeight="false" outlineLevel="0" collapsed="false">
      <c r="A2614" s="1" t="s">
        <v>825</v>
      </c>
      <c r="B2614" s="0" t="s">
        <v>95</v>
      </c>
      <c r="F2614" s="6" t="n">
        <f aca="false">Sens!F2599</f>
        <v>129.446601786855</v>
      </c>
      <c r="G2614" s="6" t="n">
        <f aca="false">Sens!G2599</f>
        <v>133.593372453151</v>
      </c>
      <c r="H2614" s="6" t="n">
        <f aca="false">Sens!H2599</f>
        <v>146.673249462335</v>
      </c>
      <c r="I2614" s="6" t="n">
        <f aca="false">Sens!I2599</f>
        <v>162.880949606423</v>
      </c>
      <c r="J2614" s="6" t="n">
        <f aca="false">Sens!J2599</f>
        <v>177.056536373295</v>
      </c>
      <c r="K2614" s="6" t="n">
        <f aca="false">Sens!K2599</f>
        <v>188.657447157648</v>
      </c>
    </row>
    <row r="2615" customFormat="false" ht="17.15" hidden="false" customHeight="false" outlineLevel="0" collapsed="false">
      <c r="A2615" s="1" t="s">
        <v>843</v>
      </c>
      <c r="B2615" s="0" t="s">
        <v>95</v>
      </c>
      <c r="E2615" s="6" t="n">
        <f aca="false">Q!M38-Sens!E2539</f>
        <v>22.2285940229167</v>
      </c>
      <c r="F2615" s="6" t="n">
        <f aca="false">Sens!E2615*(1-1/life_nonai)+Sens!F2621/life_nonai</f>
        <v>23.5486693435813</v>
      </c>
      <c r="G2615" s="6" t="n">
        <f aca="false">Sens!F2615*(1-1/life_nonai)+Sens!G2621/life_nonai</f>
        <v>25.264091766262</v>
      </c>
      <c r="H2615" s="6" t="n">
        <f aca="false">Sens!G2615*(1-1/life_nonai)+Sens!H2621/life_nonai</f>
        <v>27.3438339540448</v>
      </c>
      <c r="I2615" s="6" t="n">
        <f aca="false">Sens!H2615*(1-1/life_nonai)+Sens!I2621/life_nonai</f>
        <v>29.7317905898047</v>
      </c>
      <c r="J2615" s="6" t="n">
        <f aca="false">Sens!I2615*(1-1/life_nonai)+Sens!J2621/life_nonai</f>
        <v>32.3542028558616</v>
      </c>
      <c r="K2615" s="6" t="n">
        <f aca="false">Sens!J2615*(1-1/life_nonai)+Sens!K2621/life_nonai</f>
        <v>35.1281528444749</v>
      </c>
      <c r="L2615" s="11" t="s">
        <v>844</v>
      </c>
    </row>
    <row r="2616" customFormat="false" ht="17.15" hidden="false" customHeight="false" outlineLevel="0" collapsed="false">
      <c r="A2616" s="1" t="s">
        <v>845</v>
      </c>
      <c r="B2616" s="0" t="s">
        <v>95</v>
      </c>
      <c r="E2616" s="6" t="n">
        <f aca="false">Sens!E2539+Sens!E2615</f>
        <v>38.534</v>
      </c>
      <c r="F2616" s="6" t="n">
        <f aca="false">Sens!F2539+Sens!F2615</f>
        <v>59.6891120327844</v>
      </c>
      <c r="G2616" s="6" t="n">
        <f aca="false">Sens!G2539+Sens!G2615</f>
        <v>77.7233019376683</v>
      </c>
      <c r="H2616" s="6" t="n">
        <f aca="false">Sens!H2539+Sens!H2615</f>
        <v>82.3857435434511</v>
      </c>
      <c r="I2616" s="6" t="n">
        <f aca="false">Sens!I2539+Sens!I2615</f>
        <v>85.4174744087943</v>
      </c>
      <c r="J2616" s="6" t="n">
        <f aca="false">Sens!J2539+Sens!J2615</f>
        <v>89.6558913736012</v>
      </c>
      <c r="K2616" s="6" t="n">
        <f aca="false">Sens!K2539+Sens!K2615</f>
        <v>95.3333945201311</v>
      </c>
    </row>
    <row r="2617" customFormat="false" ht="15" hidden="false" customHeight="false" outlineLevel="0" collapsed="false">
      <c r="A2617" s="1" t="s">
        <v>685</v>
      </c>
      <c r="B2617" s="0" t="s">
        <v>95</v>
      </c>
      <c r="F2617" s="6" t="n">
        <f aca="false">Sens!F2566*sbc_r</f>
        <v>14.255345989943</v>
      </c>
      <c r="G2617" s="6" t="n">
        <f aca="false">Sens!G2566*sbc_r</f>
        <v>15.8057923272494</v>
      </c>
      <c r="H2617" s="6" t="n">
        <f aca="false">Sens!H2566*sbc_r</f>
        <v>17.2054386095582</v>
      </c>
      <c r="I2617" s="6" t="n">
        <f aca="false">Sens!I2566*sbc_r</f>
        <v>18.6252630953548</v>
      </c>
      <c r="J2617" s="6" t="n">
        <f aca="false">Sens!J2566*sbc_r</f>
        <v>19.9484495597259</v>
      </c>
      <c r="K2617" s="6" t="n">
        <f aca="false">Sens!K2566*sbc_r</f>
        <v>21.1503636899856</v>
      </c>
    </row>
    <row r="2618" customFormat="false" ht="17.15" hidden="false" customHeight="false" outlineLevel="0" collapsed="false">
      <c r="A2618" s="1" t="s">
        <v>846</v>
      </c>
      <c r="B2618" s="0" t="s">
        <v>95</v>
      </c>
      <c r="F2618" s="6" t="n">
        <f aca="false">wc27</f>
        <v>-4.895</v>
      </c>
      <c r="G2618" s="6" t="n">
        <f aca="false">0</f>
        <v>0</v>
      </c>
      <c r="H2618" s="6" t="n">
        <f aca="false">0</f>
        <v>0</v>
      </c>
      <c r="I2618" s="6" t="n">
        <f aca="false">0</f>
        <v>0</v>
      </c>
      <c r="J2618" s="6" t="n">
        <f aca="false">0</f>
        <v>0</v>
      </c>
      <c r="K2618" s="6" t="n">
        <f aca="false">0</f>
        <v>0</v>
      </c>
      <c r="L2618" s="11" t="s">
        <v>847</v>
      </c>
    </row>
    <row r="2619" customFormat="false" ht="15" hidden="false" customHeight="false" outlineLevel="0" collapsed="false">
      <c r="A2619" s="1" t="s">
        <v>678</v>
      </c>
      <c r="B2619" s="0" t="s">
        <v>95</v>
      </c>
      <c r="E2619" s="6" t="n">
        <f aca="false">Q!M35</f>
        <v>182.935</v>
      </c>
      <c r="F2619" s="6" t="n">
        <f aca="false">Sens!F2614+Sens!F2616+Sens!F2617+Sens!F2618</f>
        <v>198.496059809582</v>
      </c>
      <c r="G2619" s="6" t="n">
        <f aca="false">Sens!G2614+Sens!G2616+Sens!G2617+Sens!G2618</f>
        <v>227.122466718069</v>
      </c>
      <c r="H2619" s="6" t="n">
        <f aca="false">Sens!H2614+Sens!H2616+Sens!H2617+Sens!H2618</f>
        <v>246.264431615344</v>
      </c>
      <c r="I2619" s="6" t="n">
        <f aca="false">Sens!I2614+Sens!I2616+Sens!I2617+Sens!I2618</f>
        <v>266.923687110572</v>
      </c>
      <c r="J2619" s="6" t="n">
        <f aca="false">Sens!J2614+Sens!J2616+Sens!J2617+Sens!J2618</f>
        <v>286.660877306622</v>
      </c>
      <c r="K2619" s="6" t="n">
        <f aca="false">Sens!K2614+Sens!K2616+Sens!K2617+Sens!K2618</f>
        <v>305.141205367765</v>
      </c>
    </row>
    <row r="2620" customFormat="false" ht="17.15" hidden="false" customHeight="false" outlineLevel="0" collapsed="false">
      <c r="A2620" s="0" t="s">
        <v>848</v>
      </c>
      <c r="B2620" s="0" t="s">
        <v>95</v>
      </c>
      <c r="F2620" s="6" t="n">
        <f aca="false">Sens!F2536</f>
        <v>168.770652770438</v>
      </c>
      <c r="G2620" s="6" t="n">
        <f aca="false">Sens!G2536</f>
        <v>35.302727016</v>
      </c>
      <c r="H2620" s="6" t="n">
        <f aca="false">Sens!H2536</f>
        <v>0</v>
      </c>
      <c r="I2620" s="6" t="n">
        <f aca="false">Sens!I2536</f>
        <v>30.2586753466667</v>
      </c>
      <c r="J2620" s="6" t="n">
        <f aca="false">Sens!J2536</f>
        <v>45.6967750133333</v>
      </c>
      <c r="K2620" s="6" t="n">
        <f aca="false">Sens!K2536</f>
        <v>90.77602604</v>
      </c>
    </row>
    <row r="2621" customFormat="false" ht="17.15" hidden="false" customHeight="false" outlineLevel="0" collapsed="false">
      <c r="A2621" s="1" t="s">
        <v>849</v>
      </c>
      <c r="B2621" s="0" t="s">
        <v>95</v>
      </c>
      <c r="E2621" s="6" t="n">
        <f aca="false">Sens!E2544*cx_azo+Sens!E2551*cx_m365+Sens!E2552*cx_lic+(Sens!E2554+Sens!E2556)*cx_ind+Sens!E2559*cx_srch+(Sens!E2561+Sens!E2563)*cx_dev</f>
        <v>30.1846587067718</v>
      </c>
      <c r="F2621" s="6" t="n">
        <f aca="false">Sens!F2544*cx_azo+Sens!F2551*cx_m365+Sens!F2552*cx_lic+(Sens!F2554+Sens!F2556)*cx_ind+Sens!F2559*cx_srch+(Sens!F2561+Sens!F2563)*cx_dev</f>
        <v>35.4293472295625</v>
      </c>
      <c r="G2621" s="6" t="n">
        <f aca="false">Sens!G2544*cx_azo+Sens!G2551*cx_m365+Sens!G2552*cx_lic+(Sens!G2554+Sens!G2556)*cx_ind+Sens!G2559*cx_srch+(Sens!G2561+Sens!G2563)*cx_dev</f>
        <v>40.7028935703892</v>
      </c>
      <c r="H2621" s="6" t="n">
        <f aca="false">Sens!H2544*cx_azo+Sens!H2551*cx_m365+Sens!H2552*cx_lic+(Sens!H2554+Sens!H2556)*cx_ind+Sens!H2559*cx_srch+(Sens!H2561+Sens!H2563)*cx_dev</f>
        <v>46.0615136440897</v>
      </c>
      <c r="I2621" s="6" t="n">
        <f aca="false">Sens!I2544*cx_azo+Sens!I2551*cx_m365+Sens!I2552*cx_lic+(Sens!I2554+Sens!I2556)*cx_ind+Sens!I2559*cx_srch+(Sens!I2561+Sens!I2563)*cx_dev</f>
        <v>51.2234003116439</v>
      </c>
      <c r="J2621" s="6" t="n">
        <f aca="false">Sens!J2544*cx_azo+Sens!J2551*cx_m365+Sens!J2552*cx_lic+(Sens!J2554+Sens!J2556)*cx_ind+Sens!J2559*cx_srch+(Sens!J2561+Sens!J2563)*cx_dev</f>
        <v>55.9559132503738</v>
      </c>
      <c r="K2621" s="6" t="n">
        <f aca="false">Sens!K2544*cx_azo+Sens!K2551*cx_m365+Sens!K2552*cx_lic+(Sens!K2554+Sens!K2556)*cx_ind+Sens!K2559*cx_srch+(Sens!K2561+Sens!K2563)*cx_dev</f>
        <v>60.093702741994</v>
      </c>
    </row>
    <row r="2622" customFormat="false" ht="17.15" hidden="false" customHeight="false" outlineLevel="0" collapsed="false">
      <c r="A2622" s="1" t="s">
        <v>850</v>
      </c>
      <c r="B2622" s="0" t="s">
        <v>95</v>
      </c>
      <c r="E2622" s="6" t="n">
        <f aca="false">Q!M42</f>
        <v>145.3</v>
      </c>
      <c r="F2622" s="6" t="n">
        <f aca="false">Sens!F2620+Sens!F2621</f>
        <v>204.2</v>
      </c>
      <c r="G2622" s="6" t="n">
        <f aca="false">Sens!G2620+Sens!G2621</f>
        <v>76.0056205863892</v>
      </c>
      <c r="H2622" s="6" t="n">
        <f aca="false">Sens!H2620+Sens!H2621</f>
        <v>46.0615136440897</v>
      </c>
      <c r="I2622" s="6" t="n">
        <f aca="false">Sens!I2620+Sens!I2621</f>
        <v>81.4820756583106</v>
      </c>
      <c r="J2622" s="6" t="n">
        <f aca="false">Sens!J2620+Sens!J2621</f>
        <v>101.652688263707</v>
      </c>
      <c r="K2622" s="6" t="n">
        <f aca="false">Sens!K2620+Sens!K2621</f>
        <v>150.869728781994</v>
      </c>
      <c r="L2622" s="1" t="s">
        <v>851</v>
      </c>
    </row>
    <row r="2623" customFormat="false" ht="15" hidden="false" customHeight="false" outlineLevel="0" collapsed="false">
      <c r="A2623" s="1" t="s">
        <v>852</v>
      </c>
      <c r="B2623" s="0" t="s">
        <v>95</v>
      </c>
      <c r="E2623" s="6" t="n">
        <f aca="false">fl_liab</f>
        <v>66.594</v>
      </c>
      <c r="F2623" s="6" t="n">
        <f aca="false">Sens!E2623-Sens!F2624</f>
        <v>62.46973</v>
      </c>
      <c r="G2623" s="6" t="n">
        <f aca="false">Sens!F2623-Sens!G2624</f>
        <v>57.98686785</v>
      </c>
      <c r="H2623" s="6" t="n">
        <f aca="false">Sens!G2623-Sens!H2624</f>
        <v>53.92827690325</v>
      </c>
      <c r="I2623" s="6" t="n">
        <f aca="false">Sens!H2623-Sens!I2624</f>
        <v>49.7850493638962</v>
      </c>
      <c r="J2623" s="6" t="n">
        <f aca="false">Sens!I2623-Sens!J2624</f>
        <v>45.4823765852716</v>
      </c>
      <c r="K2623" s="6" t="n">
        <f aca="false">Sens!J2623-Sens!K2624</f>
        <v>40.9860835316088</v>
      </c>
    </row>
    <row r="2624" customFormat="false" ht="15" hidden="false" customHeight="false" outlineLevel="0" collapsed="false">
      <c r="A2624" s="1" t="s">
        <v>853</v>
      </c>
      <c r="B2624" s="0" t="s">
        <v>95</v>
      </c>
      <c r="F2624" s="6" t="n">
        <f aca="false">fl_pay_27-Sens!E2623*fl_rate</f>
        <v>4.12427</v>
      </c>
      <c r="G2624" s="6" t="n">
        <f aca="false">fl_pay_28-Sens!F2623*fl_rate</f>
        <v>4.48286215</v>
      </c>
      <c r="H2624" s="6" t="n">
        <f aca="false">fl_pay_29-Sens!G2623*fl_rate</f>
        <v>4.05859094675</v>
      </c>
      <c r="I2624" s="6" t="n">
        <f aca="false">fl_pay_30-Sens!H2623*fl_rate</f>
        <v>4.14322753935375</v>
      </c>
      <c r="J2624" s="6" t="n">
        <f aca="false">fl_pay_31-Sens!I2623*fl_rate</f>
        <v>4.30267277862467</v>
      </c>
      <c r="K2624" s="6" t="n">
        <f aca="false">fl_pay_32-Sens!J2623*fl_rate</f>
        <v>4.49629305366278</v>
      </c>
    </row>
    <row r="2625" customFormat="false" ht="17.15" hidden="false" customHeight="false" outlineLevel="0" collapsed="false">
      <c r="A2625" s="1" t="s">
        <v>854</v>
      </c>
      <c r="B2625" s="0" t="s">
        <v>95</v>
      </c>
      <c r="E2625" s="6" t="n">
        <f aca="false">Q!M35-Q!M36-Q!M43</f>
        <v>63.886</v>
      </c>
      <c r="F2625" s="6" t="n">
        <f aca="false">Sens!F2619-Sens!F2622-Sens!F2624</f>
        <v>-9.82821019041805</v>
      </c>
      <c r="G2625" s="6" t="n">
        <f aca="false">Sens!G2619-Sens!G2622-Sens!G2624</f>
        <v>146.63398398168</v>
      </c>
      <c r="H2625" s="6" t="n">
        <f aca="false">Sens!H2619-Sens!H2622-Sens!H2624</f>
        <v>196.144327024504</v>
      </c>
      <c r="I2625" s="6" t="n">
        <f aca="false">Sens!I2619-Sens!I2622-Sens!I2624</f>
        <v>181.298383912907</v>
      </c>
      <c r="J2625" s="6" t="n">
        <f aca="false">Sens!J2619-Sens!J2622-Sens!J2624</f>
        <v>180.70551626429</v>
      </c>
      <c r="K2625" s="6" t="n">
        <f aca="false">Sens!K2619-Sens!K2622-Sens!K2624</f>
        <v>149.775183532108</v>
      </c>
      <c r="L2625" s="11" t="s">
        <v>855</v>
      </c>
    </row>
    <row r="2626" customFormat="false" ht="15" hidden="false" customHeight="false" outlineLevel="0" collapsed="false">
      <c r="A2626" s="1" t="s">
        <v>856</v>
      </c>
      <c r="B2626" s="0" t="s">
        <v>73</v>
      </c>
      <c r="F2626" s="8" t="n">
        <f aca="false">dps_27</f>
        <v>3.85</v>
      </c>
      <c r="G2626" s="8" t="n">
        <f aca="false">Sens!F2626*(1+dps_g)</f>
        <v>4.158</v>
      </c>
      <c r="H2626" s="8" t="n">
        <f aca="false">Sens!G2626*(1+dps_g)</f>
        <v>4.49064</v>
      </c>
      <c r="I2626" s="8" t="n">
        <f aca="false">Sens!H2626*(1+dps_g)</f>
        <v>4.8498912</v>
      </c>
      <c r="J2626" s="8" t="n">
        <f aca="false">Sens!I2626*(1+dps_g)</f>
        <v>5.237882496</v>
      </c>
      <c r="K2626" s="8" t="n">
        <f aca="false">Sens!J2626*(1+dps_g)</f>
        <v>5.65691309568</v>
      </c>
    </row>
    <row r="2627" customFormat="false" ht="17.15" hidden="false" customHeight="false" outlineLevel="0" collapsed="false">
      <c r="A2627" s="1" t="s">
        <v>857</v>
      </c>
      <c r="B2627" s="0" t="s">
        <v>95</v>
      </c>
      <c r="E2627" s="6" t="n">
        <f aca="false">Q!M41</f>
        <v>26.445</v>
      </c>
      <c r="F2627" s="6" t="n">
        <f aca="false">Sens!F2626*Sens!E2636</f>
        <v>28.59395</v>
      </c>
      <c r="G2627" s="6" t="n">
        <f aca="false">Sens!G2626*Sens!F2636</f>
        <v>31.068576</v>
      </c>
      <c r="H2627" s="6" t="n">
        <f aca="false">Sens!H2626*Sens!G2636</f>
        <v>33.5888350159995</v>
      </c>
      <c r="I2627" s="6" t="n">
        <f aca="false">Sens!I2626*Sens!H2636</f>
        <v>36.3268810572789</v>
      </c>
      <c r="J2627" s="6" t="n">
        <f aca="false">Sens!J2626*Sens!I2636</f>
        <v>39.3014303901806</v>
      </c>
      <c r="K2627" s="6" t="n">
        <f aca="false">Sens!K2626*Sens!J2636</f>
        <v>42.5328000467001</v>
      </c>
      <c r="L2627" s="1" t="s">
        <v>858</v>
      </c>
    </row>
    <row r="2628" customFormat="false" ht="15" hidden="false" customHeight="false" outlineLevel="0" collapsed="false">
      <c r="A2628" s="1" t="s">
        <v>859</v>
      </c>
      <c r="B2628" s="0" t="s">
        <v>95</v>
      </c>
      <c r="E2628" s="6" t="n">
        <f aca="false">Sens!E2625-Sens!E2627</f>
        <v>37.441</v>
      </c>
      <c r="F2628" s="6" t="n">
        <f aca="false">Sens!F2625-Sens!F2627</f>
        <v>-38.4221601904181</v>
      </c>
      <c r="G2628" s="6" t="n">
        <f aca="false">Sens!G2625-Sens!G2627</f>
        <v>115.56540798168</v>
      </c>
      <c r="H2628" s="6" t="n">
        <f aca="false">Sens!H2625-Sens!H2627</f>
        <v>162.555492008505</v>
      </c>
      <c r="I2628" s="6" t="n">
        <f aca="false">Sens!I2625-Sens!I2627</f>
        <v>144.971502855629</v>
      </c>
      <c r="J2628" s="6" t="n">
        <f aca="false">Sens!J2625-Sens!J2627</f>
        <v>141.404085874109</v>
      </c>
      <c r="K2628" s="6" t="n">
        <f aca="false">Sens!K2625-Sens!K2627</f>
        <v>107.242383485408</v>
      </c>
    </row>
    <row r="2629" customFormat="false" ht="15" hidden="false" customHeight="false" outlineLevel="0" collapsed="false">
      <c r="A2629" s="1" t="s">
        <v>860</v>
      </c>
      <c r="B2629" s="0" t="s">
        <v>95</v>
      </c>
      <c r="F2629" s="6" t="n">
        <f aca="false">debt_mat_27</f>
        <v>9.25</v>
      </c>
      <c r="G2629" s="6" t="n">
        <f aca="false">debt_mat_28</f>
        <v>0</v>
      </c>
      <c r="H2629" s="6" t="n">
        <f aca="false">debt_mat_29</f>
        <v>2.001</v>
      </c>
      <c r="I2629" s="6" t="n">
        <f aca="false">debt_mat_30</f>
        <v>0</v>
      </c>
      <c r="J2629" s="6" t="n">
        <f aca="false">debt_mat_31</f>
        <v>0.5</v>
      </c>
      <c r="K2629" s="6" t="n">
        <f aca="false">debt_mat_32</f>
        <v>0</v>
      </c>
    </row>
    <row r="2630" customFormat="false" ht="15" hidden="false" customHeight="false" outlineLevel="0" collapsed="false">
      <c r="A2630" s="1" t="s">
        <v>861</v>
      </c>
      <c r="B2630" s="0" t="s">
        <v>95</v>
      </c>
      <c r="E2630" s="6" t="n">
        <f aca="false">Q!M40</f>
        <v>22.271</v>
      </c>
      <c r="F2630" s="6" t="n">
        <f aca="false">MAX(0,MIN(bb_target,Sens!E2632+Sens!F2628-Sens!F2629-min_cash))</f>
        <v>0</v>
      </c>
      <c r="G2630" s="6" t="n">
        <f aca="false">MAX(0,MIN(bb_target,Sens!F2632+Sens!G2628-Sens!G2629-min_cash))</f>
        <v>22.271</v>
      </c>
      <c r="H2630" s="6" t="n">
        <f aca="false">MAX(0,MIN(bb_target,Sens!G2632+Sens!H2628-Sens!H2629-min_cash))</f>
        <v>22.271</v>
      </c>
      <c r="I2630" s="6" t="n">
        <f aca="false">MAX(0,MIN(bb_target,Sens!H2632+Sens!I2628-Sens!I2629-min_cash))</f>
        <v>22.271</v>
      </c>
      <c r="J2630" s="6" t="n">
        <f aca="false">MAX(0,MIN(bb_target,Sens!I2632+Sens!J2628-Sens!J2629-min_cash))</f>
        <v>22.271</v>
      </c>
      <c r="K2630" s="6" t="n">
        <f aca="false">MAX(0,MIN(bb_target,Sens!J2632+Sens!K2628-Sens!K2629-min_cash))</f>
        <v>22.271</v>
      </c>
    </row>
    <row r="2631" customFormat="false" ht="15" hidden="false" customHeight="false" outlineLevel="0" collapsed="false">
      <c r="A2631" s="1" t="s">
        <v>862</v>
      </c>
      <c r="B2631" s="0" t="s">
        <v>95</v>
      </c>
      <c r="F2631" s="6" t="n">
        <f aca="false">MAX(0,min_cash-(Sens!E2632+Sens!F2628-Sens!F2629-Sens!F2630))</f>
        <v>20.8291601904181</v>
      </c>
      <c r="G2631" s="6" t="n">
        <f aca="false">MAX(0,min_cash-(Sens!F2632+Sens!G2628-Sens!G2629-Sens!G2630))</f>
        <v>0</v>
      </c>
      <c r="H2631" s="6" t="n">
        <f aca="false">MAX(0,min_cash-(Sens!G2632+Sens!H2628-Sens!H2629-Sens!H2630))</f>
        <v>0</v>
      </c>
      <c r="I2631" s="6" t="n">
        <f aca="false">MAX(0,min_cash-(Sens!H2632+Sens!I2628-Sens!I2629-Sens!I2630))</f>
        <v>0</v>
      </c>
      <c r="J2631" s="6" t="n">
        <f aca="false">MAX(0,min_cash-(Sens!I2632+Sens!J2628-Sens!J2629-Sens!J2630))</f>
        <v>0</v>
      </c>
      <c r="K2631" s="6" t="n">
        <f aca="false">MAX(0,min_cash-(Sens!J2632+Sens!K2628-Sens!K2629-Sens!K2630))</f>
        <v>0</v>
      </c>
    </row>
    <row r="2632" customFormat="false" ht="15" hidden="false" customHeight="false" outlineLevel="0" collapsed="false">
      <c r="A2632" s="1" t="s">
        <v>863</v>
      </c>
      <c r="B2632" s="0" t="s">
        <v>95</v>
      </c>
      <c r="E2632" s="6" t="n">
        <f aca="false">cash_open</f>
        <v>76.843</v>
      </c>
      <c r="F2632" s="6" t="n">
        <f aca="false">Sens!E2632+Sens!F2628-Sens!F2629-Sens!F2630+Sens!F2631</f>
        <v>50</v>
      </c>
      <c r="G2632" s="6" t="n">
        <f aca="false">Sens!F2632+Sens!G2628-Sens!G2629-Sens!G2630+Sens!G2631</f>
        <v>143.29440798168</v>
      </c>
      <c r="H2632" s="6" t="n">
        <f aca="false">Sens!G2632+Sens!H2628-Sens!H2629-Sens!H2630+Sens!H2631</f>
        <v>281.577899990184</v>
      </c>
      <c r="I2632" s="6" t="n">
        <f aca="false">Sens!H2632+Sens!I2628-Sens!I2629-Sens!I2630+Sens!I2631</f>
        <v>404.278402845813</v>
      </c>
      <c r="J2632" s="6" t="n">
        <f aca="false">Sens!I2632+Sens!J2628-Sens!J2629-Sens!J2630+Sens!J2631</f>
        <v>522.911488719922</v>
      </c>
      <c r="K2632" s="6" t="n">
        <f aca="false">Sens!J2632+Sens!K2628-Sens!K2629-Sens!K2630+Sens!K2631</f>
        <v>607.88287220533</v>
      </c>
    </row>
    <row r="2633" customFormat="false" ht="15" hidden="false" customHeight="false" outlineLevel="0" collapsed="false">
      <c r="A2633" s="1" t="s">
        <v>864</v>
      </c>
      <c r="B2633" s="0" t="s">
        <v>95</v>
      </c>
      <c r="E2633" s="6" t="n">
        <f aca="false">debt_face</f>
        <v>46.136</v>
      </c>
      <c r="F2633" s="6" t="n">
        <f aca="false">Sens!E2633-Sens!F2629+Sens!F2631</f>
        <v>57.7151601904181</v>
      </c>
      <c r="G2633" s="6" t="n">
        <f aca="false">Sens!F2633-Sens!G2629+Sens!G2631</f>
        <v>57.7151601904181</v>
      </c>
      <c r="H2633" s="6" t="n">
        <f aca="false">Sens!G2633-Sens!H2629+Sens!H2631</f>
        <v>55.7141601904181</v>
      </c>
      <c r="I2633" s="6" t="n">
        <f aca="false">Sens!H2633-Sens!I2629+Sens!I2631</f>
        <v>55.7141601904181</v>
      </c>
      <c r="J2633" s="6" t="n">
        <f aca="false">Sens!I2633-Sens!J2629+Sens!J2631</f>
        <v>55.2141601904181</v>
      </c>
      <c r="K2633" s="6" t="n">
        <f aca="false">Sens!J2633-Sens!K2629+Sens!K2631</f>
        <v>55.2141601904181</v>
      </c>
    </row>
    <row r="2634" customFormat="false" ht="15" hidden="false" customHeight="false" outlineLevel="0" collapsed="false">
      <c r="A2634" s="1" t="s">
        <v>865</v>
      </c>
      <c r="B2634" s="0" t="s">
        <v>95</v>
      </c>
      <c r="E2634" s="6" t="n">
        <f aca="false">Sens!E2632-Sens!E2633</f>
        <v>30.707</v>
      </c>
      <c r="F2634" s="6" t="n">
        <f aca="false">Sens!F2632-Sens!F2633</f>
        <v>-7.71516019041805</v>
      </c>
      <c r="G2634" s="6" t="n">
        <f aca="false">Sens!G2632-Sens!G2633</f>
        <v>85.5792477912616</v>
      </c>
      <c r="H2634" s="6" t="n">
        <f aca="false">Sens!H2632-Sens!H2633</f>
        <v>225.863739799766</v>
      </c>
      <c r="I2634" s="6" t="n">
        <f aca="false">Sens!I2632-Sens!I2633</f>
        <v>348.564242655395</v>
      </c>
      <c r="J2634" s="6" t="n">
        <f aca="false">Sens!J2632-Sens!J2633</f>
        <v>467.697328529504</v>
      </c>
      <c r="K2634" s="6" t="n">
        <f aca="false">Sens!K2632-Sens!K2633</f>
        <v>552.668712014912</v>
      </c>
    </row>
    <row r="2635" customFormat="false" ht="15" hidden="false" customHeight="false" outlineLevel="0" collapsed="false">
      <c r="A2635" s="1" t="s">
        <v>866</v>
      </c>
      <c r="B2635" s="0" t="s">
        <v>73</v>
      </c>
      <c r="F2635" s="27" t="n">
        <f aca="false">px*(1+bb_g)^(1-0.5)</f>
        <v>553.494156066711</v>
      </c>
      <c r="G2635" s="27" t="n">
        <f aca="false">px*(1+bb_g)^(2-0.5)</f>
        <v>597.773688552047</v>
      </c>
      <c r="H2635" s="27" t="n">
        <f aca="false">px*(1+bb_g)^(3-0.5)</f>
        <v>645.595583636211</v>
      </c>
      <c r="I2635" s="27" t="n">
        <f aca="false">px*(1+bb_g)^(4-0.5)</f>
        <v>697.243230327108</v>
      </c>
      <c r="J2635" s="27" t="n">
        <f aca="false">px*(1+bb_g)^(5-0.5)</f>
        <v>753.022688753277</v>
      </c>
      <c r="K2635" s="27" t="n">
        <f aca="false">px*(1+bb_g)^(6-0.5)</f>
        <v>813.264503853539</v>
      </c>
    </row>
    <row r="2636" customFormat="false" ht="15" hidden="false" customHeight="false" outlineLevel="0" collapsed="false">
      <c r="A2636" s="1" t="s">
        <v>867</v>
      </c>
      <c r="B2636" s="1" t="s">
        <v>79</v>
      </c>
      <c r="E2636" s="18" t="n">
        <f aca="false">sh_out26</f>
        <v>7.427</v>
      </c>
      <c r="F2636" s="18" t="n">
        <f aca="false">Sens!E2636+sh_iss-Sens!F2630/Sens!F2635</f>
        <v>7.472</v>
      </c>
      <c r="G2636" s="18" t="n">
        <f aca="false">Sens!F2636+sh_iss-Sens!G2630/Sens!G2635</f>
        <v>7.47974342543589</v>
      </c>
      <c r="H2636" s="18" t="n">
        <f aca="false">Sens!G2636+sh_iss-Sens!H2630/Sens!H2635</f>
        <v>7.4902465971358</v>
      </c>
      <c r="I2636" s="18" t="n">
        <f aca="false">Sens!H2636+sh_iss-Sens!I2630/Sens!I2635</f>
        <v>7.50330508945052</v>
      </c>
      <c r="J2636" s="18" t="n">
        <f aca="false">Sens!I2636+sh_iss-Sens!J2630/Sens!J2635</f>
        <v>7.51872961937156</v>
      </c>
      <c r="K2636" s="18" t="n">
        <f aca="false">Sens!J2636+sh_iss-Sens!K2630/Sens!K2635</f>
        <v>7.53634492485401</v>
      </c>
    </row>
    <row r="2637" customFormat="false" ht="15" hidden="false" customHeight="false" outlineLevel="0" collapsed="false">
      <c r="A2637" s="1" t="s">
        <v>868</v>
      </c>
      <c r="B2637" s="1" t="s">
        <v>79</v>
      </c>
      <c r="E2637" s="18" t="n">
        <f aca="false">sh_dil26</f>
        <v>7.453</v>
      </c>
      <c r="F2637" s="18" t="n">
        <f aca="false">(Sens!E2636+Sens!F2636)/2+dil_gap</f>
        <v>7.4735</v>
      </c>
      <c r="G2637" s="18" t="n">
        <f aca="false">(Sens!F2636+Sens!G2636)/2+dil_gap</f>
        <v>7.49987171271795</v>
      </c>
      <c r="H2637" s="18" t="n">
        <f aca="false">(Sens!G2636+Sens!H2636)/2+dil_gap</f>
        <v>7.50899501128585</v>
      </c>
      <c r="I2637" s="18" t="n">
        <f aca="false">(Sens!H2636+Sens!I2636)/2+dil_gap</f>
        <v>7.52077584329316</v>
      </c>
      <c r="J2637" s="18" t="n">
        <f aca="false">(Sens!I2636+Sens!J2636)/2+dil_gap</f>
        <v>7.53501735441104</v>
      </c>
      <c r="K2637" s="18" t="n">
        <f aca="false">(Sens!J2636+Sens!K2636)/2+dil_gap</f>
        <v>7.55153727211278</v>
      </c>
    </row>
    <row r="2638" customFormat="false" ht="17.15" hidden="false" customHeight="false" outlineLevel="0" collapsed="false">
      <c r="A2638" s="1" t="s">
        <v>869</v>
      </c>
      <c r="B2638" s="0" t="s">
        <v>95</v>
      </c>
      <c r="C2638" s="6" t="n">
        <f aca="false">SUM(Sens!F2628:J2628)</f>
        <v>526.074328529504</v>
      </c>
    </row>
    <row r="2639" customFormat="false" ht="17.15" hidden="false" customHeight="false" outlineLevel="0" collapsed="false">
      <c r="A2639" s="1" t="s">
        <v>836</v>
      </c>
      <c r="B2639" s="1" t="s">
        <v>870</v>
      </c>
      <c r="C2639" s="30" t="str">
        <f aca="false">IF(SUM(Sens!F2631:J2631)&gt;0.05,"需要舉債 "&amp;TEXT(SUM(Sens!F2631:J2631),"0.0")&amp;" 十億美元","不需舉債")&amp;"；"&amp;IF(SUM(Sens!F2630:J2630)&lt;5*bb_target-0.05,"回購較每年 "&amp;TEXT(bb_target,"0.0")&amp;" 的目標少 "&amp;TEXT(5*bb_target-SUM(Sens!F2630:J2630),"0.0")&amp;" 十億美元（"&amp;TEXT(COUNTIF(Sens!F2630:J2630,"&lt;"&amp;(bb_target-0.05)),"0")&amp;" 年減少）","回購不減")</f>
        <v>需要舉債 20.8 十億美元；回購較每年 22.3 的目標少 22.3 十億美元（1 年減少）</v>
      </c>
    </row>
    <row r="2640" customFormat="false" ht="17.15" hidden="false" customHeight="false" outlineLevel="0" collapsed="false">
      <c r="A2640" s="3" t="s">
        <v>1188</v>
      </c>
    </row>
    <row r="2641" customFormat="false" ht="15" hidden="false" customHeight="false" outlineLevel="0" collapsed="false">
      <c r="A2641" s="4" t="s">
        <v>43</v>
      </c>
      <c r="B2641" s="4" t="s">
        <v>63</v>
      </c>
      <c r="C2641" s="19" t="s">
        <v>710</v>
      </c>
      <c r="D2641" s="19" t="s">
        <v>711</v>
      </c>
      <c r="E2641" s="19" t="s">
        <v>712</v>
      </c>
      <c r="F2641" s="19" t="s">
        <v>713</v>
      </c>
      <c r="G2641" s="19" t="s">
        <v>714</v>
      </c>
      <c r="H2641" s="19" t="s">
        <v>715</v>
      </c>
      <c r="I2641" s="19" t="s">
        <v>716</v>
      </c>
      <c r="J2641" s="19" t="s">
        <v>717</v>
      </c>
      <c r="K2641" s="19" t="s">
        <v>718</v>
      </c>
      <c r="L2641" s="4" t="s">
        <v>47</v>
      </c>
    </row>
    <row r="2642" customFormat="false" ht="17.15" hidden="false" customHeight="false" outlineLevel="0" collapsed="false">
      <c r="A2642" s="1" t="s">
        <v>938</v>
      </c>
      <c r="B2642" s="1" t="s">
        <v>213</v>
      </c>
      <c r="F2642" s="34" t="n">
        <f aca="false">1-0.5</f>
        <v>0.5</v>
      </c>
      <c r="G2642" s="34" t="n">
        <f aca="false">2-0.5</f>
        <v>1.5</v>
      </c>
      <c r="H2642" s="34" t="n">
        <f aca="false">3-0.5</f>
        <v>2.5</v>
      </c>
      <c r="I2642" s="34" t="n">
        <f aca="false">4-0.5</f>
        <v>3.5</v>
      </c>
      <c r="J2642" s="34" t="n">
        <f aca="false">5-0.5</f>
        <v>4.5</v>
      </c>
      <c r="K2642" s="34" t="n">
        <f aca="false">6-0.5</f>
        <v>5.5</v>
      </c>
    </row>
    <row r="2643" customFormat="false" ht="15" hidden="false" customHeight="false" outlineLevel="0" collapsed="false">
      <c r="A2643" s="1" t="s">
        <v>939</v>
      </c>
      <c r="B2643" s="0" t="s">
        <v>182</v>
      </c>
      <c r="F2643" s="18" t="n">
        <f aca="false">1/(1+wacc)^Sens!F2642</f>
        <v>0.949601579913219</v>
      </c>
      <c r="G2643" s="18" t="n">
        <f aca="false">1/(1+wacc)^Sens!G2642</f>
        <v>0.856296729956707</v>
      </c>
      <c r="H2643" s="18" t="n">
        <f aca="false">1/(1+wacc)^Sens!H2642</f>
        <v>0.772159719660069</v>
      </c>
      <c r="I2643" s="18" t="n">
        <f aca="false">1/(1+wacc)^Sens!I2642</f>
        <v>0.696289746073958</v>
      </c>
      <c r="J2643" s="18" t="n">
        <f aca="false">1/(1+wacc)^Sens!J2642</f>
        <v>0.627874516299776</v>
      </c>
      <c r="K2643" s="18" t="n">
        <f aca="false">1/(1+wacc)^Sens!K2642</f>
        <v>0.566181550771831</v>
      </c>
    </row>
    <row r="2644" customFormat="false" ht="15" hidden="false" customHeight="false" outlineLevel="0" collapsed="false">
      <c r="A2644" s="1" t="s">
        <v>940</v>
      </c>
      <c r="B2644" s="0" t="s">
        <v>95</v>
      </c>
      <c r="F2644" s="6" t="n">
        <f aca="false">Sens!F2625*Sens!F2643</f>
        <v>-9.33288392454018</v>
      </c>
      <c r="G2644" s="6" t="n">
        <f aca="false">Sens!G2625*Sens!G2643</f>
        <v>125.562200984036</v>
      </c>
      <c r="H2644" s="6" t="n">
        <f aca="false">Sens!H2625*Sens!H2643</f>
        <v>151.454748568154</v>
      </c>
      <c r="I2644" s="6" t="n">
        <f aca="false">Sens!I2625*Sens!I2643</f>
        <v>126.236205698337</v>
      </c>
      <c r="J2644" s="6" t="n">
        <f aca="false">Sens!J2625*Sens!J2643</f>
        <v>113.460388617142</v>
      </c>
      <c r="K2644" s="6" t="n">
        <f aca="false">Sens!K2625*Sens!K2643</f>
        <v>84.7999456793445</v>
      </c>
    </row>
    <row r="2645" customFormat="false" ht="17.15" hidden="false" customHeight="false" outlineLevel="0" collapsed="false">
      <c r="A2645" s="1" t="s">
        <v>941</v>
      </c>
      <c r="B2645" s="0" t="s">
        <v>95</v>
      </c>
      <c r="C2645" s="6" t="n">
        <f aca="false">SUM(Sens!F2644:K2644)</f>
        <v>592.180605622474</v>
      </c>
    </row>
    <row r="2646" customFormat="false" ht="17.15" hidden="false" customHeight="false" outlineLevel="0" collapsed="false">
      <c r="A2646" s="1" t="s">
        <v>942</v>
      </c>
      <c r="B2646" s="0" t="s">
        <v>95</v>
      </c>
      <c r="C2646" s="6" t="n">
        <f aca="false">Sens!K2591*(1+g_tv)*(1-tax_f)</f>
        <v>194.646770572377</v>
      </c>
    </row>
    <row r="2647" customFormat="false" ht="17.15" hidden="false" customHeight="false" outlineLevel="0" collapsed="false">
      <c r="A2647" s="1" t="s">
        <v>943</v>
      </c>
      <c r="B2647" s="0" t="s">
        <v>95</v>
      </c>
      <c r="C2647" s="6" t="n">
        <f aca="false">Sens!$C$2646*(1-g_tv/(wacc+ronic_prem))</f>
        <v>141.056182339683</v>
      </c>
    </row>
    <row r="2648" customFormat="false" ht="17.15" hidden="false" customHeight="false" outlineLevel="0" collapsed="false">
      <c r="A2648" s="1" t="s">
        <v>944</v>
      </c>
      <c r="B2648" s="0" t="s">
        <v>95</v>
      </c>
      <c r="C2648" s="6" t="n">
        <f aca="false">Sens!$C$2647/(wacc-g_tv)</f>
        <v>1786.35294108983</v>
      </c>
    </row>
    <row r="2649" customFormat="false" ht="15" hidden="false" customHeight="false" outlineLevel="0" collapsed="false">
      <c r="A2649" s="1" t="s">
        <v>945</v>
      </c>
      <c r="B2649" s="0" t="s">
        <v>95</v>
      </c>
      <c r="C2649" s="6" t="n">
        <f aca="false">Sens!$C$2648/(1+wacc)^6</f>
        <v>960.427112384445</v>
      </c>
    </row>
    <row r="2650" customFormat="false" ht="17.15" hidden="false" customHeight="false" outlineLevel="0" collapsed="false">
      <c r="A2650" s="0" t="s">
        <v>877</v>
      </c>
      <c r="B2650" s="0" t="s">
        <v>95</v>
      </c>
      <c r="C2650" s="6" t="n">
        <f aca="false">Sens!$C$2645+Sens!$C$2649</f>
        <v>1552.60771800692</v>
      </c>
    </row>
    <row r="2651" customFormat="false" ht="15" hidden="false" customHeight="false" outlineLevel="0" collapsed="false">
      <c r="A2651" s="1" t="s">
        <v>878</v>
      </c>
      <c r="B2651" s="0" t="s">
        <v>126</v>
      </c>
      <c r="C2651" s="7" t="n">
        <f aca="false">Sens!$C$2649/Sens!$C$2650</f>
        <v>0.61858968060351</v>
      </c>
    </row>
    <row r="2652" customFormat="false" ht="17.15" hidden="false" customHeight="false" outlineLevel="0" collapsed="false">
      <c r="A2652" s="1" t="s">
        <v>946</v>
      </c>
      <c r="B2652" s="0" t="s">
        <v>95</v>
      </c>
      <c r="C2652" s="6" t="n">
        <f aca="false">Sens!$C$2650+Sens!E2634+oai_v</f>
        <v>1753.71471800692</v>
      </c>
    </row>
    <row r="2653" customFormat="false" ht="17.15" hidden="false" customHeight="false" outlineLevel="0" collapsed="false">
      <c r="A2653" s="0" t="s">
        <v>883</v>
      </c>
      <c r="B2653" s="0" t="s">
        <v>73</v>
      </c>
      <c r="C2653" s="5" t="n">
        <f aca="false">Sens!$C$2652/sh_dil26</f>
        <v>235.303195761025</v>
      </c>
    </row>
    <row r="2654" customFormat="false" ht="17.15" hidden="false" customHeight="false" outlineLevel="0" collapsed="false">
      <c r="A2654" s="0" t="s">
        <v>947</v>
      </c>
      <c r="B2654" s="0" t="s">
        <v>73</v>
      </c>
      <c r="C2654" s="5" t="n">
        <f aca="false">Sens!$C$2653*(1+wacc)^t_roll</f>
        <v>269.891488020721</v>
      </c>
    </row>
    <row r="2655" customFormat="false" ht="17.15" hidden="false" customHeight="false" outlineLevel="0" collapsed="false">
      <c r="A2655" s="1" t="s">
        <v>948</v>
      </c>
      <c r="B2655" s="0" t="s">
        <v>126</v>
      </c>
      <c r="F2655" s="7" t="n">
        <f aca="false">Sens!F2615/(Sens!F2566-Sens!F2522)</f>
        <v>0.0686864325746334</v>
      </c>
      <c r="G2655" s="7" t="n">
        <f aca="false">Sens!G2615/(Sens!G2566-Sens!G2522)</f>
        <v>0.066267001590801</v>
      </c>
      <c r="H2655" s="7" t="n">
        <f aca="false">Sens!H2615/(Sens!H2566-Sens!H2522)</f>
        <v>0.0650366246750144</v>
      </c>
      <c r="I2655" s="7" t="n">
        <f aca="false">Sens!I2615/(Sens!I2566-Sens!I2522)</f>
        <v>0.0648573271390164</v>
      </c>
      <c r="J2655" s="7" t="n">
        <f aca="false">Sens!J2615/(Sens!J2566-Sens!J2522)</f>
        <v>0.0655189837669657</v>
      </c>
      <c r="K2655" s="7" t="n">
        <f aca="false">Sens!K2615/(Sens!K2566-Sens!K2522)</f>
        <v>0.0667878921367872</v>
      </c>
    </row>
    <row r="2656" customFormat="false" ht="17.15" hidden="false" customHeight="false" outlineLevel="0" collapsed="false">
      <c r="A2656" s="0" t="s">
        <v>949</v>
      </c>
      <c r="B2656" s="0" t="s">
        <v>95</v>
      </c>
      <c r="F2656" s="6" t="n">
        <f aca="false">Sens!F2551*(al_m365+Sens!F2655)</f>
        <v>78.4986969872395</v>
      </c>
      <c r="G2656" s="6" t="n">
        <f aca="false">Sens!G2551*(al_m365+Sens!G2655)</f>
        <v>88.3098056906507</v>
      </c>
      <c r="H2656" s="6" t="n">
        <f aca="false">Sens!H2551*(al_m365+Sens!H2655)</f>
        <v>98.2773562913015</v>
      </c>
      <c r="I2656" s="6" t="n">
        <f aca="false">Sens!I2551*(al_m365+Sens!I2655)</f>
        <v>107.762753675846</v>
      </c>
      <c r="J2656" s="6" t="n">
        <f aca="false">Sens!J2551*(al_m365+Sens!J2655)</f>
        <v>116.587414331333</v>
      </c>
      <c r="K2656" s="6" t="n">
        <f aca="false">Sens!K2551*(al_m365+Sens!K2655)</f>
        <v>125.041394489287</v>
      </c>
    </row>
    <row r="2657" customFormat="false" ht="17.15" hidden="false" customHeight="false" outlineLevel="0" collapsed="false">
      <c r="A2657" s="0" t="s">
        <v>950</v>
      </c>
      <c r="B2657" s="0" t="s">
        <v>95</v>
      </c>
      <c r="F2657" s="6" t="n">
        <f aca="false">Sens!F2552*(al_lic+Sens!F2655)</f>
        <v>31.9877845991607</v>
      </c>
      <c r="G2657" s="6" t="n">
        <f aca="false">Sens!G2552*(al_lic+Sens!G2655)</f>
        <v>33.243749427372</v>
      </c>
      <c r="H2657" s="6" t="n">
        <f aca="false">Sens!H2552*(al_lic+Sens!H2655)</f>
        <v>34.4137793872059</v>
      </c>
      <c r="I2657" s="6" t="n">
        <f aca="false">Sens!I2552*(al_lic+Sens!I2655)</f>
        <v>35.4787240806467</v>
      </c>
      <c r="J2657" s="6" t="n">
        <f aca="false">Sens!J2552*(al_lic+Sens!J2655)</f>
        <v>36.4160307520991</v>
      </c>
      <c r="K2657" s="6" t="n">
        <f aca="false">Sens!K2552*(al_lic+Sens!K2655)</f>
        <v>37.2021461938459</v>
      </c>
    </row>
    <row r="2658" customFormat="false" ht="17.15" hidden="false" customHeight="false" outlineLevel="0" collapsed="false">
      <c r="A2658" s="0" t="s">
        <v>951</v>
      </c>
      <c r="B2658" s="0" t="s">
        <v>95</v>
      </c>
      <c r="F2658" s="6" t="n">
        <f aca="false">Sens!F2554*(al_ind+Sens!F2655)</f>
        <v>8.24280380456612</v>
      </c>
      <c r="G2658" s="6" t="n">
        <f aca="false">Sens!G2554*(al_ind+Sens!G2655)</f>
        <v>8.9512770630031</v>
      </c>
      <c r="H2658" s="6" t="n">
        <f aca="false">Sens!H2554*(al_ind+Sens!H2655)</f>
        <v>9.70041215792393</v>
      </c>
      <c r="I2658" s="6" t="n">
        <f aca="false">Sens!I2554*(al_ind+Sens!I2655)</f>
        <v>10.4864435829487</v>
      </c>
      <c r="J2658" s="6" t="n">
        <f aca="false">Sens!J2554*(al_ind+Sens!J2655)</f>
        <v>11.3015744981253</v>
      </c>
      <c r="K2658" s="6" t="n">
        <f aca="false">Sens!K2554*(al_ind+Sens!K2655)</f>
        <v>12.1346647729291</v>
      </c>
    </row>
    <row r="2659" customFormat="false" ht="17.15" hidden="false" customHeight="false" outlineLevel="0" collapsed="false">
      <c r="A2659" s="0" t="s">
        <v>952</v>
      </c>
      <c r="B2659" s="0" t="s">
        <v>95</v>
      </c>
      <c r="F2659" s="6" t="n">
        <f aca="false">Sens!F2556*(al_fro+Sens!F2655)</f>
        <v>3.24439651632051</v>
      </c>
      <c r="G2659" s="6" t="n">
        <f aca="false">Sens!G2556*(al_fro+Sens!G2655)</f>
        <v>3.43676117771401</v>
      </c>
      <c r="H2659" s="6" t="n">
        <f aca="false">Sens!H2556*(al_fro+Sens!H2655)</f>
        <v>3.65544732248501</v>
      </c>
      <c r="I2659" s="6" t="n">
        <f aca="false">Sens!I2556*(al_fro+Sens!I2655)</f>
        <v>3.90262750850979</v>
      </c>
      <c r="J2659" s="6" t="n">
        <f aca="false">Sens!J2556*(al_fro+Sens!J2655)</f>
        <v>4.17975656810881</v>
      </c>
      <c r="K2659" s="6" t="n">
        <f aca="false">Sens!K2556*(al_fro+Sens!K2655)</f>
        <v>4.48786536733111</v>
      </c>
    </row>
    <row r="2660" customFormat="false" ht="17.15" hidden="false" customHeight="false" outlineLevel="0" collapsed="false">
      <c r="A2660" s="0" t="s">
        <v>953</v>
      </c>
      <c r="B2660" s="0" t="s">
        <v>95</v>
      </c>
      <c r="F2660" s="6" t="n">
        <f aca="false">Sens!F2559*(al_srch+Sens!F2655)</f>
        <v>10.1799817910968</v>
      </c>
      <c r="G2660" s="6" t="n">
        <f aca="false">Sens!G2559*(al_srch+Sens!G2655)</f>
        <v>11.1592643133754</v>
      </c>
      <c r="H2660" s="6" t="n">
        <f aca="false">Sens!H2559*(al_srch+Sens!H2655)</f>
        <v>12.1792194533398</v>
      </c>
      <c r="I2660" s="6" t="n">
        <f aca="false">Sens!I2559*(al_srch+Sens!I2655)</f>
        <v>13.2288881134521</v>
      </c>
      <c r="J2660" s="6" t="n">
        <f aca="false">Sens!J2559*(al_srch+Sens!J2655)</f>
        <v>14.2913670918582</v>
      </c>
      <c r="K2660" s="6" t="n">
        <f aca="false">Sens!K2559*(al_srch+Sens!K2655)</f>
        <v>15.3448485284362</v>
      </c>
    </row>
    <row r="2661" customFormat="false" ht="17.15" hidden="false" customHeight="false" outlineLevel="0" collapsed="false">
      <c r="A2661" s="0" t="s">
        <v>954</v>
      </c>
      <c r="B2661" s="0" t="s">
        <v>95</v>
      </c>
      <c r="F2661" s="6" t="n">
        <f aca="false">Sens!F2528</f>
        <v>25.3738188062213</v>
      </c>
      <c r="G2661" s="6" t="n">
        <f aca="false">Sens!G2528</f>
        <v>26.3082414433501</v>
      </c>
      <c r="H2661" s="6" t="n">
        <f aca="false">Sens!H2528</f>
        <v>23.9464578566021</v>
      </c>
      <c r="I2661" s="6" t="n">
        <f aca="false">Sens!I2528</f>
        <v>23.9464578566021</v>
      </c>
      <c r="J2661" s="6" t="n">
        <f aca="false">Sens!J2528</f>
        <v>23.9464578566021</v>
      </c>
      <c r="K2661" s="6" t="n">
        <f aca="false">Sens!K2528</f>
        <v>23.9464578566021</v>
      </c>
    </row>
    <row r="2662" customFormat="false" ht="17.15" hidden="false" customHeight="false" outlineLevel="0" collapsed="false">
      <c r="A2662" s="0" t="s">
        <v>955</v>
      </c>
      <c r="B2662" s="0" t="s">
        <v>95</v>
      </c>
      <c r="F2662" s="6" t="n">
        <f aca="false">Sens!F2588+Sens!F2539+Sens!F2655*(Sens!F2558-Sens!F2522)</f>
        <v>198.127569876216</v>
      </c>
      <c r="G2662" s="6" t="n">
        <f aca="false">Sens!G2588+Sens!G2539+Sens!G2655*(Sens!G2558-Sens!G2522)</f>
        <v>220.783756455993</v>
      </c>
      <c r="H2662" s="6" t="n">
        <f aca="false">Sens!H2588+Sens!H2539+Sens!H2655*(Sens!H2558-Sens!H2522)</f>
        <v>240.993063030727</v>
      </c>
      <c r="I2662" s="6" t="n">
        <f aca="false">Sens!I2588+Sens!I2539+Sens!I2655*(Sens!I2558-Sens!I2522)</f>
        <v>263.269116774668</v>
      </c>
      <c r="J2662" s="6" t="n">
        <f aca="false">Sens!J2588+Sens!J2539+Sens!J2655*(Sens!J2558-Sens!J2522)</f>
        <v>284.028411632139</v>
      </c>
      <c r="K2662" s="6" t="n">
        <f aca="false">Sens!K2588+Sens!K2539+Sens!K2655*(Sens!K2558-Sens!K2522)</f>
        <v>302.852600753843</v>
      </c>
    </row>
    <row r="2663" customFormat="false" ht="17.15" hidden="false" customHeight="false" outlineLevel="0" collapsed="false">
      <c r="A2663" s="0" t="s">
        <v>956</v>
      </c>
      <c r="B2663" s="0" t="s">
        <v>95</v>
      </c>
      <c r="F2663" s="6" t="n">
        <f aca="false">Sens!F2662-Sens!F2656-Sens!F2657-Sens!F2658-Sens!F2659-Sens!F2661</f>
        <v>50.7800691627076</v>
      </c>
      <c r="G2663" s="6" t="n">
        <f aca="false">Sens!G2662-Sens!G2656-Sens!G2657-Sens!G2658-Sens!G2659-Sens!G2661</f>
        <v>60.5339216539034</v>
      </c>
      <c r="H2663" s="6" t="n">
        <f aca="false">Sens!H2662-Sens!H2656-Sens!H2657-Sens!H2658-Sens!H2659-Sens!H2661</f>
        <v>70.999610015209</v>
      </c>
      <c r="I2663" s="6" t="n">
        <f aca="false">Sens!I2662-Sens!I2656-Sens!I2657-Sens!I2658-Sens!I2659-Sens!I2661</f>
        <v>81.6921100701141</v>
      </c>
      <c r="J2663" s="6" t="n">
        <f aca="false">Sens!J2662-Sens!J2656-Sens!J2657-Sens!J2658-Sens!J2659-Sens!J2661</f>
        <v>91.59717762587</v>
      </c>
      <c r="K2663" s="6" t="n">
        <f aca="false">Sens!K2662-Sens!K2656-Sens!K2657-Sens!K2658-Sens!K2659-Sens!K2661</f>
        <v>100.040072073848</v>
      </c>
    </row>
    <row r="2664" customFormat="false" ht="17.15" hidden="false" customHeight="false" outlineLevel="0" collapsed="false">
      <c r="A2664" s="0" t="s">
        <v>957</v>
      </c>
      <c r="B2664" s="0" t="s">
        <v>95</v>
      </c>
      <c r="F2664" s="6" t="n">
        <f aca="false">Sens!F2590+Sens!F2655*Sens!F2565</f>
        <v>23.7697943901369</v>
      </c>
      <c r="G2664" s="6" t="n">
        <f aca="false">Sens!G2590+Sens!G2655*Sens!G2565</f>
        <v>24.331261048114</v>
      </c>
      <c r="H2664" s="6" t="n">
        <f aca="false">Sens!H2590+Sens!H2655*Sens!H2565</f>
        <v>25.1342423406419</v>
      </c>
      <c r="I2664" s="6" t="n">
        <f aca="false">Sens!I2590+Sens!I2655*Sens!I2565</f>
        <v>26.1495446421549</v>
      </c>
      <c r="J2664" s="6" t="n">
        <f aca="false">Sens!J2590+Sens!J2655*Sens!J2565</f>
        <v>27.3481502080811</v>
      </c>
      <c r="K2664" s="6" t="n">
        <f aca="false">Sens!K2590+Sens!K2655*Sens!K2565</f>
        <v>28.7026027133478</v>
      </c>
    </row>
    <row r="2665" customFormat="false" ht="17.15" hidden="false" customHeight="false" outlineLevel="0" collapsed="false">
      <c r="A2665" s="0" t="s">
        <v>958</v>
      </c>
      <c r="B2665" s="0" t="s">
        <v>95</v>
      </c>
      <c r="F2665" s="6" t="n">
        <f aca="false">(Sens!F2664-Sens!F2660)*Sens!F2561/(Sens!F2561+Sens!F2563)</f>
        <v>7.44980290393703</v>
      </c>
      <c r="G2665" s="6" t="n">
        <f aca="false">(Sens!G2664-Sens!G2660)*Sens!G2561/(Sens!G2561+Sens!G2563)</f>
        <v>7.09201461396229</v>
      </c>
      <c r="H2665" s="6" t="n">
        <f aca="false">(Sens!H2664-Sens!H2660)*Sens!H2561/(Sens!H2561+Sens!H2563)</f>
        <v>6.8809692168288</v>
      </c>
      <c r="I2665" s="6" t="n">
        <f aca="false">(Sens!I2664-Sens!I2660)*Sens!I2561/(Sens!I2561+Sens!I2563)</f>
        <v>6.80062182771623</v>
      </c>
      <c r="J2665" s="6" t="n">
        <f aca="false">(Sens!J2664-Sens!J2660)*Sens!J2561/(Sens!J2561+Sens!J2563)</f>
        <v>6.84119415814997</v>
      </c>
      <c r="K2665" s="6" t="n">
        <f aca="false">(Sens!K2664-Sens!K2660)*Sens!K2561/(Sens!K2561+Sens!K2563)</f>
        <v>6.99889008512965</v>
      </c>
    </row>
    <row r="2666" customFormat="false" ht="17.15" hidden="false" customHeight="false" outlineLevel="0" collapsed="false">
      <c r="A2666" s="0" t="s">
        <v>959</v>
      </c>
      <c r="B2666" s="0" t="s">
        <v>95</v>
      </c>
      <c r="F2666" s="6" t="n">
        <f aca="false">Sens!F2664-Sens!F2660-Sens!F2665</f>
        <v>6.14000969510312</v>
      </c>
      <c r="G2666" s="6" t="n">
        <f aca="false">Sens!G2664-Sens!G2660-Sens!G2665</f>
        <v>6.07998212077627</v>
      </c>
      <c r="H2666" s="6" t="n">
        <f aca="false">Sens!H2664-Sens!H2660-Sens!H2665</f>
        <v>6.07405367047327</v>
      </c>
      <c r="I2666" s="6" t="n">
        <f aca="false">Sens!I2664-Sens!I2660-Sens!I2665</f>
        <v>6.12003470098649</v>
      </c>
      <c r="J2666" s="6" t="n">
        <f aca="false">Sens!J2664-Sens!J2660-Sens!J2665</f>
        <v>6.21558895807294</v>
      </c>
      <c r="K2666" s="6" t="n">
        <f aca="false">Sens!K2664-Sens!K2660-Sens!K2665</f>
        <v>6.35886409978198</v>
      </c>
    </row>
    <row r="2667" customFormat="false" ht="17.15" hidden="false" customHeight="false" outlineLevel="0" collapsed="false">
      <c r="A2667" s="1" t="s">
        <v>960</v>
      </c>
      <c r="B2667" s="0" t="s">
        <v>95</v>
      </c>
      <c r="C2667" s="6" t="n">
        <f aca="false">(w_ntm28*Sens!G2661+(1-w_ntm28)*Sens!H2661)*m_ai*1</f>
        <v>153.268235565806</v>
      </c>
    </row>
    <row r="2668" customFormat="false" ht="17.15" hidden="false" customHeight="false" outlineLevel="0" collapsed="false">
      <c r="A2668" s="1" t="s">
        <v>961</v>
      </c>
      <c r="B2668" s="0" t="s">
        <v>95</v>
      </c>
      <c r="C2668" s="6" t="n">
        <f aca="false">(w_ntm28*Sens!G2663+(1-w_ntm28)*Sens!H2663)*m_cloud*1</f>
        <v>883.33777246813</v>
      </c>
    </row>
    <row r="2669" customFormat="false" ht="17.15" hidden="false" customHeight="false" outlineLevel="0" collapsed="false">
      <c r="A2669" s="1" t="s">
        <v>962</v>
      </c>
      <c r="B2669" s="0" t="s">
        <v>95</v>
      </c>
      <c r="C2669" s="6" t="n">
        <f aca="false">(w_ntm28*Sens!G2656+(1-w_ntm28)*Sens!H2656)*m_sw*1</f>
        <v>988.547672652094</v>
      </c>
    </row>
    <row r="2670" customFormat="false" ht="17.15" hidden="false" customHeight="false" outlineLevel="0" collapsed="false">
      <c r="A2670" s="1" t="s">
        <v>963</v>
      </c>
      <c r="B2670" s="0" t="s">
        <v>95</v>
      </c>
      <c r="C2670" s="6" t="n">
        <f aca="false">(w_ntm28*Sens!G2657+(1-w_ntm28)*Sens!H2657)*m_sw*1</f>
        <v>363.117661434282</v>
      </c>
    </row>
    <row r="2671" customFormat="false" ht="17.15" hidden="false" customHeight="false" outlineLevel="0" collapsed="false">
      <c r="A2671" s="1" t="s">
        <v>964</v>
      </c>
      <c r="B2671" s="0" t="s">
        <v>95</v>
      </c>
      <c r="C2671" s="6" t="n">
        <f aca="false">(w_ntm28*Sens!G2658+(1-w_ntm28)*Sens!H2658)*m_sw*1</f>
        <v>99.2894025954118</v>
      </c>
    </row>
    <row r="2672" customFormat="false" ht="17.15" hidden="false" customHeight="false" outlineLevel="0" collapsed="false">
      <c r="A2672" s="1" t="s">
        <v>965</v>
      </c>
      <c r="B2672" s="0" t="s">
        <v>95</v>
      </c>
      <c r="C2672" s="6" t="n">
        <f aca="false">(w_ntm28*Sens!G2659+(1-w_ntm28)*Sens!H2659)*m_sw*1</f>
        <v>37.8805648916295</v>
      </c>
    </row>
    <row r="2673" customFormat="false" ht="17.15" hidden="false" customHeight="false" outlineLevel="0" collapsed="false">
      <c r="A2673" s="1" t="s">
        <v>966</v>
      </c>
      <c r="B2673" s="0" t="s">
        <v>95</v>
      </c>
      <c r="C2673" s="6" t="n">
        <f aca="false">(w_ntm28*Sens!G2660+(1-w_ntm28)*Sens!H2660)*m_ads*1</f>
        <v>104.664819473916</v>
      </c>
    </row>
    <row r="2674" customFormat="false" ht="17.15" hidden="false" customHeight="false" outlineLevel="0" collapsed="false">
      <c r="A2674" s="1" t="s">
        <v>967</v>
      </c>
      <c r="B2674" s="0" t="s">
        <v>95</v>
      </c>
      <c r="C2674" s="6" t="n">
        <f aca="false">(w_ntm28*Sens!G2665+(1-w_ntm28)*Sens!H2665)*m_game*1</f>
        <v>88.7104201985522</v>
      </c>
    </row>
    <row r="2675" customFormat="false" ht="17.15" hidden="false" customHeight="false" outlineLevel="0" collapsed="false">
      <c r="A2675" s="1" t="s">
        <v>968</v>
      </c>
      <c r="B2675" s="0" t="s">
        <v>95</v>
      </c>
      <c r="C2675" s="6" t="n">
        <f aca="false">(w_ntm28*Sens!G2666+(1-w_ntm28)*Sens!H2666)*m_pc*1</f>
        <v>87.9496081595385</v>
      </c>
    </row>
    <row r="2676" customFormat="false" ht="17.15" hidden="false" customHeight="false" outlineLevel="0" collapsed="false">
      <c r="A2676" s="1" t="s">
        <v>969</v>
      </c>
      <c r="B2676" s="0" t="s">
        <v>95</v>
      </c>
      <c r="C2676" s="6" t="n">
        <f aca="false">Sens!$C$2667+Sens!$C$2668+Sens!$C$2669+Sens!$C$2670+Sens!$C$2671+Sens!$C$2672+Sens!$C$2673+Sens!$C$2674+Sens!$C$2675</f>
        <v>2806.76615743936</v>
      </c>
    </row>
    <row r="2677" customFormat="false" ht="17.15" hidden="false" customHeight="false" outlineLevel="0" collapsed="false">
      <c r="A2677" s="1" t="s">
        <v>903</v>
      </c>
      <c r="B2677" s="0" t="s">
        <v>95</v>
      </c>
      <c r="C2677" s="6" t="n">
        <f aca="false">Sens!F2634+oai_v-Sens!F2623</f>
        <v>100.215109809582</v>
      </c>
      <c r="L2677" s="1" t="s">
        <v>970</v>
      </c>
    </row>
    <row r="2678" customFormat="false" ht="15" hidden="false" customHeight="false" outlineLevel="0" collapsed="false">
      <c r="A2678" s="1" t="s">
        <v>904</v>
      </c>
      <c r="B2678" s="0" t="s">
        <v>73</v>
      </c>
      <c r="C2678" s="5" t="n">
        <f aca="false">(Sens!$C$2676+Sens!$C$2677)/Sens!F2636</f>
        <v>389.049955466936</v>
      </c>
    </row>
    <row r="2679" customFormat="false" ht="17.15" hidden="false" customHeight="false" outlineLevel="0" collapsed="false">
      <c r="A2679" s="1" t="s">
        <v>971</v>
      </c>
      <c r="B2679" s="0" t="s">
        <v>73</v>
      </c>
      <c r="C2679" s="5" t="n">
        <f aca="false">w_dcf*Sens!$C$2654+(1-w_dcf)*Sens!$C$2678</f>
        <v>329.470721743828</v>
      </c>
    </row>
    <row r="2680" customFormat="false" ht="17.15" hidden="false" customHeight="false" outlineLevel="0" collapsed="false">
      <c r="A2680" s="3" t="s">
        <v>1189</v>
      </c>
    </row>
    <row r="2681" customFormat="false" ht="15" hidden="false" customHeight="false" outlineLevel="0" collapsed="false">
      <c r="A2681" s="4" t="s">
        <v>43</v>
      </c>
      <c r="B2681" s="4" t="s">
        <v>63</v>
      </c>
      <c r="C2681" s="19" t="s">
        <v>710</v>
      </c>
      <c r="D2681" s="19" t="s">
        <v>711</v>
      </c>
      <c r="E2681" s="19" t="s">
        <v>712</v>
      </c>
      <c r="F2681" s="19" t="s">
        <v>713</v>
      </c>
      <c r="G2681" s="19" t="s">
        <v>714</v>
      </c>
      <c r="H2681" s="19" t="s">
        <v>715</v>
      </c>
      <c r="I2681" s="19" t="s">
        <v>716</v>
      </c>
      <c r="J2681" s="19" t="s">
        <v>717</v>
      </c>
      <c r="K2681" s="19" t="s">
        <v>718</v>
      </c>
      <c r="L2681" s="4" t="s">
        <v>47</v>
      </c>
    </row>
    <row r="2682" customFormat="false" ht="17.15" hidden="false" customHeight="false" outlineLevel="0" collapsed="false">
      <c r="A2682" s="1" t="s">
        <v>719</v>
      </c>
      <c r="B2682" s="0" t="s">
        <v>340</v>
      </c>
      <c r="C2682" s="27" t="n">
        <f aca="false">mw_ext_24</f>
        <v>640</v>
      </c>
      <c r="D2682" s="27" t="n">
        <f aca="false">mw_ext_25</f>
        <v>1630</v>
      </c>
      <c r="E2682" s="27" t="n">
        <f aca="false">mw_ext_26</f>
        <v>3250</v>
      </c>
      <c r="F2682" s="27" t="n">
        <f aca="false">MIN(1000000000,Sens!E2682+pace*1.2)</f>
        <v>6282.64</v>
      </c>
      <c r="G2682" s="27" t="n">
        <f aca="false">MIN(1000000000,Sens!F2682+pace*1.2)</f>
        <v>9315.28</v>
      </c>
      <c r="H2682" s="27" t="n">
        <f aca="false">MIN(1000000000,Sens!G2682+pace*1.2)</f>
        <v>12347.92</v>
      </c>
      <c r="I2682" s="27" t="n">
        <f aca="false">MIN(1000000000,Sens!H2682+pace*1.2)</f>
        <v>15380.56</v>
      </c>
      <c r="J2682" s="27" t="n">
        <f aca="false">MIN(1000000000,Sens!I2682+pace*1.2)</f>
        <v>18413.2</v>
      </c>
      <c r="K2682" s="27" t="n">
        <f aca="false">MIN(1000000000,Sens!J2682+pace*1.2)</f>
        <v>21445.84</v>
      </c>
      <c r="L2682" s="11" t="s">
        <v>720</v>
      </c>
    </row>
    <row r="2683" customFormat="false" ht="17.15" hidden="false" customHeight="false" outlineLevel="0" collapsed="false">
      <c r="A2683" s="1" t="s">
        <v>721</v>
      </c>
      <c r="B2683" s="0" t="s">
        <v>340</v>
      </c>
      <c r="C2683" s="27" t="n">
        <f aca="false">rent_ext_24</f>
        <v>150</v>
      </c>
      <c r="D2683" s="27" t="n">
        <f aca="false">rent_ext_25</f>
        <v>400</v>
      </c>
      <c r="E2683" s="27" t="n">
        <f aca="false">rent_ext_26</f>
        <v>550</v>
      </c>
      <c r="F2683" s="27" t="n">
        <f aca="false">rent_ext_f</f>
        <v>756</v>
      </c>
      <c r="G2683" s="27" t="n">
        <f aca="false">rent_ext_f</f>
        <v>756</v>
      </c>
      <c r="H2683" s="27" t="n">
        <f aca="false">rent_ext_f</f>
        <v>756</v>
      </c>
      <c r="I2683" s="27" t="n">
        <f aca="false">rent_ext_f</f>
        <v>756</v>
      </c>
      <c r="J2683" s="27" t="n">
        <f aca="false">rent_ext_f</f>
        <v>756</v>
      </c>
      <c r="K2683" s="27" t="n">
        <f aca="false">rent_ext_f</f>
        <v>756</v>
      </c>
      <c r="L2683" s="1" t="s">
        <v>722</v>
      </c>
    </row>
    <row r="2684" customFormat="false" ht="17.15" hidden="false" customHeight="false" outlineLevel="0" collapsed="false">
      <c r="A2684" s="1" t="s">
        <v>723</v>
      </c>
      <c r="B2684" s="0" t="s">
        <v>340</v>
      </c>
      <c r="C2684" s="27" t="n">
        <f aca="false">Sens!C2682-Sens!C2683</f>
        <v>490</v>
      </c>
      <c r="D2684" s="27" t="n">
        <f aca="false">Sens!D2682-Sens!D2683</f>
        <v>1230</v>
      </c>
      <c r="E2684" s="27" t="n">
        <f aca="false">Sens!E2682-Sens!E2683</f>
        <v>2700</v>
      </c>
      <c r="F2684" s="27" t="n">
        <f aca="false">Sens!F2682-Sens!F2683</f>
        <v>5526.64</v>
      </c>
      <c r="G2684" s="27" t="n">
        <f aca="false">Sens!G2682-Sens!G2683</f>
        <v>8559.28</v>
      </c>
      <c r="H2684" s="27" t="n">
        <f aca="false">Sens!H2682-Sens!H2683</f>
        <v>11591.92</v>
      </c>
      <c r="I2684" s="27" t="n">
        <f aca="false">Sens!I2682-Sens!I2683</f>
        <v>14624.56</v>
      </c>
      <c r="J2684" s="27" t="n">
        <f aca="false">Sens!J2682-Sens!J2683</f>
        <v>17657.2</v>
      </c>
      <c r="K2684" s="27" t="n">
        <f aca="false">Sens!K2682-Sens!K2683</f>
        <v>20689.84</v>
      </c>
    </row>
    <row r="2685" customFormat="false" ht="17.15" hidden="false" customHeight="false" outlineLevel="0" collapsed="false">
      <c r="A2685" s="1" t="s">
        <v>724</v>
      </c>
      <c r="B2685" s="0" t="s">
        <v>340</v>
      </c>
      <c r="C2685" s="27" t="n">
        <f aca="false">Sens!C2684/ext_sh</f>
        <v>816.666666666667</v>
      </c>
      <c r="D2685" s="27" t="n">
        <f aca="false">Sens!D2684/ext_sh</f>
        <v>2050</v>
      </c>
      <c r="E2685" s="27" t="n">
        <f aca="false">Sens!E2684/ext_sh</f>
        <v>4500</v>
      </c>
      <c r="F2685" s="27" t="n">
        <f aca="false">Sens!F2684/ext_sh</f>
        <v>9211.06666666667</v>
      </c>
      <c r="G2685" s="27" t="n">
        <f aca="false">Sens!G2684/ext_sh</f>
        <v>14265.4666666667</v>
      </c>
      <c r="H2685" s="27" t="n">
        <f aca="false">Sens!H2684/ext_sh</f>
        <v>19319.8666666667</v>
      </c>
      <c r="I2685" s="27" t="n">
        <f aca="false">Sens!I2684/ext_sh</f>
        <v>24374.2666666667</v>
      </c>
      <c r="J2685" s="27" t="n">
        <f aca="false">Sens!J2684/ext_sh</f>
        <v>29428.6666666667</v>
      </c>
      <c r="K2685" s="27" t="n">
        <f aca="false">Sens!K2684/ext_sh</f>
        <v>34483.0666666667</v>
      </c>
      <c r="L2685" s="1" t="s">
        <v>725</v>
      </c>
    </row>
    <row r="2686" customFormat="false" ht="17.15" hidden="false" customHeight="false" outlineLevel="0" collapsed="false">
      <c r="A2686" s="1" t="s">
        <v>726</v>
      </c>
      <c r="B2686" s="0" t="s">
        <v>340</v>
      </c>
      <c r="C2686" s="27" t="n">
        <f aca="false">Sens!C2685-Sens!C2684</f>
        <v>326.666666666667</v>
      </c>
      <c r="D2686" s="27" t="n">
        <f aca="false">Sens!D2685-Sens!D2684</f>
        <v>820</v>
      </c>
      <c r="E2686" s="27" t="n">
        <f aca="false">Sens!E2685-Sens!E2684</f>
        <v>1800</v>
      </c>
      <c r="F2686" s="27" t="n">
        <f aca="false">Sens!F2685-Sens!F2684</f>
        <v>3684.42666666667</v>
      </c>
      <c r="G2686" s="27" t="n">
        <f aca="false">Sens!G2685-Sens!G2684</f>
        <v>5706.18666666667</v>
      </c>
      <c r="H2686" s="27" t="n">
        <f aca="false">Sens!H2685-Sens!H2684</f>
        <v>7727.94666666667</v>
      </c>
      <c r="I2686" s="27" t="n">
        <f aca="false">Sens!I2685-Sens!I2684</f>
        <v>9749.70666666667</v>
      </c>
      <c r="J2686" s="27" t="n">
        <f aca="false">Sens!J2685-Sens!J2684</f>
        <v>11771.4666666667</v>
      </c>
      <c r="K2686" s="27" t="n">
        <f aca="false">Sens!K2685-Sens!K2684</f>
        <v>13793.2266666667</v>
      </c>
    </row>
    <row r="2687" customFormat="false" ht="17.15" hidden="false" customHeight="false" outlineLevel="0" collapsed="false">
      <c r="A2687" s="1" t="s">
        <v>727</v>
      </c>
      <c r="B2687" s="0" t="s">
        <v>340</v>
      </c>
      <c r="C2687" s="27" t="n">
        <f aca="false">Sens!C2685</f>
        <v>816.666666666667</v>
      </c>
      <c r="D2687" s="27" t="n">
        <f aca="false">Sens!D2685-Sens!C2685</f>
        <v>1233.33333333333</v>
      </c>
      <c r="E2687" s="27" t="n">
        <f aca="false">Sens!E2685-Sens!D2685</f>
        <v>2450</v>
      </c>
      <c r="F2687" s="27" t="n">
        <f aca="false">Sens!F2685-Sens!E2685</f>
        <v>4711.06666666667</v>
      </c>
      <c r="G2687" s="27" t="n">
        <f aca="false">Sens!G2685-Sens!F2685</f>
        <v>5054.4</v>
      </c>
      <c r="H2687" s="27" t="n">
        <f aca="false">Sens!H2685-Sens!G2685</f>
        <v>5054.4</v>
      </c>
      <c r="I2687" s="27" t="n">
        <f aca="false">Sens!I2685-Sens!H2685</f>
        <v>5054.4</v>
      </c>
      <c r="J2687" s="27" t="n">
        <f aca="false">Sens!J2685-Sens!I2685</f>
        <v>5054.4</v>
      </c>
      <c r="K2687" s="27" t="n">
        <f aca="false">Sens!K2685-Sens!J2685</f>
        <v>5054.4</v>
      </c>
    </row>
    <row r="2688" customFormat="false" ht="17.15" hidden="false" customHeight="false" outlineLevel="0" collapsed="false">
      <c r="A2688" s="1" t="s">
        <v>728</v>
      </c>
      <c r="B2688" s="0" t="s">
        <v>340</v>
      </c>
      <c r="D2688" s="27" t="n">
        <f aca="false">Sens!D2682-Sens!C2682</f>
        <v>990</v>
      </c>
      <c r="E2688" s="27" t="n">
        <f aca="false">Sens!E2682-Sens!D2682</f>
        <v>1620</v>
      </c>
      <c r="F2688" s="27" t="n">
        <f aca="false">Sens!F2682-Sens!E2682</f>
        <v>3032.64</v>
      </c>
      <c r="G2688" s="27" t="n">
        <f aca="false">Sens!G2682-Sens!F2682</f>
        <v>3032.64</v>
      </c>
      <c r="H2688" s="27" t="n">
        <f aca="false">Sens!H2682-Sens!G2682</f>
        <v>3032.64</v>
      </c>
      <c r="I2688" s="27" t="n">
        <f aca="false">Sens!I2682-Sens!H2682</f>
        <v>3032.64</v>
      </c>
      <c r="J2688" s="27" t="n">
        <f aca="false">Sens!J2682-Sens!I2682</f>
        <v>3032.64</v>
      </c>
      <c r="K2688" s="27" t="n">
        <f aca="false">Sens!K2682-Sens!J2682</f>
        <v>3032.64</v>
      </c>
    </row>
    <row r="2689" customFormat="false" ht="17.15" hidden="false" customHeight="false" outlineLevel="0" collapsed="false">
      <c r="A2689" s="1" t="s">
        <v>729</v>
      </c>
      <c r="B2689" s="0" t="s">
        <v>340</v>
      </c>
      <c r="C2689" s="27" t="n">
        <f aca="false">mix_h*Sens!C2682</f>
        <v>128</v>
      </c>
      <c r="D2689" s="27" t="n">
        <f aca="false">mix_h*Sens!D2682</f>
        <v>326</v>
      </c>
      <c r="E2689" s="27" t="n">
        <f aca="false">mix_h*Sens!E2682</f>
        <v>650</v>
      </c>
      <c r="F2689" s="27" t="n">
        <f aca="false">Sens!E2689</f>
        <v>650</v>
      </c>
      <c r="G2689" s="27" t="n">
        <f aca="false">Sens!F2689</f>
        <v>650</v>
      </c>
      <c r="H2689" s="27" t="n">
        <f aca="false">Sens!G2689</f>
        <v>650</v>
      </c>
      <c r="I2689" s="27" t="n">
        <f aca="false">Sens!H2689</f>
        <v>650</v>
      </c>
      <c r="J2689" s="27" t="n">
        <f aca="false">Sens!I2689</f>
        <v>650</v>
      </c>
      <c r="K2689" s="27" t="n">
        <f aca="false">Sens!J2689</f>
        <v>650</v>
      </c>
    </row>
    <row r="2690" customFormat="false" ht="17.15" hidden="false" customHeight="false" outlineLevel="0" collapsed="false">
      <c r="A2690" s="1" t="s">
        <v>730</v>
      </c>
      <c r="B2690" s="0" t="s">
        <v>340</v>
      </c>
      <c r="C2690" s="27" t="n">
        <f aca="false">mix_g2*Sens!C2682</f>
        <v>288</v>
      </c>
      <c r="D2690" s="27" t="n">
        <f aca="false">mix_g2*Sens!D2682</f>
        <v>733.5</v>
      </c>
      <c r="E2690" s="27" t="n">
        <f aca="false">mix_g2*Sens!E2682</f>
        <v>1462.5</v>
      </c>
      <c r="F2690" s="27" t="n">
        <f aca="false">Sens!E2690</f>
        <v>1462.5</v>
      </c>
      <c r="G2690" s="27" t="n">
        <f aca="false">Sens!F2690</f>
        <v>1462.5</v>
      </c>
      <c r="H2690" s="27" t="n">
        <f aca="false">Sens!G2690</f>
        <v>1462.5</v>
      </c>
      <c r="I2690" s="27" t="n">
        <f aca="false">Sens!H2690</f>
        <v>1462.5</v>
      </c>
      <c r="J2690" s="27" t="n">
        <f aca="false">Sens!I2690</f>
        <v>1462.5</v>
      </c>
      <c r="K2690" s="27" t="n">
        <f aca="false">Sens!J2690</f>
        <v>1462.5</v>
      </c>
    </row>
    <row r="2691" customFormat="false" ht="17.15" hidden="false" customHeight="false" outlineLevel="0" collapsed="false">
      <c r="A2691" s="1" t="s">
        <v>731</v>
      </c>
      <c r="B2691" s="0" t="s">
        <v>340</v>
      </c>
      <c r="C2691" s="27" t="n">
        <f aca="false">mix_g3*Sens!C2682</f>
        <v>224</v>
      </c>
      <c r="D2691" s="27" t="n">
        <f aca="false">mix_g3*Sens!D2682</f>
        <v>570.5</v>
      </c>
      <c r="E2691" s="27" t="n">
        <f aca="false">mix_g3*Sens!E2682</f>
        <v>1137.5</v>
      </c>
      <c r="F2691" s="27" t="n">
        <f aca="false">Sens!E2691+Sens!F2688*a_g3_27</f>
        <v>3260.348</v>
      </c>
      <c r="G2691" s="27" t="n">
        <f aca="false">Sens!F2691+Sens!G2688*a_g3_28</f>
        <v>4170.14</v>
      </c>
      <c r="H2691" s="27" t="n">
        <f aca="false">Sens!G2691+Sens!H2688*a_g3_29</f>
        <v>4473.404</v>
      </c>
      <c r="I2691" s="27" t="n">
        <f aca="false">Sens!H2691+Sens!I2688*a_g3_29</f>
        <v>4776.668</v>
      </c>
      <c r="J2691" s="27" t="n">
        <f aca="false">Sens!I2691+Sens!J2688*a_g3_29</f>
        <v>5079.932</v>
      </c>
      <c r="K2691" s="27" t="n">
        <f aca="false">Sens!J2691+Sens!K2688*a_g3_29</f>
        <v>5383.196</v>
      </c>
    </row>
    <row r="2692" customFormat="false" ht="17.15" hidden="false" customHeight="false" outlineLevel="0" collapsed="false">
      <c r="A2692" s="1" t="s">
        <v>732</v>
      </c>
      <c r="B2692" s="0" t="s">
        <v>340</v>
      </c>
      <c r="C2692" s="27" t="n">
        <f aca="false">0</f>
        <v>0</v>
      </c>
      <c r="D2692" s="27" t="n">
        <f aca="false">0</f>
        <v>0</v>
      </c>
      <c r="E2692" s="27" t="n">
        <f aca="false">0</f>
        <v>0</v>
      </c>
      <c r="F2692" s="27" t="n">
        <f aca="false">Sens!E2692+Sens!F2688*(1-a_g3_27)</f>
        <v>909.792</v>
      </c>
      <c r="G2692" s="27" t="n">
        <f aca="false">Sens!F2692+Sens!G2688*(1-a_g3_28)</f>
        <v>3032.64</v>
      </c>
      <c r="H2692" s="27" t="n">
        <f aca="false">Sens!G2692+Sens!H2688*(1-a_g3_29)</f>
        <v>5762.016</v>
      </c>
      <c r="I2692" s="27" t="n">
        <f aca="false">Sens!H2692+Sens!I2688*(1-a_g3_29)</f>
        <v>8491.392</v>
      </c>
      <c r="J2692" s="27" t="n">
        <f aca="false">Sens!I2692+Sens!J2688*(1-a_g3_29)</f>
        <v>11220.768</v>
      </c>
      <c r="K2692" s="27" t="n">
        <f aca="false">Sens!J2692+Sens!K2688*(1-a_g3_29)</f>
        <v>13950.144</v>
      </c>
    </row>
    <row r="2693" customFormat="false" ht="17.15" hidden="false" customHeight="false" outlineLevel="0" collapsed="false">
      <c r="A2693" s="1" t="s">
        <v>733</v>
      </c>
      <c r="B2693" s="0" t="s">
        <v>291</v>
      </c>
      <c r="C2693" s="18" t="n">
        <f aca="false">(Sens!C2689*tk_hold_h100+Sens!C2690*tk_hold_gb200+Sens!C2691*tk_hold_gb300+Sens!C2692*tk_hold_vr200)/Sens!C2682</f>
        <v>9.7235358126469</v>
      </c>
      <c r="D2693" s="18" t="n">
        <f aca="false">(Sens!D2689*tk_hold_h100+Sens!D2690*tk_hold_gb200+Sens!D2691*tk_hold_gb300+Sens!D2692*tk_hold_vr200)/Sens!D2682</f>
        <v>9.7235358126469</v>
      </c>
      <c r="E2693" s="18" t="n">
        <f aca="false">(Sens!E2689*tk_hold_h100+Sens!E2690*tk_hold_gb200+Sens!E2691*tk_hold_gb300+Sens!E2692*tk_hold_vr200)/Sens!E2682</f>
        <v>9.7235358126469</v>
      </c>
      <c r="F2693" s="18" t="n">
        <f aca="false">(Sens!F2689*tk_hold_h100+Sens!F2690*tk_hold_gb200+Sens!F2691*tk_hold_gb300+Sens!F2692*tk_hold_vr200)/Sens!F2682</f>
        <v>10.4787673542193</v>
      </c>
      <c r="G2693" s="18" t="n">
        <f aca="false">(Sens!G2689*tk_hold_h100+Sens!G2690*tk_hold_gb200+Sens!G2691*tk_hold_gb300+Sens!G2692*tk_hold_vr200)/Sens!G2682</f>
        <v>10.9166347377517</v>
      </c>
      <c r="H2693" s="18" t="n">
        <f aca="false">(Sens!H2689*tk_hold_h100+Sens!H2690*tk_hold_gb200+Sens!H2691*tk_hold_gb300+Sens!H2692*tk_hold_vr200)/Sens!H2682</f>
        <v>11.2051967403931</v>
      </c>
      <c r="I2693" s="18" t="n">
        <f aca="false">(Sens!I2689*tk_hold_h100+Sens!I2690*tk_hold_gb200+Sens!I2691*tk_hold_gb300+Sens!I2692*tk_hold_vr200)/Sens!I2682</f>
        <v>11.379965139721</v>
      </c>
      <c r="J2693" s="18" t="n">
        <f aca="false">(Sens!J2689*tk_hold_h100+Sens!J2690*tk_hold_gb200+Sens!J2691*tk_hold_gb300+Sens!J2692*tk_hold_vr200)/Sens!J2682</f>
        <v>11.4971650948308</v>
      </c>
      <c r="K2693" s="18" t="n">
        <f aca="false">(Sens!K2689*tk_hold_h100+Sens!K2690*tk_hold_gb200+Sens!K2691*tk_hold_gb300+Sens!K2692*tk_hold_vr200)/Sens!K2682</f>
        <v>11.5812187360761</v>
      </c>
    </row>
    <row r="2694" customFormat="false" ht="17.15" hidden="false" customHeight="false" outlineLevel="0" collapsed="false">
      <c r="A2694" s="0" t="s">
        <v>734</v>
      </c>
      <c r="B2694" s="0" t="s">
        <v>182</v>
      </c>
      <c r="C2694" s="18" t="n">
        <f aca="false">k_B</f>
        <v>1.17213932619116</v>
      </c>
      <c r="D2694" s="18" t="n">
        <f aca="false">k_B</f>
        <v>1.17213932619116</v>
      </c>
      <c r="E2694" s="18" t="n">
        <f aca="false">k_B</f>
        <v>1.17213932619116</v>
      </c>
      <c r="F2694" s="18" t="n">
        <f aca="false">(k_B+((ls_A*k_long+(1-ls_A)*k_spot)-k_B)*MIN(1,1/3))*1</f>
        <v>1.25022828131298</v>
      </c>
      <c r="G2694" s="18" t="n">
        <f aca="false">(k_B+((ls_A*k_long+(1-ls_A)*k_spot)-k_B)*MIN(1,2/3))*1</f>
        <v>1.3283172364348</v>
      </c>
      <c r="H2694" s="18" t="n">
        <f aca="false">(k_B+((ls_A*k_long+(1-ls_A)*k_spot)-k_B)*MIN(1,3/3))*1</f>
        <v>1.40640619155662</v>
      </c>
      <c r="I2694" s="18" t="n">
        <f aca="false">(k_B+((ls_A*k_long+(1-ls_A)*k_spot)-k_B)*MIN(1,4/3))*1</f>
        <v>1.40640619155662</v>
      </c>
      <c r="J2694" s="18" t="n">
        <f aca="false">(k_B+((ls_A*k_long+(1-ls_A)*k_spot)-k_B)*MIN(1,5/3))*1</f>
        <v>1.40640619155662</v>
      </c>
      <c r="K2694" s="18" t="n">
        <f aca="false">(k_B+((ls_A*k_long+(1-ls_A)*k_spot)-k_B)*MIN(1,6/3))*1</f>
        <v>1.40640619155662</v>
      </c>
      <c r="L2694" s="1" t="s">
        <v>735</v>
      </c>
    </row>
    <row r="2695" customFormat="false" ht="17.15" hidden="false" customHeight="false" outlineLevel="0" collapsed="false">
      <c r="A2695" s="1" t="s">
        <v>736</v>
      </c>
      <c r="B2695" s="0" t="s">
        <v>291</v>
      </c>
      <c r="C2695" s="18" t="n">
        <f aca="false">Sens!C2693*Sens!C2694*chip_f</f>
        <v>11.3973387156315</v>
      </c>
      <c r="D2695" s="18" t="n">
        <f aca="false">Sens!D2693*Sens!D2694*chip_f</f>
        <v>11.3973387156315</v>
      </c>
      <c r="E2695" s="18" t="n">
        <f aca="false">Sens!E2693*Sens!E2694*chip_f</f>
        <v>11.3973387156315</v>
      </c>
      <c r="F2695" s="18" t="n">
        <f aca="false">Sens!F2693*Sens!F2694*chip_f</f>
        <v>13.1008512995441</v>
      </c>
      <c r="G2695" s="18" t="n">
        <f aca="false">Sens!G2693*Sens!G2694*chip_f</f>
        <v>14.5007540860184</v>
      </c>
      <c r="H2695" s="18" t="n">
        <f aca="false">Sens!H2693*Sens!H2694*chip_f</f>
        <v>15.7590580732989</v>
      </c>
      <c r="I2695" s="18" t="n">
        <f aca="false">Sens!I2693*Sens!I2694*chip_f</f>
        <v>16.0048534322021</v>
      </c>
      <c r="J2695" s="18" t="n">
        <f aca="false">Sens!J2693*Sens!J2694*chip_f</f>
        <v>16.1696841747187</v>
      </c>
      <c r="K2695" s="18" t="n">
        <f aca="false">Sens!K2693*Sens!K2694*chip_f</f>
        <v>16.2878977361889</v>
      </c>
      <c r="L2695" s="1" t="s">
        <v>737</v>
      </c>
    </row>
    <row r="2696" customFormat="false" ht="17.15" hidden="false" customHeight="false" outlineLevel="0" collapsed="false">
      <c r="A2696" s="0" t="s">
        <v>738</v>
      </c>
      <c r="B2696" s="0" t="s">
        <v>95</v>
      </c>
      <c r="D2696" s="6" t="n">
        <f aca="false">(Sens!C2682+Sens!D2682)/2*Sens!D2695/1000</f>
        <v>12.9359794422418</v>
      </c>
      <c r="E2696" s="6" t="n">
        <f aca="false">(Sens!D2682+Sens!E2682)/2*Sens!E2695/1000</f>
        <v>27.8095064661409</v>
      </c>
      <c r="F2696" s="6" t="n">
        <f aca="false">(Sens!E2682+Sens!F2682)/2*Sens!F2695/1000</f>
        <v>62.4428495660432</v>
      </c>
      <c r="G2696" s="6" t="n">
        <f aca="false">(Sens!F2682+Sens!G2682)/2*Sens!G2695/1000</f>
        <v>113.090801086694</v>
      </c>
      <c r="H2696" s="6" t="n">
        <f aca="false">(Sens!G2682+Sens!H2682)/2*Sens!H2695/1000</f>
        <v>170.695813426745</v>
      </c>
      <c r="I2696" s="6" t="n">
        <f aca="false">(Sens!H2682+Sens!I2682)/2*Sens!I2695/1000</f>
        <v>221.895129148873</v>
      </c>
      <c r="J2696" s="6" t="n">
        <f aca="false">(Sens!I2682+Sens!J2682)/2*Sens!J2695/1000</f>
        <v>273.21721313812</v>
      </c>
      <c r="K2696" s="6" t="n">
        <f aca="false">(Sens!J2682+Sens!K2682)/2*Sens!K2695/1000</f>
        <v>324.609983691332</v>
      </c>
      <c r="L2696" s="11" t="s">
        <v>739</v>
      </c>
    </row>
    <row r="2697" customFormat="false" ht="17.15" hidden="false" customHeight="false" outlineLevel="0" collapsed="false">
      <c r="A2697" s="1" t="s">
        <v>740</v>
      </c>
      <c r="B2697" s="0" t="s">
        <v>291</v>
      </c>
      <c r="C2697" s="18" t="n">
        <f aca="false">(Sens!C2689*tk_opex_h100+Sens!C2690*tk_opex_gb200+Sens!C2691*tk_opex_gb300+Sens!C2692*tk_opex_vr200)/Sens!C2682</f>
        <v>1.88636041306092</v>
      </c>
      <c r="D2697" s="18" t="n">
        <f aca="false">(Sens!D2689*tk_opex_h100+Sens!D2690*tk_opex_gb200+Sens!D2691*tk_opex_gb300+Sens!D2692*tk_opex_vr200)/Sens!D2682</f>
        <v>1.88636041306092</v>
      </c>
      <c r="E2697" s="18" t="n">
        <f aca="false">(Sens!E2689*tk_opex_h100+Sens!E2690*tk_opex_gb200+Sens!E2691*tk_opex_gb300+Sens!E2692*tk_opex_vr200)/Sens!E2682</f>
        <v>1.88636041306092</v>
      </c>
      <c r="F2697" s="18" t="n">
        <f aca="false">(Sens!F2689*tk_opex_h100+Sens!F2690*tk_opex_gb200+Sens!F2691*tk_opex_gb300+Sens!F2692*tk_opex_vr200)/Sens!F2682</f>
        <v>1.94888600845409</v>
      </c>
      <c r="G2697" s="18" t="n">
        <f aca="false">(Sens!G2689*tk_opex_h100+Sens!G2690*tk_opex_gb200+Sens!G2691*tk_opex_gb300+Sens!G2692*tk_opex_vr200)/Sens!G2682</f>
        <v>1.98513703526054</v>
      </c>
      <c r="H2697" s="18" t="n">
        <f aca="false">(Sens!H2689*tk_opex_h100+Sens!H2690*tk_opex_gb200+Sens!H2691*tk_opex_gb300+Sens!H2692*tk_opex_vr200)/Sens!H2682</f>
        <v>2.00902707431457</v>
      </c>
      <c r="I2697" s="18" t="n">
        <f aca="false">(Sens!I2689*tk_opex_h100+Sens!I2690*tk_opex_gb200+Sens!I2691*tk_opex_gb300+Sens!I2692*tk_opex_vr200)/Sens!I2682</f>
        <v>2.02349614455644</v>
      </c>
      <c r="J2697" s="18" t="n">
        <f aca="false">(Sens!J2689*tk_opex_h100+Sens!J2690*tk_opex_gb200+Sens!J2691*tk_opex_gb300+Sens!J2692*tk_opex_vr200)/Sens!J2682</f>
        <v>2.03319912512587</v>
      </c>
      <c r="K2697" s="18" t="n">
        <f aca="false">(Sens!K2689*tk_opex_h100+Sens!K2690*tk_opex_gb200+Sens!K2691*tk_opex_gb300+Sens!K2692*tk_opex_vr200)/Sens!K2682</f>
        <v>2.04015792342087</v>
      </c>
    </row>
    <row r="2698" customFormat="false" ht="17.15" hidden="false" customHeight="false" outlineLevel="0" collapsed="false">
      <c r="A2698" s="0" t="s">
        <v>741</v>
      </c>
      <c r="B2698" s="0" t="s">
        <v>95</v>
      </c>
      <c r="D2698" s="6" t="n">
        <f aca="false">(Sens!C2685+Sens!D2685)/2*Sens!D2697/1000</f>
        <v>2.70378325872065</v>
      </c>
      <c r="E2698" s="6" t="n">
        <f aca="false">(Sens!D2685+Sens!E2685)/2*Sens!E2697/1000</f>
        <v>6.17783035277451</v>
      </c>
      <c r="F2698" s="6" t="n">
        <f aca="false">(Sens!E2685+Sens!F2685)/2*Sens!F2697/1000</f>
        <v>13.360652993824</v>
      </c>
      <c r="G2698" s="6" t="n">
        <f aca="false">(Sens!F2685+Sens!G2685)/2*Sens!G2697/1000</f>
        <v>23.3020678897643</v>
      </c>
      <c r="H2698" s="6" t="n">
        <f aca="false">(Sens!G2685+Sens!H2685)/2*Sens!H2697/1000</f>
        <v>33.7369219832732</v>
      </c>
      <c r="I2698" s="6" t="n">
        <f aca="false">(Sens!H2685+Sens!I2685)/2*Sens!I2697/1000</f>
        <v>44.2074551698676</v>
      </c>
      <c r="J2698" s="6" t="n">
        <f aca="false">(Sens!I2685+Sens!J2685)/2*Sens!J2697/1000</f>
        <v>54.6960384912694</v>
      </c>
      <c r="K2698" s="6" t="n">
        <f aca="false">(Sens!J2685+Sens!K2685)/2*Sens!K2697/1000</f>
        <v>65.195014579781</v>
      </c>
    </row>
    <row r="2699" customFormat="false" ht="17.15" hidden="false" customHeight="false" outlineLevel="0" collapsed="false">
      <c r="A2699" s="0" t="s">
        <v>742</v>
      </c>
      <c r="B2699" s="0" t="s">
        <v>95</v>
      </c>
      <c r="D2699" s="6" t="n">
        <f aca="false">(Sens!C2683+Sens!D2683)/2*rent_mw/1000</f>
        <v>2.44475</v>
      </c>
      <c r="E2699" s="6" t="n">
        <f aca="false">(Sens!D2683+Sens!E2683)/2*rent_mw/1000</f>
        <v>4.22275</v>
      </c>
      <c r="F2699" s="6" t="n">
        <f aca="false">(Sens!E2683+Sens!F2683)/2*rent_mw/1000</f>
        <v>5.80517</v>
      </c>
      <c r="G2699" s="6" t="n">
        <f aca="false">(Sens!F2683+Sens!G2683)/2*rent_mw/1000</f>
        <v>6.72084</v>
      </c>
      <c r="H2699" s="6" t="n">
        <f aca="false">(Sens!G2683+Sens!H2683)/2*rent_mw/1000</f>
        <v>6.72084</v>
      </c>
      <c r="I2699" s="6" t="n">
        <f aca="false">(Sens!H2683+Sens!I2683)/2*rent_mw/1000</f>
        <v>6.72084</v>
      </c>
      <c r="J2699" s="6" t="n">
        <f aca="false">(Sens!I2683+Sens!J2683)/2*rent_mw/1000</f>
        <v>6.72084</v>
      </c>
      <c r="K2699" s="6" t="n">
        <f aca="false">(Sens!J2683+Sens!K2683)/2*rent_mw/1000</f>
        <v>6.72084</v>
      </c>
    </row>
    <row r="2700" customFormat="false" ht="17.15" hidden="false" customHeight="false" outlineLevel="0" collapsed="false">
      <c r="A2700" s="0" t="s">
        <v>743</v>
      </c>
      <c r="B2700" s="0" t="s">
        <v>95</v>
      </c>
      <c r="D2700" s="6" t="n">
        <f aca="false">(Sens!C2685+Sens!D2685)/2*(1-self_build)*fac_rent/1000</f>
        <v>0.853242375631075</v>
      </c>
      <c r="E2700" s="6" t="n">
        <f aca="false">(Sens!D2685+Sens!E2685)/2*(1-self_build)*fac_rent/1000</f>
        <v>1.94955961408728</v>
      </c>
      <c r="F2700" s="6" t="n">
        <f aca="false">(Sens!E2685+Sens!F2685)/2*(1-self_build)*fac_rent/1000</f>
        <v>4.0809987541056</v>
      </c>
      <c r="G2700" s="6" t="n">
        <f aca="false">(Sens!F2685+Sens!G2685)/2*(1-self_build)*fac_rent/1000</f>
        <v>6.98761851380772</v>
      </c>
      <c r="H2700" s="6" t="n">
        <f aca="false">(Sens!G2685+Sens!H2685)/2*(1-self_build)*fac_rent/1000</f>
        <v>9.99642893012612</v>
      </c>
      <c r="I2700" s="6" t="n">
        <f aca="false">(Sens!H2685+Sens!I2685)/2*(1-self_build)*fac_rent/1000</f>
        <v>13.0052393464445</v>
      </c>
      <c r="J2700" s="6" t="n">
        <f aca="false">(Sens!I2685+Sens!J2685)/2*(1-self_build)*fac_rent/1000</f>
        <v>16.0140497627629</v>
      </c>
      <c r="K2700" s="6" t="n">
        <f aca="false">(Sens!J2685+Sens!K2685)/2*(1-self_build)*fac_rent/1000</f>
        <v>19.0228601790813</v>
      </c>
      <c r="L2700" s="11" t="s">
        <v>744</v>
      </c>
    </row>
    <row r="2701" customFormat="false" ht="17.15" hidden="false" customHeight="false" outlineLevel="0" collapsed="false">
      <c r="A2701" s="1" t="s">
        <v>745</v>
      </c>
      <c r="B2701" s="0" t="s">
        <v>126</v>
      </c>
      <c r="D2701" s="7" t="n">
        <f aca="false">(Sens!C2684+Sens!D2684)/(Sens!C2685+Sens!D2685)</f>
        <v>0.6</v>
      </c>
      <c r="E2701" s="7" t="n">
        <f aca="false">(Sens!D2684+Sens!E2684)/(Sens!D2685+Sens!E2685)</f>
        <v>0.6</v>
      </c>
      <c r="F2701" s="7" t="n">
        <f aca="false">(Sens!E2684+Sens!F2684)/(Sens!E2685+Sens!F2685)</f>
        <v>0.6</v>
      </c>
      <c r="G2701" s="7" t="n">
        <f aca="false">(Sens!F2684+Sens!G2684)/(Sens!F2685+Sens!G2685)</f>
        <v>0.6</v>
      </c>
      <c r="H2701" s="7" t="n">
        <f aca="false">(Sens!G2684+Sens!H2684)/(Sens!G2685+Sens!H2685)</f>
        <v>0.6</v>
      </c>
      <c r="I2701" s="7" t="n">
        <f aca="false">(Sens!H2684+Sens!I2684)/(Sens!H2685+Sens!I2685)</f>
        <v>0.6</v>
      </c>
      <c r="J2701" s="7" t="n">
        <f aca="false">(Sens!I2684+Sens!J2684)/(Sens!I2685+Sens!J2685)</f>
        <v>0.6</v>
      </c>
      <c r="K2701" s="7" t="n">
        <f aca="false">(Sens!J2684+Sens!K2684)/(Sens!J2685+Sens!K2685)</f>
        <v>0.6</v>
      </c>
    </row>
    <row r="2702" customFormat="false" ht="17.15" hidden="false" customHeight="false" outlineLevel="0" collapsed="false">
      <c r="A2702" s="0" t="s">
        <v>746</v>
      </c>
      <c r="B2702" s="0" t="s">
        <v>95</v>
      </c>
      <c r="D2702" s="6" t="n">
        <f aca="false">Sens!D2696-Sens!D2701*(Sens!D2698+Sens!D2700)-Sens!D2699</f>
        <v>8.35701406163072</v>
      </c>
      <c r="E2702" s="6" t="n">
        <f aca="false">Sens!E2696-Sens!E2701*(Sens!E2698+Sens!E2700)-Sens!E2699</f>
        <v>18.7103224860238</v>
      </c>
      <c r="F2702" s="6" t="n">
        <f aca="false">Sens!F2696-Sens!F2701*(Sens!F2698+Sens!F2700)-Sens!F2699</f>
        <v>46.1726885172854</v>
      </c>
      <c r="G2702" s="6" t="n">
        <f aca="false">Sens!G2696-Sens!G2701*(Sens!G2698+Sens!G2700)-Sens!G2699</f>
        <v>88.1961492445511</v>
      </c>
      <c r="H2702" s="6" t="n">
        <f aca="false">Sens!H2696-Sens!H2701*(Sens!H2698+Sens!H2700)-Sens!H2699</f>
        <v>137.734962878705</v>
      </c>
      <c r="I2702" s="6" t="n">
        <f aca="false">Sens!I2696-Sens!I2701*(Sens!I2698+Sens!I2700)-Sens!I2699</f>
        <v>180.846672439086</v>
      </c>
      <c r="J2702" s="6" t="n">
        <f aca="false">Sens!J2696-Sens!J2701*(Sens!J2698+Sens!J2700)-Sens!J2699</f>
        <v>224.070320185701</v>
      </c>
      <c r="K2702" s="6" t="n">
        <f aca="false">Sens!K2696-Sens!K2701*(Sens!K2698+Sens!K2700)-Sens!K2699</f>
        <v>267.358418836015</v>
      </c>
    </row>
    <row r="2703" customFormat="false" ht="17.15" hidden="false" customHeight="false" outlineLevel="0" collapsed="false">
      <c r="A2703" s="1" t="s">
        <v>747</v>
      </c>
      <c r="B2703" s="0" t="s">
        <v>95</v>
      </c>
      <c r="D2703" s="6" t="n">
        <f aca="false">(1-Sens!D2701)*(Sens!D2698+Sens!D2700)</f>
        <v>1.42281025374069</v>
      </c>
      <c r="E2703" s="6" t="n">
        <f aca="false">(1-Sens!E2701)*(Sens!E2698+Sens!E2700)</f>
        <v>3.25095598674472</v>
      </c>
      <c r="F2703" s="6" t="n">
        <f aca="false">(1-Sens!F2701)*(Sens!F2698+Sens!F2700)</f>
        <v>6.97666069917183</v>
      </c>
      <c r="G2703" s="6" t="n">
        <f aca="false">(1-Sens!G2701)*(Sens!G2698+Sens!G2700)</f>
        <v>12.1158745614288</v>
      </c>
      <c r="H2703" s="6" t="n">
        <f aca="false">(1-Sens!H2701)*(Sens!H2698+Sens!H2700)</f>
        <v>17.4933403653597</v>
      </c>
      <c r="I2703" s="6" t="n">
        <f aca="false">(1-Sens!I2701)*(Sens!I2698+Sens!I2700)</f>
        <v>22.8850778065248</v>
      </c>
      <c r="J2703" s="6" t="n">
        <f aca="false">(1-Sens!J2701)*(Sens!J2698+Sens!J2700)</f>
        <v>28.2840353016129</v>
      </c>
      <c r="K2703" s="6" t="n">
        <f aca="false">(1-Sens!K2701)*(Sens!K2698+Sens!K2700)</f>
        <v>33.6871499035449</v>
      </c>
    </row>
    <row r="2704" customFormat="false" ht="17.15" hidden="false" customHeight="false" outlineLevel="0" collapsed="false">
      <c r="A2704" s="1" t="s">
        <v>748</v>
      </c>
      <c r="B2704" s="0" t="s">
        <v>302</v>
      </c>
      <c r="C2704" s="8" t="n">
        <f aca="false">cxit_open</f>
        <v>27.5918995</v>
      </c>
      <c r="D2704" s="8" t="n">
        <f aca="false">cxit_open</f>
        <v>27.5918995</v>
      </c>
      <c r="E2704" s="8" t="n">
        <f aca="false">cxit_open</f>
        <v>27.5918995</v>
      </c>
      <c r="F2704" s="8" t="n">
        <f aca="false">(a_g3_27*tk_cxit_gb300+(1-a_g3_27)*tk_cxit_vr200)</f>
        <v>33.8419624</v>
      </c>
      <c r="G2704" s="8" t="n">
        <f aca="false">(a_g3_28*tk_cxit_gb300+(1-a_g3_28)*tk_cxit_vr200)</f>
        <v>35.9816136</v>
      </c>
      <c r="H2704" s="8" t="n">
        <f aca="false">(a_g3_29*tk_cxit_gb300+(1-a_g3_29)*tk_cxit_vr200)</f>
        <v>37.0514392</v>
      </c>
      <c r="I2704" s="8" t="n">
        <f aca="false">(a_g3_29*tk_cxit_gb300+(1-a_g3_29)*tk_cxit_vr200)</f>
        <v>37.0514392</v>
      </c>
      <c r="J2704" s="8" t="n">
        <f aca="false">(a_g3_29*tk_cxit_gb300+(1-a_g3_29)*tk_cxit_vr200)</f>
        <v>37.0514392</v>
      </c>
      <c r="K2704" s="8" t="n">
        <f aca="false">(a_g3_29*tk_cxit_gb300+(1-a_g3_29)*tk_cxit_vr200)</f>
        <v>37.0514392</v>
      </c>
      <c r="L2704" s="11" t="s">
        <v>749</v>
      </c>
    </row>
    <row r="2705" customFormat="false" ht="17.15" hidden="false" customHeight="false" outlineLevel="0" collapsed="false">
      <c r="A2705" s="0" t="s">
        <v>750</v>
      </c>
      <c r="B2705" s="0" t="s">
        <v>340</v>
      </c>
      <c r="F2705" s="27" t="n">
        <f aca="false">Sens!C2687*IF(3=life_it,1,0)+Sens!D2687*IF(2=life_it,1,0)+Sens!E2687*IF(1=life_it,1,0)</f>
        <v>0</v>
      </c>
      <c r="G2705" s="27" t="n">
        <f aca="false">Sens!C2687*IF(4=life_it,1,0)+Sens!D2687*IF(3=life_it,1,0)+Sens!E2687*IF(2=life_it,1,0)+Sens!F2687*IF(1=life_it,1,0)</f>
        <v>0</v>
      </c>
      <c r="H2705" s="27" t="n">
        <f aca="false">Sens!C2687*IF(5=life_it,1,0)+Sens!D2687*IF(4=life_it,1,0)+Sens!E2687*IF(3=life_it,1,0)+Sens!F2687*IF(2=life_it,1,0)+Sens!G2687*IF(1=life_it,1,0)</f>
        <v>0</v>
      </c>
      <c r="I2705" s="27" t="n">
        <f aca="false">Sens!C2687*IF(6=life_it,1,0)+Sens!D2687*IF(5=life_it,1,0)+Sens!E2687*IF(4=life_it,1,0)+Sens!F2687*IF(3=life_it,1,0)+Sens!G2687*IF(2=life_it,1,0)+Sens!H2687*IF(1=life_it,1,0)</f>
        <v>816.666666666667</v>
      </c>
      <c r="J2705" s="27" t="n">
        <f aca="false">Sens!C2687*IF(7=life_it,1,0)+Sens!D2687*IF(6=life_it,1,0)+Sens!E2687*IF(5=life_it,1,0)+Sens!F2687*IF(4=life_it,1,0)+Sens!G2687*IF(3=life_it,1,0)+Sens!H2687*IF(2=life_it,1,0)+Sens!I2687*IF(1=life_it,1,0)</f>
        <v>1233.33333333333</v>
      </c>
      <c r="K2705" s="27" t="n">
        <f aca="false">Sens!C2687*IF(8=life_it,1,0)+Sens!D2687*IF(7=life_it,1,0)+Sens!E2687*IF(6=life_it,1,0)+Sens!F2687*IF(5=life_it,1,0)+Sens!G2687*IF(4=life_it,1,0)+Sens!H2687*IF(3=life_it,1,0)+Sens!I2687*IF(2=life_it,1,0)+Sens!J2687*IF(1=life_it,1,0)</f>
        <v>2450</v>
      </c>
      <c r="L2705" s="1" t="s">
        <v>751</v>
      </c>
    </row>
    <row r="2706" customFormat="false" ht="17.15" hidden="false" customHeight="false" outlineLevel="0" collapsed="false">
      <c r="A2706" s="0" t="s">
        <v>752</v>
      </c>
      <c r="B2706" s="0" t="s">
        <v>95</v>
      </c>
      <c r="C2706" s="6" t="n">
        <f aca="false">Sens!C2687*Sens!C2704/1000</f>
        <v>22.5333845916667</v>
      </c>
      <c r="D2706" s="6" t="n">
        <f aca="false">Sens!D2687*Sens!D2704/1000</f>
        <v>34.0300093833333</v>
      </c>
      <c r="E2706" s="6" t="n">
        <f aca="false">Sens!E2687*Sens!E2704/1000</f>
        <v>67.600153775</v>
      </c>
      <c r="F2706" s="6" t="n">
        <f aca="false">(Sens!F2687+Sens!F2705)*Sens!F2704/1000</f>
        <v>159.431740997227</v>
      </c>
      <c r="G2706" s="6" t="n">
        <f aca="false">(Sens!G2687+Sens!G2705)*Sens!G2704/1000</f>
        <v>181.86546777984</v>
      </c>
      <c r="H2706" s="6" t="n">
        <f aca="false">(Sens!H2687+Sens!H2705)*Sens!H2704/1000</f>
        <v>187.27279429248</v>
      </c>
      <c r="I2706" s="6" t="n">
        <f aca="false">(Sens!I2687+Sens!I2705)*Sens!I2704/1000</f>
        <v>217.531469639147</v>
      </c>
      <c r="J2706" s="6" t="n">
        <f aca="false">(Sens!J2687+Sens!J2705)*Sens!J2704/1000</f>
        <v>232.969569305813</v>
      </c>
      <c r="K2706" s="6" t="n">
        <f aca="false">(Sens!K2687+Sens!K2705)*Sens!K2704/1000</f>
        <v>278.04882033248</v>
      </c>
    </row>
    <row r="2707" customFormat="false" ht="17.15" hidden="false" customHeight="false" outlineLevel="0" collapsed="false">
      <c r="A2707" s="0" t="s">
        <v>753</v>
      </c>
      <c r="B2707" s="0" t="s">
        <v>95</v>
      </c>
      <c r="C2707" s="6" t="n">
        <f aca="false">Sens!C2687*self_build*tk_cxfac/1000</f>
        <v>6.2083</v>
      </c>
      <c r="D2707" s="6" t="n">
        <f aca="false">Sens!D2687*self_build*tk_cxfac/1000</f>
        <v>9.3758</v>
      </c>
      <c r="E2707" s="6" t="n">
        <f aca="false">Sens!E2687*self_build*tk_cxfac/1000</f>
        <v>18.6249</v>
      </c>
      <c r="F2707" s="6" t="n">
        <f aca="false">Sens!F2687*self_build*tk_cxfac/1000</f>
        <v>35.8135288</v>
      </c>
      <c r="G2707" s="6" t="n">
        <f aca="false">Sens!G2687*self_build*tk_cxfac/1000</f>
        <v>38.4235488</v>
      </c>
      <c r="H2707" s="6" t="n">
        <f aca="false">Sens!H2687*self_build*tk_cxfac/1000</f>
        <v>38.4235488</v>
      </c>
      <c r="I2707" s="6" t="n">
        <f aca="false">Sens!I2687*self_build*tk_cxfac/1000</f>
        <v>38.4235488</v>
      </c>
      <c r="J2707" s="6" t="n">
        <f aca="false">Sens!J2687*self_build*tk_cxfac/1000</f>
        <v>38.4235488</v>
      </c>
      <c r="K2707" s="6" t="n">
        <f aca="false">Sens!K2687*self_build*tk_cxfac/1000</f>
        <v>38.4235488</v>
      </c>
    </row>
    <row r="2708" customFormat="false" ht="17.15" hidden="false" customHeight="false" outlineLevel="0" collapsed="false">
      <c r="A2708" s="0" t="s">
        <v>754</v>
      </c>
      <c r="B2708" s="0" t="s">
        <v>95</v>
      </c>
      <c r="F2708" s="6" t="n">
        <f aca="false">MAX(0,capex_floor27-Sens!F2706-Sens!F2707-Sens!F2795)</f>
        <v>0</v>
      </c>
      <c r="G2708" s="6" t="n">
        <f aca="false">0</f>
        <v>0</v>
      </c>
      <c r="H2708" s="6" t="n">
        <f aca="false">0</f>
        <v>0</v>
      </c>
      <c r="I2708" s="6" t="n">
        <f aca="false">0</f>
        <v>0</v>
      </c>
      <c r="J2708" s="6" t="n">
        <f aca="false">0</f>
        <v>0</v>
      </c>
      <c r="K2708" s="6" t="n">
        <f aca="false">0</f>
        <v>0</v>
      </c>
      <c r="L2708" s="1" t="s">
        <v>755</v>
      </c>
    </row>
    <row r="2709" customFormat="false" ht="17.15" hidden="false" customHeight="false" outlineLevel="0" collapsed="false">
      <c r="A2709" s="0" t="s">
        <v>756</v>
      </c>
      <c r="B2709" s="0" t="s">
        <v>95</v>
      </c>
      <c r="C2709" s="6" t="n">
        <f aca="false">Sens!C2706</f>
        <v>22.5333845916667</v>
      </c>
      <c r="D2709" s="6" t="n">
        <f aca="false">Sens!D2706</f>
        <v>34.0300093833333</v>
      </c>
      <c r="E2709" s="6" t="n">
        <f aca="false">Sens!E2706</f>
        <v>67.600153775</v>
      </c>
      <c r="F2709" s="6" t="n">
        <f aca="false">Sens!F2706+Sens!F2708</f>
        <v>159.431740997227</v>
      </c>
      <c r="G2709" s="6" t="n">
        <f aca="false">Sens!G2706+Sens!G2708</f>
        <v>181.86546777984</v>
      </c>
      <c r="H2709" s="6" t="n">
        <f aca="false">Sens!H2706+Sens!H2708</f>
        <v>187.27279429248</v>
      </c>
      <c r="I2709" s="6" t="n">
        <f aca="false">Sens!I2706+Sens!I2708</f>
        <v>217.531469639147</v>
      </c>
      <c r="J2709" s="6" t="n">
        <f aca="false">Sens!J2706+Sens!J2708</f>
        <v>232.969569305813</v>
      </c>
      <c r="K2709" s="6" t="n">
        <f aca="false">Sens!K2706+Sens!K2708</f>
        <v>278.04882033248</v>
      </c>
    </row>
    <row r="2710" customFormat="false" ht="17.15" hidden="false" customHeight="false" outlineLevel="0" collapsed="false">
      <c r="A2710" s="0" t="s">
        <v>757</v>
      </c>
      <c r="B2710" s="0" t="s">
        <v>95</v>
      </c>
      <c r="C2710" s="6" t="n">
        <f aca="false">Sens!C2709+Sens!C2707</f>
        <v>28.7416845916667</v>
      </c>
      <c r="D2710" s="6" t="n">
        <f aca="false">Sens!D2709+Sens!D2707</f>
        <v>43.4058093833333</v>
      </c>
      <c r="E2710" s="6" t="n">
        <f aca="false">Sens!E2709+Sens!E2707</f>
        <v>86.225053775</v>
      </c>
      <c r="F2710" s="6" t="n">
        <f aca="false">Sens!F2709+Sens!F2707</f>
        <v>195.245269797227</v>
      </c>
      <c r="G2710" s="6" t="n">
        <f aca="false">Sens!G2709+Sens!G2707</f>
        <v>220.28901657984</v>
      </c>
      <c r="H2710" s="6" t="n">
        <f aca="false">Sens!H2709+Sens!H2707</f>
        <v>225.69634309248</v>
      </c>
      <c r="I2710" s="6" t="n">
        <f aca="false">Sens!I2709+Sens!I2707</f>
        <v>255.955018439147</v>
      </c>
      <c r="J2710" s="6" t="n">
        <f aca="false">Sens!J2709+Sens!J2707</f>
        <v>271.393118105813</v>
      </c>
      <c r="K2710" s="6" t="n">
        <f aca="false">Sens!K2709+Sens!K2707</f>
        <v>316.47236913248</v>
      </c>
      <c r="L2710" s="11" t="s">
        <v>758</v>
      </c>
    </row>
    <row r="2711" customFormat="false" ht="17.15" hidden="false" customHeight="false" outlineLevel="0" collapsed="false">
      <c r="A2711" s="0" t="s">
        <v>759</v>
      </c>
      <c r="B2711" s="0" t="s">
        <v>95</v>
      </c>
      <c r="E2711" s="6" t="n">
        <f aca="false">(Sens!C2709*IF(2&lt;life_it,1,IF(2=life_it,0.5,0))+Sens!D2709*IF(1&lt;life_it,1,IF(1=life_it,0.5,0))+Sens!E2709*0.5)/life_it</f>
        <v>15.0605784770833</v>
      </c>
      <c r="F2711" s="6" t="n">
        <f aca="false">(Sens!C2709*IF(3&lt;life_it,1,IF(3=life_it,0.5,0))+Sens!D2709*IF(2&lt;life_it,1,IF(2=life_it,0.5,0))+Sens!E2709*IF(1&lt;life_it,1,IF(1=life_it,0.5,0))+Sens!F2709*0.5)/life_it</f>
        <v>33.9799030414356</v>
      </c>
      <c r="G2711" s="6" t="n">
        <f aca="false">(Sens!C2709*IF(4&lt;life_it,1,IF(4=life_it,0.5,0))+Sens!D2709*IF(3&lt;life_it,1,IF(3=life_it,0.5,0))+Sens!E2709*IF(2&lt;life_it,1,IF(2=life_it,0.5,0))+Sens!F2709*IF(1&lt;life_it,1,IF(1=life_it,0.5,0))+Sens!G2709*0.5)/life_it</f>
        <v>62.4213371061911</v>
      </c>
      <c r="H2711" s="6" t="n">
        <f aca="false">(Sens!C2709*IF(5&lt;life_it,1,IF(5=life_it,0.5,0))+Sens!D2709*IF(4&lt;life_it,1,IF(4=life_it,0.5,0))+Sens!E2709*IF(3&lt;life_it,1,IF(3=life_it,0.5,0))+Sens!F2709*IF(2&lt;life_it,1,IF(2=life_it,0.5,0))+Sens!G2709*IF(1&lt;life_it,1,IF(1=life_it,0.5,0))+Sens!H2709*0.5)/life_it</f>
        <v>93.1828589455511</v>
      </c>
      <c r="I2711" s="6" t="n">
        <f aca="false">(Sens!C2709*IF(6&lt;life_it,1,IF(6=life_it,0.5,0))+Sens!D2709*IF(5&lt;life_it,1,IF(5=life_it,0.5,0))+Sens!E2709*IF(4&lt;life_it,1,IF(4=life_it,0.5,0))+Sens!F2709*IF(3&lt;life_it,1,IF(3=life_it,0.5,0))+Sens!G2709*IF(2&lt;life_it,1,IF(2=life_it,0.5,0))+Sens!H2709*IF(1&lt;life_it,1,IF(1=life_it,0.5,0))+Sens!I2709*0.5)/life_it</f>
        <v>125.038765557214</v>
      </c>
      <c r="J2711" s="6" t="n">
        <f aca="false">(Sens!C2709*IF(7&lt;life_it,1,IF(7=life_it,0.5,0))+Sens!D2709*IF(6&lt;life_it,1,IF(6=life_it,0.5,0))+Sens!E2709*IF(5&lt;life_it,1,IF(5=life_it,0.5,0))+Sens!F2709*IF(4&lt;life_it,1,IF(4=life_it,0.5,0))+Sens!G2709*IF(3&lt;life_it,1,IF(3=life_it,0.5,0))+Sens!H2709*IF(2&lt;life_it,1,IF(2=life_it,0.5,0))+Sens!I2709*IF(1&lt;life_it,1,IF(1=life_it,0.5,0))+Sens!J2709*0.5)/life_it</f>
        <v>157.866902638044</v>
      </c>
      <c r="K2711" s="6" t="n">
        <f aca="false">(Sens!C2709*IF(8&lt;life_it,1,IF(8=life_it,0.5,0))+Sens!D2709*IF(7&lt;life_it,1,IF(7=life_it,0.5,0))+Sens!E2709*IF(6&lt;life_it,1,IF(6=life_it,0.5,0))+Sens!F2709*IF(5&lt;life_it,1,IF(5=life_it,0.5,0))+Sens!G2709*IF(4&lt;life_it,1,IF(4=life_it,0.5,0))+Sens!H2709*IF(3&lt;life_it,1,IF(3=life_it,0.5,0))+Sens!I2709*IF(2&lt;life_it,1,IF(2=life_it,0.5,0))+Sens!J2709*IF(1&lt;life_it,1,IF(1=life_it,0.5,0))+Sens!K2709*0.5)/life_it</f>
        <v>191.982588178041</v>
      </c>
    </row>
    <row r="2712" customFormat="false" ht="17.15" hidden="false" customHeight="false" outlineLevel="0" collapsed="false">
      <c r="A2712" s="0" t="s">
        <v>760</v>
      </c>
      <c r="B2712" s="0" t="s">
        <v>95</v>
      </c>
      <c r="E2712" s="6" t="n">
        <f aca="false">(Sens!C2707*IF(2&lt;life_fac,1,IF(2=life_fac,0.5,0))+Sens!D2707*IF(1&lt;life_fac,1,IF(1=life_fac,0.5,0))+Sens!E2707*0.5)/life_fac</f>
        <v>1.2448275</v>
      </c>
      <c r="F2712" s="6" t="n">
        <f aca="false">(Sens!C2707*IF(3&lt;life_fac,1,IF(3=life_fac,0.5,0))+Sens!D2707*IF(2&lt;life_fac,1,IF(2=life_fac,0.5,0))+Sens!E2707*IF(1&lt;life_fac,1,IF(1=life_fac,0.5,0))+Sens!F2707*0.5)/life_fac</f>
        <v>2.60578822</v>
      </c>
      <c r="G2712" s="6" t="n">
        <f aca="false">(Sens!C2707*IF(4&lt;life_fac,1,IF(4=life_fac,0.5,0))+Sens!D2707*IF(3&lt;life_fac,1,IF(3=life_fac,0.5,0))+Sens!E2707*IF(2&lt;life_fac,1,IF(2=life_fac,0.5,0))+Sens!F2707*IF(1&lt;life_fac,1,IF(1=life_fac,0.5,0))+Sens!G2707*0.5)/life_fac</f>
        <v>4.46171516</v>
      </c>
      <c r="H2712" s="6" t="n">
        <f aca="false">(Sens!C2707*IF(5&lt;life_fac,1,IF(5=life_fac,0.5,0))+Sens!D2707*IF(4&lt;life_fac,1,IF(4=life_fac,0.5,0))+Sens!E2707*IF(3&lt;life_fac,1,IF(3=life_fac,0.5,0))+Sens!F2707*IF(2&lt;life_fac,1,IF(2=life_fac,0.5,0))+Sens!G2707*IF(1&lt;life_fac,1,IF(1=life_fac,0.5,0))+Sens!H2707*0.5)/life_fac</f>
        <v>6.3828926</v>
      </c>
      <c r="I2712" s="6" t="n">
        <f aca="false">(Sens!C2707*IF(6&lt;life_fac,1,IF(6=life_fac,0.5,0))+Sens!D2707*IF(5&lt;life_fac,1,IF(5=life_fac,0.5,0))+Sens!E2707*IF(4&lt;life_fac,1,IF(4=life_fac,0.5,0))+Sens!F2707*IF(3&lt;life_fac,1,IF(3=life_fac,0.5,0))+Sens!G2707*IF(2&lt;life_fac,1,IF(2=life_fac,0.5,0))+Sens!H2707*IF(1&lt;life_fac,1,IF(1=life_fac,0.5,0))+Sens!I2707*0.5)/life_fac</f>
        <v>8.30407004</v>
      </c>
      <c r="J2712" s="6" t="n">
        <f aca="false">(Sens!C2707*IF(7&lt;life_fac,1,IF(7=life_fac,0.5,0))+Sens!D2707*IF(6&lt;life_fac,1,IF(6=life_fac,0.5,0))+Sens!E2707*IF(5&lt;life_fac,1,IF(5=life_fac,0.5,0))+Sens!F2707*IF(4&lt;life_fac,1,IF(4=life_fac,0.5,0))+Sens!G2707*IF(3&lt;life_fac,1,IF(3=life_fac,0.5,0))+Sens!H2707*IF(2&lt;life_fac,1,IF(2=life_fac,0.5,0))+Sens!I2707*IF(1&lt;life_fac,1,IF(1=life_fac,0.5,0))+Sens!J2707*0.5)/life_fac</f>
        <v>10.22524748</v>
      </c>
      <c r="K2712" s="6" t="n">
        <f aca="false">(Sens!C2707*IF(8&lt;life_fac,1,IF(8=life_fac,0.5,0))+Sens!D2707*IF(7&lt;life_fac,1,IF(7=life_fac,0.5,0))+Sens!E2707*IF(6&lt;life_fac,1,IF(6=life_fac,0.5,0))+Sens!F2707*IF(5&lt;life_fac,1,IF(5=life_fac,0.5,0))+Sens!G2707*IF(4&lt;life_fac,1,IF(4=life_fac,0.5,0))+Sens!H2707*IF(3&lt;life_fac,1,IF(3=life_fac,0.5,0))+Sens!I2707*IF(2&lt;life_fac,1,IF(2=life_fac,0.5,0))+Sens!J2707*IF(1&lt;life_fac,1,IF(1=life_fac,0.5,0))+Sens!K2707*0.5)/life_fac</f>
        <v>12.14642492</v>
      </c>
    </row>
    <row r="2713" customFormat="false" ht="17.15" hidden="false" customHeight="false" outlineLevel="0" collapsed="false">
      <c r="A2713" s="0" t="s">
        <v>761</v>
      </c>
      <c r="B2713" s="0" t="s">
        <v>95</v>
      </c>
      <c r="E2713" s="6" t="n">
        <f aca="false">Sens!E2711+Sens!E2712</f>
        <v>16.3054059770833</v>
      </c>
      <c r="F2713" s="6" t="n">
        <f aca="false">Sens!F2711+Sens!F2712</f>
        <v>36.5856912614356</v>
      </c>
      <c r="G2713" s="6" t="n">
        <f aca="false">Sens!G2711+Sens!G2712</f>
        <v>66.8830522661911</v>
      </c>
      <c r="H2713" s="6" t="n">
        <f aca="false">Sens!H2711+Sens!H2712</f>
        <v>99.5657515455511</v>
      </c>
      <c r="I2713" s="6" t="n">
        <f aca="false">Sens!I2711+Sens!I2712</f>
        <v>133.342835597214</v>
      </c>
      <c r="J2713" s="6" t="n">
        <f aca="false">Sens!J2711+Sens!J2712</f>
        <v>168.092150118044</v>
      </c>
      <c r="K2713" s="6" t="n">
        <f aca="false">Sens!K2711+Sens!K2712</f>
        <v>204.129013098041</v>
      </c>
    </row>
    <row r="2714" customFormat="false" ht="17.15" hidden="false" customHeight="false" outlineLevel="0" collapsed="false">
      <c r="A2714" s="0" t="s">
        <v>762</v>
      </c>
      <c r="B2714" s="0" t="s">
        <v>95</v>
      </c>
      <c r="E2714" s="6" t="n">
        <f aca="false">Sens!E2702-Sens!E2701*Sens!E2713</f>
        <v>8.92707889977379</v>
      </c>
      <c r="F2714" s="6" t="n">
        <f aca="false">Sens!F2702-Sens!F2701*Sens!F2713</f>
        <v>24.2212737604241</v>
      </c>
      <c r="G2714" s="6" t="n">
        <f aca="false">Sens!G2702-Sens!G2701*Sens!G2713</f>
        <v>48.0663178848364</v>
      </c>
      <c r="H2714" s="6" t="n">
        <f aca="false">Sens!H2702-Sens!H2701*Sens!H2713</f>
        <v>77.9955119513744</v>
      </c>
      <c r="I2714" s="6" t="n">
        <f aca="false">Sens!I2702-Sens!I2701*Sens!I2713</f>
        <v>100.840971080757</v>
      </c>
      <c r="J2714" s="6" t="n">
        <f aca="false">Sens!J2702-Sens!J2701*Sens!J2713</f>
        <v>123.215030114874</v>
      </c>
      <c r="K2714" s="6" t="n">
        <f aca="false">Sens!K2702-Sens!K2701*Sens!K2713</f>
        <v>144.88101097719</v>
      </c>
    </row>
    <row r="2715" customFormat="false" ht="17.15" hidden="false" customHeight="false" outlineLevel="0" collapsed="false">
      <c r="A2715" s="3" t="s">
        <v>1190</v>
      </c>
    </row>
    <row r="2716" customFormat="false" ht="15" hidden="false" customHeight="false" outlineLevel="0" collapsed="false">
      <c r="A2716" s="4" t="s">
        <v>43</v>
      </c>
      <c r="B2716" s="4" t="s">
        <v>63</v>
      </c>
      <c r="C2716" s="19" t="s">
        <v>710</v>
      </c>
      <c r="D2716" s="19" t="s">
        <v>711</v>
      </c>
      <c r="E2716" s="19" t="s">
        <v>712</v>
      </c>
      <c r="F2716" s="19" t="s">
        <v>713</v>
      </c>
      <c r="G2716" s="19" t="s">
        <v>714</v>
      </c>
      <c r="H2716" s="19" t="s">
        <v>715</v>
      </c>
      <c r="I2716" s="19" t="s">
        <v>716</v>
      </c>
      <c r="J2716" s="19" t="s">
        <v>717</v>
      </c>
      <c r="K2716" s="19" t="s">
        <v>718</v>
      </c>
      <c r="L2716" s="4" t="s">
        <v>47</v>
      </c>
    </row>
    <row r="2717" customFormat="false" ht="17.15" hidden="false" customHeight="false" outlineLevel="0" collapsed="false">
      <c r="A2717" s="0" t="s">
        <v>780</v>
      </c>
      <c r="B2717" s="0" t="s">
        <v>95</v>
      </c>
      <c r="D2717" s="6" t="n">
        <f aca="false">Sens!D2696</f>
        <v>12.9359794422418</v>
      </c>
      <c r="E2717" s="6" t="n">
        <f aca="false">Sens!E2696</f>
        <v>27.8095064661409</v>
      </c>
      <c r="F2717" s="6" t="n">
        <f aca="false">Sens!F2696</f>
        <v>62.4428495660432</v>
      </c>
      <c r="G2717" s="6" t="n">
        <f aca="false">Sens!G2696</f>
        <v>113.090801086694</v>
      </c>
      <c r="H2717" s="6" t="n">
        <f aca="false">Sens!H2696</f>
        <v>170.695813426745</v>
      </c>
      <c r="I2717" s="6" t="n">
        <f aca="false">Sens!I2696</f>
        <v>221.895129148873</v>
      </c>
      <c r="J2717" s="6" t="n">
        <f aca="false">Sens!J2696</f>
        <v>273.21721313812</v>
      </c>
      <c r="K2717" s="6" t="n">
        <f aca="false">Sens!K2696</f>
        <v>324.609983691332</v>
      </c>
    </row>
    <row r="2718" customFormat="false" ht="17.15" hidden="false" customHeight="false" outlineLevel="0" collapsed="false">
      <c r="A2718" s="0" t="s">
        <v>781</v>
      </c>
      <c r="B2718" s="0" t="s">
        <v>95</v>
      </c>
      <c r="D2718" s="6" t="n">
        <f aca="false">Q!L6-Sens!D2717</f>
        <v>59.6740205577583</v>
      </c>
      <c r="E2718" s="6" t="n">
        <f aca="false">Q!M6-Sens!E2717</f>
        <v>74.1284935338591</v>
      </c>
      <c r="F2718" s="6" t="n">
        <f aca="false">Sens!E2718*(1+Sens!F2719)</f>
        <v>90.0799497373663</v>
      </c>
      <c r="G2718" s="6" t="n">
        <f aca="false">Sens!F2718*(1+Sens!G2719)</f>
        <v>107.02842520331</v>
      </c>
      <c r="H2718" s="6" t="n">
        <f aca="false">Sens!G2718*(1+Sens!H2719)</f>
        <v>124.271982585636</v>
      </c>
      <c r="I2718" s="6" t="n">
        <f aca="false">Sens!H2718*(1+Sens!I2719)</f>
        <v>140.933702381855</v>
      </c>
      <c r="J2718" s="6" t="n">
        <f aca="false">Sens!I2718*(1+Sens!J2719)</f>
        <v>156.018867314332</v>
      </c>
      <c r="K2718" s="6" t="n">
        <f aca="false">Sens!J2718*(1+Sens!K2719)</f>
        <v>168.500376699478</v>
      </c>
    </row>
    <row r="2719" customFormat="false" ht="15" hidden="false" customHeight="false" outlineLevel="0" collapsed="false">
      <c r="A2719" s="1" t="s">
        <v>782</v>
      </c>
      <c r="B2719" s="0" t="s">
        <v>126</v>
      </c>
      <c r="E2719" s="7" t="n">
        <f aca="false">Sens!E2718/Sens!D2718-1</f>
        <v>0.242223883039864</v>
      </c>
      <c r="F2719" s="7" t="n">
        <f aca="false">Sens!$E$2719+(glt_azo-Sens!$E$2719)*MIN(1,1/n_conv)</f>
        <v>0.215186569199887</v>
      </c>
      <c r="G2719" s="7" t="n">
        <f aca="false">Sens!$E$2719+(glt_azo-Sens!$E$2719)*MIN(1,2/n_conv)</f>
        <v>0.18814925535991</v>
      </c>
      <c r="H2719" s="7" t="n">
        <f aca="false">Sens!$E$2719+(glt_azo-Sens!$E$2719)*MIN(1,3/n_conv)</f>
        <v>0.161111941519932</v>
      </c>
      <c r="I2719" s="7" t="n">
        <f aca="false">Sens!$E$2719+(glt_azo-Sens!$E$2719)*MIN(1,4/n_conv)</f>
        <v>0.134074627679955</v>
      </c>
      <c r="J2719" s="7" t="n">
        <f aca="false">Sens!$E$2719+(glt_azo-Sens!$E$2719)*MIN(1,5/n_conv)</f>
        <v>0.107037313839977</v>
      </c>
      <c r="K2719" s="7" t="n">
        <f aca="false">Sens!$E$2719+(glt_azo-Sens!$E$2719)*MIN(1,6/n_conv)</f>
        <v>0.08</v>
      </c>
    </row>
    <row r="2720" customFormat="false" ht="15" hidden="false" customHeight="false" outlineLevel="0" collapsed="false">
      <c r="A2720" s="0" t="s">
        <v>783</v>
      </c>
      <c r="B2720" s="0" t="s">
        <v>95</v>
      </c>
      <c r="D2720" s="6" t="n">
        <f aca="false">Sens!D2717+Sens!D2718</f>
        <v>72.61</v>
      </c>
      <c r="E2720" s="6" t="n">
        <f aca="false">Sens!E2717+Sens!E2718</f>
        <v>101.938</v>
      </c>
      <c r="F2720" s="6" t="n">
        <f aca="false">Sens!F2717+Sens!F2718</f>
        <v>152.522799303409</v>
      </c>
      <c r="G2720" s="6" t="n">
        <f aca="false">Sens!G2717+Sens!G2718</f>
        <v>220.119226290004</v>
      </c>
      <c r="H2720" s="6" t="n">
        <f aca="false">Sens!H2717+Sens!H2718</f>
        <v>294.967796012381</v>
      </c>
      <c r="I2720" s="6" t="n">
        <f aca="false">Sens!I2717+Sens!I2718</f>
        <v>362.828831530728</v>
      </c>
      <c r="J2720" s="6" t="n">
        <f aca="false">Sens!J2717+Sens!J2718</f>
        <v>429.236080452452</v>
      </c>
      <c r="K2720" s="6" t="n">
        <f aca="false">Sens!K2717+Sens!K2718</f>
        <v>493.11036039081</v>
      </c>
    </row>
    <row r="2721" customFormat="false" ht="17.15" hidden="false" customHeight="false" outlineLevel="0" collapsed="false">
      <c r="A2721" s="0" t="s">
        <v>784</v>
      </c>
      <c r="B2721" s="1" t="s">
        <v>451</v>
      </c>
      <c r="C2721" s="27" t="n">
        <f aca="false">cop_s24</f>
        <v>1</v>
      </c>
      <c r="D2721" s="27" t="n">
        <f aca="false">cop_s25</f>
        <v>5</v>
      </c>
      <c r="E2721" s="27" t="n">
        <f aca="false">cop_s26</f>
        <v>30</v>
      </c>
      <c r="F2721" s="27" t="n">
        <f aca="false">Sens!E2721+IF(2027&lt;=2029,cop_add_A,cop_add_A*cop_tail)</f>
        <v>60</v>
      </c>
      <c r="G2721" s="27" t="n">
        <f aca="false">Sens!F2721+IF(2028&lt;=2029,cop_add_A,cop_add_A*cop_tail)</f>
        <v>90</v>
      </c>
      <c r="H2721" s="27" t="n">
        <f aca="false">Sens!G2721+IF(2029&lt;=2029,cop_add_A,cop_add_A*cop_tail)</f>
        <v>120</v>
      </c>
      <c r="I2721" s="27" t="n">
        <f aca="false">Sens!H2721+IF(2030&lt;=2029,cop_add_A,cop_add_A*cop_tail)</f>
        <v>135</v>
      </c>
      <c r="J2721" s="27" t="n">
        <f aca="false">Sens!I2721+IF(2031&lt;=2029,cop_add_A,cop_add_A*cop_tail)</f>
        <v>150</v>
      </c>
      <c r="K2721" s="27" t="n">
        <f aca="false">Sens!J2721+IF(2032&lt;=2029,cop_add_A,cop_add_A*cop_tail)</f>
        <v>165</v>
      </c>
    </row>
    <row r="2722" customFormat="false" ht="17.15" hidden="false" customHeight="false" outlineLevel="0" collapsed="false">
      <c r="A2722" s="0" t="s">
        <v>785</v>
      </c>
      <c r="B2722" s="0" t="s">
        <v>95</v>
      </c>
      <c r="D2722" s="6" t="n">
        <f aca="false">(Sens!C2721+Sens!D2721)/2*cop_px*12/1000</f>
        <v>0.9</v>
      </c>
      <c r="E2722" s="6" t="n">
        <f aca="false">(Sens!D2721+Sens!E2721)/2*cop_px*12/1000</f>
        <v>5.25</v>
      </c>
      <c r="F2722" s="6" t="n">
        <f aca="false">(Sens!E2721+Sens!F2721)/2*cop_px*12/1000</f>
        <v>13.5</v>
      </c>
      <c r="G2722" s="6" t="n">
        <f aca="false">(Sens!F2721+Sens!G2721)/2*cop_px*12/1000</f>
        <v>22.5</v>
      </c>
      <c r="H2722" s="6" t="n">
        <f aca="false">(Sens!G2721+Sens!H2721)/2*cop_px*12/1000</f>
        <v>31.5</v>
      </c>
      <c r="I2722" s="6" t="n">
        <f aca="false">(Sens!H2721+Sens!I2721)/2*cop_px*12/1000</f>
        <v>38.25</v>
      </c>
      <c r="J2722" s="6" t="n">
        <f aca="false">(Sens!I2721+Sens!J2721)/2*cop_px*12/1000</f>
        <v>42.75</v>
      </c>
      <c r="K2722" s="6" t="n">
        <f aca="false">(Sens!J2721+Sens!K2721)/2*cop_px*12/1000</f>
        <v>47.25</v>
      </c>
      <c r="L2722" s="1" t="s">
        <v>786</v>
      </c>
    </row>
    <row r="2723" customFormat="false" ht="17.15" hidden="false" customHeight="false" outlineLevel="0" collapsed="false">
      <c r="A2723" s="0" t="s">
        <v>787</v>
      </c>
      <c r="B2723" s="0" t="s">
        <v>95</v>
      </c>
      <c r="D2723" s="6" t="n">
        <f aca="false">Q!L7-Sens!D2722</f>
        <v>83.705</v>
      </c>
      <c r="E2723" s="6" t="n">
        <f aca="false">Q!M7-Sens!E2722</f>
        <v>95.049</v>
      </c>
      <c r="F2723" s="6" t="n">
        <f aca="false">Sens!E2723*(1+Sens!F2724)</f>
        <v>106.89238776686</v>
      </c>
      <c r="G2723" s="6" t="n">
        <f aca="false">Sens!F2723*(1+Sens!G2724)</f>
        <v>119.044168448684</v>
      </c>
      <c r="H2723" s="6" t="n">
        <f aca="false">Sens!G2723*(1+Sens!H2724)</f>
        <v>131.277359388781</v>
      </c>
      <c r="I2723" s="6" t="n">
        <f aca="false">Sens!H2723*(1+Sens!I2724)</f>
        <v>143.334028071957</v>
      </c>
      <c r="J2723" s="6" t="n">
        <f aca="false">Sens!I2723*(1+Sens!J2724)</f>
        <v>154.932702785465</v>
      </c>
      <c r="K2723" s="6" t="n">
        <f aca="false">Sens!J2723*(1+Sens!K2724)</f>
        <v>165.777991980448</v>
      </c>
    </row>
    <row r="2724" customFormat="false" ht="15" hidden="false" customHeight="false" outlineLevel="0" collapsed="false">
      <c r="A2724" s="1" t="s">
        <v>782</v>
      </c>
      <c r="B2724" s="0" t="s">
        <v>126</v>
      </c>
      <c r="E2724" s="7" t="n">
        <f aca="false">Sens!E2723/Sens!D2723-1</f>
        <v>0.135523564900544</v>
      </c>
      <c r="F2724" s="7" t="n">
        <f aca="false">Sens!$E$2724+(glt_m365b-Sens!$E$2724)*MIN(1,1/n_conv)</f>
        <v>0.124602970750453</v>
      </c>
      <c r="G2724" s="7" t="n">
        <f aca="false">Sens!$E$2724+(glt_m365b-Sens!$E$2724)*MIN(1,2/n_conv)</f>
        <v>0.113682376600363</v>
      </c>
      <c r="H2724" s="7" t="n">
        <f aca="false">Sens!$E$2724+(glt_m365b-Sens!$E$2724)*MIN(1,3/n_conv)</f>
        <v>0.102761782450272</v>
      </c>
      <c r="I2724" s="7" t="n">
        <f aca="false">Sens!$E$2724+(glt_m365b-Sens!$E$2724)*MIN(1,4/n_conv)</f>
        <v>0.0918411883001813</v>
      </c>
      <c r="J2724" s="7" t="n">
        <f aca="false">Sens!$E$2724+(glt_m365b-Sens!$E$2724)*MIN(1,5/n_conv)</f>
        <v>0.0809205941500906</v>
      </c>
      <c r="K2724" s="7" t="n">
        <f aca="false">Sens!$E$2724+(glt_m365b-Sens!$E$2724)*MIN(1,6/n_conv)</f>
        <v>0.07</v>
      </c>
    </row>
    <row r="2725" customFormat="false" ht="15" hidden="false" customHeight="false" outlineLevel="0" collapsed="false">
      <c r="A2725" s="0" t="s">
        <v>788</v>
      </c>
      <c r="B2725" s="0" t="s">
        <v>95</v>
      </c>
      <c r="D2725" s="6" t="n">
        <f aca="false">Sens!D2723+Sens!D2722</f>
        <v>84.605</v>
      </c>
      <c r="E2725" s="6" t="n">
        <f aca="false">Sens!E2723+Sens!E2722</f>
        <v>100.299</v>
      </c>
      <c r="F2725" s="6" t="n">
        <f aca="false">Sens!F2723+Sens!F2722</f>
        <v>120.39238776686</v>
      </c>
      <c r="G2725" s="6" t="n">
        <f aca="false">Sens!G2723+Sens!G2722</f>
        <v>141.544168448684</v>
      </c>
      <c r="H2725" s="6" t="n">
        <f aca="false">Sens!H2723+Sens!H2722</f>
        <v>162.777359388781</v>
      </c>
      <c r="I2725" s="6" t="n">
        <f aca="false">Sens!I2723+Sens!I2722</f>
        <v>181.584028071957</v>
      </c>
      <c r="J2725" s="6" t="n">
        <f aca="false">Sens!J2723+Sens!J2722</f>
        <v>197.682702785465</v>
      </c>
      <c r="K2725" s="6" t="n">
        <f aca="false">Sens!K2723+Sens!K2722</f>
        <v>213.027991980448</v>
      </c>
    </row>
    <row r="2726" customFormat="false" ht="15" hidden="false" customHeight="false" outlineLevel="0" collapsed="false">
      <c r="A2726" s="0" t="s">
        <v>789</v>
      </c>
      <c r="B2726" s="0" t="s">
        <v>95</v>
      </c>
      <c r="D2726" s="6" t="n">
        <f aca="false">Q!L8</f>
        <v>35.391</v>
      </c>
      <c r="E2726" s="6" t="n">
        <f aca="false">Q!M8</f>
        <v>37.285</v>
      </c>
      <c r="F2726" s="6" t="n">
        <f aca="false">Sens!E2726*(1+Sens!F2727)</f>
        <v>39.0720834331704</v>
      </c>
      <c r="G2726" s="6" t="n">
        <f aca="false">Sens!F2726*(1+Sens!G2727)</f>
        <v>40.726562953769</v>
      </c>
      <c r="H2726" s="6" t="n">
        <f aca="false">Sens!G2726*(1+Sens!H2727)</f>
        <v>42.2235987259198</v>
      </c>
      <c r="I2726" s="6" t="n">
        <f aca="false">Sens!H2726*(1+Sens!I2727)</f>
        <v>43.5397988077414</v>
      </c>
      <c r="J2726" s="6" t="n">
        <f aca="false">Sens!I2726*(1+Sens!J2727)</f>
        <v>44.653811225693</v>
      </c>
      <c r="K2726" s="6" t="n">
        <f aca="false">Sens!J2726*(1+Sens!K2727)</f>
        <v>45.5468874502068</v>
      </c>
    </row>
    <row r="2727" customFormat="false" ht="15" hidden="false" customHeight="false" outlineLevel="0" collapsed="false">
      <c r="A2727" s="1" t="s">
        <v>782</v>
      </c>
      <c r="B2727" s="0" t="s">
        <v>126</v>
      </c>
      <c r="E2727" s="7" t="n">
        <f aca="false">Sens!E2726/Sens!D2726-1</f>
        <v>0.0535164307309768</v>
      </c>
      <c r="F2727" s="7" t="n">
        <f aca="false">Sens!$E$2727+(glt_lic-Sens!$E$2727)*MIN(1,1/n_conv)</f>
        <v>0.0479303589424807</v>
      </c>
      <c r="G2727" s="7" t="n">
        <f aca="false">Sens!$E$2727+(glt_lic-Sens!$E$2727)*MIN(1,2/n_conv)</f>
        <v>0.0423442871539845</v>
      </c>
      <c r="H2727" s="7" t="n">
        <f aca="false">Sens!$E$2727+(glt_lic-Sens!$E$2727)*MIN(1,3/n_conv)</f>
        <v>0.0367582153654884</v>
      </c>
      <c r="I2727" s="7" t="n">
        <f aca="false">Sens!$E$2727+(glt_lic-Sens!$E$2727)*MIN(1,4/n_conv)</f>
        <v>0.0311721435769923</v>
      </c>
      <c r="J2727" s="7" t="n">
        <f aca="false">Sens!$E$2727+(glt_lic-Sens!$E$2727)*MIN(1,5/n_conv)</f>
        <v>0.0255860717884961</v>
      </c>
      <c r="K2727" s="7" t="n">
        <f aca="false">Sens!$E$2727+(glt_lic-Sens!$E$2727)*MIN(1,6/n_conv)</f>
        <v>0.02</v>
      </c>
    </row>
    <row r="2728" customFormat="false" ht="15" hidden="false" customHeight="false" outlineLevel="0" collapsed="false">
      <c r="A2728" s="0" t="s">
        <v>790</v>
      </c>
      <c r="B2728" s="0" t="s">
        <v>95</v>
      </c>
      <c r="D2728" s="6" t="n">
        <f aca="false">Q!L9</f>
        <v>18.417</v>
      </c>
      <c r="E2728" s="6" t="n">
        <f aca="false">Q!M9</f>
        <v>20.345</v>
      </c>
      <c r="F2728" s="6" t="n">
        <f aca="false">Sens!E2728*(1+Sens!F2729)</f>
        <v>22.3572203267814</v>
      </c>
      <c r="G2728" s="6" t="n">
        <f aca="false">Sens!F2728*(1+Sens!G2729)</f>
        <v>24.4392124437232</v>
      </c>
      <c r="H2728" s="6" t="n">
        <f aca="false">Sens!G2728*(1+Sens!H2729)</f>
        <v>26.5738052080665</v>
      </c>
      <c r="I2728" s="6" t="n">
        <f aca="false">Sens!H2728*(1+Sens!I2729)</f>
        <v>28.7412169166967</v>
      </c>
      <c r="J2728" s="6" t="n">
        <f aca="false">Sens!I2728*(1+Sens!J2729)</f>
        <v>30.9192545395413</v>
      </c>
      <c r="K2728" s="6" t="n">
        <f aca="false">Sens!J2728*(1+Sens!K2729)</f>
        <v>33.0836023573092</v>
      </c>
    </row>
    <row r="2729" customFormat="false" ht="15" hidden="false" customHeight="false" outlineLevel="0" collapsed="false">
      <c r="A2729" s="1" t="s">
        <v>782</v>
      </c>
      <c r="B2729" s="0" t="s">
        <v>126</v>
      </c>
      <c r="E2729" s="7" t="n">
        <f aca="false">Sens!E2728/Sens!D2728-1</f>
        <v>0.104685888038225</v>
      </c>
      <c r="F2729" s="7" t="n">
        <f aca="false">Sens!$E$2729+(glt_ind-Sens!$E$2729)*MIN(1,1/n_conv)</f>
        <v>0.0989049066985211</v>
      </c>
      <c r="G2729" s="7" t="n">
        <f aca="false">Sens!$E$2729+(glt_ind-Sens!$E$2729)*MIN(1,2/n_conv)</f>
        <v>0.0931239253588169</v>
      </c>
      <c r="H2729" s="7" t="n">
        <f aca="false">Sens!$E$2729+(glt_ind-Sens!$E$2729)*MIN(1,3/n_conv)</f>
        <v>0.0873429440191127</v>
      </c>
      <c r="I2729" s="7" t="n">
        <f aca="false">Sens!$E$2729+(glt_ind-Sens!$E$2729)*MIN(1,4/n_conv)</f>
        <v>0.0815619626794085</v>
      </c>
      <c r="J2729" s="7" t="n">
        <f aca="false">Sens!$E$2729+(glt_ind-Sens!$E$2729)*MIN(1,5/n_conv)</f>
        <v>0.0757809813397042</v>
      </c>
      <c r="K2729" s="7" t="n">
        <f aca="false">Sens!$E$2729+(glt_ind-Sens!$E$2729)*MIN(1,6/n_conv)</f>
        <v>0.07</v>
      </c>
    </row>
    <row r="2730" customFormat="false" ht="15" hidden="false" customHeight="false" outlineLevel="0" collapsed="false">
      <c r="A2730" s="0" t="s">
        <v>791</v>
      </c>
      <c r="B2730" s="0" t="s">
        <v>95</v>
      </c>
      <c r="D2730" s="6" t="n">
        <f aca="false">Q!L10</f>
        <v>7.76</v>
      </c>
      <c r="E2730" s="6" t="n">
        <f aca="false">Q!M10</f>
        <v>8.26</v>
      </c>
      <c r="F2730" s="6" t="n">
        <f aca="false">Sens!E2730*(1+Sens!F2731)</f>
        <v>8.79988041237113</v>
      </c>
      <c r="G2730" s="6" t="n">
        <f aca="false">Sens!F2730*(1+Sens!G2731)</f>
        <v>9.38321269125306</v>
      </c>
      <c r="H2730" s="6" t="n">
        <f aca="false">Sens!G2730*(1+Sens!H2731)</f>
        <v>10.0139193587476</v>
      </c>
      <c r="I2730" s="6" t="n">
        <f aca="false">Sens!H2730*(1+Sens!I2731)</f>
        <v>10.6963111830911</v>
      </c>
      <c r="J2730" s="6" t="n">
        <f aca="false">Sens!I2730*(1+Sens!J2731)</f>
        <v>11.4351285534696</v>
      </c>
      <c r="K2730" s="6" t="n">
        <f aca="false">Sens!J2730*(1+Sens!K2731)</f>
        <v>12.2355875522124</v>
      </c>
    </row>
    <row r="2731" customFormat="false" ht="15" hidden="false" customHeight="false" outlineLevel="0" collapsed="false">
      <c r="A2731" s="1" t="s">
        <v>782</v>
      </c>
      <c r="B2731" s="0" t="s">
        <v>126</v>
      </c>
      <c r="E2731" s="7" t="n">
        <f aca="false">Sens!E2730/Sens!D2730-1</f>
        <v>0.0644329896907216</v>
      </c>
      <c r="F2731" s="7" t="n">
        <f aca="false">Sens!$E$2731+(glt_fro-Sens!$E$2731)*MIN(1,1/n_conv)</f>
        <v>0.065360824742268</v>
      </c>
      <c r="G2731" s="7" t="n">
        <f aca="false">Sens!$E$2731+(glt_fro-Sens!$E$2731)*MIN(1,2/n_conv)</f>
        <v>0.0662886597938144</v>
      </c>
      <c r="H2731" s="7" t="n">
        <f aca="false">Sens!$E$2731+(glt_fro-Sens!$E$2731)*MIN(1,3/n_conv)</f>
        <v>0.0672164948453608</v>
      </c>
      <c r="I2731" s="7" t="n">
        <f aca="false">Sens!$E$2731+(glt_fro-Sens!$E$2731)*MIN(1,4/n_conv)</f>
        <v>0.0681443298969072</v>
      </c>
      <c r="J2731" s="7" t="n">
        <f aca="false">Sens!$E$2731+(glt_fro-Sens!$E$2731)*MIN(1,5/n_conv)</f>
        <v>0.0690721649484536</v>
      </c>
      <c r="K2731" s="7" t="n">
        <f aca="false">Sens!$E$2731+(glt_fro-Sens!$E$2731)*MIN(1,6/n_conv)</f>
        <v>0.07</v>
      </c>
    </row>
    <row r="2732" customFormat="false" ht="15" hidden="false" customHeight="false" outlineLevel="0" collapsed="false">
      <c r="A2732" s="0" t="s">
        <v>626</v>
      </c>
      <c r="B2732" s="0" t="s">
        <v>95</v>
      </c>
      <c r="D2732" s="6" t="n">
        <f aca="false">Sens!D2720+Sens!D2725+Sens!D2726+Sens!D2728+Sens!D2730</f>
        <v>218.783</v>
      </c>
      <c r="E2732" s="6" t="n">
        <f aca="false">Sens!E2720+Sens!E2725+Sens!E2726+Sens!E2728+Sens!E2730</f>
        <v>268.127</v>
      </c>
      <c r="F2732" s="6" t="n">
        <f aca="false">Sens!F2720+Sens!F2725+Sens!F2726+Sens!F2728+Sens!F2730</f>
        <v>343.144371242592</v>
      </c>
      <c r="G2732" s="6" t="n">
        <f aca="false">Sens!G2720+Sens!G2725+Sens!G2726+Sens!G2728+Sens!G2730</f>
        <v>436.212382827433</v>
      </c>
      <c r="H2732" s="6" t="n">
        <f aca="false">Sens!H2720+Sens!H2725+Sens!H2726+Sens!H2728+Sens!H2730</f>
        <v>536.556478693896</v>
      </c>
      <c r="I2732" s="6" t="n">
        <f aca="false">Sens!I2720+Sens!I2725+Sens!I2726+Sens!I2728+Sens!I2730</f>
        <v>627.390186510214</v>
      </c>
      <c r="J2732" s="6" t="n">
        <f aca="false">Sens!J2720+Sens!J2725+Sens!J2726+Sens!J2728+Sens!J2730</f>
        <v>713.926977556621</v>
      </c>
      <c r="K2732" s="6" t="n">
        <f aca="false">Sens!K2720+Sens!K2725+Sens!K2726+Sens!K2728+Sens!K2730</f>
        <v>797.004429730986</v>
      </c>
    </row>
    <row r="2733" customFormat="false" ht="15" hidden="false" customHeight="false" outlineLevel="0" collapsed="false">
      <c r="A2733" s="0" t="s">
        <v>792</v>
      </c>
      <c r="B2733" s="0" t="s">
        <v>95</v>
      </c>
      <c r="D2733" s="6" t="n">
        <f aca="false">Q!L13</f>
        <v>22.171</v>
      </c>
      <c r="E2733" s="6" t="n">
        <f aca="false">Q!M13</f>
        <v>24.835</v>
      </c>
      <c r="F2733" s="6" t="n">
        <f aca="false">Sens!E2733*(1+Sens!F2734)</f>
        <v>27.6114901218559</v>
      </c>
      <c r="G2733" s="6" t="n">
        <f aca="false">Sens!F2733*(1+Sens!G2734)</f>
        <v>30.4675667338515</v>
      </c>
      <c r="H2733" s="6" t="n">
        <f aca="false">Sens!G2733*(1+Sens!H2734)</f>
        <v>33.3643766955789</v>
      </c>
      <c r="I2733" s="6" t="n">
        <f aca="false">Sens!H2733*(1+Sens!I2734)</f>
        <v>36.2577016533691</v>
      </c>
      <c r="J2733" s="6" t="n">
        <f aca="false">Sens!I2733*(1+Sens!J2734)</f>
        <v>39.0988367952171</v>
      </c>
      <c r="K2733" s="6" t="n">
        <f aca="false">Sens!J2733*(1+Sens!K2734)</f>
        <v>41.8357553708823</v>
      </c>
    </row>
    <row r="2734" customFormat="false" ht="15" hidden="false" customHeight="false" outlineLevel="0" collapsed="false">
      <c r="A2734" s="1" t="s">
        <v>782</v>
      </c>
      <c r="B2734" s="0" t="s">
        <v>126</v>
      </c>
      <c r="E2734" s="7" t="n">
        <f aca="false">Sens!E2733/Sens!D2733-1</f>
        <v>0.120156961796942</v>
      </c>
      <c r="F2734" s="7" t="n">
        <f aca="false">Sens!$E$2734+(glt_srch-Sens!$E$2734)*MIN(1,1/n_conv)</f>
        <v>0.111797468164118</v>
      </c>
      <c r="G2734" s="7" t="n">
        <f aca="false">Sens!$E$2734+(glt_srch-Sens!$E$2734)*MIN(1,2/n_conv)</f>
        <v>0.103437974531295</v>
      </c>
      <c r="H2734" s="7" t="n">
        <f aca="false">Sens!$E$2734+(glt_srch-Sens!$E$2734)*MIN(1,3/n_conv)</f>
        <v>0.095078480898471</v>
      </c>
      <c r="I2734" s="7" t="n">
        <f aca="false">Sens!$E$2734+(glt_srch-Sens!$E$2734)*MIN(1,4/n_conv)</f>
        <v>0.0867189872656474</v>
      </c>
      <c r="J2734" s="7" t="n">
        <f aca="false">Sens!$E$2734+(glt_srch-Sens!$E$2734)*MIN(1,5/n_conv)</f>
        <v>0.0783594936328237</v>
      </c>
      <c r="K2734" s="7" t="n">
        <f aca="false">Sens!$E$2734+(glt_srch-Sens!$E$2734)*MIN(1,6/n_conv)</f>
        <v>0.07</v>
      </c>
    </row>
    <row r="2735" customFormat="false" ht="15" hidden="false" customHeight="false" outlineLevel="0" collapsed="false">
      <c r="A2735" s="0" t="s">
        <v>793</v>
      </c>
      <c r="B2735" s="0" t="s">
        <v>95</v>
      </c>
      <c r="D2735" s="6" t="n">
        <f aca="false">Q!L14</f>
        <v>23.455</v>
      </c>
      <c r="E2735" s="6" t="n">
        <f aca="false">Q!M14</f>
        <v>21.79</v>
      </c>
      <c r="F2735" s="6" t="n">
        <f aca="false">Sens!E2735*(1+Sens!F2736)</f>
        <v>20.5736277908051</v>
      </c>
      <c r="G2735" s="6" t="n">
        <f aca="false">Sens!F2735*(1+Sens!G2736)</f>
        <v>19.7371452817919</v>
      </c>
      <c r="H2735" s="6" t="n">
        <f aca="false">Sens!G2735*(1+Sens!H2736)</f>
        <v>19.2339764043138</v>
      </c>
      <c r="I2735" s="6" t="n">
        <f aca="false">Sens!H2735*(1+Sens!I2736)</f>
        <v>19.0353086852681</v>
      </c>
      <c r="J2735" s="6" t="n">
        <f aca="false">Sens!I2735*(1+Sens!J2736)</f>
        <v>19.1273539319129</v>
      </c>
      <c r="K2735" s="6" t="n">
        <f aca="false">Sens!J2735*(1+Sens!K2736)</f>
        <v>19.5099010105511</v>
      </c>
    </row>
    <row r="2736" customFormat="false" ht="15" hidden="false" customHeight="false" outlineLevel="0" collapsed="false">
      <c r="A2736" s="1" t="s">
        <v>782</v>
      </c>
      <c r="B2736" s="0" t="s">
        <v>126</v>
      </c>
      <c r="E2736" s="7" t="n">
        <f aca="false">Sens!E2735/Sens!D2735-1</f>
        <v>-0.0709869963760392</v>
      </c>
      <c r="F2736" s="7" t="n">
        <f aca="false">Sens!$E$2736+(glt_xbox-Sens!$E$2736)*MIN(1,1/n_conv)</f>
        <v>-0.0558224969800327</v>
      </c>
      <c r="G2736" s="7" t="n">
        <f aca="false">Sens!$E$2736+(glt_xbox-Sens!$E$2736)*MIN(1,2/n_conv)</f>
        <v>-0.0406579975840262</v>
      </c>
      <c r="H2736" s="7" t="n">
        <f aca="false">Sens!$E$2736+(glt_xbox-Sens!$E$2736)*MIN(1,3/n_conv)</f>
        <v>-0.0254934981880196</v>
      </c>
      <c r="I2736" s="7" t="n">
        <f aca="false">Sens!$E$2736+(glt_xbox-Sens!$E$2736)*MIN(1,4/n_conv)</f>
        <v>-0.0103289987920131</v>
      </c>
      <c r="J2736" s="7" t="n">
        <f aca="false">Sens!$E$2736+(glt_xbox-Sens!$E$2736)*MIN(1,5/n_conv)</f>
        <v>0.00483550060399347</v>
      </c>
      <c r="K2736" s="7" t="n">
        <f aca="false">Sens!$E$2736+(glt_xbox-Sens!$E$2736)*MIN(1,6/n_conv)</f>
        <v>0.02</v>
      </c>
    </row>
    <row r="2737" customFormat="false" ht="15" hidden="false" customHeight="false" outlineLevel="0" collapsed="false">
      <c r="A2737" s="0" t="s">
        <v>794</v>
      </c>
      <c r="B2737" s="0" t="s">
        <v>95</v>
      </c>
      <c r="D2737" s="6" t="n">
        <f aca="false">Q!L15</f>
        <v>17.315</v>
      </c>
      <c r="E2737" s="6" t="n">
        <f aca="false">Q!M15</f>
        <v>17.087</v>
      </c>
      <c r="F2737" s="6" t="n">
        <f aca="false">Sens!E2737*(1+Sens!F2738)</f>
        <v>16.9564585436519</v>
      </c>
      <c r="G2737" s="6" t="n">
        <f aca="false">Sens!F2737*(1+Sens!G2738)</f>
        <v>16.9206490624268</v>
      </c>
      <c r="H2737" s="6" t="n">
        <f aca="false">Sens!G2737*(1+Sens!H2738)</f>
        <v>16.9784519149849</v>
      </c>
      <c r="I2737" s="6" t="n">
        <f aca="false">Sens!H2737*(1+Sens!I2738)</f>
        <v>17.1303084701817</v>
      </c>
      <c r="J2737" s="6" t="n">
        <f aca="false">Sens!I2737*(1+Sens!J2738)</f>
        <v>17.3782189407267</v>
      </c>
      <c r="K2737" s="6" t="n">
        <f aca="false">Sens!J2737*(1+Sens!K2738)</f>
        <v>17.7257833195413</v>
      </c>
    </row>
    <row r="2738" customFormat="false" ht="15" hidden="false" customHeight="false" outlineLevel="0" collapsed="false">
      <c r="A2738" s="1" t="s">
        <v>782</v>
      </c>
      <c r="B2738" s="0" t="s">
        <v>126</v>
      </c>
      <c r="E2738" s="7" t="n">
        <f aca="false">Sens!E2737/Sens!D2737-1</f>
        <v>-0.0131677736066995</v>
      </c>
      <c r="F2738" s="7" t="n">
        <f aca="false">Sens!$E$2738+(glt_win-Sens!$E$2738)*MIN(1,1/n_conv)</f>
        <v>-0.00763981133891627</v>
      </c>
      <c r="G2738" s="7" t="n">
        <f aca="false">Sens!$E$2738+(glt_win-Sens!$E$2738)*MIN(1,2/n_conv)</f>
        <v>-0.00211184907113301</v>
      </c>
      <c r="H2738" s="7" t="n">
        <f aca="false">Sens!$E$2738+(glt_win-Sens!$E$2738)*MIN(1,3/n_conv)</f>
        <v>0.00341611319665024</v>
      </c>
      <c r="I2738" s="7" t="n">
        <f aca="false">Sens!$E$2738+(glt_win-Sens!$E$2738)*MIN(1,4/n_conv)</f>
        <v>0.00894407546443349</v>
      </c>
      <c r="J2738" s="7" t="n">
        <f aca="false">Sens!$E$2738+(glt_win-Sens!$E$2738)*MIN(1,5/n_conv)</f>
        <v>0.0144720377322168</v>
      </c>
      <c r="K2738" s="7" t="n">
        <f aca="false">Sens!$E$2738+(glt_win-Sens!$E$2738)*MIN(1,6/n_conv)</f>
        <v>0.02</v>
      </c>
    </row>
    <row r="2739" customFormat="false" ht="15" hidden="false" customHeight="false" outlineLevel="0" collapsed="false">
      <c r="A2739" s="0" t="s">
        <v>640</v>
      </c>
      <c r="B2739" s="0" t="s">
        <v>95</v>
      </c>
      <c r="D2739" s="6" t="n">
        <f aca="false">Sens!D2733+Sens!D2735+Sens!D2737</f>
        <v>62.941</v>
      </c>
      <c r="E2739" s="6" t="n">
        <f aca="false">Sens!E2733+Sens!E2735+Sens!E2737</f>
        <v>63.712</v>
      </c>
      <c r="F2739" s="6" t="n">
        <f aca="false">Sens!F2733+Sens!F2735+Sens!F2737</f>
        <v>65.1415764563129</v>
      </c>
      <c r="G2739" s="6" t="n">
        <f aca="false">Sens!G2733+Sens!G2735+Sens!G2737</f>
        <v>67.1253610780702</v>
      </c>
      <c r="H2739" s="6" t="n">
        <f aca="false">Sens!H2733+Sens!H2735+Sens!H2737</f>
        <v>69.5768050148776</v>
      </c>
      <c r="I2739" s="6" t="n">
        <f aca="false">Sens!I2733+Sens!I2735+Sens!I2737</f>
        <v>72.4233188088189</v>
      </c>
      <c r="J2739" s="6" t="n">
        <f aca="false">Sens!J2733+Sens!J2735+Sens!J2737</f>
        <v>75.6044096678567</v>
      </c>
      <c r="K2739" s="6" t="n">
        <f aca="false">Sens!K2733+Sens!K2735+Sens!K2737</f>
        <v>79.0714397009747</v>
      </c>
    </row>
    <row r="2740" customFormat="false" ht="15" hidden="false" customHeight="false" outlineLevel="0" collapsed="false">
      <c r="A2740" s="1" t="s">
        <v>795</v>
      </c>
      <c r="B2740" s="0" t="s">
        <v>95</v>
      </c>
      <c r="D2740" s="6" t="n">
        <f aca="false">Sens!D2732+Sens!D2739</f>
        <v>281.724</v>
      </c>
      <c r="E2740" s="6" t="n">
        <f aca="false">Sens!E2732+Sens!E2739</f>
        <v>331.839</v>
      </c>
      <c r="F2740" s="6" t="n">
        <f aca="false">Sens!F2732+Sens!F2739</f>
        <v>408.285947698905</v>
      </c>
      <c r="G2740" s="6" t="n">
        <f aca="false">Sens!G2732+Sens!G2739</f>
        <v>503.337743905504</v>
      </c>
      <c r="H2740" s="6" t="n">
        <f aca="false">Sens!H2732+Sens!H2739</f>
        <v>606.133283708773</v>
      </c>
      <c r="I2740" s="6" t="n">
        <f aca="false">Sens!I2732+Sens!I2739</f>
        <v>699.813505319033</v>
      </c>
      <c r="J2740" s="6" t="n">
        <f aca="false">Sens!J2732+Sens!J2739</f>
        <v>789.531387224478</v>
      </c>
      <c r="K2740" s="6" t="n">
        <f aca="false">Sens!K2732+Sens!K2739</f>
        <v>876.075869431961</v>
      </c>
    </row>
    <row r="2741" customFormat="false" ht="15" hidden="false" customHeight="false" outlineLevel="0" collapsed="false">
      <c r="A2741" s="22" t="s">
        <v>796</v>
      </c>
      <c r="B2741" s="28" t="s">
        <v>95</v>
      </c>
      <c r="C2741" s="28"/>
      <c r="D2741" s="23" t="n">
        <f aca="false">(Sens!D2720+Sens!D2725+Sens!D2726+Sens!D2728+Sens!D2730-Sens!D2732)+(Sens!D2733+Sens!D2735+Sens!D2737-Sens!D2739)+(Sens!D2732-Q!L5)+(Sens!D2739-Q!L12)+(Sens!D2720-Q!L6)+(Sens!D2725-Q!L7)</f>
        <v>0</v>
      </c>
      <c r="E2741" s="23" t="n">
        <f aca="false">(Sens!E2720+Sens!E2725+Sens!E2726+Sens!E2728+Sens!E2730-Sens!E2732)+(Sens!E2733+Sens!E2735+Sens!E2737-Sens!E2739)+(Sens!E2732-Q!M5)+(Sens!E2739-Q!M12)+(Sens!E2720-Q!M6)+(Sens!E2725-Q!M7)</f>
        <v>0</v>
      </c>
      <c r="F2741" s="23" t="n">
        <f aca="false">(Sens!F2720+Sens!F2725+Sens!F2726+Sens!F2728+Sens!F2730-Sens!F2732)+(Sens!F2733+Sens!F2735+Sens!F2737-Sens!F2739)</f>
        <v>0</v>
      </c>
      <c r="G2741" s="23" t="n">
        <f aca="false">(Sens!G2720+Sens!G2725+Sens!G2726+Sens!G2728+Sens!G2730-Sens!G2732)+(Sens!G2733+Sens!G2735+Sens!G2737-Sens!G2739)</f>
        <v>0</v>
      </c>
      <c r="H2741" s="23" t="n">
        <f aca="false">(Sens!H2720+Sens!H2725+Sens!H2726+Sens!H2728+Sens!H2730-Sens!H2732)+(Sens!H2733+Sens!H2735+Sens!H2737-Sens!H2739)</f>
        <v>0</v>
      </c>
      <c r="I2741" s="23" t="n">
        <f aca="false">(Sens!I2720+Sens!I2725+Sens!I2726+Sens!I2728+Sens!I2730-Sens!I2732)+(Sens!I2733+Sens!I2735+Sens!I2737-Sens!I2739)</f>
        <v>0</v>
      </c>
      <c r="J2741" s="23" t="n">
        <f aca="false">(Sens!J2720+Sens!J2725+Sens!J2726+Sens!J2728+Sens!J2730-Sens!J2732)+(Sens!J2733+Sens!J2735+Sens!J2737-Sens!J2739)</f>
        <v>0</v>
      </c>
      <c r="K2741" s="23" t="n">
        <f aca="false">(Sens!K2720+Sens!K2725+Sens!K2726+Sens!K2728+Sens!K2730-Sens!K2732)+(Sens!K2733+Sens!K2735+Sens!K2737-Sens!K2739)</f>
        <v>0</v>
      </c>
    </row>
    <row r="2742" customFormat="false" ht="17.15" hidden="false" customHeight="false" outlineLevel="0" collapsed="false">
      <c r="A2742" s="3" t="s">
        <v>1191</v>
      </c>
    </row>
    <row r="2743" customFormat="false" ht="15" hidden="false" customHeight="false" outlineLevel="0" collapsed="false">
      <c r="A2743" s="4" t="s">
        <v>43</v>
      </c>
      <c r="B2743" s="4" t="s">
        <v>63</v>
      </c>
      <c r="C2743" s="19" t="s">
        <v>710</v>
      </c>
      <c r="D2743" s="19" t="s">
        <v>711</v>
      </c>
      <c r="E2743" s="19" t="s">
        <v>712</v>
      </c>
      <c r="F2743" s="19" t="s">
        <v>713</v>
      </c>
      <c r="G2743" s="19" t="s">
        <v>714</v>
      </c>
      <c r="H2743" s="19" t="s">
        <v>715</v>
      </c>
      <c r="I2743" s="19" t="s">
        <v>716</v>
      </c>
      <c r="J2743" s="19" t="s">
        <v>717</v>
      </c>
      <c r="K2743" s="19" t="s">
        <v>718</v>
      </c>
      <c r="L2743" s="4" t="s">
        <v>47</v>
      </c>
    </row>
    <row r="2744" customFormat="false" ht="15" hidden="false" customHeight="false" outlineLevel="0" collapsed="false">
      <c r="A2744" s="0" t="s">
        <v>783</v>
      </c>
      <c r="B2744" s="0" t="s">
        <v>95</v>
      </c>
      <c r="D2744" s="6" t="n">
        <f aca="false">Sens!D2720</f>
        <v>72.61</v>
      </c>
      <c r="E2744" s="6" t="n">
        <f aca="false">Sens!E2720</f>
        <v>101.938</v>
      </c>
      <c r="F2744" s="6" t="n">
        <f aca="false">Sens!F2720</f>
        <v>152.522799303409</v>
      </c>
      <c r="G2744" s="6" t="n">
        <f aca="false">Sens!G2720</f>
        <v>220.119226290004</v>
      </c>
      <c r="H2744" s="6" t="n">
        <f aca="false">Sens!H2720</f>
        <v>294.967796012381</v>
      </c>
      <c r="I2744" s="6" t="n">
        <f aca="false">Sens!I2720</f>
        <v>362.828831530728</v>
      </c>
      <c r="J2744" s="6" t="n">
        <f aca="false">Sens!J2720</f>
        <v>429.236080452452</v>
      </c>
      <c r="K2744" s="6" t="n">
        <f aca="false">Sens!K2720</f>
        <v>493.11036039081</v>
      </c>
    </row>
    <row r="2745" customFormat="false" ht="17.15" hidden="false" customHeight="false" outlineLevel="0" collapsed="false">
      <c r="A2745" s="0" t="s">
        <v>780</v>
      </c>
      <c r="B2745" s="0" t="s">
        <v>95</v>
      </c>
      <c r="D2745" s="6" t="n">
        <f aca="false">Sens!D2717</f>
        <v>12.9359794422418</v>
      </c>
      <c r="E2745" s="6" t="n">
        <f aca="false">Sens!E2717</f>
        <v>27.8095064661409</v>
      </c>
      <c r="F2745" s="6" t="n">
        <f aca="false">Sens!F2717</f>
        <v>62.4428495660432</v>
      </c>
      <c r="G2745" s="6" t="n">
        <f aca="false">Sens!G2717</f>
        <v>113.090801086694</v>
      </c>
      <c r="H2745" s="6" t="n">
        <f aca="false">Sens!H2717</f>
        <v>170.695813426745</v>
      </c>
      <c r="I2745" s="6" t="n">
        <f aca="false">Sens!I2717</f>
        <v>221.895129148873</v>
      </c>
      <c r="J2745" s="6" t="n">
        <f aca="false">Sens!J2717</f>
        <v>273.21721313812</v>
      </c>
      <c r="K2745" s="6" t="n">
        <f aca="false">Sens!K2717</f>
        <v>324.609983691332</v>
      </c>
    </row>
    <row r="2746" customFormat="false" ht="17.15" hidden="false" customHeight="false" outlineLevel="0" collapsed="false">
      <c r="A2746" s="0" t="s">
        <v>807</v>
      </c>
      <c r="B2746" s="0" t="s">
        <v>95</v>
      </c>
      <c r="D2746" s="6" t="n">
        <f aca="false">Sens!D2718</f>
        <v>59.6740205577583</v>
      </c>
      <c r="E2746" s="6" t="n">
        <f aca="false">Sens!E2718</f>
        <v>74.1284935338591</v>
      </c>
      <c r="F2746" s="6" t="n">
        <f aca="false">Sens!F2718</f>
        <v>90.0799497373663</v>
      </c>
      <c r="G2746" s="6" t="n">
        <f aca="false">Sens!G2718</f>
        <v>107.02842520331</v>
      </c>
      <c r="H2746" s="6" t="n">
        <f aca="false">Sens!H2718</f>
        <v>124.271982585636</v>
      </c>
      <c r="I2746" s="6" t="n">
        <f aca="false">Sens!I2718</f>
        <v>140.933702381855</v>
      </c>
      <c r="J2746" s="6" t="n">
        <f aca="false">Sens!J2718</f>
        <v>156.018867314332</v>
      </c>
      <c r="K2746" s="6" t="n">
        <f aca="false">Sens!K2718</f>
        <v>168.500376699478</v>
      </c>
    </row>
    <row r="2747" customFormat="false" ht="15" hidden="false" customHeight="false" outlineLevel="0" collapsed="false">
      <c r="A2747" s="0" t="s">
        <v>788</v>
      </c>
      <c r="B2747" s="0" t="s">
        <v>95</v>
      </c>
      <c r="D2747" s="6" t="n">
        <f aca="false">Sens!D2725</f>
        <v>84.605</v>
      </c>
      <c r="E2747" s="6" t="n">
        <f aca="false">Sens!E2725</f>
        <v>100.299</v>
      </c>
      <c r="F2747" s="6" t="n">
        <f aca="false">Sens!F2725</f>
        <v>120.39238776686</v>
      </c>
      <c r="G2747" s="6" t="n">
        <f aca="false">Sens!G2725</f>
        <v>141.544168448684</v>
      </c>
      <c r="H2747" s="6" t="n">
        <f aca="false">Sens!H2725</f>
        <v>162.777359388781</v>
      </c>
      <c r="I2747" s="6" t="n">
        <f aca="false">Sens!I2725</f>
        <v>181.584028071957</v>
      </c>
      <c r="J2747" s="6" t="n">
        <f aca="false">Sens!J2725</f>
        <v>197.682702785465</v>
      </c>
      <c r="K2747" s="6" t="n">
        <f aca="false">Sens!K2725</f>
        <v>213.027991980448</v>
      </c>
    </row>
    <row r="2748" customFormat="false" ht="17.15" hidden="false" customHeight="false" outlineLevel="0" collapsed="false">
      <c r="A2748" s="0" t="s">
        <v>808</v>
      </c>
      <c r="B2748" s="0" t="s">
        <v>95</v>
      </c>
      <c r="D2748" s="6" t="n">
        <f aca="false">Sens!D2723</f>
        <v>83.705</v>
      </c>
      <c r="E2748" s="6" t="n">
        <f aca="false">Sens!E2723</f>
        <v>95.049</v>
      </c>
      <c r="F2748" s="6" t="n">
        <f aca="false">Sens!F2723</f>
        <v>106.89238776686</v>
      </c>
      <c r="G2748" s="6" t="n">
        <f aca="false">Sens!G2723</f>
        <v>119.044168448684</v>
      </c>
      <c r="H2748" s="6" t="n">
        <f aca="false">Sens!H2723</f>
        <v>131.277359388781</v>
      </c>
      <c r="I2748" s="6" t="n">
        <f aca="false">Sens!I2723</f>
        <v>143.334028071957</v>
      </c>
      <c r="J2748" s="6" t="n">
        <f aca="false">Sens!J2723</f>
        <v>154.932702785465</v>
      </c>
      <c r="K2748" s="6" t="n">
        <f aca="false">Sens!K2723</f>
        <v>165.777991980448</v>
      </c>
    </row>
    <row r="2749" customFormat="false" ht="17.15" hidden="false" customHeight="false" outlineLevel="0" collapsed="false">
      <c r="A2749" s="0" t="s">
        <v>809</v>
      </c>
      <c r="B2749" s="0" t="s">
        <v>95</v>
      </c>
      <c r="D2749" s="6" t="n">
        <f aca="false">Sens!D2722</f>
        <v>0.9</v>
      </c>
      <c r="E2749" s="6" t="n">
        <f aca="false">Sens!E2722</f>
        <v>5.25</v>
      </c>
      <c r="F2749" s="6" t="n">
        <f aca="false">Sens!F2722</f>
        <v>13.5</v>
      </c>
      <c r="G2749" s="6" t="n">
        <f aca="false">Sens!G2722</f>
        <v>22.5</v>
      </c>
      <c r="H2749" s="6" t="n">
        <f aca="false">Sens!H2722</f>
        <v>31.5</v>
      </c>
      <c r="I2749" s="6" t="n">
        <f aca="false">Sens!I2722</f>
        <v>38.25</v>
      </c>
      <c r="J2749" s="6" t="n">
        <f aca="false">Sens!J2722</f>
        <v>42.75</v>
      </c>
      <c r="K2749" s="6" t="n">
        <f aca="false">Sens!K2722</f>
        <v>47.25</v>
      </c>
    </row>
    <row r="2750" customFormat="false" ht="15" hidden="false" customHeight="false" outlineLevel="0" collapsed="false">
      <c r="A2750" s="0" t="s">
        <v>789</v>
      </c>
      <c r="B2750" s="0" t="s">
        <v>95</v>
      </c>
      <c r="D2750" s="6" t="n">
        <f aca="false">Sens!D2726</f>
        <v>35.391</v>
      </c>
      <c r="E2750" s="6" t="n">
        <f aca="false">Sens!E2726</f>
        <v>37.285</v>
      </c>
      <c r="F2750" s="6" t="n">
        <f aca="false">Sens!F2726</f>
        <v>39.0720834331704</v>
      </c>
      <c r="G2750" s="6" t="n">
        <f aca="false">Sens!G2726</f>
        <v>40.726562953769</v>
      </c>
      <c r="H2750" s="6" t="n">
        <f aca="false">Sens!H2726</f>
        <v>42.2235987259198</v>
      </c>
      <c r="I2750" s="6" t="n">
        <f aca="false">Sens!I2726</f>
        <v>43.5397988077414</v>
      </c>
      <c r="J2750" s="6" t="n">
        <f aca="false">Sens!J2726</f>
        <v>44.653811225693</v>
      </c>
      <c r="K2750" s="6" t="n">
        <f aca="false">Sens!K2726</f>
        <v>45.5468874502068</v>
      </c>
    </row>
    <row r="2751" customFormat="false" ht="15" hidden="false" customHeight="false" outlineLevel="0" collapsed="false">
      <c r="A2751" s="0" t="s">
        <v>790</v>
      </c>
      <c r="B2751" s="0" t="s">
        <v>95</v>
      </c>
      <c r="D2751" s="6" t="n">
        <f aca="false">Sens!D2728</f>
        <v>18.417</v>
      </c>
      <c r="E2751" s="6" t="n">
        <f aca="false">Sens!E2728</f>
        <v>20.345</v>
      </c>
      <c r="F2751" s="6" t="n">
        <f aca="false">Sens!F2728</f>
        <v>22.3572203267814</v>
      </c>
      <c r="G2751" s="6" t="n">
        <f aca="false">Sens!G2728</f>
        <v>24.4392124437232</v>
      </c>
      <c r="H2751" s="6" t="n">
        <f aca="false">Sens!H2728</f>
        <v>26.5738052080665</v>
      </c>
      <c r="I2751" s="6" t="n">
        <f aca="false">Sens!I2728</f>
        <v>28.7412169166967</v>
      </c>
      <c r="J2751" s="6" t="n">
        <f aca="false">Sens!J2728</f>
        <v>30.9192545395413</v>
      </c>
      <c r="K2751" s="6" t="n">
        <f aca="false">Sens!K2728</f>
        <v>33.0836023573092</v>
      </c>
    </row>
    <row r="2752" customFormat="false" ht="15" hidden="false" customHeight="false" outlineLevel="0" collapsed="false">
      <c r="A2752" s="0" t="s">
        <v>791</v>
      </c>
      <c r="B2752" s="0" t="s">
        <v>95</v>
      </c>
      <c r="D2752" s="6" t="n">
        <f aca="false">Sens!D2730</f>
        <v>7.76</v>
      </c>
      <c r="E2752" s="6" t="n">
        <f aca="false">Sens!E2730</f>
        <v>8.26</v>
      </c>
      <c r="F2752" s="6" t="n">
        <f aca="false">Sens!F2730</f>
        <v>8.79988041237113</v>
      </c>
      <c r="G2752" s="6" t="n">
        <f aca="false">Sens!G2730</f>
        <v>9.38321269125306</v>
      </c>
      <c r="H2752" s="6" t="n">
        <f aca="false">Sens!H2730</f>
        <v>10.0139193587476</v>
      </c>
      <c r="I2752" s="6" t="n">
        <f aca="false">Sens!I2730</f>
        <v>10.6963111830911</v>
      </c>
      <c r="J2752" s="6" t="n">
        <f aca="false">Sens!J2730</f>
        <v>11.4351285534696</v>
      </c>
      <c r="K2752" s="6" t="n">
        <f aca="false">Sens!K2730</f>
        <v>12.2355875522124</v>
      </c>
    </row>
    <row r="2753" customFormat="false" ht="15" hidden="false" customHeight="false" outlineLevel="0" collapsed="false">
      <c r="A2753" s="0" t="s">
        <v>626</v>
      </c>
      <c r="B2753" s="0" t="s">
        <v>95</v>
      </c>
      <c r="D2753" s="6" t="n">
        <f aca="false">Sens!D2732</f>
        <v>218.783</v>
      </c>
      <c r="E2753" s="6" t="n">
        <f aca="false">Sens!E2732</f>
        <v>268.127</v>
      </c>
      <c r="F2753" s="6" t="n">
        <f aca="false">Sens!F2732</f>
        <v>343.144371242592</v>
      </c>
      <c r="G2753" s="6" t="n">
        <f aca="false">Sens!G2732</f>
        <v>436.212382827433</v>
      </c>
      <c r="H2753" s="6" t="n">
        <f aca="false">Sens!H2732</f>
        <v>536.556478693896</v>
      </c>
      <c r="I2753" s="6" t="n">
        <f aca="false">Sens!I2732</f>
        <v>627.390186510214</v>
      </c>
      <c r="J2753" s="6" t="n">
        <f aca="false">Sens!J2732</f>
        <v>713.926977556621</v>
      </c>
      <c r="K2753" s="6" t="n">
        <f aca="false">Sens!K2732</f>
        <v>797.004429730986</v>
      </c>
    </row>
    <row r="2754" customFormat="false" ht="15" hidden="false" customHeight="false" outlineLevel="0" collapsed="false">
      <c r="A2754" s="0" t="s">
        <v>792</v>
      </c>
      <c r="B2754" s="0" t="s">
        <v>95</v>
      </c>
      <c r="D2754" s="6" t="n">
        <f aca="false">Sens!D2733</f>
        <v>22.171</v>
      </c>
      <c r="E2754" s="6" t="n">
        <f aca="false">Sens!E2733</f>
        <v>24.835</v>
      </c>
      <c r="F2754" s="6" t="n">
        <f aca="false">Sens!F2733</f>
        <v>27.6114901218559</v>
      </c>
      <c r="G2754" s="6" t="n">
        <f aca="false">Sens!G2733</f>
        <v>30.4675667338515</v>
      </c>
      <c r="H2754" s="6" t="n">
        <f aca="false">Sens!H2733</f>
        <v>33.3643766955789</v>
      </c>
      <c r="I2754" s="6" t="n">
        <f aca="false">Sens!I2733</f>
        <v>36.2577016533691</v>
      </c>
      <c r="J2754" s="6" t="n">
        <f aca="false">Sens!J2733</f>
        <v>39.0988367952171</v>
      </c>
      <c r="K2754" s="6" t="n">
        <f aca="false">Sens!K2733</f>
        <v>41.8357553708823</v>
      </c>
    </row>
    <row r="2755" customFormat="false" ht="15" hidden="false" customHeight="false" outlineLevel="0" collapsed="false">
      <c r="A2755" s="0" t="s">
        <v>793</v>
      </c>
      <c r="B2755" s="0" t="s">
        <v>95</v>
      </c>
      <c r="D2755" s="6" t="n">
        <f aca="false">Sens!D2735</f>
        <v>23.455</v>
      </c>
      <c r="E2755" s="6" t="n">
        <f aca="false">Sens!E2735</f>
        <v>21.79</v>
      </c>
      <c r="F2755" s="6" t="n">
        <f aca="false">Sens!F2735</f>
        <v>20.5736277908051</v>
      </c>
      <c r="G2755" s="6" t="n">
        <f aca="false">Sens!G2735</f>
        <v>19.7371452817919</v>
      </c>
      <c r="H2755" s="6" t="n">
        <f aca="false">Sens!H2735</f>
        <v>19.2339764043138</v>
      </c>
      <c r="I2755" s="6" t="n">
        <f aca="false">Sens!I2735</f>
        <v>19.0353086852681</v>
      </c>
      <c r="J2755" s="6" t="n">
        <f aca="false">Sens!J2735</f>
        <v>19.1273539319129</v>
      </c>
      <c r="K2755" s="6" t="n">
        <f aca="false">Sens!K2735</f>
        <v>19.5099010105511</v>
      </c>
    </row>
    <row r="2756" customFormat="false" ht="15" hidden="false" customHeight="false" outlineLevel="0" collapsed="false">
      <c r="A2756" s="0" t="s">
        <v>794</v>
      </c>
      <c r="B2756" s="0" t="s">
        <v>95</v>
      </c>
      <c r="D2756" s="6" t="n">
        <f aca="false">Sens!D2737</f>
        <v>17.315</v>
      </c>
      <c r="E2756" s="6" t="n">
        <f aca="false">Sens!E2737</f>
        <v>17.087</v>
      </c>
      <c r="F2756" s="6" t="n">
        <f aca="false">Sens!F2737</f>
        <v>16.9564585436519</v>
      </c>
      <c r="G2756" s="6" t="n">
        <f aca="false">Sens!G2737</f>
        <v>16.9206490624268</v>
      </c>
      <c r="H2756" s="6" t="n">
        <f aca="false">Sens!H2737</f>
        <v>16.9784519149849</v>
      </c>
      <c r="I2756" s="6" t="n">
        <f aca="false">Sens!I2737</f>
        <v>17.1303084701817</v>
      </c>
      <c r="J2756" s="6" t="n">
        <f aca="false">Sens!J2737</f>
        <v>17.3782189407267</v>
      </c>
      <c r="K2756" s="6" t="n">
        <f aca="false">Sens!K2737</f>
        <v>17.7257833195413</v>
      </c>
    </row>
    <row r="2757" customFormat="false" ht="15" hidden="false" customHeight="false" outlineLevel="0" collapsed="false">
      <c r="A2757" s="0" t="s">
        <v>640</v>
      </c>
      <c r="B2757" s="0" t="s">
        <v>95</v>
      </c>
      <c r="D2757" s="6" t="n">
        <f aca="false">Sens!D2739</f>
        <v>62.941</v>
      </c>
      <c r="E2757" s="6" t="n">
        <f aca="false">Sens!E2739</f>
        <v>63.712</v>
      </c>
      <c r="F2757" s="6" t="n">
        <f aca="false">Sens!F2739</f>
        <v>65.1415764563129</v>
      </c>
      <c r="G2757" s="6" t="n">
        <f aca="false">Sens!G2739</f>
        <v>67.1253610780702</v>
      </c>
      <c r="H2757" s="6" t="n">
        <f aca="false">Sens!H2739</f>
        <v>69.5768050148776</v>
      </c>
      <c r="I2757" s="6" t="n">
        <f aca="false">Sens!I2739</f>
        <v>72.4233188088189</v>
      </c>
      <c r="J2757" s="6" t="n">
        <f aca="false">Sens!J2739</f>
        <v>75.6044096678567</v>
      </c>
      <c r="K2757" s="6" t="n">
        <f aca="false">Sens!K2739</f>
        <v>79.0714397009747</v>
      </c>
    </row>
    <row r="2758" customFormat="false" ht="15" hidden="false" customHeight="false" outlineLevel="0" collapsed="false">
      <c r="A2758" s="1" t="s">
        <v>810</v>
      </c>
      <c r="B2758" s="0" t="s">
        <v>95</v>
      </c>
      <c r="D2758" s="6" t="n">
        <f aca="false">Sens!D2740</f>
        <v>281.724</v>
      </c>
      <c r="E2758" s="6" t="n">
        <f aca="false">Sens!E2740</f>
        <v>331.839</v>
      </c>
      <c r="F2758" s="6" t="n">
        <f aca="false">Sens!F2740</f>
        <v>408.285947698905</v>
      </c>
      <c r="G2758" s="6" t="n">
        <f aca="false">Sens!G2740</f>
        <v>503.337743905504</v>
      </c>
      <c r="H2758" s="6" t="n">
        <f aca="false">Sens!H2740</f>
        <v>606.133283708773</v>
      </c>
      <c r="I2758" s="6" t="n">
        <f aca="false">Sens!I2740</f>
        <v>699.813505319033</v>
      </c>
      <c r="J2758" s="6" t="n">
        <f aca="false">Sens!J2740</f>
        <v>789.531387224478</v>
      </c>
      <c r="K2758" s="6" t="n">
        <f aca="false">Sens!K2740</f>
        <v>876.075869431961</v>
      </c>
    </row>
    <row r="2759" customFormat="false" ht="15" hidden="false" customHeight="false" outlineLevel="0" collapsed="false">
      <c r="A2759" s="1" t="s">
        <v>811</v>
      </c>
      <c r="B2759" s="0" t="s">
        <v>126</v>
      </c>
      <c r="E2759" s="7" t="n">
        <f aca="false">Sens!E2758/Sens!D2758-1</f>
        <v>0.177886867998467</v>
      </c>
      <c r="F2759" s="7" t="n">
        <f aca="false">Sens!F2758/Sens!E2758-1</f>
        <v>0.230373607981296</v>
      </c>
      <c r="G2759" s="7" t="n">
        <f aca="false">Sens!G2758/Sens!F2758-1</f>
        <v>0.23280692549501</v>
      </c>
      <c r="H2759" s="7" t="n">
        <f aca="false">Sens!H2758/Sens!G2758-1</f>
        <v>0.204227759686086</v>
      </c>
      <c r="I2759" s="7" t="n">
        <f aca="false">Sens!I2758/Sens!H2758-1</f>
        <v>0.154553831852055</v>
      </c>
      <c r="J2759" s="7" t="n">
        <f aca="false">Sens!J2758/Sens!I2758-1</f>
        <v>0.128202558572436</v>
      </c>
      <c r="K2759" s="7" t="n">
        <f aca="false">Sens!K2758/Sens!J2758-1</f>
        <v>0.109614998982779</v>
      </c>
    </row>
    <row r="2760" customFormat="false" ht="17.15" hidden="false" customHeight="false" outlineLevel="0" collapsed="false">
      <c r="A2760" s="22" t="s">
        <v>812</v>
      </c>
      <c r="B2760" s="28" t="s">
        <v>95</v>
      </c>
      <c r="C2760" s="28"/>
      <c r="D2760" s="23" t="n">
        <f aca="false">(Sens!D2753+Sens!D2757-Sens!D2758)+(Sens!D2745+Sens!D2746-Sens!D2744)+(Sens!D2748+Sens!D2749-Sens!D2747)+(Sens!D2758-Q!L18)</f>
        <v>0</v>
      </c>
      <c r="E2760" s="23" t="n">
        <f aca="false">(Sens!E2753+Sens!E2757-Sens!E2758)+(Sens!E2745+Sens!E2746-Sens!E2744)+(Sens!E2748+Sens!E2749-Sens!E2747)+(Sens!E2758-Q!M18)</f>
        <v>0</v>
      </c>
      <c r="F2760" s="23" t="n">
        <f aca="false">(Sens!F2753+Sens!F2757-Sens!F2758)+(Sens!F2745+Sens!F2746-Sens!F2744)+(Sens!F2748+Sens!F2749-Sens!F2747)</f>
        <v>0</v>
      </c>
      <c r="G2760" s="23" t="n">
        <f aca="false">(Sens!G2753+Sens!G2757-Sens!G2758)+(Sens!G2745+Sens!G2746-Sens!G2744)+(Sens!G2748+Sens!G2749-Sens!G2747)</f>
        <v>0</v>
      </c>
      <c r="H2760" s="23" t="n">
        <f aca="false">(Sens!H2753+Sens!H2757-Sens!H2758)+(Sens!H2745+Sens!H2746-Sens!H2744)+(Sens!H2748+Sens!H2749-Sens!H2747)</f>
        <v>0</v>
      </c>
      <c r="I2760" s="23" t="n">
        <f aca="false">(Sens!I2753+Sens!I2757-Sens!I2758)+(Sens!I2745+Sens!I2746-Sens!I2744)+(Sens!I2748+Sens!I2749-Sens!I2747)</f>
        <v>0</v>
      </c>
      <c r="J2760" s="23" t="n">
        <f aca="false">(Sens!J2753+Sens!J2757-Sens!J2758)+(Sens!J2745+Sens!J2746-Sens!J2744)+(Sens!J2748+Sens!J2749-Sens!J2747)</f>
        <v>0</v>
      </c>
      <c r="K2760" s="23" t="n">
        <f aca="false">(Sens!K2753+Sens!K2757-Sens!K2758)+(Sens!K2745+Sens!K2746-Sens!K2744)+(Sens!K2748+Sens!K2749-Sens!K2747)</f>
        <v>0</v>
      </c>
    </row>
    <row r="2761" customFormat="false" ht="17.15" hidden="false" customHeight="false" outlineLevel="0" collapsed="false">
      <c r="A2761" s="0" t="s">
        <v>813</v>
      </c>
      <c r="B2761" s="0" t="s">
        <v>126</v>
      </c>
      <c r="E2761" s="7" t="n">
        <f aca="false">(Q!M21+Sens!E2698+Sens!E2699+Sens!E2700+Sens!E2713-Sens!E2696)/(Q!M5-Sens!E2696)</f>
        <v>0.570957350878296</v>
      </c>
      <c r="F2761" s="7" t="n">
        <f aca="false">Sens!$E$2761+dm_seg</f>
        <v>0.570957350878296</v>
      </c>
      <c r="G2761" s="7" t="n">
        <f aca="false">Sens!$E$2761+dm_seg</f>
        <v>0.570957350878296</v>
      </c>
      <c r="H2761" s="7" t="n">
        <f aca="false">Sens!$E$2761+dm_seg</f>
        <v>0.570957350878296</v>
      </c>
      <c r="I2761" s="7" t="n">
        <f aca="false">Sens!$E$2761+dm_seg</f>
        <v>0.570957350878296</v>
      </c>
      <c r="J2761" s="7" t="n">
        <f aca="false">Sens!$E$2761+dm_seg</f>
        <v>0.570957350878296</v>
      </c>
      <c r="K2761" s="7" t="n">
        <f aca="false">Sens!$E$2761+dm_seg</f>
        <v>0.570957350878296</v>
      </c>
      <c r="L2761" s="11" t="s">
        <v>814</v>
      </c>
    </row>
    <row r="2762" customFormat="false" ht="17.15" hidden="false" customHeight="false" outlineLevel="0" collapsed="false">
      <c r="A2762" s="0" t="s">
        <v>654</v>
      </c>
      <c r="B2762" s="0" t="s">
        <v>95</v>
      </c>
      <c r="D2762" s="6" t="n">
        <f aca="false">Q!L21</f>
        <v>110.814</v>
      </c>
      <c r="E2762" s="6" t="n">
        <f aca="false">Q!M21</f>
        <v>136.365</v>
      </c>
      <c r="F2762" s="6" t="n">
        <f aca="false">Sens!F2761*(Sens!F2732-Sens!F2696)+Sens!F2696-(Sens!F2698+Sens!F2699+Sens!F2700)-Sens!F2713</f>
        <v>162.878933760627</v>
      </c>
      <c r="G2762" s="6" t="n">
        <f aca="false">Sens!G2761*(Sens!G2732-Sens!G2696)+Sens!G2696-(Sens!G2698+Sens!G2699+Sens!G2700)-Sens!G2713</f>
        <v>193.685864739228</v>
      </c>
      <c r="H2762" s="6" t="n">
        <f aca="false">Sens!H2761*(Sens!H2732-Sens!H2696)+Sens!H2696-(Sens!H2698+Sens!H2699+Sens!H2700)-Sens!H2713</f>
        <v>229.566707199298</v>
      </c>
      <c r="I2762" s="6" t="n">
        <f aca="false">Sens!I2761*(Sens!I2732-Sens!I2696)+Sens!I2696-(Sens!I2698+Sens!I2699+Sens!I2700)-Sens!I2713</f>
        <v>256.13914278062</v>
      </c>
      <c r="J2762" s="6" t="n">
        <f aca="false">Sens!J2761*(Sens!J2732-Sens!J2696)+Sens!J2696-(Sens!J2698+Sens!J2699+Sens!J2700)-Sens!J2713</f>
        <v>279.320614364629</v>
      </c>
      <c r="K2762" s="6" t="n">
        <f aca="false">Sens!K2761*(Sens!K2732-Sens!K2696)+Sens!K2696-(Sens!K2698+Sens!K2699+Sens!K2700)-Sens!K2713</f>
        <v>299.25933731485</v>
      </c>
      <c r="L2762" s="1" t="s">
        <v>815</v>
      </c>
    </row>
    <row r="2763" customFormat="false" ht="17.15" hidden="false" customHeight="false" outlineLevel="0" collapsed="false">
      <c r="A2763" s="0" t="s">
        <v>816</v>
      </c>
      <c r="B2763" s="0" t="s">
        <v>126</v>
      </c>
      <c r="E2763" s="7" t="n">
        <f aca="false">Q!M22/Q!M12</f>
        <v>0.296207935710698</v>
      </c>
      <c r="F2763" s="7" t="n">
        <f aca="false">Sens!$E$2763+dm_seg</f>
        <v>0.296207935710698</v>
      </c>
      <c r="G2763" s="7" t="n">
        <f aca="false">Sens!$E$2763+dm_seg</f>
        <v>0.296207935710698</v>
      </c>
      <c r="H2763" s="7" t="n">
        <f aca="false">Sens!$E$2763+dm_seg</f>
        <v>0.296207935710698</v>
      </c>
      <c r="I2763" s="7" t="n">
        <f aca="false">Sens!$E$2763+dm_seg</f>
        <v>0.296207935710698</v>
      </c>
      <c r="J2763" s="7" t="n">
        <f aca="false">Sens!$E$2763+dm_seg</f>
        <v>0.296207935710698</v>
      </c>
      <c r="K2763" s="7" t="n">
        <f aca="false">Sens!$E$2763+dm_seg</f>
        <v>0.296207935710698</v>
      </c>
      <c r="L2763" s="11" t="s">
        <v>817</v>
      </c>
    </row>
    <row r="2764" customFormat="false" ht="17.15" hidden="false" customHeight="false" outlineLevel="0" collapsed="false">
      <c r="A2764" s="0" t="s">
        <v>656</v>
      </c>
      <c r="B2764" s="0" t="s">
        <v>95</v>
      </c>
      <c r="D2764" s="6" t="n">
        <f aca="false">Q!L22</f>
        <v>17.714</v>
      </c>
      <c r="E2764" s="6" t="n">
        <f aca="false">Q!M22</f>
        <v>18.872</v>
      </c>
      <c r="F2764" s="6" t="n">
        <f aca="false">Sens!F2739*Sens!F2763</f>
        <v>19.2954518910651</v>
      </c>
      <c r="G2764" s="6" t="n">
        <f aca="false">Sens!G2739*Sens!G2763</f>
        <v>19.8830646387704</v>
      </c>
      <c r="H2764" s="6" t="n">
        <f aca="false">Sens!H2739*Sens!H2763</f>
        <v>20.6092017868026</v>
      </c>
      <c r="I2764" s="6" t="n">
        <f aca="false">Sens!I2739*Sens!I2763</f>
        <v>21.452361761678</v>
      </c>
      <c r="J2764" s="6" t="n">
        <f aca="false">Sens!J2739*Sens!J2763</f>
        <v>22.3946261183418</v>
      </c>
      <c r="K2764" s="6" t="n">
        <f aca="false">Sens!K2739*Sens!K2763</f>
        <v>23.4215879274986</v>
      </c>
    </row>
    <row r="2765" customFormat="false" ht="15" hidden="false" customHeight="false" outlineLevel="0" collapsed="false">
      <c r="A2765" s="1" t="s">
        <v>818</v>
      </c>
      <c r="B2765" s="0" t="s">
        <v>95</v>
      </c>
      <c r="D2765" s="6" t="n">
        <f aca="false">Sens!D2762+Sens!D2764</f>
        <v>128.528</v>
      </c>
      <c r="E2765" s="6" t="n">
        <f aca="false">Sens!E2762+Sens!E2764</f>
        <v>155.237</v>
      </c>
      <c r="F2765" s="6" t="n">
        <f aca="false">Sens!F2762+Sens!F2764</f>
        <v>182.174385651692</v>
      </c>
      <c r="G2765" s="6" t="n">
        <f aca="false">Sens!G2762+Sens!G2764</f>
        <v>213.568929377999</v>
      </c>
      <c r="H2765" s="6" t="n">
        <f aca="false">Sens!H2762+Sens!H2764</f>
        <v>250.1759089861</v>
      </c>
      <c r="I2765" s="6" t="n">
        <f aca="false">Sens!I2762+Sens!I2764</f>
        <v>277.591504542298</v>
      </c>
      <c r="J2765" s="6" t="n">
        <f aca="false">Sens!J2762+Sens!J2764</f>
        <v>301.71524048297</v>
      </c>
      <c r="K2765" s="6" t="n">
        <f aca="false">Sens!K2762+Sens!K2764</f>
        <v>322.680925242348</v>
      </c>
    </row>
    <row r="2766" customFormat="false" ht="15" hidden="false" customHeight="false" outlineLevel="0" collapsed="false">
      <c r="A2766" s="22" t="s">
        <v>819</v>
      </c>
      <c r="B2766" s="28" t="s">
        <v>95</v>
      </c>
      <c r="C2766" s="28"/>
      <c r="D2766" s="23" t="n">
        <f aca="false">Sens!D2765-Q!L23</f>
        <v>0</v>
      </c>
      <c r="E2766" s="23" t="n">
        <f aca="false">Sens!E2765-Q!M23</f>
        <v>0</v>
      </c>
      <c r="F2766" s="28"/>
      <c r="G2766" s="28"/>
      <c r="H2766" s="28"/>
      <c r="I2766" s="28"/>
      <c r="J2766" s="28"/>
      <c r="K2766" s="28"/>
    </row>
    <row r="2767" customFormat="false" ht="15" hidden="false" customHeight="false" outlineLevel="0" collapsed="false">
      <c r="A2767" s="1" t="s">
        <v>820</v>
      </c>
      <c r="B2767" s="0" t="s">
        <v>126</v>
      </c>
      <c r="D2767" s="7" t="n">
        <f aca="false">Sens!D2765/Sens!D2758</f>
        <v>0.456219562408598</v>
      </c>
      <c r="E2767" s="7" t="n">
        <f aca="false">Sens!E2765/Sens!E2758</f>
        <v>0.467808184089272</v>
      </c>
      <c r="F2767" s="7" t="n">
        <f aca="false">Sens!F2765/Sens!F2758</f>
        <v>0.446193131746084</v>
      </c>
      <c r="G2767" s="7" t="n">
        <f aca="false">Sens!G2765/Sens!G2758</f>
        <v>0.424305413142421</v>
      </c>
      <c r="H2767" s="7" t="n">
        <f aca="false">Sens!H2765/Sens!H2758</f>
        <v>0.412740754731927</v>
      </c>
      <c r="I2767" s="7" t="n">
        <f aca="false">Sens!I2765/Sens!I2758</f>
        <v>0.396664972071022</v>
      </c>
      <c r="J2767" s="7" t="n">
        <f aca="false">Sens!J2765/Sens!J2758</f>
        <v>0.382144706803388</v>
      </c>
      <c r="K2767" s="7" t="n">
        <f aca="false">Sens!K2765/Sens!K2758</f>
        <v>0.3683253203305</v>
      </c>
    </row>
    <row r="2768" customFormat="false" ht="17.15" hidden="false" customHeight="false" outlineLevel="0" collapsed="false">
      <c r="A2768" s="1" t="s">
        <v>821</v>
      </c>
      <c r="B2768" s="0" t="s">
        <v>95</v>
      </c>
      <c r="E2768" s="6" t="n">
        <f aca="false">Sens!E2713</f>
        <v>16.3054059770833</v>
      </c>
      <c r="F2768" s="6" t="n">
        <f aca="false">Sens!F2713</f>
        <v>36.5856912614356</v>
      </c>
      <c r="G2768" s="6" t="n">
        <f aca="false">Sens!G2713</f>
        <v>66.8830522661911</v>
      </c>
      <c r="H2768" s="6" t="n">
        <f aca="false">Sens!H2713</f>
        <v>99.5657515455511</v>
      </c>
      <c r="I2768" s="6" t="n">
        <f aca="false">Sens!I2713</f>
        <v>133.342835597214</v>
      </c>
      <c r="J2768" s="6" t="n">
        <f aca="false">Sens!J2713</f>
        <v>168.092150118044</v>
      </c>
      <c r="K2768" s="6" t="n">
        <f aca="false">Sens!K2713</f>
        <v>204.129013098041</v>
      </c>
    </row>
    <row r="2769" customFormat="false" ht="17.15" hidden="false" customHeight="false" outlineLevel="0" collapsed="false">
      <c r="A2769" s="1" t="s">
        <v>822</v>
      </c>
      <c r="B2769" s="0" t="s">
        <v>95</v>
      </c>
      <c r="E2769" s="6" t="n">
        <f aca="false">Sens!E2789</f>
        <v>22.2285940229167</v>
      </c>
      <c r="F2769" s="6" t="n">
        <f aca="false">Sens!F2789</f>
        <v>23.5786693435813</v>
      </c>
      <c r="G2769" s="6" t="n">
        <f aca="false">Sens!G2789</f>
        <v>25.3810917662621</v>
      </c>
      <c r="H2769" s="6" t="n">
        <f aca="false">Sens!H2789</f>
        <v>27.5991339540448</v>
      </c>
      <c r="I2769" s="6" t="n">
        <f aca="false">Sens!I2789</f>
        <v>30.1565605898047</v>
      </c>
      <c r="J2769" s="6" t="n">
        <f aca="false">Sens!J2789</f>
        <v>32.9614958558616</v>
      </c>
      <c r="K2769" s="6" t="n">
        <f aca="false">Sens!K2789</f>
        <v>35.9297165444749</v>
      </c>
    </row>
    <row r="2770" customFormat="false" ht="17.15" hidden="false" customHeight="false" outlineLevel="0" collapsed="false">
      <c r="A2770" s="1" t="s">
        <v>823</v>
      </c>
      <c r="B2770" s="0" t="s">
        <v>95</v>
      </c>
      <c r="D2770" s="6" t="n">
        <f aca="false">Q!L27</f>
        <v>-4.901</v>
      </c>
      <c r="E2770" s="6" t="n">
        <f aca="false">Q!M27</f>
        <v>10.697</v>
      </c>
      <c r="F2770" s="6" t="n">
        <f aca="false">oie_f</f>
        <v>-0.4</v>
      </c>
      <c r="G2770" s="6" t="n">
        <f aca="false">oie_f</f>
        <v>-0.4</v>
      </c>
      <c r="H2770" s="6" t="n">
        <f aca="false">oie_f</f>
        <v>-0.4</v>
      </c>
      <c r="I2770" s="6" t="n">
        <f aca="false">oie_f</f>
        <v>-0.4</v>
      </c>
      <c r="J2770" s="6" t="n">
        <f aca="false">oie_f</f>
        <v>-0.4</v>
      </c>
      <c r="K2770" s="6" t="n">
        <f aca="false">oie_f</f>
        <v>-0.4</v>
      </c>
      <c r="L2770" s="11" t="s">
        <v>824</v>
      </c>
    </row>
    <row r="2771" customFormat="false" ht="15" hidden="false" customHeight="false" outlineLevel="0" collapsed="false">
      <c r="A2771" s="1" t="s">
        <v>666</v>
      </c>
      <c r="B2771" s="0" t="s">
        <v>95</v>
      </c>
      <c r="D2771" s="6" t="n">
        <f aca="false">Sens!D2765+Sens!D2770</f>
        <v>123.627</v>
      </c>
      <c r="E2771" s="6" t="n">
        <f aca="false">Sens!E2765+Sens!E2770</f>
        <v>165.934</v>
      </c>
      <c r="F2771" s="6" t="n">
        <f aca="false">Sens!F2765+Sens!F2770</f>
        <v>181.774385651692</v>
      </c>
      <c r="G2771" s="6" t="n">
        <f aca="false">Sens!G2765+Sens!G2770</f>
        <v>213.168929377999</v>
      </c>
      <c r="H2771" s="6" t="n">
        <f aca="false">Sens!H2765+Sens!H2770</f>
        <v>249.7759089861</v>
      </c>
      <c r="I2771" s="6" t="n">
        <f aca="false">Sens!I2765+Sens!I2770</f>
        <v>277.191504542298</v>
      </c>
      <c r="J2771" s="6" t="n">
        <f aca="false">Sens!J2765+Sens!J2770</f>
        <v>301.31524048297</v>
      </c>
      <c r="K2771" s="6" t="n">
        <f aca="false">Sens!K2765+Sens!K2770</f>
        <v>322.280925242348</v>
      </c>
    </row>
    <row r="2772" customFormat="false" ht="15" hidden="false" customHeight="false" outlineLevel="0" collapsed="false">
      <c r="A2772" s="1" t="s">
        <v>668</v>
      </c>
      <c r="B2772" s="0" t="s">
        <v>95</v>
      </c>
      <c r="D2772" s="6" t="n">
        <f aca="false">Q!L29</f>
        <v>21.795</v>
      </c>
      <c r="E2772" s="6" t="n">
        <f aca="false">Q!M29</f>
        <v>32.185</v>
      </c>
      <c r="F2772" s="6" t="n">
        <f aca="false">Sens!F2771*tax_f</f>
        <v>36.3548771303384</v>
      </c>
      <c r="G2772" s="6" t="n">
        <f aca="false">Sens!G2771*tax_f</f>
        <v>42.6337858755998</v>
      </c>
      <c r="H2772" s="6" t="n">
        <f aca="false">Sens!H2771*tax_f</f>
        <v>49.9551817972201</v>
      </c>
      <c r="I2772" s="6" t="n">
        <f aca="false">Sens!I2771*tax_f</f>
        <v>55.4383009084597</v>
      </c>
      <c r="J2772" s="6" t="n">
        <f aca="false">Sens!J2771*tax_f</f>
        <v>60.2630480965941</v>
      </c>
      <c r="K2772" s="6" t="n">
        <f aca="false">Sens!K2771*tax_f</f>
        <v>64.4561850484697</v>
      </c>
    </row>
    <row r="2773" customFormat="false" ht="15" hidden="false" customHeight="false" outlineLevel="0" collapsed="false">
      <c r="A2773" s="1" t="s">
        <v>825</v>
      </c>
      <c r="B2773" s="0" t="s">
        <v>95</v>
      </c>
      <c r="D2773" s="6" t="n">
        <f aca="false">Sens!D2771-Sens!D2772</f>
        <v>101.832</v>
      </c>
      <c r="E2773" s="6" t="n">
        <f aca="false">Sens!E2771-Sens!E2772</f>
        <v>133.749</v>
      </c>
      <c r="F2773" s="6" t="n">
        <f aca="false">Sens!F2771-Sens!F2772</f>
        <v>145.419508521354</v>
      </c>
      <c r="G2773" s="6" t="n">
        <f aca="false">Sens!G2771-Sens!G2772</f>
        <v>170.535143502399</v>
      </c>
      <c r="H2773" s="6" t="n">
        <f aca="false">Sens!H2771-Sens!H2772</f>
        <v>199.82072718888</v>
      </c>
      <c r="I2773" s="6" t="n">
        <f aca="false">Sens!I2771-Sens!I2772</f>
        <v>221.753203633839</v>
      </c>
      <c r="J2773" s="6" t="n">
        <f aca="false">Sens!J2771-Sens!J2772</f>
        <v>241.052192386376</v>
      </c>
      <c r="K2773" s="6" t="n">
        <f aca="false">Sens!K2771-Sens!K2772</f>
        <v>257.824740193879</v>
      </c>
    </row>
    <row r="2774" customFormat="false" ht="17.15" hidden="false" customHeight="false" outlineLevel="0" collapsed="false">
      <c r="A2774" s="1" t="s">
        <v>826</v>
      </c>
      <c r="B2774" s="1" t="s">
        <v>79</v>
      </c>
      <c r="D2774" s="18" t="n">
        <f aca="false">Q!L31</f>
        <v>7.465</v>
      </c>
      <c r="E2774" s="18" t="n">
        <f aca="false">Q!M31</f>
        <v>7.453</v>
      </c>
      <c r="F2774" s="18" t="n">
        <f aca="false">Sens!F2811</f>
        <v>7.4735</v>
      </c>
      <c r="G2774" s="18" t="n">
        <f aca="false">Sens!G2811</f>
        <v>7.5185</v>
      </c>
      <c r="H2774" s="18" t="n">
        <f aca="false">Sens!H2811</f>
        <v>7.54625158584995</v>
      </c>
      <c r="I2774" s="18" t="n">
        <f aca="false">Sens!I2811</f>
        <v>7.55803241785726</v>
      </c>
      <c r="J2774" s="18" t="n">
        <f aca="false">Sens!J2811</f>
        <v>7.57227392897515</v>
      </c>
      <c r="K2774" s="18" t="n">
        <f aca="false">Sens!K2811</f>
        <v>7.58879384667689</v>
      </c>
    </row>
    <row r="2775" customFormat="false" ht="17.15" hidden="false" customHeight="false" outlineLevel="0" collapsed="false">
      <c r="A2775" s="0" t="s">
        <v>827</v>
      </c>
      <c r="B2775" s="0" t="s">
        <v>73</v>
      </c>
      <c r="D2775" s="8" t="n">
        <f aca="false">Sens!D2773/Sens!D2774</f>
        <v>13.641259209645</v>
      </c>
      <c r="E2775" s="8" t="n">
        <f aca="false">Sens!E2773/Sens!E2774</f>
        <v>17.9456594659869</v>
      </c>
      <c r="F2775" s="8" t="n">
        <f aca="false">Sens!F2773/Sens!F2774</f>
        <v>19.458019471647</v>
      </c>
      <c r="G2775" s="8" t="n">
        <f aca="false">Sens!G2773/Sens!G2774</f>
        <v>22.6820700275852</v>
      </c>
      <c r="H2775" s="8" t="n">
        <f aca="false">Sens!H2773/Sens!H2774</f>
        <v>26.4794679736846</v>
      </c>
      <c r="I2775" s="8" t="n">
        <f aca="false">Sens!I2773/Sens!I2774</f>
        <v>29.3400704540384</v>
      </c>
      <c r="J2775" s="8" t="n">
        <f aca="false">Sens!J2773/Sens!J2774</f>
        <v>31.8335277681906</v>
      </c>
      <c r="K2775" s="8" t="n">
        <f aca="false">Sens!K2773/Sens!K2774</f>
        <v>33.9744029687642</v>
      </c>
      <c r="L2775" s="1" t="s">
        <v>828</v>
      </c>
    </row>
    <row r="2776" customFormat="false" ht="17.15" hidden="false" customHeight="false" outlineLevel="0" collapsed="false">
      <c r="A2776" s="0" t="s">
        <v>829</v>
      </c>
      <c r="B2776" s="0" t="s">
        <v>126</v>
      </c>
      <c r="E2776" s="7" t="n">
        <f aca="false">Sens!E2775/Sens!D2775-1</f>
        <v>0.315542736208578</v>
      </c>
      <c r="F2776" s="7" t="n">
        <f aca="false">Sens!F2775/Sens!E2775-1</f>
        <v>0.0842744179185262</v>
      </c>
      <c r="G2776" s="7" t="n">
        <f aca="false">Sens!G2775/Sens!F2775-1</f>
        <v>0.165692636942627</v>
      </c>
      <c r="H2776" s="7" t="n">
        <f aca="false">Sens!H2775/Sens!G2775-1</f>
        <v>0.167418491411109</v>
      </c>
      <c r="I2776" s="7" t="n">
        <f aca="false">Sens!I2775/Sens!H2775-1</f>
        <v>0.108030965093284</v>
      </c>
      <c r="J2776" s="7" t="n">
        <f aca="false">Sens!J2775/Sens!I2775-1</f>
        <v>0.0849847077926487</v>
      </c>
      <c r="K2776" s="7" t="n">
        <f aca="false">Sens!K2775/Sens!J2775-1</f>
        <v>0.0672522133319076</v>
      </c>
    </row>
    <row r="2777" customFormat="false" ht="17.15" hidden="false" customHeight="false" outlineLevel="0" collapsed="false">
      <c r="A2777" s="0" t="s">
        <v>763</v>
      </c>
      <c r="B2777" s="0" t="s">
        <v>95</v>
      </c>
      <c r="E2777" s="6" t="n">
        <f aca="false">Sens!E2722</f>
        <v>5.25</v>
      </c>
      <c r="F2777" s="6" t="n">
        <f aca="false">Sens!F2722</f>
        <v>13.5</v>
      </c>
      <c r="G2777" s="6" t="n">
        <f aca="false">Sens!G2722</f>
        <v>22.5</v>
      </c>
      <c r="H2777" s="6" t="n">
        <f aca="false">Sens!H2722</f>
        <v>31.5</v>
      </c>
      <c r="I2777" s="6" t="n">
        <f aca="false">Sens!I2722</f>
        <v>38.25</v>
      </c>
      <c r="J2777" s="6" t="n">
        <f aca="false">Sens!J2722</f>
        <v>42.75</v>
      </c>
      <c r="K2777" s="6" t="n">
        <f aca="false">Sens!K2722</f>
        <v>47.25</v>
      </c>
    </row>
    <row r="2778" customFormat="false" ht="17.15" hidden="false" customHeight="false" outlineLevel="0" collapsed="false">
      <c r="A2778" s="0" t="s">
        <v>764</v>
      </c>
      <c r="B2778" s="0" t="s">
        <v>95</v>
      </c>
      <c r="E2778" s="6" t="n">
        <f aca="false">Sens!E2702+Sens!E2777*Sens!E2761-Sens!E2703-Sens!E2713</f>
        <v>2.1514866143068</v>
      </c>
      <c r="F2778" s="6" t="n">
        <f aca="false">Sens!F2702+Sens!F2777*Sens!F2761-Sens!F2703-Sens!F2713</f>
        <v>10.318260793535</v>
      </c>
      <c r="G2778" s="6" t="n">
        <f aca="false">Sens!G2702+Sens!G2777*Sens!G2761-Sens!G2703-Sens!G2713</f>
        <v>22.0437628116928</v>
      </c>
      <c r="H2778" s="6" t="n">
        <f aca="false">Sens!H2702+Sens!H2777*Sens!H2761-Sens!H2703-Sens!H2713</f>
        <v>38.6610275204606</v>
      </c>
      <c r="I2778" s="6" t="n">
        <f aca="false">Sens!I2702+Sens!I2777*Sens!I2761-Sens!I2703-Sens!I2713</f>
        <v>46.4578777064412</v>
      </c>
      <c r="J2778" s="6" t="n">
        <f aca="false">Sens!J2702+Sens!J2777*Sens!J2761-Sens!J2703-Sens!J2713</f>
        <v>52.1025615160907</v>
      </c>
      <c r="K2778" s="6" t="n">
        <f aca="false">Sens!K2702+Sens!K2777*Sens!K2761-Sens!K2703-Sens!K2713</f>
        <v>56.519990663428</v>
      </c>
    </row>
    <row r="2779" customFormat="false" ht="17.15" hidden="false" customHeight="false" outlineLevel="0" collapsed="false">
      <c r="A2779" s="0" t="s">
        <v>765</v>
      </c>
      <c r="B2779" s="0" t="s">
        <v>95</v>
      </c>
      <c r="E2779" s="6" t="n">
        <f aca="false">Sens!E2685*(cxit_open+self_build*tk_cxfac)/1000*ai_net_open</f>
        <v>126.6980382</v>
      </c>
      <c r="F2779" s="6" t="n">
        <f aca="false">Sens!E2779+Sens!F2710-Sens!F2713</f>
        <v>285.357616735791</v>
      </c>
      <c r="G2779" s="6" t="n">
        <f aca="false">Sens!F2779+Sens!G2710-Sens!G2713</f>
        <v>438.76358104944</v>
      </c>
      <c r="H2779" s="6" t="n">
        <f aca="false">Sens!G2779+Sens!H2710-Sens!H2713</f>
        <v>564.894172596369</v>
      </c>
      <c r="I2779" s="6" t="n">
        <f aca="false">Sens!H2779+Sens!I2710-Sens!I2713</f>
        <v>687.506355438301</v>
      </c>
      <c r="J2779" s="6" t="n">
        <f aca="false">Sens!I2779+Sens!J2710-Sens!J2713</f>
        <v>790.80732342607</v>
      </c>
      <c r="K2779" s="6" t="n">
        <f aca="false">Sens!J2779+Sens!K2710-Sens!K2713</f>
        <v>903.150679460509</v>
      </c>
      <c r="L2779" s="1" t="s">
        <v>766</v>
      </c>
    </row>
    <row r="2780" customFormat="false" ht="17.15" hidden="false" customHeight="false" outlineLevel="0" collapsed="false">
      <c r="A2780" s="0" t="s">
        <v>767</v>
      </c>
      <c r="B2780" s="0" t="s">
        <v>126</v>
      </c>
      <c r="F2780" s="7" t="n">
        <f aca="false">Sens!F2778*(1-tax_f)/((Sens!E2779+Sens!F2779)/2)</f>
        <v>0.0400655034627024</v>
      </c>
      <c r="G2780" s="7" t="n">
        <f aca="false">Sens!G2778*(1-tax_f)/((Sens!F2779+Sens!G2779)/2)</f>
        <v>0.0487073443044949</v>
      </c>
      <c r="H2780" s="7" t="n">
        <f aca="false">Sens!H2778*(1-tax_f)/((Sens!G2779+Sens!H2779)/2)</f>
        <v>0.0616322085970418</v>
      </c>
      <c r="I2780" s="7" t="n">
        <f aca="false">Sens!I2778*(1-tax_f)/((Sens!H2779+Sens!I2779)/2)</f>
        <v>0.0593521023557475</v>
      </c>
      <c r="J2780" s="7" t="n">
        <f aca="false">Sens!J2778*(1-tax_f)/((Sens!I2779+Sens!J2779)/2)</f>
        <v>0.0563913461788332</v>
      </c>
      <c r="K2780" s="7" t="n">
        <f aca="false">Sens!K2778*(1-tax_f)/((Sens!J2779+Sens!K2779)/2)</f>
        <v>0.0533850218880189</v>
      </c>
    </row>
    <row r="2781" customFormat="false" ht="17.15" hidden="false" customHeight="false" outlineLevel="0" collapsed="false">
      <c r="A2781" s="1" t="s">
        <v>768</v>
      </c>
      <c r="B2781" s="0" t="s">
        <v>126</v>
      </c>
      <c r="F2781" s="7" t="n">
        <f aca="false">Sens!F2714*(1-tax_f)/(Sens!F2701*(Sens!E2779+Sens!F2779)/2)</f>
        <v>0.156750823796353</v>
      </c>
      <c r="G2781" s="7" t="n">
        <f aca="false">Sens!G2714*(1-tax_f)/(Sens!G2701*(Sens!F2779+Sens!G2779)/2)</f>
        <v>0.177010213324695</v>
      </c>
      <c r="H2781" s="7" t="n">
        <f aca="false">Sens!H2714*(1-tax_f)/(Sens!H2701*(Sens!G2779+Sens!H2779)/2)</f>
        <v>0.207230035452634</v>
      </c>
      <c r="I2781" s="7" t="n">
        <f aca="false">Sens!I2714*(1-tax_f)/(Sens!I2701*(Sens!H2779+Sens!I2779)/2)</f>
        <v>0.214715061352887</v>
      </c>
      <c r="J2781" s="7" t="n">
        <f aca="false">Sens!J2714*(1-tax_f)/(Sens!J2701*(Sens!I2779+Sens!J2779)/2)</f>
        <v>0.222262310318384</v>
      </c>
      <c r="K2781" s="7" t="n">
        <f aca="false">Sens!K2714*(1-tax_f)/(Sens!K2701*(Sens!J2779+Sens!K2779)/2)</f>
        <v>0.228074935711206</v>
      </c>
    </row>
    <row r="2782" customFormat="false" ht="17.15" hidden="false" customHeight="false" outlineLevel="0" collapsed="false">
      <c r="A2782" s="0" t="s">
        <v>769</v>
      </c>
      <c r="B2782" s="0" t="s">
        <v>208</v>
      </c>
      <c r="F2782" s="7" t="n">
        <f aca="false">Sens!F2780-wacc</f>
        <v>-0.0688977176875516</v>
      </c>
      <c r="G2782" s="7" t="n">
        <f aca="false">Sens!G2780-wacc</f>
        <v>-0.060255876845759</v>
      </c>
      <c r="H2782" s="7" t="n">
        <f aca="false">Sens!H2780-wacc</f>
        <v>-0.0473310125532121</v>
      </c>
      <c r="I2782" s="7" t="n">
        <f aca="false">Sens!I2780-wacc</f>
        <v>-0.0496111187945065</v>
      </c>
      <c r="J2782" s="7" t="n">
        <f aca="false">Sens!J2780-wacc</f>
        <v>-0.0525718749714208</v>
      </c>
      <c r="K2782" s="7" t="n">
        <f aca="false">Sens!K2780-wacc</f>
        <v>-0.0555781992622351</v>
      </c>
    </row>
    <row r="2783" customFormat="false" ht="17.15" hidden="false" customHeight="false" outlineLevel="0" collapsed="false">
      <c r="A2783" s="0" t="s">
        <v>770</v>
      </c>
      <c r="B2783" s="0" t="s">
        <v>95</v>
      </c>
      <c r="F2783" s="6" t="n">
        <f aca="false">Sens!F2778*(1-tax_f)-wacc*(Sens!E2779+Sens!F2779)/2</f>
        <v>-14.1948470926627</v>
      </c>
      <c r="G2783" s="6" t="n">
        <f aca="false">Sens!G2778*(1-tax_f)-wacc*(Sens!F2779+Sens!G2779)/2</f>
        <v>-21.8162788575752</v>
      </c>
      <c r="H2783" s="6" t="n">
        <f aca="false">Sens!H2778*(1-tax_f)-wacc*(Sens!G2779+Sens!H2779)/2</f>
        <v>-23.7520688684692</v>
      </c>
      <c r="I2783" s="6" t="n">
        <f aca="false">Sens!I2778*(1-tax_f)-wacc*(Sens!H2779+Sens!I2779)/2</f>
        <v>-31.0664956873153</v>
      </c>
      <c r="J2783" s="6" t="n">
        <f aca="false">Sens!J2778*(1-tax_f)-wacc*(Sens!I2779+Sens!J2779)/2</f>
        <v>-38.8588609468994</v>
      </c>
      <c r="K2783" s="6" t="n">
        <f aca="false">Sens!K2778*(1-tax_f)-wacc*(Sens!J2779+Sens!K2779)/2</f>
        <v>-47.073567713144</v>
      </c>
    </row>
    <row r="2784" customFormat="false" ht="17.15" hidden="false" customHeight="false" outlineLevel="0" collapsed="false">
      <c r="A2784" s="1" t="s">
        <v>771</v>
      </c>
      <c r="B2784" s="0" t="s">
        <v>95</v>
      </c>
      <c r="F2784" s="6" t="n">
        <f aca="false">(Sens!E2686+Sens!F2686)/2*Sens!F2693/1000</f>
        <v>28.7350155556383</v>
      </c>
      <c r="G2784" s="6" t="n">
        <f aca="false">(Sens!F2686+Sens!G2686)/2*Sens!G2693/1000</f>
        <v>51.2569478617304</v>
      </c>
      <c r="H2784" s="6" t="n">
        <f aca="false">(Sens!G2686+Sens!H2686)/2*Sens!H2693/1000</f>
        <v>75.2660535183367</v>
      </c>
      <c r="I2784" s="6" t="n">
        <f aca="false">(Sens!H2686+Sens!I2686)/2*Sens!I2693/1000</f>
        <v>99.4475428287307</v>
      </c>
      <c r="J2784" s="6" t="n">
        <f aca="false">(Sens!I2686+Sens!J2686)/2*Sens!J2693/1000</f>
        <v>123.716241423902</v>
      </c>
      <c r="K2784" s="6" t="n">
        <f aca="false">(Sens!J2686+Sens!K2686)/2*Sens!K2693/1000</f>
        <v>148.03515270702</v>
      </c>
      <c r="L2784" s="1" t="s">
        <v>772</v>
      </c>
    </row>
    <row r="2785" customFormat="false" ht="17.15" hidden="false" customHeight="false" outlineLevel="0" collapsed="false">
      <c r="A2785" s="1" t="s">
        <v>773</v>
      </c>
      <c r="B2785" s="0" t="s">
        <v>126</v>
      </c>
      <c r="F2785" s="7" t="n">
        <f aca="false">(Sens!F2702+Sens!F2784-Sens!F2703-Sens!F2713)*(1-tax_f)/((Sens!E2779+Sens!F2779)/2)</f>
        <v>0.121713081179583</v>
      </c>
      <c r="G2785" s="7" t="n">
        <f aca="false">(Sens!G2702+Sens!G2784-Sens!G2703-Sens!G2713)*(1-tax_f)/((Sens!F2779+Sens!G2779)/2)</f>
        <v>0.133578015312496</v>
      </c>
      <c r="H2785" s="7" t="n">
        <f aca="false">(Sens!H2702+Sens!H2784-Sens!H2703-Sens!H2713)*(1-tax_f)/((Sens!G2779+Sens!H2779)/2)</f>
        <v>0.152947634410427</v>
      </c>
      <c r="I2785" s="7" t="n">
        <f aca="false">(Sens!I2702+Sens!I2784-Sens!I2703-Sens!I2713)*(1-tax_f)/((Sens!H2779+Sens!I2779)/2)</f>
        <v>0.158500478512277</v>
      </c>
      <c r="J2785" s="7" t="n">
        <f aca="false">(Sens!J2702+Sens!J2784-Sens!J2703-Sens!J2713)*(1-tax_f)/((Sens!I2779+Sens!J2779)/2)</f>
        <v>0.163873611783131</v>
      </c>
      <c r="K2785" s="7" t="n">
        <f aca="false">(Sens!K2702+Sens!K2784-Sens!K2703-Sens!K2713)*(1-tax_f)/((Sens!J2779+Sens!K2779)/2)</f>
        <v>0.167727802685874</v>
      </c>
      <c r="L2785" s="1" t="s">
        <v>774</v>
      </c>
    </row>
    <row r="2786" customFormat="false" ht="17.15" hidden="false" customHeight="false" outlineLevel="0" collapsed="false">
      <c r="A2786" s="3" t="s">
        <v>1192</v>
      </c>
    </row>
    <row r="2787" customFormat="false" ht="15" hidden="false" customHeight="false" outlineLevel="0" collapsed="false">
      <c r="A2787" s="4" t="s">
        <v>43</v>
      </c>
      <c r="B2787" s="4" t="s">
        <v>63</v>
      </c>
      <c r="C2787" s="19" t="s">
        <v>710</v>
      </c>
      <c r="D2787" s="19" t="s">
        <v>711</v>
      </c>
      <c r="E2787" s="19" t="s">
        <v>712</v>
      </c>
      <c r="F2787" s="19" t="s">
        <v>713</v>
      </c>
      <c r="G2787" s="19" t="s">
        <v>714</v>
      </c>
      <c r="H2787" s="19" t="s">
        <v>715</v>
      </c>
      <c r="I2787" s="19" t="s">
        <v>716</v>
      </c>
      <c r="J2787" s="19" t="s">
        <v>717</v>
      </c>
      <c r="K2787" s="19" t="s">
        <v>718</v>
      </c>
      <c r="L2787" s="4" t="s">
        <v>47</v>
      </c>
    </row>
    <row r="2788" customFormat="false" ht="15" hidden="false" customHeight="false" outlineLevel="0" collapsed="false">
      <c r="A2788" s="1" t="s">
        <v>825</v>
      </c>
      <c r="B2788" s="0" t="s">
        <v>95</v>
      </c>
      <c r="F2788" s="6" t="n">
        <f aca="false">Sens!F2773</f>
        <v>145.419508521354</v>
      </c>
      <c r="G2788" s="6" t="n">
        <f aca="false">Sens!G2773</f>
        <v>170.535143502399</v>
      </c>
      <c r="H2788" s="6" t="n">
        <f aca="false">Sens!H2773</f>
        <v>199.82072718888</v>
      </c>
      <c r="I2788" s="6" t="n">
        <f aca="false">Sens!I2773</f>
        <v>221.753203633839</v>
      </c>
      <c r="J2788" s="6" t="n">
        <f aca="false">Sens!J2773</f>
        <v>241.052192386376</v>
      </c>
      <c r="K2788" s="6" t="n">
        <f aca="false">Sens!K2773</f>
        <v>257.824740193879</v>
      </c>
    </row>
    <row r="2789" customFormat="false" ht="17.15" hidden="false" customHeight="false" outlineLevel="0" collapsed="false">
      <c r="A2789" s="1" t="s">
        <v>843</v>
      </c>
      <c r="B2789" s="0" t="s">
        <v>95</v>
      </c>
      <c r="E2789" s="6" t="n">
        <f aca="false">Q!M38-Sens!E2713</f>
        <v>22.2285940229167</v>
      </c>
      <c r="F2789" s="6" t="n">
        <f aca="false">Sens!E2789*(1-1/life_nonai)+Sens!F2795/life_nonai</f>
        <v>23.5786693435813</v>
      </c>
      <c r="G2789" s="6" t="n">
        <f aca="false">Sens!F2789*(1-1/life_nonai)+Sens!G2795/life_nonai</f>
        <v>25.3810917662621</v>
      </c>
      <c r="H2789" s="6" t="n">
        <f aca="false">Sens!G2789*(1-1/life_nonai)+Sens!H2795/life_nonai</f>
        <v>27.5991339540448</v>
      </c>
      <c r="I2789" s="6" t="n">
        <f aca="false">Sens!H2789*(1-1/life_nonai)+Sens!I2795/life_nonai</f>
        <v>30.1565605898047</v>
      </c>
      <c r="J2789" s="6" t="n">
        <f aca="false">Sens!I2789*(1-1/life_nonai)+Sens!J2795/life_nonai</f>
        <v>32.9614958558616</v>
      </c>
      <c r="K2789" s="6" t="n">
        <f aca="false">Sens!J2789*(1-1/life_nonai)+Sens!K2795/life_nonai</f>
        <v>35.9297165444749</v>
      </c>
      <c r="L2789" s="11" t="s">
        <v>844</v>
      </c>
    </row>
    <row r="2790" customFormat="false" ht="17.15" hidden="false" customHeight="false" outlineLevel="0" collapsed="false">
      <c r="A2790" s="1" t="s">
        <v>845</v>
      </c>
      <c r="B2790" s="0" t="s">
        <v>95</v>
      </c>
      <c r="E2790" s="6" t="n">
        <f aca="false">Sens!E2713+Sens!E2789</f>
        <v>38.534</v>
      </c>
      <c r="F2790" s="6" t="n">
        <f aca="false">Sens!F2713+Sens!F2789</f>
        <v>60.1643606050168</v>
      </c>
      <c r="G2790" s="6" t="n">
        <f aca="false">Sens!G2713+Sens!G2789</f>
        <v>92.2641440324532</v>
      </c>
      <c r="H2790" s="6" t="n">
        <f aca="false">Sens!H2713+Sens!H2789</f>
        <v>127.164885499596</v>
      </c>
      <c r="I2790" s="6" t="n">
        <f aca="false">Sens!I2713+Sens!I2789</f>
        <v>163.499396187019</v>
      </c>
      <c r="J2790" s="6" t="n">
        <f aca="false">Sens!J2713+Sens!J2789</f>
        <v>201.053645973906</v>
      </c>
      <c r="K2790" s="6" t="n">
        <f aca="false">Sens!K2713+Sens!K2789</f>
        <v>240.058729642516</v>
      </c>
    </row>
    <row r="2791" customFormat="false" ht="15" hidden="false" customHeight="false" outlineLevel="0" collapsed="false">
      <c r="A2791" s="1" t="s">
        <v>685</v>
      </c>
      <c r="B2791" s="0" t="s">
        <v>95</v>
      </c>
      <c r="F2791" s="6" t="n">
        <f aca="false">Sens!F2740*sbc_r</f>
        <v>15.262784607008</v>
      </c>
      <c r="G2791" s="6" t="n">
        <f aca="false">Sens!G2740*sbc_r</f>
        <v>18.8160665658581</v>
      </c>
      <c r="H2791" s="6" t="n">
        <f aca="false">Sens!H2740*sbc_r</f>
        <v>22.6588296867075</v>
      </c>
      <c r="I2791" s="6" t="n">
        <f aca="false">Sens!I2740*sbc_r</f>
        <v>26.1608386400712</v>
      </c>
      <c r="J2791" s="6" t="n">
        <f aca="false">Sens!J2740*sbc_r</f>
        <v>29.514725088129</v>
      </c>
      <c r="K2791" s="6" t="n">
        <f aca="false">Sens!K2740*sbc_r</f>
        <v>32.7499816486413</v>
      </c>
    </row>
    <row r="2792" customFormat="false" ht="17.15" hidden="false" customHeight="false" outlineLevel="0" collapsed="false">
      <c r="A2792" s="1" t="s">
        <v>846</v>
      </c>
      <c r="B2792" s="0" t="s">
        <v>95</v>
      </c>
      <c r="F2792" s="6" t="n">
        <f aca="false">wc27</f>
        <v>-4.895</v>
      </c>
      <c r="G2792" s="6" t="n">
        <f aca="false">0</f>
        <v>0</v>
      </c>
      <c r="H2792" s="6" t="n">
        <f aca="false">0</f>
        <v>0</v>
      </c>
      <c r="I2792" s="6" t="n">
        <f aca="false">0</f>
        <v>0</v>
      </c>
      <c r="J2792" s="6" t="n">
        <f aca="false">0</f>
        <v>0</v>
      </c>
      <c r="K2792" s="6" t="n">
        <f aca="false">0</f>
        <v>0</v>
      </c>
      <c r="L2792" s="11" t="s">
        <v>847</v>
      </c>
    </row>
    <row r="2793" customFormat="false" ht="15" hidden="false" customHeight="false" outlineLevel="0" collapsed="false">
      <c r="A2793" s="1" t="s">
        <v>678</v>
      </c>
      <c r="B2793" s="0" t="s">
        <v>95</v>
      </c>
      <c r="E2793" s="6" t="n">
        <f aca="false">Q!M35</f>
        <v>182.935</v>
      </c>
      <c r="F2793" s="6" t="n">
        <f aca="false">Sens!F2788+Sens!F2790+Sens!F2791+Sens!F2792</f>
        <v>215.951653733379</v>
      </c>
      <c r="G2793" s="6" t="n">
        <f aca="false">Sens!G2788+Sens!G2790+Sens!G2791+Sens!G2792</f>
        <v>281.61535410071</v>
      </c>
      <c r="H2793" s="6" t="n">
        <f aca="false">Sens!H2788+Sens!H2790+Sens!H2791+Sens!H2792</f>
        <v>349.644442375184</v>
      </c>
      <c r="I2793" s="6" t="n">
        <f aca="false">Sens!I2788+Sens!I2790+Sens!I2791+Sens!I2792</f>
        <v>411.413438460929</v>
      </c>
      <c r="J2793" s="6" t="n">
        <f aca="false">Sens!J2788+Sens!J2790+Sens!J2791+Sens!J2792</f>
        <v>471.620563448411</v>
      </c>
      <c r="K2793" s="6" t="n">
        <f aca="false">Sens!K2788+Sens!K2790+Sens!K2791+Sens!K2792</f>
        <v>530.633451485036</v>
      </c>
    </row>
    <row r="2794" customFormat="false" ht="17.15" hidden="false" customHeight="false" outlineLevel="0" collapsed="false">
      <c r="A2794" s="0" t="s">
        <v>848</v>
      </c>
      <c r="B2794" s="0" t="s">
        <v>95</v>
      </c>
      <c r="F2794" s="6" t="n">
        <f aca="false">Sens!F2710</f>
        <v>195.245269797227</v>
      </c>
      <c r="G2794" s="6" t="n">
        <f aca="false">Sens!G2710</f>
        <v>220.28901657984</v>
      </c>
      <c r="H2794" s="6" t="n">
        <f aca="false">Sens!H2710</f>
        <v>225.69634309248</v>
      </c>
      <c r="I2794" s="6" t="n">
        <f aca="false">Sens!I2710</f>
        <v>255.955018439147</v>
      </c>
      <c r="J2794" s="6" t="n">
        <f aca="false">Sens!J2710</f>
        <v>271.393118105813</v>
      </c>
      <c r="K2794" s="6" t="n">
        <f aca="false">Sens!K2710</f>
        <v>316.47236913248</v>
      </c>
    </row>
    <row r="2795" customFormat="false" ht="17.15" hidden="false" customHeight="false" outlineLevel="0" collapsed="false">
      <c r="A2795" s="1" t="s">
        <v>849</v>
      </c>
      <c r="B2795" s="0" t="s">
        <v>95</v>
      </c>
      <c r="E2795" s="6" t="n">
        <f aca="false">Sens!E2718*cx_azo+Sens!E2725*cx_m365+Sens!E2726*cx_lic+(Sens!E2728+Sens!E2730)*cx_ind+Sens!E2733*cx_srch+(Sens!E2735+Sens!E2737)*cx_dev</f>
        <v>30.1846587067718</v>
      </c>
      <c r="F2795" s="6" t="n">
        <f aca="false">Sens!F2718*cx_azo+Sens!F2725*cx_m365+Sens!F2726*cx_lic+(Sens!F2728+Sens!F2730)*cx_ind+Sens!F2733*cx_srch+(Sens!F2735+Sens!F2737)*cx_dev</f>
        <v>35.7293472295625</v>
      </c>
      <c r="G2795" s="6" t="n">
        <f aca="false">Sens!G2718*cx_azo+Sens!G2725*cx_m365+Sens!G2726*cx_lic+(Sens!G2728+Sens!G2730)*cx_ind+Sens!G2733*cx_srch+(Sens!G2735+Sens!G2737)*cx_dev</f>
        <v>41.6028935703892</v>
      </c>
      <c r="H2795" s="6" t="n">
        <f aca="false">Sens!H2718*cx_azo+Sens!H2725*cx_m365+Sens!H2726*cx_lic+(Sens!H2728+Sens!H2730)*cx_ind+Sens!H2733*cx_srch+(Sens!H2735+Sens!H2737)*cx_dev</f>
        <v>47.5615136440897</v>
      </c>
      <c r="I2795" s="6" t="n">
        <f aca="false">Sens!I2718*cx_azo+Sens!I2725*cx_m365+Sens!I2726*cx_lic+(Sens!I2728+Sens!I2730)*cx_ind+Sens!I2733*cx_srch+(Sens!I2735+Sens!I2737)*cx_dev</f>
        <v>53.1734003116439</v>
      </c>
      <c r="J2795" s="6" t="n">
        <f aca="false">Sens!J2718*cx_azo+Sens!J2725*cx_m365+Sens!J2726*cx_lic+(Sens!J2728+Sens!J2730)*cx_ind+Sens!J2733*cx_srch+(Sens!J2735+Sens!J2737)*cx_dev</f>
        <v>58.2059132503738</v>
      </c>
      <c r="K2795" s="6" t="n">
        <f aca="false">Sens!K2718*cx_azo+Sens!K2725*cx_m365+Sens!K2726*cx_lic+(Sens!K2728+Sens!K2730)*cx_ind+Sens!K2733*cx_srch+(Sens!K2735+Sens!K2737)*cx_dev</f>
        <v>62.643702741994</v>
      </c>
    </row>
    <row r="2796" customFormat="false" ht="17.15" hidden="false" customHeight="false" outlineLevel="0" collapsed="false">
      <c r="A2796" s="1" t="s">
        <v>850</v>
      </c>
      <c r="B2796" s="0" t="s">
        <v>95</v>
      </c>
      <c r="E2796" s="6" t="n">
        <f aca="false">Q!M42</f>
        <v>145.3</v>
      </c>
      <c r="F2796" s="6" t="n">
        <f aca="false">Sens!F2794+Sens!F2795</f>
        <v>230.974617026789</v>
      </c>
      <c r="G2796" s="6" t="n">
        <f aca="false">Sens!G2794+Sens!G2795</f>
        <v>261.891910150229</v>
      </c>
      <c r="H2796" s="6" t="n">
        <f aca="false">Sens!H2794+Sens!H2795</f>
        <v>273.25785673657</v>
      </c>
      <c r="I2796" s="6" t="n">
        <f aca="false">Sens!I2794+Sens!I2795</f>
        <v>309.128418750791</v>
      </c>
      <c r="J2796" s="6" t="n">
        <f aca="false">Sens!J2794+Sens!J2795</f>
        <v>329.599031356187</v>
      </c>
      <c r="K2796" s="6" t="n">
        <f aca="false">Sens!K2794+Sens!K2795</f>
        <v>379.116071874474</v>
      </c>
      <c r="L2796" s="1" t="s">
        <v>851</v>
      </c>
    </row>
    <row r="2797" customFormat="false" ht="15" hidden="false" customHeight="false" outlineLevel="0" collapsed="false">
      <c r="A2797" s="1" t="s">
        <v>852</v>
      </c>
      <c r="B2797" s="0" t="s">
        <v>95</v>
      </c>
      <c r="E2797" s="6" t="n">
        <f aca="false">fl_liab</f>
        <v>66.594</v>
      </c>
      <c r="F2797" s="6" t="n">
        <f aca="false">Sens!E2797-Sens!F2798</f>
        <v>62.46973</v>
      </c>
      <c r="G2797" s="6" t="n">
        <f aca="false">Sens!F2797-Sens!G2798</f>
        <v>57.98686785</v>
      </c>
      <c r="H2797" s="6" t="n">
        <f aca="false">Sens!G2797-Sens!H2798</f>
        <v>53.92827690325</v>
      </c>
      <c r="I2797" s="6" t="n">
        <f aca="false">Sens!H2797-Sens!I2798</f>
        <v>49.7850493638962</v>
      </c>
      <c r="J2797" s="6" t="n">
        <f aca="false">Sens!I2797-Sens!J2798</f>
        <v>45.4823765852716</v>
      </c>
      <c r="K2797" s="6" t="n">
        <f aca="false">Sens!J2797-Sens!K2798</f>
        <v>40.9860835316088</v>
      </c>
    </row>
    <row r="2798" customFormat="false" ht="15" hidden="false" customHeight="false" outlineLevel="0" collapsed="false">
      <c r="A2798" s="1" t="s">
        <v>853</v>
      </c>
      <c r="B2798" s="0" t="s">
        <v>95</v>
      </c>
      <c r="F2798" s="6" t="n">
        <f aca="false">fl_pay_27-Sens!E2797*fl_rate</f>
        <v>4.12427</v>
      </c>
      <c r="G2798" s="6" t="n">
        <f aca="false">fl_pay_28-Sens!F2797*fl_rate</f>
        <v>4.48286215</v>
      </c>
      <c r="H2798" s="6" t="n">
        <f aca="false">fl_pay_29-Sens!G2797*fl_rate</f>
        <v>4.05859094675</v>
      </c>
      <c r="I2798" s="6" t="n">
        <f aca="false">fl_pay_30-Sens!H2797*fl_rate</f>
        <v>4.14322753935375</v>
      </c>
      <c r="J2798" s="6" t="n">
        <f aca="false">fl_pay_31-Sens!I2797*fl_rate</f>
        <v>4.30267277862467</v>
      </c>
      <c r="K2798" s="6" t="n">
        <f aca="false">fl_pay_32-Sens!J2797*fl_rate</f>
        <v>4.49629305366278</v>
      </c>
    </row>
    <row r="2799" customFormat="false" ht="17.15" hidden="false" customHeight="false" outlineLevel="0" collapsed="false">
      <c r="A2799" s="1" t="s">
        <v>854</v>
      </c>
      <c r="B2799" s="0" t="s">
        <v>95</v>
      </c>
      <c r="E2799" s="6" t="n">
        <f aca="false">Q!M35-Q!M36-Q!M43</f>
        <v>63.886</v>
      </c>
      <c r="F2799" s="6" t="n">
        <f aca="false">Sens!F2793-Sens!F2796-Sens!F2798</f>
        <v>-19.1472332934106</v>
      </c>
      <c r="G2799" s="6" t="n">
        <f aca="false">Sens!G2793-Sens!G2796-Sens!G2798</f>
        <v>15.2405818004811</v>
      </c>
      <c r="H2799" s="6" t="n">
        <f aca="false">Sens!H2793-Sens!H2796-Sens!H2798</f>
        <v>72.3279946918641</v>
      </c>
      <c r="I2799" s="6" t="n">
        <f aca="false">Sens!I2793-Sens!I2796-Sens!I2798</f>
        <v>98.1417921707848</v>
      </c>
      <c r="J2799" s="6" t="n">
        <f aca="false">Sens!J2793-Sens!J2796-Sens!J2798</f>
        <v>137.7188593136</v>
      </c>
      <c r="K2799" s="6" t="n">
        <f aca="false">Sens!K2793-Sens!K2796-Sens!K2798</f>
        <v>147.021086556899</v>
      </c>
      <c r="L2799" s="11" t="s">
        <v>855</v>
      </c>
    </row>
    <row r="2800" customFormat="false" ht="15" hidden="false" customHeight="false" outlineLevel="0" collapsed="false">
      <c r="A2800" s="1" t="s">
        <v>856</v>
      </c>
      <c r="B2800" s="0" t="s">
        <v>73</v>
      </c>
      <c r="F2800" s="8" t="n">
        <f aca="false">dps_27</f>
        <v>3.85</v>
      </c>
      <c r="G2800" s="8" t="n">
        <f aca="false">Sens!F2800*(1+dps_g)</f>
        <v>4.158</v>
      </c>
      <c r="H2800" s="8" t="n">
        <f aca="false">Sens!G2800*(1+dps_g)</f>
        <v>4.49064</v>
      </c>
      <c r="I2800" s="8" t="n">
        <f aca="false">Sens!H2800*(1+dps_g)</f>
        <v>4.8498912</v>
      </c>
      <c r="J2800" s="8" t="n">
        <f aca="false">Sens!I2800*(1+dps_g)</f>
        <v>5.237882496</v>
      </c>
      <c r="K2800" s="8" t="n">
        <f aca="false">Sens!J2800*(1+dps_g)</f>
        <v>5.65691309568</v>
      </c>
    </row>
    <row r="2801" customFormat="false" ht="17.15" hidden="false" customHeight="false" outlineLevel="0" collapsed="false">
      <c r="A2801" s="1" t="s">
        <v>857</v>
      </c>
      <c r="B2801" s="0" t="s">
        <v>95</v>
      </c>
      <c r="E2801" s="6" t="n">
        <f aca="false">Q!M41</f>
        <v>26.445</v>
      </c>
      <c r="F2801" s="6" t="n">
        <f aca="false">Sens!F2800*Sens!E2810</f>
        <v>28.59395</v>
      </c>
      <c r="G2801" s="6" t="n">
        <f aca="false">Sens!G2800*Sens!F2810</f>
        <v>31.068576</v>
      </c>
      <c r="H2801" s="6" t="n">
        <f aca="false">Sens!H2800*Sens!G2810</f>
        <v>33.75614088</v>
      </c>
      <c r="I2801" s="6" t="n">
        <f aca="false">Sens!I2800*Sens!H2810</f>
        <v>36.5075713903995</v>
      </c>
      <c r="J2801" s="6" t="n">
        <f aca="false">Sens!J2800*Sens!I2810</f>
        <v>39.4965759499509</v>
      </c>
      <c r="K2801" s="6" t="n">
        <f aca="false">Sens!K2800*Sens!J2810</f>
        <v>42.743557251252</v>
      </c>
      <c r="L2801" s="1" t="s">
        <v>858</v>
      </c>
    </row>
    <row r="2802" customFormat="false" ht="15" hidden="false" customHeight="false" outlineLevel="0" collapsed="false">
      <c r="A2802" s="1" t="s">
        <v>859</v>
      </c>
      <c r="B2802" s="0" t="s">
        <v>95</v>
      </c>
      <c r="E2802" s="6" t="n">
        <f aca="false">Sens!E2799-Sens!E2801</f>
        <v>37.441</v>
      </c>
      <c r="F2802" s="6" t="n">
        <f aca="false">Sens!F2799-Sens!F2801</f>
        <v>-47.7411832934106</v>
      </c>
      <c r="G2802" s="6" t="n">
        <f aca="false">Sens!G2799-Sens!G2801</f>
        <v>-15.8279941995189</v>
      </c>
      <c r="H2802" s="6" t="n">
        <f aca="false">Sens!H2799-Sens!H2801</f>
        <v>38.5718538118641</v>
      </c>
      <c r="I2802" s="6" t="n">
        <f aca="false">Sens!I2799-Sens!I2801</f>
        <v>61.6342207803853</v>
      </c>
      <c r="J2802" s="6" t="n">
        <f aca="false">Sens!J2799-Sens!J2801</f>
        <v>98.2222833636486</v>
      </c>
      <c r="K2802" s="6" t="n">
        <f aca="false">Sens!K2799-Sens!K2801</f>
        <v>104.277529305647</v>
      </c>
    </row>
    <row r="2803" customFormat="false" ht="15" hidden="false" customHeight="false" outlineLevel="0" collapsed="false">
      <c r="A2803" s="1" t="s">
        <v>860</v>
      </c>
      <c r="B2803" s="0" t="s">
        <v>95</v>
      </c>
      <c r="F2803" s="6" t="n">
        <f aca="false">debt_mat_27</f>
        <v>9.25</v>
      </c>
      <c r="G2803" s="6" t="n">
        <f aca="false">debt_mat_28</f>
        <v>0</v>
      </c>
      <c r="H2803" s="6" t="n">
        <f aca="false">debt_mat_29</f>
        <v>2.001</v>
      </c>
      <c r="I2803" s="6" t="n">
        <f aca="false">debt_mat_30</f>
        <v>0</v>
      </c>
      <c r="J2803" s="6" t="n">
        <f aca="false">debt_mat_31</f>
        <v>0.5</v>
      </c>
      <c r="K2803" s="6" t="n">
        <f aca="false">debt_mat_32</f>
        <v>0</v>
      </c>
    </row>
    <row r="2804" customFormat="false" ht="15" hidden="false" customHeight="false" outlineLevel="0" collapsed="false">
      <c r="A2804" s="1" t="s">
        <v>861</v>
      </c>
      <c r="B2804" s="0" t="s">
        <v>95</v>
      </c>
      <c r="E2804" s="6" t="n">
        <f aca="false">Q!M40</f>
        <v>22.271</v>
      </c>
      <c r="F2804" s="6" t="n">
        <f aca="false">MAX(0,MIN(bb_target,Sens!E2806+Sens!F2802-Sens!F2803-min_cash))</f>
        <v>0</v>
      </c>
      <c r="G2804" s="6" t="n">
        <f aca="false">MAX(0,MIN(bb_target,Sens!F2806+Sens!G2802-Sens!G2803-min_cash))</f>
        <v>0</v>
      </c>
      <c r="H2804" s="6" t="n">
        <f aca="false">MAX(0,MIN(bb_target,Sens!G2806+Sens!H2802-Sens!H2803-min_cash))</f>
        <v>22.271</v>
      </c>
      <c r="I2804" s="6" t="n">
        <f aca="false">MAX(0,MIN(bb_target,Sens!H2806+Sens!I2802-Sens!I2803-min_cash))</f>
        <v>22.271</v>
      </c>
      <c r="J2804" s="6" t="n">
        <f aca="false">MAX(0,MIN(bb_target,Sens!I2806+Sens!J2802-Sens!J2803-min_cash))</f>
        <v>22.271</v>
      </c>
      <c r="K2804" s="6" t="n">
        <f aca="false">MAX(0,MIN(bb_target,Sens!J2806+Sens!K2802-Sens!K2803-min_cash))</f>
        <v>22.271</v>
      </c>
    </row>
    <row r="2805" customFormat="false" ht="15" hidden="false" customHeight="false" outlineLevel="0" collapsed="false">
      <c r="A2805" s="1" t="s">
        <v>862</v>
      </c>
      <c r="B2805" s="0" t="s">
        <v>95</v>
      </c>
      <c r="F2805" s="6" t="n">
        <f aca="false">MAX(0,min_cash-(Sens!E2806+Sens!F2802-Sens!F2803-Sens!F2804))</f>
        <v>30.1481832934106</v>
      </c>
      <c r="G2805" s="6" t="n">
        <f aca="false">MAX(0,min_cash-(Sens!F2806+Sens!G2802-Sens!G2803-Sens!G2804))</f>
        <v>15.8279941995189</v>
      </c>
      <c r="H2805" s="6" t="n">
        <f aca="false">MAX(0,min_cash-(Sens!G2806+Sens!H2802-Sens!H2803-Sens!H2804))</f>
        <v>0</v>
      </c>
      <c r="I2805" s="6" t="n">
        <f aca="false">MAX(0,min_cash-(Sens!H2806+Sens!I2802-Sens!I2803-Sens!I2804))</f>
        <v>0</v>
      </c>
      <c r="J2805" s="6" t="n">
        <f aca="false">MAX(0,min_cash-(Sens!I2806+Sens!J2802-Sens!J2803-Sens!J2804))</f>
        <v>0</v>
      </c>
      <c r="K2805" s="6" t="n">
        <f aca="false">MAX(0,min_cash-(Sens!J2806+Sens!K2802-Sens!K2803-Sens!K2804))</f>
        <v>0</v>
      </c>
    </row>
    <row r="2806" customFormat="false" ht="15" hidden="false" customHeight="false" outlineLevel="0" collapsed="false">
      <c r="A2806" s="1" t="s">
        <v>863</v>
      </c>
      <c r="B2806" s="0" t="s">
        <v>95</v>
      </c>
      <c r="E2806" s="6" t="n">
        <f aca="false">cash_open</f>
        <v>76.843</v>
      </c>
      <c r="F2806" s="6" t="n">
        <f aca="false">Sens!E2806+Sens!F2802-Sens!F2803-Sens!F2804+Sens!F2805</f>
        <v>50</v>
      </c>
      <c r="G2806" s="6" t="n">
        <f aca="false">Sens!F2806+Sens!G2802-Sens!G2803-Sens!G2804+Sens!G2805</f>
        <v>50</v>
      </c>
      <c r="H2806" s="6" t="n">
        <f aca="false">Sens!G2806+Sens!H2802-Sens!H2803-Sens!H2804+Sens!H2805</f>
        <v>64.2998538118641</v>
      </c>
      <c r="I2806" s="6" t="n">
        <f aca="false">Sens!H2806+Sens!I2802-Sens!I2803-Sens!I2804+Sens!I2805</f>
        <v>103.663074592249</v>
      </c>
      <c r="J2806" s="6" t="n">
        <f aca="false">Sens!I2806+Sens!J2802-Sens!J2803-Sens!J2804+Sens!J2805</f>
        <v>179.114357955898</v>
      </c>
      <c r="K2806" s="6" t="n">
        <f aca="false">Sens!J2806+Sens!K2802-Sens!K2803-Sens!K2804+Sens!K2805</f>
        <v>261.120887261545</v>
      </c>
    </row>
    <row r="2807" customFormat="false" ht="15" hidden="false" customHeight="false" outlineLevel="0" collapsed="false">
      <c r="A2807" s="1" t="s">
        <v>864</v>
      </c>
      <c r="B2807" s="0" t="s">
        <v>95</v>
      </c>
      <c r="E2807" s="6" t="n">
        <f aca="false">debt_face</f>
        <v>46.136</v>
      </c>
      <c r="F2807" s="6" t="n">
        <f aca="false">Sens!E2807-Sens!F2803+Sens!F2805</f>
        <v>67.0341832934107</v>
      </c>
      <c r="G2807" s="6" t="n">
        <f aca="false">Sens!F2807-Sens!G2803+Sens!G2805</f>
        <v>82.8621774929296</v>
      </c>
      <c r="H2807" s="6" t="n">
        <f aca="false">Sens!G2807-Sens!H2803+Sens!H2805</f>
        <v>80.8611774929296</v>
      </c>
      <c r="I2807" s="6" t="n">
        <f aca="false">Sens!H2807-Sens!I2803+Sens!I2805</f>
        <v>80.8611774929296</v>
      </c>
      <c r="J2807" s="6" t="n">
        <f aca="false">Sens!I2807-Sens!J2803+Sens!J2805</f>
        <v>80.3611774929296</v>
      </c>
      <c r="K2807" s="6" t="n">
        <f aca="false">Sens!J2807-Sens!K2803+Sens!K2805</f>
        <v>80.3611774929296</v>
      </c>
    </row>
    <row r="2808" customFormat="false" ht="15" hidden="false" customHeight="false" outlineLevel="0" collapsed="false">
      <c r="A2808" s="1" t="s">
        <v>865</v>
      </c>
      <c r="B2808" s="0" t="s">
        <v>95</v>
      </c>
      <c r="E2808" s="6" t="n">
        <f aca="false">Sens!E2806-Sens!E2807</f>
        <v>30.707</v>
      </c>
      <c r="F2808" s="6" t="n">
        <f aca="false">Sens!F2806-Sens!F2807</f>
        <v>-17.0341832934107</v>
      </c>
      <c r="G2808" s="6" t="n">
        <f aca="false">Sens!G2806-Sens!G2807</f>
        <v>-32.8621774929296</v>
      </c>
      <c r="H2808" s="6" t="n">
        <f aca="false">Sens!H2806-Sens!H2807</f>
        <v>-16.5613236810655</v>
      </c>
      <c r="I2808" s="6" t="n">
        <f aca="false">Sens!I2806-Sens!I2807</f>
        <v>22.8018970993198</v>
      </c>
      <c r="J2808" s="6" t="n">
        <f aca="false">Sens!J2806-Sens!J2807</f>
        <v>98.7531804629685</v>
      </c>
      <c r="K2808" s="6" t="n">
        <f aca="false">Sens!K2806-Sens!K2807</f>
        <v>180.759709768616</v>
      </c>
    </row>
    <row r="2809" customFormat="false" ht="15" hidden="false" customHeight="false" outlineLevel="0" collapsed="false">
      <c r="A2809" s="1" t="s">
        <v>866</v>
      </c>
      <c r="B2809" s="0" t="s">
        <v>73</v>
      </c>
      <c r="F2809" s="27" t="n">
        <f aca="false">px*(1+bb_g)^(1-0.5)</f>
        <v>553.494156066711</v>
      </c>
      <c r="G2809" s="27" t="n">
        <f aca="false">px*(1+bb_g)^(2-0.5)</f>
        <v>597.773688552047</v>
      </c>
      <c r="H2809" s="27" t="n">
        <f aca="false">px*(1+bb_g)^(3-0.5)</f>
        <v>645.595583636211</v>
      </c>
      <c r="I2809" s="27" t="n">
        <f aca="false">px*(1+bb_g)^(4-0.5)</f>
        <v>697.243230327108</v>
      </c>
      <c r="J2809" s="27" t="n">
        <f aca="false">px*(1+bb_g)^(5-0.5)</f>
        <v>753.022688753277</v>
      </c>
      <c r="K2809" s="27" t="n">
        <f aca="false">px*(1+bb_g)^(6-0.5)</f>
        <v>813.264503853539</v>
      </c>
    </row>
    <row r="2810" customFormat="false" ht="15" hidden="false" customHeight="false" outlineLevel="0" collapsed="false">
      <c r="A2810" s="1" t="s">
        <v>867</v>
      </c>
      <c r="B2810" s="1" t="s">
        <v>79</v>
      </c>
      <c r="E2810" s="18" t="n">
        <f aca="false">sh_out26</f>
        <v>7.427</v>
      </c>
      <c r="F2810" s="18" t="n">
        <f aca="false">Sens!E2810+sh_iss-Sens!F2804/Sens!F2809</f>
        <v>7.472</v>
      </c>
      <c r="G2810" s="18" t="n">
        <f aca="false">Sens!F2810+sh_iss-Sens!G2804/Sens!G2809</f>
        <v>7.517</v>
      </c>
      <c r="H2810" s="18" t="n">
        <f aca="false">Sens!G2810+sh_iss-Sens!H2804/Sens!H2809</f>
        <v>7.5275031716999</v>
      </c>
      <c r="I2810" s="18" t="n">
        <f aca="false">Sens!H2810+sh_iss-Sens!I2804/Sens!I2809</f>
        <v>7.54056166401463</v>
      </c>
      <c r="J2810" s="18" t="n">
        <f aca="false">Sens!I2810+sh_iss-Sens!J2804/Sens!J2809</f>
        <v>7.55598619393567</v>
      </c>
      <c r="K2810" s="18" t="n">
        <f aca="false">Sens!J2810+sh_iss-Sens!K2804/Sens!K2809</f>
        <v>7.57360149941811</v>
      </c>
    </row>
    <row r="2811" customFormat="false" ht="15" hidden="false" customHeight="false" outlineLevel="0" collapsed="false">
      <c r="A2811" s="1" t="s">
        <v>868</v>
      </c>
      <c r="B2811" s="1" t="s">
        <v>79</v>
      </c>
      <c r="E2811" s="18" t="n">
        <f aca="false">sh_dil26</f>
        <v>7.453</v>
      </c>
      <c r="F2811" s="18" t="n">
        <f aca="false">(Sens!E2810+Sens!F2810)/2+dil_gap</f>
        <v>7.4735</v>
      </c>
      <c r="G2811" s="18" t="n">
        <f aca="false">(Sens!F2810+Sens!G2810)/2+dil_gap</f>
        <v>7.5185</v>
      </c>
      <c r="H2811" s="18" t="n">
        <f aca="false">(Sens!G2810+Sens!H2810)/2+dil_gap</f>
        <v>7.54625158584995</v>
      </c>
      <c r="I2811" s="18" t="n">
        <f aca="false">(Sens!H2810+Sens!I2810)/2+dil_gap</f>
        <v>7.55803241785726</v>
      </c>
      <c r="J2811" s="18" t="n">
        <f aca="false">(Sens!I2810+Sens!J2810)/2+dil_gap</f>
        <v>7.57227392897515</v>
      </c>
      <c r="K2811" s="18" t="n">
        <f aca="false">(Sens!J2810+Sens!K2810)/2+dil_gap</f>
        <v>7.58879384667689</v>
      </c>
    </row>
    <row r="2812" customFormat="false" ht="17.15" hidden="false" customHeight="false" outlineLevel="0" collapsed="false">
      <c r="A2812" s="1" t="s">
        <v>869</v>
      </c>
      <c r="B2812" s="0" t="s">
        <v>95</v>
      </c>
      <c r="C2812" s="6" t="n">
        <f aca="false">SUM(Sens!F2802:J2802)</f>
        <v>134.859180462968</v>
      </c>
    </row>
    <row r="2813" customFormat="false" ht="17.15" hidden="false" customHeight="false" outlineLevel="0" collapsed="false">
      <c r="A2813" s="1" t="s">
        <v>836</v>
      </c>
      <c r="B2813" s="1" t="s">
        <v>870</v>
      </c>
      <c r="C2813" s="30" t="str">
        <f aca="false">IF(SUM(Sens!F2805:J2805)&gt;0.05,"需要舉債 "&amp;TEXT(SUM(Sens!F2805:J2805),"0.0")&amp;" 十億美元","不需舉債")&amp;"；"&amp;IF(SUM(Sens!F2804:J2804)&lt;5*bb_target-0.05,"回購較每年 "&amp;TEXT(bb_target,"0.0")&amp;" 的目標少 "&amp;TEXT(5*bb_target-SUM(Sens!F2804:J2804),"0.0")&amp;" 十億美元（"&amp;TEXT(COUNTIF(Sens!F2804:J2804,"&lt;"&amp;(bb_target-0.05)),"0")&amp;" 年減少）","回購不減")</f>
        <v>需要舉債 46.0 十億美元；回購較每年 22.3 的目標少 44.5 十億美元（2 年減少）</v>
      </c>
    </row>
    <row r="2814" customFormat="false" ht="17.15" hidden="false" customHeight="false" outlineLevel="0" collapsed="false">
      <c r="A2814" s="3" t="s">
        <v>1193</v>
      </c>
    </row>
    <row r="2815" customFormat="false" ht="15" hidden="false" customHeight="false" outlineLevel="0" collapsed="false">
      <c r="A2815" s="4" t="s">
        <v>43</v>
      </c>
      <c r="B2815" s="4" t="s">
        <v>63</v>
      </c>
      <c r="C2815" s="19" t="s">
        <v>710</v>
      </c>
      <c r="D2815" s="19" t="s">
        <v>711</v>
      </c>
      <c r="E2815" s="19" t="s">
        <v>712</v>
      </c>
      <c r="F2815" s="19" t="s">
        <v>713</v>
      </c>
      <c r="G2815" s="19" t="s">
        <v>714</v>
      </c>
      <c r="H2815" s="19" t="s">
        <v>715</v>
      </c>
      <c r="I2815" s="19" t="s">
        <v>716</v>
      </c>
      <c r="J2815" s="19" t="s">
        <v>717</v>
      </c>
      <c r="K2815" s="19" t="s">
        <v>718</v>
      </c>
      <c r="L2815" s="4" t="s">
        <v>47</v>
      </c>
    </row>
    <row r="2816" customFormat="false" ht="17.15" hidden="false" customHeight="false" outlineLevel="0" collapsed="false">
      <c r="A2816" s="1" t="s">
        <v>938</v>
      </c>
      <c r="B2816" s="1" t="s">
        <v>213</v>
      </c>
      <c r="F2816" s="34" t="n">
        <f aca="false">1-0.5</f>
        <v>0.5</v>
      </c>
      <c r="G2816" s="34" t="n">
        <f aca="false">2-0.5</f>
        <v>1.5</v>
      </c>
      <c r="H2816" s="34" t="n">
        <f aca="false">3-0.5</f>
        <v>2.5</v>
      </c>
      <c r="I2816" s="34" t="n">
        <f aca="false">4-0.5</f>
        <v>3.5</v>
      </c>
      <c r="J2816" s="34" t="n">
        <f aca="false">5-0.5</f>
        <v>4.5</v>
      </c>
      <c r="K2816" s="34" t="n">
        <f aca="false">6-0.5</f>
        <v>5.5</v>
      </c>
    </row>
    <row r="2817" customFormat="false" ht="15" hidden="false" customHeight="false" outlineLevel="0" collapsed="false">
      <c r="A2817" s="1" t="s">
        <v>939</v>
      </c>
      <c r="B2817" s="0" t="s">
        <v>182</v>
      </c>
      <c r="F2817" s="18" t="n">
        <f aca="false">1/(1+wacc)^Sens!F2816</f>
        <v>0.949601579913219</v>
      </c>
      <c r="G2817" s="18" t="n">
        <f aca="false">1/(1+wacc)^Sens!G2816</f>
        <v>0.856296729956707</v>
      </c>
      <c r="H2817" s="18" t="n">
        <f aca="false">1/(1+wacc)^Sens!H2816</f>
        <v>0.772159719660069</v>
      </c>
      <c r="I2817" s="18" t="n">
        <f aca="false">1/(1+wacc)^Sens!I2816</f>
        <v>0.696289746073958</v>
      </c>
      <c r="J2817" s="18" t="n">
        <f aca="false">1/(1+wacc)^Sens!J2816</f>
        <v>0.627874516299776</v>
      </c>
      <c r="K2817" s="18" t="n">
        <f aca="false">1/(1+wacc)^Sens!K2816</f>
        <v>0.566181550771831</v>
      </c>
    </row>
    <row r="2818" customFormat="false" ht="15" hidden="false" customHeight="false" outlineLevel="0" collapsed="false">
      <c r="A2818" s="1" t="s">
        <v>940</v>
      </c>
      <c r="B2818" s="0" t="s">
        <v>95</v>
      </c>
      <c r="F2818" s="6" t="n">
        <f aca="false">Sens!F2799*Sens!F2817</f>
        <v>-18.1822429863897</v>
      </c>
      <c r="G2818" s="6" t="n">
        <f aca="false">Sens!G2799*Sens!G2817</f>
        <v>13.0504603583896</v>
      </c>
      <c r="H2818" s="6" t="n">
        <f aca="false">Sens!H2799*Sens!H2817</f>
        <v>55.8487641048447</v>
      </c>
      <c r="I2818" s="6" t="n">
        <f aca="false">Sens!I2799*Sens!I2817</f>
        <v>68.3351235498388</v>
      </c>
      <c r="J2818" s="6" t="n">
        <f aca="false">Sens!J2799*Sens!J2817</f>
        <v>86.4701621768832</v>
      </c>
      <c r="K2818" s="6" t="n">
        <f aca="false">Sens!K2799*Sens!K2817</f>
        <v>83.2406267829448</v>
      </c>
    </row>
    <row r="2819" customFormat="false" ht="17.15" hidden="false" customHeight="false" outlineLevel="0" collapsed="false">
      <c r="A2819" s="1" t="s">
        <v>941</v>
      </c>
      <c r="B2819" s="0" t="s">
        <v>95</v>
      </c>
      <c r="C2819" s="6" t="n">
        <f aca="false">SUM(Sens!F2818:K2818)</f>
        <v>288.762893986512</v>
      </c>
    </row>
    <row r="2820" customFormat="false" ht="17.15" hidden="false" customHeight="false" outlineLevel="0" collapsed="false">
      <c r="A2820" s="1" t="s">
        <v>942</v>
      </c>
      <c r="B2820" s="0" t="s">
        <v>95</v>
      </c>
      <c r="C2820" s="6" t="n">
        <f aca="false">Sens!K2765*(1+g_tv)*(1-tax_f)</f>
        <v>265.889082399695</v>
      </c>
    </row>
    <row r="2821" customFormat="false" ht="17.15" hidden="false" customHeight="false" outlineLevel="0" collapsed="false">
      <c r="A2821" s="1" t="s">
        <v>943</v>
      </c>
      <c r="B2821" s="0" t="s">
        <v>95</v>
      </c>
      <c r="C2821" s="6" t="n">
        <f aca="false">Sens!$C$2820*(1-g_tv/(wacc+ronic_prem))</f>
        <v>192.683900065819</v>
      </c>
    </row>
    <row r="2822" customFormat="false" ht="17.15" hidden="false" customHeight="false" outlineLevel="0" collapsed="false">
      <c r="A2822" s="1" t="s">
        <v>944</v>
      </c>
      <c r="B2822" s="0" t="s">
        <v>95</v>
      </c>
      <c r="C2822" s="6" t="n">
        <f aca="false">Sens!$C$2821/(wacc-g_tv)</f>
        <v>2440.17274446255</v>
      </c>
    </row>
    <row r="2823" customFormat="false" ht="15" hidden="false" customHeight="false" outlineLevel="0" collapsed="false">
      <c r="A2823" s="1" t="s">
        <v>945</v>
      </c>
      <c r="B2823" s="0" t="s">
        <v>95</v>
      </c>
      <c r="C2823" s="6" t="n">
        <f aca="false">Sens!$C$2822/(1+wacc)^6</f>
        <v>1311.95129964272</v>
      </c>
    </row>
    <row r="2824" customFormat="false" ht="17.15" hidden="false" customHeight="false" outlineLevel="0" collapsed="false">
      <c r="A2824" s="0" t="s">
        <v>877</v>
      </c>
      <c r="B2824" s="0" t="s">
        <v>95</v>
      </c>
      <c r="C2824" s="6" t="n">
        <f aca="false">Sens!$C$2819+Sens!$C$2823</f>
        <v>1600.71419362923</v>
      </c>
    </row>
    <row r="2825" customFormat="false" ht="15" hidden="false" customHeight="false" outlineLevel="0" collapsed="false">
      <c r="A2825" s="1" t="s">
        <v>878</v>
      </c>
      <c r="B2825" s="0" t="s">
        <v>126</v>
      </c>
      <c r="C2825" s="7" t="n">
        <f aca="false">Sens!$C$2823/Sens!$C$2824</f>
        <v>0.819603714931888</v>
      </c>
    </row>
    <row r="2826" customFormat="false" ht="17.15" hidden="false" customHeight="false" outlineLevel="0" collapsed="false">
      <c r="A2826" s="1" t="s">
        <v>946</v>
      </c>
      <c r="B2826" s="0" t="s">
        <v>95</v>
      </c>
      <c r="C2826" s="6" t="n">
        <f aca="false">Sens!$C$2824+Sens!E2808+oai_v</f>
        <v>1801.82119362923</v>
      </c>
    </row>
    <row r="2827" customFormat="false" ht="17.15" hidden="false" customHeight="false" outlineLevel="0" collapsed="false">
      <c r="A2827" s="0" t="s">
        <v>883</v>
      </c>
      <c r="B2827" s="0" t="s">
        <v>73</v>
      </c>
      <c r="C2827" s="5" t="n">
        <f aca="false">Sens!$C$2826/sh_dil26</f>
        <v>241.757841624746</v>
      </c>
    </row>
    <row r="2828" customFormat="false" ht="17.15" hidden="false" customHeight="false" outlineLevel="0" collapsed="false">
      <c r="A2828" s="0" t="s">
        <v>947</v>
      </c>
      <c r="B2828" s="0" t="s">
        <v>73</v>
      </c>
      <c r="C2828" s="5" t="n">
        <f aca="false">Sens!$C$2827*(1+wacc)^t_roll</f>
        <v>277.294931782598</v>
      </c>
    </row>
    <row r="2829" customFormat="false" ht="17.15" hidden="false" customHeight="false" outlineLevel="0" collapsed="false">
      <c r="A2829" s="1" t="s">
        <v>948</v>
      </c>
      <c r="B2829" s="0" t="s">
        <v>126</v>
      </c>
      <c r="F2829" s="7" t="n">
        <f aca="false">Sens!F2789/(Sens!F2740-Sens!F2696)</f>
        <v>0.0681773598226415</v>
      </c>
      <c r="G2829" s="7" t="n">
        <f aca="false">Sens!G2789/(Sens!G2740-Sens!G2696)</f>
        <v>0.0650385409375172</v>
      </c>
      <c r="H2829" s="7" t="n">
        <f aca="false">Sens!H2789/(Sens!H2740-Sens!H2696)</f>
        <v>0.063382542471986</v>
      </c>
      <c r="I2829" s="7" t="n">
        <f aca="false">Sens!I2789/(Sens!I2740-Sens!I2696)</f>
        <v>0.0630998138876076</v>
      </c>
      <c r="J2829" s="7" t="n">
        <f aca="false">Sens!J2789/(Sens!J2740-Sens!J2696)</f>
        <v>0.0638399980286975</v>
      </c>
      <c r="K2829" s="7" t="n">
        <f aca="false">Sens!K2789/(Sens!K2740-Sens!K2696)</f>
        <v>0.0651531082402687</v>
      </c>
    </row>
    <row r="2830" customFormat="false" ht="17.15" hidden="false" customHeight="false" outlineLevel="0" collapsed="false">
      <c r="A2830" s="0" t="s">
        <v>949</v>
      </c>
      <c r="B2830" s="0" t="s">
        <v>95</v>
      </c>
      <c r="F2830" s="6" t="n">
        <f aca="false">Sens!F2725*(al_m365+Sens!F2829)</f>
        <v>80.4434678008041</v>
      </c>
      <c r="G2830" s="6" t="n">
        <f aca="false">Sens!G2725*(al_m365+Sens!G2829)</f>
        <v>94.1323272633269</v>
      </c>
      <c r="H2830" s="6" t="n">
        <f aca="false">Sens!H2725*(al_m365+Sens!H2829)</f>
        <v>107.983658528206</v>
      </c>
      <c r="I2830" s="6" t="n">
        <f aca="false">Sens!I2725*(al_m365+Sens!I2829)</f>
        <v>120.408335219477</v>
      </c>
      <c r="J2830" s="6" t="n">
        <f aca="false">Sens!J2725*(al_m365+Sens!J2829)</f>
        <v>131.229685027411</v>
      </c>
      <c r="K2830" s="6" t="n">
        <f aca="false">Sens!K2725*(al_m365+Sens!K2829)</f>
        <v>141.696231007978</v>
      </c>
    </row>
    <row r="2831" customFormat="false" ht="17.15" hidden="false" customHeight="false" outlineLevel="0" collapsed="false">
      <c r="A2831" s="0" t="s">
        <v>950</v>
      </c>
      <c r="B2831" s="0" t="s">
        <v>95</v>
      </c>
      <c r="F2831" s="6" t="n">
        <f aca="false">Sens!F2726*(al_lic+Sens!F2829)</f>
        <v>31.9678940661213</v>
      </c>
      <c r="G2831" s="6" t="n">
        <f aca="false">Sens!G2726*(al_lic+Sens!G2829)</f>
        <v>33.1937184472398</v>
      </c>
      <c r="H2831" s="6" t="n">
        <f aca="false">Sens!H2726*(al_lic+Sens!H2829)</f>
        <v>34.3439380840055</v>
      </c>
      <c r="I2831" s="6" t="n">
        <f aca="false">Sens!I2726*(al_lic+Sens!I2829)</f>
        <v>35.4022023072784</v>
      </c>
      <c r="J2831" s="6" t="n">
        <f aca="false">Sens!J2726*(al_lic+Sens!J2829)</f>
        <v>36.3410576398918</v>
      </c>
      <c r="K2831" s="6" t="n">
        <f aca="false">Sens!K2726*(al_lic+Sens!K2829)</f>
        <v>37.1276868757058</v>
      </c>
    </row>
    <row r="2832" customFormat="false" ht="17.15" hidden="false" customHeight="false" outlineLevel="0" collapsed="false">
      <c r="A2832" s="0" t="s">
        <v>951</v>
      </c>
      <c r="B2832" s="0" t="s">
        <v>95</v>
      </c>
      <c r="F2832" s="6" t="n">
        <f aca="false">Sens!F2728*(al_ind+Sens!F2829)</f>
        <v>8.23142235288747</v>
      </c>
      <c r="G2832" s="6" t="n">
        <f aca="false">Sens!G2728*(al_ind+Sens!G2829)</f>
        <v>8.92125445211874</v>
      </c>
      <c r="H2832" s="6" t="n">
        <f aca="false">Sens!H2728*(al_ind+Sens!H2829)</f>
        <v>9.65645689966252</v>
      </c>
      <c r="I2832" s="6" t="n">
        <f aca="false">Sens!I2728*(al_ind+Sens!I2829)</f>
        <v>10.4359305133559</v>
      </c>
      <c r="J2832" s="6" t="n">
        <f aca="false">Sens!J2728*(al_ind+Sens!J2829)</f>
        <v>11.2496615107155</v>
      </c>
      <c r="K2832" s="6" t="n">
        <f aca="false">Sens!K2728*(al_ind+Sens!K2829)</f>
        <v>12.0805802325565</v>
      </c>
    </row>
    <row r="2833" customFormat="false" ht="17.15" hidden="false" customHeight="false" outlineLevel="0" collapsed="false">
      <c r="A2833" s="0" t="s">
        <v>952</v>
      </c>
      <c r="B2833" s="0" t="s">
        <v>95</v>
      </c>
      <c r="F2833" s="6" t="n">
        <f aca="false">Sens!F2730*(al_fro+Sens!F2829)</f>
        <v>3.23991673698178</v>
      </c>
      <c r="G2833" s="6" t="n">
        <f aca="false">Sens!G2730*(al_fro+Sens!G2829)</f>
        <v>3.42523427012141</v>
      </c>
      <c r="H2833" s="6" t="n">
        <f aca="false">Sens!H2730*(al_fro+Sens!H2829)</f>
        <v>3.63888347669114</v>
      </c>
      <c r="I2833" s="6" t="n">
        <f aca="false">Sens!I2730*(al_fro+Sens!I2829)</f>
        <v>3.88382859986432</v>
      </c>
      <c r="J2833" s="6" t="n">
        <f aca="false">Sens!J2730*(al_fro+Sens!J2829)</f>
        <v>4.16055715035227</v>
      </c>
      <c r="K2833" s="6" t="n">
        <f aca="false">Sens!K2730*(al_fro+Sens!K2829)</f>
        <v>4.46786282583631</v>
      </c>
    </row>
    <row r="2834" customFormat="false" ht="17.15" hidden="false" customHeight="false" outlineLevel="0" collapsed="false">
      <c r="A2834" s="0" t="s">
        <v>953</v>
      </c>
      <c r="B2834" s="0" t="s">
        <v>95</v>
      </c>
      <c r="F2834" s="6" t="n">
        <f aca="false">Sens!F2733*(al_srch+Sens!F2829)</f>
        <v>10.1659255338338</v>
      </c>
      <c r="G2834" s="6" t="n">
        <f aca="false">Sens!G2733*(al_srch+Sens!G2829)</f>
        <v>11.1218361064416</v>
      </c>
      <c r="H2834" s="6" t="n">
        <f aca="false">Sens!H2733*(al_srch+Sens!H2829)</f>
        <v>12.1240320316325</v>
      </c>
      <c r="I2834" s="6" t="n">
        <f aca="false">Sens!I2733*(al_srch+Sens!I2829)</f>
        <v>13.1651647223307</v>
      </c>
      <c r="J2834" s="6" t="n">
        <f aca="false">Sens!J2733*(al_srch+Sens!J2829)</f>
        <v>14.2257207024961</v>
      </c>
      <c r="K2834" s="6" t="n">
        <f aca="false">Sens!K2733*(al_srch+Sens!K2829)</f>
        <v>15.2764561092572</v>
      </c>
    </row>
    <row r="2835" customFormat="false" ht="17.15" hidden="false" customHeight="false" outlineLevel="0" collapsed="false">
      <c r="A2835" s="0" t="s">
        <v>954</v>
      </c>
      <c r="B2835" s="0" t="s">
        <v>95</v>
      </c>
      <c r="F2835" s="6" t="n">
        <f aca="false">Sens!F2702</f>
        <v>46.1726885172854</v>
      </c>
      <c r="G2835" s="6" t="n">
        <f aca="false">Sens!G2702</f>
        <v>88.1961492445511</v>
      </c>
      <c r="H2835" s="6" t="n">
        <f aca="false">Sens!H2702</f>
        <v>137.734962878705</v>
      </c>
      <c r="I2835" s="6" t="n">
        <f aca="false">Sens!I2702</f>
        <v>180.846672439086</v>
      </c>
      <c r="J2835" s="6" t="n">
        <f aca="false">Sens!J2702</f>
        <v>224.070320185701</v>
      </c>
      <c r="K2835" s="6" t="n">
        <f aca="false">Sens!K2702</f>
        <v>267.358418836015</v>
      </c>
    </row>
    <row r="2836" customFormat="false" ht="17.15" hidden="false" customHeight="false" outlineLevel="0" collapsed="false">
      <c r="A2836" s="0" t="s">
        <v>955</v>
      </c>
      <c r="B2836" s="0" t="s">
        <v>95</v>
      </c>
      <c r="F2836" s="6" t="n">
        <f aca="false">Sens!F2762+Sens!F2713+Sens!F2829*(Sens!F2732-Sens!F2696)</f>
        <v>218.602113668168</v>
      </c>
      <c r="G2836" s="6" t="n">
        <f aca="false">Sens!G2762+Sens!G2713+Sens!G2829*(Sens!G2732-Sens!G2696)</f>
        <v>281.58427322726</v>
      </c>
      <c r="H2836" s="6" t="n">
        <f aca="false">Sens!H2762+Sens!H2713+Sens!H2829*(Sens!H2732-Sens!H2696)</f>
        <v>352.321637899973</v>
      </c>
      <c r="I2836" s="6" t="n">
        <f aca="false">Sens!I2762+Sens!I2713+Sens!I2829*(Sens!I2732-Sens!I2696)</f>
        <v>415.06864102968</v>
      </c>
      <c r="J2836" s="6" t="n">
        <f aca="false">Sens!J2762+Sens!J2713+Sens!J2829*(Sens!J2732-Sens!J2696)</f>
        <v>475.547674974378</v>
      </c>
      <c r="K2836" s="6" t="n">
        <f aca="false">Sens!K2762+Sens!K2713+Sens!K2829*(Sens!K2732-Sens!K2696)</f>
        <v>534.166316887814</v>
      </c>
    </row>
    <row r="2837" customFormat="false" ht="17.15" hidden="false" customHeight="false" outlineLevel="0" collapsed="false">
      <c r="A2837" s="0" t="s">
        <v>956</v>
      </c>
      <c r="B2837" s="0" t="s">
        <v>95</v>
      </c>
      <c r="F2837" s="6" t="n">
        <f aca="false">Sens!F2836-Sens!F2830-Sens!F2831-Sens!F2832-Sens!F2833-Sens!F2835</f>
        <v>48.5467241940877</v>
      </c>
      <c r="G2837" s="6" t="n">
        <f aca="false">Sens!G2836-Sens!G2830-Sens!G2831-Sens!G2832-Sens!G2833-Sens!G2835</f>
        <v>53.7155895499018</v>
      </c>
      <c r="H2837" s="6" t="n">
        <f aca="false">Sens!H2836-Sens!H2830-Sens!H2831-Sens!H2832-Sens!H2833-Sens!H2835</f>
        <v>58.9637380327031</v>
      </c>
      <c r="I2837" s="6" t="n">
        <f aca="false">Sens!I2836-Sens!I2830-Sens!I2831-Sens!I2832-Sens!I2833-Sens!I2835</f>
        <v>64.0916719506191</v>
      </c>
      <c r="J2837" s="6" t="n">
        <f aca="false">Sens!J2836-Sens!J2830-Sens!J2831-Sens!J2832-Sens!J2833-Sens!J2835</f>
        <v>68.4963934603064</v>
      </c>
      <c r="K2837" s="6" t="n">
        <f aca="false">Sens!K2836-Sens!K2830-Sens!K2831-Sens!K2832-Sens!K2833-Sens!K2835</f>
        <v>71.4355371097232</v>
      </c>
    </row>
    <row r="2838" customFormat="false" ht="17.15" hidden="false" customHeight="false" outlineLevel="0" collapsed="false">
      <c r="A2838" s="0" t="s">
        <v>957</v>
      </c>
      <c r="B2838" s="0" t="s">
        <v>95</v>
      </c>
      <c r="F2838" s="6" t="n">
        <f aca="false">Sens!F2764+Sens!F2829*Sens!F2739</f>
        <v>23.7366325885412</v>
      </c>
      <c r="G2838" s="6" t="n">
        <f aca="false">Sens!G2764+Sens!G2829*Sens!G2739</f>
        <v>24.2488001831921</v>
      </c>
      <c r="H2838" s="6" t="n">
        <f aca="false">Sens!H2764+Sens!H2829*Sens!H2739</f>
        <v>25.0191565857232</v>
      </c>
      <c r="I2838" s="6" t="n">
        <f aca="false">Sens!I2764+Sens!I2829*Sens!I2739</f>
        <v>26.0222596996374</v>
      </c>
      <c r="J2838" s="6" t="n">
        <f aca="false">Sens!J2764+Sens!J2829*Sens!J2739</f>
        <v>27.2212114824986</v>
      </c>
      <c r="K2838" s="6" t="n">
        <f aca="false">Sens!K2764+Sens!K2829*Sens!K2739</f>
        <v>28.5733379970501</v>
      </c>
    </row>
    <row r="2839" customFormat="false" ht="17.15" hidden="false" customHeight="false" outlineLevel="0" collapsed="false">
      <c r="A2839" s="0" t="s">
        <v>958</v>
      </c>
      <c r="B2839" s="0" t="s">
        <v>95</v>
      </c>
      <c r="F2839" s="6" t="n">
        <f aca="false">(Sens!F2838-Sens!F2834)*Sens!F2735/(Sens!F2735+Sens!F2737)</f>
        <v>7.43932943061911</v>
      </c>
      <c r="G2839" s="6" t="n">
        <f aca="false">(Sens!G2838-Sens!G2834)*Sens!G2735/(Sens!G2735+Sens!G2737)</f>
        <v>7.06776830757547</v>
      </c>
      <c r="H2839" s="6" t="n">
        <f aca="false">(Sens!H2838-Sens!H2834)*Sens!H2735/(Sens!H2735+Sens!H2737)</f>
        <v>6.84915463876495</v>
      </c>
      <c r="I2839" s="6" t="n">
        <f aca="false">(Sens!I2838-Sens!I2834)*Sens!I2735/(Sens!I2735+Sens!I2737)</f>
        <v>6.76716702045722</v>
      </c>
      <c r="J2839" s="6" t="n">
        <f aca="false">(Sens!J2838-Sens!J2834)*Sens!J2735/(Sens!J2735+Sens!J2737)</f>
        <v>6.80907960368748</v>
      </c>
      <c r="K2839" s="6" t="n">
        <f aca="false">(Sens!K2838-Sens!K2834)*Sens!K2735/(Sens!K2735+Sens!K2737)</f>
        <v>6.96699561313494</v>
      </c>
    </row>
    <row r="2840" customFormat="false" ht="17.15" hidden="false" customHeight="false" outlineLevel="0" collapsed="false">
      <c r="A2840" s="0" t="s">
        <v>959</v>
      </c>
      <c r="B2840" s="0" t="s">
        <v>95</v>
      </c>
      <c r="F2840" s="6" t="n">
        <f aca="false">Sens!F2838-Sens!F2834-Sens!F2839</f>
        <v>6.13137762408826</v>
      </c>
      <c r="G2840" s="6" t="n">
        <f aca="false">Sens!G2838-Sens!G2834-Sens!G2839</f>
        <v>6.05919576917505</v>
      </c>
      <c r="H2840" s="6" t="n">
        <f aca="false">Sens!H2838-Sens!H2834-Sens!H2839</f>
        <v>6.04596991532572</v>
      </c>
      <c r="I2840" s="6" t="n">
        <f aca="false">Sens!I2838-Sens!I2834-Sens!I2839</f>
        <v>6.08992795684943</v>
      </c>
      <c r="J2840" s="6" t="n">
        <f aca="false">Sens!J2838-Sens!J2834-Sens!J2839</f>
        <v>6.18641117631496</v>
      </c>
      <c r="K2840" s="6" t="n">
        <f aca="false">Sens!K2838-Sens!K2834-Sens!K2839</f>
        <v>6.32988627465802</v>
      </c>
    </row>
    <row r="2841" customFormat="false" ht="17.15" hidden="false" customHeight="false" outlineLevel="0" collapsed="false">
      <c r="A2841" s="1" t="s">
        <v>960</v>
      </c>
      <c r="B2841" s="0" t="s">
        <v>95</v>
      </c>
      <c r="C2841" s="6" t="n">
        <f aca="false">(w_ntm28*Sens!G2835+(1-w_ntm28)*Sens!H2835)*m_ai*1</f>
        <v>625.268621639857</v>
      </c>
    </row>
    <row r="2842" customFormat="false" ht="17.15" hidden="false" customHeight="false" outlineLevel="0" collapsed="false">
      <c r="A2842" s="1" t="s">
        <v>961</v>
      </c>
      <c r="B2842" s="0" t="s">
        <v>95</v>
      </c>
      <c r="C2842" s="6" t="n">
        <f aca="false">(w_ntm28*Sens!G2837+(1-w_ntm28)*Sens!H2837)*m_cloud*1</f>
        <v>765.79731229146</v>
      </c>
    </row>
    <row r="2843" customFormat="false" ht="17.15" hidden="false" customHeight="false" outlineLevel="0" collapsed="false">
      <c r="A2843" s="1" t="s">
        <v>962</v>
      </c>
      <c r="B2843" s="0" t="s">
        <v>95</v>
      </c>
      <c r="C2843" s="6" t="n">
        <f aca="false">(w_ntm28*Sens!G2830+(1-w_ntm28)*Sens!H2830)*m_sw*1</f>
        <v>1064.99115242739</v>
      </c>
    </row>
    <row r="2844" customFormat="false" ht="17.15" hidden="false" customHeight="false" outlineLevel="0" collapsed="false">
      <c r="A2844" s="1" t="s">
        <v>963</v>
      </c>
      <c r="B2844" s="0" t="s">
        <v>95</v>
      </c>
      <c r="C2844" s="6" t="n">
        <f aca="false">(w_ntm28*Sens!G2831+(1-w_ntm28)*Sens!H2831)*m_sw*1</f>
        <v>362.508158970174</v>
      </c>
    </row>
    <row r="2845" customFormat="false" ht="17.15" hidden="false" customHeight="false" outlineLevel="0" collapsed="false">
      <c r="A2845" s="1" t="s">
        <v>964</v>
      </c>
      <c r="B2845" s="0" t="s">
        <v>95</v>
      </c>
      <c r="C2845" s="6" t="n">
        <f aca="false">(w_ntm28*Sens!G2832+(1-w_ntm28)*Sens!H2832)*m_sw*1</f>
        <v>98.9165124641147</v>
      </c>
    </row>
    <row r="2846" customFormat="false" ht="17.15" hidden="false" customHeight="false" outlineLevel="0" collapsed="false">
      <c r="A2846" s="1" t="s">
        <v>965</v>
      </c>
      <c r="B2846" s="0" t="s">
        <v>95</v>
      </c>
      <c r="C2846" s="6" t="n">
        <f aca="false">(w_ntm28*Sens!G2833+(1-w_ntm28)*Sens!H2833)*m_sw*1</f>
        <v>37.7384877854002</v>
      </c>
    </row>
    <row r="2847" customFormat="false" ht="17.15" hidden="false" customHeight="false" outlineLevel="0" collapsed="false">
      <c r="A2847" s="1" t="s">
        <v>966</v>
      </c>
      <c r="B2847" s="0" t="s">
        <v>95</v>
      </c>
      <c r="C2847" s="6" t="n">
        <f aca="false">(w_ntm28*Sens!G2834+(1-w_ntm28)*Sens!H2834)*m_ads*1</f>
        <v>104.271544945195</v>
      </c>
    </row>
    <row r="2848" customFormat="false" ht="17.15" hidden="false" customHeight="false" outlineLevel="0" collapsed="false">
      <c r="A2848" s="1" t="s">
        <v>967</v>
      </c>
      <c r="B2848" s="0" t="s">
        <v>95</v>
      </c>
      <c r="C2848" s="6" t="n">
        <f aca="false">(w_ntm28*Sens!G2839+(1-w_ntm28)*Sens!H2839)*m_game*1</f>
        <v>88.3732871625547</v>
      </c>
    </row>
    <row r="2849" customFormat="false" ht="17.15" hidden="false" customHeight="false" outlineLevel="0" collapsed="false">
      <c r="A2849" s="1" t="s">
        <v>968</v>
      </c>
      <c r="B2849" s="0" t="s">
        <v>95</v>
      </c>
      <c r="C2849" s="6" t="n">
        <f aca="false">(w_ntm28*Sens!G2840+(1-w_ntm28)*Sens!H2840)*m_pc*1</f>
        <v>87.614692598008</v>
      </c>
    </row>
    <row r="2850" customFormat="false" ht="17.15" hidden="false" customHeight="false" outlineLevel="0" collapsed="false">
      <c r="A2850" s="1" t="s">
        <v>969</v>
      </c>
      <c r="B2850" s="0" t="s">
        <v>95</v>
      </c>
      <c r="C2850" s="6" t="n">
        <f aca="false">Sens!$C$2841+Sens!$C$2842+Sens!$C$2843+Sens!$C$2844+Sens!$C$2845+Sens!$C$2846+Sens!$C$2847+Sens!$C$2848+Sens!$C$2849</f>
        <v>3235.47977028415</v>
      </c>
    </row>
    <row r="2851" customFormat="false" ht="17.15" hidden="false" customHeight="false" outlineLevel="0" collapsed="false">
      <c r="A2851" s="1" t="s">
        <v>903</v>
      </c>
      <c r="B2851" s="0" t="s">
        <v>95</v>
      </c>
      <c r="C2851" s="6" t="n">
        <f aca="false">Sens!F2808+oai_v-Sens!F2797</f>
        <v>90.8960867065894</v>
      </c>
      <c r="L2851" s="1" t="s">
        <v>970</v>
      </c>
    </row>
    <row r="2852" customFormat="false" ht="15" hidden="false" customHeight="false" outlineLevel="0" collapsed="false">
      <c r="A2852" s="1" t="s">
        <v>904</v>
      </c>
      <c r="B2852" s="0" t="s">
        <v>73</v>
      </c>
      <c r="C2852" s="5" t="n">
        <f aca="false">(Sens!$C$2850+Sens!$C$2851)/Sens!F2810</f>
        <v>445.178781717176</v>
      </c>
    </row>
    <row r="2853" customFormat="false" ht="17.15" hidden="false" customHeight="false" outlineLevel="0" collapsed="false">
      <c r="A2853" s="1" t="s">
        <v>971</v>
      </c>
      <c r="B2853" s="0" t="s">
        <v>73</v>
      </c>
      <c r="C2853" s="5" t="n">
        <f aca="false">w_dcf*Sens!$C$2828+(1-w_dcf)*Sens!$C$2852</f>
        <v>361.236856749887</v>
      </c>
    </row>
    <row r="2854" customFormat="false" ht="17.15" hidden="false" customHeight="false" outlineLevel="0" collapsed="false">
      <c r="A2854" s="3" t="s">
        <v>1194</v>
      </c>
    </row>
    <row r="2855" customFormat="false" ht="15" hidden="false" customHeight="false" outlineLevel="0" collapsed="false">
      <c r="A2855" s="4" t="s">
        <v>43</v>
      </c>
      <c r="B2855" s="4" t="s">
        <v>63</v>
      </c>
      <c r="C2855" s="19" t="s">
        <v>710</v>
      </c>
      <c r="D2855" s="19" t="s">
        <v>711</v>
      </c>
      <c r="E2855" s="19" t="s">
        <v>712</v>
      </c>
      <c r="F2855" s="19" t="s">
        <v>713</v>
      </c>
      <c r="G2855" s="19" t="s">
        <v>714</v>
      </c>
      <c r="H2855" s="19" t="s">
        <v>715</v>
      </c>
      <c r="I2855" s="19" t="s">
        <v>716</v>
      </c>
      <c r="J2855" s="19" t="s">
        <v>717</v>
      </c>
      <c r="K2855" s="19" t="s">
        <v>718</v>
      </c>
      <c r="L2855" s="4" t="s">
        <v>47</v>
      </c>
    </row>
    <row r="2856" customFormat="false" ht="17.15" hidden="false" customHeight="false" outlineLevel="0" collapsed="false">
      <c r="A2856" s="1" t="s">
        <v>719</v>
      </c>
      <c r="B2856" s="0" t="s">
        <v>340</v>
      </c>
      <c r="C2856" s="27" t="n">
        <f aca="false">mw_ext_24</f>
        <v>640</v>
      </c>
      <c r="D2856" s="27" t="n">
        <f aca="false">mw_ext_25</f>
        <v>1630</v>
      </c>
      <c r="E2856" s="27" t="n">
        <f aca="false">mw_ext_26</f>
        <v>3250</v>
      </c>
      <c r="F2856" s="27" t="n">
        <f aca="false">MIN(1000000000,Sens!E2856+pace*1.2)</f>
        <v>6282.64</v>
      </c>
      <c r="G2856" s="27" t="n">
        <f aca="false">MIN(1000000000,Sens!F2856+pace*1.2)</f>
        <v>9315.28</v>
      </c>
      <c r="H2856" s="27" t="n">
        <f aca="false">MIN(1000000000,Sens!G2856+pace*1.2)</f>
        <v>12347.92</v>
      </c>
      <c r="I2856" s="27" t="n">
        <f aca="false">MIN(1000000000,Sens!H2856+pace*1.2)</f>
        <v>15380.56</v>
      </c>
      <c r="J2856" s="27" t="n">
        <f aca="false">MIN(1000000000,Sens!I2856+pace*1.2)</f>
        <v>18413.2</v>
      </c>
      <c r="K2856" s="27" t="n">
        <f aca="false">MIN(1000000000,Sens!J2856+pace*1.2)</f>
        <v>21445.84</v>
      </c>
      <c r="L2856" s="11" t="s">
        <v>720</v>
      </c>
    </row>
    <row r="2857" customFormat="false" ht="17.15" hidden="false" customHeight="false" outlineLevel="0" collapsed="false">
      <c r="A2857" s="1" t="s">
        <v>721</v>
      </c>
      <c r="B2857" s="0" t="s">
        <v>340</v>
      </c>
      <c r="C2857" s="27" t="n">
        <f aca="false">rent_ext_24</f>
        <v>150</v>
      </c>
      <c r="D2857" s="27" t="n">
        <f aca="false">rent_ext_25</f>
        <v>400</v>
      </c>
      <c r="E2857" s="27" t="n">
        <f aca="false">rent_ext_26</f>
        <v>550</v>
      </c>
      <c r="F2857" s="27" t="n">
        <f aca="false">rent_ext_f</f>
        <v>756</v>
      </c>
      <c r="G2857" s="27" t="n">
        <f aca="false">rent_ext_f</f>
        <v>756</v>
      </c>
      <c r="H2857" s="27" t="n">
        <f aca="false">rent_ext_f</f>
        <v>756</v>
      </c>
      <c r="I2857" s="27" t="n">
        <f aca="false">rent_ext_f</f>
        <v>756</v>
      </c>
      <c r="J2857" s="27" t="n">
        <f aca="false">rent_ext_f</f>
        <v>756</v>
      </c>
      <c r="K2857" s="27" t="n">
        <f aca="false">rent_ext_f</f>
        <v>756</v>
      </c>
      <c r="L2857" s="1" t="s">
        <v>722</v>
      </c>
    </row>
    <row r="2858" customFormat="false" ht="17.15" hidden="false" customHeight="false" outlineLevel="0" collapsed="false">
      <c r="A2858" s="1" t="s">
        <v>723</v>
      </c>
      <c r="B2858" s="0" t="s">
        <v>340</v>
      </c>
      <c r="C2858" s="27" t="n">
        <f aca="false">Sens!C2856-Sens!C2857</f>
        <v>490</v>
      </c>
      <c r="D2858" s="27" t="n">
        <f aca="false">Sens!D2856-Sens!D2857</f>
        <v>1230</v>
      </c>
      <c r="E2858" s="27" t="n">
        <f aca="false">Sens!E2856-Sens!E2857</f>
        <v>2700</v>
      </c>
      <c r="F2858" s="27" t="n">
        <f aca="false">Sens!F2856-Sens!F2857</f>
        <v>5526.64</v>
      </c>
      <c r="G2858" s="27" t="n">
        <f aca="false">Sens!G2856-Sens!G2857</f>
        <v>8559.28</v>
      </c>
      <c r="H2858" s="27" t="n">
        <f aca="false">Sens!H2856-Sens!H2857</f>
        <v>11591.92</v>
      </c>
      <c r="I2858" s="27" t="n">
        <f aca="false">Sens!I2856-Sens!I2857</f>
        <v>14624.56</v>
      </c>
      <c r="J2858" s="27" t="n">
        <f aca="false">Sens!J2856-Sens!J2857</f>
        <v>17657.2</v>
      </c>
      <c r="K2858" s="27" t="n">
        <f aca="false">Sens!K2856-Sens!K2857</f>
        <v>20689.84</v>
      </c>
    </row>
    <row r="2859" customFormat="false" ht="17.15" hidden="false" customHeight="false" outlineLevel="0" collapsed="false">
      <c r="A2859" s="1" t="s">
        <v>724</v>
      </c>
      <c r="B2859" s="0" t="s">
        <v>340</v>
      </c>
      <c r="C2859" s="27" t="n">
        <f aca="false">Sens!C2858/ext_sh</f>
        <v>816.666666666667</v>
      </c>
      <c r="D2859" s="27" t="n">
        <f aca="false">Sens!D2858/ext_sh</f>
        <v>2050</v>
      </c>
      <c r="E2859" s="27" t="n">
        <f aca="false">Sens!E2858/ext_sh</f>
        <v>4500</v>
      </c>
      <c r="F2859" s="27" t="n">
        <f aca="false">Sens!F2858/ext_sh</f>
        <v>9211.06666666667</v>
      </c>
      <c r="G2859" s="27" t="n">
        <f aca="false">Sens!G2858/ext_sh</f>
        <v>14265.4666666667</v>
      </c>
      <c r="H2859" s="27" t="n">
        <f aca="false">Sens!H2858/ext_sh</f>
        <v>19319.8666666667</v>
      </c>
      <c r="I2859" s="27" t="n">
        <f aca="false">Sens!I2858/ext_sh</f>
        <v>24374.2666666667</v>
      </c>
      <c r="J2859" s="27" t="n">
        <f aca="false">Sens!J2858/ext_sh</f>
        <v>29428.6666666667</v>
      </c>
      <c r="K2859" s="27" t="n">
        <f aca="false">Sens!K2858/ext_sh</f>
        <v>34483.0666666667</v>
      </c>
      <c r="L2859" s="1" t="s">
        <v>725</v>
      </c>
    </row>
    <row r="2860" customFormat="false" ht="17.15" hidden="false" customHeight="false" outlineLevel="0" collapsed="false">
      <c r="A2860" s="1" t="s">
        <v>726</v>
      </c>
      <c r="B2860" s="0" t="s">
        <v>340</v>
      </c>
      <c r="C2860" s="27" t="n">
        <f aca="false">Sens!C2859-Sens!C2858</f>
        <v>326.666666666667</v>
      </c>
      <c r="D2860" s="27" t="n">
        <f aca="false">Sens!D2859-Sens!D2858</f>
        <v>820</v>
      </c>
      <c r="E2860" s="27" t="n">
        <f aca="false">Sens!E2859-Sens!E2858</f>
        <v>1800</v>
      </c>
      <c r="F2860" s="27" t="n">
        <f aca="false">Sens!F2859-Sens!F2858</f>
        <v>3684.42666666667</v>
      </c>
      <c r="G2860" s="27" t="n">
        <f aca="false">Sens!G2859-Sens!G2858</f>
        <v>5706.18666666667</v>
      </c>
      <c r="H2860" s="27" t="n">
        <f aca="false">Sens!H2859-Sens!H2858</f>
        <v>7727.94666666667</v>
      </c>
      <c r="I2860" s="27" t="n">
        <f aca="false">Sens!I2859-Sens!I2858</f>
        <v>9749.70666666667</v>
      </c>
      <c r="J2860" s="27" t="n">
        <f aca="false">Sens!J2859-Sens!J2858</f>
        <v>11771.4666666667</v>
      </c>
      <c r="K2860" s="27" t="n">
        <f aca="false">Sens!K2859-Sens!K2858</f>
        <v>13793.2266666667</v>
      </c>
    </row>
    <row r="2861" customFormat="false" ht="17.15" hidden="false" customHeight="false" outlineLevel="0" collapsed="false">
      <c r="A2861" s="1" t="s">
        <v>727</v>
      </c>
      <c r="B2861" s="0" t="s">
        <v>340</v>
      </c>
      <c r="C2861" s="27" t="n">
        <f aca="false">Sens!C2859</f>
        <v>816.666666666667</v>
      </c>
      <c r="D2861" s="27" t="n">
        <f aca="false">Sens!D2859-Sens!C2859</f>
        <v>1233.33333333333</v>
      </c>
      <c r="E2861" s="27" t="n">
        <f aca="false">Sens!E2859-Sens!D2859</f>
        <v>2450</v>
      </c>
      <c r="F2861" s="27" t="n">
        <f aca="false">Sens!F2859-Sens!E2859</f>
        <v>4711.06666666667</v>
      </c>
      <c r="G2861" s="27" t="n">
        <f aca="false">Sens!G2859-Sens!F2859</f>
        <v>5054.4</v>
      </c>
      <c r="H2861" s="27" t="n">
        <f aca="false">Sens!H2859-Sens!G2859</f>
        <v>5054.4</v>
      </c>
      <c r="I2861" s="27" t="n">
        <f aca="false">Sens!I2859-Sens!H2859</f>
        <v>5054.4</v>
      </c>
      <c r="J2861" s="27" t="n">
        <f aca="false">Sens!J2859-Sens!I2859</f>
        <v>5054.4</v>
      </c>
      <c r="K2861" s="27" t="n">
        <f aca="false">Sens!K2859-Sens!J2859</f>
        <v>5054.4</v>
      </c>
    </row>
    <row r="2862" customFormat="false" ht="17.15" hidden="false" customHeight="false" outlineLevel="0" collapsed="false">
      <c r="A2862" s="1" t="s">
        <v>728</v>
      </c>
      <c r="B2862" s="0" t="s">
        <v>340</v>
      </c>
      <c r="D2862" s="27" t="n">
        <f aca="false">Sens!D2856-Sens!C2856</f>
        <v>990</v>
      </c>
      <c r="E2862" s="27" t="n">
        <f aca="false">Sens!E2856-Sens!D2856</f>
        <v>1620</v>
      </c>
      <c r="F2862" s="27" t="n">
        <f aca="false">Sens!F2856-Sens!E2856</f>
        <v>3032.64</v>
      </c>
      <c r="G2862" s="27" t="n">
        <f aca="false">Sens!G2856-Sens!F2856</f>
        <v>3032.64</v>
      </c>
      <c r="H2862" s="27" t="n">
        <f aca="false">Sens!H2856-Sens!G2856</f>
        <v>3032.64</v>
      </c>
      <c r="I2862" s="27" t="n">
        <f aca="false">Sens!I2856-Sens!H2856</f>
        <v>3032.64</v>
      </c>
      <c r="J2862" s="27" t="n">
        <f aca="false">Sens!J2856-Sens!I2856</f>
        <v>3032.64</v>
      </c>
      <c r="K2862" s="27" t="n">
        <f aca="false">Sens!K2856-Sens!J2856</f>
        <v>3032.64</v>
      </c>
    </row>
    <row r="2863" customFormat="false" ht="17.15" hidden="false" customHeight="false" outlineLevel="0" collapsed="false">
      <c r="A2863" s="1" t="s">
        <v>729</v>
      </c>
      <c r="B2863" s="0" t="s">
        <v>340</v>
      </c>
      <c r="C2863" s="27" t="n">
        <f aca="false">mix_h*Sens!C2856</f>
        <v>128</v>
      </c>
      <c r="D2863" s="27" t="n">
        <f aca="false">mix_h*Sens!D2856</f>
        <v>326</v>
      </c>
      <c r="E2863" s="27" t="n">
        <f aca="false">mix_h*Sens!E2856</f>
        <v>650</v>
      </c>
      <c r="F2863" s="27" t="n">
        <f aca="false">Sens!E2863</f>
        <v>650</v>
      </c>
      <c r="G2863" s="27" t="n">
        <f aca="false">Sens!F2863</f>
        <v>650</v>
      </c>
      <c r="H2863" s="27" t="n">
        <f aca="false">Sens!G2863</f>
        <v>650</v>
      </c>
      <c r="I2863" s="27" t="n">
        <f aca="false">Sens!H2863</f>
        <v>650</v>
      </c>
      <c r="J2863" s="27" t="n">
        <f aca="false">Sens!I2863</f>
        <v>650</v>
      </c>
      <c r="K2863" s="27" t="n">
        <f aca="false">Sens!J2863</f>
        <v>650</v>
      </c>
    </row>
    <row r="2864" customFormat="false" ht="17.15" hidden="false" customHeight="false" outlineLevel="0" collapsed="false">
      <c r="A2864" s="1" t="s">
        <v>730</v>
      </c>
      <c r="B2864" s="0" t="s">
        <v>340</v>
      </c>
      <c r="C2864" s="27" t="n">
        <f aca="false">mix_g2*Sens!C2856</f>
        <v>288</v>
      </c>
      <c r="D2864" s="27" t="n">
        <f aca="false">mix_g2*Sens!D2856</f>
        <v>733.5</v>
      </c>
      <c r="E2864" s="27" t="n">
        <f aca="false">mix_g2*Sens!E2856</f>
        <v>1462.5</v>
      </c>
      <c r="F2864" s="27" t="n">
        <f aca="false">Sens!E2864</f>
        <v>1462.5</v>
      </c>
      <c r="G2864" s="27" t="n">
        <f aca="false">Sens!F2864</f>
        <v>1462.5</v>
      </c>
      <c r="H2864" s="27" t="n">
        <f aca="false">Sens!G2864</f>
        <v>1462.5</v>
      </c>
      <c r="I2864" s="27" t="n">
        <f aca="false">Sens!H2864</f>
        <v>1462.5</v>
      </c>
      <c r="J2864" s="27" t="n">
        <f aca="false">Sens!I2864</f>
        <v>1462.5</v>
      </c>
      <c r="K2864" s="27" t="n">
        <f aca="false">Sens!J2864</f>
        <v>1462.5</v>
      </c>
    </row>
    <row r="2865" customFormat="false" ht="17.15" hidden="false" customHeight="false" outlineLevel="0" collapsed="false">
      <c r="A2865" s="1" t="s">
        <v>731</v>
      </c>
      <c r="B2865" s="0" t="s">
        <v>340</v>
      </c>
      <c r="C2865" s="27" t="n">
        <f aca="false">mix_g3*Sens!C2856</f>
        <v>224</v>
      </c>
      <c r="D2865" s="27" t="n">
        <f aca="false">mix_g3*Sens!D2856</f>
        <v>570.5</v>
      </c>
      <c r="E2865" s="27" t="n">
        <f aca="false">mix_g3*Sens!E2856</f>
        <v>1137.5</v>
      </c>
      <c r="F2865" s="27" t="n">
        <f aca="false">Sens!E2865+Sens!F2862*a_g3_27</f>
        <v>3260.348</v>
      </c>
      <c r="G2865" s="27" t="n">
        <f aca="false">Sens!F2865+Sens!G2862*a_g3_28</f>
        <v>4170.14</v>
      </c>
      <c r="H2865" s="27" t="n">
        <f aca="false">Sens!G2865+Sens!H2862*a_g3_29</f>
        <v>4473.404</v>
      </c>
      <c r="I2865" s="27" t="n">
        <f aca="false">Sens!H2865+Sens!I2862*a_g3_29</f>
        <v>4776.668</v>
      </c>
      <c r="J2865" s="27" t="n">
        <f aca="false">Sens!I2865+Sens!J2862*a_g3_29</f>
        <v>5079.932</v>
      </c>
      <c r="K2865" s="27" t="n">
        <f aca="false">Sens!J2865+Sens!K2862*a_g3_29</f>
        <v>5383.196</v>
      </c>
    </row>
    <row r="2866" customFormat="false" ht="17.15" hidden="false" customHeight="false" outlineLevel="0" collapsed="false">
      <c r="A2866" s="1" t="s">
        <v>732</v>
      </c>
      <c r="B2866" s="0" t="s">
        <v>340</v>
      </c>
      <c r="C2866" s="27" t="n">
        <f aca="false">0</f>
        <v>0</v>
      </c>
      <c r="D2866" s="27" t="n">
        <f aca="false">0</f>
        <v>0</v>
      </c>
      <c r="E2866" s="27" t="n">
        <f aca="false">0</f>
        <v>0</v>
      </c>
      <c r="F2866" s="27" t="n">
        <f aca="false">Sens!E2866+Sens!F2862*(1-a_g3_27)</f>
        <v>909.792</v>
      </c>
      <c r="G2866" s="27" t="n">
        <f aca="false">Sens!F2866+Sens!G2862*(1-a_g3_28)</f>
        <v>3032.64</v>
      </c>
      <c r="H2866" s="27" t="n">
        <f aca="false">Sens!G2866+Sens!H2862*(1-a_g3_29)</f>
        <v>5762.016</v>
      </c>
      <c r="I2866" s="27" t="n">
        <f aca="false">Sens!H2866+Sens!I2862*(1-a_g3_29)</f>
        <v>8491.392</v>
      </c>
      <c r="J2866" s="27" t="n">
        <f aca="false">Sens!I2866+Sens!J2862*(1-a_g3_29)</f>
        <v>11220.768</v>
      </c>
      <c r="K2866" s="27" t="n">
        <f aca="false">Sens!J2866+Sens!K2862*(1-a_g3_29)</f>
        <v>13950.144</v>
      </c>
    </row>
    <row r="2867" customFormat="false" ht="17.15" hidden="false" customHeight="false" outlineLevel="0" collapsed="false">
      <c r="A2867" s="1" t="s">
        <v>733</v>
      </c>
      <c r="B2867" s="0" t="s">
        <v>291</v>
      </c>
      <c r="C2867" s="18" t="n">
        <f aca="false">(Sens!C2863*tk_hold_h100+Sens!C2864*tk_hold_gb200+Sens!C2865*tk_hold_gb300+Sens!C2866*tk_hold_vr200)/Sens!C2856</f>
        <v>9.7235358126469</v>
      </c>
      <c r="D2867" s="18" t="n">
        <f aca="false">(Sens!D2863*tk_hold_h100+Sens!D2864*tk_hold_gb200+Sens!D2865*tk_hold_gb300+Sens!D2866*tk_hold_vr200)/Sens!D2856</f>
        <v>9.7235358126469</v>
      </c>
      <c r="E2867" s="18" t="n">
        <f aca="false">(Sens!E2863*tk_hold_h100+Sens!E2864*tk_hold_gb200+Sens!E2865*tk_hold_gb300+Sens!E2866*tk_hold_vr200)/Sens!E2856</f>
        <v>9.7235358126469</v>
      </c>
      <c r="F2867" s="18" t="n">
        <f aca="false">(Sens!F2863*tk_hold_h100+Sens!F2864*tk_hold_gb200+Sens!F2865*tk_hold_gb300+Sens!F2866*tk_hold_vr200)/Sens!F2856</f>
        <v>10.4787673542193</v>
      </c>
      <c r="G2867" s="18" t="n">
        <f aca="false">(Sens!G2863*tk_hold_h100+Sens!G2864*tk_hold_gb200+Sens!G2865*tk_hold_gb300+Sens!G2866*tk_hold_vr200)/Sens!G2856</f>
        <v>10.9166347377517</v>
      </c>
      <c r="H2867" s="18" t="n">
        <f aca="false">(Sens!H2863*tk_hold_h100+Sens!H2864*tk_hold_gb200+Sens!H2865*tk_hold_gb300+Sens!H2866*tk_hold_vr200)/Sens!H2856</f>
        <v>11.2051967403931</v>
      </c>
      <c r="I2867" s="18" t="n">
        <f aca="false">(Sens!I2863*tk_hold_h100+Sens!I2864*tk_hold_gb200+Sens!I2865*tk_hold_gb300+Sens!I2866*tk_hold_vr200)/Sens!I2856</f>
        <v>11.379965139721</v>
      </c>
      <c r="J2867" s="18" t="n">
        <f aca="false">(Sens!J2863*tk_hold_h100+Sens!J2864*tk_hold_gb200+Sens!J2865*tk_hold_gb300+Sens!J2866*tk_hold_vr200)/Sens!J2856</f>
        <v>11.4971650948308</v>
      </c>
      <c r="K2867" s="18" t="n">
        <f aca="false">(Sens!K2863*tk_hold_h100+Sens!K2864*tk_hold_gb200+Sens!K2865*tk_hold_gb300+Sens!K2866*tk_hold_vr200)/Sens!K2856</f>
        <v>11.5812187360761</v>
      </c>
    </row>
    <row r="2868" customFormat="false" ht="17.15" hidden="false" customHeight="false" outlineLevel="0" collapsed="false">
      <c r="A2868" s="0" t="s">
        <v>734</v>
      </c>
      <c r="B2868" s="0" t="s">
        <v>182</v>
      </c>
      <c r="C2868" s="18" t="n">
        <f aca="false">k_B</f>
        <v>1.17213932619116</v>
      </c>
      <c r="D2868" s="18" t="n">
        <f aca="false">k_B</f>
        <v>1.17213932619116</v>
      </c>
      <c r="E2868" s="18" t="n">
        <f aca="false">k_B</f>
        <v>1.17213932619116</v>
      </c>
      <c r="F2868" s="18" t="n">
        <f aca="false">(k_B+((ls_B*k_long+(1-ls_B)*k_spot)-k_B)*MIN(1,1/3))*1</f>
        <v>1.17213932619116</v>
      </c>
      <c r="G2868" s="18" t="n">
        <f aca="false">(k_B+((ls_B*k_long+(1-ls_B)*k_spot)-k_B)*MIN(1,2/3))*1</f>
        <v>1.17213932619116</v>
      </c>
      <c r="H2868" s="18" t="n">
        <f aca="false">(k_B+((ls_B*k_long+(1-ls_B)*k_spot)-k_B)*MIN(1,3/3))*1</f>
        <v>1.17213932619116</v>
      </c>
      <c r="I2868" s="18" t="n">
        <f aca="false">(k_B+((ls_B*k_long+(1-ls_B)*k_spot)-k_B)*MIN(1,4/3))*1</f>
        <v>1.17213932619116</v>
      </c>
      <c r="J2868" s="18" t="n">
        <f aca="false">(k_B+((ls_B*k_long+(1-ls_B)*k_spot)-k_B)*MIN(1,5/3))*1</f>
        <v>1.17213932619116</v>
      </c>
      <c r="K2868" s="18" t="n">
        <f aca="false">(k_B+((ls_B*k_long+(1-ls_B)*k_spot)-k_B)*MIN(1,6/3))*1</f>
        <v>1.17213932619116</v>
      </c>
      <c r="L2868" s="1" t="s">
        <v>735</v>
      </c>
    </row>
    <row r="2869" customFormat="false" ht="17.15" hidden="false" customHeight="false" outlineLevel="0" collapsed="false">
      <c r="A2869" s="1" t="s">
        <v>736</v>
      </c>
      <c r="B2869" s="0" t="s">
        <v>291</v>
      </c>
      <c r="C2869" s="18" t="n">
        <f aca="false">Sens!C2867*Sens!C2868*chip_f</f>
        <v>11.3973387156315</v>
      </c>
      <c r="D2869" s="18" t="n">
        <f aca="false">Sens!D2867*Sens!D2868*chip_f</f>
        <v>11.3973387156315</v>
      </c>
      <c r="E2869" s="18" t="n">
        <f aca="false">Sens!E2867*Sens!E2868*chip_f</f>
        <v>11.3973387156315</v>
      </c>
      <c r="F2869" s="18" t="n">
        <f aca="false">Sens!F2867*Sens!F2868*chip_f</f>
        <v>12.2825753058885</v>
      </c>
      <c r="G2869" s="18" t="n">
        <f aca="false">Sens!G2867*Sens!G2868*chip_f</f>
        <v>12.7958168857832</v>
      </c>
      <c r="H2869" s="18" t="n">
        <f aca="false">Sens!H2867*Sens!H2868*chip_f</f>
        <v>13.1340517571237</v>
      </c>
      <c r="I2869" s="18" t="n">
        <f aca="false">Sens!I2867*Sens!I2868*chip_f</f>
        <v>13.3389046709514</v>
      </c>
      <c r="J2869" s="18" t="n">
        <f aca="false">Sens!J2867*Sens!J2868*chip_f</f>
        <v>13.4762793473634</v>
      </c>
      <c r="K2869" s="18" t="n">
        <f aca="false">Sens!K2867*Sens!K2868*chip_f</f>
        <v>13.5748019257766</v>
      </c>
      <c r="L2869" s="1" t="s">
        <v>737</v>
      </c>
    </row>
    <row r="2870" customFormat="false" ht="17.15" hidden="false" customHeight="false" outlineLevel="0" collapsed="false">
      <c r="A2870" s="0" t="s">
        <v>738</v>
      </c>
      <c r="B2870" s="0" t="s">
        <v>95</v>
      </c>
      <c r="D2870" s="6" t="n">
        <f aca="false">(Sens!C2856+Sens!D2856)/2*Sens!D2869/1000</f>
        <v>12.9359794422418</v>
      </c>
      <c r="E2870" s="6" t="n">
        <f aca="false">(Sens!D2856+Sens!E2856)/2*Sens!E2869/1000</f>
        <v>27.8095064661409</v>
      </c>
      <c r="F2870" s="6" t="n">
        <f aca="false">(Sens!E2856+Sens!F2856)/2*Sens!F2869/1000</f>
        <v>58.5426843319625</v>
      </c>
      <c r="G2870" s="6" t="n">
        <f aca="false">(Sens!F2856+Sens!G2856)/2*Sens!G2869/1000</f>
        <v>99.7940640595479</v>
      </c>
      <c r="H2870" s="6" t="n">
        <f aca="false">(Sens!G2856+Sens!H2856)/2*Sens!H2869/1000</f>
        <v>142.262795012461</v>
      </c>
      <c r="I2870" s="6" t="n">
        <f aca="false">(Sens!H2856+Sens!I2856)/2*Sens!I2869/1000</f>
        <v>184.933775695191</v>
      </c>
      <c r="J2870" s="6" t="n">
        <f aca="false">(Sens!I2856+Sens!J2856)/2*Sens!J2869/1000</f>
        <v>227.707074978878</v>
      </c>
      <c r="K2870" s="6" t="n">
        <f aca="false">(Sens!J2856+Sens!K2856)/2*Sens!K2869/1000</f>
        <v>270.539286475803</v>
      </c>
      <c r="L2870" s="11" t="s">
        <v>739</v>
      </c>
    </row>
    <row r="2871" customFormat="false" ht="17.15" hidden="false" customHeight="false" outlineLevel="0" collapsed="false">
      <c r="A2871" s="1" t="s">
        <v>740</v>
      </c>
      <c r="B2871" s="0" t="s">
        <v>291</v>
      </c>
      <c r="C2871" s="18" t="n">
        <f aca="false">(Sens!C2863*tk_opex_h100+Sens!C2864*tk_opex_gb200+Sens!C2865*tk_opex_gb300+Sens!C2866*tk_opex_vr200)/Sens!C2856</f>
        <v>1.88636041306092</v>
      </c>
      <c r="D2871" s="18" t="n">
        <f aca="false">(Sens!D2863*tk_opex_h100+Sens!D2864*tk_opex_gb200+Sens!D2865*tk_opex_gb300+Sens!D2866*tk_opex_vr200)/Sens!D2856</f>
        <v>1.88636041306092</v>
      </c>
      <c r="E2871" s="18" t="n">
        <f aca="false">(Sens!E2863*tk_opex_h100+Sens!E2864*tk_opex_gb200+Sens!E2865*tk_opex_gb300+Sens!E2866*tk_opex_vr200)/Sens!E2856</f>
        <v>1.88636041306092</v>
      </c>
      <c r="F2871" s="18" t="n">
        <f aca="false">(Sens!F2863*tk_opex_h100+Sens!F2864*tk_opex_gb200+Sens!F2865*tk_opex_gb300+Sens!F2866*tk_opex_vr200)/Sens!F2856</f>
        <v>1.94888600845409</v>
      </c>
      <c r="G2871" s="18" t="n">
        <f aca="false">(Sens!G2863*tk_opex_h100+Sens!G2864*tk_opex_gb200+Sens!G2865*tk_opex_gb300+Sens!G2866*tk_opex_vr200)/Sens!G2856</f>
        <v>1.98513703526054</v>
      </c>
      <c r="H2871" s="18" t="n">
        <f aca="false">(Sens!H2863*tk_opex_h100+Sens!H2864*tk_opex_gb200+Sens!H2865*tk_opex_gb300+Sens!H2866*tk_opex_vr200)/Sens!H2856</f>
        <v>2.00902707431457</v>
      </c>
      <c r="I2871" s="18" t="n">
        <f aca="false">(Sens!I2863*tk_opex_h100+Sens!I2864*tk_opex_gb200+Sens!I2865*tk_opex_gb300+Sens!I2866*tk_opex_vr200)/Sens!I2856</f>
        <v>2.02349614455644</v>
      </c>
      <c r="J2871" s="18" t="n">
        <f aca="false">(Sens!J2863*tk_opex_h100+Sens!J2864*tk_opex_gb200+Sens!J2865*tk_opex_gb300+Sens!J2866*tk_opex_vr200)/Sens!J2856</f>
        <v>2.03319912512587</v>
      </c>
      <c r="K2871" s="18" t="n">
        <f aca="false">(Sens!K2863*tk_opex_h100+Sens!K2864*tk_opex_gb200+Sens!K2865*tk_opex_gb300+Sens!K2866*tk_opex_vr200)/Sens!K2856</f>
        <v>2.04015792342087</v>
      </c>
    </row>
    <row r="2872" customFormat="false" ht="17.15" hidden="false" customHeight="false" outlineLevel="0" collapsed="false">
      <c r="A2872" s="0" t="s">
        <v>741</v>
      </c>
      <c r="B2872" s="0" t="s">
        <v>95</v>
      </c>
      <c r="D2872" s="6" t="n">
        <f aca="false">(Sens!C2859+Sens!D2859)/2*Sens!D2871/1000</f>
        <v>2.70378325872065</v>
      </c>
      <c r="E2872" s="6" t="n">
        <f aca="false">(Sens!D2859+Sens!E2859)/2*Sens!E2871/1000</f>
        <v>6.17783035277451</v>
      </c>
      <c r="F2872" s="6" t="n">
        <f aca="false">(Sens!E2859+Sens!F2859)/2*Sens!F2871/1000</f>
        <v>13.360652993824</v>
      </c>
      <c r="G2872" s="6" t="n">
        <f aca="false">(Sens!F2859+Sens!G2859)/2*Sens!G2871/1000</f>
        <v>23.3020678897643</v>
      </c>
      <c r="H2872" s="6" t="n">
        <f aca="false">(Sens!G2859+Sens!H2859)/2*Sens!H2871/1000</f>
        <v>33.7369219832732</v>
      </c>
      <c r="I2872" s="6" t="n">
        <f aca="false">(Sens!H2859+Sens!I2859)/2*Sens!I2871/1000</f>
        <v>44.2074551698676</v>
      </c>
      <c r="J2872" s="6" t="n">
        <f aca="false">(Sens!I2859+Sens!J2859)/2*Sens!J2871/1000</f>
        <v>54.6960384912694</v>
      </c>
      <c r="K2872" s="6" t="n">
        <f aca="false">(Sens!J2859+Sens!K2859)/2*Sens!K2871/1000</f>
        <v>65.195014579781</v>
      </c>
    </row>
    <row r="2873" customFormat="false" ht="17.15" hidden="false" customHeight="false" outlineLevel="0" collapsed="false">
      <c r="A2873" s="0" t="s">
        <v>742</v>
      </c>
      <c r="B2873" s="0" t="s">
        <v>95</v>
      </c>
      <c r="D2873" s="6" t="n">
        <f aca="false">(Sens!C2857+Sens!D2857)/2*rent_mw/1000</f>
        <v>2.44475</v>
      </c>
      <c r="E2873" s="6" t="n">
        <f aca="false">(Sens!D2857+Sens!E2857)/2*rent_mw/1000</f>
        <v>4.22275</v>
      </c>
      <c r="F2873" s="6" t="n">
        <f aca="false">(Sens!E2857+Sens!F2857)/2*rent_mw/1000</f>
        <v>5.80517</v>
      </c>
      <c r="G2873" s="6" t="n">
        <f aca="false">(Sens!F2857+Sens!G2857)/2*rent_mw/1000</f>
        <v>6.72084</v>
      </c>
      <c r="H2873" s="6" t="n">
        <f aca="false">(Sens!G2857+Sens!H2857)/2*rent_mw/1000</f>
        <v>6.72084</v>
      </c>
      <c r="I2873" s="6" t="n">
        <f aca="false">(Sens!H2857+Sens!I2857)/2*rent_mw/1000</f>
        <v>6.72084</v>
      </c>
      <c r="J2873" s="6" t="n">
        <f aca="false">(Sens!I2857+Sens!J2857)/2*rent_mw/1000</f>
        <v>6.72084</v>
      </c>
      <c r="K2873" s="6" t="n">
        <f aca="false">(Sens!J2857+Sens!K2857)/2*rent_mw/1000</f>
        <v>6.72084</v>
      </c>
    </row>
    <row r="2874" customFormat="false" ht="17.15" hidden="false" customHeight="false" outlineLevel="0" collapsed="false">
      <c r="A2874" s="0" t="s">
        <v>743</v>
      </c>
      <c r="B2874" s="0" t="s">
        <v>95</v>
      </c>
      <c r="D2874" s="6" t="n">
        <f aca="false">(Sens!C2859+Sens!D2859)/2*(1-self_build)*fac_rent/1000</f>
        <v>0.853242375631075</v>
      </c>
      <c r="E2874" s="6" t="n">
        <f aca="false">(Sens!D2859+Sens!E2859)/2*(1-self_build)*fac_rent/1000</f>
        <v>1.94955961408728</v>
      </c>
      <c r="F2874" s="6" t="n">
        <f aca="false">(Sens!E2859+Sens!F2859)/2*(1-self_build)*fac_rent/1000</f>
        <v>4.0809987541056</v>
      </c>
      <c r="G2874" s="6" t="n">
        <f aca="false">(Sens!F2859+Sens!G2859)/2*(1-self_build)*fac_rent/1000</f>
        <v>6.98761851380772</v>
      </c>
      <c r="H2874" s="6" t="n">
        <f aca="false">(Sens!G2859+Sens!H2859)/2*(1-self_build)*fac_rent/1000</f>
        <v>9.99642893012612</v>
      </c>
      <c r="I2874" s="6" t="n">
        <f aca="false">(Sens!H2859+Sens!I2859)/2*(1-self_build)*fac_rent/1000</f>
        <v>13.0052393464445</v>
      </c>
      <c r="J2874" s="6" t="n">
        <f aca="false">(Sens!I2859+Sens!J2859)/2*(1-self_build)*fac_rent/1000</f>
        <v>16.0140497627629</v>
      </c>
      <c r="K2874" s="6" t="n">
        <f aca="false">(Sens!J2859+Sens!K2859)/2*(1-self_build)*fac_rent/1000</f>
        <v>19.0228601790813</v>
      </c>
      <c r="L2874" s="11" t="s">
        <v>744</v>
      </c>
    </row>
    <row r="2875" customFormat="false" ht="17.15" hidden="false" customHeight="false" outlineLevel="0" collapsed="false">
      <c r="A2875" s="1" t="s">
        <v>745</v>
      </c>
      <c r="B2875" s="0" t="s">
        <v>126</v>
      </c>
      <c r="D2875" s="7" t="n">
        <f aca="false">(Sens!C2858+Sens!D2858)/(Sens!C2859+Sens!D2859)</f>
        <v>0.6</v>
      </c>
      <c r="E2875" s="7" t="n">
        <f aca="false">(Sens!D2858+Sens!E2858)/(Sens!D2859+Sens!E2859)</f>
        <v>0.6</v>
      </c>
      <c r="F2875" s="7" t="n">
        <f aca="false">(Sens!E2858+Sens!F2858)/(Sens!E2859+Sens!F2859)</f>
        <v>0.6</v>
      </c>
      <c r="G2875" s="7" t="n">
        <f aca="false">(Sens!F2858+Sens!G2858)/(Sens!F2859+Sens!G2859)</f>
        <v>0.6</v>
      </c>
      <c r="H2875" s="7" t="n">
        <f aca="false">(Sens!G2858+Sens!H2858)/(Sens!G2859+Sens!H2859)</f>
        <v>0.6</v>
      </c>
      <c r="I2875" s="7" t="n">
        <f aca="false">(Sens!H2858+Sens!I2858)/(Sens!H2859+Sens!I2859)</f>
        <v>0.6</v>
      </c>
      <c r="J2875" s="7" t="n">
        <f aca="false">(Sens!I2858+Sens!J2858)/(Sens!I2859+Sens!J2859)</f>
        <v>0.6</v>
      </c>
      <c r="K2875" s="7" t="n">
        <f aca="false">(Sens!J2858+Sens!K2858)/(Sens!J2859+Sens!K2859)</f>
        <v>0.6</v>
      </c>
    </row>
    <row r="2876" customFormat="false" ht="17.15" hidden="false" customHeight="false" outlineLevel="0" collapsed="false">
      <c r="A2876" s="0" t="s">
        <v>746</v>
      </c>
      <c r="B2876" s="0" t="s">
        <v>95</v>
      </c>
      <c r="D2876" s="6" t="n">
        <f aca="false">Sens!D2870-Sens!D2875*(Sens!D2872+Sens!D2874)-Sens!D2873</f>
        <v>8.35701406163072</v>
      </c>
      <c r="E2876" s="6" t="n">
        <f aca="false">Sens!E2870-Sens!E2875*(Sens!E2872+Sens!E2874)-Sens!E2873</f>
        <v>18.7103224860238</v>
      </c>
      <c r="F2876" s="6" t="n">
        <f aca="false">Sens!F2870-Sens!F2875*(Sens!F2872+Sens!F2874)-Sens!F2873</f>
        <v>42.2725232832047</v>
      </c>
      <c r="G2876" s="6" t="n">
        <f aca="false">Sens!G2870-Sens!G2875*(Sens!G2872+Sens!G2874)-Sens!G2873</f>
        <v>74.8994122174047</v>
      </c>
      <c r="H2876" s="6" t="n">
        <f aca="false">Sens!H2870-Sens!H2875*(Sens!H2872+Sens!H2874)-Sens!H2873</f>
        <v>109.301944464422</v>
      </c>
      <c r="I2876" s="6" t="n">
        <f aca="false">Sens!I2870-Sens!I2875*(Sens!I2872+Sens!I2874)-Sens!I2873</f>
        <v>143.885318985404</v>
      </c>
      <c r="J2876" s="6" t="n">
        <f aca="false">Sens!J2870-Sens!J2875*(Sens!J2872+Sens!J2874)-Sens!J2873</f>
        <v>178.560182026459</v>
      </c>
      <c r="K2876" s="6" t="n">
        <f aca="false">Sens!K2870-Sens!K2875*(Sens!K2872+Sens!K2874)-Sens!K2873</f>
        <v>213.287721620486</v>
      </c>
    </row>
    <row r="2877" customFormat="false" ht="17.15" hidden="false" customHeight="false" outlineLevel="0" collapsed="false">
      <c r="A2877" s="1" t="s">
        <v>747</v>
      </c>
      <c r="B2877" s="0" t="s">
        <v>95</v>
      </c>
      <c r="D2877" s="6" t="n">
        <f aca="false">(1-Sens!D2875)*(Sens!D2872+Sens!D2874)</f>
        <v>1.42281025374069</v>
      </c>
      <c r="E2877" s="6" t="n">
        <f aca="false">(1-Sens!E2875)*(Sens!E2872+Sens!E2874)</f>
        <v>3.25095598674472</v>
      </c>
      <c r="F2877" s="6" t="n">
        <f aca="false">(1-Sens!F2875)*(Sens!F2872+Sens!F2874)</f>
        <v>6.97666069917183</v>
      </c>
      <c r="G2877" s="6" t="n">
        <f aca="false">(1-Sens!G2875)*(Sens!G2872+Sens!G2874)</f>
        <v>12.1158745614288</v>
      </c>
      <c r="H2877" s="6" t="n">
        <f aca="false">(1-Sens!H2875)*(Sens!H2872+Sens!H2874)</f>
        <v>17.4933403653597</v>
      </c>
      <c r="I2877" s="6" t="n">
        <f aca="false">(1-Sens!I2875)*(Sens!I2872+Sens!I2874)</f>
        <v>22.8850778065248</v>
      </c>
      <c r="J2877" s="6" t="n">
        <f aca="false">(1-Sens!J2875)*(Sens!J2872+Sens!J2874)</f>
        <v>28.2840353016129</v>
      </c>
      <c r="K2877" s="6" t="n">
        <f aca="false">(1-Sens!K2875)*(Sens!K2872+Sens!K2874)</f>
        <v>33.6871499035449</v>
      </c>
    </row>
    <row r="2878" customFormat="false" ht="17.15" hidden="false" customHeight="false" outlineLevel="0" collapsed="false">
      <c r="A2878" s="1" t="s">
        <v>748</v>
      </c>
      <c r="B2878" s="0" t="s">
        <v>302</v>
      </c>
      <c r="C2878" s="8" t="n">
        <f aca="false">cxit_open</f>
        <v>27.5918995</v>
      </c>
      <c r="D2878" s="8" t="n">
        <f aca="false">cxit_open</f>
        <v>27.5918995</v>
      </c>
      <c r="E2878" s="8" t="n">
        <f aca="false">cxit_open</f>
        <v>27.5918995</v>
      </c>
      <c r="F2878" s="8" t="n">
        <f aca="false">(a_g3_27*tk_cxit_gb300+(1-a_g3_27)*tk_cxit_vr200)</f>
        <v>33.8419624</v>
      </c>
      <c r="G2878" s="8" t="n">
        <f aca="false">(a_g3_28*tk_cxit_gb300+(1-a_g3_28)*tk_cxit_vr200)</f>
        <v>35.9816136</v>
      </c>
      <c r="H2878" s="8" t="n">
        <f aca="false">(a_g3_29*tk_cxit_gb300+(1-a_g3_29)*tk_cxit_vr200)</f>
        <v>37.0514392</v>
      </c>
      <c r="I2878" s="8" t="n">
        <f aca="false">(a_g3_29*tk_cxit_gb300+(1-a_g3_29)*tk_cxit_vr200)</f>
        <v>37.0514392</v>
      </c>
      <c r="J2878" s="8" t="n">
        <f aca="false">(a_g3_29*tk_cxit_gb300+(1-a_g3_29)*tk_cxit_vr200)</f>
        <v>37.0514392</v>
      </c>
      <c r="K2878" s="8" t="n">
        <f aca="false">(a_g3_29*tk_cxit_gb300+(1-a_g3_29)*tk_cxit_vr200)</f>
        <v>37.0514392</v>
      </c>
      <c r="L2878" s="11" t="s">
        <v>749</v>
      </c>
    </row>
    <row r="2879" customFormat="false" ht="17.15" hidden="false" customHeight="false" outlineLevel="0" collapsed="false">
      <c r="A2879" s="0" t="s">
        <v>750</v>
      </c>
      <c r="B2879" s="0" t="s">
        <v>340</v>
      </c>
      <c r="F2879" s="27" t="n">
        <f aca="false">Sens!C2861*IF(3=life_it,1,0)+Sens!D2861*IF(2=life_it,1,0)+Sens!E2861*IF(1=life_it,1,0)</f>
        <v>0</v>
      </c>
      <c r="G2879" s="27" t="n">
        <f aca="false">Sens!C2861*IF(4=life_it,1,0)+Sens!D2861*IF(3=life_it,1,0)+Sens!E2861*IF(2=life_it,1,0)+Sens!F2861*IF(1=life_it,1,0)</f>
        <v>0</v>
      </c>
      <c r="H2879" s="27" t="n">
        <f aca="false">Sens!C2861*IF(5=life_it,1,0)+Sens!D2861*IF(4=life_it,1,0)+Sens!E2861*IF(3=life_it,1,0)+Sens!F2861*IF(2=life_it,1,0)+Sens!G2861*IF(1=life_it,1,0)</f>
        <v>0</v>
      </c>
      <c r="I2879" s="27" t="n">
        <f aca="false">Sens!C2861*IF(6=life_it,1,0)+Sens!D2861*IF(5=life_it,1,0)+Sens!E2861*IF(4=life_it,1,0)+Sens!F2861*IF(3=life_it,1,0)+Sens!G2861*IF(2=life_it,1,0)+Sens!H2861*IF(1=life_it,1,0)</f>
        <v>816.666666666667</v>
      </c>
      <c r="J2879" s="27" t="n">
        <f aca="false">Sens!C2861*IF(7=life_it,1,0)+Sens!D2861*IF(6=life_it,1,0)+Sens!E2861*IF(5=life_it,1,0)+Sens!F2861*IF(4=life_it,1,0)+Sens!G2861*IF(3=life_it,1,0)+Sens!H2861*IF(2=life_it,1,0)+Sens!I2861*IF(1=life_it,1,0)</f>
        <v>1233.33333333333</v>
      </c>
      <c r="K2879" s="27" t="n">
        <f aca="false">Sens!C2861*IF(8=life_it,1,0)+Sens!D2861*IF(7=life_it,1,0)+Sens!E2861*IF(6=life_it,1,0)+Sens!F2861*IF(5=life_it,1,0)+Sens!G2861*IF(4=life_it,1,0)+Sens!H2861*IF(3=life_it,1,0)+Sens!I2861*IF(2=life_it,1,0)+Sens!J2861*IF(1=life_it,1,0)</f>
        <v>2450</v>
      </c>
      <c r="L2879" s="1" t="s">
        <v>751</v>
      </c>
    </row>
    <row r="2880" customFormat="false" ht="17.15" hidden="false" customHeight="false" outlineLevel="0" collapsed="false">
      <c r="A2880" s="0" t="s">
        <v>752</v>
      </c>
      <c r="B2880" s="0" t="s">
        <v>95</v>
      </c>
      <c r="C2880" s="6" t="n">
        <f aca="false">Sens!C2861*Sens!C2878/1000</f>
        <v>22.5333845916667</v>
      </c>
      <c r="D2880" s="6" t="n">
        <f aca="false">Sens!D2861*Sens!D2878/1000</f>
        <v>34.0300093833333</v>
      </c>
      <c r="E2880" s="6" t="n">
        <f aca="false">Sens!E2861*Sens!E2878/1000</f>
        <v>67.600153775</v>
      </c>
      <c r="F2880" s="6" t="n">
        <f aca="false">(Sens!F2861+Sens!F2879)*Sens!F2878/1000</f>
        <v>159.431740997227</v>
      </c>
      <c r="G2880" s="6" t="n">
        <f aca="false">(Sens!G2861+Sens!G2879)*Sens!G2878/1000</f>
        <v>181.86546777984</v>
      </c>
      <c r="H2880" s="6" t="n">
        <f aca="false">(Sens!H2861+Sens!H2879)*Sens!H2878/1000</f>
        <v>187.27279429248</v>
      </c>
      <c r="I2880" s="6" t="n">
        <f aca="false">(Sens!I2861+Sens!I2879)*Sens!I2878/1000</f>
        <v>217.531469639147</v>
      </c>
      <c r="J2880" s="6" t="n">
        <f aca="false">(Sens!J2861+Sens!J2879)*Sens!J2878/1000</f>
        <v>232.969569305813</v>
      </c>
      <c r="K2880" s="6" t="n">
        <f aca="false">(Sens!K2861+Sens!K2879)*Sens!K2878/1000</f>
        <v>278.04882033248</v>
      </c>
    </row>
    <row r="2881" customFormat="false" ht="17.15" hidden="false" customHeight="false" outlineLevel="0" collapsed="false">
      <c r="A2881" s="0" t="s">
        <v>753</v>
      </c>
      <c r="B2881" s="0" t="s">
        <v>95</v>
      </c>
      <c r="C2881" s="6" t="n">
        <f aca="false">Sens!C2861*self_build*tk_cxfac/1000</f>
        <v>6.2083</v>
      </c>
      <c r="D2881" s="6" t="n">
        <f aca="false">Sens!D2861*self_build*tk_cxfac/1000</f>
        <v>9.3758</v>
      </c>
      <c r="E2881" s="6" t="n">
        <f aca="false">Sens!E2861*self_build*tk_cxfac/1000</f>
        <v>18.6249</v>
      </c>
      <c r="F2881" s="6" t="n">
        <f aca="false">Sens!F2861*self_build*tk_cxfac/1000</f>
        <v>35.8135288</v>
      </c>
      <c r="G2881" s="6" t="n">
        <f aca="false">Sens!G2861*self_build*tk_cxfac/1000</f>
        <v>38.4235488</v>
      </c>
      <c r="H2881" s="6" t="n">
        <f aca="false">Sens!H2861*self_build*tk_cxfac/1000</f>
        <v>38.4235488</v>
      </c>
      <c r="I2881" s="6" t="n">
        <f aca="false">Sens!I2861*self_build*tk_cxfac/1000</f>
        <v>38.4235488</v>
      </c>
      <c r="J2881" s="6" t="n">
        <f aca="false">Sens!J2861*self_build*tk_cxfac/1000</f>
        <v>38.4235488</v>
      </c>
      <c r="K2881" s="6" t="n">
        <f aca="false">Sens!K2861*self_build*tk_cxfac/1000</f>
        <v>38.4235488</v>
      </c>
    </row>
    <row r="2882" customFormat="false" ht="17.15" hidden="false" customHeight="false" outlineLevel="0" collapsed="false">
      <c r="A2882" s="0" t="s">
        <v>754</v>
      </c>
      <c r="B2882" s="0" t="s">
        <v>95</v>
      </c>
      <c r="F2882" s="6" t="n">
        <f aca="false">MAX(0,capex_floor27-Sens!F2880-Sens!F2881-Sens!F2969)</f>
        <v>0</v>
      </c>
      <c r="G2882" s="6" t="n">
        <f aca="false">0</f>
        <v>0</v>
      </c>
      <c r="H2882" s="6" t="n">
        <f aca="false">0</f>
        <v>0</v>
      </c>
      <c r="I2882" s="6" t="n">
        <f aca="false">0</f>
        <v>0</v>
      </c>
      <c r="J2882" s="6" t="n">
        <f aca="false">0</f>
        <v>0</v>
      </c>
      <c r="K2882" s="6" t="n">
        <f aca="false">0</f>
        <v>0</v>
      </c>
      <c r="L2882" s="1" t="s">
        <v>755</v>
      </c>
    </row>
    <row r="2883" customFormat="false" ht="17.15" hidden="false" customHeight="false" outlineLevel="0" collapsed="false">
      <c r="A2883" s="0" t="s">
        <v>756</v>
      </c>
      <c r="B2883" s="0" t="s">
        <v>95</v>
      </c>
      <c r="C2883" s="6" t="n">
        <f aca="false">Sens!C2880</f>
        <v>22.5333845916667</v>
      </c>
      <c r="D2883" s="6" t="n">
        <f aca="false">Sens!D2880</f>
        <v>34.0300093833333</v>
      </c>
      <c r="E2883" s="6" t="n">
        <f aca="false">Sens!E2880</f>
        <v>67.600153775</v>
      </c>
      <c r="F2883" s="6" t="n">
        <f aca="false">Sens!F2880+Sens!F2882</f>
        <v>159.431740997227</v>
      </c>
      <c r="G2883" s="6" t="n">
        <f aca="false">Sens!G2880+Sens!G2882</f>
        <v>181.86546777984</v>
      </c>
      <c r="H2883" s="6" t="n">
        <f aca="false">Sens!H2880+Sens!H2882</f>
        <v>187.27279429248</v>
      </c>
      <c r="I2883" s="6" t="n">
        <f aca="false">Sens!I2880+Sens!I2882</f>
        <v>217.531469639147</v>
      </c>
      <c r="J2883" s="6" t="n">
        <f aca="false">Sens!J2880+Sens!J2882</f>
        <v>232.969569305813</v>
      </c>
      <c r="K2883" s="6" t="n">
        <f aca="false">Sens!K2880+Sens!K2882</f>
        <v>278.04882033248</v>
      </c>
    </row>
    <row r="2884" customFormat="false" ht="17.15" hidden="false" customHeight="false" outlineLevel="0" collapsed="false">
      <c r="A2884" s="0" t="s">
        <v>757</v>
      </c>
      <c r="B2884" s="0" t="s">
        <v>95</v>
      </c>
      <c r="C2884" s="6" t="n">
        <f aca="false">Sens!C2883+Sens!C2881</f>
        <v>28.7416845916667</v>
      </c>
      <c r="D2884" s="6" t="n">
        <f aca="false">Sens!D2883+Sens!D2881</f>
        <v>43.4058093833333</v>
      </c>
      <c r="E2884" s="6" t="n">
        <f aca="false">Sens!E2883+Sens!E2881</f>
        <v>86.225053775</v>
      </c>
      <c r="F2884" s="6" t="n">
        <f aca="false">Sens!F2883+Sens!F2881</f>
        <v>195.245269797227</v>
      </c>
      <c r="G2884" s="6" t="n">
        <f aca="false">Sens!G2883+Sens!G2881</f>
        <v>220.28901657984</v>
      </c>
      <c r="H2884" s="6" t="n">
        <f aca="false">Sens!H2883+Sens!H2881</f>
        <v>225.69634309248</v>
      </c>
      <c r="I2884" s="6" t="n">
        <f aca="false">Sens!I2883+Sens!I2881</f>
        <v>255.955018439147</v>
      </c>
      <c r="J2884" s="6" t="n">
        <f aca="false">Sens!J2883+Sens!J2881</f>
        <v>271.393118105813</v>
      </c>
      <c r="K2884" s="6" t="n">
        <f aca="false">Sens!K2883+Sens!K2881</f>
        <v>316.47236913248</v>
      </c>
      <c r="L2884" s="11" t="s">
        <v>758</v>
      </c>
    </row>
    <row r="2885" customFormat="false" ht="17.15" hidden="false" customHeight="false" outlineLevel="0" collapsed="false">
      <c r="A2885" s="0" t="s">
        <v>759</v>
      </c>
      <c r="B2885" s="0" t="s">
        <v>95</v>
      </c>
      <c r="E2885" s="6" t="n">
        <f aca="false">(Sens!C2883*IF(2&lt;life_it,1,IF(2=life_it,0.5,0))+Sens!D2883*IF(1&lt;life_it,1,IF(1=life_it,0.5,0))+Sens!E2883*0.5)/life_it</f>
        <v>15.0605784770833</v>
      </c>
      <c r="F2885" s="6" t="n">
        <f aca="false">(Sens!C2883*IF(3&lt;life_it,1,IF(3=life_it,0.5,0))+Sens!D2883*IF(2&lt;life_it,1,IF(2=life_it,0.5,0))+Sens!E2883*IF(1&lt;life_it,1,IF(1=life_it,0.5,0))+Sens!F2883*0.5)/life_it</f>
        <v>33.9799030414356</v>
      </c>
      <c r="G2885" s="6" t="n">
        <f aca="false">(Sens!C2883*IF(4&lt;life_it,1,IF(4=life_it,0.5,0))+Sens!D2883*IF(3&lt;life_it,1,IF(3=life_it,0.5,0))+Sens!E2883*IF(2&lt;life_it,1,IF(2=life_it,0.5,0))+Sens!F2883*IF(1&lt;life_it,1,IF(1=life_it,0.5,0))+Sens!G2883*0.5)/life_it</f>
        <v>62.4213371061911</v>
      </c>
      <c r="H2885" s="6" t="n">
        <f aca="false">(Sens!C2883*IF(5&lt;life_it,1,IF(5=life_it,0.5,0))+Sens!D2883*IF(4&lt;life_it,1,IF(4=life_it,0.5,0))+Sens!E2883*IF(3&lt;life_it,1,IF(3=life_it,0.5,0))+Sens!F2883*IF(2&lt;life_it,1,IF(2=life_it,0.5,0))+Sens!G2883*IF(1&lt;life_it,1,IF(1=life_it,0.5,0))+Sens!H2883*0.5)/life_it</f>
        <v>93.1828589455511</v>
      </c>
      <c r="I2885" s="6" t="n">
        <f aca="false">(Sens!C2883*IF(6&lt;life_it,1,IF(6=life_it,0.5,0))+Sens!D2883*IF(5&lt;life_it,1,IF(5=life_it,0.5,0))+Sens!E2883*IF(4&lt;life_it,1,IF(4=life_it,0.5,0))+Sens!F2883*IF(3&lt;life_it,1,IF(3=life_it,0.5,0))+Sens!G2883*IF(2&lt;life_it,1,IF(2=life_it,0.5,0))+Sens!H2883*IF(1&lt;life_it,1,IF(1=life_it,0.5,0))+Sens!I2883*0.5)/life_it</f>
        <v>125.038765557214</v>
      </c>
      <c r="J2885" s="6" t="n">
        <f aca="false">(Sens!C2883*IF(7&lt;life_it,1,IF(7=life_it,0.5,0))+Sens!D2883*IF(6&lt;life_it,1,IF(6=life_it,0.5,0))+Sens!E2883*IF(5&lt;life_it,1,IF(5=life_it,0.5,0))+Sens!F2883*IF(4&lt;life_it,1,IF(4=life_it,0.5,0))+Sens!G2883*IF(3&lt;life_it,1,IF(3=life_it,0.5,0))+Sens!H2883*IF(2&lt;life_it,1,IF(2=life_it,0.5,0))+Sens!I2883*IF(1&lt;life_it,1,IF(1=life_it,0.5,0))+Sens!J2883*0.5)/life_it</f>
        <v>157.866902638044</v>
      </c>
      <c r="K2885" s="6" t="n">
        <f aca="false">(Sens!C2883*IF(8&lt;life_it,1,IF(8=life_it,0.5,0))+Sens!D2883*IF(7&lt;life_it,1,IF(7=life_it,0.5,0))+Sens!E2883*IF(6&lt;life_it,1,IF(6=life_it,0.5,0))+Sens!F2883*IF(5&lt;life_it,1,IF(5=life_it,0.5,0))+Sens!G2883*IF(4&lt;life_it,1,IF(4=life_it,0.5,0))+Sens!H2883*IF(3&lt;life_it,1,IF(3=life_it,0.5,0))+Sens!I2883*IF(2&lt;life_it,1,IF(2=life_it,0.5,0))+Sens!J2883*IF(1&lt;life_it,1,IF(1=life_it,0.5,0))+Sens!K2883*0.5)/life_it</f>
        <v>191.982588178041</v>
      </c>
    </row>
    <row r="2886" customFormat="false" ht="17.15" hidden="false" customHeight="false" outlineLevel="0" collapsed="false">
      <c r="A2886" s="0" t="s">
        <v>760</v>
      </c>
      <c r="B2886" s="0" t="s">
        <v>95</v>
      </c>
      <c r="E2886" s="6" t="n">
        <f aca="false">(Sens!C2881*IF(2&lt;life_fac,1,IF(2=life_fac,0.5,0))+Sens!D2881*IF(1&lt;life_fac,1,IF(1=life_fac,0.5,0))+Sens!E2881*0.5)/life_fac</f>
        <v>1.2448275</v>
      </c>
      <c r="F2886" s="6" t="n">
        <f aca="false">(Sens!C2881*IF(3&lt;life_fac,1,IF(3=life_fac,0.5,0))+Sens!D2881*IF(2&lt;life_fac,1,IF(2=life_fac,0.5,0))+Sens!E2881*IF(1&lt;life_fac,1,IF(1=life_fac,0.5,0))+Sens!F2881*0.5)/life_fac</f>
        <v>2.60578822</v>
      </c>
      <c r="G2886" s="6" t="n">
        <f aca="false">(Sens!C2881*IF(4&lt;life_fac,1,IF(4=life_fac,0.5,0))+Sens!D2881*IF(3&lt;life_fac,1,IF(3=life_fac,0.5,0))+Sens!E2881*IF(2&lt;life_fac,1,IF(2=life_fac,0.5,0))+Sens!F2881*IF(1&lt;life_fac,1,IF(1=life_fac,0.5,0))+Sens!G2881*0.5)/life_fac</f>
        <v>4.46171516</v>
      </c>
      <c r="H2886" s="6" t="n">
        <f aca="false">(Sens!C2881*IF(5&lt;life_fac,1,IF(5=life_fac,0.5,0))+Sens!D2881*IF(4&lt;life_fac,1,IF(4=life_fac,0.5,0))+Sens!E2881*IF(3&lt;life_fac,1,IF(3=life_fac,0.5,0))+Sens!F2881*IF(2&lt;life_fac,1,IF(2=life_fac,0.5,0))+Sens!G2881*IF(1&lt;life_fac,1,IF(1=life_fac,0.5,0))+Sens!H2881*0.5)/life_fac</f>
        <v>6.3828926</v>
      </c>
      <c r="I2886" s="6" t="n">
        <f aca="false">(Sens!C2881*IF(6&lt;life_fac,1,IF(6=life_fac,0.5,0))+Sens!D2881*IF(5&lt;life_fac,1,IF(5=life_fac,0.5,0))+Sens!E2881*IF(4&lt;life_fac,1,IF(4=life_fac,0.5,0))+Sens!F2881*IF(3&lt;life_fac,1,IF(3=life_fac,0.5,0))+Sens!G2881*IF(2&lt;life_fac,1,IF(2=life_fac,0.5,0))+Sens!H2881*IF(1&lt;life_fac,1,IF(1=life_fac,0.5,0))+Sens!I2881*0.5)/life_fac</f>
        <v>8.30407004</v>
      </c>
      <c r="J2886" s="6" t="n">
        <f aca="false">(Sens!C2881*IF(7&lt;life_fac,1,IF(7=life_fac,0.5,0))+Sens!D2881*IF(6&lt;life_fac,1,IF(6=life_fac,0.5,0))+Sens!E2881*IF(5&lt;life_fac,1,IF(5=life_fac,0.5,0))+Sens!F2881*IF(4&lt;life_fac,1,IF(4=life_fac,0.5,0))+Sens!G2881*IF(3&lt;life_fac,1,IF(3=life_fac,0.5,0))+Sens!H2881*IF(2&lt;life_fac,1,IF(2=life_fac,0.5,0))+Sens!I2881*IF(1&lt;life_fac,1,IF(1=life_fac,0.5,0))+Sens!J2881*0.5)/life_fac</f>
        <v>10.22524748</v>
      </c>
      <c r="K2886" s="6" t="n">
        <f aca="false">(Sens!C2881*IF(8&lt;life_fac,1,IF(8=life_fac,0.5,0))+Sens!D2881*IF(7&lt;life_fac,1,IF(7=life_fac,0.5,0))+Sens!E2881*IF(6&lt;life_fac,1,IF(6=life_fac,0.5,0))+Sens!F2881*IF(5&lt;life_fac,1,IF(5=life_fac,0.5,0))+Sens!G2881*IF(4&lt;life_fac,1,IF(4=life_fac,0.5,0))+Sens!H2881*IF(3&lt;life_fac,1,IF(3=life_fac,0.5,0))+Sens!I2881*IF(2&lt;life_fac,1,IF(2=life_fac,0.5,0))+Sens!J2881*IF(1&lt;life_fac,1,IF(1=life_fac,0.5,0))+Sens!K2881*0.5)/life_fac</f>
        <v>12.14642492</v>
      </c>
    </row>
    <row r="2887" customFormat="false" ht="17.15" hidden="false" customHeight="false" outlineLevel="0" collapsed="false">
      <c r="A2887" s="0" t="s">
        <v>761</v>
      </c>
      <c r="B2887" s="0" t="s">
        <v>95</v>
      </c>
      <c r="E2887" s="6" t="n">
        <f aca="false">Sens!E2885+Sens!E2886</f>
        <v>16.3054059770833</v>
      </c>
      <c r="F2887" s="6" t="n">
        <f aca="false">Sens!F2885+Sens!F2886</f>
        <v>36.5856912614356</v>
      </c>
      <c r="G2887" s="6" t="n">
        <f aca="false">Sens!G2885+Sens!G2886</f>
        <v>66.8830522661911</v>
      </c>
      <c r="H2887" s="6" t="n">
        <f aca="false">Sens!H2885+Sens!H2886</f>
        <v>99.5657515455511</v>
      </c>
      <c r="I2887" s="6" t="n">
        <f aca="false">Sens!I2885+Sens!I2886</f>
        <v>133.342835597214</v>
      </c>
      <c r="J2887" s="6" t="n">
        <f aca="false">Sens!J2885+Sens!J2886</f>
        <v>168.092150118044</v>
      </c>
      <c r="K2887" s="6" t="n">
        <f aca="false">Sens!K2885+Sens!K2886</f>
        <v>204.129013098041</v>
      </c>
    </row>
    <row r="2888" customFormat="false" ht="17.15" hidden="false" customHeight="false" outlineLevel="0" collapsed="false">
      <c r="A2888" s="0" t="s">
        <v>762</v>
      </c>
      <c r="B2888" s="0" t="s">
        <v>95</v>
      </c>
      <c r="E2888" s="6" t="n">
        <f aca="false">Sens!E2876-Sens!E2875*Sens!E2887</f>
        <v>8.92707889977379</v>
      </c>
      <c r="F2888" s="6" t="n">
        <f aca="false">Sens!F2876-Sens!F2875*Sens!F2887</f>
        <v>20.3211085263434</v>
      </c>
      <c r="G2888" s="6" t="n">
        <f aca="false">Sens!G2876-Sens!G2875*Sens!G2887</f>
        <v>34.76958085769</v>
      </c>
      <c r="H2888" s="6" t="n">
        <f aca="false">Sens!H2876-Sens!H2875*Sens!H2887</f>
        <v>49.5624935370911</v>
      </c>
      <c r="I2888" s="6" t="n">
        <f aca="false">Sens!I2876-Sens!I2875*Sens!I2887</f>
        <v>63.879617627075</v>
      </c>
      <c r="J2888" s="6" t="n">
        <f aca="false">Sens!J2876-Sens!J2875*Sens!J2887</f>
        <v>77.7048919556323</v>
      </c>
      <c r="K2888" s="6" t="n">
        <f aca="false">Sens!K2876-Sens!K2875*Sens!K2887</f>
        <v>90.8103137616615</v>
      </c>
    </row>
    <row r="2889" customFormat="false" ht="17.15" hidden="false" customHeight="false" outlineLevel="0" collapsed="false">
      <c r="A2889" s="3" t="s">
        <v>1195</v>
      </c>
    </row>
    <row r="2890" customFormat="false" ht="15" hidden="false" customHeight="false" outlineLevel="0" collapsed="false">
      <c r="A2890" s="4" t="s">
        <v>43</v>
      </c>
      <c r="B2890" s="4" t="s">
        <v>63</v>
      </c>
      <c r="C2890" s="19" t="s">
        <v>710</v>
      </c>
      <c r="D2890" s="19" t="s">
        <v>711</v>
      </c>
      <c r="E2890" s="19" t="s">
        <v>712</v>
      </c>
      <c r="F2890" s="19" t="s">
        <v>713</v>
      </c>
      <c r="G2890" s="19" t="s">
        <v>714</v>
      </c>
      <c r="H2890" s="19" t="s">
        <v>715</v>
      </c>
      <c r="I2890" s="19" t="s">
        <v>716</v>
      </c>
      <c r="J2890" s="19" t="s">
        <v>717</v>
      </c>
      <c r="K2890" s="19" t="s">
        <v>718</v>
      </c>
      <c r="L2890" s="4" t="s">
        <v>47</v>
      </c>
    </row>
    <row r="2891" customFormat="false" ht="17.15" hidden="false" customHeight="false" outlineLevel="0" collapsed="false">
      <c r="A2891" s="0" t="s">
        <v>780</v>
      </c>
      <c r="B2891" s="0" t="s">
        <v>95</v>
      </c>
      <c r="D2891" s="6" t="n">
        <f aca="false">Sens!D2870</f>
        <v>12.9359794422418</v>
      </c>
      <c r="E2891" s="6" t="n">
        <f aca="false">Sens!E2870</f>
        <v>27.8095064661409</v>
      </c>
      <c r="F2891" s="6" t="n">
        <f aca="false">Sens!F2870</f>
        <v>58.5426843319625</v>
      </c>
      <c r="G2891" s="6" t="n">
        <f aca="false">Sens!G2870</f>
        <v>99.7940640595479</v>
      </c>
      <c r="H2891" s="6" t="n">
        <f aca="false">Sens!H2870</f>
        <v>142.262795012461</v>
      </c>
      <c r="I2891" s="6" t="n">
        <f aca="false">Sens!I2870</f>
        <v>184.933775695191</v>
      </c>
      <c r="J2891" s="6" t="n">
        <f aca="false">Sens!J2870</f>
        <v>227.707074978878</v>
      </c>
      <c r="K2891" s="6" t="n">
        <f aca="false">Sens!K2870</f>
        <v>270.539286475803</v>
      </c>
    </row>
    <row r="2892" customFormat="false" ht="17.15" hidden="false" customHeight="false" outlineLevel="0" collapsed="false">
      <c r="A2892" s="0" t="s">
        <v>781</v>
      </c>
      <c r="B2892" s="0" t="s">
        <v>95</v>
      </c>
      <c r="D2892" s="6" t="n">
        <f aca="false">Q!L6-Sens!D2891</f>
        <v>59.6740205577583</v>
      </c>
      <c r="E2892" s="6" t="n">
        <f aca="false">Q!M6-Sens!E2891</f>
        <v>74.1284935338591</v>
      </c>
      <c r="F2892" s="6" t="n">
        <f aca="false">Sens!E2892*(1+Sens!F2893)</f>
        <v>90.0799497373663</v>
      </c>
      <c r="G2892" s="6" t="n">
        <f aca="false">Sens!F2892*(1+Sens!G2893)</f>
        <v>107.02842520331</v>
      </c>
      <c r="H2892" s="6" t="n">
        <f aca="false">Sens!G2892*(1+Sens!H2893)</f>
        <v>124.271982585636</v>
      </c>
      <c r="I2892" s="6" t="n">
        <f aca="false">Sens!H2892*(1+Sens!I2893)</f>
        <v>140.933702381855</v>
      </c>
      <c r="J2892" s="6" t="n">
        <f aca="false">Sens!I2892*(1+Sens!J2893)</f>
        <v>156.018867314332</v>
      </c>
      <c r="K2892" s="6" t="n">
        <f aca="false">Sens!J2892*(1+Sens!K2893)</f>
        <v>168.500376699478</v>
      </c>
    </row>
    <row r="2893" customFormat="false" ht="15" hidden="false" customHeight="false" outlineLevel="0" collapsed="false">
      <c r="A2893" s="1" t="s">
        <v>782</v>
      </c>
      <c r="B2893" s="0" t="s">
        <v>126</v>
      </c>
      <c r="E2893" s="7" t="n">
        <f aca="false">Sens!E2892/Sens!D2892-1</f>
        <v>0.242223883039864</v>
      </c>
      <c r="F2893" s="7" t="n">
        <f aca="false">Sens!$E$2893+(glt_azo-Sens!$E$2893)*MIN(1,1/n_conv)</f>
        <v>0.215186569199887</v>
      </c>
      <c r="G2893" s="7" t="n">
        <f aca="false">Sens!$E$2893+(glt_azo-Sens!$E$2893)*MIN(1,2/n_conv)</f>
        <v>0.18814925535991</v>
      </c>
      <c r="H2893" s="7" t="n">
        <f aca="false">Sens!$E$2893+(glt_azo-Sens!$E$2893)*MIN(1,3/n_conv)</f>
        <v>0.161111941519932</v>
      </c>
      <c r="I2893" s="7" t="n">
        <f aca="false">Sens!$E$2893+(glt_azo-Sens!$E$2893)*MIN(1,4/n_conv)</f>
        <v>0.134074627679955</v>
      </c>
      <c r="J2893" s="7" t="n">
        <f aca="false">Sens!$E$2893+(glt_azo-Sens!$E$2893)*MIN(1,5/n_conv)</f>
        <v>0.107037313839977</v>
      </c>
      <c r="K2893" s="7" t="n">
        <f aca="false">Sens!$E$2893+(glt_azo-Sens!$E$2893)*MIN(1,6/n_conv)</f>
        <v>0.08</v>
      </c>
    </row>
    <row r="2894" customFormat="false" ht="15" hidden="false" customHeight="false" outlineLevel="0" collapsed="false">
      <c r="A2894" s="0" t="s">
        <v>783</v>
      </c>
      <c r="B2894" s="0" t="s">
        <v>95</v>
      </c>
      <c r="D2894" s="6" t="n">
        <f aca="false">Sens!D2891+Sens!D2892</f>
        <v>72.61</v>
      </c>
      <c r="E2894" s="6" t="n">
        <f aca="false">Sens!E2891+Sens!E2892</f>
        <v>101.938</v>
      </c>
      <c r="F2894" s="6" t="n">
        <f aca="false">Sens!F2891+Sens!F2892</f>
        <v>148.622634069329</v>
      </c>
      <c r="G2894" s="6" t="n">
        <f aca="false">Sens!G2891+Sens!G2892</f>
        <v>206.822489262858</v>
      </c>
      <c r="H2894" s="6" t="n">
        <f aca="false">Sens!H2891+Sens!H2892</f>
        <v>266.534777598097</v>
      </c>
      <c r="I2894" s="6" t="n">
        <f aca="false">Sens!I2891+Sens!I2892</f>
        <v>325.867478077046</v>
      </c>
      <c r="J2894" s="6" t="n">
        <f aca="false">Sens!J2891+Sens!J2892</f>
        <v>383.72594229321</v>
      </c>
      <c r="K2894" s="6" t="n">
        <f aca="false">Sens!K2891+Sens!K2892</f>
        <v>439.039663175282</v>
      </c>
    </row>
    <row r="2895" customFormat="false" ht="17.15" hidden="false" customHeight="false" outlineLevel="0" collapsed="false">
      <c r="A2895" s="0" t="s">
        <v>784</v>
      </c>
      <c r="B2895" s="1" t="s">
        <v>451</v>
      </c>
      <c r="C2895" s="27" t="n">
        <f aca="false">cop_s24</f>
        <v>1</v>
      </c>
      <c r="D2895" s="27" t="n">
        <f aca="false">cop_s25</f>
        <v>5</v>
      </c>
      <c r="E2895" s="27" t="n">
        <f aca="false">cop_s26</f>
        <v>30</v>
      </c>
      <c r="F2895" s="27" t="n">
        <f aca="false">Sens!E2895+IF(2027&lt;=2029,cop_add_B,cop_add_B*cop_tail)</f>
        <v>50</v>
      </c>
      <c r="G2895" s="27" t="n">
        <f aca="false">Sens!F2895+IF(2028&lt;=2029,cop_add_B,cop_add_B*cop_tail)</f>
        <v>70</v>
      </c>
      <c r="H2895" s="27" t="n">
        <f aca="false">Sens!G2895+IF(2029&lt;=2029,cop_add_B,cop_add_B*cop_tail)</f>
        <v>90</v>
      </c>
      <c r="I2895" s="27" t="n">
        <f aca="false">Sens!H2895+IF(2030&lt;=2029,cop_add_B,cop_add_B*cop_tail)</f>
        <v>100</v>
      </c>
      <c r="J2895" s="27" t="n">
        <f aca="false">Sens!I2895+IF(2031&lt;=2029,cop_add_B,cop_add_B*cop_tail)</f>
        <v>110</v>
      </c>
      <c r="K2895" s="27" t="n">
        <f aca="false">Sens!J2895+IF(2032&lt;=2029,cop_add_B,cop_add_B*cop_tail)</f>
        <v>120</v>
      </c>
    </row>
    <row r="2896" customFormat="false" ht="17.15" hidden="false" customHeight="false" outlineLevel="0" collapsed="false">
      <c r="A2896" s="0" t="s">
        <v>785</v>
      </c>
      <c r="B2896" s="0" t="s">
        <v>95</v>
      </c>
      <c r="D2896" s="6" t="n">
        <f aca="false">(Sens!C2895+Sens!D2895)/2*cop_px*12/1000</f>
        <v>0.9</v>
      </c>
      <c r="E2896" s="6" t="n">
        <f aca="false">(Sens!D2895+Sens!E2895)/2*cop_px*12/1000</f>
        <v>5.25</v>
      </c>
      <c r="F2896" s="6" t="n">
        <f aca="false">(Sens!E2895+Sens!F2895)/2*cop_px*12/1000</f>
        <v>12</v>
      </c>
      <c r="G2896" s="6" t="n">
        <f aca="false">(Sens!F2895+Sens!G2895)/2*cop_px*12/1000</f>
        <v>18</v>
      </c>
      <c r="H2896" s="6" t="n">
        <f aca="false">(Sens!G2895+Sens!H2895)/2*cop_px*12/1000</f>
        <v>24</v>
      </c>
      <c r="I2896" s="6" t="n">
        <f aca="false">(Sens!H2895+Sens!I2895)/2*cop_px*12/1000</f>
        <v>28.5</v>
      </c>
      <c r="J2896" s="6" t="n">
        <f aca="false">(Sens!I2895+Sens!J2895)/2*cop_px*12/1000</f>
        <v>31.5</v>
      </c>
      <c r="K2896" s="6" t="n">
        <f aca="false">(Sens!J2895+Sens!K2895)/2*cop_px*12/1000</f>
        <v>34.5</v>
      </c>
      <c r="L2896" s="1" t="s">
        <v>786</v>
      </c>
    </row>
    <row r="2897" customFormat="false" ht="17.15" hidden="false" customHeight="false" outlineLevel="0" collapsed="false">
      <c r="A2897" s="0" t="s">
        <v>787</v>
      </c>
      <c r="B2897" s="0" t="s">
        <v>95</v>
      </c>
      <c r="D2897" s="6" t="n">
        <f aca="false">Q!L7-Sens!D2896</f>
        <v>83.705</v>
      </c>
      <c r="E2897" s="6" t="n">
        <f aca="false">Q!M7-Sens!E2896</f>
        <v>95.049</v>
      </c>
      <c r="F2897" s="6" t="n">
        <f aca="false">Sens!E2897*(1+Sens!F2898)</f>
        <v>106.89238776686</v>
      </c>
      <c r="G2897" s="6" t="n">
        <f aca="false">Sens!F2897*(1+Sens!G2898)</f>
        <v>119.044168448684</v>
      </c>
      <c r="H2897" s="6" t="n">
        <f aca="false">Sens!G2897*(1+Sens!H2898)</f>
        <v>131.277359388781</v>
      </c>
      <c r="I2897" s="6" t="n">
        <f aca="false">Sens!H2897*(1+Sens!I2898)</f>
        <v>143.334028071957</v>
      </c>
      <c r="J2897" s="6" t="n">
        <f aca="false">Sens!I2897*(1+Sens!J2898)</f>
        <v>154.932702785465</v>
      </c>
      <c r="K2897" s="6" t="n">
        <f aca="false">Sens!J2897*(1+Sens!K2898)</f>
        <v>165.777991980448</v>
      </c>
    </row>
    <row r="2898" customFormat="false" ht="15" hidden="false" customHeight="false" outlineLevel="0" collapsed="false">
      <c r="A2898" s="1" t="s">
        <v>782</v>
      </c>
      <c r="B2898" s="0" t="s">
        <v>126</v>
      </c>
      <c r="E2898" s="7" t="n">
        <f aca="false">Sens!E2897/Sens!D2897-1</f>
        <v>0.135523564900544</v>
      </c>
      <c r="F2898" s="7" t="n">
        <f aca="false">Sens!$E$2898+(glt_m365b-Sens!$E$2898)*MIN(1,1/n_conv)</f>
        <v>0.124602970750453</v>
      </c>
      <c r="G2898" s="7" t="n">
        <f aca="false">Sens!$E$2898+(glt_m365b-Sens!$E$2898)*MIN(1,2/n_conv)</f>
        <v>0.113682376600363</v>
      </c>
      <c r="H2898" s="7" t="n">
        <f aca="false">Sens!$E$2898+(glt_m365b-Sens!$E$2898)*MIN(1,3/n_conv)</f>
        <v>0.102761782450272</v>
      </c>
      <c r="I2898" s="7" t="n">
        <f aca="false">Sens!$E$2898+(glt_m365b-Sens!$E$2898)*MIN(1,4/n_conv)</f>
        <v>0.0918411883001813</v>
      </c>
      <c r="J2898" s="7" t="n">
        <f aca="false">Sens!$E$2898+(glt_m365b-Sens!$E$2898)*MIN(1,5/n_conv)</f>
        <v>0.0809205941500906</v>
      </c>
      <c r="K2898" s="7" t="n">
        <f aca="false">Sens!$E$2898+(glt_m365b-Sens!$E$2898)*MIN(1,6/n_conv)</f>
        <v>0.07</v>
      </c>
    </row>
    <row r="2899" customFormat="false" ht="15" hidden="false" customHeight="false" outlineLevel="0" collapsed="false">
      <c r="A2899" s="0" t="s">
        <v>788</v>
      </c>
      <c r="B2899" s="0" t="s">
        <v>95</v>
      </c>
      <c r="D2899" s="6" t="n">
        <f aca="false">Sens!D2897+Sens!D2896</f>
        <v>84.605</v>
      </c>
      <c r="E2899" s="6" t="n">
        <f aca="false">Sens!E2897+Sens!E2896</f>
        <v>100.299</v>
      </c>
      <c r="F2899" s="6" t="n">
        <f aca="false">Sens!F2897+Sens!F2896</f>
        <v>118.89238776686</v>
      </c>
      <c r="G2899" s="6" t="n">
        <f aca="false">Sens!G2897+Sens!G2896</f>
        <v>137.044168448684</v>
      </c>
      <c r="H2899" s="6" t="n">
        <f aca="false">Sens!H2897+Sens!H2896</f>
        <v>155.277359388781</v>
      </c>
      <c r="I2899" s="6" t="n">
        <f aca="false">Sens!I2897+Sens!I2896</f>
        <v>171.834028071957</v>
      </c>
      <c r="J2899" s="6" t="n">
        <f aca="false">Sens!J2897+Sens!J2896</f>
        <v>186.432702785465</v>
      </c>
      <c r="K2899" s="6" t="n">
        <f aca="false">Sens!K2897+Sens!K2896</f>
        <v>200.277991980448</v>
      </c>
    </row>
    <row r="2900" customFormat="false" ht="15" hidden="false" customHeight="false" outlineLevel="0" collapsed="false">
      <c r="A2900" s="0" t="s">
        <v>789</v>
      </c>
      <c r="B2900" s="0" t="s">
        <v>95</v>
      </c>
      <c r="D2900" s="6" t="n">
        <f aca="false">Q!L8</f>
        <v>35.391</v>
      </c>
      <c r="E2900" s="6" t="n">
        <f aca="false">Q!M8</f>
        <v>37.285</v>
      </c>
      <c r="F2900" s="6" t="n">
        <f aca="false">Sens!E2900*(1+Sens!F2901)</f>
        <v>39.0720834331704</v>
      </c>
      <c r="G2900" s="6" t="n">
        <f aca="false">Sens!F2900*(1+Sens!G2901)</f>
        <v>40.726562953769</v>
      </c>
      <c r="H2900" s="6" t="n">
        <f aca="false">Sens!G2900*(1+Sens!H2901)</f>
        <v>42.2235987259198</v>
      </c>
      <c r="I2900" s="6" t="n">
        <f aca="false">Sens!H2900*(1+Sens!I2901)</f>
        <v>43.5397988077414</v>
      </c>
      <c r="J2900" s="6" t="n">
        <f aca="false">Sens!I2900*(1+Sens!J2901)</f>
        <v>44.653811225693</v>
      </c>
      <c r="K2900" s="6" t="n">
        <f aca="false">Sens!J2900*(1+Sens!K2901)</f>
        <v>45.5468874502068</v>
      </c>
    </row>
    <row r="2901" customFormat="false" ht="15" hidden="false" customHeight="false" outlineLevel="0" collapsed="false">
      <c r="A2901" s="1" t="s">
        <v>782</v>
      </c>
      <c r="B2901" s="0" t="s">
        <v>126</v>
      </c>
      <c r="E2901" s="7" t="n">
        <f aca="false">Sens!E2900/Sens!D2900-1</f>
        <v>0.0535164307309768</v>
      </c>
      <c r="F2901" s="7" t="n">
        <f aca="false">Sens!$E$2901+(glt_lic-Sens!$E$2901)*MIN(1,1/n_conv)</f>
        <v>0.0479303589424807</v>
      </c>
      <c r="G2901" s="7" t="n">
        <f aca="false">Sens!$E$2901+(glt_lic-Sens!$E$2901)*MIN(1,2/n_conv)</f>
        <v>0.0423442871539845</v>
      </c>
      <c r="H2901" s="7" t="n">
        <f aca="false">Sens!$E$2901+(glt_lic-Sens!$E$2901)*MIN(1,3/n_conv)</f>
        <v>0.0367582153654884</v>
      </c>
      <c r="I2901" s="7" t="n">
        <f aca="false">Sens!$E$2901+(glt_lic-Sens!$E$2901)*MIN(1,4/n_conv)</f>
        <v>0.0311721435769923</v>
      </c>
      <c r="J2901" s="7" t="n">
        <f aca="false">Sens!$E$2901+(glt_lic-Sens!$E$2901)*MIN(1,5/n_conv)</f>
        <v>0.0255860717884961</v>
      </c>
      <c r="K2901" s="7" t="n">
        <f aca="false">Sens!$E$2901+(glt_lic-Sens!$E$2901)*MIN(1,6/n_conv)</f>
        <v>0.02</v>
      </c>
    </row>
    <row r="2902" customFormat="false" ht="15" hidden="false" customHeight="false" outlineLevel="0" collapsed="false">
      <c r="A2902" s="0" t="s">
        <v>790</v>
      </c>
      <c r="B2902" s="0" t="s">
        <v>95</v>
      </c>
      <c r="D2902" s="6" t="n">
        <f aca="false">Q!L9</f>
        <v>18.417</v>
      </c>
      <c r="E2902" s="6" t="n">
        <f aca="false">Q!M9</f>
        <v>20.345</v>
      </c>
      <c r="F2902" s="6" t="n">
        <f aca="false">Sens!E2902*(1+Sens!F2903)</f>
        <v>22.3572203267814</v>
      </c>
      <c r="G2902" s="6" t="n">
        <f aca="false">Sens!F2902*(1+Sens!G2903)</f>
        <v>24.4392124437232</v>
      </c>
      <c r="H2902" s="6" t="n">
        <f aca="false">Sens!G2902*(1+Sens!H2903)</f>
        <v>26.5738052080665</v>
      </c>
      <c r="I2902" s="6" t="n">
        <f aca="false">Sens!H2902*(1+Sens!I2903)</f>
        <v>28.7412169166967</v>
      </c>
      <c r="J2902" s="6" t="n">
        <f aca="false">Sens!I2902*(1+Sens!J2903)</f>
        <v>30.9192545395413</v>
      </c>
      <c r="K2902" s="6" t="n">
        <f aca="false">Sens!J2902*(1+Sens!K2903)</f>
        <v>33.0836023573092</v>
      </c>
    </row>
    <row r="2903" customFormat="false" ht="15" hidden="false" customHeight="false" outlineLevel="0" collapsed="false">
      <c r="A2903" s="1" t="s">
        <v>782</v>
      </c>
      <c r="B2903" s="0" t="s">
        <v>126</v>
      </c>
      <c r="E2903" s="7" t="n">
        <f aca="false">Sens!E2902/Sens!D2902-1</f>
        <v>0.104685888038225</v>
      </c>
      <c r="F2903" s="7" t="n">
        <f aca="false">Sens!$E$2903+(glt_ind-Sens!$E$2903)*MIN(1,1/n_conv)</f>
        <v>0.0989049066985211</v>
      </c>
      <c r="G2903" s="7" t="n">
        <f aca="false">Sens!$E$2903+(glt_ind-Sens!$E$2903)*MIN(1,2/n_conv)</f>
        <v>0.0931239253588169</v>
      </c>
      <c r="H2903" s="7" t="n">
        <f aca="false">Sens!$E$2903+(glt_ind-Sens!$E$2903)*MIN(1,3/n_conv)</f>
        <v>0.0873429440191127</v>
      </c>
      <c r="I2903" s="7" t="n">
        <f aca="false">Sens!$E$2903+(glt_ind-Sens!$E$2903)*MIN(1,4/n_conv)</f>
        <v>0.0815619626794085</v>
      </c>
      <c r="J2903" s="7" t="n">
        <f aca="false">Sens!$E$2903+(glt_ind-Sens!$E$2903)*MIN(1,5/n_conv)</f>
        <v>0.0757809813397042</v>
      </c>
      <c r="K2903" s="7" t="n">
        <f aca="false">Sens!$E$2903+(glt_ind-Sens!$E$2903)*MIN(1,6/n_conv)</f>
        <v>0.07</v>
      </c>
    </row>
    <row r="2904" customFormat="false" ht="15" hidden="false" customHeight="false" outlineLevel="0" collapsed="false">
      <c r="A2904" s="0" t="s">
        <v>791</v>
      </c>
      <c r="B2904" s="0" t="s">
        <v>95</v>
      </c>
      <c r="D2904" s="6" t="n">
        <f aca="false">Q!L10</f>
        <v>7.76</v>
      </c>
      <c r="E2904" s="6" t="n">
        <f aca="false">Q!M10</f>
        <v>8.26</v>
      </c>
      <c r="F2904" s="6" t="n">
        <f aca="false">Sens!E2904*(1+Sens!F2905)</f>
        <v>8.79988041237113</v>
      </c>
      <c r="G2904" s="6" t="n">
        <f aca="false">Sens!F2904*(1+Sens!G2905)</f>
        <v>9.38321269125306</v>
      </c>
      <c r="H2904" s="6" t="n">
        <f aca="false">Sens!G2904*(1+Sens!H2905)</f>
        <v>10.0139193587476</v>
      </c>
      <c r="I2904" s="6" t="n">
        <f aca="false">Sens!H2904*(1+Sens!I2905)</f>
        <v>10.6963111830911</v>
      </c>
      <c r="J2904" s="6" t="n">
        <f aca="false">Sens!I2904*(1+Sens!J2905)</f>
        <v>11.4351285534696</v>
      </c>
      <c r="K2904" s="6" t="n">
        <f aca="false">Sens!J2904*(1+Sens!K2905)</f>
        <v>12.2355875522124</v>
      </c>
    </row>
    <row r="2905" customFormat="false" ht="15" hidden="false" customHeight="false" outlineLevel="0" collapsed="false">
      <c r="A2905" s="1" t="s">
        <v>782</v>
      </c>
      <c r="B2905" s="0" t="s">
        <v>126</v>
      </c>
      <c r="E2905" s="7" t="n">
        <f aca="false">Sens!E2904/Sens!D2904-1</f>
        <v>0.0644329896907216</v>
      </c>
      <c r="F2905" s="7" t="n">
        <f aca="false">Sens!$E$2905+(glt_fro-Sens!$E$2905)*MIN(1,1/n_conv)</f>
        <v>0.065360824742268</v>
      </c>
      <c r="G2905" s="7" t="n">
        <f aca="false">Sens!$E$2905+(glt_fro-Sens!$E$2905)*MIN(1,2/n_conv)</f>
        <v>0.0662886597938144</v>
      </c>
      <c r="H2905" s="7" t="n">
        <f aca="false">Sens!$E$2905+(glt_fro-Sens!$E$2905)*MIN(1,3/n_conv)</f>
        <v>0.0672164948453608</v>
      </c>
      <c r="I2905" s="7" t="n">
        <f aca="false">Sens!$E$2905+(glt_fro-Sens!$E$2905)*MIN(1,4/n_conv)</f>
        <v>0.0681443298969072</v>
      </c>
      <c r="J2905" s="7" t="n">
        <f aca="false">Sens!$E$2905+(glt_fro-Sens!$E$2905)*MIN(1,5/n_conv)</f>
        <v>0.0690721649484536</v>
      </c>
      <c r="K2905" s="7" t="n">
        <f aca="false">Sens!$E$2905+(glt_fro-Sens!$E$2905)*MIN(1,6/n_conv)</f>
        <v>0.07</v>
      </c>
    </row>
    <row r="2906" customFormat="false" ht="15" hidden="false" customHeight="false" outlineLevel="0" collapsed="false">
      <c r="A2906" s="0" t="s">
        <v>626</v>
      </c>
      <c r="B2906" s="0" t="s">
        <v>95</v>
      </c>
      <c r="D2906" s="6" t="n">
        <f aca="false">Sens!D2894+Sens!D2899+Sens!D2900+Sens!D2902+Sens!D2904</f>
        <v>218.783</v>
      </c>
      <c r="E2906" s="6" t="n">
        <f aca="false">Sens!E2894+Sens!E2899+Sens!E2900+Sens!E2902+Sens!E2904</f>
        <v>268.127</v>
      </c>
      <c r="F2906" s="6" t="n">
        <f aca="false">Sens!F2894+Sens!F2899+Sens!F2900+Sens!F2902+Sens!F2904</f>
        <v>337.744206008512</v>
      </c>
      <c r="G2906" s="6" t="n">
        <f aca="false">Sens!G2894+Sens!G2899+Sens!G2900+Sens!G2902+Sens!G2904</f>
        <v>418.415645800287</v>
      </c>
      <c r="H2906" s="6" t="n">
        <f aca="false">Sens!H2894+Sens!H2899+Sens!H2900+Sens!H2902+Sens!H2904</f>
        <v>500.623460279612</v>
      </c>
      <c r="I2906" s="6" t="n">
        <f aca="false">Sens!I2894+Sens!I2899+Sens!I2900+Sens!I2902+Sens!I2904</f>
        <v>580.678833056532</v>
      </c>
      <c r="J2906" s="6" t="n">
        <f aca="false">Sens!J2894+Sens!J2899+Sens!J2900+Sens!J2902+Sens!J2904</f>
        <v>657.166839397379</v>
      </c>
      <c r="K2906" s="6" t="n">
        <f aca="false">Sens!K2894+Sens!K2899+Sens!K2900+Sens!K2902+Sens!K2904</f>
        <v>730.183732515458</v>
      </c>
    </row>
    <row r="2907" customFormat="false" ht="15" hidden="false" customHeight="false" outlineLevel="0" collapsed="false">
      <c r="A2907" s="0" t="s">
        <v>792</v>
      </c>
      <c r="B2907" s="0" t="s">
        <v>95</v>
      </c>
      <c r="D2907" s="6" t="n">
        <f aca="false">Q!L13</f>
        <v>22.171</v>
      </c>
      <c r="E2907" s="6" t="n">
        <f aca="false">Q!M13</f>
        <v>24.835</v>
      </c>
      <c r="F2907" s="6" t="n">
        <f aca="false">Sens!E2907*(1+Sens!F2908)</f>
        <v>27.6114901218559</v>
      </c>
      <c r="G2907" s="6" t="n">
        <f aca="false">Sens!F2907*(1+Sens!G2908)</f>
        <v>30.4675667338515</v>
      </c>
      <c r="H2907" s="6" t="n">
        <f aca="false">Sens!G2907*(1+Sens!H2908)</f>
        <v>33.3643766955789</v>
      </c>
      <c r="I2907" s="6" t="n">
        <f aca="false">Sens!H2907*(1+Sens!I2908)</f>
        <v>36.2577016533691</v>
      </c>
      <c r="J2907" s="6" t="n">
        <f aca="false">Sens!I2907*(1+Sens!J2908)</f>
        <v>39.0988367952171</v>
      </c>
      <c r="K2907" s="6" t="n">
        <f aca="false">Sens!J2907*(1+Sens!K2908)</f>
        <v>41.8357553708823</v>
      </c>
    </row>
    <row r="2908" customFormat="false" ht="15" hidden="false" customHeight="false" outlineLevel="0" collapsed="false">
      <c r="A2908" s="1" t="s">
        <v>782</v>
      </c>
      <c r="B2908" s="0" t="s">
        <v>126</v>
      </c>
      <c r="E2908" s="7" t="n">
        <f aca="false">Sens!E2907/Sens!D2907-1</f>
        <v>0.120156961796942</v>
      </c>
      <c r="F2908" s="7" t="n">
        <f aca="false">Sens!$E$2908+(glt_srch-Sens!$E$2908)*MIN(1,1/n_conv)</f>
        <v>0.111797468164118</v>
      </c>
      <c r="G2908" s="7" t="n">
        <f aca="false">Sens!$E$2908+(glt_srch-Sens!$E$2908)*MIN(1,2/n_conv)</f>
        <v>0.103437974531295</v>
      </c>
      <c r="H2908" s="7" t="n">
        <f aca="false">Sens!$E$2908+(glt_srch-Sens!$E$2908)*MIN(1,3/n_conv)</f>
        <v>0.095078480898471</v>
      </c>
      <c r="I2908" s="7" t="n">
        <f aca="false">Sens!$E$2908+(glt_srch-Sens!$E$2908)*MIN(1,4/n_conv)</f>
        <v>0.0867189872656474</v>
      </c>
      <c r="J2908" s="7" t="n">
        <f aca="false">Sens!$E$2908+(glt_srch-Sens!$E$2908)*MIN(1,5/n_conv)</f>
        <v>0.0783594936328237</v>
      </c>
      <c r="K2908" s="7" t="n">
        <f aca="false">Sens!$E$2908+(glt_srch-Sens!$E$2908)*MIN(1,6/n_conv)</f>
        <v>0.07</v>
      </c>
    </row>
    <row r="2909" customFormat="false" ht="15" hidden="false" customHeight="false" outlineLevel="0" collapsed="false">
      <c r="A2909" s="0" t="s">
        <v>793</v>
      </c>
      <c r="B2909" s="0" t="s">
        <v>95</v>
      </c>
      <c r="D2909" s="6" t="n">
        <f aca="false">Q!L14</f>
        <v>23.455</v>
      </c>
      <c r="E2909" s="6" t="n">
        <f aca="false">Q!M14</f>
        <v>21.79</v>
      </c>
      <c r="F2909" s="6" t="n">
        <f aca="false">Sens!E2909*(1+Sens!F2910)</f>
        <v>20.5736277908051</v>
      </c>
      <c r="G2909" s="6" t="n">
        <f aca="false">Sens!F2909*(1+Sens!G2910)</f>
        <v>19.7371452817919</v>
      </c>
      <c r="H2909" s="6" t="n">
        <f aca="false">Sens!G2909*(1+Sens!H2910)</f>
        <v>19.2339764043138</v>
      </c>
      <c r="I2909" s="6" t="n">
        <f aca="false">Sens!H2909*(1+Sens!I2910)</f>
        <v>19.0353086852681</v>
      </c>
      <c r="J2909" s="6" t="n">
        <f aca="false">Sens!I2909*(1+Sens!J2910)</f>
        <v>19.1273539319129</v>
      </c>
      <c r="K2909" s="6" t="n">
        <f aca="false">Sens!J2909*(1+Sens!K2910)</f>
        <v>19.5099010105511</v>
      </c>
    </row>
    <row r="2910" customFormat="false" ht="15" hidden="false" customHeight="false" outlineLevel="0" collapsed="false">
      <c r="A2910" s="1" t="s">
        <v>782</v>
      </c>
      <c r="B2910" s="0" t="s">
        <v>126</v>
      </c>
      <c r="E2910" s="7" t="n">
        <f aca="false">Sens!E2909/Sens!D2909-1</f>
        <v>-0.0709869963760392</v>
      </c>
      <c r="F2910" s="7" t="n">
        <f aca="false">Sens!$E$2910+(glt_xbox-Sens!$E$2910)*MIN(1,1/n_conv)</f>
        <v>-0.0558224969800327</v>
      </c>
      <c r="G2910" s="7" t="n">
        <f aca="false">Sens!$E$2910+(glt_xbox-Sens!$E$2910)*MIN(1,2/n_conv)</f>
        <v>-0.0406579975840262</v>
      </c>
      <c r="H2910" s="7" t="n">
        <f aca="false">Sens!$E$2910+(glt_xbox-Sens!$E$2910)*MIN(1,3/n_conv)</f>
        <v>-0.0254934981880196</v>
      </c>
      <c r="I2910" s="7" t="n">
        <f aca="false">Sens!$E$2910+(glt_xbox-Sens!$E$2910)*MIN(1,4/n_conv)</f>
        <v>-0.0103289987920131</v>
      </c>
      <c r="J2910" s="7" t="n">
        <f aca="false">Sens!$E$2910+(glt_xbox-Sens!$E$2910)*MIN(1,5/n_conv)</f>
        <v>0.00483550060399347</v>
      </c>
      <c r="K2910" s="7" t="n">
        <f aca="false">Sens!$E$2910+(glt_xbox-Sens!$E$2910)*MIN(1,6/n_conv)</f>
        <v>0.02</v>
      </c>
    </row>
    <row r="2911" customFormat="false" ht="15" hidden="false" customHeight="false" outlineLevel="0" collapsed="false">
      <c r="A2911" s="0" t="s">
        <v>794</v>
      </c>
      <c r="B2911" s="0" t="s">
        <v>95</v>
      </c>
      <c r="D2911" s="6" t="n">
        <f aca="false">Q!L15</f>
        <v>17.315</v>
      </c>
      <c r="E2911" s="6" t="n">
        <f aca="false">Q!M15</f>
        <v>17.087</v>
      </c>
      <c r="F2911" s="6" t="n">
        <f aca="false">Sens!E2911*(1+Sens!F2912)</f>
        <v>16.9564585436519</v>
      </c>
      <c r="G2911" s="6" t="n">
        <f aca="false">Sens!F2911*(1+Sens!G2912)</f>
        <v>16.9206490624268</v>
      </c>
      <c r="H2911" s="6" t="n">
        <f aca="false">Sens!G2911*(1+Sens!H2912)</f>
        <v>16.9784519149849</v>
      </c>
      <c r="I2911" s="6" t="n">
        <f aca="false">Sens!H2911*(1+Sens!I2912)</f>
        <v>17.1303084701817</v>
      </c>
      <c r="J2911" s="6" t="n">
        <f aca="false">Sens!I2911*(1+Sens!J2912)</f>
        <v>17.3782189407267</v>
      </c>
      <c r="K2911" s="6" t="n">
        <f aca="false">Sens!J2911*(1+Sens!K2912)</f>
        <v>17.7257833195413</v>
      </c>
    </row>
    <row r="2912" customFormat="false" ht="15" hidden="false" customHeight="false" outlineLevel="0" collapsed="false">
      <c r="A2912" s="1" t="s">
        <v>782</v>
      </c>
      <c r="B2912" s="0" t="s">
        <v>126</v>
      </c>
      <c r="E2912" s="7" t="n">
        <f aca="false">Sens!E2911/Sens!D2911-1</f>
        <v>-0.0131677736066995</v>
      </c>
      <c r="F2912" s="7" t="n">
        <f aca="false">Sens!$E$2912+(glt_win-Sens!$E$2912)*MIN(1,1/n_conv)</f>
        <v>-0.00763981133891627</v>
      </c>
      <c r="G2912" s="7" t="n">
        <f aca="false">Sens!$E$2912+(glt_win-Sens!$E$2912)*MIN(1,2/n_conv)</f>
        <v>-0.00211184907113301</v>
      </c>
      <c r="H2912" s="7" t="n">
        <f aca="false">Sens!$E$2912+(glt_win-Sens!$E$2912)*MIN(1,3/n_conv)</f>
        <v>0.00341611319665024</v>
      </c>
      <c r="I2912" s="7" t="n">
        <f aca="false">Sens!$E$2912+(glt_win-Sens!$E$2912)*MIN(1,4/n_conv)</f>
        <v>0.00894407546443349</v>
      </c>
      <c r="J2912" s="7" t="n">
        <f aca="false">Sens!$E$2912+(glt_win-Sens!$E$2912)*MIN(1,5/n_conv)</f>
        <v>0.0144720377322168</v>
      </c>
      <c r="K2912" s="7" t="n">
        <f aca="false">Sens!$E$2912+(glt_win-Sens!$E$2912)*MIN(1,6/n_conv)</f>
        <v>0.02</v>
      </c>
    </row>
    <row r="2913" customFormat="false" ht="15" hidden="false" customHeight="false" outlineLevel="0" collapsed="false">
      <c r="A2913" s="0" t="s">
        <v>640</v>
      </c>
      <c r="B2913" s="0" t="s">
        <v>95</v>
      </c>
      <c r="D2913" s="6" t="n">
        <f aca="false">Sens!D2907+Sens!D2909+Sens!D2911</f>
        <v>62.941</v>
      </c>
      <c r="E2913" s="6" t="n">
        <f aca="false">Sens!E2907+Sens!E2909+Sens!E2911</f>
        <v>63.712</v>
      </c>
      <c r="F2913" s="6" t="n">
        <f aca="false">Sens!F2907+Sens!F2909+Sens!F2911</f>
        <v>65.1415764563129</v>
      </c>
      <c r="G2913" s="6" t="n">
        <f aca="false">Sens!G2907+Sens!G2909+Sens!G2911</f>
        <v>67.1253610780702</v>
      </c>
      <c r="H2913" s="6" t="n">
        <f aca="false">Sens!H2907+Sens!H2909+Sens!H2911</f>
        <v>69.5768050148776</v>
      </c>
      <c r="I2913" s="6" t="n">
        <f aca="false">Sens!I2907+Sens!I2909+Sens!I2911</f>
        <v>72.4233188088189</v>
      </c>
      <c r="J2913" s="6" t="n">
        <f aca="false">Sens!J2907+Sens!J2909+Sens!J2911</f>
        <v>75.6044096678567</v>
      </c>
      <c r="K2913" s="6" t="n">
        <f aca="false">Sens!K2907+Sens!K2909+Sens!K2911</f>
        <v>79.0714397009747</v>
      </c>
    </row>
    <row r="2914" customFormat="false" ht="15" hidden="false" customHeight="false" outlineLevel="0" collapsed="false">
      <c r="A2914" s="1" t="s">
        <v>795</v>
      </c>
      <c r="B2914" s="0" t="s">
        <v>95</v>
      </c>
      <c r="D2914" s="6" t="n">
        <f aca="false">Sens!D2906+Sens!D2913</f>
        <v>281.724</v>
      </c>
      <c r="E2914" s="6" t="n">
        <f aca="false">Sens!E2906+Sens!E2913</f>
        <v>331.839</v>
      </c>
      <c r="F2914" s="6" t="n">
        <f aca="false">Sens!F2906+Sens!F2913</f>
        <v>402.885782464824</v>
      </c>
      <c r="G2914" s="6" t="n">
        <f aca="false">Sens!G2906+Sens!G2913</f>
        <v>485.541006878357</v>
      </c>
      <c r="H2914" s="6" t="n">
        <f aca="false">Sens!H2906+Sens!H2913</f>
        <v>570.20026529449</v>
      </c>
      <c r="I2914" s="6" t="n">
        <f aca="false">Sens!I2906+Sens!I2913</f>
        <v>653.102151865351</v>
      </c>
      <c r="J2914" s="6" t="n">
        <f aca="false">Sens!J2906+Sens!J2913</f>
        <v>732.771249065236</v>
      </c>
      <c r="K2914" s="6" t="n">
        <f aca="false">Sens!K2906+Sens!K2913</f>
        <v>809.255172216433</v>
      </c>
    </row>
    <row r="2915" customFormat="false" ht="15" hidden="false" customHeight="false" outlineLevel="0" collapsed="false">
      <c r="A2915" s="22" t="s">
        <v>796</v>
      </c>
      <c r="B2915" s="28" t="s">
        <v>95</v>
      </c>
      <c r="C2915" s="28"/>
      <c r="D2915" s="23" t="n">
        <f aca="false">(Sens!D2894+Sens!D2899+Sens!D2900+Sens!D2902+Sens!D2904-Sens!D2906)+(Sens!D2907+Sens!D2909+Sens!D2911-Sens!D2913)+(Sens!D2906-Q!L5)+(Sens!D2913-Q!L12)+(Sens!D2894-Q!L6)+(Sens!D2899-Q!L7)</f>
        <v>0</v>
      </c>
      <c r="E2915" s="23" t="n">
        <f aca="false">(Sens!E2894+Sens!E2899+Sens!E2900+Sens!E2902+Sens!E2904-Sens!E2906)+(Sens!E2907+Sens!E2909+Sens!E2911-Sens!E2913)+(Sens!E2906-Q!M5)+(Sens!E2913-Q!M12)+(Sens!E2894-Q!M6)+(Sens!E2899-Q!M7)</f>
        <v>0</v>
      </c>
      <c r="F2915" s="23" t="n">
        <f aca="false">(Sens!F2894+Sens!F2899+Sens!F2900+Sens!F2902+Sens!F2904-Sens!F2906)+(Sens!F2907+Sens!F2909+Sens!F2911-Sens!F2913)</f>
        <v>0</v>
      </c>
      <c r="G2915" s="23" t="n">
        <f aca="false">(Sens!G2894+Sens!G2899+Sens!G2900+Sens!G2902+Sens!G2904-Sens!G2906)+(Sens!G2907+Sens!G2909+Sens!G2911-Sens!G2913)</f>
        <v>0</v>
      </c>
      <c r="H2915" s="23" t="n">
        <f aca="false">(Sens!H2894+Sens!H2899+Sens!H2900+Sens!H2902+Sens!H2904-Sens!H2906)+(Sens!H2907+Sens!H2909+Sens!H2911-Sens!H2913)</f>
        <v>0</v>
      </c>
      <c r="I2915" s="23" t="n">
        <f aca="false">(Sens!I2894+Sens!I2899+Sens!I2900+Sens!I2902+Sens!I2904-Sens!I2906)+(Sens!I2907+Sens!I2909+Sens!I2911-Sens!I2913)</f>
        <v>0</v>
      </c>
      <c r="J2915" s="23" t="n">
        <f aca="false">(Sens!J2894+Sens!J2899+Sens!J2900+Sens!J2902+Sens!J2904-Sens!J2906)+(Sens!J2907+Sens!J2909+Sens!J2911-Sens!J2913)</f>
        <v>0</v>
      </c>
      <c r="K2915" s="23" t="n">
        <f aca="false">(Sens!K2894+Sens!K2899+Sens!K2900+Sens!K2902+Sens!K2904-Sens!K2906)+(Sens!K2907+Sens!K2909+Sens!K2911-Sens!K2913)</f>
        <v>0</v>
      </c>
    </row>
    <row r="2916" customFormat="false" ht="17.15" hidden="false" customHeight="false" outlineLevel="0" collapsed="false">
      <c r="A2916" s="3" t="s">
        <v>1196</v>
      </c>
    </row>
    <row r="2917" customFormat="false" ht="15" hidden="false" customHeight="false" outlineLevel="0" collapsed="false">
      <c r="A2917" s="4" t="s">
        <v>43</v>
      </c>
      <c r="B2917" s="4" t="s">
        <v>63</v>
      </c>
      <c r="C2917" s="19" t="s">
        <v>710</v>
      </c>
      <c r="D2917" s="19" t="s">
        <v>711</v>
      </c>
      <c r="E2917" s="19" t="s">
        <v>712</v>
      </c>
      <c r="F2917" s="19" t="s">
        <v>713</v>
      </c>
      <c r="G2917" s="19" t="s">
        <v>714</v>
      </c>
      <c r="H2917" s="19" t="s">
        <v>715</v>
      </c>
      <c r="I2917" s="19" t="s">
        <v>716</v>
      </c>
      <c r="J2917" s="19" t="s">
        <v>717</v>
      </c>
      <c r="K2917" s="19" t="s">
        <v>718</v>
      </c>
      <c r="L2917" s="4" t="s">
        <v>47</v>
      </c>
    </row>
    <row r="2918" customFormat="false" ht="15" hidden="false" customHeight="false" outlineLevel="0" collapsed="false">
      <c r="A2918" s="0" t="s">
        <v>783</v>
      </c>
      <c r="B2918" s="0" t="s">
        <v>95</v>
      </c>
      <c r="D2918" s="6" t="n">
        <f aca="false">Sens!D2894</f>
        <v>72.61</v>
      </c>
      <c r="E2918" s="6" t="n">
        <f aca="false">Sens!E2894</f>
        <v>101.938</v>
      </c>
      <c r="F2918" s="6" t="n">
        <f aca="false">Sens!F2894</f>
        <v>148.622634069329</v>
      </c>
      <c r="G2918" s="6" t="n">
        <f aca="false">Sens!G2894</f>
        <v>206.822489262858</v>
      </c>
      <c r="H2918" s="6" t="n">
        <f aca="false">Sens!H2894</f>
        <v>266.534777598097</v>
      </c>
      <c r="I2918" s="6" t="n">
        <f aca="false">Sens!I2894</f>
        <v>325.867478077046</v>
      </c>
      <c r="J2918" s="6" t="n">
        <f aca="false">Sens!J2894</f>
        <v>383.72594229321</v>
      </c>
      <c r="K2918" s="6" t="n">
        <f aca="false">Sens!K2894</f>
        <v>439.039663175282</v>
      </c>
    </row>
    <row r="2919" customFormat="false" ht="17.15" hidden="false" customHeight="false" outlineLevel="0" collapsed="false">
      <c r="A2919" s="0" t="s">
        <v>780</v>
      </c>
      <c r="B2919" s="0" t="s">
        <v>95</v>
      </c>
      <c r="D2919" s="6" t="n">
        <f aca="false">Sens!D2891</f>
        <v>12.9359794422418</v>
      </c>
      <c r="E2919" s="6" t="n">
        <f aca="false">Sens!E2891</f>
        <v>27.8095064661409</v>
      </c>
      <c r="F2919" s="6" t="n">
        <f aca="false">Sens!F2891</f>
        <v>58.5426843319625</v>
      </c>
      <c r="G2919" s="6" t="n">
        <f aca="false">Sens!G2891</f>
        <v>99.7940640595479</v>
      </c>
      <c r="H2919" s="6" t="n">
        <f aca="false">Sens!H2891</f>
        <v>142.262795012461</v>
      </c>
      <c r="I2919" s="6" t="n">
        <f aca="false">Sens!I2891</f>
        <v>184.933775695191</v>
      </c>
      <c r="J2919" s="6" t="n">
        <f aca="false">Sens!J2891</f>
        <v>227.707074978878</v>
      </c>
      <c r="K2919" s="6" t="n">
        <f aca="false">Sens!K2891</f>
        <v>270.539286475803</v>
      </c>
    </row>
    <row r="2920" customFormat="false" ht="17.15" hidden="false" customHeight="false" outlineLevel="0" collapsed="false">
      <c r="A2920" s="0" t="s">
        <v>807</v>
      </c>
      <c r="B2920" s="0" t="s">
        <v>95</v>
      </c>
      <c r="D2920" s="6" t="n">
        <f aca="false">Sens!D2892</f>
        <v>59.6740205577583</v>
      </c>
      <c r="E2920" s="6" t="n">
        <f aca="false">Sens!E2892</f>
        <v>74.1284935338591</v>
      </c>
      <c r="F2920" s="6" t="n">
        <f aca="false">Sens!F2892</f>
        <v>90.0799497373663</v>
      </c>
      <c r="G2920" s="6" t="n">
        <f aca="false">Sens!G2892</f>
        <v>107.02842520331</v>
      </c>
      <c r="H2920" s="6" t="n">
        <f aca="false">Sens!H2892</f>
        <v>124.271982585636</v>
      </c>
      <c r="I2920" s="6" t="n">
        <f aca="false">Sens!I2892</f>
        <v>140.933702381855</v>
      </c>
      <c r="J2920" s="6" t="n">
        <f aca="false">Sens!J2892</f>
        <v>156.018867314332</v>
      </c>
      <c r="K2920" s="6" t="n">
        <f aca="false">Sens!K2892</f>
        <v>168.500376699478</v>
      </c>
    </row>
    <row r="2921" customFormat="false" ht="15" hidden="false" customHeight="false" outlineLevel="0" collapsed="false">
      <c r="A2921" s="0" t="s">
        <v>788</v>
      </c>
      <c r="B2921" s="0" t="s">
        <v>95</v>
      </c>
      <c r="D2921" s="6" t="n">
        <f aca="false">Sens!D2899</f>
        <v>84.605</v>
      </c>
      <c r="E2921" s="6" t="n">
        <f aca="false">Sens!E2899</f>
        <v>100.299</v>
      </c>
      <c r="F2921" s="6" t="n">
        <f aca="false">Sens!F2899</f>
        <v>118.89238776686</v>
      </c>
      <c r="G2921" s="6" t="n">
        <f aca="false">Sens!G2899</f>
        <v>137.044168448684</v>
      </c>
      <c r="H2921" s="6" t="n">
        <f aca="false">Sens!H2899</f>
        <v>155.277359388781</v>
      </c>
      <c r="I2921" s="6" t="n">
        <f aca="false">Sens!I2899</f>
        <v>171.834028071957</v>
      </c>
      <c r="J2921" s="6" t="n">
        <f aca="false">Sens!J2899</f>
        <v>186.432702785465</v>
      </c>
      <c r="K2921" s="6" t="n">
        <f aca="false">Sens!K2899</f>
        <v>200.277991980448</v>
      </c>
    </row>
    <row r="2922" customFormat="false" ht="17.15" hidden="false" customHeight="false" outlineLevel="0" collapsed="false">
      <c r="A2922" s="0" t="s">
        <v>808</v>
      </c>
      <c r="B2922" s="0" t="s">
        <v>95</v>
      </c>
      <c r="D2922" s="6" t="n">
        <f aca="false">Sens!D2897</f>
        <v>83.705</v>
      </c>
      <c r="E2922" s="6" t="n">
        <f aca="false">Sens!E2897</f>
        <v>95.049</v>
      </c>
      <c r="F2922" s="6" t="n">
        <f aca="false">Sens!F2897</f>
        <v>106.89238776686</v>
      </c>
      <c r="G2922" s="6" t="n">
        <f aca="false">Sens!G2897</f>
        <v>119.044168448684</v>
      </c>
      <c r="H2922" s="6" t="n">
        <f aca="false">Sens!H2897</f>
        <v>131.277359388781</v>
      </c>
      <c r="I2922" s="6" t="n">
        <f aca="false">Sens!I2897</f>
        <v>143.334028071957</v>
      </c>
      <c r="J2922" s="6" t="n">
        <f aca="false">Sens!J2897</f>
        <v>154.932702785465</v>
      </c>
      <c r="K2922" s="6" t="n">
        <f aca="false">Sens!K2897</f>
        <v>165.777991980448</v>
      </c>
    </row>
    <row r="2923" customFormat="false" ht="17.15" hidden="false" customHeight="false" outlineLevel="0" collapsed="false">
      <c r="A2923" s="0" t="s">
        <v>809</v>
      </c>
      <c r="B2923" s="0" t="s">
        <v>95</v>
      </c>
      <c r="D2923" s="6" t="n">
        <f aca="false">Sens!D2896</f>
        <v>0.9</v>
      </c>
      <c r="E2923" s="6" t="n">
        <f aca="false">Sens!E2896</f>
        <v>5.25</v>
      </c>
      <c r="F2923" s="6" t="n">
        <f aca="false">Sens!F2896</f>
        <v>12</v>
      </c>
      <c r="G2923" s="6" t="n">
        <f aca="false">Sens!G2896</f>
        <v>18</v>
      </c>
      <c r="H2923" s="6" t="n">
        <f aca="false">Sens!H2896</f>
        <v>24</v>
      </c>
      <c r="I2923" s="6" t="n">
        <f aca="false">Sens!I2896</f>
        <v>28.5</v>
      </c>
      <c r="J2923" s="6" t="n">
        <f aca="false">Sens!J2896</f>
        <v>31.5</v>
      </c>
      <c r="K2923" s="6" t="n">
        <f aca="false">Sens!K2896</f>
        <v>34.5</v>
      </c>
    </row>
    <row r="2924" customFormat="false" ht="15" hidden="false" customHeight="false" outlineLevel="0" collapsed="false">
      <c r="A2924" s="0" t="s">
        <v>789</v>
      </c>
      <c r="B2924" s="0" t="s">
        <v>95</v>
      </c>
      <c r="D2924" s="6" t="n">
        <f aca="false">Sens!D2900</f>
        <v>35.391</v>
      </c>
      <c r="E2924" s="6" t="n">
        <f aca="false">Sens!E2900</f>
        <v>37.285</v>
      </c>
      <c r="F2924" s="6" t="n">
        <f aca="false">Sens!F2900</f>
        <v>39.0720834331704</v>
      </c>
      <c r="G2924" s="6" t="n">
        <f aca="false">Sens!G2900</f>
        <v>40.726562953769</v>
      </c>
      <c r="H2924" s="6" t="n">
        <f aca="false">Sens!H2900</f>
        <v>42.2235987259198</v>
      </c>
      <c r="I2924" s="6" t="n">
        <f aca="false">Sens!I2900</f>
        <v>43.5397988077414</v>
      </c>
      <c r="J2924" s="6" t="n">
        <f aca="false">Sens!J2900</f>
        <v>44.653811225693</v>
      </c>
      <c r="K2924" s="6" t="n">
        <f aca="false">Sens!K2900</f>
        <v>45.5468874502068</v>
      </c>
    </row>
    <row r="2925" customFormat="false" ht="15" hidden="false" customHeight="false" outlineLevel="0" collapsed="false">
      <c r="A2925" s="0" t="s">
        <v>790</v>
      </c>
      <c r="B2925" s="0" t="s">
        <v>95</v>
      </c>
      <c r="D2925" s="6" t="n">
        <f aca="false">Sens!D2902</f>
        <v>18.417</v>
      </c>
      <c r="E2925" s="6" t="n">
        <f aca="false">Sens!E2902</f>
        <v>20.345</v>
      </c>
      <c r="F2925" s="6" t="n">
        <f aca="false">Sens!F2902</f>
        <v>22.3572203267814</v>
      </c>
      <c r="G2925" s="6" t="n">
        <f aca="false">Sens!G2902</f>
        <v>24.4392124437232</v>
      </c>
      <c r="H2925" s="6" t="n">
        <f aca="false">Sens!H2902</f>
        <v>26.5738052080665</v>
      </c>
      <c r="I2925" s="6" t="n">
        <f aca="false">Sens!I2902</f>
        <v>28.7412169166967</v>
      </c>
      <c r="J2925" s="6" t="n">
        <f aca="false">Sens!J2902</f>
        <v>30.9192545395413</v>
      </c>
      <c r="K2925" s="6" t="n">
        <f aca="false">Sens!K2902</f>
        <v>33.0836023573092</v>
      </c>
    </row>
    <row r="2926" customFormat="false" ht="15" hidden="false" customHeight="false" outlineLevel="0" collapsed="false">
      <c r="A2926" s="0" t="s">
        <v>791</v>
      </c>
      <c r="B2926" s="0" t="s">
        <v>95</v>
      </c>
      <c r="D2926" s="6" t="n">
        <f aca="false">Sens!D2904</f>
        <v>7.76</v>
      </c>
      <c r="E2926" s="6" t="n">
        <f aca="false">Sens!E2904</f>
        <v>8.26</v>
      </c>
      <c r="F2926" s="6" t="n">
        <f aca="false">Sens!F2904</f>
        <v>8.79988041237113</v>
      </c>
      <c r="G2926" s="6" t="n">
        <f aca="false">Sens!G2904</f>
        <v>9.38321269125306</v>
      </c>
      <c r="H2926" s="6" t="n">
        <f aca="false">Sens!H2904</f>
        <v>10.0139193587476</v>
      </c>
      <c r="I2926" s="6" t="n">
        <f aca="false">Sens!I2904</f>
        <v>10.6963111830911</v>
      </c>
      <c r="J2926" s="6" t="n">
        <f aca="false">Sens!J2904</f>
        <v>11.4351285534696</v>
      </c>
      <c r="K2926" s="6" t="n">
        <f aca="false">Sens!K2904</f>
        <v>12.2355875522124</v>
      </c>
    </row>
    <row r="2927" customFormat="false" ht="15" hidden="false" customHeight="false" outlineLevel="0" collapsed="false">
      <c r="A2927" s="0" t="s">
        <v>626</v>
      </c>
      <c r="B2927" s="0" t="s">
        <v>95</v>
      </c>
      <c r="D2927" s="6" t="n">
        <f aca="false">Sens!D2906</f>
        <v>218.783</v>
      </c>
      <c r="E2927" s="6" t="n">
        <f aca="false">Sens!E2906</f>
        <v>268.127</v>
      </c>
      <c r="F2927" s="6" t="n">
        <f aca="false">Sens!F2906</f>
        <v>337.744206008512</v>
      </c>
      <c r="G2927" s="6" t="n">
        <f aca="false">Sens!G2906</f>
        <v>418.415645800287</v>
      </c>
      <c r="H2927" s="6" t="n">
        <f aca="false">Sens!H2906</f>
        <v>500.623460279612</v>
      </c>
      <c r="I2927" s="6" t="n">
        <f aca="false">Sens!I2906</f>
        <v>580.678833056532</v>
      </c>
      <c r="J2927" s="6" t="n">
        <f aca="false">Sens!J2906</f>
        <v>657.166839397379</v>
      </c>
      <c r="K2927" s="6" t="n">
        <f aca="false">Sens!K2906</f>
        <v>730.183732515458</v>
      </c>
    </row>
    <row r="2928" customFormat="false" ht="15" hidden="false" customHeight="false" outlineLevel="0" collapsed="false">
      <c r="A2928" s="0" t="s">
        <v>792</v>
      </c>
      <c r="B2928" s="0" t="s">
        <v>95</v>
      </c>
      <c r="D2928" s="6" t="n">
        <f aca="false">Sens!D2907</f>
        <v>22.171</v>
      </c>
      <c r="E2928" s="6" t="n">
        <f aca="false">Sens!E2907</f>
        <v>24.835</v>
      </c>
      <c r="F2928" s="6" t="n">
        <f aca="false">Sens!F2907</f>
        <v>27.6114901218559</v>
      </c>
      <c r="G2928" s="6" t="n">
        <f aca="false">Sens!G2907</f>
        <v>30.4675667338515</v>
      </c>
      <c r="H2928" s="6" t="n">
        <f aca="false">Sens!H2907</f>
        <v>33.3643766955789</v>
      </c>
      <c r="I2928" s="6" t="n">
        <f aca="false">Sens!I2907</f>
        <v>36.2577016533691</v>
      </c>
      <c r="J2928" s="6" t="n">
        <f aca="false">Sens!J2907</f>
        <v>39.0988367952171</v>
      </c>
      <c r="K2928" s="6" t="n">
        <f aca="false">Sens!K2907</f>
        <v>41.8357553708823</v>
      </c>
    </row>
    <row r="2929" customFormat="false" ht="15" hidden="false" customHeight="false" outlineLevel="0" collapsed="false">
      <c r="A2929" s="0" t="s">
        <v>793</v>
      </c>
      <c r="B2929" s="0" t="s">
        <v>95</v>
      </c>
      <c r="D2929" s="6" t="n">
        <f aca="false">Sens!D2909</f>
        <v>23.455</v>
      </c>
      <c r="E2929" s="6" t="n">
        <f aca="false">Sens!E2909</f>
        <v>21.79</v>
      </c>
      <c r="F2929" s="6" t="n">
        <f aca="false">Sens!F2909</f>
        <v>20.5736277908051</v>
      </c>
      <c r="G2929" s="6" t="n">
        <f aca="false">Sens!G2909</f>
        <v>19.7371452817919</v>
      </c>
      <c r="H2929" s="6" t="n">
        <f aca="false">Sens!H2909</f>
        <v>19.2339764043138</v>
      </c>
      <c r="I2929" s="6" t="n">
        <f aca="false">Sens!I2909</f>
        <v>19.0353086852681</v>
      </c>
      <c r="J2929" s="6" t="n">
        <f aca="false">Sens!J2909</f>
        <v>19.1273539319129</v>
      </c>
      <c r="K2929" s="6" t="n">
        <f aca="false">Sens!K2909</f>
        <v>19.5099010105511</v>
      </c>
    </row>
    <row r="2930" customFormat="false" ht="15" hidden="false" customHeight="false" outlineLevel="0" collapsed="false">
      <c r="A2930" s="0" t="s">
        <v>794</v>
      </c>
      <c r="B2930" s="0" t="s">
        <v>95</v>
      </c>
      <c r="D2930" s="6" t="n">
        <f aca="false">Sens!D2911</f>
        <v>17.315</v>
      </c>
      <c r="E2930" s="6" t="n">
        <f aca="false">Sens!E2911</f>
        <v>17.087</v>
      </c>
      <c r="F2930" s="6" t="n">
        <f aca="false">Sens!F2911</f>
        <v>16.9564585436519</v>
      </c>
      <c r="G2930" s="6" t="n">
        <f aca="false">Sens!G2911</f>
        <v>16.9206490624268</v>
      </c>
      <c r="H2930" s="6" t="n">
        <f aca="false">Sens!H2911</f>
        <v>16.9784519149849</v>
      </c>
      <c r="I2930" s="6" t="n">
        <f aca="false">Sens!I2911</f>
        <v>17.1303084701817</v>
      </c>
      <c r="J2930" s="6" t="n">
        <f aca="false">Sens!J2911</f>
        <v>17.3782189407267</v>
      </c>
      <c r="K2930" s="6" t="n">
        <f aca="false">Sens!K2911</f>
        <v>17.7257833195413</v>
      </c>
    </row>
    <row r="2931" customFormat="false" ht="15" hidden="false" customHeight="false" outlineLevel="0" collapsed="false">
      <c r="A2931" s="0" t="s">
        <v>640</v>
      </c>
      <c r="B2931" s="0" t="s">
        <v>95</v>
      </c>
      <c r="D2931" s="6" t="n">
        <f aca="false">Sens!D2913</f>
        <v>62.941</v>
      </c>
      <c r="E2931" s="6" t="n">
        <f aca="false">Sens!E2913</f>
        <v>63.712</v>
      </c>
      <c r="F2931" s="6" t="n">
        <f aca="false">Sens!F2913</f>
        <v>65.1415764563129</v>
      </c>
      <c r="G2931" s="6" t="n">
        <f aca="false">Sens!G2913</f>
        <v>67.1253610780702</v>
      </c>
      <c r="H2931" s="6" t="n">
        <f aca="false">Sens!H2913</f>
        <v>69.5768050148776</v>
      </c>
      <c r="I2931" s="6" t="n">
        <f aca="false">Sens!I2913</f>
        <v>72.4233188088189</v>
      </c>
      <c r="J2931" s="6" t="n">
        <f aca="false">Sens!J2913</f>
        <v>75.6044096678567</v>
      </c>
      <c r="K2931" s="6" t="n">
        <f aca="false">Sens!K2913</f>
        <v>79.0714397009747</v>
      </c>
    </row>
    <row r="2932" customFormat="false" ht="15" hidden="false" customHeight="false" outlineLevel="0" collapsed="false">
      <c r="A2932" s="1" t="s">
        <v>810</v>
      </c>
      <c r="B2932" s="0" t="s">
        <v>95</v>
      </c>
      <c r="D2932" s="6" t="n">
        <f aca="false">Sens!D2914</f>
        <v>281.724</v>
      </c>
      <c r="E2932" s="6" t="n">
        <f aca="false">Sens!E2914</f>
        <v>331.839</v>
      </c>
      <c r="F2932" s="6" t="n">
        <f aca="false">Sens!F2914</f>
        <v>402.885782464824</v>
      </c>
      <c r="G2932" s="6" t="n">
        <f aca="false">Sens!G2914</f>
        <v>485.541006878357</v>
      </c>
      <c r="H2932" s="6" t="n">
        <f aca="false">Sens!H2914</f>
        <v>570.20026529449</v>
      </c>
      <c r="I2932" s="6" t="n">
        <f aca="false">Sens!I2914</f>
        <v>653.102151865351</v>
      </c>
      <c r="J2932" s="6" t="n">
        <f aca="false">Sens!J2914</f>
        <v>732.771249065236</v>
      </c>
      <c r="K2932" s="6" t="n">
        <f aca="false">Sens!K2914</f>
        <v>809.255172216433</v>
      </c>
    </row>
    <row r="2933" customFormat="false" ht="15" hidden="false" customHeight="false" outlineLevel="0" collapsed="false">
      <c r="A2933" s="1" t="s">
        <v>811</v>
      </c>
      <c r="B2933" s="0" t="s">
        <v>126</v>
      </c>
      <c r="E2933" s="7" t="n">
        <f aca="false">Sens!E2932/Sens!D2932-1</f>
        <v>0.177886867998467</v>
      </c>
      <c r="F2933" s="7" t="n">
        <f aca="false">Sens!F2932/Sens!E2932-1</f>
        <v>0.214100158404601</v>
      </c>
      <c r="G2933" s="7" t="n">
        <f aca="false">Sens!G2932/Sens!F2932-1</f>
        <v>0.205157957939976</v>
      </c>
      <c r="H2933" s="7" t="n">
        <f aca="false">Sens!H2932/Sens!G2932-1</f>
        <v>0.174360676475968</v>
      </c>
      <c r="I2933" s="7" t="n">
        <f aca="false">Sens!I2932/Sens!H2932-1</f>
        <v>0.145390824271266</v>
      </c>
      <c r="J2933" s="7" t="n">
        <f aca="false">Sens!J2932/Sens!I2932-1</f>
        <v>0.121985660240651</v>
      </c>
      <c r="K2933" s="7" t="n">
        <f aca="false">Sens!K2932/Sens!J2932-1</f>
        <v>0.104376261007462</v>
      </c>
    </row>
    <row r="2934" customFormat="false" ht="17.15" hidden="false" customHeight="false" outlineLevel="0" collapsed="false">
      <c r="A2934" s="22" t="s">
        <v>812</v>
      </c>
      <c r="B2934" s="28" t="s">
        <v>95</v>
      </c>
      <c r="C2934" s="28"/>
      <c r="D2934" s="23" t="n">
        <f aca="false">(Sens!D2927+Sens!D2931-Sens!D2932)+(Sens!D2919+Sens!D2920-Sens!D2918)+(Sens!D2922+Sens!D2923-Sens!D2921)+(Sens!D2932-Q!L18)</f>
        <v>0</v>
      </c>
      <c r="E2934" s="23" t="n">
        <f aca="false">(Sens!E2927+Sens!E2931-Sens!E2932)+(Sens!E2919+Sens!E2920-Sens!E2918)+(Sens!E2922+Sens!E2923-Sens!E2921)+(Sens!E2932-Q!M18)</f>
        <v>0</v>
      </c>
      <c r="F2934" s="23" t="n">
        <f aca="false">(Sens!F2927+Sens!F2931-Sens!F2932)+(Sens!F2919+Sens!F2920-Sens!F2918)+(Sens!F2922+Sens!F2923-Sens!F2921)</f>
        <v>0</v>
      </c>
      <c r="G2934" s="23" t="n">
        <f aca="false">(Sens!G2927+Sens!G2931-Sens!G2932)+(Sens!G2919+Sens!G2920-Sens!G2918)+(Sens!G2922+Sens!G2923-Sens!G2921)</f>
        <v>0</v>
      </c>
      <c r="H2934" s="23" t="n">
        <f aca="false">(Sens!H2927+Sens!H2931-Sens!H2932)+(Sens!H2919+Sens!H2920-Sens!H2918)+(Sens!H2922+Sens!H2923-Sens!H2921)</f>
        <v>0</v>
      </c>
      <c r="I2934" s="23" t="n">
        <f aca="false">(Sens!I2927+Sens!I2931-Sens!I2932)+(Sens!I2919+Sens!I2920-Sens!I2918)+(Sens!I2922+Sens!I2923-Sens!I2921)</f>
        <v>0</v>
      </c>
      <c r="J2934" s="23" t="n">
        <f aca="false">(Sens!J2927+Sens!J2931-Sens!J2932)+(Sens!J2919+Sens!J2920-Sens!J2918)+(Sens!J2922+Sens!J2923-Sens!J2921)</f>
        <v>0</v>
      </c>
      <c r="K2934" s="23" t="n">
        <f aca="false">(Sens!K2927+Sens!K2931-Sens!K2932)+(Sens!K2919+Sens!K2920-Sens!K2918)+(Sens!K2922+Sens!K2923-Sens!K2921)</f>
        <v>0</v>
      </c>
    </row>
    <row r="2935" customFormat="false" ht="17.15" hidden="false" customHeight="false" outlineLevel="0" collapsed="false">
      <c r="A2935" s="0" t="s">
        <v>813</v>
      </c>
      <c r="B2935" s="0" t="s">
        <v>126</v>
      </c>
      <c r="E2935" s="7" t="n">
        <f aca="false">(Q!M21+Sens!E2872+Sens!E2873+Sens!E2874+Sens!E2887-Sens!E2870)/(Q!M5-Sens!E2870)</f>
        <v>0.570957350878296</v>
      </c>
      <c r="F2935" s="7" t="n">
        <f aca="false">Sens!$E$2935+dm_seg</f>
        <v>0.570957350878296</v>
      </c>
      <c r="G2935" s="7" t="n">
        <f aca="false">Sens!$E$2935+dm_seg</f>
        <v>0.570957350878296</v>
      </c>
      <c r="H2935" s="7" t="n">
        <f aca="false">Sens!$E$2935+dm_seg</f>
        <v>0.570957350878296</v>
      </c>
      <c r="I2935" s="7" t="n">
        <f aca="false">Sens!$E$2935+dm_seg</f>
        <v>0.570957350878296</v>
      </c>
      <c r="J2935" s="7" t="n">
        <f aca="false">Sens!$E$2935+dm_seg</f>
        <v>0.570957350878296</v>
      </c>
      <c r="K2935" s="7" t="n">
        <f aca="false">Sens!$E$2935+dm_seg</f>
        <v>0.570957350878296</v>
      </c>
      <c r="L2935" s="11" t="s">
        <v>814</v>
      </c>
    </row>
    <row r="2936" customFormat="false" ht="17.15" hidden="false" customHeight="false" outlineLevel="0" collapsed="false">
      <c r="A2936" s="0" t="s">
        <v>654</v>
      </c>
      <c r="B2936" s="0" t="s">
        <v>95</v>
      </c>
      <c r="D2936" s="6" t="n">
        <f aca="false">Q!L21</f>
        <v>110.814</v>
      </c>
      <c r="E2936" s="6" t="n">
        <f aca="false">Q!M21</f>
        <v>136.365</v>
      </c>
      <c r="F2936" s="6" t="n">
        <f aca="false">Sens!F2935*(Sens!F2906-Sens!F2870)+Sens!F2870-(Sens!F2872+Sens!F2873+Sens!F2874)-Sens!F2887</f>
        <v>158.122332500229</v>
      </c>
      <c r="G2936" s="6" t="n">
        <f aca="false">Sens!G2935*(Sens!G2906-Sens!G2870)+Sens!G2870-(Sens!G2872+Sens!G2873+Sens!G2874)-Sens!G2887</f>
        <v>177.81981963313</v>
      </c>
      <c r="H2936" s="6" t="n">
        <f aca="false">Sens!H2935*(Sens!H2906-Sens!H2870)+Sens!H2870-(Sens!H2872+Sens!H2873+Sens!H2874)-Sens!H2887</f>
        <v>196.851508653427</v>
      </c>
      <c r="I2936" s="6" t="n">
        <f aca="false">Sens!I2935*(Sens!I2906-Sens!I2870)+Sens!I2870-(Sens!I2872+Sens!I2873+Sens!I2874)-Sens!I2887</f>
        <v>213.610955155875</v>
      </c>
      <c r="J2936" s="6" t="n">
        <f aca="false">Sens!J2935*(Sens!J2906-Sens!J2870)+Sens!J2870-(Sens!J2872+Sens!J2873+Sens!J2874)-Sens!J2887</f>
        <v>227.387206008006</v>
      </c>
      <c r="K2936" s="6" t="n">
        <f aca="false">Sens!K2935*(Sens!K2906-Sens!K2870)+Sens!K2870-(Sens!K2872+Sens!K2873+Sens!K2874)-Sens!K2887</f>
        <v>237.908933875623</v>
      </c>
      <c r="L2936" s="1" t="s">
        <v>815</v>
      </c>
    </row>
    <row r="2937" customFormat="false" ht="17.15" hidden="false" customHeight="false" outlineLevel="0" collapsed="false">
      <c r="A2937" s="0" t="s">
        <v>816</v>
      </c>
      <c r="B2937" s="0" t="s">
        <v>126</v>
      </c>
      <c r="E2937" s="7" t="n">
        <f aca="false">Q!M22/Q!M12</f>
        <v>0.296207935710698</v>
      </c>
      <c r="F2937" s="7" t="n">
        <f aca="false">Sens!$E$2937+dm_seg</f>
        <v>0.296207935710698</v>
      </c>
      <c r="G2937" s="7" t="n">
        <f aca="false">Sens!$E$2937+dm_seg</f>
        <v>0.296207935710698</v>
      </c>
      <c r="H2937" s="7" t="n">
        <f aca="false">Sens!$E$2937+dm_seg</f>
        <v>0.296207935710698</v>
      </c>
      <c r="I2937" s="7" t="n">
        <f aca="false">Sens!$E$2937+dm_seg</f>
        <v>0.296207935710698</v>
      </c>
      <c r="J2937" s="7" t="n">
        <f aca="false">Sens!$E$2937+dm_seg</f>
        <v>0.296207935710698</v>
      </c>
      <c r="K2937" s="7" t="n">
        <f aca="false">Sens!$E$2937+dm_seg</f>
        <v>0.296207935710698</v>
      </c>
      <c r="L2937" s="11" t="s">
        <v>817</v>
      </c>
    </row>
    <row r="2938" customFormat="false" ht="17.15" hidden="false" customHeight="false" outlineLevel="0" collapsed="false">
      <c r="A2938" s="0" t="s">
        <v>656</v>
      </c>
      <c r="B2938" s="0" t="s">
        <v>95</v>
      </c>
      <c r="D2938" s="6" t="n">
        <f aca="false">Q!L22</f>
        <v>17.714</v>
      </c>
      <c r="E2938" s="6" t="n">
        <f aca="false">Q!M22</f>
        <v>18.872</v>
      </c>
      <c r="F2938" s="6" t="n">
        <f aca="false">Sens!F2913*Sens!F2937</f>
        <v>19.2954518910651</v>
      </c>
      <c r="G2938" s="6" t="n">
        <f aca="false">Sens!G2913*Sens!G2937</f>
        <v>19.8830646387704</v>
      </c>
      <c r="H2938" s="6" t="n">
        <f aca="false">Sens!H2913*Sens!H2937</f>
        <v>20.6092017868026</v>
      </c>
      <c r="I2938" s="6" t="n">
        <f aca="false">Sens!I2913*Sens!I2937</f>
        <v>21.452361761678</v>
      </c>
      <c r="J2938" s="6" t="n">
        <f aca="false">Sens!J2913*Sens!J2937</f>
        <v>22.3946261183418</v>
      </c>
      <c r="K2938" s="6" t="n">
        <f aca="false">Sens!K2913*Sens!K2937</f>
        <v>23.4215879274986</v>
      </c>
    </row>
    <row r="2939" customFormat="false" ht="15" hidden="false" customHeight="false" outlineLevel="0" collapsed="false">
      <c r="A2939" s="1" t="s">
        <v>818</v>
      </c>
      <c r="B2939" s="0" t="s">
        <v>95</v>
      </c>
      <c r="D2939" s="6" t="n">
        <f aca="false">Sens!D2936+Sens!D2938</f>
        <v>128.528</v>
      </c>
      <c r="E2939" s="6" t="n">
        <f aca="false">Sens!E2936+Sens!E2938</f>
        <v>155.237</v>
      </c>
      <c r="F2939" s="6" t="n">
        <f aca="false">Sens!F2936+Sens!F2938</f>
        <v>177.417784391294</v>
      </c>
      <c r="G2939" s="6" t="n">
        <f aca="false">Sens!G2936+Sens!G2938</f>
        <v>197.7028842719</v>
      </c>
      <c r="H2939" s="6" t="n">
        <f aca="false">Sens!H2936+Sens!H2938</f>
        <v>217.46071044023</v>
      </c>
      <c r="I2939" s="6" t="n">
        <f aca="false">Sens!I2936+Sens!I2938</f>
        <v>235.063316917553</v>
      </c>
      <c r="J2939" s="6" t="n">
        <f aca="false">Sens!J2936+Sens!J2938</f>
        <v>249.781832126348</v>
      </c>
      <c r="K2939" s="6" t="n">
        <f aca="false">Sens!K2936+Sens!K2938</f>
        <v>261.330521803122</v>
      </c>
    </row>
    <row r="2940" customFormat="false" ht="15" hidden="false" customHeight="false" outlineLevel="0" collapsed="false">
      <c r="A2940" s="22" t="s">
        <v>819</v>
      </c>
      <c r="B2940" s="28" t="s">
        <v>95</v>
      </c>
      <c r="C2940" s="28"/>
      <c r="D2940" s="23" t="n">
        <f aca="false">Sens!D2939-Q!L23</f>
        <v>0</v>
      </c>
      <c r="E2940" s="23" t="n">
        <f aca="false">Sens!E2939-Q!M23</f>
        <v>0</v>
      </c>
      <c r="F2940" s="28"/>
      <c r="G2940" s="28"/>
      <c r="H2940" s="28"/>
      <c r="I2940" s="28"/>
      <c r="J2940" s="28"/>
      <c r="K2940" s="28"/>
    </row>
    <row r="2941" customFormat="false" ht="15" hidden="false" customHeight="false" outlineLevel="0" collapsed="false">
      <c r="A2941" s="1" t="s">
        <v>820</v>
      </c>
      <c r="B2941" s="0" t="s">
        <v>126</v>
      </c>
      <c r="D2941" s="7" t="n">
        <f aca="false">Sens!D2939/Sens!D2932</f>
        <v>0.456219562408598</v>
      </c>
      <c r="E2941" s="7" t="n">
        <f aca="false">Sens!E2939/Sens!E2932</f>
        <v>0.467808184089272</v>
      </c>
      <c r="F2941" s="7" t="n">
        <f aca="false">Sens!F2939/Sens!F2932</f>
        <v>0.440367449319918</v>
      </c>
      <c r="G2941" s="7" t="n">
        <f aca="false">Sens!G2939/Sens!G2932</f>
        <v>0.40718061187658</v>
      </c>
      <c r="H2941" s="7" t="n">
        <f aca="false">Sens!H2939/Sens!H2932</f>
        <v>0.381376024663753</v>
      </c>
      <c r="I2941" s="7" t="n">
        <f aca="false">Sens!I2939/Sens!I2932</f>
        <v>0.3599181479439</v>
      </c>
      <c r="J2941" s="7" t="n">
        <f aca="false">Sens!J2939/Sens!J2932</f>
        <v>0.34087286099855</v>
      </c>
      <c r="K2941" s="7" t="n">
        <f aca="false">Sens!K2939/Sens!K2932</f>
        <v>0.322927218478413</v>
      </c>
    </row>
    <row r="2942" customFormat="false" ht="17.15" hidden="false" customHeight="false" outlineLevel="0" collapsed="false">
      <c r="A2942" s="1" t="s">
        <v>821</v>
      </c>
      <c r="B2942" s="0" t="s">
        <v>95</v>
      </c>
      <c r="E2942" s="6" t="n">
        <f aca="false">Sens!E2887</f>
        <v>16.3054059770833</v>
      </c>
      <c r="F2942" s="6" t="n">
        <f aca="false">Sens!F2887</f>
        <v>36.5856912614356</v>
      </c>
      <c r="G2942" s="6" t="n">
        <f aca="false">Sens!G2887</f>
        <v>66.8830522661911</v>
      </c>
      <c r="H2942" s="6" t="n">
        <f aca="false">Sens!H2887</f>
        <v>99.5657515455511</v>
      </c>
      <c r="I2942" s="6" t="n">
        <f aca="false">Sens!I2887</f>
        <v>133.342835597214</v>
      </c>
      <c r="J2942" s="6" t="n">
        <f aca="false">Sens!J2887</f>
        <v>168.092150118044</v>
      </c>
      <c r="K2942" s="6" t="n">
        <f aca="false">Sens!K2887</f>
        <v>204.129013098041</v>
      </c>
    </row>
    <row r="2943" customFormat="false" ht="17.15" hidden="false" customHeight="false" outlineLevel="0" collapsed="false">
      <c r="A2943" s="1" t="s">
        <v>822</v>
      </c>
      <c r="B2943" s="0" t="s">
        <v>95</v>
      </c>
      <c r="E2943" s="6" t="n">
        <f aca="false">Sens!E2963</f>
        <v>22.2285940229167</v>
      </c>
      <c r="F2943" s="6" t="n">
        <f aca="false">Sens!F2963</f>
        <v>23.5636693435813</v>
      </c>
      <c r="G2943" s="6" t="n">
        <f aca="false">Sens!G2963</f>
        <v>25.3225917662621</v>
      </c>
      <c r="H2943" s="6" t="n">
        <f aca="false">Sens!H2963</f>
        <v>27.4714839540448</v>
      </c>
      <c r="I2943" s="6" t="n">
        <f aca="false">Sens!I2963</f>
        <v>29.9441755898047</v>
      </c>
      <c r="J2943" s="6" t="n">
        <f aca="false">Sens!J2963</f>
        <v>32.6578493558616</v>
      </c>
      <c r="K2943" s="6" t="n">
        <f aca="false">Sens!K2963</f>
        <v>35.5289346944749</v>
      </c>
    </row>
    <row r="2944" customFormat="false" ht="17.15" hidden="false" customHeight="false" outlineLevel="0" collapsed="false">
      <c r="A2944" s="1" t="s">
        <v>823</v>
      </c>
      <c r="B2944" s="0" t="s">
        <v>95</v>
      </c>
      <c r="D2944" s="6" t="n">
        <f aca="false">Q!L27</f>
        <v>-4.901</v>
      </c>
      <c r="E2944" s="6" t="n">
        <f aca="false">Q!M27</f>
        <v>10.697</v>
      </c>
      <c r="F2944" s="6" t="n">
        <f aca="false">oie_f</f>
        <v>-0.4</v>
      </c>
      <c r="G2944" s="6" t="n">
        <f aca="false">oie_f</f>
        <v>-0.4</v>
      </c>
      <c r="H2944" s="6" t="n">
        <f aca="false">oie_f</f>
        <v>-0.4</v>
      </c>
      <c r="I2944" s="6" t="n">
        <f aca="false">oie_f</f>
        <v>-0.4</v>
      </c>
      <c r="J2944" s="6" t="n">
        <f aca="false">oie_f</f>
        <v>-0.4</v>
      </c>
      <c r="K2944" s="6" t="n">
        <f aca="false">oie_f</f>
        <v>-0.4</v>
      </c>
      <c r="L2944" s="11" t="s">
        <v>824</v>
      </c>
    </row>
    <row r="2945" customFormat="false" ht="15" hidden="false" customHeight="false" outlineLevel="0" collapsed="false">
      <c r="A2945" s="1" t="s">
        <v>666</v>
      </c>
      <c r="B2945" s="0" t="s">
        <v>95</v>
      </c>
      <c r="D2945" s="6" t="n">
        <f aca="false">Sens!D2939+Sens!D2944</f>
        <v>123.627</v>
      </c>
      <c r="E2945" s="6" t="n">
        <f aca="false">Sens!E2939+Sens!E2944</f>
        <v>165.934</v>
      </c>
      <c r="F2945" s="6" t="n">
        <f aca="false">Sens!F2939+Sens!F2944</f>
        <v>177.017784391294</v>
      </c>
      <c r="G2945" s="6" t="n">
        <f aca="false">Sens!G2939+Sens!G2944</f>
        <v>197.3028842719</v>
      </c>
      <c r="H2945" s="6" t="n">
        <f aca="false">Sens!H2939+Sens!H2944</f>
        <v>217.06071044023</v>
      </c>
      <c r="I2945" s="6" t="n">
        <f aca="false">Sens!I2939+Sens!I2944</f>
        <v>234.663316917553</v>
      </c>
      <c r="J2945" s="6" t="n">
        <f aca="false">Sens!J2939+Sens!J2944</f>
        <v>249.381832126348</v>
      </c>
      <c r="K2945" s="6" t="n">
        <f aca="false">Sens!K2939+Sens!K2944</f>
        <v>260.930521803122</v>
      </c>
    </row>
    <row r="2946" customFormat="false" ht="15" hidden="false" customHeight="false" outlineLevel="0" collapsed="false">
      <c r="A2946" s="1" t="s">
        <v>668</v>
      </c>
      <c r="B2946" s="0" t="s">
        <v>95</v>
      </c>
      <c r="D2946" s="6" t="n">
        <f aca="false">Q!L29</f>
        <v>21.795</v>
      </c>
      <c r="E2946" s="6" t="n">
        <f aca="false">Q!M29</f>
        <v>32.185</v>
      </c>
      <c r="F2946" s="6" t="n">
        <f aca="false">Sens!F2945*tax_f</f>
        <v>35.4035568782588</v>
      </c>
      <c r="G2946" s="6" t="n">
        <f aca="false">Sens!G2945*tax_f</f>
        <v>39.46057685438</v>
      </c>
      <c r="H2946" s="6" t="n">
        <f aca="false">Sens!H2945*tax_f</f>
        <v>43.412142088046</v>
      </c>
      <c r="I2946" s="6" t="n">
        <f aca="false">Sens!I2945*tax_f</f>
        <v>46.9326633835106</v>
      </c>
      <c r="J2946" s="6" t="n">
        <f aca="false">Sens!J2945*tax_f</f>
        <v>49.8763664252695</v>
      </c>
      <c r="K2946" s="6" t="n">
        <f aca="false">Sens!K2945*tax_f</f>
        <v>52.1861043606243</v>
      </c>
    </row>
    <row r="2947" customFormat="false" ht="15" hidden="false" customHeight="false" outlineLevel="0" collapsed="false">
      <c r="A2947" s="1" t="s">
        <v>825</v>
      </c>
      <c r="B2947" s="0" t="s">
        <v>95</v>
      </c>
      <c r="D2947" s="6" t="n">
        <f aca="false">Sens!D2945-Sens!D2946</f>
        <v>101.832</v>
      </c>
      <c r="E2947" s="6" t="n">
        <f aca="false">Sens!E2945-Sens!E2946</f>
        <v>133.749</v>
      </c>
      <c r="F2947" s="6" t="n">
        <f aca="false">Sens!F2945-Sens!F2946</f>
        <v>141.614227513035</v>
      </c>
      <c r="G2947" s="6" t="n">
        <f aca="false">Sens!G2945-Sens!G2946</f>
        <v>157.84230741752</v>
      </c>
      <c r="H2947" s="6" t="n">
        <f aca="false">Sens!H2945-Sens!H2946</f>
        <v>173.648568352184</v>
      </c>
      <c r="I2947" s="6" t="n">
        <f aca="false">Sens!I2945-Sens!I2946</f>
        <v>187.730653534042</v>
      </c>
      <c r="J2947" s="6" t="n">
        <f aca="false">Sens!J2945-Sens!J2946</f>
        <v>199.505465701078</v>
      </c>
      <c r="K2947" s="6" t="n">
        <f aca="false">Sens!K2945-Sens!K2946</f>
        <v>208.744417442497</v>
      </c>
    </row>
    <row r="2948" customFormat="false" ht="17.15" hidden="false" customHeight="false" outlineLevel="0" collapsed="false">
      <c r="A2948" s="1" t="s">
        <v>826</v>
      </c>
      <c r="B2948" s="1" t="s">
        <v>79</v>
      </c>
      <c r="D2948" s="18" t="n">
        <f aca="false">Q!L31</f>
        <v>7.465</v>
      </c>
      <c r="E2948" s="18" t="n">
        <f aca="false">Q!M31</f>
        <v>7.453</v>
      </c>
      <c r="F2948" s="18" t="n">
        <f aca="false">Sens!F2985</f>
        <v>7.4735</v>
      </c>
      <c r="G2948" s="18" t="n">
        <f aca="false">Sens!G2985</f>
        <v>7.5185</v>
      </c>
      <c r="H2948" s="18" t="n">
        <f aca="false">Sens!H2985</f>
        <v>7.55600476918945</v>
      </c>
      <c r="I2948" s="18" t="n">
        <f aca="false">Sens!I2985</f>
        <v>7.57753878453626</v>
      </c>
      <c r="J2948" s="18" t="n">
        <f aca="false">Sens!J2985</f>
        <v>7.59178029565414</v>
      </c>
      <c r="K2948" s="18" t="n">
        <f aca="false">Sens!K2985</f>
        <v>7.60830021335588</v>
      </c>
    </row>
    <row r="2949" customFormat="false" ht="17.15" hidden="false" customHeight="false" outlineLevel="0" collapsed="false">
      <c r="A2949" s="0" t="s">
        <v>827</v>
      </c>
      <c r="B2949" s="0" t="s">
        <v>73</v>
      </c>
      <c r="D2949" s="8" t="n">
        <f aca="false">Sens!D2947/Sens!D2948</f>
        <v>13.641259209645</v>
      </c>
      <c r="E2949" s="8" t="n">
        <f aca="false">Sens!E2947/Sens!E2948</f>
        <v>17.9456594659869</v>
      </c>
      <c r="F2949" s="8" t="n">
        <f aca="false">Sens!F2947/Sens!F2948</f>
        <v>18.948849603671</v>
      </c>
      <c r="G2949" s="8" t="n">
        <f aca="false">Sens!G2947/Sens!G2948</f>
        <v>20.9938561438479</v>
      </c>
      <c r="H2949" s="8" t="n">
        <f aca="false">Sens!H2947/Sens!H2948</f>
        <v>22.9815323913317</v>
      </c>
      <c r="I2949" s="8" t="n">
        <f aca="false">Sens!I2947/Sens!I2948</f>
        <v>24.7746212684719</v>
      </c>
      <c r="J2949" s="8" t="n">
        <f aca="false">Sens!J2947/Sens!J2948</f>
        <v>26.2791411146716</v>
      </c>
      <c r="K2949" s="8" t="n">
        <f aca="false">Sens!K2947/Sens!K2948</f>
        <v>27.436406501949</v>
      </c>
      <c r="L2949" s="1" t="s">
        <v>828</v>
      </c>
    </row>
    <row r="2950" customFormat="false" ht="17.15" hidden="false" customHeight="false" outlineLevel="0" collapsed="false">
      <c r="A2950" s="0" t="s">
        <v>829</v>
      </c>
      <c r="B2950" s="0" t="s">
        <v>126</v>
      </c>
      <c r="E2950" s="7" t="n">
        <f aca="false">Sens!E2949/Sens!D2949-1</f>
        <v>0.315542736208578</v>
      </c>
      <c r="F2950" s="7" t="n">
        <f aca="false">Sens!F2949/Sens!E2949-1</f>
        <v>0.0559015476464118</v>
      </c>
      <c r="G2950" s="7" t="n">
        <f aca="false">Sens!G2949/Sens!F2949-1</f>
        <v>0.10792246405189</v>
      </c>
      <c r="H2950" s="7" t="n">
        <f aca="false">Sens!H2949/Sens!G2949-1</f>
        <v>0.0946789495871778</v>
      </c>
      <c r="I2950" s="7" t="n">
        <f aca="false">Sens!I2949/Sens!H2949-1</f>
        <v>0.0780230337388865</v>
      </c>
      <c r="J2950" s="7" t="n">
        <f aca="false">Sens!J2949/Sens!I2949-1</f>
        <v>0.0607282682506365</v>
      </c>
      <c r="K2950" s="7" t="n">
        <f aca="false">Sens!K2949/Sens!J2949-1</f>
        <v>0.0440374128753911</v>
      </c>
    </row>
    <row r="2951" customFormat="false" ht="17.15" hidden="false" customHeight="false" outlineLevel="0" collapsed="false">
      <c r="A2951" s="0" t="s">
        <v>763</v>
      </c>
      <c r="B2951" s="0" t="s">
        <v>95</v>
      </c>
      <c r="E2951" s="6" t="n">
        <f aca="false">Sens!E2896</f>
        <v>5.25</v>
      </c>
      <c r="F2951" s="6" t="n">
        <f aca="false">Sens!F2896</f>
        <v>12</v>
      </c>
      <c r="G2951" s="6" t="n">
        <f aca="false">Sens!G2896</f>
        <v>18</v>
      </c>
      <c r="H2951" s="6" t="n">
        <f aca="false">Sens!H2896</f>
        <v>24</v>
      </c>
      <c r="I2951" s="6" t="n">
        <f aca="false">Sens!I2896</f>
        <v>28.5</v>
      </c>
      <c r="J2951" s="6" t="n">
        <f aca="false">Sens!J2896</f>
        <v>31.5</v>
      </c>
      <c r="K2951" s="6" t="n">
        <f aca="false">Sens!K2896</f>
        <v>34.5</v>
      </c>
    </row>
    <row r="2952" customFormat="false" ht="17.15" hidden="false" customHeight="false" outlineLevel="0" collapsed="false">
      <c r="A2952" s="0" t="s">
        <v>764</v>
      </c>
      <c r="B2952" s="0" t="s">
        <v>95</v>
      </c>
      <c r="E2952" s="6" t="n">
        <f aca="false">Sens!E2876+Sens!E2951*Sens!E2935-Sens!E2877-Sens!E2887</f>
        <v>2.1514866143068</v>
      </c>
      <c r="F2952" s="6" t="n">
        <f aca="false">Sens!F2876+Sens!F2951*Sens!F2935-Sens!F2877-Sens!F2887</f>
        <v>5.56165953313686</v>
      </c>
      <c r="G2952" s="6" t="n">
        <f aca="false">Sens!G2876+Sens!G2951*Sens!G2935-Sens!G2877-Sens!G2887</f>
        <v>6.17771770559412</v>
      </c>
      <c r="H2952" s="6" t="n">
        <f aca="false">Sens!H2876+Sens!H2951*Sens!H2935-Sens!H2877-Sens!H2887</f>
        <v>5.94582897459007</v>
      </c>
      <c r="I2952" s="6" t="n">
        <f aca="false">Sens!I2876+Sens!I2951*Sens!I2935-Sens!I2877-Sens!I2887</f>
        <v>3.92969008169584</v>
      </c>
      <c r="J2952" s="6" t="n">
        <f aca="false">Sens!J2876+Sens!J2951*Sens!J2935-Sens!J2877-Sens!J2887</f>
        <v>0.169153159467925</v>
      </c>
      <c r="K2952" s="6" t="n">
        <f aca="false">Sens!K2876+Sens!K2951*Sens!K2935-Sens!K2877-Sens!K2887</f>
        <v>-4.83041277579872</v>
      </c>
    </row>
    <row r="2953" customFormat="false" ht="17.15" hidden="false" customHeight="false" outlineLevel="0" collapsed="false">
      <c r="A2953" s="0" t="s">
        <v>765</v>
      </c>
      <c r="B2953" s="0" t="s">
        <v>95</v>
      </c>
      <c r="E2953" s="6" t="n">
        <f aca="false">Sens!E2859*(cxit_open+self_build*tk_cxfac)/1000*ai_net_open</f>
        <v>126.6980382</v>
      </c>
      <c r="F2953" s="6" t="n">
        <f aca="false">Sens!E2953+Sens!F2884-Sens!F2887</f>
        <v>285.357616735791</v>
      </c>
      <c r="G2953" s="6" t="n">
        <f aca="false">Sens!F2953+Sens!G2884-Sens!G2887</f>
        <v>438.76358104944</v>
      </c>
      <c r="H2953" s="6" t="n">
        <f aca="false">Sens!G2953+Sens!H2884-Sens!H2887</f>
        <v>564.894172596369</v>
      </c>
      <c r="I2953" s="6" t="n">
        <f aca="false">Sens!H2953+Sens!I2884-Sens!I2887</f>
        <v>687.506355438301</v>
      </c>
      <c r="J2953" s="6" t="n">
        <f aca="false">Sens!I2953+Sens!J2884-Sens!J2887</f>
        <v>790.80732342607</v>
      </c>
      <c r="K2953" s="6" t="n">
        <f aca="false">Sens!J2953+Sens!K2884-Sens!K2887</f>
        <v>903.150679460509</v>
      </c>
      <c r="L2953" s="1" t="s">
        <v>766</v>
      </c>
    </row>
    <row r="2954" customFormat="false" ht="17.15" hidden="false" customHeight="false" outlineLevel="0" collapsed="false">
      <c r="A2954" s="0" t="s">
        <v>767</v>
      </c>
      <c r="B2954" s="0" t="s">
        <v>126</v>
      </c>
      <c r="F2954" s="7" t="n">
        <f aca="false">Sens!F2952*(1-tax_f)/((Sens!E2953+Sens!F2953)/2)</f>
        <v>0.0215957605396912</v>
      </c>
      <c r="G2954" s="7" t="n">
        <f aca="false">Sens!G2952*(1-tax_f)/((Sens!F2953+Sens!G2953)/2)</f>
        <v>0.0136501297837744</v>
      </c>
      <c r="H2954" s="7" t="n">
        <f aca="false">Sens!H2952*(1-tax_f)/((Sens!G2953+Sens!H2953)/2)</f>
        <v>0.00947865577163804</v>
      </c>
      <c r="I2954" s="7" t="n">
        <f aca="false">Sens!I2952*(1-tax_f)/((Sens!H2953+Sens!I2953)/2)</f>
        <v>0.00502036208862033</v>
      </c>
      <c r="J2954" s="7" t="n">
        <f aca="false">Sens!J2952*(1-tax_f)/((Sens!I2953+Sens!J2953)/2)</f>
        <v>0.000183076879432373</v>
      </c>
      <c r="K2954" s="7" t="n">
        <f aca="false">Sens!K2952*(1-tax_f)/((Sens!J2953+Sens!K2953)/2)</f>
        <v>-0.00456248645368302</v>
      </c>
    </row>
    <row r="2955" customFormat="false" ht="17.15" hidden="false" customHeight="false" outlineLevel="0" collapsed="false">
      <c r="A2955" s="1" t="s">
        <v>768</v>
      </c>
      <c r="B2955" s="0" t="s">
        <v>126</v>
      </c>
      <c r="F2955" s="7" t="n">
        <f aca="false">Sens!F2888*(1-tax_f)/(Sens!F2875*(Sens!E2953+Sens!F2953)/2)</f>
        <v>0.131510445464848</v>
      </c>
      <c r="G2955" s="7" t="n">
        <f aca="false">Sens!G2888*(1-tax_f)/(Sens!G2875*(Sens!F2953+Sens!G2953)/2)</f>
        <v>0.128043320055758</v>
      </c>
      <c r="H2955" s="7" t="n">
        <f aca="false">Sens!H2888*(1-tax_f)/(Sens!H2875*(Sens!G2953+Sens!H2953)/2)</f>
        <v>0.131684978223049</v>
      </c>
      <c r="I2955" s="7" t="n">
        <f aca="false">Sens!I2888*(1-tax_f)/(Sens!I2875*(Sens!H2953+Sens!I2953)/2)</f>
        <v>0.136015310751145</v>
      </c>
      <c r="J2955" s="7" t="n">
        <f aca="false">Sens!J2888*(1-tax_f)/(Sens!J2875*(Sens!I2953+Sens!J2953)/2)</f>
        <v>0.140168523215045</v>
      </c>
      <c r="K2955" s="7" t="n">
        <f aca="false">Sens!K2888*(1-tax_f)/(Sens!K2875*(Sens!J2953+Sens!K2953)/2)</f>
        <v>0.142955631889994</v>
      </c>
    </row>
    <row r="2956" customFormat="false" ht="17.15" hidden="false" customHeight="false" outlineLevel="0" collapsed="false">
      <c r="A2956" s="0" t="s">
        <v>769</v>
      </c>
      <c r="B2956" s="0" t="s">
        <v>208</v>
      </c>
      <c r="F2956" s="7" t="n">
        <f aca="false">Sens!F2954-wacc</f>
        <v>-0.0873674606105628</v>
      </c>
      <c r="G2956" s="7" t="n">
        <f aca="false">Sens!G2954-wacc</f>
        <v>-0.0953130913664796</v>
      </c>
      <c r="H2956" s="7" t="n">
        <f aca="false">Sens!H2954-wacc</f>
        <v>-0.0994845653786159</v>
      </c>
      <c r="I2956" s="7" t="n">
        <f aca="false">Sens!I2954-wacc</f>
        <v>-0.103942859061634</v>
      </c>
      <c r="J2956" s="7" t="n">
        <f aca="false">Sens!J2954-wacc</f>
        <v>-0.108780144270822</v>
      </c>
      <c r="K2956" s="7" t="n">
        <f aca="false">Sens!K2954-wacc</f>
        <v>-0.113525707603937</v>
      </c>
    </row>
    <row r="2957" customFormat="false" ht="17.15" hidden="false" customHeight="false" outlineLevel="0" collapsed="false">
      <c r="A2957" s="0" t="s">
        <v>770</v>
      </c>
      <c r="B2957" s="0" t="s">
        <v>95</v>
      </c>
      <c r="F2957" s="6" t="n">
        <f aca="false">Sens!F2952*(1-tax_f)-wacc*(Sens!E2953+Sens!F2953)/2</f>
        <v>-18.0001281009812</v>
      </c>
      <c r="G2957" s="6" t="n">
        <f aca="false">Sens!G2952*(1-tax_f)-wacc*(Sens!F2953+Sens!G2953)/2</f>
        <v>-34.5091149424542</v>
      </c>
      <c r="H2957" s="6" t="n">
        <f aca="false">Sens!H2952*(1-tax_f)-wacc*(Sens!G2953+Sens!H2953)/2</f>
        <v>-49.9242277051656</v>
      </c>
      <c r="I2957" s="6" t="n">
        <f aca="false">Sens!I2952*(1-tax_f)-wacc*(Sens!H2953+Sens!I2953)/2</f>
        <v>-65.0890457871116</v>
      </c>
      <c r="J2957" s="6" t="n">
        <f aca="false">Sens!J2952*(1-tax_f)-wacc*(Sens!I2953+Sens!J2953)/2</f>
        <v>-80.4055876321977</v>
      </c>
      <c r="K2957" s="6" t="n">
        <f aca="false">Sens!K2952*(1-tax_f)-wacc*(Sens!J2953+Sens!K2953)/2</f>
        <v>-96.1538904645254</v>
      </c>
    </row>
    <row r="2958" customFormat="false" ht="17.15" hidden="false" customHeight="false" outlineLevel="0" collapsed="false">
      <c r="A2958" s="1" t="s">
        <v>771</v>
      </c>
      <c r="B2958" s="0" t="s">
        <v>95</v>
      </c>
      <c r="F2958" s="6" t="n">
        <f aca="false">(Sens!E2860+Sens!F2860)/2*Sens!F2867/1000</f>
        <v>28.7350155556383</v>
      </c>
      <c r="G2958" s="6" t="n">
        <f aca="false">(Sens!F2860+Sens!G2860)/2*Sens!G2867/1000</f>
        <v>51.2569478617304</v>
      </c>
      <c r="H2958" s="6" t="n">
        <f aca="false">(Sens!G2860+Sens!H2860)/2*Sens!H2867/1000</f>
        <v>75.2660535183367</v>
      </c>
      <c r="I2958" s="6" t="n">
        <f aca="false">(Sens!H2860+Sens!I2860)/2*Sens!I2867/1000</f>
        <v>99.4475428287307</v>
      </c>
      <c r="J2958" s="6" t="n">
        <f aca="false">(Sens!I2860+Sens!J2860)/2*Sens!J2867/1000</f>
        <v>123.716241423902</v>
      </c>
      <c r="K2958" s="6" t="n">
        <f aca="false">(Sens!J2860+Sens!K2860)/2*Sens!K2867/1000</f>
        <v>148.03515270702</v>
      </c>
      <c r="L2958" s="1" t="s">
        <v>772</v>
      </c>
    </row>
    <row r="2959" customFormat="false" ht="17.15" hidden="false" customHeight="false" outlineLevel="0" collapsed="false">
      <c r="A2959" s="1" t="s">
        <v>773</v>
      </c>
      <c r="B2959" s="0" t="s">
        <v>126</v>
      </c>
      <c r="F2959" s="7" t="n">
        <f aca="false">(Sens!F2876+Sens!F2958-Sens!F2877-Sens!F2887)*(1-tax_f)/((Sens!E2953+Sens!F2953)/2)</f>
        <v>0.10656885418068</v>
      </c>
      <c r="G2959" s="7" t="n">
        <f aca="false">(Sens!G2876+Sens!G2958-Sens!G2877-Sens!G2887)*(1-tax_f)/((Sens!F2953+Sens!G2953)/2)</f>
        <v>0.104197879351134</v>
      </c>
      <c r="H2959" s="7" t="n">
        <f aca="false">(Sens!H2876+Sens!H2958-Sens!H2877-Sens!H2887)*(1-tax_f)/((Sens!G2953+Sens!H2953)/2)</f>
        <v>0.107620600072676</v>
      </c>
      <c r="I2959" s="7" t="n">
        <f aca="false">(Sens!I2876+Sens!I2958-Sens!I2877-Sens!I2887)*(1-tax_f)/((Sens!H2953+Sens!I2953)/2)</f>
        <v>0.111280628151232</v>
      </c>
      <c r="J2959" s="7" t="n">
        <f aca="false">(Sens!J2876+Sens!J2958-Sens!J2877-Sens!J2887)*(1-tax_f)/((Sens!I2953+Sens!J2953)/2)</f>
        <v>0.114617339521128</v>
      </c>
      <c r="K2959" s="7" t="n">
        <f aca="false">(Sens!K2876+Sens!K2958-Sens!K2877-Sens!K2887)*(1-tax_f)/((Sens!J2953+Sens!K2953)/2)</f>
        <v>0.116656220393147</v>
      </c>
      <c r="L2959" s="1" t="s">
        <v>774</v>
      </c>
    </row>
    <row r="2960" customFormat="false" ht="17.15" hidden="false" customHeight="false" outlineLevel="0" collapsed="false">
      <c r="A2960" s="3" t="s">
        <v>1197</v>
      </c>
    </row>
    <row r="2961" customFormat="false" ht="15" hidden="false" customHeight="false" outlineLevel="0" collapsed="false">
      <c r="A2961" s="4" t="s">
        <v>43</v>
      </c>
      <c r="B2961" s="4" t="s">
        <v>63</v>
      </c>
      <c r="C2961" s="19" t="s">
        <v>710</v>
      </c>
      <c r="D2961" s="19" t="s">
        <v>711</v>
      </c>
      <c r="E2961" s="19" t="s">
        <v>712</v>
      </c>
      <c r="F2961" s="19" t="s">
        <v>713</v>
      </c>
      <c r="G2961" s="19" t="s">
        <v>714</v>
      </c>
      <c r="H2961" s="19" t="s">
        <v>715</v>
      </c>
      <c r="I2961" s="19" t="s">
        <v>716</v>
      </c>
      <c r="J2961" s="19" t="s">
        <v>717</v>
      </c>
      <c r="K2961" s="19" t="s">
        <v>718</v>
      </c>
      <c r="L2961" s="4" t="s">
        <v>47</v>
      </c>
    </row>
    <row r="2962" customFormat="false" ht="15" hidden="false" customHeight="false" outlineLevel="0" collapsed="false">
      <c r="A2962" s="1" t="s">
        <v>825</v>
      </c>
      <c r="B2962" s="0" t="s">
        <v>95</v>
      </c>
      <c r="F2962" s="6" t="n">
        <f aca="false">Sens!F2947</f>
        <v>141.614227513035</v>
      </c>
      <c r="G2962" s="6" t="n">
        <f aca="false">Sens!G2947</f>
        <v>157.84230741752</v>
      </c>
      <c r="H2962" s="6" t="n">
        <f aca="false">Sens!H2947</f>
        <v>173.648568352184</v>
      </c>
      <c r="I2962" s="6" t="n">
        <f aca="false">Sens!I2947</f>
        <v>187.730653534042</v>
      </c>
      <c r="J2962" s="6" t="n">
        <f aca="false">Sens!J2947</f>
        <v>199.505465701078</v>
      </c>
      <c r="K2962" s="6" t="n">
        <f aca="false">Sens!K2947</f>
        <v>208.744417442497</v>
      </c>
    </row>
    <row r="2963" customFormat="false" ht="17.15" hidden="false" customHeight="false" outlineLevel="0" collapsed="false">
      <c r="A2963" s="1" t="s">
        <v>843</v>
      </c>
      <c r="B2963" s="0" t="s">
        <v>95</v>
      </c>
      <c r="E2963" s="6" t="n">
        <f aca="false">Q!M38-Sens!E2887</f>
        <v>22.2285940229167</v>
      </c>
      <c r="F2963" s="6" t="n">
        <f aca="false">Sens!E2963*(1-1/life_nonai)+Sens!F2969/life_nonai</f>
        <v>23.5636693435813</v>
      </c>
      <c r="G2963" s="6" t="n">
        <f aca="false">Sens!F2963*(1-1/life_nonai)+Sens!G2969/life_nonai</f>
        <v>25.3225917662621</v>
      </c>
      <c r="H2963" s="6" t="n">
        <f aca="false">Sens!G2963*(1-1/life_nonai)+Sens!H2969/life_nonai</f>
        <v>27.4714839540448</v>
      </c>
      <c r="I2963" s="6" t="n">
        <f aca="false">Sens!H2963*(1-1/life_nonai)+Sens!I2969/life_nonai</f>
        <v>29.9441755898047</v>
      </c>
      <c r="J2963" s="6" t="n">
        <f aca="false">Sens!I2963*(1-1/life_nonai)+Sens!J2969/life_nonai</f>
        <v>32.6578493558616</v>
      </c>
      <c r="K2963" s="6" t="n">
        <f aca="false">Sens!J2963*(1-1/life_nonai)+Sens!K2969/life_nonai</f>
        <v>35.5289346944749</v>
      </c>
      <c r="L2963" s="11" t="s">
        <v>844</v>
      </c>
    </row>
    <row r="2964" customFormat="false" ht="17.15" hidden="false" customHeight="false" outlineLevel="0" collapsed="false">
      <c r="A2964" s="1" t="s">
        <v>845</v>
      </c>
      <c r="B2964" s="0" t="s">
        <v>95</v>
      </c>
      <c r="E2964" s="6" t="n">
        <f aca="false">Sens!E2887+Sens!E2963</f>
        <v>38.534</v>
      </c>
      <c r="F2964" s="6" t="n">
        <f aca="false">Sens!F2887+Sens!F2963</f>
        <v>60.1493606050168</v>
      </c>
      <c r="G2964" s="6" t="n">
        <f aca="false">Sens!G2887+Sens!G2963</f>
        <v>92.2056440324532</v>
      </c>
      <c r="H2964" s="6" t="n">
        <f aca="false">Sens!H2887+Sens!H2963</f>
        <v>127.037235499596</v>
      </c>
      <c r="I2964" s="6" t="n">
        <f aca="false">Sens!I2887+Sens!I2963</f>
        <v>163.287011187019</v>
      </c>
      <c r="J2964" s="6" t="n">
        <f aca="false">Sens!J2887+Sens!J2963</f>
        <v>200.749999473906</v>
      </c>
      <c r="K2964" s="6" t="n">
        <f aca="false">Sens!K2887+Sens!K2963</f>
        <v>239.657947792516</v>
      </c>
    </row>
    <row r="2965" customFormat="false" ht="15" hidden="false" customHeight="false" outlineLevel="0" collapsed="false">
      <c r="A2965" s="1" t="s">
        <v>685</v>
      </c>
      <c r="B2965" s="0" t="s">
        <v>95</v>
      </c>
      <c r="F2965" s="6" t="n">
        <f aca="false">Sens!F2914*sbc_r</f>
        <v>15.0609124650091</v>
      </c>
      <c r="G2965" s="6" t="n">
        <f aca="false">Sens!G2914*sbc_r</f>
        <v>18.1507785110431</v>
      </c>
      <c r="H2965" s="6" t="n">
        <f aca="false">Sens!H2914*sbc_r</f>
        <v>21.315560530794</v>
      </c>
      <c r="I2965" s="6" t="n">
        <f aca="false">Sens!I2914*sbc_r</f>
        <v>24.4146474461702</v>
      </c>
      <c r="J2965" s="6" t="n">
        <f aca="false">Sens!J2914*sbc_r</f>
        <v>27.392884334434</v>
      </c>
      <c r="K2965" s="6" t="n">
        <f aca="false">Sens!K2914*sbc_r</f>
        <v>30.2520511794721</v>
      </c>
    </row>
    <row r="2966" customFormat="false" ht="17.15" hidden="false" customHeight="false" outlineLevel="0" collapsed="false">
      <c r="A2966" s="1" t="s">
        <v>846</v>
      </c>
      <c r="B2966" s="0" t="s">
        <v>95</v>
      </c>
      <c r="F2966" s="6" t="n">
        <f aca="false">wc27</f>
        <v>-4.895</v>
      </c>
      <c r="G2966" s="6" t="n">
        <f aca="false">0</f>
        <v>0</v>
      </c>
      <c r="H2966" s="6" t="n">
        <f aca="false">0</f>
        <v>0</v>
      </c>
      <c r="I2966" s="6" t="n">
        <f aca="false">0</f>
        <v>0</v>
      </c>
      <c r="J2966" s="6" t="n">
        <f aca="false">0</f>
        <v>0</v>
      </c>
      <c r="K2966" s="6" t="n">
        <f aca="false">0</f>
        <v>0</v>
      </c>
      <c r="L2966" s="11" t="s">
        <v>847</v>
      </c>
    </row>
    <row r="2967" customFormat="false" ht="15" hidden="false" customHeight="false" outlineLevel="0" collapsed="false">
      <c r="A2967" s="1" t="s">
        <v>678</v>
      </c>
      <c r="B2967" s="0" t="s">
        <v>95</v>
      </c>
      <c r="E2967" s="6" t="n">
        <f aca="false">Q!M35</f>
        <v>182.935</v>
      </c>
      <c r="F2967" s="6" t="n">
        <f aca="false">Sens!F2962+Sens!F2964+Sens!F2965+Sens!F2966</f>
        <v>211.929500583061</v>
      </c>
      <c r="G2967" s="6" t="n">
        <f aca="false">Sens!G2962+Sens!G2964+Sens!G2965+Sens!G2966</f>
        <v>268.198729961016</v>
      </c>
      <c r="H2967" s="6" t="n">
        <f aca="false">Sens!H2962+Sens!H2964+Sens!H2965+Sens!H2966</f>
        <v>322.001364382574</v>
      </c>
      <c r="I2967" s="6" t="n">
        <f aca="false">Sens!I2962+Sens!I2964+Sens!I2965+Sens!I2966</f>
        <v>375.432312167232</v>
      </c>
      <c r="J2967" s="6" t="n">
        <f aca="false">Sens!J2962+Sens!J2964+Sens!J2965+Sens!J2966</f>
        <v>427.648349509418</v>
      </c>
      <c r="K2967" s="6" t="n">
        <f aca="false">Sens!K2962+Sens!K2964+Sens!K2965+Sens!K2966</f>
        <v>478.654416414485</v>
      </c>
    </row>
    <row r="2968" customFormat="false" ht="17.15" hidden="false" customHeight="false" outlineLevel="0" collapsed="false">
      <c r="A2968" s="0" t="s">
        <v>848</v>
      </c>
      <c r="B2968" s="0" t="s">
        <v>95</v>
      </c>
      <c r="F2968" s="6" t="n">
        <f aca="false">Sens!F2884</f>
        <v>195.245269797227</v>
      </c>
      <c r="G2968" s="6" t="n">
        <f aca="false">Sens!G2884</f>
        <v>220.28901657984</v>
      </c>
      <c r="H2968" s="6" t="n">
        <f aca="false">Sens!H2884</f>
        <v>225.69634309248</v>
      </c>
      <c r="I2968" s="6" t="n">
        <f aca="false">Sens!I2884</f>
        <v>255.955018439147</v>
      </c>
      <c r="J2968" s="6" t="n">
        <f aca="false">Sens!J2884</f>
        <v>271.393118105813</v>
      </c>
      <c r="K2968" s="6" t="n">
        <f aca="false">Sens!K2884</f>
        <v>316.47236913248</v>
      </c>
    </row>
    <row r="2969" customFormat="false" ht="17.15" hidden="false" customHeight="false" outlineLevel="0" collapsed="false">
      <c r="A2969" s="1" t="s">
        <v>849</v>
      </c>
      <c r="B2969" s="0" t="s">
        <v>95</v>
      </c>
      <c r="E2969" s="6" t="n">
        <f aca="false">Sens!E2892*cx_azo+Sens!E2899*cx_m365+Sens!E2900*cx_lic+(Sens!E2902+Sens!E2904)*cx_ind+Sens!E2907*cx_srch+(Sens!E2909+Sens!E2911)*cx_dev</f>
        <v>30.1846587067718</v>
      </c>
      <c r="F2969" s="6" t="n">
        <f aca="false">Sens!F2892*cx_azo+Sens!F2899*cx_m365+Sens!F2900*cx_lic+(Sens!F2902+Sens!F2904)*cx_ind+Sens!F2907*cx_srch+(Sens!F2909+Sens!F2911)*cx_dev</f>
        <v>35.5793472295625</v>
      </c>
      <c r="G2969" s="6" t="n">
        <f aca="false">Sens!G2892*cx_azo+Sens!G2899*cx_m365+Sens!G2900*cx_lic+(Sens!G2902+Sens!G2904)*cx_ind+Sens!G2907*cx_srch+(Sens!G2909+Sens!G2911)*cx_dev</f>
        <v>41.1528935703892</v>
      </c>
      <c r="H2969" s="6" t="n">
        <f aca="false">Sens!H2892*cx_azo+Sens!H2899*cx_m365+Sens!H2900*cx_lic+(Sens!H2902+Sens!H2904)*cx_ind+Sens!H2907*cx_srch+(Sens!H2909+Sens!H2911)*cx_dev</f>
        <v>46.8115136440897</v>
      </c>
      <c r="I2969" s="6" t="n">
        <f aca="false">Sens!I2892*cx_azo+Sens!I2899*cx_m365+Sens!I2900*cx_lic+(Sens!I2902+Sens!I2904)*cx_ind+Sens!I2907*cx_srch+(Sens!I2909+Sens!I2911)*cx_dev</f>
        <v>52.1984003116439</v>
      </c>
      <c r="J2969" s="6" t="n">
        <f aca="false">Sens!J2892*cx_azo+Sens!J2899*cx_m365+Sens!J2900*cx_lic+(Sens!J2902+Sens!J2904)*cx_ind+Sens!J2907*cx_srch+(Sens!J2909+Sens!J2911)*cx_dev</f>
        <v>57.0809132503738</v>
      </c>
      <c r="K2969" s="6" t="n">
        <f aca="false">Sens!K2892*cx_azo+Sens!K2899*cx_m365+Sens!K2900*cx_lic+(Sens!K2902+Sens!K2904)*cx_ind+Sens!K2907*cx_srch+(Sens!K2909+Sens!K2911)*cx_dev</f>
        <v>61.368702741994</v>
      </c>
    </row>
    <row r="2970" customFormat="false" ht="17.15" hidden="false" customHeight="false" outlineLevel="0" collapsed="false">
      <c r="A2970" s="1" t="s">
        <v>850</v>
      </c>
      <c r="B2970" s="0" t="s">
        <v>95</v>
      </c>
      <c r="E2970" s="6" t="n">
        <f aca="false">Q!M42</f>
        <v>145.3</v>
      </c>
      <c r="F2970" s="6" t="n">
        <f aca="false">Sens!F2968+Sens!F2969</f>
        <v>230.824617026789</v>
      </c>
      <c r="G2970" s="6" t="n">
        <f aca="false">Sens!G2968+Sens!G2969</f>
        <v>261.441910150229</v>
      </c>
      <c r="H2970" s="6" t="n">
        <f aca="false">Sens!H2968+Sens!H2969</f>
        <v>272.50785673657</v>
      </c>
      <c r="I2970" s="6" t="n">
        <f aca="false">Sens!I2968+Sens!I2969</f>
        <v>308.153418750791</v>
      </c>
      <c r="J2970" s="6" t="n">
        <f aca="false">Sens!J2968+Sens!J2969</f>
        <v>328.474031356187</v>
      </c>
      <c r="K2970" s="6" t="n">
        <f aca="false">Sens!K2968+Sens!K2969</f>
        <v>377.841071874474</v>
      </c>
      <c r="L2970" s="1" t="s">
        <v>851</v>
      </c>
    </row>
    <row r="2971" customFormat="false" ht="15" hidden="false" customHeight="false" outlineLevel="0" collapsed="false">
      <c r="A2971" s="1" t="s">
        <v>852</v>
      </c>
      <c r="B2971" s="0" t="s">
        <v>95</v>
      </c>
      <c r="E2971" s="6" t="n">
        <f aca="false">fl_liab</f>
        <v>66.594</v>
      </c>
      <c r="F2971" s="6" t="n">
        <f aca="false">Sens!E2971-Sens!F2972</f>
        <v>62.46973</v>
      </c>
      <c r="G2971" s="6" t="n">
        <f aca="false">Sens!F2971-Sens!G2972</f>
        <v>57.98686785</v>
      </c>
      <c r="H2971" s="6" t="n">
        <f aca="false">Sens!G2971-Sens!H2972</f>
        <v>53.92827690325</v>
      </c>
      <c r="I2971" s="6" t="n">
        <f aca="false">Sens!H2971-Sens!I2972</f>
        <v>49.7850493638962</v>
      </c>
      <c r="J2971" s="6" t="n">
        <f aca="false">Sens!I2971-Sens!J2972</f>
        <v>45.4823765852716</v>
      </c>
      <c r="K2971" s="6" t="n">
        <f aca="false">Sens!J2971-Sens!K2972</f>
        <v>40.9860835316088</v>
      </c>
    </row>
    <row r="2972" customFormat="false" ht="15" hidden="false" customHeight="false" outlineLevel="0" collapsed="false">
      <c r="A2972" s="1" t="s">
        <v>853</v>
      </c>
      <c r="B2972" s="0" t="s">
        <v>95</v>
      </c>
      <c r="F2972" s="6" t="n">
        <f aca="false">fl_pay_27-Sens!E2971*fl_rate</f>
        <v>4.12427</v>
      </c>
      <c r="G2972" s="6" t="n">
        <f aca="false">fl_pay_28-Sens!F2971*fl_rate</f>
        <v>4.48286215</v>
      </c>
      <c r="H2972" s="6" t="n">
        <f aca="false">fl_pay_29-Sens!G2971*fl_rate</f>
        <v>4.05859094675</v>
      </c>
      <c r="I2972" s="6" t="n">
        <f aca="false">fl_pay_30-Sens!H2971*fl_rate</f>
        <v>4.14322753935375</v>
      </c>
      <c r="J2972" s="6" t="n">
        <f aca="false">fl_pay_31-Sens!I2971*fl_rate</f>
        <v>4.30267277862467</v>
      </c>
      <c r="K2972" s="6" t="n">
        <f aca="false">fl_pay_32-Sens!J2971*fl_rate</f>
        <v>4.49629305366278</v>
      </c>
    </row>
    <row r="2973" customFormat="false" ht="17.15" hidden="false" customHeight="false" outlineLevel="0" collapsed="false">
      <c r="A2973" s="1" t="s">
        <v>854</v>
      </c>
      <c r="B2973" s="0" t="s">
        <v>95</v>
      </c>
      <c r="E2973" s="6" t="n">
        <f aca="false">Q!M35-Q!M36-Q!M43</f>
        <v>63.886</v>
      </c>
      <c r="F2973" s="6" t="n">
        <f aca="false">Sens!F2967-Sens!F2970-Sens!F2972</f>
        <v>-23.0193864437281</v>
      </c>
      <c r="G2973" s="6" t="n">
        <f aca="false">Sens!G2967-Sens!G2970-Sens!G2972</f>
        <v>2.27395766078708</v>
      </c>
      <c r="H2973" s="6" t="n">
        <f aca="false">Sens!H2967-Sens!H2970-Sens!H2972</f>
        <v>45.4349166992542</v>
      </c>
      <c r="I2973" s="6" t="n">
        <f aca="false">Sens!I2967-Sens!I2970-Sens!I2972</f>
        <v>63.1356658770875</v>
      </c>
      <c r="J2973" s="6" t="n">
        <f aca="false">Sens!J2967-Sens!J2970-Sens!J2972</f>
        <v>94.8716453746064</v>
      </c>
      <c r="K2973" s="6" t="n">
        <f aca="false">Sens!K2967-Sens!K2970-Sens!K2972</f>
        <v>96.3170514863486</v>
      </c>
      <c r="L2973" s="11" t="s">
        <v>855</v>
      </c>
    </row>
    <row r="2974" customFormat="false" ht="15" hidden="false" customHeight="false" outlineLevel="0" collapsed="false">
      <c r="A2974" s="1" t="s">
        <v>856</v>
      </c>
      <c r="B2974" s="0" t="s">
        <v>73</v>
      </c>
      <c r="F2974" s="8" t="n">
        <f aca="false">dps_27</f>
        <v>3.85</v>
      </c>
      <c r="G2974" s="8" t="n">
        <f aca="false">Sens!F2974*(1+dps_g)</f>
        <v>4.158</v>
      </c>
      <c r="H2974" s="8" t="n">
        <f aca="false">Sens!G2974*(1+dps_g)</f>
        <v>4.49064</v>
      </c>
      <c r="I2974" s="8" t="n">
        <f aca="false">Sens!H2974*(1+dps_g)</f>
        <v>4.8498912</v>
      </c>
      <c r="J2974" s="8" t="n">
        <f aca="false">Sens!I2974*(1+dps_g)</f>
        <v>5.237882496</v>
      </c>
      <c r="K2974" s="8" t="n">
        <f aca="false">Sens!J2974*(1+dps_g)</f>
        <v>5.65691309568</v>
      </c>
    </row>
    <row r="2975" customFormat="false" ht="17.15" hidden="false" customHeight="false" outlineLevel="0" collapsed="false">
      <c r="A2975" s="1" t="s">
        <v>857</v>
      </c>
      <c r="B2975" s="0" t="s">
        <v>95</v>
      </c>
      <c r="E2975" s="6" t="n">
        <f aca="false">Q!M41</f>
        <v>26.445</v>
      </c>
      <c r="F2975" s="6" t="n">
        <f aca="false">Sens!F2974*Sens!E2984</f>
        <v>28.59395</v>
      </c>
      <c r="G2975" s="6" t="n">
        <f aca="false">Sens!G2974*Sens!F2984</f>
        <v>31.068576</v>
      </c>
      <c r="H2975" s="6" t="n">
        <f aca="false">Sens!H2974*Sens!G2984</f>
        <v>33.75614088</v>
      </c>
      <c r="I2975" s="6" t="n">
        <f aca="false">Sens!I2974*Sens!H2984</f>
        <v>36.6021751464999</v>
      </c>
      <c r="J2975" s="6" t="n">
        <f aca="false">Sens!J2974*Sens!I2984</f>
        <v>39.5987480065393</v>
      </c>
      <c r="K2975" s="6" t="n">
        <f aca="false">Sens!K2974*Sens!J2984</f>
        <v>42.8539030723675</v>
      </c>
      <c r="L2975" s="1" t="s">
        <v>858</v>
      </c>
    </row>
    <row r="2976" customFormat="false" ht="15" hidden="false" customHeight="false" outlineLevel="0" collapsed="false">
      <c r="A2976" s="1" t="s">
        <v>859</v>
      </c>
      <c r="B2976" s="0" t="s">
        <v>95</v>
      </c>
      <c r="E2976" s="6" t="n">
        <f aca="false">Sens!E2973-Sens!E2975</f>
        <v>37.441</v>
      </c>
      <c r="F2976" s="6" t="n">
        <f aca="false">Sens!F2973-Sens!F2975</f>
        <v>-51.6133364437281</v>
      </c>
      <c r="G2976" s="6" t="n">
        <f aca="false">Sens!G2973-Sens!G2975</f>
        <v>-28.7946183392129</v>
      </c>
      <c r="H2976" s="6" t="n">
        <f aca="false">Sens!H2973-Sens!H2975</f>
        <v>11.6787758192542</v>
      </c>
      <c r="I2976" s="6" t="n">
        <f aca="false">Sens!I2973-Sens!I2975</f>
        <v>26.5334907305876</v>
      </c>
      <c r="J2976" s="6" t="n">
        <f aca="false">Sens!J2973-Sens!J2975</f>
        <v>55.2728973680671</v>
      </c>
      <c r="K2976" s="6" t="n">
        <f aca="false">Sens!K2973-Sens!K2975</f>
        <v>53.4631484139811</v>
      </c>
    </row>
    <row r="2977" customFormat="false" ht="15" hidden="false" customHeight="false" outlineLevel="0" collapsed="false">
      <c r="A2977" s="1" t="s">
        <v>860</v>
      </c>
      <c r="B2977" s="0" t="s">
        <v>95</v>
      </c>
      <c r="F2977" s="6" t="n">
        <f aca="false">debt_mat_27</f>
        <v>9.25</v>
      </c>
      <c r="G2977" s="6" t="n">
        <f aca="false">debt_mat_28</f>
        <v>0</v>
      </c>
      <c r="H2977" s="6" t="n">
        <f aca="false">debt_mat_29</f>
        <v>2.001</v>
      </c>
      <c r="I2977" s="6" t="n">
        <f aca="false">debt_mat_30</f>
        <v>0</v>
      </c>
      <c r="J2977" s="6" t="n">
        <f aca="false">debt_mat_31</f>
        <v>0.5</v>
      </c>
      <c r="K2977" s="6" t="n">
        <f aca="false">debt_mat_32</f>
        <v>0</v>
      </c>
    </row>
    <row r="2978" customFormat="false" ht="15" hidden="false" customHeight="false" outlineLevel="0" collapsed="false">
      <c r="A2978" s="1" t="s">
        <v>861</v>
      </c>
      <c r="B2978" s="0" t="s">
        <v>95</v>
      </c>
      <c r="E2978" s="6" t="n">
        <f aca="false">Q!M40</f>
        <v>22.271</v>
      </c>
      <c r="F2978" s="6" t="n">
        <f aca="false">MAX(0,MIN(bb_target,Sens!E2980+Sens!F2976-Sens!F2977-min_cash))</f>
        <v>0</v>
      </c>
      <c r="G2978" s="6" t="n">
        <f aca="false">MAX(0,MIN(bb_target,Sens!F2980+Sens!G2976-Sens!G2977-min_cash))</f>
        <v>0</v>
      </c>
      <c r="H2978" s="6" t="n">
        <f aca="false">MAX(0,MIN(bb_target,Sens!G2980+Sens!H2976-Sens!H2977-min_cash))</f>
        <v>9.67777581925422</v>
      </c>
      <c r="I2978" s="6" t="n">
        <f aca="false">MAX(0,MIN(bb_target,Sens!H2980+Sens!I2976-Sens!I2977-min_cash))</f>
        <v>22.271</v>
      </c>
      <c r="J2978" s="6" t="n">
        <f aca="false">MAX(0,MIN(bb_target,Sens!I2980+Sens!J2976-Sens!J2977-min_cash))</f>
        <v>22.271</v>
      </c>
      <c r="K2978" s="6" t="n">
        <f aca="false">MAX(0,MIN(bb_target,Sens!J2980+Sens!K2976-Sens!K2977-min_cash))</f>
        <v>22.271</v>
      </c>
    </row>
    <row r="2979" customFormat="false" ht="15" hidden="false" customHeight="false" outlineLevel="0" collapsed="false">
      <c r="A2979" s="1" t="s">
        <v>862</v>
      </c>
      <c r="B2979" s="0" t="s">
        <v>95</v>
      </c>
      <c r="F2979" s="6" t="n">
        <f aca="false">MAX(0,min_cash-(Sens!E2980+Sens!F2976-Sens!F2977-Sens!F2978))</f>
        <v>34.0203364437281</v>
      </c>
      <c r="G2979" s="6" t="n">
        <f aca="false">MAX(0,min_cash-(Sens!F2980+Sens!G2976-Sens!G2977-Sens!G2978))</f>
        <v>28.7946183392129</v>
      </c>
      <c r="H2979" s="6" t="n">
        <f aca="false">MAX(0,min_cash-(Sens!G2980+Sens!H2976-Sens!H2977-Sens!H2978))</f>
        <v>0</v>
      </c>
      <c r="I2979" s="6" t="n">
        <f aca="false">MAX(0,min_cash-(Sens!H2980+Sens!I2976-Sens!I2977-Sens!I2978))</f>
        <v>0</v>
      </c>
      <c r="J2979" s="6" t="n">
        <f aca="false">MAX(0,min_cash-(Sens!I2980+Sens!J2976-Sens!J2977-Sens!J2978))</f>
        <v>0</v>
      </c>
      <c r="K2979" s="6" t="n">
        <f aca="false">MAX(0,min_cash-(Sens!J2980+Sens!K2976-Sens!K2977-Sens!K2978))</f>
        <v>0</v>
      </c>
    </row>
    <row r="2980" customFormat="false" ht="15" hidden="false" customHeight="false" outlineLevel="0" collapsed="false">
      <c r="A2980" s="1" t="s">
        <v>863</v>
      </c>
      <c r="B2980" s="0" t="s">
        <v>95</v>
      </c>
      <c r="E2980" s="6" t="n">
        <f aca="false">cash_open</f>
        <v>76.843</v>
      </c>
      <c r="F2980" s="6" t="n">
        <f aca="false">Sens!E2980+Sens!F2976-Sens!F2977-Sens!F2978+Sens!F2979</f>
        <v>50</v>
      </c>
      <c r="G2980" s="6" t="n">
        <f aca="false">Sens!F2980+Sens!G2976-Sens!G2977-Sens!G2978+Sens!G2979</f>
        <v>50</v>
      </c>
      <c r="H2980" s="6" t="n">
        <f aca="false">Sens!G2980+Sens!H2976-Sens!H2977-Sens!H2978+Sens!H2979</f>
        <v>50</v>
      </c>
      <c r="I2980" s="6" t="n">
        <f aca="false">Sens!H2980+Sens!I2976-Sens!I2977-Sens!I2978+Sens!I2979</f>
        <v>54.2624907305876</v>
      </c>
      <c r="J2980" s="6" t="n">
        <f aca="false">Sens!I2980+Sens!J2976-Sens!J2977-Sens!J2978+Sens!J2979</f>
        <v>86.7643880986547</v>
      </c>
      <c r="K2980" s="6" t="n">
        <f aca="false">Sens!J2980+Sens!K2976-Sens!K2977-Sens!K2978+Sens!K2979</f>
        <v>117.956536512636</v>
      </c>
    </row>
    <row r="2981" customFormat="false" ht="15" hidden="false" customHeight="false" outlineLevel="0" collapsed="false">
      <c r="A2981" s="1" t="s">
        <v>864</v>
      </c>
      <c r="B2981" s="0" t="s">
        <v>95</v>
      </c>
      <c r="E2981" s="6" t="n">
        <f aca="false">debt_face</f>
        <v>46.136</v>
      </c>
      <c r="F2981" s="6" t="n">
        <f aca="false">Sens!E2981-Sens!F2977+Sens!F2979</f>
        <v>70.9063364437281</v>
      </c>
      <c r="G2981" s="6" t="n">
        <f aca="false">Sens!F2981-Sens!G2977+Sens!G2979</f>
        <v>99.700954782941</v>
      </c>
      <c r="H2981" s="6" t="n">
        <f aca="false">Sens!G2981-Sens!H2977+Sens!H2979</f>
        <v>97.699954782941</v>
      </c>
      <c r="I2981" s="6" t="n">
        <f aca="false">Sens!H2981-Sens!I2977+Sens!I2979</f>
        <v>97.699954782941</v>
      </c>
      <c r="J2981" s="6" t="n">
        <f aca="false">Sens!I2981-Sens!J2977+Sens!J2979</f>
        <v>97.199954782941</v>
      </c>
      <c r="K2981" s="6" t="n">
        <f aca="false">Sens!J2981-Sens!K2977+Sens!K2979</f>
        <v>97.199954782941</v>
      </c>
    </row>
    <row r="2982" customFormat="false" ht="15" hidden="false" customHeight="false" outlineLevel="0" collapsed="false">
      <c r="A2982" s="1" t="s">
        <v>865</v>
      </c>
      <c r="B2982" s="0" t="s">
        <v>95</v>
      </c>
      <c r="E2982" s="6" t="n">
        <f aca="false">Sens!E2980-Sens!E2981</f>
        <v>30.707</v>
      </c>
      <c r="F2982" s="6" t="n">
        <f aca="false">Sens!F2980-Sens!F2981</f>
        <v>-20.9063364437281</v>
      </c>
      <c r="G2982" s="6" t="n">
        <f aca="false">Sens!G2980-Sens!G2981</f>
        <v>-49.700954782941</v>
      </c>
      <c r="H2982" s="6" t="n">
        <f aca="false">Sens!H2980-Sens!H2981</f>
        <v>-47.699954782941</v>
      </c>
      <c r="I2982" s="6" t="n">
        <f aca="false">Sens!I2980-Sens!I2981</f>
        <v>-43.4374640523534</v>
      </c>
      <c r="J2982" s="6" t="n">
        <f aca="false">Sens!J2980-Sens!J2981</f>
        <v>-10.4355666842863</v>
      </c>
      <c r="K2982" s="6" t="n">
        <f aca="false">Sens!K2980-Sens!K2981</f>
        <v>20.7565817296948</v>
      </c>
    </row>
    <row r="2983" customFormat="false" ht="15" hidden="false" customHeight="false" outlineLevel="0" collapsed="false">
      <c r="A2983" s="1" t="s">
        <v>866</v>
      </c>
      <c r="B2983" s="0" t="s">
        <v>73</v>
      </c>
      <c r="F2983" s="27" t="n">
        <f aca="false">px*(1+bb_g)^(1-0.5)</f>
        <v>553.494156066711</v>
      </c>
      <c r="G2983" s="27" t="n">
        <f aca="false">px*(1+bb_g)^(2-0.5)</f>
        <v>597.773688552047</v>
      </c>
      <c r="H2983" s="27" t="n">
        <f aca="false">px*(1+bb_g)^(3-0.5)</f>
        <v>645.595583636211</v>
      </c>
      <c r="I2983" s="27" t="n">
        <f aca="false">px*(1+bb_g)^(4-0.5)</f>
        <v>697.243230327108</v>
      </c>
      <c r="J2983" s="27" t="n">
        <f aca="false">px*(1+bb_g)^(5-0.5)</f>
        <v>753.022688753277</v>
      </c>
      <c r="K2983" s="27" t="n">
        <f aca="false">px*(1+bb_g)^(6-0.5)</f>
        <v>813.264503853539</v>
      </c>
    </row>
    <row r="2984" customFormat="false" ht="15" hidden="false" customHeight="false" outlineLevel="0" collapsed="false">
      <c r="A2984" s="1" t="s">
        <v>867</v>
      </c>
      <c r="B2984" s="1" t="s">
        <v>79</v>
      </c>
      <c r="E2984" s="18" t="n">
        <f aca="false">sh_out26</f>
        <v>7.427</v>
      </c>
      <c r="F2984" s="18" t="n">
        <f aca="false">Sens!E2984+sh_iss-Sens!F2978/Sens!F2983</f>
        <v>7.472</v>
      </c>
      <c r="G2984" s="18" t="n">
        <f aca="false">Sens!F2984+sh_iss-Sens!G2978/Sens!G2983</f>
        <v>7.517</v>
      </c>
      <c r="H2984" s="18" t="n">
        <f aca="false">Sens!G2984+sh_iss-Sens!H2978/Sens!H2983</f>
        <v>7.54700953837889</v>
      </c>
      <c r="I2984" s="18" t="n">
        <f aca="false">Sens!H2984+sh_iss-Sens!I2978/Sens!I2983</f>
        <v>7.56006803069362</v>
      </c>
      <c r="J2984" s="18" t="n">
        <f aca="false">Sens!I2984+sh_iss-Sens!J2978/Sens!J2983</f>
        <v>7.57549256061466</v>
      </c>
      <c r="K2984" s="18" t="n">
        <f aca="false">Sens!J2984+sh_iss-Sens!K2978/Sens!K2983</f>
        <v>7.5931078660971</v>
      </c>
    </row>
    <row r="2985" customFormat="false" ht="15" hidden="false" customHeight="false" outlineLevel="0" collapsed="false">
      <c r="A2985" s="1" t="s">
        <v>868</v>
      </c>
      <c r="B2985" s="1" t="s">
        <v>79</v>
      </c>
      <c r="E2985" s="18" t="n">
        <f aca="false">sh_dil26</f>
        <v>7.453</v>
      </c>
      <c r="F2985" s="18" t="n">
        <f aca="false">(Sens!E2984+Sens!F2984)/2+dil_gap</f>
        <v>7.4735</v>
      </c>
      <c r="G2985" s="18" t="n">
        <f aca="false">(Sens!F2984+Sens!G2984)/2+dil_gap</f>
        <v>7.5185</v>
      </c>
      <c r="H2985" s="18" t="n">
        <f aca="false">(Sens!G2984+Sens!H2984)/2+dil_gap</f>
        <v>7.55600476918945</v>
      </c>
      <c r="I2985" s="18" t="n">
        <f aca="false">(Sens!H2984+Sens!I2984)/2+dil_gap</f>
        <v>7.57753878453626</v>
      </c>
      <c r="J2985" s="18" t="n">
        <f aca="false">(Sens!I2984+Sens!J2984)/2+dil_gap</f>
        <v>7.59178029565414</v>
      </c>
      <c r="K2985" s="18" t="n">
        <f aca="false">(Sens!J2984+Sens!K2984)/2+dil_gap</f>
        <v>7.60830021335588</v>
      </c>
    </row>
    <row r="2986" customFormat="false" ht="17.15" hidden="false" customHeight="false" outlineLevel="0" collapsed="false">
      <c r="A2986" s="1" t="s">
        <v>869</v>
      </c>
      <c r="B2986" s="0" t="s">
        <v>95</v>
      </c>
      <c r="C2986" s="6" t="n">
        <f aca="false">SUM(Sens!F2976:J2976)</f>
        <v>13.0772091349679</v>
      </c>
    </row>
    <row r="2987" customFormat="false" ht="17.15" hidden="false" customHeight="false" outlineLevel="0" collapsed="false">
      <c r="A2987" s="1" t="s">
        <v>836</v>
      </c>
      <c r="B2987" s="1" t="s">
        <v>870</v>
      </c>
      <c r="C2987" s="30" t="str">
        <f aca="false">IF(SUM(Sens!F2979:J2979)&gt;0.05,"需要舉債 "&amp;TEXT(SUM(Sens!F2979:J2979),"0.0")&amp;" 十億美元","不需舉債")&amp;"；"&amp;IF(SUM(Sens!F2978:J2978)&lt;5*bb_target-0.05,"回購較每年 "&amp;TEXT(bb_target,"0.0")&amp;" 的目標少 "&amp;TEXT(5*bb_target-SUM(Sens!F2978:J2978),"0.0")&amp;" 十億美元（"&amp;TEXT(COUNTIF(Sens!F2978:J2978,"&lt;"&amp;(bb_target-0.05)),"0")&amp;" 年減少）","回購不減")</f>
        <v>需要舉債 62.8 十億美元；回購較每年 22.3 的目標少 57.1 十億美元（3 年減少）</v>
      </c>
    </row>
    <row r="2988" customFormat="false" ht="17.15" hidden="false" customHeight="false" outlineLevel="0" collapsed="false">
      <c r="A2988" s="3" t="s">
        <v>1198</v>
      </c>
    </row>
    <row r="2989" customFormat="false" ht="15" hidden="false" customHeight="false" outlineLevel="0" collapsed="false">
      <c r="A2989" s="4" t="s">
        <v>43</v>
      </c>
      <c r="B2989" s="4" t="s">
        <v>63</v>
      </c>
      <c r="C2989" s="19" t="s">
        <v>710</v>
      </c>
      <c r="D2989" s="19" t="s">
        <v>711</v>
      </c>
      <c r="E2989" s="19" t="s">
        <v>712</v>
      </c>
      <c r="F2989" s="19" t="s">
        <v>713</v>
      </c>
      <c r="G2989" s="19" t="s">
        <v>714</v>
      </c>
      <c r="H2989" s="19" t="s">
        <v>715</v>
      </c>
      <c r="I2989" s="19" t="s">
        <v>716</v>
      </c>
      <c r="J2989" s="19" t="s">
        <v>717</v>
      </c>
      <c r="K2989" s="19" t="s">
        <v>718</v>
      </c>
      <c r="L2989" s="4" t="s">
        <v>47</v>
      </c>
    </row>
    <row r="2990" customFormat="false" ht="17.15" hidden="false" customHeight="false" outlineLevel="0" collapsed="false">
      <c r="A2990" s="1" t="s">
        <v>938</v>
      </c>
      <c r="B2990" s="1" t="s">
        <v>213</v>
      </c>
      <c r="F2990" s="34" t="n">
        <f aca="false">1-0.5</f>
        <v>0.5</v>
      </c>
      <c r="G2990" s="34" t="n">
        <f aca="false">2-0.5</f>
        <v>1.5</v>
      </c>
      <c r="H2990" s="34" t="n">
        <f aca="false">3-0.5</f>
        <v>2.5</v>
      </c>
      <c r="I2990" s="34" t="n">
        <f aca="false">4-0.5</f>
        <v>3.5</v>
      </c>
      <c r="J2990" s="34" t="n">
        <f aca="false">5-0.5</f>
        <v>4.5</v>
      </c>
      <c r="K2990" s="34" t="n">
        <f aca="false">6-0.5</f>
        <v>5.5</v>
      </c>
    </row>
    <row r="2991" customFormat="false" ht="15" hidden="false" customHeight="false" outlineLevel="0" collapsed="false">
      <c r="A2991" s="1" t="s">
        <v>939</v>
      </c>
      <c r="B2991" s="0" t="s">
        <v>182</v>
      </c>
      <c r="F2991" s="18" t="n">
        <f aca="false">1/(1+wacc)^Sens!F2990</f>
        <v>0.949601579913219</v>
      </c>
      <c r="G2991" s="18" t="n">
        <f aca="false">1/(1+wacc)^Sens!G2990</f>
        <v>0.856296729956707</v>
      </c>
      <c r="H2991" s="18" t="n">
        <f aca="false">1/(1+wacc)^Sens!H2990</f>
        <v>0.772159719660069</v>
      </c>
      <c r="I2991" s="18" t="n">
        <f aca="false">1/(1+wacc)^Sens!I2990</f>
        <v>0.696289746073958</v>
      </c>
      <c r="J2991" s="18" t="n">
        <f aca="false">1/(1+wacc)^Sens!J2990</f>
        <v>0.627874516299776</v>
      </c>
      <c r="K2991" s="18" t="n">
        <f aca="false">1/(1+wacc)^Sens!K2990</f>
        <v>0.566181550771831</v>
      </c>
    </row>
    <row r="2992" customFormat="false" ht="15" hidden="false" customHeight="false" outlineLevel="0" collapsed="false">
      <c r="A2992" s="1" t="s">
        <v>940</v>
      </c>
      <c r="B2992" s="0" t="s">
        <v>95</v>
      </c>
      <c r="F2992" s="6" t="n">
        <f aca="false">Sens!F2973*Sens!F2991</f>
        <v>-21.8592457355971</v>
      </c>
      <c r="G2992" s="6" t="n">
        <f aca="false">Sens!G2973*Sens!G2991</f>
        <v>1.94718250899198</v>
      </c>
      <c r="H2992" s="6" t="n">
        <f aca="false">Sens!H2973*Sens!H2991</f>
        <v>35.0830125412747</v>
      </c>
      <c r="I2992" s="6" t="n">
        <f aca="false">Sens!I2973*Sens!I2991</f>
        <v>43.9607167617675</v>
      </c>
      <c r="J2992" s="6" t="n">
        <f aca="false">Sens!J2973*Sens!J2991</f>
        <v>59.5674884501449</v>
      </c>
      <c r="K2992" s="6" t="n">
        <f aca="false">Sens!K2973*Sens!K2991</f>
        <v>54.5329375763112</v>
      </c>
    </row>
    <row r="2993" customFormat="false" ht="17.15" hidden="false" customHeight="false" outlineLevel="0" collapsed="false">
      <c r="A2993" s="1" t="s">
        <v>941</v>
      </c>
      <c r="B2993" s="0" t="s">
        <v>95</v>
      </c>
      <c r="C2993" s="6" t="n">
        <f aca="false">SUM(Sens!F2992:K2992)</f>
        <v>173.232092102893</v>
      </c>
    </row>
    <row r="2994" customFormat="false" ht="17.15" hidden="false" customHeight="false" outlineLevel="0" collapsed="false">
      <c r="A2994" s="1" t="s">
        <v>942</v>
      </c>
      <c r="B2994" s="0" t="s">
        <v>95</v>
      </c>
      <c r="C2994" s="6" t="n">
        <f aca="false">Sens!K2939*(1+g_tv)*(1-tax_f)</f>
        <v>215.336349965772</v>
      </c>
    </row>
    <row r="2995" customFormat="false" ht="17.15" hidden="false" customHeight="false" outlineLevel="0" collapsed="false">
      <c r="A2995" s="1" t="s">
        <v>943</v>
      </c>
      <c r="B2995" s="0" t="s">
        <v>95</v>
      </c>
      <c r="C2995" s="6" t="n">
        <f aca="false">Sens!$C$2994*(1-g_tv/(wacc+ronic_prem))</f>
        <v>156.049460033755</v>
      </c>
    </row>
    <row r="2996" customFormat="false" ht="17.15" hidden="false" customHeight="false" outlineLevel="0" collapsed="false">
      <c r="A2996" s="1" t="s">
        <v>944</v>
      </c>
      <c r="B2996" s="0" t="s">
        <v>95</v>
      </c>
      <c r="C2996" s="6" t="n">
        <f aca="false">Sens!$C$2995/(wacc-g_tv)</f>
        <v>1976.22966440058</v>
      </c>
    </row>
    <row r="2997" customFormat="false" ht="15" hidden="false" customHeight="false" outlineLevel="0" collapsed="false">
      <c r="A2997" s="1" t="s">
        <v>945</v>
      </c>
      <c r="B2997" s="0" t="s">
        <v>95</v>
      </c>
      <c r="C2997" s="6" t="n">
        <f aca="false">Sens!$C$2996/(1+wacc)^6</f>
        <v>1062.51374313005</v>
      </c>
    </row>
    <row r="2998" customFormat="false" ht="17.15" hidden="false" customHeight="false" outlineLevel="0" collapsed="false">
      <c r="A2998" s="0" t="s">
        <v>877</v>
      </c>
      <c r="B2998" s="0" t="s">
        <v>95</v>
      </c>
      <c r="C2998" s="6" t="n">
        <f aca="false">Sens!$C$2993+Sens!$C$2997</f>
        <v>1235.74583523294</v>
      </c>
    </row>
    <row r="2999" customFormat="false" ht="15" hidden="false" customHeight="false" outlineLevel="0" collapsed="false">
      <c r="A2999" s="1" t="s">
        <v>878</v>
      </c>
      <c r="B2999" s="0" t="s">
        <v>126</v>
      </c>
      <c r="C2999" s="7" t="n">
        <f aca="false">Sens!$C$2997/Sens!$C$2998</f>
        <v>0.859815758901394</v>
      </c>
    </row>
    <row r="3000" customFormat="false" ht="17.15" hidden="false" customHeight="false" outlineLevel="0" collapsed="false">
      <c r="A3000" s="1" t="s">
        <v>946</v>
      </c>
      <c r="B3000" s="0" t="s">
        <v>95</v>
      </c>
      <c r="C3000" s="6" t="n">
        <f aca="false">Sens!$C$2998+Sens!E2982+oai_v</f>
        <v>1436.85283523294</v>
      </c>
    </row>
    <row r="3001" customFormat="false" ht="17.15" hidden="false" customHeight="false" outlineLevel="0" collapsed="false">
      <c r="A3001" s="0" t="s">
        <v>883</v>
      </c>
      <c r="B3001" s="0" t="s">
        <v>73</v>
      </c>
      <c r="C3001" s="5" t="n">
        <f aca="false">Sens!$C$3000/sh_dil26</f>
        <v>192.788519419421</v>
      </c>
    </row>
    <row r="3002" customFormat="false" ht="17.15" hidden="false" customHeight="false" outlineLevel="0" collapsed="false">
      <c r="A3002" s="0" t="s">
        <v>947</v>
      </c>
      <c r="B3002" s="0" t="s">
        <v>73</v>
      </c>
      <c r="C3002" s="5" t="n">
        <f aca="false">Sens!$C$3001*(1+wacc)^t_roll</f>
        <v>221.12738507922</v>
      </c>
    </row>
    <row r="3003" customFormat="false" ht="17.15" hidden="false" customHeight="false" outlineLevel="0" collapsed="false">
      <c r="A3003" s="1" t="s">
        <v>948</v>
      </c>
      <c r="B3003" s="0" t="s">
        <v>126</v>
      </c>
      <c r="F3003" s="7" t="n">
        <f aca="false">Sens!F2963/(Sens!F2914-Sens!F2870)</f>
        <v>0.0684307874075333</v>
      </c>
      <c r="G3003" s="7" t="n">
        <f aca="false">Sens!G2963/(Sens!G2914-Sens!G2870)</f>
        <v>0.0656456058503526</v>
      </c>
      <c r="H3003" s="7" t="n">
        <f aca="false">Sens!H2963/(Sens!H2914-Sens!H2870)</f>
        <v>0.0641950889132003</v>
      </c>
      <c r="I3003" s="7" t="n">
        <f aca="false">Sens!I2963/(Sens!I2914-Sens!I2870)</f>
        <v>0.063960269667854</v>
      </c>
      <c r="J3003" s="7" t="n">
        <f aca="false">Sens!J2963/(Sens!J2914-Sens!J2870)</f>
        <v>0.0646607917002597</v>
      </c>
      <c r="K3003" s="7" t="n">
        <f aca="false">Sens!K2963/(Sens!K2914-Sens!K2870)</f>
        <v>0.0659511546529383</v>
      </c>
    </row>
    <row r="3004" customFormat="false" ht="17.15" hidden="false" customHeight="false" outlineLevel="0" collapsed="false">
      <c r="A3004" s="0" t="s">
        <v>949</v>
      </c>
      <c r="B3004" s="0" t="s">
        <v>95</v>
      </c>
      <c r="F3004" s="6" t="n">
        <f aca="false">Sens!F2899*(al_m365+Sens!F3003)</f>
        <v>79.4713323717639</v>
      </c>
      <c r="G3004" s="6" t="n">
        <f aca="false">Sens!G2899*(al_m365+Sens!G3003)</f>
        <v>91.222848535282</v>
      </c>
      <c r="H3004" s="6" t="n">
        <f aca="false">Sens!H2899*(al_m365+Sens!H3003)</f>
        <v>103.134459525438</v>
      </c>
      <c r="I3004" s="6" t="n">
        <f aca="false">Sens!I2899*(al_m365+Sens!I3003)</f>
        <v>114.09096761677</v>
      </c>
      <c r="J3004" s="6" t="n">
        <f aca="false">Sens!J2899*(al_m365+Sens!J3003)</f>
        <v>123.914507832207</v>
      </c>
      <c r="K3004" s="6" t="n">
        <f aca="false">Sens!K2899*(al_m365+Sens!K3003)</f>
        <v>133.375360010951</v>
      </c>
    </row>
    <row r="3005" customFormat="false" ht="17.15" hidden="false" customHeight="false" outlineLevel="0" collapsed="false">
      <c r="A3005" s="0" t="s">
        <v>950</v>
      </c>
      <c r="B3005" s="0" t="s">
        <v>95</v>
      </c>
      <c r="F3005" s="6" t="n">
        <f aca="false">Sens!F2900*(al_lic+Sens!F3003)</f>
        <v>31.9777960098625</v>
      </c>
      <c r="G3005" s="6" t="n">
        <f aca="false">Sens!G2900*(al_lic+Sens!G3003)</f>
        <v>33.2184421146294</v>
      </c>
      <c r="H3005" s="6" t="n">
        <f aca="false">Sens!H2900*(al_lic+Sens!H3003)</f>
        <v>34.3782467188855</v>
      </c>
      <c r="I3005" s="6" t="n">
        <f aca="false">Sens!I2900*(al_lic+Sens!I3003)</f>
        <v>35.4396663788333</v>
      </c>
      <c r="J3005" s="6" t="n">
        <f aca="false">Sens!J2900*(al_lic+Sens!J3003)</f>
        <v>36.377709205557</v>
      </c>
      <c r="K3005" s="6" t="n">
        <f aca="false">Sens!K2900*(al_lic+Sens!K3003)</f>
        <v>37.1640354058437</v>
      </c>
    </row>
    <row r="3006" customFormat="false" ht="17.15" hidden="false" customHeight="false" outlineLevel="0" collapsed="false">
      <c r="A3006" s="0" t="s">
        <v>951</v>
      </c>
      <c r="B3006" s="0" t="s">
        <v>95</v>
      </c>
      <c r="F3006" s="6" t="n">
        <f aca="false">Sens!F2902*(al_ind+Sens!F3003)</f>
        <v>8.23708828923978</v>
      </c>
      <c r="G3006" s="6" t="n">
        <f aca="false">Sens!G2902*(al_ind+Sens!G3003)</f>
        <v>8.93609064049065</v>
      </c>
      <c r="H3006" s="6" t="n">
        <f aca="false">Sens!H2902*(al_ind+Sens!H3003)</f>
        <v>9.67804935051386</v>
      </c>
      <c r="I3006" s="6" t="n">
        <f aca="false">Sens!I2902*(al_ind+Sens!I3003)</f>
        <v>10.4606610595832</v>
      </c>
      <c r="J3006" s="6" t="n">
        <f aca="false">Sens!J2902*(al_ind+Sens!J3003)</f>
        <v>11.275039839171</v>
      </c>
      <c r="K3006" s="6" t="n">
        <f aca="false">Sens!K2902*(al_ind+Sens!K3003)</f>
        <v>12.106982482736</v>
      </c>
    </row>
    <row r="3007" customFormat="false" ht="17.15" hidden="false" customHeight="false" outlineLevel="0" collapsed="false">
      <c r="A3007" s="0" t="s">
        <v>952</v>
      </c>
      <c r="B3007" s="0" t="s">
        <v>95</v>
      </c>
      <c r="F3007" s="6" t="n">
        <f aca="false">Sens!F2904*(al_fro+Sens!F3003)</f>
        <v>3.24214686942203</v>
      </c>
      <c r="G3007" s="6" t="n">
        <f aca="false">Sens!G2904*(al_fro+Sens!G3003)</f>
        <v>3.43093048931594</v>
      </c>
      <c r="H3007" s="6" t="n">
        <f aca="false">Sens!H2904*(al_fro+Sens!H3003)</f>
        <v>3.6470202512287</v>
      </c>
      <c r="I3007" s="6" t="n">
        <f aca="false">Sens!I2904*(al_fro+Sens!I3003)</f>
        <v>3.89303230264912</v>
      </c>
      <c r="J3007" s="6" t="n">
        <f aca="false">Sens!J2904*(al_fro+Sens!J3003)</f>
        <v>4.16994303150246</v>
      </c>
      <c r="K3007" s="6" t="n">
        <f aca="false">Sens!K2904*(al_fro+Sens!K3003)</f>
        <v>4.47762739258926</v>
      </c>
    </row>
    <row r="3008" customFormat="false" ht="17.15" hidden="false" customHeight="false" outlineLevel="0" collapsed="false">
      <c r="A3008" s="0" t="s">
        <v>953</v>
      </c>
      <c r="B3008" s="0" t="s">
        <v>95</v>
      </c>
      <c r="F3008" s="6" t="n">
        <f aca="false">Sens!F2907*(al_srch+Sens!F3003)</f>
        <v>10.1729230470907</v>
      </c>
      <c r="G3008" s="6" t="n">
        <f aca="false">Sens!G2907*(al_srch+Sens!G3003)</f>
        <v>11.1403318971852</v>
      </c>
      <c r="H3008" s="6" t="n">
        <f aca="false">Sens!H2907*(al_srch+Sens!H3003)</f>
        <v>12.1511421371799</v>
      </c>
      <c r="I3008" s="6" t="n">
        <f aca="false">Sens!I2907*(al_srch+Sens!I3003)</f>
        <v>13.1963628712968</v>
      </c>
      <c r="J3008" s="6" t="n">
        <f aca="false">Sens!J2907*(al_srch+Sens!J3003)</f>
        <v>14.2578127803031</v>
      </c>
      <c r="K3008" s="6" t="n">
        <f aca="false">Sens!K2907*(al_srch+Sens!K3003)</f>
        <v>15.3098429837522</v>
      </c>
    </row>
    <row r="3009" customFormat="false" ht="17.15" hidden="false" customHeight="false" outlineLevel="0" collapsed="false">
      <c r="A3009" s="0" t="s">
        <v>954</v>
      </c>
      <c r="B3009" s="0" t="s">
        <v>95</v>
      </c>
      <c r="F3009" s="6" t="n">
        <f aca="false">Sens!F2876</f>
        <v>42.2725232832047</v>
      </c>
      <c r="G3009" s="6" t="n">
        <f aca="false">Sens!G2876</f>
        <v>74.8994122174047</v>
      </c>
      <c r="H3009" s="6" t="n">
        <f aca="false">Sens!H2876</f>
        <v>109.301944464422</v>
      </c>
      <c r="I3009" s="6" t="n">
        <f aca="false">Sens!I2876</f>
        <v>143.885318985404</v>
      </c>
      <c r="J3009" s="6" t="n">
        <f aca="false">Sens!J2876</f>
        <v>178.560182026459</v>
      </c>
      <c r="K3009" s="6" t="n">
        <f aca="false">Sens!K2876</f>
        <v>213.287721620486</v>
      </c>
    </row>
    <row r="3010" customFormat="false" ht="17.15" hidden="false" customHeight="false" outlineLevel="0" collapsed="false">
      <c r="A3010" s="0" t="s">
        <v>955</v>
      </c>
      <c r="B3010" s="0" t="s">
        <v>95</v>
      </c>
      <c r="F3010" s="6" t="n">
        <f aca="false">Sens!F2936+Sens!F2887+Sens!F3003*(Sens!F2906-Sens!F2870)</f>
        <v>213.814003735372</v>
      </c>
      <c r="G3010" s="6" t="n">
        <f aca="false">Sens!G2936+Sens!G2887+Sens!G3003*(Sens!G2906-Sens!G2870)</f>
        <v>265.618978669689</v>
      </c>
      <c r="H3010" s="6" t="n">
        <f aca="false">Sens!H2936+Sens!H2887+Sens!H3003*(Sens!H2906-Sens!H2870)</f>
        <v>319.422254968797</v>
      </c>
      <c r="I3010" s="6" t="n">
        <f aca="false">Sens!I2936+Sens!I2887+Sens!I3003*(Sens!I2906-Sens!I2870)</f>
        <v>372.265751341641</v>
      </c>
      <c r="J3010" s="6" t="n">
        <f aca="false">Sens!J2936+Sens!J2887+Sens!J3003*(Sens!J2906-Sens!J2870)</f>
        <v>423.248564496757</v>
      </c>
      <c r="K3010" s="6" t="n">
        <f aca="false">Sens!K2936+Sens!K2887+Sens!K3003*(Sens!K2906-Sens!K2870)</f>
        <v>472.352028919789</v>
      </c>
    </row>
    <row r="3011" customFormat="false" ht="17.15" hidden="false" customHeight="false" outlineLevel="0" collapsed="false">
      <c r="A3011" s="0" t="s">
        <v>956</v>
      </c>
      <c r="B3011" s="0" t="s">
        <v>95</v>
      </c>
      <c r="F3011" s="6" t="n">
        <f aca="false">Sens!F3010-Sens!F3004-Sens!F3005-Sens!F3006-Sens!F3007-Sens!F3009</f>
        <v>48.6131169118793</v>
      </c>
      <c r="G3011" s="6" t="n">
        <f aca="false">Sens!G3010-Sens!G3004-Sens!G3005-Sens!G3006-Sens!G3007-Sens!G3009</f>
        <v>53.9112546725665</v>
      </c>
      <c r="H3011" s="6" t="n">
        <f aca="false">Sens!H3010-Sens!H3004-Sens!H3005-Sens!H3006-Sens!H3007-Sens!H3009</f>
        <v>59.2825346583085</v>
      </c>
      <c r="I3011" s="6" t="n">
        <f aca="false">Sens!I3010-Sens!I3004-Sens!I3005-Sens!I3006-Sens!I3007-Sens!I3009</f>
        <v>64.4961049984018</v>
      </c>
      <c r="J3011" s="6" t="n">
        <f aca="false">Sens!J3010-Sens!J3004-Sens!J3005-Sens!J3006-Sens!J3007-Sens!J3009</f>
        <v>68.9511825618615</v>
      </c>
      <c r="K3011" s="6" t="n">
        <f aca="false">Sens!K3010-Sens!K3004-Sens!K3005-Sens!K3006-Sens!K3007-Sens!K3009</f>
        <v>71.9403020071832</v>
      </c>
    </row>
    <row r="3012" customFormat="false" ht="17.15" hidden="false" customHeight="false" outlineLevel="0" collapsed="false">
      <c r="A3012" s="0" t="s">
        <v>957</v>
      </c>
      <c r="B3012" s="0" t="s">
        <v>95</v>
      </c>
      <c r="F3012" s="6" t="n">
        <f aca="false">Sens!F2938+Sens!F3003*Sens!F2913</f>
        <v>23.7531412609386</v>
      </c>
      <c r="G3012" s="6" t="n">
        <f aca="false">Sens!G2938+Sens!G3003*Sens!G2913</f>
        <v>24.289549634664</v>
      </c>
      <c r="H3012" s="6" t="n">
        <f aca="false">Sens!H2938+Sens!H3003*Sens!H2913</f>
        <v>25.0756909710291</v>
      </c>
      <c r="I3012" s="6" t="n">
        <f aca="false">Sens!I2938+Sens!I3003*Sens!I2913</f>
        <v>26.084576762931</v>
      </c>
      <c r="J3012" s="6" t="n">
        <f aca="false">Sens!J2938+Sens!J3003*Sens!J2913</f>
        <v>27.2832671034962</v>
      </c>
      <c r="K3012" s="6" t="n">
        <f aca="false">Sens!K2938+Sens!K3003*Sens!K2913</f>
        <v>28.6364406758481</v>
      </c>
    </row>
    <row r="3013" customFormat="false" ht="17.15" hidden="false" customHeight="false" outlineLevel="0" collapsed="false">
      <c r="A3013" s="0" t="s">
        <v>958</v>
      </c>
      <c r="B3013" s="0" t="s">
        <v>95</v>
      </c>
      <c r="F3013" s="6" t="n">
        <f aca="false">(Sens!F3012-Sens!F3008)*Sens!F2909/(Sens!F2909+Sens!F2911)</f>
        <v>7.4445433554226</v>
      </c>
      <c r="G3013" s="6" t="n">
        <f aca="false">(Sens!G3012-Sens!G3008)*Sens!G2909/(Sens!G2909+Sens!G2911)</f>
        <v>7.07975003595558</v>
      </c>
      <c r="H3013" s="6" t="n">
        <f aca="false">(Sens!H3012-Sens!H3008)*Sens!H2909/(Sens!H2909+Sens!H2911)</f>
        <v>6.86478313784268</v>
      </c>
      <c r="I3013" s="6" t="n">
        <f aca="false">(Sens!I3012-Sens!I3008)*Sens!I2909/(Sens!I2909+Sens!I2911)</f>
        <v>6.78354606184423</v>
      </c>
      <c r="J3013" s="6" t="n">
        <f aca="false">(Sens!J3012-Sens!J3008)*Sens!J2909/(Sens!J2909+Sens!J2911)</f>
        <v>6.82477921474853</v>
      </c>
      <c r="K3013" s="6" t="n">
        <f aca="false">(Sens!K3012-Sens!K3008)*Sens!K2909/(Sens!K2909+Sens!K2911)</f>
        <v>6.98256541964795</v>
      </c>
    </row>
    <row r="3014" customFormat="false" ht="17.15" hidden="false" customHeight="false" outlineLevel="0" collapsed="false">
      <c r="A3014" s="0" t="s">
        <v>959</v>
      </c>
      <c r="B3014" s="0" t="s">
        <v>95</v>
      </c>
      <c r="F3014" s="6" t="n">
        <f aca="false">Sens!F3012-Sens!F3008-Sens!F3013</f>
        <v>6.1356748584253</v>
      </c>
      <c r="G3014" s="6" t="n">
        <f aca="false">Sens!G3012-Sens!G3008-Sens!G3013</f>
        <v>6.06946770152326</v>
      </c>
      <c r="H3014" s="6" t="n">
        <f aca="false">Sens!H3012-Sens!H3008-Sens!H3013</f>
        <v>6.05976569600657</v>
      </c>
      <c r="I3014" s="6" t="n">
        <f aca="false">Sens!I3012-Sens!I3008-Sens!I3013</f>
        <v>6.10466782979</v>
      </c>
      <c r="J3014" s="6" t="n">
        <f aca="false">Sens!J3012-Sens!J3008-Sens!J3013</f>
        <v>6.20067510844453</v>
      </c>
      <c r="K3014" s="6" t="n">
        <f aca="false">Sens!K3012-Sens!K3008-Sens!K3013</f>
        <v>6.34403227244794</v>
      </c>
    </row>
    <row r="3015" customFormat="false" ht="17.15" hidden="false" customHeight="false" outlineLevel="0" collapsed="false">
      <c r="A3015" s="1" t="s">
        <v>960</v>
      </c>
      <c r="B3015" s="0" t="s">
        <v>95</v>
      </c>
      <c r="C3015" s="6" t="n">
        <f aca="false">(w_ntm28*Sens!G3009+(1-w_ntm28)*Sens!H3009)*m_ai*1</f>
        <v>516.127960512341</v>
      </c>
    </row>
    <row r="3016" customFormat="false" ht="17.15" hidden="false" customHeight="false" outlineLevel="0" collapsed="false">
      <c r="A3016" s="1" t="s">
        <v>961</v>
      </c>
      <c r="B3016" s="0" t="s">
        <v>95</v>
      </c>
      <c r="C3016" s="6" t="n">
        <f aca="false">(w_ntm28*Sens!G3011+(1-w_ntm28)*Sens!H3011)*m_cloud*1</f>
        <v>769.05153560103</v>
      </c>
    </row>
    <row r="3017" customFormat="false" ht="17.15" hidden="false" customHeight="false" outlineLevel="0" collapsed="false">
      <c r="A3017" s="1" t="s">
        <v>962</v>
      </c>
      <c r="B3017" s="0" t="s">
        <v>95</v>
      </c>
      <c r="C3017" s="6" t="n">
        <f aca="false">(w_ntm28*Sens!G3004+(1-w_ntm28)*Sens!H3004)*m_sw*1</f>
        <v>1026.79623553955</v>
      </c>
    </row>
    <row r="3018" customFormat="false" ht="17.15" hidden="false" customHeight="false" outlineLevel="0" collapsed="false">
      <c r="A3018" s="1" t="s">
        <v>963</v>
      </c>
      <c r="B3018" s="0" t="s">
        <v>95</v>
      </c>
      <c r="C3018" s="6" t="n">
        <f aca="false">(w_ntm28*Sens!G3005+(1-w_ntm28)*Sens!H3005)*m_sw*1</f>
        <v>362.808640557625</v>
      </c>
    </row>
    <row r="3019" customFormat="false" ht="17.15" hidden="false" customHeight="false" outlineLevel="0" collapsed="false">
      <c r="A3019" s="1" t="s">
        <v>964</v>
      </c>
      <c r="B3019" s="0" t="s">
        <v>95</v>
      </c>
      <c r="C3019" s="6" t="n">
        <f aca="false">(w_ntm28*Sens!G3006+(1-w_ntm28)*Sens!H3006)*m_sw*1</f>
        <v>99.1003328352541</v>
      </c>
    </row>
    <row r="3020" customFormat="false" ht="17.15" hidden="false" customHeight="false" outlineLevel="0" collapsed="false">
      <c r="A3020" s="1" t="s">
        <v>965</v>
      </c>
      <c r="B3020" s="0" t="s">
        <v>95</v>
      </c>
      <c r="C3020" s="6" t="n">
        <f aca="false">(w_ntm28*Sens!G3007+(1-w_ntm28)*Sens!H3007)*m_sw*1</f>
        <v>37.8085281683974</v>
      </c>
    </row>
    <row r="3021" customFormat="false" ht="17.15" hidden="false" customHeight="false" outlineLevel="0" collapsed="false">
      <c r="A3021" s="1" t="s">
        <v>966</v>
      </c>
      <c r="B3021" s="0" t="s">
        <v>95</v>
      </c>
      <c r="C3021" s="6" t="n">
        <f aca="false">(w_ntm28*Sens!G3008+(1-w_ntm28)*Sens!H3008)*m_ads*1</f>
        <v>104.465412054013</v>
      </c>
    </row>
    <row r="3022" customFormat="false" ht="17.15" hidden="false" customHeight="false" outlineLevel="0" collapsed="false">
      <c r="A3022" s="1" t="s">
        <v>967</v>
      </c>
      <c r="B3022" s="0" t="s">
        <v>95</v>
      </c>
      <c r="C3022" s="6" t="n">
        <f aca="false">(w_ntm28*Sens!G3013+(1-w_ntm28)*Sens!H3013)*m_game*1</f>
        <v>88.5395066063557</v>
      </c>
    </row>
    <row r="3023" customFormat="false" ht="17.15" hidden="false" customHeight="false" outlineLevel="0" collapsed="false">
      <c r="A3023" s="1" t="s">
        <v>968</v>
      </c>
      <c r="B3023" s="0" t="s">
        <v>95</v>
      </c>
      <c r="C3023" s="6" t="n">
        <f aca="false">(w_ntm28*Sens!G3014+(1-w_ntm28)*Sens!H3014)*m_pc*1</f>
        <v>87.7798119250428</v>
      </c>
    </row>
    <row r="3024" customFormat="false" ht="17.15" hidden="false" customHeight="false" outlineLevel="0" collapsed="false">
      <c r="A3024" s="1" t="s">
        <v>969</v>
      </c>
      <c r="B3024" s="0" t="s">
        <v>95</v>
      </c>
      <c r="C3024" s="6" t="n">
        <f aca="false">Sens!$C$3015+Sens!$C$3016+Sens!$C$3017+Sens!$C$3018+Sens!$C$3019+Sens!$C$3020+Sens!$C$3021+Sens!$C$3022+Sens!$C$3023</f>
        <v>3092.47796379961</v>
      </c>
    </row>
    <row r="3025" customFormat="false" ht="17.15" hidden="false" customHeight="false" outlineLevel="0" collapsed="false">
      <c r="A3025" s="1" t="s">
        <v>903</v>
      </c>
      <c r="B3025" s="0" t="s">
        <v>95</v>
      </c>
      <c r="C3025" s="6" t="n">
        <f aca="false">Sens!F2982+oai_v-Sens!F2971</f>
        <v>87.0239335562719</v>
      </c>
      <c r="L3025" s="1" t="s">
        <v>970</v>
      </c>
    </row>
    <row r="3026" customFormat="false" ht="15" hidden="false" customHeight="false" outlineLevel="0" collapsed="false">
      <c r="A3026" s="1" t="s">
        <v>904</v>
      </c>
      <c r="B3026" s="0" t="s">
        <v>73</v>
      </c>
      <c r="C3026" s="5" t="n">
        <f aca="false">(Sens!$C$3024+Sens!$C$3025)/Sens!F2984</f>
        <v>425.522202536922</v>
      </c>
    </row>
    <row r="3027" customFormat="false" ht="17.15" hidden="false" customHeight="false" outlineLevel="0" collapsed="false">
      <c r="A3027" s="1" t="s">
        <v>971</v>
      </c>
      <c r="B3027" s="0" t="s">
        <v>73</v>
      </c>
      <c r="C3027" s="5" t="n">
        <f aca="false">w_dcf*Sens!$C$3002+(1-w_dcf)*Sens!$C$3026</f>
        <v>323.324793808071</v>
      </c>
    </row>
    <row r="3028" customFormat="false" ht="17.15" hidden="false" customHeight="false" outlineLevel="0" collapsed="false">
      <c r="A3028" s="3" t="s">
        <v>1199</v>
      </c>
    </row>
    <row r="3029" customFormat="false" ht="15" hidden="false" customHeight="false" outlineLevel="0" collapsed="false">
      <c r="A3029" s="4" t="s">
        <v>43</v>
      </c>
      <c r="B3029" s="4" t="s">
        <v>63</v>
      </c>
      <c r="C3029" s="19" t="s">
        <v>710</v>
      </c>
      <c r="D3029" s="19" t="s">
        <v>711</v>
      </c>
      <c r="E3029" s="19" t="s">
        <v>712</v>
      </c>
      <c r="F3029" s="19" t="s">
        <v>713</v>
      </c>
      <c r="G3029" s="19" t="s">
        <v>714</v>
      </c>
      <c r="H3029" s="19" t="s">
        <v>715</v>
      </c>
      <c r="I3029" s="19" t="s">
        <v>716</v>
      </c>
      <c r="J3029" s="19" t="s">
        <v>717</v>
      </c>
      <c r="K3029" s="19" t="s">
        <v>718</v>
      </c>
      <c r="L3029" s="4" t="s">
        <v>47</v>
      </c>
    </row>
    <row r="3030" customFormat="false" ht="17.15" hidden="false" customHeight="false" outlineLevel="0" collapsed="false">
      <c r="A3030" s="1" t="s">
        <v>719</v>
      </c>
      <c r="B3030" s="0" t="s">
        <v>340</v>
      </c>
      <c r="C3030" s="27" t="n">
        <f aca="false">mw_ext_24</f>
        <v>640</v>
      </c>
      <c r="D3030" s="27" t="n">
        <f aca="false">mw_ext_25</f>
        <v>1630</v>
      </c>
      <c r="E3030" s="27" t="n">
        <f aca="false">mw_ext_26</f>
        <v>3250</v>
      </c>
      <c r="F3030" s="27" t="n">
        <f aca="false">MIN(1000000000,Sens!E3030+pace*1.2)</f>
        <v>6282.64</v>
      </c>
      <c r="G3030" s="27" t="n">
        <f aca="false">MIN(1000000000,Sens!F3030+pace*1.2)</f>
        <v>9315.28</v>
      </c>
      <c r="H3030" s="27" t="n">
        <f aca="false">MIN(1000000000,Sens!G3030+pace*1.2)</f>
        <v>12347.92</v>
      </c>
      <c r="I3030" s="27" t="n">
        <f aca="false">MIN(1000000000,Sens!H3030+pace*1.2)</f>
        <v>15380.56</v>
      </c>
      <c r="J3030" s="27" t="n">
        <f aca="false">MIN(1000000000,Sens!I3030+pace*1.2)</f>
        <v>18413.2</v>
      </c>
      <c r="K3030" s="27" t="n">
        <f aca="false">MIN(1000000000,Sens!J3030+pace*1.2)</f>
        <v>21445.84</v>
      </c>
      <c r="L3030" s="11" t="s">
        <v>720</v>
      </c>
    </row>
    <row r="3031" customFormat="false" ht="17.15" hidden="false" customHeight="false" outlineLevel="0" collapsed="false">
      <c r="A3031" s="1" t="s">
        <v>721</v>
      </c>
      <c r="B3031" s="0" t="s">
        <v>340</v>
      </c>
      <c r="C3031" s="27" t="n">
        <f aca="false">rent_ext_24</f>
        <v>150</v>
      </c>
      <c r="D3031" s="27" t="n">
        <f aca="false">rent_ext_25</f>
        <v>400</v>
      </c>
      <c r="E3031" s="27" t="n">
        <f aca="false">rent_ext_26</f>
        <v>550</v>
      </c>
      <c r="F3031" s="27" t="n">
        <f aca="false">rent_ext_f</f>
        <v>756</v>
      </c>
      <c r="G3031" s="27" t="n">
        <f aca="false">rent_ext_f</f>
        <v>756</v>
      </c>
      <c r="H3031" s="27" t="n">
        <f aca="false">rent_ext_f</f>
        <v>756</v>
      </c>
      <c r="I3031" s="27" t="n">
        <f aca="false">rent_ext_f</f>
        <v>756</v>
      </c>
      <c r="J3031" s="27" t="n">
        <f aca="false">rent_ext_f</f>
        <v>756</v>
      </c>
      <c r="K3031" s="27" t="n">
        <f aca="false">rent_ext_f</f>
        <v>756</v>
      </c>
      <c r="L3031" s="1" t="s">
        <v>722</v>
      </c>
    </row>
    <row r="3032" customFormat="false" ht="17.15" hidden="false" customHeight="false" outlineLevel="0" collapsed="false">
      <c r="A3032" s="1" t="s">
        <v>723</v>
      </c>
      <c r="B3032" s="0" t="s">
        <v>340</v>
      </c>
      <c r="C3032" s="27" t="n">
        <f aca="false">Sens!C3030-Sens!C3031</f>
        <v>490</v>
      </c>
      <c r="D3032" s="27" t="n">
        <f aca="false">Sens!D3030-Sens!D3031</f>
        <v>1230</v>
      </c>
      <c r="E3032" s="27" t="n">
        <f aca="false">Sens!E3030-Sens!E3031</f>
        <v>2700</v>
      </c>
      <c r="F3032" s="27" t="n">
        <f aca="false">Sens!F3030-Sens!F3031</f>
        <v>5526.64</v>
      </c>
      <c r="G3032" s="27" t="n">
        <f aca="false">Sens!G3030-Sens!G3031</f>
        <v>8559.28</v>
      </c>
      <c r="H3032" s="27" t="n">
        <f aca="false">Sens!H3030-Sens!H3031</f>
        <v>11591.92</v>
      </c>
      <c r="I3032" s="27" t="n">
        <f aca="false">Sens!I3030-Sens!I3031</f>
        <v>14624.56</v>
      </c>
      <c r="J3032" s="27" t="n">
        <f aca="false">Sens!J3030-Sens!J3031</f>
        <v>17657.2</v>
      </c>
      <c r="K3032" s="27" t="n">
        <f aca="false">Sens!K3030-Sens!K3031</f>
        <v>20689.84</v>
      </c>
    </row>
    <row r="3033" customFormat="false" ht="17.15" hidden="false" customHeight="false" outlineLevel="0" collapsed="false">
      <c r="A3033" s="1" t="s">
        <v>724</v>
      </c>
      <c r="B3033" s="0" t="s">
        <v>340</v>
      </c>
      <c r="C3033" s="27" t="n">
        <f aca="false">Sens!C3032/ext_sh</f>
        <v>816.666666666667</v>
      </c>
      <c r="D3033" s="27" t="n">
        <f aca="false">Sens!D3032/ext_sh</f>
        <v>2050</v>
      </c>
      <c r="E3033" s="27" t="n">
        <f aca="false">Sens!E3032/ext_sh</f>
        <v>4500</v>
      </c>
      <c r="F3033" s="27" t="n">
        <f aca="false">Sens!F3032/ext_sh</f>
        <v>9211.06666666667</v>
      </c>
      <c r="G3033" s="27" t="n">
        <f aca="false">Sens!G3032/ext_sh</f>
        <v>14265.4666666667</v>
      </c>
      <c r="H3033" s="27" t="n">
        <f aca="false">Sens!H3032/ext_sh</f>
        <v>19319.8666666667</v>
      </c>
      <c r="I3033" s="27" t="n">
        <f aca="false">Sens!I3032/ext_sh</f>
        <v>24374.2666666667</v>
      </c>
      <c r="J3033" s="27" t="n">
        <f aca="false">Sens!J3032/ext_sh</f>
        <v>29428.6666666667</v>
      </c>
      <c r="K3033" s="27" t="n">
        <f aca="false">Sens!K3032/ext_sh</f>
        <v>34483.0666666667</v>
      </c>
      <c r="L3033" s="1" t="s">
        <v>725</v>
      </c>
    </row>
    <row r="3034" customFormat="false" ht="17.15" hidden="false" customHeight="false" outlineLevel="0" collapsed="false">
      <c r="A3034" s="1" t="s">
        <v>726</v>
      </c>
      <c r="B3034" s="0" t="s">
        <v>340</v>
      </c>
      <c r="C3034" s="27" t="n">
        <f aca="false">Sens!C3033-Sens!C3032</f>
        <v>326.666666666667</v>
      </c>
      <c r="D3034" s="27" t="n">
        <f aca="false">Sens!D3033-Sens!D3032</f>
        <v>820</v>
      </c>
      <c r="E3034" s="27" t="n">
        <f aca="false">Sens!E3033-Sens!E3032</f>
        <v>1800</v>
      </c>
      <c r="F3034" s="27" t="n">
        <f aca="false">Sens!F3033-Sens!F3032</f>
        <v>3684.42666666667</v>
      </c>
      <c r="G3034" s="27" t="n">
        <f aca="false">Sens!G3033-Sens!G3032</f>
        <v>5706.18666666667</v>
      </c>
      <c r="H3034" s="27" t="n">
        <f aca="false">Sens!H3033-Sens!H3032</f>
        <v>7727.94666666667</v>
      </c>
      <c r="I3034" s="27" t="n">
        <f aca="false">Sens!I3033-Sens!I3032</f>
        <v>9749.70666666667</v>
      </c>
      <c r="J3034" s="27" t="n">
        <f aca="false">Sens!J3033-Sens!J3032</f>
        <v>11771.4666666667</v>
      </c>
      <c r="K3034" s="27" t="n">
        <f aca="false">Sens!K3033-Sens!K3032</f>
        <v>13793.2266666667</v>
      </c>
    </row>
    <row r="3035" customFormat="false" ht="17.15" hidden="false" customHeight="false" outlineLevel="0" collapsed="false">
      <c r="A3035" s="1" t="s">
        <v>727</v>
      </c>
      <c r="B3035" s="0" t="s">
        <v>340</v>
      </c>
      <c r="C3035" s="27" t="n">
        <f aca="false">Sens!C3033</f>
        <v>816.666666666667</v>
      </c>
      <c r="D3035" s="27" t="n">
        <f aca="false">Sens!D3033-Sens!C3033</f>
        <v>1233.33333333333</v>
      </c>
      <c r="E3035" s="27" t="n">
        <f aca="false">Sens!E3033-Sens!D3033</f>
        <v>2450</v>
      </c>
      <c r="F3035" s="27" t="n">
        <f aca="false">Sens!F3033-Sens!E3033</f>
        <v>4711.06666666667</v>
      </c>
      <c r="G3035" s="27" t="n">
        <f aca="false">Sens!G3033-Sens!F3033</f>
        <v>5054.4</v>
      </c>
      <c r="H3035" s="27" t="n">
        <f aca="false">Sens!H3033-Sens!G3033</f>
        <v>5054.4</v>
      </c>
      <c r="I3035" s="27" t="n">
        <f aca="false">Sens!I3033-Sens!H3033</f>
        <v>5054.4</v>
      </c>
      <c r="J3035" s="27" t="n">
        <f aca="false">Sens!J3033-Sens!I3033</f>
        <v>5054.4</v>
      </c>
      <c r="K3035" s="27" t="n">
        <f aca="false">Sens!K3033-Sens!J3033</f>
        <v>5054.4</v>
      </c>
    </row>
    <row r="3036" customFormat="false" ht="17.15" hidden="false" customHeight="false" outlineLevel="0" collapsed="false">
      <c r="A3036" s="1" t="s">
        <v>728</v>
      </c>
      <c r="B3036" s="0" t="s">
        <v>340</v>
      </c>
      <c r="D3036" s="27" t="n">
        <f aca="false">Sens!D3030-Sens!C3030</f>
        <v>990</v>
      </c>
      <c r="E3036" s="27" t="n">
        <f aca="false">Sens!E3030-Sens!D3030</f>
        <v>1620</v>
      </c>
      <c r="F3036" s="27" t="n">
        <f aca="false">Sens!F3030-Sens!E3030</f>
        <v>3032.64</v>
      </c>
      <c r="G3036" s="27" t="n">
        <f aca="false">Sens!G3030-Sens!F3030</f>
        <v>3032.64</v>
      </c>
      <c r="H3036" s="27" t="n">
        <f aca="false">Sens!H3030-Sens!G3030</f>
        <v>3032.64</v>
      </c>
      <c r="I3036" s="27" t="n">
        <f aca="false">Sens!I3030-Sens!H3030</f>
        <v>3032.64</v>
      </c>
      <c r="J3036" s="27" t="n">
        <f aca="false">Sens!J3030-Sens!I3030</f>
        <v>3032.64</v>
      </c>
      <c r="K3036" s="27" t="n">
        <f aca="false">Sens!K3030-Sens!J3030</f>
        <v>3032.64</v>
      </c>
    </row>
    <row r="3037" customFormat="false" ht="17.15" hidden="false" customHeight="false" outlineLevel="0" collapsed="false">
      <c r="A3037" s="1" t="s">
        <v>729</v>
      </c>
      <c r="B3037" s="0" t="s">
        <v>340</v>
      </c>
      <c r="C3037" s="27" t="n">
        <f aca="false">mix_h*Sens!C3030</f>
        <v>128</v>
      </c>
      <c r="D3037" s="27" t="n">
        <f aca="false">mix_h*Sens!D3030</f>
        <v>326</v>
      </c>
      <c r="E3037" s="27" t="n">
        <f aca="false">mix_h*Sens!E3030</f>
        <v>650</v>
      </c>
      <c r="F3037" s="27" t="n">
        <f aca="false">Sens!E3037</f>
        <v>650</v>
      </c>
      <c r="G3037" s="27" t="n">
        <f aca="false">Sens!F3037</f>
        <v>650</v>
      </c>
      <c r="H3037" s="27" t="n">
        <f aca="false">Sens!G3037</f>
        <v>650</v>
      </c>
      <c r="I3037" s="27" t="n">
        <f aca="false">Sens!H3037</f>
        <v>650</v>
      </c>
      <c r="J3037" s="27" t="n">
        <f aca="false">Sens!I3037</f>
        <v>650</v>
      </c>
      <c r="K3037" s="27" t="n">
        <f aca="false">Sens!J3037</f>
        <v>650</v>
      </c>
    </row>
    <row r="3038" customFormat="false" ht="17.15" hidden="false" customHeight="false" outlineLevel="0" collapsed="false">
      <c r="A3038" s="1" t="s">
        <v>730</v>
      </c>
      <c r="B3038" s="0" t="s">
        <v>340</v>
      </c>
      <c r="C3038" s="27" t="n">
        <f aca="false">mix_g2*Sens!C3030</f>
        <v>288</v>
      </c>
      <c r="D3038" s="27" t="n">
        <f aca="false">mix_g2*Sens!D3030</f>
        <v>733.5</v>
      </c>
      <c r="E3038" s="27" t="n">
        <f aca="false">mix_g2*Sens!E3030</f>
        <v>1462.5</v>
      </c>
      <c r="F3038" s="27" t="n">
        <f aca="false">Sens!E3038</f>
        <v>1462.5</v>
      </c>
      <c r="G3038" s="27" t="n">
        <f aca="false">Sens!F3038</f>
        <v>1462.5</v>
      </c>
      <c r="H3038" s="27" t="n">
        <f aca="false">Sens!G3038</f>
        <v>1462.5</v>
      </c>
      <c r="I3038" s="27" t="n">
        <f aca="false">Sens!H3038</f>
        <v>1462.5</v>
      </c>
      <c r="J3038" s="27" t="n">
        <f aca="false">Sens!I3038</f>
        <v>1462.5</v>
      </c>
      <c r="K3038" s="27" t="n">
        <f aca="false">Sens!J3038</f>
        <v>1462.5</v>
      </c>
    </row>
    <row r="3039" customFormat="false" ht="17.15" hidden="false" customHeight="false" outlineLevel="0" collapsed="false">
      <c r="A3039" s="1" t="s">
        <v>731</v>
      </c>
      <c r="B3039" s="0" t="s">
        <v>340</v>
      </c>
      <c r="C3039" s="27" t="n">
        <f aca="false">mix_g3*Sens!C3030</f>
        <v>224</v>
      </c>
      <c r="D3039" s="27" t="n">
        <f aca="false">mix_g3*Sens!D3030</f>
        <v>570.5</v>
      </c>
      <c r="E3039" s="27" t="n">
        <f aca="false">mix_g3*Sens!E3030</f>
        <v>1137.5</v>
      </c>
      <c r="F3039" s="27" t="n">
        <f aca="false">Sens!E3039+Sens!F3036*a_g3_27</f>
        <v>3260.348</v>
      </c>
      <c r="G3039" s="27" t="n">
        <f aca="false">Sens!F3039+Sens!G3036*a_g3_28</f>
        <v>4170.14</v>
      </c>
      <c r="H3039" s="27" t="n">
        <f aca="false">Sens!G3039+Sens!H3036*a_g3_29</f>
        <v>4473.404</v>
      </c>
      <c r="I3039" s="27" t="n">
        <f aca="false">Sens!H3039+Sens!I3036*a_g3_29</f>
        <v>4776.668</v>
      </c>
      <c r="J3039" s="27" t="n">
        <f aca="false">Sens!I3039+Sens!J3036*a_g3_29</f>
        <v>5079.932</v>
      </c>
      <c r="K3039" s="27" t="n">
        <f aca="false">Sens!J3039+Sens!K3036*a_g3_29</f>
        <v>5383.196</v>
      </c>
    </row>
    <row r="3040" customFormat="false" ht="17.15" hidden="false" customHeight="false" outlineLevel="0" collapsed="false">
      <c r="A3040" s="1" t="s">
        <v>732</v>
      </c>
      <c r="B3040" s="0" t="s">
        <v>340</v>
      </c>
      <c r="C3040" s="27" t="n">
        <f aca="false">0</f>
        <v>0</v>
      </c>
      <c r="D3040" s="27" t="n">
        <f aca="false">0</f>
        <v>0</v>
      </c>
      <c r="E3040" s="27" t="n">
        <f aca="false">0</f>
        <v>0</v>
      </c>
      <c r="F3040" s="27" t="n">
        <f aca="false">Sens!E3040+Sens!F3036*(1-a_g3_27)</f>
        <v>909.792</v>
      </c>
      <c r="G3040" s="27" t="n">
        <f aca="false">Sens!F3040+Sens!G3036*(1-a_g3_28)</f>
        <v>3032.64</v>
      </c>
      <c r="H3040" s="27" t="n">
        <f aca="false">Sens!G3040+Sens!H3036*(1-a_g3_29)</f>
        <v>5762.016</v>
      </c>
      <c r="I3040" s="27" t="n">
        <f aca="false">Sens!H3040+Sens!I3036*(1-a_g3_29)</f>
        <v>8491.392</v>
      </c>
      <c r="J3040" s="27" t="n">
        <f aca="false">Sens!I3040+Sens!J3036*(1-a_g3_29)</f>
        <v>11220.768</v>
      </c>
      <c r="K3040" s="27" t="n">
        <f aca="false">Sens!J3040+Sens!K3036*(1-a_g3_29)</f>
        <v>13950.144</v>
      </c>
    </row>
    <row r="3041" customFormat="false" ht="17.15" hidden="false" customHeight="false" outlineLevel="0" collapsed="false">
      <c r="A3041" s="1" t="s">
        <v>733</v>
      </c>
      <c r="B3041" s="0" t="s">
        <v>291</v>
      </c>
      <c r="C3041" s="18" t="n">
        <f aca="false">(Sens!C3037*tk_hold_h100+Sens!C3038*tk_hold_gb200+Sens!C3039*tk_hold_gb300+Sens!C3040*tk_hold_vr200)/Sens!C3030</f>
        <v>9.7235358126469</v>
      </c>
      <c r="D3041" s="18" t="n">
        <f aca="false">(Sens!D3037*tk_hold_h100+Sens!D3038*tk_hold_gb200+Sens!D3039*tk_hold_gb300+Sens!D3040*tk_hold_vr200)/Sens!D3030</f>
        <v>9.7235358126469</v>
      </c>
      <c r="E3041" s="18" t="n">
        <f aca="false">(Sens!E3037*tk_hold_h100+Sens!E3038*tk_hold_gb200+Sens!E3039*tk_hold_gb300+Sens!E3040*tk_hold_vr200)/Sens!E3030</f>
        <v>9.7235358126469</v>
      </c>
      <c r="F3041" s="18" t="n">
        <f aca="false">(Sens!F3037*tk_hold_h100+Sens!F3038*tk_hold_gb200+Sens!F3039*tk_hold_gb300+Sens!F3040*tk_hold_vr200)/Sens!F3030</f>
        <v>10.4787673542193</v>
      </c>
      <c r="G3041" s="18" t="n">
        <f aca="false">(Sens!G3037*tk_hold_h100+Sens!G3038*tk_hold_gb200+Sens!G3039*tk_hold_gb300+Sens!G3040*tk_hold_vr200)/Sens!G3030</f>
        <v>10.9166347377517</v>
      </c>
      <c r="H3041" s="18" t="n">
        <f aca="false">(Sens!H3037*tk_hold_h100+Sens!H3038*tk_hold_gb200+Sens!H3039*tk_hold_gb300+Sens!H3040*tk_hold_vr200)/Sens!H3030</f>
        <v>11.2051967403931</v>
      </c>
      <c r="I3041" s="18" t="n">
        <f aca="false">(Sens!I3037*tk_hold_h100+Sens!I3038*tk_hold_gb200+Sens!I3039*tk_hold_gb300+Sens!I3040*tk_hold_vr200)/Sens!I3030</f>
        <v>11.379965139721</v>
      </c>
      <c r="J3041" s="18" t="n">
        <f aca="false">(Sens!J3037*tk_hold_h100+Sens!J3038*tk_hold_gb200+Sens!J3039*tk_hold_gb300+Sens!J3040*tk_hold_vr200)/Sens!J3030</f>
        <v>11.4971650948308</v>
      </c>
      <c r="K3041" s="18" t="n">
        <f aca="false">(Sens!K3037*tk_hold_h100+Sens!K3038*tk_hold_gb200+Sens!K3039*tk_hold_gb300+Sens!K3040*tk_hold_vr200)/Sens!K3030</f>
        <v>11.5812187360761</v>
      </c>
    </row>
    <row r="3042" customFormat="false" ht="17.15" hidden="false" customHeight="false" outlineLevel="0" collapsed="false">
      <c r="A3042" s="0" t="s">
        <v>734</v>
      </c>
      <c r="B3042" s="0" t="s">
        <v>182</v>
      </c>
      <c r="C3042" s="18" t="n">
        <f aca="false">k_B</f>
        <v>1.17213932619116</v>
      </c>
      <c r="D3042" s="18" t="n">
        <f aca="false">k_B</f>
        <v>1.17213932619116</v>
      </c>
      <c r="E3042" s="18" t="n">
        <f aca="false">k_B</f>
        <v>1.17213932619116</v>
      </c>
      <c r="F3042" s="18" t="n">
        <f aca="false">(k_B+((ls_C*k_long+(1-ls_C)*k_spot)-k_B)*MIN(1,1/3))*1</f>
        <v>1.07843258004497</v>
      </c>
      <c r="G3042" s="18" t="n">
        <f aca="false">(k_B+((ls_C*k_long+(1-ls_C)*k_spot)-k_B)*MIN(1,2/3))*1</f>
        <v>0.984725833898784</v>
      </c>
      <c r="H3042" s="18" t="n">
        <f aca="false">(k_B+((ls_C*k_long+(1-ls_C)*k_spot)-k_B)*MIN(1,3/3))*1</f>
        <v>0.891019087752599</v>
      </c>
      <c r="I3042" s="18" t="n">
        <f aca="false">(k_B+((ls_C*k_long+(1-ls_C)*k_spot)-k_B)*MIN(1,4/3))*1</f>
        <v>0.891019087752599</v>
      </c>
      <c r="J3042" s="18" t="n">
        <f aca="false">(k_B+((ls_C*k_long+(1-ls_C)*k_spot)-k_B)*MIN(1,5/3))*1</f>
        <v>0.891019087752599</v>
      </c>
      <c r="K3042" s="18" t="n">
        <f aca="false">(k_B+((ls_C*k_long+(1-ls_C)*k_spot)-k_B)*MIN(1,6/3))*1</f>
        <v>0.891019087752599</v>
      </c>
      <c r="L3042" s="1" t="s">
        <v>735</v>
      </c>
    </row>
    <row r="3043" customFormat="false" ht="17.15" hidden="false" customHeight="false" outlineLevel="0" collapsed="false">
      <c r="A3043" s="1" t="s">
        <v>736</v>
      </c>
      <c r="B3043" s="0" t="s">
        <v>291</v>
      </c>
      <c r="C3043" s="18" t="n">
        <f aca="false">Sens!C3041*Sens!C3042*chip_f</f>
        <v>11.3973387156315</v>
      </c>
      <c r="D3043" s="18" t="n">
        <f aca="false">Sens!D3041*Sens!D3042*chip_f</f>
        <v>11.3973387156315</v>
      </c>
      <c r="E3043" s="18" t="n">
        <f aca="false">Sens!E3041*Sens!E3042*chip_f</f>
        <v>11.3973387156315</v>
      </c>
      <c r="F3043" s="18" t="n">
        <f aca="false">Sens!F3041*Sens!F3042*chip_f</f>
        <v>11.3006441135017</v>
      </c>
      <c r="G3043" s="18" t="n">
        <f aca="false">Sens!G3041*Sens!G3042*chip_f</f>
        <v>10.749892245501</v>
      </c>
      <c r="H3043" s="18" t="n">
        <f aca="false">Sens!H3041*Sens!H3042*chip_f</f>
        <v>9.98404417771349</v>
      </c>
      <c r="I3043" s="18" t="n">
        <f aca="false">Sens!I3041*Sens!I3042*chip_f</f>
        <v>10.1397661574506</v>
      </c>
      <c r="J3043" s="18" t="n">
        <f aca="false">Sens!J3041*Sens!J3042*chip_f</f>
        <v>10.2441935545372</v>
      </c>
      <c r="K3043" s="18" t="n">
        <f aca="false">Sens!K3041*Sens!K3042*chip_f</f>
        <v>10.3190869532818</v>
      </c>
      <c r="L3043" s="1" t="s">
        <v>737</v>
      </c>
    </row>
    <row r="3044" customFormat="false" ht="17.15" hidden="false" customHeight="false" outlineLevel="0" collapsed="false">
      <c r="A3044" s="0" t="s">
        <v>738</v>
      </c>
      <c r="B3044" s="0" t="s">
        <v>95</v>
      </c>
      <c r="D3044" s="6" t="n">
        <f aca="false">(Sens!C3030+Sens!D3030)/2*Sens!D3043/1000</f>
        <v>12.9359794422418</v>
      </c>
      <c r="E3044" s="6" t="n">
        <f aca="false">(Sens!D3030+Sens!E3030)/2*Sens!E3043/1000</f>
        <v>27.8095064661409</v>
      </c>
      <c r="F3044" s="6" t="n">
        <f aca="false">(Sens!E3030+Sens!F3030)/2*Sens!F3043/1000</f>
        <v>53.8624860510656</v>
      </c>
      <c r="G3044" s="6" t="n">
        <f aca="false">(Sens!F3030+Sens!G3030)/2*Sens!G3043/1000</f>
        <v>83.8379796269722</v>
      </c>
      <c r="H3044" s="6" t="n">
        <f aca="false">(Sens!G3030+Sens!H3030)/2*Sens!H3043/1000</f>
        <v>108.143172915321</v>
      </c>
      <c r="I3044" s="6" t="n">
        <f aca="false">(Sens!H3030+Sens!I3030)/2*Sens!I3043/1000</f>
        <v>140.580151550772</v>
      </c>
      <c r="J3044" s="6" t="n">
        <f aca="false">(Sens!I3030+Sens!J3030)/2*Sens!J3043/1000</f>
        <v>173.094909187788</v>
      </c>
      <c r="K3044" s="6" t="n">
        <f aca="false">(Sens!J3030+Sens!K3030)/2*Sens!K3043/1000</f>
        <v>205.654449817169</v>
      </c>
      <c r="L3044" s="11" t="s">
        <v>739</v>
      </c>
    </row>
    <row r="3045" customFormat="false" ht="17.15" hidden="false" customHeight="false" outlineLevel="0" collapsed="false">
      <c r="A3045" s="1" t="s">
        <v>740</v>
      </c>
      <c r="B3045" s="0" t="s">
        <v>291</v>
      </c>
      <c r="C3045" s="18" t="n">
        <f aca="false">(Sens!C3037*tk_opex_h100+Sens!C3038*tk_opex_gb200+Sens!C3039*tk_opex_gb300+Sens!C3040*tk_opex_vr200)/Sens!C3030</f>
        <v>1.88636041306092</v>
      </c>
      <c r="D3045" s="18" t="n">
        <f aca="false">(Sens!D3037*tk_opex_h100+Sens!D3038*tk_opex_gb200+Sens!D3039*tk_opex_gb300+Sens!D3040*tk_opex_vr200)/Sens!D3030</f>
        <v>1.88636041306092</v>
      </c>
      <c r="E3045" s="18" t="n">
        <f aca="false">(Sens!E3037*tk_opex_h100+Sens!E3038*tk_opex_gb200+Sens!E3039*tk_opex_gb300+Sens!E3040*tk_opex_vr200)/Sens!E3030</f>
        <v>1.88636041306092</v>
      </c>
      <c r="F3045" s="18" t="n">
        <f aca="false">(Sens!F3037*tk_opex_h100+Sens!F3038*tk_opex_gb200+Sens!F3039*tk_opex_gb300+Sens!F3040*tk_opex_vr200)/Sens!F3030</f>
        <v>1.94888600845409</v>
      </c>
      <c r="G3045" s="18" t="n">
        <f aca="false">(Sens!G3037*tk_opex_h100+Sens!G3038*tk_opex_gb200+Sens!G3039*tk_opex_gb300+Sens!G3040*tk_opex_vr200)/Sens!G3030</f>
        <v>1.98513703526054</v>
      </c>
      <c r="H3045" s="18" t="n">
        <f aca="false">(Sens!H3037*tk_opex_h100+Sens!H3038*tk_opex_gb200+Sens!H3039*tk_opex_gb300+Sens!H3040*tk_opex_vr200)/Sens!H3030</f>
        <v>2.00902707431457</v>
      </c>
      <c r="I3045" s="18" t="n">
        <f aca="false">(Sens!I3037*tk_opex_h100+Sens!I3038*tk_opex_gb200+Sens!I3039*tk_opex_gb300+Sens!I3040*tk_opex_vr200)/Sens!I3030</f>
        <v>2.02349614455644</v>
      </c>
      <c r="J3045" s="18" t="n">
        <f aca="false">(Sens!J3037*tk_opex_h100+Sens!J3038*tk_opex_gb200+Sens!J3039*tk_opex_gb300+Sens!J3040*tk_opex_vr200)/Sens!J3030</f>
        <v>2.03319912512587</v>
      </c>
      <c r="K3045" s="18" t="n">
        <f aca="false">(Sens!K3037*tk_opex_h100+Sens!K3038*tk_opex_gb200+Sens!K3039*tk_opex_gb300+Sens!K3040*tk_opex_vr200)/Sens!K3030</f>
        <v>2.04015792342087</v>
      </c>
    </row>
    <row r="3046" customFormat="false" ht="17.15" hidden="false" customHeight="false" outlineLevel="0" collapsed="false">
      <c r="A3046" s="0" t="s">
        <v>741</v>
      </c>
      <c r="B3046" s="0" t="s">
        <v>95</v>
      </c>
      <c r="D3046" s="6" t="n">
        <f aca="false">(Sens!C3033+Sens!D3033)/2*Sens!D3045/1000</f>
        <v>2.70378325872065</v>
      </c>
      <c r="E3046" s="6" t="n">
        <f aca="false">(Sens!D3033+Sens!E3033)/2*Sens!E3045/1000</f>
        <v>6.17783035277451</v>
      </c>
      <c r="F3046" s="6" t="n">
        <f aca="false">(Sens!E3033+Sens!F3033)/2*Sens!F3045/1000</f>
        <v>13.360652993824</v>
      </c>
      <c r="G3046" s="6" t="n">
        <f aca="false">(Sens!F3033+Sens!G3033)/2*Sens!G3045/1000</f>
        <v>23.3020678897643</v>
      </c>
      <c r="H3046" s="6" t="n">
        <f aca="false">(Sens!G3033+Sens!H3033)/2*Sens!H3045/1000</f>
        <v>33.7369219832732</v>
      </c>
      <c r="I3046" s="6" t="n">
        <f aca="false">(Sens!H3033+Sens!I3033)/2*Sens!I3045/1000</f>
        <v>44.2074551698676</v>
      </c>
      <c r="J3046" s="6" t="n">
        <f aca="false">(Sens!I3033+Sens!J3033)/2*Sens!J3045/1000</f>
        <v>54.6960384912694</v>
      </c>
      <c r="K3046" s="6" t="n">
        <f aca="false">(Sens!J3033+Sens!K3033)/2*Sens!K3045/1000</f>
        <v>65.195014579781</v>
      </c>
    </row>
    <row r="3047" customFormat="false" ht="17.15" hidden="false" customHeight="false" outlineLevel="0" collapsed="false">
      <c r="A3047" s="0" t="s">
        <v>742</v>
      </c>
      <c r="B3047" s="0" t="s">
        <v>95</v>
      </c>
      <c r="D3047" s="6" t="n">
        <f aca="false">(Sens!C3031+Sens!D3031)/2*rent_mw/1000</f>
        <v>2.44475</v>
      </c>
      <c r="E3047" s="6" t="n">
        <f aca="false">(Sens!D3031+Sens!E3031)/2*rent_mw/1000</f>
        <v>4.22275</v>
      </c>
      <c r="F3047" s="6" t="n">
        <f aca="false">(Sens!E3031+Sens!F3031)/2*rent_mw/1000</f>
        <v>5.80517</v>
      </c>
      <c r="G3047" s="6" t="n">
        <f aca="false">(Sens!F3031+Sens!G3031)/2*rent_mw/1000</f>
        <v>6.72084</v>
      </c>
      <c r="H3047" s="6" t="n">
        <f aca="false">(Sens!G3031+Sens!H3031)/2*rent_mw/1000</f>
        <v>6.72084</v>
      </c>
      <c r="I3047" s="6" t="n">
        <f aca="false">(Sens!H3031+Sens!I3031)/2*rent_mw/1000</f>
        <v>6.72084</v>
      </c>
      <c r="J3047" s="6" t="n">
        <f aca="false">(Sens!I3031+Sens!J3031)/2*rent_mw/1000</f>
        <v>6.72084</v>
      </c>
      <c r="K3047" s="6" t="n">
        <f aca="false">(Sens!J3031+Sens!K3031)/2*rent_mw/1000</f>
        <v>6.72084</v>
      </c>
    </row>
    <row r="3048" customFormat="false" ht="17.15" hidden="false" customHeight="false" outlineLevel="0" collapsed="false">
      <c r="A3048" s="0" t="s">
        <v>743</v>
      </c>
      <c r="B3048" s="0" t="s">
        <v>95</v>
      </c>
      <c r="D3048" s="6" t="n">
        <f aca="false">(Sens!C3033+Sens!D3033)/2*(1-self_build)*fac_rent/1000</f>
        <v>0.853242375631075</v>
      </c>
      <c r="E3048" s="6" t="n">
        <f aca="false">(Sens!D3033+Sens!E3033)/2*(1-self_build)*fac_rent/1000</f>
        <v>1.94955961408728</v>
      </c>
      <c r="F3048" s="6" t="n">
        <f aca="false">(Sens!E3033+Sens!F3033)/2*(1-self_build)*fac_rent/1000</f>
        <v>4.0809987541056</v>
      </c>
      <c r="G3048" s="6" t="n">
        <f aca="false">(Sens!F3033+Sens!G3033)/2*(1-self_build)*fac_rent/1000</f>
        <v>6.98761851380772</v>
      </c>
      <c r="H3048" s="6" t="n">
        <f aca="false">(Sens!G3033+Sens!H3033)/2*(1-self_build)*fac_rent/1000</f>
        <v>9.99642893012612</v>
      </c>
      <c r="I3048" s="6" t="n">
        <f aca="false">(Sens!H3033+Sens!I3033)/2*(1-self_build)*fac_rent/1000</f>
        <v>13.0052393464445</v>
      </c>
      <c r="J3048" s="6" t="n">
        <f aca="false">(Sens!I3033+Sens!J3033)/2*(1-self_build)*fac_rent/1000</f>
        <v>16.0140497627629</v>
      </c>
      <c r="K3048" s="6" t="n">
        <f aca="false">(Sens!J3033+Sens!K3033)/2*(1-self_build)*fac_rent/1000</f>
        <v>19.0228601790813</v>
      </c>
      <c r="L3048" s="11" t="s">
        <v>744</v>
      </c>
    </row>
    <row r="3049" customFormat="false" ht="17.15" hidden="false" customHeight="false" outlineLevel="0" collapsed="false">
      <c r="A3049" s="1" t="s">
        <v>745</v>
      </c>
      <c r="B3049" s="0" t="s">
        <v>126</v>
      </c>
      <c r="D3049" s="7" t="n">
        <f aca="false">(Sens!C3032+Sens!D3032)/(Sens!C3033+Sens!D3033)</f>
        <v>0.6</v>
      </c>
      <c r="E3049" s="7" t="n">
        <f aca="false">(Sens!D3032+Sens!E3032)/(Sens!D3033+Sens!E3033)</f>
        <v>0.6</v>
      </c>
      <c r="F3049" s="7" t="n">
        <f aca="false">(Sens!E3032+Sens!F3032)/(Sens!E3033+Sens!F3033)</f>
        <v>0.6</v>
      </c>
      <c r="G3049" s="7" t="n">
        <f aca="false">(Sens!F3032+Sens!G3032)/(Sens!F3033+Sens!G3033)</f>
        <v>0.6</v>
      </c>
      <c r="H3049" s="7" t="n">
        <f aca="false">(Sens!G3032+Sens!H3032)/(Sens!G3033+Sens!H3033)</f>
        <v>0.6</v>
      </c>
      <c r="I3049" s="7" t="n">
        <f aca="false">(Sens!H3032+Sens!I3032)/(Sens!H3033+Sens!I3033)</f>
        <v>0.6</v>
      </c>
      <c r="J3049" s="7" t="n">
        <f aca="false">(Sens!I3032+Sens!J3032)/(Sens!I3033+Sens!J3033)</f>
        <v>0.6</v>
      </c>
      <c r="K3049" s="7" t="n">
        <f aca="false">(Sens!J3032+Sens!K3032)/(Sens!J3033+Sens!K3033)</f>
        <v>0.6</v>
      </c>
    </row>
    <row r="3050" customFormat="false" ht="17.15" hidden="false" customHeight="false" outlineLevel="0" collapsed="false">
      <c r="A3050" s="0" t="s">
        <v>746</v>
      </c>
      <c r="B3050" s="0" t="s">
        <v>95</v>
      </c>
      <c r="D3050" s="6" t="n">
        <f aca="false">Sens!D3044-Sens!D3049*(Sens!D3046+Sens!D3048)-Sens!D3047</f>
        <v>8.35701406163072</v>
      </c>
      <c r="E3050" s="6" t="n">
        <f aca="false">Sens!E3044-Sens!E3049*(Sens!E3046+Sens!E3048)-Sens!E3047</f>
        <v>18.7103224860238</v>
      </c>
      <c r="F3050" s="6" t="n">
        <f aca="false">Sens!F3044-Sens!F3049*(Sens!F3046+Sens!F3048)-Sens!F3047</f>
        <v>37.5923250023078</v>
      </c>
      <c r="G3050" s="6" t="n">
        <f aca="false">Sens!G3044-Sens!G3049*(Sens!G3046+Sens!G3048)-Sens!G3047</f>
        <v>58.943327784829</v>
      </c>
      <c r="H3050" s="6" t="n">
        <f aca="false">Sens!H3044-Sens!H3049*(Sens!H3046+Sens!H3048)-Sens!H3047</f>
        <v>75.1823223672818</v>
      </c>
      <c r="I3050" s="6" t="n">
        <f aca="false">Sens!I3044-Sens!I3049*(Sens!I3046+Sens!I3048)-Sens!I3047</f>
        <v>99.5316948409851</v>
      </c>
      <c r="J3050" s="6" t="n">
        <f aca="false">Sens!J3044-Sens!J3049*(Sens!J3046+Sens!J3048)-Sens!J3047</f>
        <v>123.948016235369</v>
      </c>
      <c r="K3050" s="6" t="n">
        <f aca="false">Sens!K3044-Sens!K3049*(Sens!K3046+Sens!K3048)-Sens!K3047</f>
        <v>148.402884961852</v>
      </c>
    </row>
    <row r="3051" customFormat="false" ht="17.15" hidden="false" customHeight="false" outlineLevel="0" collapsed="false">
      <c r="A3051" s="1" t="s">
        <v>747</v>
      </c>
      <c r="B3051" s="0" t="s">
        <v>95</v>
      </c>
      <c r="D3051" s="6" t="n">
        <f aca="false">(1-Sens!D3049)*(Sens!D3046+Sens!D3048)</f>
        <v>1.42281025374069</v>
      </c>
      <c r="E3051" s="6" t="n">
        <f aca="false">(1-Sens!E3049)*(Sens!E3046+Sens!E3048)</f>
        <v>3.25095598674472</v>
      </c>
      <c r="F3051" s="6" t="n">
        <f aca="false">(1-Sens!F3049)*(Sens!F3046+Sens!F3048)</f>
        <v>6.97666069917183</v>
      </c>
      <c r="G3051" s="6" t="n">
        <f aca="false">(1-Sens!G3049)*(Sens!G3046+Sens!G3048)</f>
        <v>12.1158745614288</v>
      </c>
      <c r="H3051" s="6" t="n">
        <f aca="false">(1-Sens!H3049)*(Sens!H3046+Sens!H3048)</f>
        <v>17.4933403653597</v>
      </c>
      <c r="I3051" s="6" t="n">
        <f aca="false">(1-Sens!I3049)*(Sens!I3046+Sens!I3048)</f>
        <v>22.8850778065248</v>
      </c>
      <c r="J3051" s="6" t="n">
        <f aca="false">(1-Sens!J3049)*(Sens!J3046+Sens!J3048)</f>
        <v>28.2840353016129</v>
      </c>
      <c r="K3051" s="6" t="n">
        <f aca="false">(1-Sens!K3049)*(Sens!K3046+Sens!K3048)</f>
        <v>33.6871499035449</v>
      </c>
    </row>
    <row r="3052" customFormat="false" ht="17.15" hidden="false" customHeight="false" outlineLevel="0" collapsed="false">
      <c r="A3052" s="1" t="s">
        <v>748</v>
      </c>
      <c r="B3052" s="0" t="s">
        <v>302</v>
      </c>
      <c r="C3052" s="8" t="n">
        <f aca="false">cxit_open</f>
        <v>27.5918995</v>
      </c>
      <c r="D3052" s="8" t="n">
        <f aca="false">cxit_open</f>
        <v>27.5918995</v>
      </c>
      <c r="E3052" s="8" t="n">
        <f aca="false">cxit_open</f>
        <v>27.5918995</v>
      </c>
      <c r="F3052" s="8" t="n">
        <f aca="false">(a_g3_27*tk_cxit_gb300+(1-a_g3_27)*tk_cxit_vr200)</f>
        <v>33.8419624</v>
      </c>
      <c r="G3052" s="8" t="n">
        <f aca="false">(a_g3_28*tk_cxit_gb300+(1-a_g3_28)*tk_cxit_vr200)</f>
        <v>35.9816136</v>
      </c>
      <c r="H3052" s="8" t="n">
        <f aca="false">(a_g3_29*tk_cxit_gb300+(1-a_g3_29)*tk_cxit_vr200)</f>
        <v>37.0514392</v>
      </c>
      <c r="I3052" s="8" t="n">
        <f aca="false">(a_g3_29*tk_cxit_gb300+(1-a_g3_29)*tk_cxit_vr200)</f>
        <v>37.0514392</v>
      </c>
      <c r="J3052" s="8" t="n">
        <f aca="false">(a_g3_29*tk_cxit_gb300+(1-a_g3_29)*tk_cxit_vr200)</f>
        <v>37.0514392</v>
      </c>
      <c r="K3052" s="8" t="n">
        <f aca="false">(a_g3_29*tk_cxit_gb300+(1-a_g3_29)*tk_cxit_vr200)</f>
        <v>37.0514392</v>
      </c>
      <c r="L3052" s="11" t="s">
        <v>749</v>
      </c>
    </row>
    <row r="3053" customFormat="false" ht="17.15" hidden="false" customHeight="false" outlineLevel="0" collapsed="false">
      <c r="A3053" s="0" t="s">
        <v>750</v>
      </c>
      <c r="B3053" s="0" t="s">
        <v>340</v>
      </c>
      <c r="F3053" s="27" t="n">
        <f aca="false">Sens!C3035*IF(3=life_it,1,0)+Sens!D3035*IF(2=life_it,1,0)+Sens!E3035*IF(1=life_it,1,0)</f>
        <v>0</v>
      </c>
      <c r="G3053" s="27" t="n">
        <f aca="false">Sens!C3035*IF(4=life_it,1,0)+Sens!D3035*IF(3=life_it,1,0)+Sens!E3035*IF(2=life_it,1,0)+Sens!F3035*IF(1=life_it,1,0)</f>
        <v>0</v>
      </c>
      <c r="H3053" s="27" t="n">
        <f aca="false">Sens!C3035*IF(5=life_it,1,0)+Sens!D3035*IF(4=life_it,1,0)+Sens!E3035*IF(3=life_it,1,0)+Sens!F3035*IF(2=life_it,1,0)+Sens!G3035*IF(1=life_it,1,0)</f>
        <v>0</v>
      </c>
      <c r="I3053" s="27" t="n">
        <f aca="false">Sens!C3035*IF(6=life_it,1,0)+Sens!D3035*IF(5=life_it,1,0)+Sens!E3035*IF(4=life_it,1,0)+Sens!F3035*IF(3=life_it,1,0)+Sens!G3035*IF(2=life_it,1,0)+Sens!H3035*IF(1=life_it,1,0)</f>
        <v>816.666666666667</v>
      </c>
      <c r="J3053" s="27" t="n">
        <f aca="false">Sens!C3035*IF(7=life_it,1,0)+Sens!D3035*IF(6=life_it,1,0)+Sens!E3035*IF(5=life_it,1,0)+Sens!F3035*IF(4=life_it,1,0)+Sens!G3035*IF(3=life_it,1,0)+Sens!H3035*IF(2=life_it,1,0)+Sens!I3035*IF(1=life_it,1,0)</f>
        <v>1233.33333333333</v>
      </c>
      <c r="K3053" s="27" t="n">
        <f aca="false">Sens!C3035*IF(8=life_it,1,0)+Sens!D3035*IF(7=life_it,1,0)+Sens!E3035*IF(6=life_it,1,0)+Sens!F3035*IF(5=life_it,1,0)+Sens!G3035*IF(4=life_it,1,0)+Sens!H3035*IF(3=life_it,1,0)+Sens!I3035*IF(2=life_it,1,0)+Sens!J3035*IF(1=life_it,1,0)</f>
        <v>2450</v>
      </c>
      <c r="L3053" s="1" t="s">
        <v>751</v>
      </c>
    </row>
    <row r="3054" customFormat="false" ht="17.15" hidden="false" customHeight="false" outlineLevel="0" collapsed="false">
      <c r="A3054" s="0" t="s">
        <v>752</v>
      </c>
      <c r="B3054" s="0" t="s">
        <v>95</v>
      </c>
      <c r="C3054" s="6" t="n">
        <f aca="false">Sens!C3035*Sens!C3052/1000</f>
        <v>22.5333845916667</v>
      </c>
      <c r="D3054" s="6" t="n">
        <f aca="false">Sens!D3035*Sens!D3052/1000</f>
        <v>34.0300093833333</v>
      </c>
      <c r="E3054" s="6" t="n">
        <f aca="false">Sens!E3035*Sens!E3052/1000</f>
        <v>67.600153775</v>
      </c>
      <c r="F3054" s="6" t="n">
        <f aca="false">(Sens!F3035+Sens!F3053)*Sens!F3052/1000</f>
        <v>159.431740997227</v>
      </c>
      <c r="G3054" s="6" t="n">
        <f aca="false">(Sens!G3035+Sens!G3053)*Sens!G3052/1000</f>
        <v>181.86546777984</v>
      </c>
      <c r="H3054" s="6" t="n">
        <f aca="false">(Sens!H3035+Sens!H3053)*Sens!H3052/1000</f>
        <v>187.27279429248</v>
      </c>
      <c r="I3054" s="6" t="n">
        <f aca="false">(Sens!I3035+Sens!I3053)*Sens!I3052/1000</f>
        <v>217.531469639147</v>
      </c>
      <c r="J3054" s="6" t="n">
        <f aca="false">(Sens!J3035+Sens!J3053)*Sens!J3052/1000</f>
        <v>232.969569305813</v>
      </c>
      <c r="K3054" s="6" t="n">
        <f aca="false">(Sens!K3035+Sens!K3053)*Sens!K3052/1000</f>
        <v>278.04882033248</v>
      </c>
    </row>
    <row r="3055" customFormat="false" ht="17.15" hidden="false" customHeight="false" outlineLevel="0" collapsed="false">
      <c r="A3055" s="0" t="s">
        <v>753</v>
      </c>
      <c r="B3055" s="0" t="s">
        <v>95</v>
      </c>
      <c r="C3055" s="6" t="n">
        <f aca="false">Sens!C3035*self_build*tk_cxfac/1000</f>
        <v>6.2083</v>
      </c>
      <c r="D3055" s="6" t="n">
        <f aca="false">Sens!D3035*self_build*tk_cxfac/1000</f>
        <v>9.3758</v>
      </c>
      <c r="E3055" s="6" t="n">
        <f aca="false">Sens!E3035*self_build*tk_cxfac/1000</f>
        <v>18.6249</v>
      </c>
      <c r="F3055" s="6" t="n">
        <f aca="false">Sens!F3035*self_build*tk_cxfac/1000</f>
        <v>35.8135288</v>
      </c>
      <c r="G3055" s="6" t="n">
        <f aca="false">Sens!G3035*self_build*tk_cxfac/1000</f>
        <v>38.4235488</v>
      </c>
      <c r="H3055" s="6" t="n">
        <f aca="false">Sens!H3035*self_build*tk_cxfac/1000</f>
        <v>38.4235488</v>
      </c>
      <c r="I3055" s="6" t="n">
        <f aca="false">Sens!I3035*self_build*tk_cxfac/1000</f>
        <v>38.4235488</v>
      </c>
      <c r="J3055" s="6" t="n">
        <f aca="false">Sens!J3035*self_build*tk_cxfac/1000</f>
        <v>38.4235488</v>
      </c>
      <c r="K3055" s="6" t="n">
        <f aca="false">Sens!K3035*self_build*tk_cxfac/1000</f>
        <v>38.4235488</v>
      </c>
    </row>
    <row r="3056" customFormat="false" ht="17.15" hidden="false" customHeight="false" outlineLevel="0" collapsed="false">
      <c r="A3056" s="0" t="s">
        <v>754</v>
      </c>
      <c r="B3056" s="0" t="s">
        <v>95</v>
      </c>
      <c r="F3056" s="6" t="n">
        <f aca="false">MAX(0,capex_floor27-Sens!F3054-Sens!F3055-Sens!F3143)</f>
        <v>0</v>
      </c>
      <c r="G3056" s="6" t="n">
        <f aca="false">0</f>
        <v>0</v>
      </c>
      <c r="H3056" s="6" t="n">
        <f aca="false">0</f>
        <v>0</v>
      </c>
      <c r="I3056" s="6" t="n">
        <f aca="false">0</f>
        <v>0</v>
      </c>
      <c r="J3056" s="6" t="n">
        <f aca="false">0</f>
        <v>0</v>
      </c>
      <c r="K3056" s="6" t="n">
        <f aca="false">0</f>
        <v>0</v>
      </c>
      <c r="L3056" s="1" t="s">
        <v>755</v>
      </c>
    </row>
    <row r="3057" customFormat="false" ht="17.15" hidden="false" customHeight="false" outlineLevel="0" collapsed="false">
      <c r="A3057" s="0" t="s">
        <v>756</v>
      </c>
      <c r="B3057" s="0" t="s">
        <v>95</v>
      </c>
      <c r="C3057" s="6" t="n">
        <f aca="false">Sens!C3054</f>
        <v>22.5333845916667</v>
      </c>
      <c r="D3057" s="6" t="n">
        <f aca="false">Sens!D3054</f>
        <v>34.0300093833333</v>
      </c>
      <c r="E3057" s="6" t="n">
        <f aca="false">Sens!E3054</f>
        <v>67.600153775</v>
      </c>
      <c r="F3057" s="6" t="n">
        <f aca="false">Sens!F3054+Sens!F3056</f>
        <v>159.431740997227</v>
      </c>
      <c r="G3057" s="6" t="n">
        <f aca="false">Sens!G3054+Sens!G3056</f>
        <v>181.86546777984</v>
      </c>
      <c r="H3057" s="6" t="n">
        <f aca="false">Sens!H3054+Sens!H3056</f>
        <v>187.27279429248</v>
      </c>
      <c r="I3057" s="6" t="n">
        <f aca="false">Sens!I3054+Sens!I3056</f>
        <v>217.531469639147</v>
      </c>
      <c r="J3057" s="6" t="n">
        <f aca="false">Sens!J3054+Sens!J3056</f>
        <v>232.969569305813</v>
      </c>
      <c r="K3057" s="6" t="n">
        <f aca="false">Sens!K3054+Sens!K3056</f>
        <v>278.04882033248</v>
      </c>
    </row>
    <row r="3058" customFormat="false" ht="17.15" hidden="false" customHeight="false" outlineLevel="0" collapsed="false">
      <c r="A3058" s="0" t="s">
        <v>757</v>
      </c>
      <c r="B3058" s="0" t="s">
        <v>95</v>
      </c>
      <c r="C3058" s="6" t="n">
        <f aca="false">Sens!C3057+Sens!C3055</f>
        <v>28.7416845916667</v>
      </c>
      <c r="D3058" s="6" t="n">
        <f aca="false">Sens!D3057+Sens!D3055</f>
        <v>43.4058093833333</v>
      </c>
      <c r="E3058" s="6" t="n">
        <f aca="false">Sens!E3057+Sens!E3055</f>
        <v>86.225053775</v>
      </c>
      <c r="F3058" s="6" t="n">
        <f aca="false">Sens!F3057+Sens!F3055</f>
        <v>195.245269797227</v>
      </c>
      <c r="G3058" s="6" t="n">
        <f aca="false">Sens!G3057+Sens!G3055</f>
        <v>220.28901657984</v>
      </c>
      <c r="H3058" s="6" t="n">
        <f aca="false">Sens!H3057+Sens!H3055</f>
        <v>225.69634309248</v>
      </c>
      <c r="I3058" s="6" t="n">
        <f aca="false">Sens!I3057+Sens!I3055</f>
        <v>255.955018439147</v>
      </c>
      <c r="J3058" s="6" t="n">
        <f aca="false">Sens!J3057+Sens!J3055</f>
        <v>271.393118105813</v>
      </c>
      <c r="K3058" s="6" t="n">
        <f aca="false">Sens!K3057+Sens!K3055</f>
        <v>316.47236913248</v>
      </c>
      <c r="L3058" s="11" t="s">
        <v>758</v>
      </c>
    </row>
    <row r="3059" customFormat="false" ht="17.15" hidden="false" customHeight="false" outlineLevel="0" collapsed="false">
      <c r="A3059" s="0" t="s">
        <v>759</v>
      </c>
      <c r="B3059" s="0" t="s">
        <v>95</v>
      </c>
      <c r="E3059" s="6" t="n">
        <f aca="false">(Sens!C3057*IF(2&lt;life_it,1,IF(2=life_it,0.5,0))+Sens!D3057*IF(1&lt;life_it,1,IF(1=life_it,0.5,0))+Sens!E3057*0.5)/life_it</f>
        <v>15.0605784770833</v>
      </c>
      <c r="F3059" s="6" t="n">
        <f aca="false">(Sens!C3057*IF(3&lt;life_it,1,IF(3=life_it,0.5,0))+Sens!D3057*IF(2&lt;life_it,1,IF(2=life_it,0.5,0))+Sens!E3057*IF(1&lt;life_it,1,IF(1=life_it,0.5,0))+Sens!F3057*0.5)/life_it</f>
        <v>33.9799030414356</v>
      </c>
      <c r="G3059" s="6" t="n">
        <f aca="false">(Sens!C3057*IF(4&lt;life_it,1,IF(4=life_it,0.5,0))+Sens!D3057*IF(3&lt;life_it,1,IF(3=life_it,0.5,0))+Sens!E3057*IF(2&lt;life_it,1,IF(2=life_it,0.5,0))+Sens!F3057*IF(1&lt;life_it,1,IF(1=life_it,0.5,0))+Sens!G3057*0.5)/life_it</f>
        <v>62.4213371061911</v>
      </c>
      <c r="H3059" s="6" t="n">
        <f aca="false">(Sens!C3057*IF(5&lt;life_it,1,IF(5=life_it,0.5,0))+Sens!D3057*IF(4&lt;life_it,1,IF(4=life_it,0.5,0))+Sens!E3057*IF(3&lt;life_it,1,IF(3=life_it,0.5,0))+Sens!F3057*IF(2&lt;life_it,1,IF(2=life_it,0.5,0))+Sens!G3057*IF(1&lt;life_it,1,IF(1=life_it,0.5,0))+Sens!H3057*0.5)/life_it</f>
        <v>93.1828589455511</v>
      </c>
      <c r="I3059" s="6" t="n">
        <f aca="false">(Sens!C3057*IF(6&lt;life_it,1,IF(6=life_it,0.5,0))+Sens!D3057*IF(5&lt;life_it,1,IF(5=life_it,0.5,0))+Sens!E3057*IF(4&lt;life_it,1,IF(4=life_it,0.5,0))+Sens!F3057*IF(3&lt;life_it,1,IF(3=life_it,0.5,0))+Sens!G3057*IF(2&lt;life_it,1,IF(2=life_it,0.5,0))+Sens!H3057*IF(1&lt;life_it,1,IF(1=life_it,0.5,0))+Sens!I3057*0.5)/life_it</f>
        <v>125.038765557214</v>
      </c>
      <c r="J3059" s="6" t="n">
        <f aca="false">(Sens!C3057*IF(7&lt;life_it,1,IF(7=life_it,0.5,0))+Sens!D3057*IF(6&lt;life_it,1,IF(6=life_it,0.5,0))+Sens!E3057*IF(5&lt;life_it,1,IF(5=life_it,0.5,0))+Sens!F3057*IF(4&lt;life_it,1,IF(4=life_it,0.5,0))+Sens!G3057*IF(3&lt;life_it,1,IF(3=life_it,0.5,0))+Sens!H3057*IF(2&lt;life_it,1,IF(2=life_it,0.5,0))+Sens!I3057*IF(1&lt;life_it,1,IF(1=life_it,0.5,0))+Sens!J3057*0.5)/life_it</f>
        <v>157.866902638044</v>
      </c>
      <c r="K3059" s="6" t="n">
        <f aca="false">(Sens!C3057*IF(8&lt;life_it,1,IF(8=life_it,0.5,0))+Sens!D3057*IF(7&lt;life_it,1,IF(7=life_it,0.5,0))+Sens!E3057*IF(6&lt;life_it,1,IF(6=life_it,0.5,0))+Sens!F3057*IF(5&lt;life_it,1,IF(5=life_it,0.5,0))+Sens!G3057*IF(4&lt;life_it,1,IF(4=life_it,0.5,0))+Sens!H3057*IF(3&lt;life_it,1,IF(3=life_it,0.5,0))+Sens!I3057*IF(2&lt;life_it,1,IF(2=life_it,0.5,0))+Sens!J3057*IF(1&lt;life_it,1,IF(1=life_it,0.5,0))+Sens!K3057*0.5)/life_it</f>
        <v>191.982588178041</v>
      </c>
    </row>
    <row r="3060" customFormat="false" ht="17.15" hidden="false" customHeight="false" outlineLevel="0" collapsed="false">
      <c r="A3060" s="0" t="s">
        <v>760</v>
      </c>
      <c r="B3060" s="0" t="s">
        <v>95</v>
      </c>
      <c r="E3060" s="6" t="n">
        <f aca="false">(Sens!C3055*IF(2&lt;life_fac,1,IF(2=life_fac,0.5,0))+Sens!D3055*IF(1&lt;life_fac,1,IF(1=life_fac,0.5,0))+Sens!E3055*0.5)/life_fac</f>
        <v>1.2448275</v>
      </c>
      <c r="F3060" s="6" t="n">
        <f aca="false">(Sens!C3055*IF(3&lt;life_fac,1,IF(3=life_fac,0.5,0))+Sens!D3055*IF(2&lt;life_fac,1,IF(2=life_fac,0.5,0))+Sens!E3055*IF(1&lt;life_fac,1,IF(1=life_fac,0.5,0))+Sens!F3055*0.5)/life_fac</f>
        <v>2.60578822</v>
      </c>
      <c r="G3060" s="6" t="n">
        <f aca="false">(Sens!C3055*IF(4&lt;life_fac,1,IF(4=life_fac,0.5,0))+Sens!D3055*IF(3&lt;life_fac,1,IF(3=life_fac,0.5,0))+Sens!E3055*IF(2&lt;life_fac,1,IF(2=life_fac,0.5,0))+Sens!F3055*IF(1&lt;life_fac,1,IF(1=life_fac,0.5,0))+Sens!G3055*0.5)/life_fac</f>
        <v>4.46171516</v>
      </c>
      <c r="H3060" s="6" t="n">
        <f aca="false">(Sens!C3055*IF(5&lt;life_fac,1,IF(5=life_fac,0.5,0))+Sens!D3055*IF(4&lt;life_fac,1,IF(4=life_fac,0.5,0))+Sens!E3055*IF(3&lt;life_fac,1,IF(3=life_fac,0.5,0))+Sens!F3055*IF(2&lt;life_fac,1,IF(2=life_fac,0.5,0))+Sens!G3055*IF(1&lt;life_fac,1,IF(1=life_fac,0.5,0))+Sens!H3055*0.5)/life_fac</f>
        <v>6.3828926</v>
      </c>
      <c r="I3060" s="6" t="n">
        <f aca="false">(Sens!C3055*IF(6&lt;life_fac,1,IF(6=life_fac,0.5,0))+Sens!D3055*IF(5&lt;life_fac,1,IF(5=life_fac,0.5,0))+Sens!E3055*IF(4&lt;life_fac,1,IF(4=life_fac,0.5,0))+Sens!F3055*IF(3&lt;life_fac,1,IF(3=life_fac,0.5,0))+Sens!G3055*IF(2&lt;life_fac,1,IF(2=life_fac,0.5,0))+Sens!H3055*IF(1&lt;life_fac,1,IF(1=life_fac,0.5,0))+Sens!I3055*0.5)/life_fac</f>
        <v>8.30407004</v>
      </c>
      <c r="J3060" s="6" t="n">
        <f aca="false">(Sens!C3055*IF(7&lt;life_fac,1,IF(7=life_fac,0.5,0))+Sens!D3055*IF(6&lt;life_fac,1,IF(6=life_fac,0.5,0))+Sens!E3055*IF(5&lt;life_fac,1,IF(5=life_fac,0.5,0))+Sens!F3055*IF(4&lt;life_fac,1,IF(4=life_fac,0.5,0))+Sens!G3055*IF(3&lt;life_fac,1,IF(3=life_fac,0.5,0))+Sens!H3055*IF(2&lt;life_fac,1,IF(2=life_fac,0.5,0))+Sens!I3055*IF(1&lt;life_fac,1,IF(1=life_fac,0.5,0))+Sens!J3055*0.5)/life_fac</f>
        <v>10.22524748</v>
      </c>
      <c r="K3060" s="6" t="n">
        <f aca="false">(Sens!C3055*IF(8&lt;life_fac,1,IF(8=life_fac,0.5,0))+Sens!D3055*IF(7&lt;life_fac,1,IF(7=life_fac,0.5,0))+Sens!E3055*IF(6&lt;life_fac,1,IF(6=life_fac,0.5,0))+Sens!F3055*IF(5&lt;life_fac,1,IF(5=life_fac,0.5,0))+Sens!G3055*IF(4&lt;life_fac,1,IF(4=life_fac,0.5,0))+Sens!H3055*IF(3&lt;life_fac,1,IF(3=life_fac,0.5,0))+Sens!I3055*IF(2&lt;life_fac,1,IF(2=life_fac,0.5,0))+Sens!J3055*IF(1&lt;life_fac,1,IF(1=life_fac,0.5,0))+Sens!K3055*0.5)/life_fac</f>
        <v>12.14642492</v>
      </c>
    </row>
    <row r="3061" customFormat="false" ht="17.15" hidden="false" customHeight="false" outlineLevel="0" collapsed="false">
      <c r="A3061" s="0" t="s">
        <v>761</v>
      </c>
      <c r="B3061" s="0" t="s">
        <v>95</v>
      </c>
      <c r="E3061" s="6" t="n">
        <f aca="false">Sens!E3059+Sens!E3060</f>
        <v>16.3054059770833</v>
      </c>
      <c r="F3061" s="6" t="n">
        <f aca="false">Sens!F3059+Sens!F3060</f>
        <v>36.5856912614356</v>
      </c>
      <c r="G3061" s="6" t="n">
        <f aca="false">Sens!G3059+Sens!G3060</f>
        <v>66.8830522661911</v>
      </c>
      <c r="H3061" s="6" t="n">
        <f aca="false">Sens!H3059+Sens!H3060</f>
        <v>99.5657515455511</v>
      </c>
      <c r="I3061" s="6" t="n">
        <f aca="false">Sens!I3059+Sens!I3060</f>
        <v>133.342835597214</v>
      </c>
      <c r="J3061" s="6" t="n">
        <f aca="false">Sens!J3059+Sens!J3060</f>
        <v>168.092150118044</v>
      </c>
      <c r="K3061" s="6" t="n">
        <f aca="false">Sens!K3059+Sens!K3060</f>
        <v>204.129013098041</v>
      </c>
    </row>
    <row r="3062" customFormat="false" ht="17.15" hidden="false" customHeight="false" outlineLevel="0" collapsed="false">
      <c r="A3062" s="0" t="s">
        <v>762</v>
      </c>
      <c r="B3062" s="0" t="s">
        <v>95</v>
      </c>
      <c r="E3062" s="6" t="n">
        <f aca="false">Sens!E3050-Sens!E3049*Sens!E3061</f>
        <v>8.92707889977379</v>
      </c>
      <c r="F3062" s="6" t="n">
        <f aca="false">Sens!F3050-Sens!F3049*Sens!F3061</f>
        <v>15.6409102454465</v>
      </c>
      <c r="G3062" s="6" t="n">
        <f aca="false">Sens!G3050-Sens!G3049*Sens!G3061</f>
        <v>18.8134964251143</v>
      </c>
      <c r="H3062" s="6" t="n">
        <f aca="false">Sens!H3050-Sens!H3049*Sens!H3061</f>
        <v>15.4428714399511</v>
      </c>
      <c r="I3062" s="6" t="n">
        <f aca="false">Sens!I3050-Sens!I3049*Sens!I3061</f>
        <v>19.5259934826564</v>
      </c>
      <c r="J3062" s="6" t="n">
        <f aca="false">Sens!J3050-Sens!J3049*Sens!J3061</f>
        <v>23.0927261645419</v>
      </c>
      <c r="K3062" s="6" t="n">
        <f aca="false">Sens!K3050-Sens!K3049*Sens!K3061</f>
        <v>25.9254771030273</v>
      </c>
    </row>
    <row r="3063" customFormat="false" ht="17.15" hidden="false" customHeight="false" outlineLevel="0" collapsed="false">
      <c r="A3063" s="3" t="s">
        <v>1200</v>
      </c>
    </row>
    <row r="3064" customFormat="false" ht="15" hidden="false" customHeight="false" outlineLevel="0" collapsed="false">
      <c r="A3064" s="4" t="s">
        <v>43</v>
      </c>
      <c r="B3064" s="4" t="s">
        <v>63</v>
      </c>
      <c r="C3064" s="19" t="s">
        <v>710</v>
      </c>
      <c r="D3064" s="19" t="s">
        <v>711</v>
      </c>
      <c r="E3064" s="19" t="s">
        <v>712</v>
      </c>
      <c r="F3064" s="19" t="s">
        <v>713</v>
      </c>
      <c r="G3064" s="19" t="s">
        <v>714</v>
      </c>
      <c r="H3064" s="19" t="s">
        <v>715</v>
      </c>
      <c r="I3064" s="19" t="s">
        <v>716</v>
      </c>
      <c r="J3064" s="19" t="s">
        <v>717</v>
      </c>
      <c r="K3064" s="19" t="s">
        <v>718</v>
      </c>
      <c r="L3064" s="4" t="s">
        <v>47</v>
      </c>
    </row>
    <row r="3065" customFormat="false" ht="17.15" hidden="false" customHeight="false" outlineLevel="0" collapsed="false">
      <c r="A3065" s="0" t="s">
        <v>780</v>
      </c>
      <c r="B3065" s="0" t="s">
        <v>95</v>
      </c>
      <c r="D3065" s="6" t="n">
        <f aca="false">Sens!D3044</f>
        <v>12.9359794422418</v>
      </c>
      <c r="E3065" s="6" t="n">
        <f aca="false">Sens!E3044</f>
        <v>27.8095064661409</v>
      </c>
      <c r="F3065" s="6" t="n">
        <f aca="false">Sens!F3044</f>
        <v>53.8624860510656</v>
      </c>
      <c r="G3065" s="6" t="n">
        <f aca="false">Sens!G3044</f>
        <v>83.8379796269722</v>
      </c>
      <c r="H3065" s="6" t="n">
        <f aca="false">Sens!H3044</f>
        <v>108.143172915321</v>
      </c>
      <c r="I3065" s="6" t="n">
        <f aca="false">Sens!I3044</f>
        <v>140.580151550772</v>
      </c>
      <c r="J3065" s="6" t="n">
        <f aca="false">Sens!J3044</f>
        <v>173.094909187788</v>
      </c>
      <c r="K3065" s="6" t="n">
        <f aca="false">Sens!K3044</f>
        <v>205.654449817169</v>
      </c>
    </row>
    <row r="3066" customFormat="false" ht="17.15" hidden="false" customHeight="false" outlineLevel="0" collapsed="false">
      <c r="A3066" s="0" t="s">
        <v>781</v>
      </c>
      <c r="B3066" s="0" t="s">
        <v>95</v>
      </c>
      <c r="D3066" s="6" t="n">
        <f aca="false">Q!L6-Sens!D3065</f>
        <v>59.6740205577583</v>
      </c>
      <c r="E3066" s="6" t="n">
        <f aca="false">Q!M6-Sens!E3065</f>
        <v>74.1284935338591</v>
      </c>
      <c r="F3066" s="6" t="n">
        <f aca="false">Sens!E3066*(1+Sens!F3067)</f>
        <v>90.0799497373663</v>
      </c>
      <c r="G3066" s="6" t="n">
        <f aca="false">Sens!F3066*(1+Sens!G3067)</f>
        <v>107.02842520331</v>
      </c>
      <c r="H3066" s="6" t="n">
        <f aca="false">Sens!G3066*(1+Sens!H3067)</f>
        <v>124.271982585636</v>
      </c>
      <c r="I3066" s="6" t="n">
        <f aca="false">Sens!H3066*(1+Sens!I3067)</f>
        <v>140.933702381855</v>
      </c>
      <c r="J3066" s="6" t="n">
        <f aca="false">Sens!I3066*(1+Sens!J3067)</f>
        <v>156.018867314332</v>
      </c>
      <c r="K3066" s="6" t="n">
        <f aca="false">Sens!J3066*(1+Sens!K3067)</f>
        <v>168.500376699478</v>
      </c>
    </row>
    <row r="3067" customFormat="false" ht="15" hidden="false" customHeight="false" outlineLevel="0" collapsed="false">
      <c r="A3067" s="1" t="s">
        <v>782</v>
      </c>
      <c r="B3067" s="0" t="s">
        <v>126</v>
      </c>
      <c r="E3067" s="7" t="n">
        <f aca="false">Sens!E3066/Sens!D3066-1</f>
        <v>0.242223883039864</v>
      </c>
      <c r="F3067" s="7" t="n">
        <f aca="false">Sens!$E$3067+(glt_azo-Sens!$E$3067)*MIN(1,1/n_conv)</f>
        <v>0.215186569199887</v>
      </c>
      <c r="G3067" s="7" t="n">
        <f aca="false">Sens!$E$3067+(glt_azo-Sens!$E$3067)*MIN(1,2/n_conv)</f>
        <v>0.18814925535991</v>
      </c>
      <c r="H3067" s="7" t="n">
        <f aca="false">Sens!$E$3067+(glt_azo-Sens!$E$3067)*MIN(1,3/n_conv)</f>
        <v>0.161111941519932</v>
      </c>
      <c r="I3067" s="7" t="n">
        <f aca="false">Sens!$E$3067+(glt_azo-Sens!$E$3067)*MIN(1,4/n_conv)</f>
        <v>0.134074627679955</v>
      </c>
      <c r="J3067" s="7" t="n">
        <f aca="false">Sens!$E$3067+(glt_azo-Sens!$E$3067)*MIN(1,5/n_conv)</f>
        <v>0.107037313839977</v>
      </c>
      <c r="K3067" s="7" t="n">
        <f aca="false">Sens!$E$3067+(glt_azo-Sens!$E$3067)*MIN(1,6/n_conv)</f>
        <v>0.08</v>
      </c>
    </row>
    <row r="3068" customFormat="false" ht="15" hidden="false" customHeight="false" outlineLevel="0" collapsed="false">
      <c r="A3068" s="0" t="s">
        <v>783</v>
      </c>
      <c r="B3068" s="0" t="s">
        <v>95</v>
      </c>
      <c r="D3068" s="6" t="n">
        <f aca="false">Sens!D3065+Sens!D3066</f>
        <v>72.61</v>
      </c>
      <c r="E3068" s="6" t="n">
        <f aca="false">Sens!E3065+Sens!E3066</f>
        <v>101.938</v>
      </c>
      <c r="F3068" s="6" t="n">
        <f aca="false">Sens!F3065+Sens!F3066</f>
        <v>143.942435788432</v>
      </c>
      <c r="G3068" s="6" t="n">
        <f aca="false">Sens!G3065+Sens!G3066</f>
        <v>190.866404830282</v>
      </c>
      <c r="H3068" s="6" t="n">
        <f aca="false">Sens!H3065+Sens!H3066</f>
        <v>232.415155500957</v>
      </c>
      <c r="I3068" s="6" t="n">
        <f aca="false">Sens!I3065+Sens!I3066</f>
        <v>281.513853932627</v>
      </c>
      <c r="J3068" s="6" t="n">
        <f aca="false">Sens!J3065+Sens!J3066</f>
        <v>329.113776502119</v>
      </c>
      <c r="K3068" s="6" t="n">
        <f aca="false">Sens!K3065+Sens!K3066</f>
        <v>374.154826516647</v>
      </c>
    </row>
    <row r="3069" customFormat="false" ht="17.15" hidden="false" customHeight="false" outlineLevel="0" collapsed="false">
      <c r="A3069" s="0" t="s">
        <v>784</v>
      </c>
      <c r="B3069" s="1" t="s">
        <v>451</v>
      </c>
      <c r="C3069" s="27" t="n">
        <f aca="false">cop_s24</f>
        <v>1</v>
      </c>
      <c r="D3069" s="27" t="n">
        <f aca="false">cop_s25</f>
        <v>5</v>
      </c>
      <c r="E3069" s="27" t="n">
        <f aca="false">cop_s26</f>
        <v>30</v>
      </c>
      <c r="F3069" s="27" t="n">
        <f aca="false">Sens!E3069+IF(2027&lt;=2029,cop_add_C,cop_add_C*cop_tail)</f>
        <v>40</v>
      </c>
      <c r="G3069" s="27" t="n">
        <f aca="false">Sens!F3069+IF(2028&lt;=2029,cop_add_C,cop_add_C*cop_tail)</f>
        <v>50</v>
      </c>
      <c r="H3069" s="27" t="n">
        <f aca="false">Sens!G3069+IF(2029&lt;=2029,cop_add_C,cop_add_C*cop_tail)</f>
        <v>60</v>
      </c>
      <c r="I3069" s="27" t="n">
        <f aca="false">Sens!H3069+IF(2030&lt;=2029,cop_add_C,cop_add_C*cop_tail)</f>
        <v>65</v>
      </c>
      <c r="J3069" s="27" t="n">
        <f aca="false">Sens!I3069+IF(2031&lt;=2029,cop_add_C,cop_add_C*cop_tail)</f>
        <v>70</v>
      </c>
      <c r="K3069" s="27" t="n">
        <f aca="false">Sens!J3069+IF(2032&lt;=2029,cop_add_C,cop_add_C*cop_tail)</f>
        <v>75</v>
      </c>
    </row>
    <row r="3070" customFormat="false" ht="17.15" hidden="false" customHeight="false" outlineLevel="0" collapsed="false">
      <c r="A3070" s="0" t="s">
        <v>785</v>
      </c>
      <c r="B3070" s="0" t="s">
        <v>95</v>
      </c>
      <c r="D3070" s="6" t="n">
        <f aca="false">(Sens!C3069+Sens!D3069)/2*cop_px*12/1000</f>
        <v>0.9</v>
      </c>
      <c r="E3070" s="6" t="n">
        <f aca="false">(Sens!D3069+Sens!E3069)/2*cop_px*12/1000</f>
        <v>5.25</v>
      </c>
      <c r="F3070" s="6" t="n">
        <f aca="false">(Sens!E3069+Sens!F3069)/2*cop_px*12/1000</f>
        <v>10.5</v>
      </c>
      <c r="G3070" s="6" t="n">
        <f aca="false">(Sens!F3069+Sens!G3069)/2*cop_px*12/1000</f>
        <v>13.5</v>
      </c>
      <c r="H3070" s="6" t="n">
        <f aca="false">(Sens!G3069+Sens!H3069)/2*cop_px*12/1000</f>
        <v>16.5</v>
      </c>
      <c r="I3070" s="6" t="n">
        <f aca="false">(Sens!H3069+Sens!I3069)/2*cop_px*12/1000</f>
        <v>18.75</v>
      </c>
      <c r="J3070" s="6" t="n">
        <f aca="false">(Sens!I3069+Sens!J3069)/2*cop_px*12/1000</f>
        <v>20.25</v>
      </c>
      <c r="K3070" s="6" t="n">
        <f aca="false">(Sens!J3069+Sens!K3069)/2*cop_px*12/1000</f>
        <v>21.75</v>
      </c>
      <c r="L3070" s="1" t="s">
        <v>786</v>
      </c>
    </row>
    <row r="3071" customFormat="false" ht="17.15" hidden="false" customHeight="false" outlineLevel="0" collapsed="false">
      <c r="A3071" s="0" t="s">
        <v>787</v>
      </c>
      <c r="B3071" s="0" t="s">
        <v>95</v>
      </c>
      <c r="D3071" s="6" t="n">
        <f aca="false">Q!L7-Sens!D3070</f>
        <v>83.705</v>
      </c>
      <c r="E3071" s="6" t="n">
        <f aca="false">Q!M7-Sens!E3070</f>
        <v>95.049</v>
      </c>
      <c r="F3071" s="6" t="n">
        <f aca="false">Sens!E3071*(1+Sens!F3072)</f>
        <v>106.89238776686</v>
      </c>
      <c r="G3071" s="6" t="n">
        <f aca="false">Sens!F3071*(1+Sens!G3072)</f>
        <v>119.044168448684</v>
      </c>
      <c r="H3071" s="6" t="n">
        <f aca="false">Sens!G3071*(1+Sens!H3072)</f>
        <v>131.277359388781</v>
      </c>
      <c r="I3071" s="6" t="n">
        <f aca="false">Sens!H3071*(1+Sens!I3072)</f>
        <v>143.334028071957</v>
      </c>
      <c r="J3071" s="6" t="n">
        <f aca="false">Sens!I3071*(1+Sens!J3072)</f>
        <v>154.932702785465</v>
      </c>
      <c r="K3071" s="6" t="n">
        <f aca="false">Sens!J3071*(1+Sens!K3072)</f>
        <v>165.777991980448</v>
      </c>
    </row>
    <row r="3072" customFormat="false" ht="15" hidden="false" customHeight="false" outlineLevel="0" collapsed="false">
      <c r="A3072" s="1" t="s">
        <v>782</v>
      </c>
      <c r="B3072" s="0" t="s">
        <v>126</v>
      </c>
      <c r="E3072" s="7" t="n">
        <f aca="false">Sens!E3071/Sens!D3071-1</f>
        <v>0.135523564900544</v>
      </c>
      <c r="F3072" s="7" t="n">
        <f aca="false">Sens!$E$3072+(glt_m365b-Sens!$E$3072)*MIN(1,1/n_conv)</f>
        <v>0.124602970750453</v>
      </c>
      <c r="G3072" s="7" t="n">
        <f aca="false">Sens!$E$3072+(glt_m365b-Sens!$E$3072)*MIN(1,2/n_conv)</f>
        <v>0.113682376600363</v>
      </c>
      <c r="H3072" s="7" t="n">
        <f aca="false">Sens!$E$3072+(glt_m365b-Sens!$E$3072)*MIN(1,3/n_conv)</f>
        <v>0.102761782450272</v>
      </c>
      <c r="I3072" s="7" t="n">
        <f aca="false">Sens!$E$3072+(glt_m365b-Sens!$E$3072)*MIN(1,4/n_conv)</f>
        <v>0.0918411883001813</v>
      </c>
      <c r="J3072" s="7" t="n">
        <f aca="false">Sens!$E$3072+(glt_m365b-Sens!$E$3072)*MIN(1,5/n_conv)</f>
        <v>0.0809205941500906</v>
      </c>
      <c r="K3072" s="7" t="n">
        <f aca="false">Sens!$E$3072+(glt_m365b-Sens!$E$3072)*MIN(1,6/n_conv)</f>
        <v>0.07</v>
      </c>
    </row>
    <row r="3073" customFormat="false" ht="15" hidden="false" customHeight="false" outlineLevel="0" collapsed="false">
      <c r="A3073" s="0" t="s">
        <v>788</v>
      </c>
      <c r="B3073" s="0" t="s">
        <v>95</v>
      </c>
      <c r="D3073" s="6" t="n">
        <f aca="false">Sens!D3071+Sens!D3070</f>
        <v>84.605</v>
      </c>
      <c r="E3073" s="6" t="n">
        <f aca="false">Sens!E3071+Sens!E3070</f>
        <v>100.299</v>
      </c>
      <c r="F3073" s="6" t="n">
        <f aca="false">Sens!F3071+Sens!F3070</f>
        <v>117.39238776686</v>
      </c>
      <c r="G3073" s="6" t="n">
        <f aca="false">Sens!G3071+Sens!G3070</f>
        <v>132.544168448684</v>
      </c>
      <c r="H3073" s="6" t="n">
        <f aca="false">Sens!H3071+Sens!H3070</f>
        <v>147.777359388781</v>
      </c>
      <c r="I3073" s="6" t="n">
        <f aca="false">Sens!I3071+Sens!I3070</f>
        <v>162.084028071957</v>
      </c>
      <c r="J3073" s="6" t="n">
        <f aca="false">Sens!J3071+Sens!J3070</f>
        <v>175.182702785465</v>
      </c>
      <c r="K3073" s="6" t="n">
        <f aca="false">Sens!K3071+Sens!K3070</f>
        <v>187.527991980448</v>
      </c>
    </row>
    <row r="3074" customFormat="false" ht="15" hidden="false" customHeight="false" outlineLevel="0" collapsed="false">
      <c r="A3074" s="0" t="s">
        <v>789</v>
      </c>
      <c r="B3074" s="0" t="s">
        <v>95</v>
      </c>
      <c r="D3074" s="6" t="n">
        <f aca="false">Q!L8</f>
        <v>35.391</v>
      </c>
      <c r="E3074" s="6" t="n">
        <f aca="false">Q!M8</f>
        <v>37.285</v>
      </c>
      <c r="F3074" s="6" t="n">
        <f aca="false">Sens!E3074*(1+Sens!F3075)</f>
        <v>39.0720834331704</v>
      </c>
      <c r="G3074" s="6" t="n">
        <f aca="false">Sens!F3074*(1+Sens!G3075)</f>
        <v>40.726562953769</v>
      </c>
      <c r="H3074" s="6" t="n">
        <f aca="false">Sens!G3074*(1+Sens!H3075)</f>
        <v>42.2235987259198</v>
      </c>
      <c r="I3074" s="6" t="n">
        <f aca="false">Sens!H3074*(1+Sens!I3075)</f>
        <v>43.5397988077414</v>
      </c>
      <c r="J3074" s="6" t="n">
        <f aca="false">Sens!I3074*(1+Sens!J3075)</f>
        <v>44.653811225693</v>
      </c>
      <c r="K3074" s="6" t="n">
        <f aca="false">Sens!J3074*(1+Sens!K3075)</f>
        <v>45.5468874502068</v>
      </c>
    </row>
    <row r="3075" customFormat="false" ht="15" hidden="false" customHeight="false" outlineLevel="0" collapsed="false">
      <c r="A3075" s="1" t="s">
        <v>782</v>
      </c>
      <c r="B3075" s="0" t="s">
        <v>126</v>
      </c>
      <c r="E3075" s="7" t="n">
        <f aca="false">Sens!E3074/Sens!D3074-1</f>
        <v>0.0535164307309768</v>
      </c>
      <c r="F3075" s="7" t="n">
        <f aca="false">Sens!$E$3075+(glt_lic-Sens!$E$3075)*MIN(1,1/n_conv)</f>
        <v>0.0479303589424807</v>
      </c>
      <c r="G3075" s="7" t="n">
        <f aca="false">Sens!$E$3075+(glt_lic-Sens!$E$3075)*MIN(1,2/n_conv)</f>
        <v>0.0423442871539845</v>
      </c>
      <c r="H3075" s="7" t="n">
        <f aca="false">Sens!$E$3075+(glt_lic-Sens!$E$3075)*MIN(1,3/n_conv)</f>
        <v>0.0367582153654884</v>
      </c>
      <c r="I3075" s="7" t="n">
        <f aca="false">Sens!$E$3075+(glt_lic-Sens!$E$3075)*MIN(1,4/n_conv)</f>
        <v>0.0311721435769923</v>
      </c>
      <c r="J3075" s="7" t="n">
        <f aca="false">Sens!$E$3075+(glt_lic-Sens!$E$3075)*MIN(1,5/n_conv)</f>
        <v>0.0255860717884961</v>
      </c>
      <c r="K3075" s="7" t="n">
        <f aca="false">Sens!$E$3075+(glt_lic-Sens!$E$3075)*MIN(1,6/n_conv)</f>
        <v>0.02</v>
      </c>
    </row>
    <row r="3076" customFormat="false" ht="15" hidden="false" customHeight="false" outlineLevel="0" collapsed="false">
      <c r="A3076" s="0" t="s">
        <v>790</v>
      </c>
      <c r="B3076" s="0" t="s">
        <v>95</v>
      </c>
      <c r="D3076" s="6" t="n">
        <f aca="false">Q!L9</f>
        <v>18.417</v>
      </c>
      <c r="E3076" s="6" t="n">
        <f aca="false">Q!M9</f>
        <v>20.345</v>
      </c>
      <c r="F3076" s="6" t="n">
        <f aca="false">Sens!E3076*(1+Sens!F3077)</f>
        <v>22.3572203267814</v>
      </c>
      <c r="G3076" s="6" t="n">
        <f aca="false">Sens!F3076*(1+Sens!G3077)</f>
        <v>24.4392124437232</v>
      </c>
      <c r="H3076" s="6" t="n">
        <f aca="false">Sens!G3076*(1+Sens!H3077)</f>
        <v>26.5738052080665</v>
      </c>
      <c r="I3076" s="6" t="n">
        <f aca="false">Sens!H3076*(1+Sens!I3077)</f>
        <v>28.7412169166967</v>
      </c>
      <c r="J3076" s="6" t="n">
        <f aca="false">Sens!I3076*(1+Sens!J3077)</f>
        <v>30.9192545395413</v>
      </c>
      <c r="K3076" s="6" t="n">
        <f aca="false">Sens!J3076*(1+Sens!K3077)</f>
        <v>33.0836023573092</v>
      </c>
    </row>
    <row r="3077" customFormat="false" ht="15" hidden="false" customHeight="false" outlineLevel="0" collapsed="false">
      <c r="A3077" s="1" t="s">
        <v>782</v>
      </c>
      <c r="B3077" s="0" t="s">
        <v>126</v>
      </c>
      <c r="E3077" s="7" t="n">
        <f aca="false">Sens!E3076/Sens!D3076-1</f>
        <v>0.104685888038225</v>
      </c>
      <c r="F3077" s="7" t="n">
        <f aca="false">Sens!$E$3077+(glt_ind-Sens!$E$3077)*MIN(1,1/n_conv)</f>
        <v>0.0989049066985211</v>
      </c>
      <c r="G3077" s="7" t="n">
        <f aca="false">Sens!$E$3077+(glt_ind-Sens!$E$3077)*MIN(1,2/n_conv)</f>
        <v>0.0931239253588169</v>
      </c>
      <c r="H3077" s="7" t="n">
        <f aca="false">Sens!$E$3077+(glt_ind-Sens!$E$3077)*MIN(1,3/n_conv)</f>
        <v>0.0873429440191127</v>
      </c>
      <c r="I3077" s="7" t="n">
        <f aca="false">Sens!$E$3077+(glt_ind-Sens!$E$3077)*MIN(1,4/n_conv)</f>
        <v>0.0815619626794085</v>
      </c>
      <c r="J3077" s="7" t="n">
        <f aca="false">Sens!$E$3077+(glt_ind-Sens!$E$3077)*MIN(1,5/n_conv)</f>
        <v>0.0757809813397042</v>
      </c>
      <c r="K3077" s="7" t="n">
        <f aca="false">Sens!$E$3077+(glt_ind-Sens!$E$3077)*MIN(1,6/n_conv)</f>
        <v>0.07</v>
      </c>
    </row>
    <row r="3078" customFormat="false" ht="15" hidden="false" customHeight="false" outlineLevel="0" collapsed="false">
      <c r="A3078" s="0" t="s">
        <v>791</v>
      </c>
      <c r="B3078" s="0" t="s">
        <v>95</v>
      </c>
      <c r="D3078" s="6" t="n">
        <f aca="false">Q!L10</f>
        <v>7.76</v>
      </c>
      <c r="E3078" s="6" t="n">
        <f aca="false">Q!M10</f>
        <v>8.26</v>
      </c>
      <c r="F3078" s="6" t="n">
        <f aca="false">Sens!E3078*(1+Sens!F3079)</f>
        <v>8.79988041237113</v>
      </c>
      <c r="G3078" s="6" t="n">
        <f aca="false">Sens!F3078*(1+Sens!G3079)</f>
        <v>9.38321269125306</v>
      </c>
      <c r="H3078" s="6" t="n">
        <f aca="false">Sens!G3078*(1+Sens!H3079)</f>
        <v>10.0139193587476</v>
      </c>
      <c r="I3078" s="6" t="n">
        <f aca="false">Sens!H3078*(1+Sens!I3079)</f>
        <v>10.6963111830911</v>
      </c>
      <c r="J3078" s="6" t="n">
        <f aca="false">Sens!I3078*(1+Sens!J3079)</f>
        <v>11.4351285534696</v>
      </c>
      <c r="K3078" s="6" t="n">
        <f aca="false">Sens!J3078*(1+Sens!K3079)</f>
        <v>12.2355875522124</v>
      </c>
    </row>
    <row r="3079" customFormat="false" ht="15" hidden="false" customHeight="false" outlineLevel="0" collapsed="false">
      <c r="A3079" s="1" t="s">
        <v>782</v>
      </c>
      <c r="B3079" s="0" t="s">
        <v>126</v>
      </c>
      <c r="E3079" s="7" t="n">
        <f aca="false">Sens!E3078/Sens!D3078-1</f>
        <v>0.0644329896907216</v>
      </c>
      <c r="F3079" s="7" t="n">
        <f aca="false">Sens!$E$3079+(glt_fro-Sens!$E$3079)*MIN(1,1/n_conv)</f>
        <v>0.065360824742268</v>
      </c>
      <c r="G3079" s="7" t="n">
        <f aca="false">Sens!$E$3079+(glt_fro-Sens!$E$3079)*MIN(1,2/n_conv)</f>
        <v>0.0662886597938144</v>
      </c>
      <c r="H3079" s="7" t="n">
        <f aca="false">Sens!$E$3079+(glt_fro-Sens!$E$3079)*MIN(1,3/n_conv)</f>
        <v>0.0672164948453608</v>
      </c>
      <c r="I3079" s="7" t="n">
        <f aca="false">Sens!$E$3079+(glt_fro-Sens!$E$3079)*MIN(1,4/n_conv)</f>
        <v>0.0681443298969072</v>
      </c>
      <c r="J3079" s="7" t="n">
        <f aca="false">Sens!$E$3079+(glt_fro-Sens!$E$3079)*MIN(1,5/n_conv)</f>
        <v>0.0690721649484536</v>
      </c>
      <c r="K3079" s="7" t="n">
        <f aca="false">Sens!$E$3079+(glt_fro-Sens!$E$3079)*MIN(1,6/n_conv)</f>
        <v>0.07</v>
      </c>
    </row>
    <row r="3080" customFormat="false" ht="15" hidden="false" customHeight="false" outlineLevel="0" collapsed="false">
      <c r="A3080" s="0" t="s">
        <v>626</v>
      </c>
      <c r="B3080" s="0" t="s">
        <v>95</v>
      </c>
      <c r="D3080" s="6" t="n">
        <f aca="false">Sens!D3068+Sens!D3073+Sens!D3074+Sens!D3076+Sens!D3078</f>
        <v>218.783</v>
      </c>
      <c r="E3080" s="6" t="n">
        <f aca="false">Sens!E3068+Sens!E3073+Sens!E3074+Sens!E3076+Sens!E3078</f>
        <v>268.127</v>
      </c>
      <c r="F3080" s="6" t="n">
        <f aca="false">Sens!F3068+Sens!F3073+Sens!F3074+Sens!F3076+Sens!F3078</f>
        <v>331.564007727615</v>
      </c>
      <c r="G3080" s="6" t="n">
        <f aca="false">Sens!G3068+Sens!G3073+Sens!G3074+Sens!G3076+Sens!G3078</f>
        <v>397.959561367711</v>
      </c>
      <c r="H3080" s="6" t="n">
        <f aca="false">Sens!H3068+Sens!H3073+Sens!H3074+Sens!H3076+Sens!H3078</f>
        <v>459.003838182472</v>
      </c>
      <c r="I3080" s="6" t="n">
        <f aca="false">Sens!I3068+Sens!I3073+Sens!I3074+Sens!I3076+Sens!I3078</f>
        <v>526.575208912113</v>
      </c>
      <c r="J3080" s="6" t="n">
        <f aca="false">Sens!J3068+Sens!J3073+Sens!J3074+Sens!J3076+Sens!J3078</f>
        <v>591.304673606289</v>
      </c>
      <c r="K3080" s="6" t="n">
        <f aca="false">Sens!K3068+Sens!K3073+Sens!K3074+Sens!K3076+Sens!K3078</f>
        <v>652.548895856824</v>
      </c>
    </row>
    <row r="3081" customFormat="false" ht="15" hidden="false" customHeight="false" outlineLevel="0" collapsed="false">
      <c r="A3081" s="0" t="s">
        <v>792</v>
      </c>
      <c r="B3081" s="0" t="s">
        <v>95</v>
      </c>
      <c r="D3081" s="6" t="n">
        <f aca="false">Q!L13</f>
        <v>22.171</v>
      </c>
      <c r="E3081" s="6" t="n">
        <f aca="false">Q!M13</f>
        <v>24.835</v>
      </c>
      <c r="F3081" s="6" t="n">
        <f aca="false">Sens!E3081*(1+Sens!F3082)</f>
        <v>27.6114901218559</v>
      </c>
      <c r="G3081" s="6" t="n">
        <f aca="false">Sens!F3081*(1+Sens!G3082)</f>
        <v>30.4675667338515</v>
      </c>
      <c r="H3081" s="6" t="n">
        <f aca="false">Sens!G3081*(1+Sens!H3082)</f>
        <v>33.3643766955789</v>
      </c>
      <c r="I3081" s="6" t="n">
        <f aca="false">Sens!H3081*(1+Sens!I3082)</f>
        <v>36.2577016533691</v>
      </c>
      <c r="J3081" s="6" t="n">
        <f aca="false">Sens!I3081*(1+Sens!J3082)</f>
        <v>39.0988367952171</v>
      </c>
      <c r="K3081" s="6" t="n">
        <f aca="false">Sens!J3081*(1+Sens!K3082)</f>
        <v>41.8357553708823</v>
      </c>
    </row>
    <row r="3082" customFormat="false" ht="15" hidden="false" customHeight="false" outlineLevel="0" collapsed="false">
      <c r="A3082" s="1" t="s">
        <v>782</v>
      </c>
      <c r="B3082" s="0" t="s">
        <v>126</v>
      </c>
      <c r="E3082" s="7" t="n">
        <f aca="false">Sens!E3081/Sens!D3081-1</f>
        <v>0.120156961796942</v>
      </c>
      <c r="F3082" s="7" t="n">
        <f aca="false">Sens!$E$3082+(glt_srch-Sens!$E$3082)*MIN(1,1/n_conv)</f>
        <v>0.111797468164118</v>
      </c>
      <c r="G3082" s="7" t="n">
        <f aca="false">Sens!$E$3082+(glt_srch-Sens!$E$3082)*MIN(1,2/n_conv)</f>
        <v>0.103437974531295</v>
      </c>
      <c r="H3082" s="7" t="n">
        <f aca="false">Sens!$E$3082+(glt_srch-Sens!$E$3082)*MIN(1,3/n_conv)</f>
        <v>0.095078480898471</v>
      </c>
      <c r="I3082" s="7" t="n">
        <f aca="false">Sens!$E$3082+(glt_srch-Sens!$E$3082)*MIN(1,4/n_conv)</f>
        <v>0.0867189872656474</v>
      </c>
      <c r="J3082" s="7" t="n">
        <f aca="false">Sens!$E$3082+(glt_srch-Sens!$E$3082)*MIN(1,5/n_conv)</f>
        <v>0.0783594936328237</v>
      </c>
      <c r="K3082" s="7" t="n">
        <f aca="false">Sens!$E$3082+(glt_srch-Sens!$E$3082)*MIN(1,6/n_conv)</f>
        <v>0.07</v>
      </c>
    </row>
    <row r="3083" customFormat="false" ht="15" hidden="false" customHeight="false" outlineLevel="0" collapsed="false">
      <c r="A3083" s="0" t="s">
        <v>793</v>
      </c>
      <c r="B3083" s="0" t="s">
        <v>95</v>
      </c>
      <c r="D3083" s="6" t="n">
        <f aca="false">Q!L14</f>
        <v>23.455</v>
      </c>
      <c r="E3083" s="6" t="n">
        <f aca="false">Q!M14</f>
        <v>21.79</v>
      </c>
      <c r="F3083" s="6" t="n">
        <f aca="false">Sens!E3083*(1+Sens!F3084)</f>
        <v>20.5736277908051</v>
      </c>
      <c r="G3083" s="6" t="n">
        <f aca="false">Sens!F3083*(1+Sens!G3084)</f>
        <v>19.7371452817919</v>
      </c>
      <c r="H3083" s="6" t="n">
        <f aca="false">Sens!G3083*(1+Sens!H3084)</f>
        <v>19.2339764043138</v>
      </c>
      <c r="I3083" s="6" t="n">
        <f aca="false">Sens!H3083*(1+Sens!I3084)</f>
        <v>19.0353086852681</v>
      </c>
      <c r="J3083" s="6" t="n">
        <f aca="false">Sens!I3083*(1+Sens!J3084)</f>
        <v>19.1273539319129</v>
      </c>
      <c r="K3083" s="6" t="n">
        <f aca="false">Sens!J3083*(1+Sens!K3084)</f>
        <v>19.5099010105511</v>
      </c>
    </row>
    <row r="3084" customFormat="false" ht="15" hidden="false" customHeight="false" outlineLevel="0" collapsed="false">
      <c r="A3084" s="1" t="s">
        <v>782</v>
      </c>
      <c r="B3084" s="0" t="s">
        <v>126</v>
      </c>
      <c r="E3084" s="7" t="n">
        <f aca="false">Sens!E3083/Sens!D3083-1</f>
        <v>-0.0709869963760392</v>
      </c>
      <c r="F3084" s="7" t="n">
        <f aca="false">Sens!$E$3084+(glt_xbox-Sens!$E$3084)*MIN(1,1/n_conv)</f>
        <v>-0.0558224969800327</v>
      </c>
      <c r="G3084" s="7" t="n">
        <f aca="false">Sens!$E$3084+(glt_xbox-Sens!$E$3084)*MIN(1,2/n_conv)</f>
        <v>-0.0406579975840262</v>
      </c>
      <c r="H3084" s="7" t="n">
        <f aca="false">Sens!$E$3084+(glt_xbox-Sens!$E$3084)*MIN(1,3/n_conv)</f>
        <v>-0.0254934981880196</v>
      </c>
      <c r="I3084" s="7" t="n">
        <f aca="false">Sens!$E$3084+(glt_xbox-Sens!$E$3084)*MIN(1,4/n_conv)</f>
        <v>-0.0103289987920131</v>
      </c>
      <c r="J3084" s="7" t="n">
        <f aca="false">Sens!$E$3084+(glt_xbox-Sens!$E$3084)*MIN(1,5/n_conv)</f>
        <v>0.00483550060399347</v>
      </c>
      <c r="K3084" s="7" t="n">
        <f aca="false">Sens!$E$3084+(glt_xbox-Sens!$E$3084)*MIN(1,6/n_conv)</f>
        <v>0.02</v>
      </c>
    </row>
    <row r="3085" customFormat="false" ht="15" hidden="false" customHeight="false" outlineLevel="0" collapsed="false">
      <c r="A3085" s="0" t="s">
        <v>794</v>
      </c>
      <c r="B3085" s="0" t="s">
        <v>95</v>
      </c>
      <c r="D3085" s="6" t="n">
        <f aca="false">Q!L15</f>
        <v>17.315</v>
      </c>
      <c r="E3085" s="6" t="n">
        <f aca="false">Q!M15</f>
        <v>17.087</v>
      </c>
      <c r="F3085" s="6" t="n">
        <f aca="false">Sens!E3085*(1+Sens!F3086)</f>
        <v>16.9564585436519</v>
      </c>
      <c r="G3085" s="6" t="n">
        <f aca="false">Sens!F3085*(1+Sens!G3086)</f>
        <v>16.9206490624268</v>
      </c>
      <c r="H3085" s="6" t="n">
        <f aca="false">Sens!G3085*(1+Sens!H3086)</f>
        <v>16.9784519149849</v>
      </c>
      <c r="I3085" s="6" t="n">
        <f aca="false">Sens!H3085*(1+Sens!I3086)</f>
        <v>17.1303084701817</v>
      </c>
      <c r="J3085" s="6" t="n">
        <f aca="false">Sens!I3085*(1+Sens!J3086)</f>
        <v>17.3782189407267</v>
      </c>
      <c r="K3085" s="6" t="n">
        <f aca="false">Sens!J3085*(1+Sens!K3086)</f>
        <v>17.7257833195413</v>
      </c>
    </row>
    <row r="3086" customFormat="false" ht="15" hidden="false" customHeight="false" outlineLevel="0" collapsed="false">
      <c r="A3086" s="1" t="s">
        <v>782</v>
      </c>
      <c r="B3086" s="0" t="s">
        <v>126</v>
      </c>
      <c r="E3086" s="7" t="n">
        <f aca="false">Sens!E3085/Sens!D3085-1</f>
        <v>-0.0131677736066995</v>
      </c>
      <c r="F3086" s="7" t="n">
        <f aca="false">Sens!$E$3086+(glt_win-Sens!$E$3086)*MIN(1,1/n_conv)</f>
        <v>-0.00763981133891627</v>
      </c>
      <c r="G3086" s="7" t="n">
        <f aca="false">Sens!$E$3086+(glt_win-Sens!$E$3086)*MIN(1,2/n_conv)</f>
        <v>-0.00211184907113301</v>
      </c>
      <c r="H3086" s="7" t="n">
        <f aca="false">Sens!$E$3086+(glt_win-Sens!$E$3086)*MIN(1,3/n_conv)</f>
        <v>0.00341611319665024</v>
      </c>
      <c r="I3086" s="7" t="n">
        <f aca="false">Sens!$E$3086+(glt_win-Sens!$E$3086)*MIN(1,4/n_conv)</f>
        <v>0.00894407546443349</v>
      </c>
      <c r="J3086" s="7" t="n">
        <f aca="false">Sens!$E$3086+(glt_win-Sens!$E$3086)*MIN(1,5/n_conv)</f>
        <v>0.0144720377322168</v>
      </c>
      <c r="K3086" s="7" t="n">
        <f aca="false">Sens!$E$3086+(glt_win-Sens!$E$3086)*MIN(1,6/n_conv)</f>
        <v>0.02</v>
      </c>
    </row>
    <row r="3087" customFormat="false" ht="15" hidden="false" customHeight="false" outlineLevel="0" collapsed="false">
      <c r="A3087" s="0" t="s">
        <v>640</v>
      </c>
      <c r="B3087" s="0" t="s">
        <v>95</v>
      </c>
      <c r="D3087" s="6" t="n">
        <f aca="false">Sens!D3081+Sens!D3083+Sens!D3085</f>
        <v>62.941</v>
      </c>
      <c r="E3087" s="6" t="n">
        <f aca="false">Sens!E3081+Sens!E3083+Sens!E3085</f>
        <v>63.712</v>
      </c>
      <c r="F3087" s="6" t="n">
        <f aca="false">Sens!F3081+Sens!F3083+Sens!F3085</f>
        <v>65.1415764563129</v>
      </c>
      <c r="G3087" s="6" t="n">
        <f aca="false">Sens!G3081+Sens!G3083+Sens!G3085</f>
        <v>67.1253610780702</v>
      </c>
      <c r="H3087" s="6" t="n">
        <f aca="false">Sens!H3081+Sens!H3083+Sens!H3085</f>
        <v>69.5768050148776</v>
      </c>
      <c r="I3087" s="6" t="n">
        <f aca="false">Sens!I3081+Sens!I3083+Sens!I3085</f>
        <v>72.4233188088189</v>
      </c>
      <c r="J3087" s="6" t="n">
        <f aca="false">Sens!J3081+Sens!J3083+Sens!J3085</f>
        <v>75.6044096678567</v>
      </c>
      <c r="K3087" s="6" t="n">
        <f aca="false">Sens!K3081+Sens!K3083+Sens!K3085</f>
        <v>79.0714397009747</v>
      </c>
    </row>
    <row r="3088" customFormat="false" ht="15" hidden="false" customHeight="false" outlineLevel="0" collapsed="false">
      <c r="A3088" s="1" t="s">
        <v>795</v>
      </c>
      <c r="B3088" s="0" t="s">
        <v>95</v>
      </c>
      <c r="D3088" s="6" t="n">
        <f aca="false">Sens!D3080+Sens!D3087</f>
        <v>281.724</v>
      </c>
      <c r="E3088" s="6" t="n">
        <f aca="false">Sens!E3080+Sens!E3087</f>
        <v>331.839</v>
      </c>
      <c r="F3088" s="6" t="n">
        <f aca="false">Sens!F3080+Sens!F3087</f>
        <v>396.705584183928</v>
      </c>
      <c r="G3088" s="6" t="n">
        <f aca="false">Sens!G3080+Sens!G3087</f>
        <v>465.084922445781</v>
      </c>
      <c r="H3088" s="6" t="n">
        <f aca="false">Sens!H3080+Sens!H3087</f>
        <v>528.58064319735</v>
      </c>
      <c r="I3088" s="6" t="n">
        <f aca="false">Sens!I3080+Sens!I3087</f>
        <v>598.998527720932</v>
      </c>
      <c r="J3088" s="6" t="n">
        <f aca="false">Sens!J3080+Sens!J3087</f>
        <v>666.909083274145</v>
      </c>
      <c r="K3088" s="6" t="n">
        <f aca="false">Sens!K3080+Sens!K3087</f>
        <v>731.620335557798</v>
      </c>
    </row>
    <row r="3089" customFormat="false" ht="15" hidden="false" customHeight="false" outlineLevel="0" collapsed="false">
      <c r="A3089" s="22" t="s">
        <v>796</v>
      </c>
      <c r="B3089" s="28" t="s">
        <v>95</v>
      </c>
      <c r="C3089" s="28"/>
      <c r="D3089" s="23" t="n">
        <f aca="false">(Sens!D3068+Sens!D3073+Sens!D3074+Sens!D3076+Sens!D3078-Sens!D3080)+(Sens!D3081+Sens!D3083+Sens!D3085-Sens!D3087)+(Sens!D3080-Q!L5)+(Sens!D3087-Q!L12)+(Sens!D3068-Q!L6)+(Sens!D3073-Q!L7)</f>
        <v>0</v>
      </c>
      <c r="E3089" s="23" t="n">
        <f aca="false">(Sens!E3068+Sens!E3073+Sens!E3074+Sens!E3076+Sens!E3078-Sens!E3080)+(Sens!E3081+Sens!E3083+Sens!E3085-Sens!E3087)+(Sens!E3080-Q!M5)+(Sens!E3087-Q!M12)+(Sens!E3068-Q!M6)+(Sens!E3073-Q!M7)</f>
        <v>0</v>
      </c>
      <c r="F3089" s="23" t="n">
        <f aca="false">(Sens!F3068+Sens!F3073+Sens!F3074+Sens!F3076+Sens!F3078-Sens!F3080)+(Sens!F3081+Sens!F3083+Sens!F3085-Sens!F3087)</f>
        <v>0</v>
      </c>
      <c r="G3089" s="23" t="n">
        <f aca="false">(Sens!G3068+Sens!G3073+Sens!G3074+Sens!G3076+Sens!G3078-Sens!G3080)+(Sens!G3081+Sens!G3083+Sens!G3085-Sens!G3087)</f>
        <v>0</v>
      </c>
      <c r="H3089" s="23" t="n">
        <f aca="false">(Sens!H3068+Sens!H3073+Sens!H3074+Sens!H3076+Sens!H3078-Sens!H3080)+(Sens!H3081+Sens!H3083+Sens!H3085-Sens!H3087)</f>
        <v>0</v>
      </c>
      <c r="I3089" s="23" t="n">
        <f aca="false">(Sens!I3068+Sens!I3073+Sens!I3074+Sens!I3076+Sens!I3078-Sens!I3080)+(Sens!I3081+Sens!I3083+Sens!I3085-Sens!I3087)</f>
        <v>0</v>
      </c>
      <c r="J3089" s="23" t="n">
        <f aca="false">(Sens!J3068+Sens!J3073+Sens!J3074+Sens!J3076+Sens!J3078-Sens!J3080)+(Sens!J3081+Sens!J3083+Sens!J3085-Sens!J3087)</f>
        <v>0</v>
      </c>
      <c r="K3089" s="23" t="n">
        <f aca="false">(Sens!K3068+Sens!K3073+Sens!K3074+Sens!K3076+Sens!K3078-Sens!K3080)+(Sens!K3081+Sens!K3083+Sens!K3085-Sens!K3087)</f>
        <v>0</v>
      </c>
    </row>
    <row r="3090" customFormat="false" ht="17.15" hidden="false" customHeight="false" outlineLevel="0" collapsed="false">
      <c r="A3090" s="3" t="s">
        <v>1201</v>
      </c>
    </row>
    <row r="3091" customFormat="false" ht="15" hidden="false" customHeight="false" outlineLevel="0" collapsed="false">
      <c r="A3091" s="4" t="s">
        <v>43</v>
      </c>
      <c r="B3091" s="4" t="s">
        <v>63</v>
      </c>
      <c r="C3091" s="19" t="s">
        <v>710</v>
      </c>
      <c r="D3091" s="19" t="s">
        <v>711</v>
      </c>
      <c r="E3091" s="19" t="s">
        <v>712</v>
      </c>
      <c r="F3091" s="19" t="s">
        <v>713</v>
      </c>
      <c r="G3091" s="19" t="s">
        <v>714</v>
      </c>
      <c r="H3091" s="19" t="s">
        <v>715</v>
      </c>
      <c r="I3091" s="19" t="s">
        <v>716</v>
      </c>
      <c r="J3091" s="19" t="s">
        <v>717</v>
      </c>
      <c r="K3091" s="19" t="s">
        <v>718</v>
      </c>
      <c r="L3091" s="4" t="s">
        <v>47</v>
      </c>
    </row>
    <row r="3092" customFormat="false" ht="15" hidden="false" customHeight="false" outlineLevel="0" collapsed="false">
      <c r="A3092" s="0" t="s">
        <v>783</v>
      </c>
      <c r="B3092" s="0" t="s">
        <v>95</v>
      </c>
      <c r="D3092" s="6" t="n">
        <f aca="false">Sens!D3068</f>
        <v>72.61</v>
      </c>
      <c r="E3092" s="6" t="n">
        <f aca="false">Sens!E3068</f>
        <v>101.938</v>
      </c>
      <c r="F3092" s="6" t="n">
        <f aca="false">Sens!F3068</f>
        <v>143.942435788432</v>
      </c>
      <c r="G3092" s="6" t="n">
        <f aca="false">Sens!G3068</f>
        <v>190.866404830282</v>
      </c>
      <c r="H3092" s="6" t="n">
        <f aca="false">Sens!H3068</f>
        <v>232.415155500957</v>
      </c>
      <c r="I3092" s="6" t="n">
        <f aca="false">Sens!I3068</f>
        <v>281.513853932627</v>
      </c>
      <c r="J3092" s="6" t="n">
        <f aca="false">Sens!J3068</f>
        <v>329.113776502119</v>
      </c>
      <c r="K3092" s="6" t="n">
        <f aca="false">Sens!K3068</f>
        <v>374.154826516647</v>
      </c>
    </row>
    <row r="3093" customFormat="false" ht="17.15" hidden="false" customHeight="false" outlineLevel="0" collapsed="false">
      <c r="A3093" s="0" t="s">
        <v>780</v>
      </c>
      <c r="B3093" s="0" t="s">
        <v>95</v>
      </c>
      <c r="D3093" s="6" t="n">
        <f aca="false">Sens!D3065</f>
        <v>12.9359794422418</v>
      </c>
      <c r="E3093" s="6" t="n">
        <f aca="false">Sens!E3065</f>
        <v>27.8095064661409</v>
      </c>
      <c r="F3093" s="6" t="n">
        <f aca="false">Sens!F3065</f>
        <v>53.8624860510656</v>
      </c>
      <c r="G3093" s="6" t="n">
        <f aca="false">Sens!G3065</f>
        <v>83.8379796269722</v>
      </c>
      <c r="H3093" s="6" t="n">
        <f aca="false">Sens!H3065</f>
        <v>108.143172915321</v>
      </c>
      <c r="I3093" s="6" t="n">
        <f aca="false">Sens!I3065</f>
        <v>140.580151550772</v>
      </c>
      <c r="J3093" s="6" t="n">
        <f aca="false">Sens!J3065</f>
        <v>173.094909187788</v>
      </c>
      <c r="K3093" s="6" t="n">
        <f aca="false">Sens!K3065</f>
        <v>205.654449817169</v>
      </c>
    </row>
    <row r="3094" customFormat="false" ht="17.15" hidden="false" customHeight="false" outlineLevel="0" collapsed="false">
      <c r="A3094" s="0" t="s">
        <v>807</v>
      </c>
      <c r="B3094" s="0" t="s">
        <v>95</v>
      </c>
      <c r="D3094" s="6" t="n">
        <f aca="false">Sens!D3066</f>
        <v>59.6740205577583</v>
      </c>
      <c r="E3094" s="6" t="n">
        <f aca="false">Sens!E3066</f>
        <v>74.1284935338591</v>
      </c>
      <c r="F3094" s="6" t="n">
        <f aca="false">Sens!F3066</f>
        <v>90.0799497373663</v>
      </c>
      <c r="G3094" s="6" t="n">
        <f aca="false">Sens!G3066</f>
        <v>107.02842520331</v>
      </c>
      <c r="H3094" s="6" t="n">
        <f aca="false">Sens!H3066</f>
        <v>124.271982585636</v>
      </c>
      <c r="I3094" s="6" t="n">
        <f aca="false">Sens!I3066</f>
        <v>140.933702381855</v>
      </c>
      <c r="J3094" s="6" t="n">
        <f aca="false">Sens!J3066</f>
        <v>156.018867314332</v>
      </c>
      <c r="K3094" s="6" t="n">
        <f aca="false">Sens!K3066</f>
        <v>168.500376699478</v>
      </c>
    </row>
    <row r="3095" customFormat="false" ht="15" hidden="false" customHeight="false" outlineLevel="0" collapsed="false">
      <c r="A3095" s="0" t="s">
        <v>788</v>
      </c>
      <c r="B3095" s="0" t="s">
        <v>95</v>
      </c>
      <c r="D3095" s="6" t="n">
        <f aca="false">Sens!D3073</f>
        <v>84.605</v>
      </c>
      <c r="E3095" s="6" t="n">
        <f aca="false">Sens!E3073</f>
        <v>100.299</v>
      </c>
      <c r="F3095" s="6" t="n">
        <f aca="false">Sens!F3073</f>
        <v>117.39238776686</v>
      </c>
      <c r="G3095" s="6" t="n">
        <f aca="false">Sens!G3073</f>
        <v>132.544168448684</v>
      </c>
      <c r="H3095" s="6" t="n">
        <f aca="false">Sens!H3073</f>
        <v>147.777359388781</v>
      </c>
      <c r="I3095" s="6" t="n">
        <f aca="false">Sens!I3073</f>
        <v>162.084028071957</v>
      </c>
      <c r="J3095" s="6" t="n">
        <f aca="false">Sens!J3073</f>
        <v>175.182702785465</v>
      </c>
      <c r="K3095" s="6" t="n">
        <f aca="false">Sens!K3073</f>
        <v>187.527991980448</v>
      </c>
    </row>
    <row r="3096" customFormat="false" ht="17.15" hidden="false" customHeight="false" outlineLevel="0" collapsed="false">
      <c r="A3096" s="0" t="s">
        <v>808</v>
      </c>
      <c r="B3096" s="0" t="s">
        <v>95</v>
      </c>
      <c r="D3096" s="6" t="n">
        <f aca="false">Sens!D3071</f>
        <v>83.705</v>
      </c>
      <c r="E3096" s="6" t="n">
        <f aca="false">Sens!E3071</f>
        <v>95.049</v>
      </c>
      <c r="F3096" s="6" t="n">
        <f aca="false">Sens!F3071</f>
        <v>106.89238776686</v>
      </c>
      <c r="G3096" s="6" t="n">
        <f aca="false">Sens!G3071</f>
        <v>119.044168448684</v>
      </c>
      <c r="H3096" s="6" t="n">
        <f aca="false">Sens!H3071</f>
        <v>131.277359388781</v>
      </c>
      <c r="I3096" s="6" t="n">
        <f aca="false">Sens!I3071</f>
        <v>143.334028071957</v>
      </c>
      <c r="J3096" s="6" t="n">
        <f aca="false">Sens!J3071</f>
        <v>154.932702785465</v>
      </c>
      <c r="K3096" s="6" t="n">
        <f aca="false">Sens!K3071</f>
        <v>165.777991980448</v>
      </c>
    </row>
    <row r="3097" customFormat="false" ht="17.15" hidden="false" customHeight="false" outlineLevel="0" collapsed="false">
      <c r="A3097" s="0" t="s">
        <v>809</v>
      </c>
      <c r="B3097" s="0" t="s">
        <v>95</v>
      </c>
      <c r="D3097" s="6" t="n">
        <f aca="false">Sens!D3070</f>
        <v>0.9</v>
      </c>
      <c r="E3097" s="6" t="n">
        <f aca="false">Sens!E3070</f>
        <v>5.25</v>
      </c>
      <c r="F3097" s="6" t="n">
        <f aca="false">Sens!F3070</f>
        <v>10.5</v>
      </c>
      <c r="G3097" s="6" t="n">
        <f aca="false">Sens!G3070</f>
        <v>13.5</v>
      </c>
      <c r="H3097" s="6" t="n">
        <f aca="false">Sens!H3070</f>
        <v>16.5</v>
      </c>
      <c r="I3097" s="6" t="n">
        <f aca="false">Sens!I3070</f>
        <v>18.75</v>
      </c>
      <c r="J3097" s="6" t="n">
        <f aca="false">Sens!J3070</f>
        <v>20.25</v>
      </c>
      <c r="K3097" s="6" t="n">
        <f aca="false">Sens!K3070</f>
        <v>21.75</v>
      </c>
    </row>
    <row r="3098" customFormat="false" ht="15" hidden="false" customHeight="false" outlineLevel="0" collapsed="false">
      <c r="A3098" s="0" t="s">
        <v>789</v>
      </c>
      <c r="B3098" s="0" t="s">
        <v>95</v>
      </c>
      <c r="D3098" s="6" t="n">
        <f aca="false">Sens!D3074</f>
        <v>35.391</v>
      </c>
      <c r="E3098" s="6" t="n">
        <f aca="false">Sens!E3074</f>
        <v>37.285</v>
      </c>
      <c r="F3098" s="6" t="n">
        <f aca="false">Sens!F3074</f>
        <v>39.0720834331704</v>
      </c>
      <c r="G3098" s="6" t="n">
        <f aca="false">Sens!G3074</f>
        <v>40.726562953769</v>
      </c>
      <c r="H3098" s="6" t="n">
        <f aca="false">Sens!H3074</f>
        <v>42.2235987259198</v>
      </c>
      <c r="I3098" s="6" t="n">
        <f aca="false">Sens!I3074</f>
        <v>43.5397988077414</v>
      </c>
      <c r="J3098" s="6" t="n">
        <f aca="false">Sens!J3074</f>
        <v>44.653811225693</v>
      </c>
      <c r="K3098" s="6" t="n">
        <f aca="false">Sens!K3074</f>
        <v>45.5468874502068</v>
      </c>
    </row>
    <row r="3099" customFormat="false" ht="15" hidden="false" customHeight="false" outlineLevel="0" collapsed="false">
      <c r="A3099" s="0" t="s">
        <v>790</v>
      </c>
      <c r="B3099" s="0" t="s">
        <v>95</v>
      </c>
      <c r="D3099" s="6" t="n">
        <f aca="false">Sens!D3076</f>
        <v>18.417</v>
      </c>
      <c r="E3099" s="6" t="n">
        <f aca="false">Sens!E3076</f>
        <v>20.345</v>
      </c>
      <c r="F3099" s="6" t="n">
        <f aca="false">Sens!F3076</f>
        <v>22.3572203267814</v>
      </c>
      <c r="G3099" s="6" t="n">
        <f aca="false">Sens!G3076</f>
        <v>24.4392124437232</v>
      </c>
      <c r="H3099" s="6" t="n">
        <f aca="false">Sens!H3076</f>
        <v>26.5738052080665</v>
      </c>
      <c r="I3099" s="6" t="n">
        <f aca="false">Sens!I3076</f>
        <v>28.7412169166967</v>
      </c>
      <c r="J3099" s="6" t="n">
        <f aca="false">Sens!J3076</f>
        <v>30.9192545395413</v>
      </c>
      <c r="K3099" s="6" t="n">
        <f aca="false">Sens!K3076</f>
        <v>33.0836023573092</v>
      </c>
    </row>
    <row r="3100" customFormat="false" ht="15" hidden="false" customHeight="false" outlineLevel="0" collapsed="false">
      <c r="A3100" s="0" t="s">
        <v>791</v>
      </c>
      <c r="B3100" s="0" t="s">
        <v>95</v>
      </c>
      <c r="D3100" s="6" t="n">
        <f aca="false">Sens!D3078</f>
        <v>7.76</v>
      </c>
      <c r="E3100" s="6" t="n">
        <f aca="false">Sens!E3078</f>
        <v>8.26</v>
      </c>
      <c r="F3100" s="6" t="n">
        <f aca="false">Sens!F3078</f>
        <v>8.79988041237113</v>
      </c>
      <c r="G3100" s="6" t="n">
        <f aca="false">Sens!G3078</f>
        <v>9.38321269125306</v>
      </c>
      <c r="H3100" s="6" t="n">
        <f aca="false">Sens!H3078</f>
        <v>10.0139193587476</v>
      </c>
      <c r="I3100" s="6" t="n">
        <f aca="false">Sens!I3078</f>
        <v>10.6963111830911</v>
      </c>
      <c r="J3100" s="6" t="n">
        <f aca="false">Sens!J3078</f>
        <v>11.4351285534696</v>
      </c>
      <c r="K3100" s="6" t="n">
        <f aca="false">Sens!K3078</f>
        <v>12.2355875522124</v>
      </c>
    </row>
    <row r="3101" customFormat="false" ht="15" hidden="false" customHeight="false" outlineLevel="0" collapsed="false">
      <c r="A3101" s="0" t="s">
        <v>626</v>
      </c>
      <c r="B3101" s="0" t="s">
        <v>95</v>
      </c>
      <c r="D3101" s="6" t="n">
        <f aca="false">Sens!D3080</f>
        <v>218.783</v>
      </c>
      <c r="E3101" s="6" t="n">
        <f aca="false">Sens!E3080</f>
        <v>268.127</v>
      </c>
      <c r="F3101" s="6" t="n">
        <f aca="false">Sens!F3080</f>
        <v>331.564007727615</v>
      </c>
      <c r="G3101" s="6" t="n">
        <f aca="false">Sens!G3080</f>
        <v>397.959561367711</v>
      </c>
      <c r="H3101" s="6" t="n">
        <f aca="false">Sens!H3080</f>
        <v>459.003838182472</v>
      </c>
      <c r="I3101" s="6" t="n">
        <f aca="false">Sens!I3080</f>
        <v>526.575208912113</v>
      </c>
      <c r="J3101" s="6" t="n">
        <f aca="false">Sens!J3080</f>
        <v>591.304673606289</v>
      </c>
      <c r="K3101" s="6" t="n">
        <f aca="false">Sens!K3080</f>
        <v>652.548895856824</v>
      </c>
    </row>
    <row r="3102" customFormat="false" ht="15" hidden="false" customHeight="false" outlineLevel="0" collapsed="false">
      <c r="A3102" s="0" t="s">
        <v>792</v>
      </c>
      <c r="B3102" s="0" t="s">
        <v>95</v>
      </c>
      <c r="D3102" s="6" t="n">
        <f aca="false">Sens!D3081</f>
        <v>22.171</v>
      </c>
      <c r="E3102" s="6" t="n">
        <f aca="false">Sens!E3081</f>
        <v>24.835</v>
      </c>
      <c r="F3102" s="6" t="n">
        <f aca="false">Sens!F3081</f>
        <v>27.6114901218559</v>
      </c>
      <c r="G3102" s="6" t="n">
        <f aca="false">Sens!G3081</f>
        <v>30.4675667338515</v>
      </c>
      <c r="H3102" s="6" t="n">
        <f aca="false">Sens!H3081</f>
        <v>33.3643766955789</v>
      </c>
      <c r="I3102" s="6" t="n">
        <f aca="false">Sens!I3081</f>
        <v>36.2577016533691</v>
      </c>
      <c r="J3102" s="6" t="n">
        <f aca="false">Sens!J3081</f>
        <v>39.0988367952171</v>
      </c>
      <c r="K3102" s="6" t="n">
        <f aca="false">Sens!K3081</f>
        <v>41.8357553708823</v>
      </c>
    </row>
    <row r="3103" customFormat="false" ht="15" hidden="false" customHeight="false" outlineLevel="0" collapsed="false">
      <c r="A3103" s="0" t="s">
        <v>793</v>
      </c>
      <c r="B3103" s="0" t="s">
        <v>95</v>
      </c>
      <c r="D3103" s="6" t="n">
        <f aca="false">Sens!D3083</f>
        <v>23.455</v>
      </c>
      <c r="E3103" s="6" t="n">
        <f aca="false">Sens!E3083</f>
        <v>21.79</v>
      </c>
      <c r="F3103" s="6" t="n">
        <f aca="false">Sens!F3083</f>
        <v>20.5736277908051</v>
      </c>
      <c r="G3103" s="6" t="n">
        <f aca="false">Sens!G3083</f>
        <v>19.7371452817919</v>
      </c>
      <c r="H3103" s="6" t="n">
        <f aca="false">Sens!H3083</f>
        <v>19.2339764043138</v>
      </c>
      <c r="I3103" s="6" t="n">
        <f aca="false">Sens!I3083</f>
        <v>19.0353086852681</v>
      </c>
      <c r="J3103" s="6" t="n">
        <f aca="false">Sens!J3083</f>
        <v>19.1273539319129</v>
      </c>
      <c r="K3103" s="6" t="n">
        <f aca="false">Sens!K3083</f>
        <v>19.5099010105511</v>
      </c>
    </row>
    <row r="3104" customFormat="false" ht="15" hidden="false" customHeight="false" outlineLevel="0" collapsed="false">
      <c r="A3104" s="0" t="s">
        <v>794</v>
      </c>
      <c r="B3104" s="0" t="s">
        <v>95</v>
      </c>
      <c r="D3104" s="6" t="n">
        <f aca="false">Sens!D3085</f>
        <v>17.315</v>
      </c>
      <c r="E3104" s="6" t="n">
        <f aca="false">Sens!E3085</f>
        <v>17.087</v>
      </c>
      <c r="F3104" s="6" t="n">
        <f aca="false">Sens!F3085</f>
        <v>16.9564585436519</v>
      </c>
      <c r="G3104" s="6" t="n">
        <f aca="false">Sens!G3085</f>
        <v>16.9206490624268</v>
      </c>
      <c r="H3104" s="6" t="n">
        <f aca="false">Sens!H3085</f>
        <v>16.9784519149849</v>
      </c>
      <c r="I3104" s="6" t="n">
        <f aca="false">Sens!I3085</f>
        <v>17.1303084701817</v>
      </c>
      <c r="J3104" s="6" t="n">
        <f aca="false">Sens!J3085</f>
        <v>17.3782189407267</v>
      </c>
      <c r="K3104" s="6" t="n">
        <f aca="false">Sens!K3085</f>
        <v>17.7257833195413</v>
      </c>
    </row>
    <row r="3105" customFormat="false" ht="15" hidden="false" customHeight="false" outlineLevel="0" collapsed="false">
      <c r="A3105" s="0" t="s">
        <v>640</v>
      </c>
      <c r="B3105" s="0" t="s">
        <v>95</v>
      </c>
      <c r="D3105" s="6" t="n">
        <f aca="false">Sens!D3087</f>
        <v>62.941</v>
      </c>
      <c r="E3105" s="6" t="n">
        <f aca="false">Sens!E3087</f>
        <v>63.712</v>
      </c>
      <c r="F3105" s="6" t="n">
        <f aca="false">Sens!F3087</f>
        <v>65.1415764563129</v>
      </c>
      <c r="G3105" s="6" t="n">
        <f aca="false">Sens!G3087</f>
        <v>67.1253610780702</v>
      </c>
      <c r="H3105" s="6" t="n">
        <f aca="false">Sens!H3087</f>
        <v>69.5768050148776</v>
      </c>
      <c r="I3105" s="6" t="n">
        <f aca="false">Sens!I3087</f>
        <v>72.4233188088189</v>
      </c>
      <c r="J3105" s="6" t="n">
        <f aca="false">Sens!J3087</f>
        <v>75.6044096678567</v>
      </c>
      <c r="K3105" s="6" t="n">
        <f aca="false">Sens!K3087</f>
        <v>79.0714397009747</v>
      </c>
    </row>
    <row r="3106" customFormat="false" ht="15" hidden="false" customHeight="false" outlineLevel="0" collapsed="false">
      <c r="A3106" s="1" t="s">
        <v>810</v>
      </c>
      <c r="B3106" s="0" t="s">
        <v>95</v>
      </c>
      <c r="D3106" s="6" t="n">
        <f aca="false">Sens!D3088</f>
        <v>281.724</v>
      </c>
      <c r="E3106" s="6" t="n">
        <f aca="false">Sens!E3088</f>
        <v>331.839</v>
      </c>
      <c r="F3106" s="6" t="n">
        <f aca="false">Sens!F3088</f>
        <v>396.705584183928</v>
      </c>
      <c r="G3106" s="6" t="n">
        <f aca="false">Sens!G3088</f>
        <v>465.084922445781</v>
      </c>
      <c r="H3106" s="6" t="n">
        <f aca="false">Sens!H3088</f>
        <v>528.58064319735</v>
      </c>
      <c r="I3106" s="6" t="n">
        <f aca="false">Sens!I3088</f>
        <v>598.998527720932</v>
      </c>
      <c r="J3106" s="6" t="n">
        <f aca="false">Sens!J3088</f>
        <v>666.909083274145</v>
      </c>
      <c r="K3106" s="6" t="n">
        <f aca="false">Sens!K3088</f>
        <v>731.620335557798</v>
      </c>
    </row>
    <row r="3107" customFormat="false" ht="15" hidden="false" customHeight="false" outlineLevel="0" collapsed="false">
      <c r="A3107" s="1" t="s">
        <v>811</v>
      </c>
      <c r="B3107" s="0" t="s">
        <v>126</v>
      </c>
      <c r="E3107" s="7" t="n">
        <f aca="false">Sens!E3106/Sens!D3106-1</f>
        <v>0.177886867998467</v>
      </c>
      <c r="F3107" s="7" t="n">
        <f aca="false">Sens!F3106/Sens!E3106-1</f>
        <v>0.19547607178158</v>
      </c>
      <c r="G3107" s="7" t="n">
        <f aca="false">Sens!G3106/Sens!F3106-1</f>
        <v>0.172367975113127</v>
      </c>
      <c r="H3107" s="7" t="n">
        <f aca="false">Sens!H3106/Sens!G3106-1</f>
        <v>0.136525003686764</v>
      </c>
      <c r="I3107" s="7" t="n">
        <f aca="false">Sens!I3106/Sens!H3106-1</f>
        <v>0.133220702327707</v>
      </c>
      <c r="J3107" s="7" t="n">
        <f aca="false">Sens!J3106/Sens!I3106-1</f>
        <v>0.113373493273179</v>
      </c>
      <c r="K3107" s="7" t="n">
        <f aca="false">Sens!K3106/Sens!J3106-1</f>
        <v>0.0970315953202461</v>
      </c>
    </row>
    <row r="3108" customFormat="false" ht="17.15" hidden="false" customHeight="false" outlineLevel="0" collapsed="false">
      <c r="A3108" s="22" t="s">
        <v>812</v>
      </c>
      <c r="B3108" s="28" t="s">
        <v>95</v>
      </c>
      <c r="C3108" s="28"/>
      <c r="D3108" s="23" t="n">
        <f aca="false">(Sens!D3101+Sens!D3105-Sens!D3106)+(Sens!D3093+Sens!D3094-Sens!D3092)+(Sens!D3096+Sens!D3097-Sens!D3095)+(Sens!D3106-Q!L18)</f>
        <v>0</v>
      </c>
      <c r="E3108" s="23" t="n">
        <f aca="false">(Sens!E3101+Sens!E3105-Sens!E3106)+(Sens!E3093+Sens!E3094-Sens!E3092)+(Sens!E3096+Sens!E3097-Sens!E3095)+(Sens!E3106-Q!M18)</f>
        <v>0</v>
      </c>
      <c r="F3108" s="23" t="n">
        <f aca="false">(Sens!F3101+Sens!F3105-Sens!F3106)+(Sens!F3093+Sens!F3094-Sens!F3092)+(Sens!F3096+Sens!F3097-Sens!F3095)</f>
        <v>0</v>
      </c>
      <c r="G3108" s="23" t="n">
        <f aca="false">(Sens!G3101+Sens!G3105-Sens!G3106)+(Sens!G3093+Sens!G3094-Sens!G3092)+(Sens!G3096+Sens!G3097-Sens!G3095)</f>
        <v>0</v>
      </c>
      <c r="H3108" s="23" t="n">
        <f aca="false">(Sens!H3101+Sens!H3105-Sens!H3106)+(Sens!H3093+Sens!H3094-Sens!H3092)+(Sens!H3096+Sens!H3097-Sens!H3095)</f>
        <v>0</v>
      </c>
      <c r="I3108" s="23" t="n">
        <f aca="false">(Sens!I3101+Sens!I3105-Sens!I3106)+(Sens!I3093+Sens!I3094-Sens!I3092)+(Sens!I3096+Sens!I3097-Sens!I3095)</f>
        <v>0</v>
      </c>
      <c r="J3108" s="23" t="n">
        <f aca="false">(Sens!J3101+Sens!J3105-Sens!J3106)+(Sens!J3093+Sens!J3094-Sens!J3092)+(Sens!J3096+Sens!J3097-Sens!J3095)</f>
        <v>0</v>
      </c>
      <c r="K3108" s="23" t="n">
        <f aca="false">(Sens!K3101+Sens!K3105-Sens!K3106)+(Sens!K3093+Sens!K3094-Sens!K3092)+(Sens!K3096+Sens!K3097-Sens!K3095)</f>
        <v>0</v>
      </c>
    </row>
    <row r="3109" customFormat="false" ht="17.15" hidden="false" customHeight="false" outlineLevel="0" collapsed="false">
      <c r="A3109" s="0" t="s">
        <v>813</v>
      </c>
      <c r="B3109" s="0" t="s">
        <v>126</v>
      </c>
      <c r="E3109" s="7" t="n">
        <f aca="false">(Q!M21+Sens!E3046+Sens!E3047+Sens!E3048+Sens!E3061-Sens!E3044)/(Q!M5-Sens!E3044)</f>
        <v>0.570957350878296</v>
      </c>
      <c r="F3109" s="7" t="n">
        <f aca="false">Sens!$E$3109+dm_seg</f>
        <v>0.570957350878296</v>
      </c>
      <c r="G3109" s="7" t="n">
        <f aca="false">Sens!$E$3109+dm_seg</f>
        <v>0.570957350878296</v>
      </c>
      <c r="H3109" s="7" t="n">
        <f aca="false">Sens!$E$3109+dm_seg</f>
        <v>0.570957350878296</v>
      </c>
      <c r="I3109" s="7" t="n">
        <f aca="false">Sens!$E$3109+dm_seg</f>
        <v>0.570957350878296</v>
      </c>
      <c r="J3109" s="7" t="n">
        <f aca="false">Sens!$E$3109+dm_seg</f>
        <v>0.570957350878296</v>
      </c>
      <c r="K3109" s="7" t="n">
        <f aca="false">Sens!$E$3109+dm_seg</f>
        <v>0.570957350878296</v>
      </c>
      <c r="L3109" s="11" t="s">
        <v>814</v>
      </c>
    </row>
    <row r="3110" customFormat="false" ht="17.15" hidden="false" customHeight="false" outlineLevel="0" collapsed="false">
      <c r="A3110" s="0" t="s">
        <v>654</v>
      </c>
      <c r="B3110" s="0" t="s">
        <v>95</v>
      </c>
      <c r="D3110" s="6" t="n">
        <f aca="false">Q!L21</f>
        <v>110.814</v>
      </c>
      <c r="E3110" s="6" t="n">
        <f aca="false">Q!M21</f>
        <v>136.365</v>
      </c>
      <c r="F3110" s="6" t="n">
        <f aca="false">Sens!F3109*(Sens!F3080-Sens!F3044)+Sens!F3044-(Sens!F3046+Sens!F3047+Sens!F3048)-Sens!F3061</f>
        <v>152.585698193015</v>
      </c>
      <c r="G3110" s="6" t="n">
        <f aca="false">Sens!G3109*(Sens!G3080-Sens!G3044)+Sens!G3044-(Sens!G3046+Sens!G3047+Sens!G3048)-Sens!G3061</f>
        <v>159.294427121602</v>
      </c>
      <c r="H3110" s="6" t="n">
        <f aca="false">Sens!H3109*(Sens!H3080-Sens!H3044)+Sens!H3044-(Sens!H3046+Sens!H3047+Sens!H3048)-Sens!H3061</f>
        <v>158.4497064247</v>
      </c>
      <c r="I3110" s="6" t="n">
        <f aca="false">Sens!I3109*(Sens!I3080-Sens!I3044)+Sens!I3044-(Sens!I3046+Sens!I3047+Sens!I3048)-Sens!I3061</f>
        <v>163.690496840393</v>
      </c>
      <c r="J3110" s="6" t="n">
        <f aca="false">Sens!J3109*(Sens!J3080-Sens!J3044)+Sens!J3044-(Sens!J3046+Sens!J3047+Sens!J3048)-Sens!J3061</f>
        <v>166.351770019534</v>
      </c>
      <c r="K3110" s="6" t="n">
        <f aca="false">Sens!K3109*(Sens!K3080-Sens!K3044)+Sens!K3044-(Sens!K3046+Sens!K3047+Sens!K3048)-Sens!K3061</f>
        <v>165.744390993291</v>
      </c>
      <c r="L3110" s="1" t="s">
        <v>815</v>
      </c>
    </row>
    <row r="3111" customFormat="false" ht="17.15" hidden="false" customHeight="false" outlineLevel="0" collapsed="false">
      <c r="A3111" s="0" t="s">
        <v>816</v>
      </c>
      <c r="B3111" s="0" t="s">
        <v>126</v>
      </c>
      <c r="E3111" s="7" t="n">
        <f aca="false">Q!M22/Q!M12</f>
        <v>0.296207935710698</v>
      </c>
      <c r="F3111" s="7" t="n">
        <f aca="false">Sens!$E$3111+dm_seg</f>
        <v>0.296207935710698</v>
      </c>
      <c r="G3111" s="7" t="n">
        <f aca="false">Sens!$E$3111+dm_seg</f>
        <v>0.296207935710698</v>
      </c>
      <c r="H3111" s="7" t="n">
        <f aca="false">Sens!$E$3111+dm_seg</f>
        <v>0.296207935710698</v>
      </c>
      <c r="I3111" s="7" t="n">
        <f aca="false">Sens!$E$3111+dm_seg</f>
        <v>0.296207935710698</v>
      </c>
      <c r="J3111" s="7" t="n">
        <f aca="false">Sens!$E$3111+dm_seg</f>
        <v>0.296207935710698</v>
      </c>
      <c r="K3111" s="7" t="n">
        <f aca="false">Sens!$E$3111+dm_seg</f>
        <v>0.296207935710698</v>
      </c>
      <c r="L3111" s="11" t="s">
        <v>817</v>
      </c>
    </row>
    <row r="3112" customFormat="false" ht="17.15" hidden="false" customHeight="false" outlineLevel="0" collapsed="false">
      <c r="A3112" s="0" t="s">
        <v>656</v>
      </c>
      <c r="B3112" s="0" t="s">
        <v>95</v>
      </c>
      <c r="D3112" s="6" t="n">
        <f aca="false">Q!L22</f>
        <v>17.714</v>
      </c>
      <c r="E3112" s="6" t="n">
        <f aca="false">Q!M22</f>
        <v>18.872</v>
      </c>
      <c r="F3112" s="6" t="n">
        <f aca="false">Sens!F3087*Sens!F3111</f>
        <v>19.2954518910651</v>
      </c>
      <c r="G3112" s="6" t="n">
        <f aca="false">Sens!G3087*Sens!G3111</f>
        <v>19.8830646387704</v>
      </c>
      <c r="H3112" s="6" t="n">
        <f aca="false">Sens!H3087*Sens!H3111</f>
        <v>20.6092017868026</v>
      </c>
      <c r="I3112" s="6" t="n">
        <f aca="false">Sens!I3087*Sens!I3111</f>
        <v>21.452361761678</v>
      </c>
      <c r="J3112" s="6" t="n">
        <f aca="false">Sens!J3087*Sens!J3111</f>
        <v>22.3946261183418</v>
      </c>
      <c r="K3112" s="6" t="n">
        <f aca="false">Sens!K3087*Sens!K3111</f>
        <v>23.4215879274986</v>
      </c>
    </row>
    <row r="3113" customFormat="false" ht="15" hidden="false" customHeight="false" outlineLevel="0" collapsed="false">
      <c r="A3113" s="1" t="s">
        <v>818</v>
      </c>
      <c r="B3113" s="0" t="s">
        <v>95</v>
      </c>
      <c r="D3113" s="6" t="n">
        <f aca="false">Sens!D3110+Sens!D3112</f>
        <v>128.528</v>
      </c>
      <c r="E3113" s="6" t="n">
        <f aca="false">Sens!E3110+Sens!E3112</f>
        <v>155.237</v>
      </c>
      <c r="F3113" s="6" t="n">
        <f aca="false">Sens!F3110+Sens!F3112</f>
        <v>171.88115008408</v>
      </c>
      <c r="G3113" s="6" t="n">
        <f aca="false">Sens!G3110+Sens!G3112</f>
        <v>179.177491760372</v>
      </c>
      <c r="H3113" s="6" t="n">
        <f aca="false">Sens!H3110+Sens!H3112</f>
        <v>179.058908211503</v>
      </c>
      <c r="I3113" s="6" t="n">
        <f aca="false">Sens!I3110+Sens!I3112</f>
        <v>185.142858602071</v>
      </c>
      <c r="J3113" s="6" t="n">
        <f aca="false">Sens!J3110+Sens!J3112</f>
        <v>188.746396137876</v>
      </c>
      <c r="K3113" s="6" t="n">
        <f aca="false">Sens!K3110+Sens!K3112</f>
        <v>189.165978920789</v>
      </c>
    </row>
    <row r="3114" customFormat="false" ht="15" hidden="false" customHeight="false" outlineLevel="0" collapsed="false">
      <c r="A3114" s="22" t="s">
        <v>819</v>
      </c>
      <c r="B3114" s="28" t="s">
        <v>95</v>
      </c>
      <c r="C3114" s="28"/>
      <c r="D3114" s="23" t="n">
        <f aca="false">Sens!D3113-Q!L23</f>
        <v>0</v>
      </c>
      <c r="E3114" s="23" t="n">
        <f aca="false">Sens!E3113-Q!M23</f>
        <v>0</v>
      </c>
      <c r="F3114" s="28"/>
      <c r="G3114" s="28"/>
      <c r="H3114" s="28"/>
      <c r="I3114" s="28"/>
      <c r="J3114" s="28"/>
      <c r="K3114" s="28"/>
    </row>
    <row r="3115" customFormat="false" ht="15" hidden="false" customHeight="false" outlineLevel="0" collapsed="false">
      <c r="A3115" s="1" t="s">
        <v>820</v>
      </c>
      <c r="B3115" s="0" t="s">
        <v>126</v>
      </c>
      <c r="D3115" s="7" t="n">
        <f aca="false">Sens!D3113/Sens!D3106</f>
        <v>0.456219562408598</v>
      </c>
      <c r="E3115" s="7" t="n">
        <f aca="false">Sens!E3113/Sens!E3106</f>
        <v>0.467808184089272</v>
      </c>
      <c r="F3115" s="7" t="n">
        <f aca="false">Sens!F3113/Sens!F3106</f>
        <v>0.43327131489127</v>
      </c>
      <c r="G3115" s="7" t="n">
        <f aca="false">Sens!G3113/Sens!G3106</f>
        <v>0.385257580095515</v>
      </c>
      <c r="H3115" s="7" t="n">
        <f aca="false">Sens!H3113/Sens!H3106</f>
        <v>0.338754191088775</v>
      </c>
      <c r="I3115" s="7" t="n">
        <f aca="false">Sens!I3113/Sens!I3106</f>
        <v>0.309087334999807</v>
      </c>
      <c r="J3115" s="7" t="n">
        <f aca="false">Sens!J3113/Sens!J3106</f>
        <v>0.283016682290843</v>
      </c>
      <c r="K3115" s="7" t="n">
        <f aca="false">Sens!K3113/Sens!K3106</f>
        <v>0.258557573822174</v>
      </c>
    </row>
    <row r="3116" customFormat="false" ht="17.15" hidden="false" customHeight="false" outlineLevel="0" collapsed="false">
      <c r="A3116" s="1" t="s">
        <v>821</v>
      </c>
      <c r="B3116" s="0" t="s">
        <v>95</v>
      </c>
      <c r="E3116" s="6" t="n">
        <f aca="false">Sens!E3061</f>
        <v>16.3054059770833</v>
      </c>
      <c r="F3116" s="6" t="n">
        <f aca="false">Sens!F3061</f>
        <v>36.5856912614356</v>
      </c>
      <c r="G3116" s="6" t="n">
        <f aca="false">Sens!G3061</f>
        <v>66.8830522661911</v>
      </c>
      <c r="H3116" s="6" t="n">
        <f aca="false">Sens!H3061</f>
        <v>99.5657515455511</v>
      </c>
      <c r="I3116" s="6" t="n">
        <f aca="false">Sens!I3061</f>
        <v>133.342835597214</v>
      </c>
      <c r="J3116" s="6" t="n">
        <f aca="false">Sens!J3061</f>
        <v>168.092150118044</v>
      </c>
      <c r="K3116" s="6" t="n">
        <f aca="false">Sens!K3061</f>
        <v>204.129013098041</v>
      </c>
    </row>
    <row r="3117" customFormat="false" ht="17.15" hidden="false" customHeight="false" outlineLevel="0" collapsed="false">
      <c r="A3117" s="1" t="s">
        <v>822</v>
      </c>
      <c r="B3117" s="0" t="s">
        <v>95</v>
      </c>
      <c r="E3117" s="6" t="n">
        <f aca="false">Sens!E3137</f>
        <v>22.2285940229167</v>
      </c>
      <c r="F3117" s="6" t="n">
        <f aca="false">Sens!F3137</f>
        <v>23.5486693435813</v>
      </c>
      <c r="G3117" s="6" t="n">
        <f aca="false">Sens!G3137</f>
        <v>25.264091766262</v>
      </c>
      <c r="H3117" s="6" t="n">
        <f aca="false">Sens!H3137</f>
        <v>27.3438339540448</v>
      </c>
      <c r="I3117" s="6" t="n">
        <f aca="false">Sens!I3137</f>
        <v>29.7317905898047</v>
      </c>
      <c r="J3117" s="6" t="n">
        <f aca="false">Sens!J3137</f>
        <v>32.3542028558616</v>
      </c>
      <c r="K3117" s="6" t="n">
        <f aca="false">Sens!K3137</f>
        <v>35.1281528444749</v>
      </c>
    </row>
    <row r="3118" customFormat="false" ht="17.15" hidden="false" customHeight="false" outlineLevel="0" collapsed="false">
      <c r="A3118" s="1" t="s">
        <v>823</v>
      </c>
      <c r="B3118" s="0" t="s">
        <v>95</v>
      </c>
      <c r="D3118" s="6" t="n">
        <f aca="false">Q!L27</f>
        <v>-4.901</v>
      </c>
      <c r="E3118" s="6" t="n">
        <f aca="false">Q!M27</f>
        <v>10.697</v>
      </c>
      <c r="F3118" s="6" t="n">
        <f aca="false">oie_f</f>
        <v>-0.4</v>
      </c>
      <c r="G3118" s="6" t="n">
        <f aca="false">oie_f</f>
        <v>-0.4</v>
      </c>
      <c r="H3118" s="6" t="n">
        <f aca="false">oie_f</f>
        <v>-0.4</v>
      </c>
      <c r="I3118" s="6" t="n">
        <f aca="false">oie_f</f>
        <v>-0.4</v>
      </c>
      <c r="J3118" s="6" t="n">
        <f aca="false">oie_f</f>
        <v>-0.4</v>
      </c>
      <c r="K3118" s="6" t="n">
        <f aca="false">oie_f</f>
        <v>-0.4</v>
      </c>
      <c r="L3118" s="11" t="s">
        <v>824</v>
      </c>
    </row>
    <row r="3119" customFormat="false" ht="15" hidden="false" customHeight="false" outlineLevel="0" collapsed="false">
      <c r="A3119" s="1" t="s">
        <v>666</v>
      </c>
      <c r="B3119" s="0" t="s">
        <v>95</v>
      </c>
      <c r="D3119" s="6" t="n">
        <f aca="false">Sens!D3113+Sens!D3118</f>
        <v>123.627</v>
      </c>
      <c r="E3119" s="6" t="n">
        <f aca="false">Sens!E3113+Sens!E3118</f>
        <v>165.934</v>
      </c>
      <c r="F3119" s="6" t="n">
        <f aca="false">Sens!F3113+Sens!F3118</f>
        <v>171.48115008408</v>
      </c>
      <c r="G3119" s="6" t="n">
        <f aca="false">Sens!G3113+Sens!G3118</f>
        <v>178.777491760372</v>
      </c>
      <c r="H3119" s="6" t="n">
        <f aca="false">Sens!H3113+Sens!H3118</f>
        <v>178.658908211503</v>
      </c>
      <c r="I3119" s="6" t="n">
        <f aca="false">Sens!I3113+Sens!I3118</f>
        <v>184.742858602071</v>
      </c>
      <c r="J3119" s="6" t="n">
        <f aca="false">Sens!J3113+Sens!J3118</f>
        <v>188.346396137876</v>
      </c>
      <c r="K3119" s="6" t="n">
        <f aca="false">Sens!K3113+Sens!K3118</f>
        <v>188.765978920789</v>
      </c>
    </row>
    <row r="3120" customFormat="false" ht="15" hidden="false" customHeight="false" outlineLevel="0" collapsed="false">
      <c r="A3120" s="1" t="s">
        <v>668</v>
      </c>
      <c r="B3120" s="0" t="s">
        <v>95</v>
      </c>
      <c r="D3120" s="6" t="n">
        <f aca="false">Q!L29</f>
        <v>21.795</v>
      </c>
      <c r="E3120" s="6" t="n">
        <f aca="false">Q!M29</f>
        <v>32.185</v>
      </c>
      <c r="F3120" s="6" t="n">
        <f aca="false">Sens!F3119*tax_f</f>
        <v>34.2962300168159</v>
      </c>
      <c r="G3120" s="6" t="n">
        <f aca="false">Sens!G3119*tax_f</f>
        <v>35.7554983520744</v>
      </c>
      <c r="H3120" s="6" t="n">
        <f aca="false">Sens!H3119*tax_f</f>
        <v>35.7317816423006</v>
      </c>
      <c r="I3120" s="6" t="n">
        <f aca="false">Sens!I3119*tax_f</f>
        <v>36.9485717204142</v>
      </c>
      <c r="J3120" s="6" t="n">
        <f aca="false">Sens!J3119*tax_f</f>
        <v>37.6692792275752</v>
      </c>
      <c r="K3120" s="6" t="n">
        <f aca="false">Sens!K3119*tax_f</f>
        <v>37.7531957841578</v>
      </c>
    </row>
    <row r="3121" customFormat="false" ht="15" hidden="false" customHeight="false" outlineLevel="0" collapsed="false">
      <c r="A3121" s="1" t="s">
        <v>825</v>
      </c>
      <c r="B3121" s="0" t="s">
        <v>95</v>
      </c>
      <c r="D3121" s="6" t="n">
        <f aca="false">Sens!D3119-Sens!D3120</f>
        <v>101.832</v>
      </c>
      <c r="E3121" s="6" t="n">
        <f aca="false">Sens!E3119-Sens!E3120</f>
        <v>133.749</v>
      </c>
      <c r="F3121" s="6" t="n">
        <f aca="false">Sens!F3119-Sens!F3120</f>
        <v>137.184920067264</v>
      </c>
      <c r="G3121" s="6" t="n">
        <f aca="false">Sens!G3119-Sens!G3120</f>
        <v>143.021993408298</v>
      </c>
      <c r="H3121" s="6" t="n">
        <f aca="false">Sens!H3119-Sens!H3120</f>
        <v>142.927126569202</v>
      </c>
      <c r="I3121" s="6" t="n">
        <f aca="false">Sens!I3119-Sens!I3120</f>
        <v>147.794286881657</v>
      </c>
      <c r="J3121" s="6" t="n">
        <f aca="false">Sens!J3119-Sens!J3120</f>
        <v>150.677116910301</v>
      </c>
      <c r="K3121" s="6" t="n">
        <f aca="false">Sens!K3119-Sens!K3120</f>
        <v>151.012783136631</v>
      </c>
    </row>
    <row r="3122" customFormat="false" ht="17.15" hidden="false" customHeight="false" outlineLevel="0" collapsed="false">
      <c r="A3122" s="1" t="s">
        <v>826</v>
      </c>
      <c r="B3122" s="1" t="s">
        <v>79</v>
      </c>
      <c r="D3122" s="18" t="n">
        <f aca="false">Q!L31</f>
        <v>7.465</v>
      </c>
      <c r="E3122" s="18" t="n">
        <f aca="false">Q!M31</f>
        <v>7.453</v>
      </c>
      <c r="F3122" s="18" t="n">
        <f aca="false">Sens!F3159</f>
        <v>7.4735</v>
      </c>
      <c r="G3122" s="18" t="n">
        <f aca="false">Sens!G3159</f>
        <v>7.5185</v>
      </c>
      <c r="H3122" s="18" t="n">
        <f aca="false">Sens!H3159</f>
        <v>7.5635</v>
      </c>
      <c r="I3122" s="18" t="n">
        <f aca="false">Sens!I3159</f>
        <v>7.6085</v>
      </c>
      <c r="J3122" s="18" t="n">
        <f aca="false">Sens!J3159</f>
        <v>7.65080553945337</v>
      </c>
      <c r="K3122" s="18" t="n">
        <f aca="false">Sens!K3159</f>
        <v>7.69311107890674</v>
      </c>
    </row>
    <row r="3123" customFormat="false" ht="17.15" hidden="false" customHeight="false" outlineLevel="0" collapsed="false">
      <c r="A3123" s="0" t="s">
        <v>827</v>
      </c>
      <c r="B3123" s="0" t="s">
        <v>73</v>
      </c>
      <c r="D3123" s="8" t="n">
        <f aca="false">Sens!D3121/Sens!D3122</f>
        <v>13.641259209645</v>
      </c>
      <c r="E3123" s="8" t="n">
        <f aca="false">Sens!E3121/Sens!E3122</f>
        <v>17.9456594659869</v>
      </c>
      <c r="F3123" s="8" t="n">
        <f aca="false">Sens!F3121/Sens!F3122</f>
        <v>18.3561811824799</v>
      </c>
      <c r="G3123" s="8" t="n">
        <f aca="false">Sens!G3121/Sens!G3122</f>
        <v>19.0226765190261</v>
      </c>
      <c r="H3123" s="8" t="n">
        <f aca="false">Sens!H3121/Sens!H3122</f>
        <v>18.8969559819134</v>
      </c>
      <c r="I3123" s="8" t="n">
        <f aca="false">Sens!I3121/Sens!I3122</f>
        <v>19.4248914873703</v>
      </c>
      <c r="J3123" s="8" t="n">
        <f aca="false">Sens!J3121/Sens!J3122</f>
        <v>19.6942813581257</v>
      </c>
      <c r="K3123" s="8" t="n">
        <f aca="false">Sens!K3121/Sens!K3122</f>
        <v>19.6296116860556</v>
      </c>
      <c r="L3123" s="1" t="s">
        <v>828</v>
      </c>
    </row>
    <row r="3124" customFormat="false" ht="17.15" hidden="false" customHeight="false" outlineLevel="0" collapsed="false">
      <c r="A3124" s="0" t="s">
        <v>829</v>
      </c>
      <c r="B3124" s="0" t="s">
        <v>126</v>
      </c>
      <c r="E3124" s="7" t="n">
        <f aca="false">Sens!E3123/Sens!D3123-1</f>
        <v>0.315542736208578</v>
      </c>
      <c r="F3124" s="7" t="n">
        <f aca="false">Sens!F3123/Sens!E3123-1</f>
        <v>0.0228758222717396</v>
      </c>
      <c r="G3124" s="7" t="n">
        <f aca="false">Sens!G3123/Sens!F3123-1</f>
        <v>0.0363090410756186</v>
      </c>
      <c r="H3124" s="7" t="n">
        <f aca="false">Sens!H3123/Sens!G3123-1</f>
        <v>-0.00660898254706266</v>
      </c>
      <c r="I3124" s="7" t="n">
        <f aca="false">Sens!I3123/Sens!H3123-1</f>
        <v>0.0279375951323668</v>
      </c>
      <c r="J3124" s="7" t="n">
        <f aca="false">Sens!J3123/Sens!I3123-1</f>
        <v>0.0138682818861831</v>
      </c>
      <c r="K3124" s="7" t="n">
        <f aca="false">Sens!K3123/Sens!J3123-1</f>
        <v>-0.00328367767750015</v>
      </c>
    </row>
    <row r="3125" customFormat="false" ht="17.15" hidden="false" customHeight="false" outlineLevel="0" collapsed="false">
      <c r="A3125" s="0" t="s">
        <v>763</v>
      </c>
      <c r="B3125" s="0" t="s">
        <v>95</v>
      </c>
      <c r="E3125" s="6" t="n">
        <f aca="false">Sens!E3070</f>
        <v>5.25</v>
      </c>
      <c r="F3125" s="6" t="n">
        <f aca="false">Sens!F3070</f>
        <v>10.5</v>
      </c>
      <c r="G3125" s="6" t="n">
        <f aca="false">Sens!G3070</f>
        <v>13.5</v>
      </c>
      <c r="H3125" s="6" t="n">
        <f aca="false">Sens!H3070</f>
        <v>16.5</v>
      </c>
      <c r="I3125" s="6" t="n">
        <f aca="false">Sens!I3070</f>
        <v>18.75</v>
      </c>
      <c r="J3125" s="6" t="n">
        <f aca="false">Sens!J3070</f>
        <v>20.25</v>
      </c>
      <c r="K3125" s="6" t="n">
        <f aca="false">Sens!K3070</f>
        <v>21.75</v>
      </c>
    </row>
    <row r="3126" customFormat="false" ht="17.15" hidden="false" customHeight="false" outlineLevel="0" collapsed="false">
      <c r="A3126" s="0" t="s">
        <v>764</v>
      </c>
      <c r="B3126" s="0" t="s">
        <v>95</v>
      </c>
      <c r="E3126" s="6" t="n">
        <f aca="false">Sens!E3050+Sens!E3125*Sens!E3109-Sens!E3051-Sens!E3061</f>
        <v>2.1514866143068</v>
      </c>
      <c r="F3126" s="6" t="n">
        <f aca="false">Sens!F3050+Sens!F3125*Sens!F3109-Sens!F3051-Sens!F3061</f>
        <v>0.0250252259225476</v>
      </c>
      <c r="G3126" s="6" t="n">
        <f aca="false">Sens!G3050+Sens!G3125*Sens!G3109-Sens!G3051-Sens!G3061</f>
        <v>-12.3476748059339</v>
      </c>
      <c r="H3126" s="6" t="n">
        <f aca="false">Sens!H3050+Sens!H3125*Sens!H3109-Sens!H3051-Sens!H3061</f>
        <v>-32.4559732541372</v>
      </c>
      <c r="I3126" s="6" t="n">
        <f aca="false">Sens!I3050+Sens!I3125*Sens!I3109-Sens!I3051-Sens!I3061</f>
        <v>-45.9907682337861</v>
      </c>
      <c r="J3126" s="6" t="n">
        <f aca="false">Sens!J3050+Sens!J3125*Sens!J3109-Sens!J3051-Sens!J3061</f>
        <v>-60.8662828290034</v>
      </c>
      <c r="K3126" s="6" t="n">
        <f aca="false">Sens!K3050+Sens!K3125*Sens!K3109-Sens!K3051-Sens!K3061</f>
        <v>-76.9949556581312</v>
      </c>
    </row>
    <row r="3127" customFormat="false" ht="17.15" hidden="false" customHeight="false" outlineLevel="0" collapsed="false">
      <c r="A3127" s="0" t="s">
        <v>765</v>
      </c>
      <c r="B3127" s="0" t="s">
        <v>95</v>
      </c>
      <c r="E3127" s="6" t="n">
        <f aca="false">Sens!E3033*(cxit_open+self_build*tk_cxfac)/1000*ai_net_open</f>
        <v>126.6980382</v>
      </c>
      <c r="F3127" s="6" t="n">
        <f aca="false">Sens!E3127+Sens!F3058-Sens!F3061</f>
        <v>285.357616735791</v>
      </c>
      <c r="G3127" s="6" t="n">
        <f aca="false">Sens!F3127+Sens!G3058-Sens!G3061</f>
        <v>438.76358104944</v>
      </c>
      <c r="H3127" s="6" t="n">
        <f aca="false">Sens!G3127+Sens!H3058-Sens!H3061</f>
        <v>564.894172596369</v>
      </c>
      <c r="I3127" s="6" t="n">
        <f aca="false">Sens!H3127+Sens!I3058-Sens!I3061</f>
        <v>687.506355438301</v>
      </c>
      <c r="J3127" s="6" t="n">
        <f aca="false">Sens!I3127+Sens!J3058-Sens!J3061</f>
        <v>790.80732342607</v>
      </c>
      <c r="K3127" s="6" t="n">
        <f aca="false">Sens!J3127+Sens!K3058-Sens!K3061</f>
        <v>903.150679460509</v>
      </c>
      <c r="L3127" s="1" t="s">
        <v>766</v>
      </c>
    </row>
    <row r="3128" customFormat="false" ht="17.15" hidden="false" customHeight="false" outlineLevel="0" collapsed="false">
      <c r="A3128" s="0" t="s">
        <v>767</v>
      </c>
      <c r="B3128" s="0" t="s">
        <v>126</v>
      </c>
      <c r="F3128" s="7" t="n">
        <f aca="false">Sens!F3126*(1-tax_f)/((Sens!E3127+Sens!F3127)/2)</f>
        <v>9.71722168994757E-005</v>
      </c>
      <c r="G3128" s="7" t="n">
        <f aca="false">Sens!G3126*(1-tax_f)/((Sens!F3127+Sens!G3127)/2)</f>
        <v>-0.0272831119292185</v>
      </c>
      <c r="H3128" s="7" t="n">
        <f aca="false">Sens!H3126*(1-tax_f)/((Sens!G3127+Sens!H3127)/2)</f>
        <v>-0.051740303921316</v>
      </c>
      <c r="I3128" s="7" t="n">
        <f aca="false">Sens!I3126*(1-tax_f)/((Sens!H3127+Sens!I3127)/2)</f>
        <v>-0.0587553482507161</v>
      </c>
      <c r="J3128" s="7" t="n">
        <f aca="false">Sens!J3126*(1-tax_f)/((Sens!I3127+Sens!J3127)/2)</f>
        <v>-0.0658764468723692</v>
      </c>
      <c r="K3128" s="7" t="n">
        <f aca="false">Sens!K3126*(1-tax_f)/((Sens!J3127+Sens!K3127)/2)</f>
        <v>-0.0727243112539304</v>
      </c>
    </row>
    <row r="3129" customFormat="false" ht="17.15" hidden="false" customHeight="false" outlineLevel="0" collapsed="false">
      <c r="A3129" s="1" t="s">
        <v>768</v>
      </c>
      <c r="B3129" s="0" t="s">
        <v>126</v>
      </c>
      <c r="F3129" s="7" t="n">
        <f aca="false">Sens!F3062*(1-tax_f)/(Sens!F3049*(Sens!E3127+Sens!F3127)/2)</f>
        <v>0.101221991467043</v>
      </c>
      <c r="G3129" s="7" t="n">
        <f aca="false">Sens!G3062*(1-tax_f)/(Sens!G3049*(Sens!F3127+Sens!G3127)/2)</f>
        <v>0.0692830481330347</v>
      </c>
      <c r="H3129" s="7" t="n">
        <f aca="false">Sens!H3062*(1-tax_f)/(Sens!H3049*(Sens!G3127+Sens!H3127)/2)</f>
        <v>0.041030909547548</v>
      </c>
      <c r="I3129" s="7" t="n">
        <f aca="false">Sens!I3062*(1-tax_f)/(Sens!I3049*(Sens!H3127+Sens!I3127)/2)</f>
        <v>0.0415756100290538</v>
      </c>
      <c r="J3129" s="7" t="n">
        <f aca="false">Sens!J3062*(1-tax_f)/(Sens!J3049*(Sens!I3127+Sens!J3127)/2)</f>
        <v>0.0416559786910385</v>
      </c>
      <c r="K3129" s="7" t="n">
        <f aca="false">Sens!K3062*(1-tax_f)/(Sens!K3049*(Sens!J3127+Sens!K3127)/2)</f>
        <v>0.0408124673045402</v>
      </c>
    </row>
    <row r="3130" customFormat="false" ht="17.15" hidden="false" customHeight="false" outlineLevel="0" collapsed="false">
      <c r="A3130" s="0" t="s">
        <v>769</v>
      </c>
      <c r="B3130" s="0" t="s">
        <v>208</v>
      </c>
      <c r="F3130" s="7" t="n">
        <f aca="false">Sens!F3128-wacc</f>
        <v>-0.108866048933355</v>
      </c>
      <c r="G3130" s="7" t="n">
        <f aca="false">Sens!G3128-wacc</f>
        <v>-0.136246333079473</v>
      </c>
      <c r="H3130" s="7" t="n">
        <f aca="false">Sens!H3128-wacc</f>
        <v>-0.16070352507157</v>
      </c>
      <c r="I3130" s="7" t="n">
        <f aca="false">Sens!I3128-wacc</f>
        <v>-0.16771856940097</v>
      </c>
      <c r="J3130" s="7" t="n">
        <f aca="false">Sens!J3128-wacc</f>
        <v>-0.174839668022623</v>
      </c>
      <c r="K3130" s="7" t="n">
        <f aca="false">Sens!K3128-wacc</f>
        <v>-0.181687532404184</v>
      </c>
    </row>
    <row r="3131" customFormat="false" ht="17.15" hidden="false" customHeight="false" outlineLevel="0" collapsed="false">
      <c r="A3131" s="0" t="s">
        <v>770</v>
      </c>
      <c r="B3131" s="0" t="s">
        <v>95</v>
      </c>
      <c r="F3131" s="6" t="n">
        <f aca="false">Sens!F3126*(1-tax_f)-wacc*(Sens!E3127+Sens!F3127)/2</f>
        <v>-22.4294355467526</v>
      </c>
      <c r="G3131" s="6" t="n">
        <f aca="false">Sens!G3126*(1-tax_f)-wacc*(Sens!F3127+Sens!G3127)/2</f>
        <v>-49.3294289516766</v>
      </c>
      <c r="H3131" s="6" t="n">
        <f aca="false">Sens!H3126*(1-tax_f)-wacc*(Sens!G3127+Sens!H3127)/2</f>
        <v>-80.6456694881474</v>
      </c>
      <c r="I3131" s="6" t="n">
        <f aca="false">Sens!I3126*(1-tax_f)-wacc*(Sens!H3127+Sens!I3127)/2</f>
        <v>-105.025412439497</v>
      </c>
      <c r="J3131" s="6" t="n">
        <f aca="false">Sens!J3126*(1-tax_f)-wacc*(Sens!I3127+Sens!J3127)/2</f>
        <v>-129.233936422975</v>
      </c>
      <c r="K3131" s="6" t="n">
        <f aca="false">Sens!K3126*(1-tax_f)-wacc*(Sens!J3127+Sens!K3127)/2</f>
        <v>-153.885524770391</v>
      </c>
    </row>
    <row r="3132" customFormat="false" ht="17.15" hidden="false" customHeight="false" outlineLevel="0" collapsed="false">
      <c r="A3132" s="1" t="s">
        <v>771</v>
      </c>
      <c r="B3132" s="0" t="s">
        <v>95</v>
      </c>
      <c r="F3132" s="6" t="n">
        <f aca="false">(Sens!E3034+Sens!F3034)/2*Sens!F3041/1000</f>
        <v>28.7350155556383</v>
      </c>
      <c r="G3132" s="6" t="n">
        <f aca="false">(Sens!F3034+Sens!G3034)/2*Sens!G3041/1000</f>
        <v>51.2569478617304</v>
      </c>
      <c r="H3132" s="6" t="n">
        <f aca="false">(Sens!G3034+Sens!H3034)/2*Sens!H3041/1000</f>
        <v>75.2660535183367</v>
      </c>
      <c r="I3132" s="6" t="n">
        <f aca="false">(Sens!H3034+Sens!I3034)/2*Sens!I3041/1000</f>
        <v>99.4475428287307</v>
      </c>
      <c r="J3132" s="6" t="n">
        <f aca="false">(Sens!I3034+Sens!J3034)/2*Sens!J3041/1000</f>
        <v>123.716241423902</v>
      </c>
      <c r="K3132" s="6" t="n">
        <f aca="false">(Sens!J3034+Sens!K3034)/2*Sens!K3041/1000</f>
        <v>148.03515270702</v>
      </c>
      <c r="L3132" s="1" t="s">
        <v>772</v>
      </c>
    </row>
    <row r="3133" customFormat="false" ht="17.15" hidden="false" customHeight="false" outlineLevel="0" collapsed="false">
      <c r="A3133" s="1" t="s">
        <v>773</v>
      </c>
      <c r="B3133" s="0" t="s">
        <v>126</v>
      </c>
      <c r="F3133" s="7" t="n">
        <f aca="false">(Sens!F3050+Sens!F3132-Sens!F3051-Sens!F3061)*(1-tax_f)/((Sens!E3127+Sens!F3127)/2)</f>
        <v>0.0883957817819967</v>
      </c>
      <c r="G3133" s="7" t="n">
        <f aca="false">(Sens!G3050+Sens!G3132-Sens!G3051-Sens!G3061)*(1-tax_f)/((Sens!F3127+Sens!G3127)/2)</f>
        <v>0.0689417161975001</v>
      </c>
      <c r="H3133" s="7" t="n">
        <f aca="false">(Sens!H3050+Sens!H3132-Sens!H3051-Sens!H3061)*(1-tax_f)/((Sens!G3127+Sens!H3127)/2)</f>
        <v>0.0532281588673754</v>
      </c>
      <c r="I3133" s="7" t="n">
        <f aca="false">(Sens!I3050+Sens!I3132-Sens!I3051-Sens!I3061)*(1-tax_f)/((Sens!H3127+Sens!I3127)/2)</f>
        <v>0.0546168077179771</v>
      </c>
      <c r="J3133" s="7" t="n">
        <f aca="false">(Sens!J3050+Sens!J3132-Sens!J3051-Sens!J3061)*(1-tax_f)/((Sens!I3127+Sens!J3127)/2)</f>
        <v>0.0555098128067239</v>
      </c>
      <c r="K3133" s="7" t="n">
        <f aca="false">(Sens!K3050+Sens!K3132-Sens!K3051-Sens!K3061)*(1-tax_f)/((Sens!J3127+Sens!K3127)/2)</f>
        <v>0.0553703216418745</v>
      </c>
      <c r="L3133" s="1" t="s">
        <v>774</v>
      </c>
    </row>
    <row r="3134" customFormat="false" ht="17.15" hidden="false" customHeight="false" outlineLevel="0" collapsed="false">
      <c r="A3134" s="3" t="s">
        <v>1202</v>
      </c>
    </row>
    <row r="3135" customFormat="false" ht="15" hidden="false" customHeight="false" outlineLevel="0" collapsed="false">
      <c r="A3135" s="4" t="s">
        <v>43</v>
      </c>
      <c r="B3135" s="4" t="s">
        <v>63</v>
      </c>
      <c r="C3135" s="19" t="s">
        <v>710</v>
      </c>
      <c r="D3135" s="19" t="s">
        <v>711</v>
      </c>
      <c r="E3135" s="19" t="s">
        <v>712</v>
      </c>
      <c r="F3135" s="19" t="s">
        <v>713</v>
      </c>
      <c r="G3135" s="19" t="s">
        <v>714</v>
      </c>
      <c r="H3135" s="19" t="s">
        <v>715</v>
      </c>
      <c r="I3135" s="19" t="s">
        <v>716</v>
      </c>
      <c r="J3135" s="19" t="s">
        <v>717</v>
      </c>
      <c r="K3135" s="19" t="s">
        <v>718</v>
      </c>
      <c r="L3135" s="4" t="s">
        <v>47</v>
      </c>
    </row>
    <row r="3136" customFormat="false" ht="15" hidden="false" customHeight="false" outlineLevel="0" collapsed="false">
      <c r="A3136" s="1" t="s">
        <v>825</v>
      </c>
      <c r="B3136" s="0" t="s">
        <v>95</v>
      </c>
      <c r="F3136" s="6" t="n">
        <f aca="false">Sens!F3121</f>
        <v>137.184920067264</v>
      </c>
      <c r="G3136" s="6" t="n">
        <f aca="false">Sens!G3121</f>
        <v>143.021993408298</v>
      </c>
      <c r="H3136" s="6" t="n">
        <f aca="false">Sens!H3121</f>
        <v>142.927126569202</v>
      </c>
      <c r="I3136" s="6" t="n">
        <f aca="false">Sens!I3121</f>
        <v>147.794286881657</v>
      </c>
      <c r="J3136" s="6" t="n">
        <f aca="false">Sens!J3121</f>
        <v>150.677116910301</v>
      </c>
      <c r="K3136" s="6" t="n">
        <f aca="false">Sens!K3121</f>
        <v>151.012783136631</v>
      </c>
    </row>
    <row r="3137" customFormat="false" ht="17.15" hidden="false" customHeight="false" outlineLevel="0" collapsed="false">
      <c r="A3137" s="1" t="s">
        <v>843</v>
      </c>
      <c r="B3137" s="0" t="s">
        <v>95</v>
      </c>
      <c r="E3137" s="6" t="n">
        <f aca="false">Q!M38-Sens!E3061</f>
        <v>22.2285940229167</v>
      </c>
      <c r="F3137" s="6" t="n">
        <f aca="false">Sens!E3137*(1-1/life_nonai)+Sens!F3143/life_nonai</f>
        <v>23.5486693435813</v>
      </c>
      <c r="G3137" s="6" t="n">
        <f aca="false">Sens!F3137*(1-1/life_nonai)+Sens!G3143/life_nonai</f>
        <v>25.264091766262</v>
      </c>
      <c r="H3137" s="6" t="n">
        <f aca="false">Sens!G3137*(1-1/life_nonai)+Sens!H3143/life_nonai</f>
        <v>27.3438339540448</v>
      </c>
      <c r="I3137" s="6" t="n">
        <f aca="false">Sens!H3137*(1-1/life_nonai)+Sens!I3143/life_nonai</f>
        <v>29.7317905898047</v>
      </c>
      <c r="J3137" s="6" t="n">
        <f aca="false">Sens!I3137*(1-1/life_nonai)+Sens!J3143/life_nonai</f>
        <v>32.3542028558616</v>
      </c>
      <c r="K3137" s="6" t="n">
        <f aca="false">Sens!J3137*(1-1/life_nonai)+Sens!K3143/life_nonai</f>
        <v>35.1281528444749</v>
      </c>
      <c r="L3137" s="11" t="s">
        <v>844</v>
      </c>
    </row>
    <row r="3138" customFormat="false" ht="17.15" hidden="false" customHeight="false" outlineLevel="0" collapsed="false">
      <c r="A3138" s="1" t="s">
        <v>845</v>
      </c>
      <c r="B3138" s="0" t="s">
        <v>95</v>
      </c>
      <c r="E3138" s="6" t="n">
        <f aca="false">Sens!E3061+Sens!E3137</f>
        <v>38.534</v>
      </c>
      <c r="F3138" s="6" t="n">
        <f aca="false">Sens!F3061+Sens!F3137</f>
        <v>60.1343606050168</v>
      </c>
      <c r="G3138" s="6" t="n">
        <f aca="false">Sens!G3061+Sens!G3137</f>
        <v>92.1471440324532</v>
      </c>
      <c r="H3138" s="6" t="n">
        <f aca="false">Sens!H3061+Sens!H3137</f>
        <v>126.909585499596</v>
      </c>
      <c r="I3138" s="6" t="n">
        <f aca="false">Sens!I3061+Sens!I3137</f>
        <v>163.074626187019</v>
      </c>
      <c r="J3138" s="6" t="n">
        <f aca="false">Sens!J3061+Sens!J3137</f>
        <v>200.446352973906</v>
      </c>
      <c r="K3138" s="6" t="n">
        <f aca="false">Sens!K3061+Sens!K3137</f>
        <v>239.257165942516</v>
      </c>
    </row>
    <row r="3139" customFormat="false" ht="15" hidden="false" customHeight="false" outlineLevel="0" collapsed="false">
      <c r="A3139" s="1" t="s">
        <v>685</v>
      </c>
      <c r="B3139" s="0" t="s">
        <v>95</v>
      </c>
      <c r="F3139" s="6" t="n">
        <f aca="false">Sens!F3088*sbc_r</f>
        <v>14.8298806704505</v>
      </c>
      <c r="G3139" s="6" t="n">
        <f aca="false">Sens!G3088*sbc_r</f>
        <v>17.3860771727854</v>
      </c>
      <c r="H3139" s="6" t="n">
        <f aca="false">Sens!H3088*sbc_r</f>
        <v>19.7597114228982</v>
      </c>
      <c r="I3139" s="6" t="n">
        <f aca="false">Sens!I3088*sbc_r</f>
        <v>22.3921140564495</v>
      </c>
      <c r="J3139" s="6" t="n">
        <f aca="false">Sens!J3088*sbc_r</f>
        <v>24.9307862488007</v>
      </c>
      <c r="K3139" s="6" t="n">
        <f aca="false">Sens!K3088*sbc_r</f>
        <v>27.3498602111099</v>
      </c>
    </row>
    <row r="3140" customFormat="false" ht="17.15" hidden="false" customHeight="false" outlineLevel="0" collapsed="false">
      <c r="A3140" s="1" t="s">
        <v>846</v>
      </c>
      <c r="B3140" s="0" t="s">
        <v>95</v>
      </c>
      <c r="F3140" s="6" t="n">
        <f aca="false">wc27</f>
        <v>-4.895</v>
      </c>
      <c r="G3140" s="6" t="n">
        <f aca="false">0</f>
        <v>0</v>
      </c>
      <c r="H3140" s="6" t="n">
        <f aca="false">0</f>
        <v>0</v>
      </c>
      <c r="I3140" s="6" t="n">
        <f aca="false">0</f>
        <v>0</v>
      </c>
      <c r="J3140" s="6" t="n">
        <f aca="false">0</f>
        <v>0</v>
      </c>
      <c r="K3140" s="6" t="n">
        <f aca="false">0</f>
        <v>0</v>
      </c>
      <c r="L3140" s="11" t="s">
        <v>847</v>
      </c>
    </row>
    <row r="3141" customFormat="false" ht="15" hidden="false" customHeight="false" outlineLevel="0" collapsed="false">
      <c r="A3141" s="1" t="s">
        <v>678</v>
      </c>
      <c r="B3141" s="0" t="s">
        <v>95</v>
      </c>
      <c r="E3141" s="6" t="n">
        <f aca="false">Q!M35</f>
        <v>182.935</v>
      </c>
      <c r="F3141" s="6" t="n">
        <f aca="false">Sens!F3136+Sens!F3138+Sens!F3139+Sens!F3140</f>
        <v>207.254161342731</v>
      </c>
      <c r="G3141" s="6" t="n">
        <f aca="false">Sens!G3136+Sens!G3138+Sens!G3139+Sens!G3140</f>
        <v>252.555214613536</v>
      </c>
      <c r="H3141" s="6" t="n">
        <f aca="false">Sens!H3136+Sens!H3138+Sens!H3139+Sens!H3140</f>
        <v>289.596423491696</v>
      </c>
      <c r="I3141" s="6" t="n">
        <f aca="false">Sens!I3136+Sens!I3138+Sens!I3139+Sens!I3140</f>
        <v>333.261027125125</v>
      </c>
      <c r="J3141" s="6" t="n">
        <f aca="false">Sens!J3136+Sens!J3138+Sens!J3139+Sens!J3140</f>
        <v>376.054256133008</v>
      </c>
      <c r="K3141" s="6" t="n">
        <f aca="false">Sens!K3136+Sens!K3138+Sens!K3139+Sens!K3140</f>
        <v>417.619809290257</v>
      </c>
    </row>
    <row r="3142" customFormat="false" ht="17.15" hidden="false" customHeight="false" outlineLevel="0" collapsed="false">
      <c r="A3142" s="0" t="s">
        <v>848</v>
      </c>
      <c r="B3142" s="0" t="s">
        <v>95</v>
      </c>
      <c r="F3142" s="6" t="n">
        <f aca="false">Sens!F3058</f>
        <v>195.245269797227</v>
      </c>
      <c r="G3142" s="6" t="n">
        <f aca="false">Sens!G3058</f>
        <v>220.28901657984</v>
      </c>
      <c r="H3142" s="6" t="n">
        <f aca="false">Sens!H3058</f>
        <v>225.69634309248</v>
      </c>
      <c r="I3142" s="6" t="n">
        <f aca="false">Sens!I3058</f>
        <v>255.955018439147</v>
      </c>
      <c r="J3142" s="6" t="n">
        <f aca="false">Sens!J3058</f>
        <v>271.393118105813</v>
      </c>
      <c r="K3142" s="6" t="n">
        <f aca="false">Sens!K3058</f>
        <v>316.47236913248</v>
      </c>
    </row>
    <row r="3143" customFormat="false" ht="17.15" hidden="false" customHeight="false" outlineLevel="0" collapsed="false">
      <c r="A3143" s="1" t="s">
        <v>849</v>
      </c>
      <c r="B3143" s="0" t="s">
        <v>95</v>
      </c>
      <c r="E3143" s="6" t="n">
        <f aca="false">Sens!E3066*cx_azo+Sens!E3073*cx_m365+Sens!E3074*cx_lic+(Sens!E3076+Sens!E3078)*cx_ind+Sens!E3081*cx_srch+(Sens!E3083+Sens!E3085)*cx_dev</f>
        <v>30.1846587067718</v>
      </c>
      <c r="F3143" s="6" t="n">
        <f aca="false">Sens!F3066*cx_azo+Sens!F3073*cx_m365+Sens!F3074*cx_lic+(Sens!F3076+Sens!F3078)*cx_ind+Sens!F3081*cx_srch+(Sens!F3083+Sens!F3085)*cx_dev</f>
        <v>35.4293472295625</v>
      </c>
      <c r="G3143" s="6" t="n">
        <f aca="false">Sens!G3066*cx_azo+Sens!G3073*cx_m365+Sens!G3074*cx_lic+(Sens!G3076+Sens!G3078)*cx_ind+Sens!G3081*cx_srch+(Sens!G3083+Sens!G3085)*cx_dev</f>
        <v>40.7028935703892</v>
      </c>
      <c r="H3143" s="6" t="n">
        <f aca="false">Sens!H3066*cx_azo+Sens!H3073*cx_m365+Sens!H3074*cx_lic+(Sens!H3076+Sens!H3078)*cx_ind+Sens!H3081*cx_srch+(Sens!H3083+Sens!H3085)*cx_dev</f>
        <v>46.0615136440897</v>
      </c>
      <c r="I3143" s="6" t="n">
        <f aca="false">Sens!I3066*cx_azo+Sens!I3073*cx_m365+Sens!I3074*cx_lic+(Sens!I3076+Sens!I3078)*cx_ind+Sens!I3081*cx_srch+(Sens!I3083+Sens!I3085)*cx_dev</f>
        <v>51.2234003116439</v>
      </c>
      <c r="J3143" s="6" t="n">
        <f aca="false">Sens!J3066*cx_azo+Sens!J3073*cx_m365+Sens!J3074*cx_lic+(Sens!J3076+Sens!J3078)*cx_ind+Sens!J3081*cx_srch+(Sens!J3083+Sens!J3085)*cx_dev</f>
        <v>55.9559132503738</v>
      </c>
      <c r="K3143" s="6" t="n">
        <f aca="false">Sens!K3066*cx_azo+Sens!K3073*cx_m365+Sens!K3074*cx_lic+(Sens!K3076+Sens!K3078)*cx_ind+Sens!K3081*cx_srch+(Sens!K3083+Sens!K3085)*cx_dev</f>
        <v>60.093702741994</v>
      </c>
    </row>
    <row r="3144" customFormat="false" ht="17.15" hidden="false" customHeight="false" outlineLevel="0" collapsed="false">
      <c r="A3144" s="1" t="s">
        <v>850</v>
      </c>
      <c r="B3144" s="0" t="s">
        <v>95</v>
      </c>
      <c r="E3144" s="6" t="n">
        <f aca="false">Q!M42</f>
        <v>145.3</v>
      </c>
      <c r="F3144" s="6" t="n">
        <f aca="false">Sens!F3142+Sens!F3143</f>
        <v>230.674617026789</v>
      </c>
      <c r="G3144" s="6" t="n">
        <f aca="false">Sens!G3142+Sens!G3143</f>
        <v>260.991910150229</v>
      </c>
      <c r="H3144" s="6" t="n">
        <f aca="false">Sens!H3142+Sens!H3143</f>
        <v>271.75785673657</v>
      </c>
      <c r="I3144" s="6" t="n">
        <f aca="false">Sens!I3142+Sens!I3143</f>
        <v>307.178418750791</v>
      </c>
      <c r="J3144" s="6" t="n">
        <f aca="false">Sens!J3142+Sens!J3143</f>
        <v>327.349031356187</v>
      </c>
      <c r="K3144" s="6" t="n">
        <f aca="false">Sens!K3142+Sens!K3143</f>
        <v>376.566071874474</v>
      </c>
      <c r="L3144" s="1" t="s">
        <v>851</v>
      </c>
    </row>
    <row r="3145" customFormat="false" ht="15" hidden="false" customHeight="false" outlineLevel="0" collapsed="false">
      <c r="A3145" s="1" t="s">
        <v>852</v>
      </c>
      <c r="B3145" s="0" t="s">
        <v>95</v>
      </c>
      <c r="E3145" s="6" t="n">
        <f aca="false">fl_liab</f>
        <v>66.594</v>
      </c>
      <c r="F3145" s="6" t="n">
        <f aca="false">Sens!E3145-Sens!F3146</f>
        <v>62.46973</v>
      </c>
      <c r="G3145" s="6" t="n">
        <f aca="false">Sens!F3145-Sens!G3146</f>
        <v>57.98686785</v>
      </c>
      <c r="H3145" s="6" t="n">
        <f aca="false">Sens!G3145-Sens!H3146</f>
        <v>53.92827690325</v>
      </c>
      <c r="I3145" s="6" t="n">
        <f aca="false">Sens!H3145-Sens!I3146</f>
        <v>49.7850493638962</v>
      </c>
      <c r="J3145" s="6" t="n">
        <f aca="false">Sens!I3145-Sens!J3146</f>
        <v>45.4823765852716</v>
      </c>
      <c r="K3145" s="6" t="n">
        <f aca="false">Sens!J3145-Sens!K3146</f>
        <v>40.9860835316088</v>
      </c>
    </row>
    <row r="3146" customFormat="false" ht="15" hidden="false" customHeight="false" outlineLevel="0" collapsed="false">
      <c r="A3146" s="1" t="s">
        <v>853</v>
      </c>
      <c r="B3146" s="0" t="s">
        <v>95</v>
      </c>
      <c r="F3146" s="6" t="n">
        <f aca="false">fl_pay_27-Sens!E3145*fl_rate</f>
        <v>4.12427</v>
      </c>
      <c r="G3146" s="6" t="n">
        <f aca="false">fl_pay_28-Sens!F3145*fl_rate</f>
        <v>4.48286215</v>
      </c>
      <c r="H3146" s="6" t="n">
        <f aca="false">fl_pay_29-Sens!G3145*fl_rate</f>
        <v>4.05859094675</v>
      </c>
      <c r="I3146" s="6" t="n">
        <f aca="false">fl_pay_30-Sens!H3145*fl_rate</f>
        <v>4.14322753935375</v>
      </c>
      <c r="J3146" s="6" t="n">
        <f aca="false">fl_pay_31-Sens!I3145*fl_rate</f>
        <v>4.30267277862467</v>
      </c>
      <c r="K3146" s="6" t="n">
        <f aca="false">fl_pay_32-Sens!J3145*fl_rate</f>
        <v>4.49629305366278</v>
      </c>
    </row>
    <row r="3147" customFormat="false" ht="17.15" hidden="false" customHeight="false" outlineLevel="0" collapsed="false">
      <c r="A3147" s="1" t="s">
        <v>854</v>
      </c>
      <c r="B3147" s="0" t="s">
        <v>95</v>
      </c>
      <c r="E3147" s="6" t="n">
        <f aca="false">Q!M35-Q!M36-Q!M43</f>
        <v>63.886</v>
      </c>
      <c r="F3147" s="6" t="n">
        <f aca="false">Sens!F3141-Sens!F3144-Sens!F3146</f>
        <v>-27.5447256840581</v>
      </c>
      <c r="G3147" s="6" t="n">
        <f aca="false">Sens!G3141-Sens!G3144-Sens!G3146</f>
        <v>-12.9195576866931</v>
      </c>
      <c r="H3147" s="6" t="n">
        <f aca="false">Sens!H3141-Sens!H3144-Sens!H3146</f>
        <v>13.7799758083766</v>
      </c>
      <c r="I3147" s="6" t="n">
        <f aca="false">Sens!I3141-Sens!I3144-Sens!I3146</f>
        <v>21.9393808349811</v>
      </c>
      <c r="J3147" s="6" t="n">
        <f aca="false">Sens!J3141-Sens!J3144-Sens!J3146</f>
        <v>44.4025519981959</v>
      </c>
      <c r="K3147" s="6" t="n">
        <f aca="false">Sens!K3141-Sens!K3144-Sens!K3146</f>
        <v>36.5574443621203</v>
      </c>
      <c r="L3147" s="11" t="s">
        <v>855</v>
      </c>
    </row>
    <row r="3148" customFormat="false" ht="15" hidden="false" customHeight="false" outlineLevel="0" collapsed="false">
      <c r="A3148" s="1" t="s">
        <v>856</v>
      </c>
      <c r="B3148" s="0" t="s">
        <v>73</v>
      </c>
      <c r="F3148" s="8" t="n">
        <f aca="false">dps_27</f>
        <v>3.85</v>
      </c>
      <c r="G3148" s="8" t="n">
        <f aca="false">Sens!F3148*(1+dps_g)</f>
        <v>4.158</v>
      </c>
      <c r="H3148" s="8" t="n">
        <f aca="false">Sens!G3148*(1+dps_g)</f>
        <v>4.49064</v>
      </c>
      <c r="I3148" s="8" t="n">
        <f aca="false">Sens!H3148*(1+dps_g)</f>
        <v>4.8498912</v>
      </c>
      <c r="J3148" s="8" t="n">
        <f aca="false">Sens!I3148*(1+dps_g)</f>
        <v>5.237882496</v>
      </c>
      <c r="K3148" s="8" t="n">
        <f aca="false">Sens!J3148*(1+dps_g)</f>
        <v>5.65691309568</v>
      </c>
    </row>
    <row r="3149" customFormat="false" ht="17.15" hidden="false" customHeight="false" outlineLevel="0" collapsed="false">
      <c r="A3149" s="1" t="s">
        <v>857</v>
      </c>
      <c r="B3149" s="0" t="s">
        <v>95</v>
      </c>
      <c r="E3149" s="6" t="n">
        <f aca="false">Q!M41</f>
        <v>26.445</v>
      </c>
      <c r="F3149" s="6" t="n">
        <f aca="false">Sens!F3148*Sens!E3158</f>
        <v>28.59395</v>
      </c>
      <c r="G3149" s="6" t="n">
        <f aca="false">Sens!G3148*Sens!F3158</f>
        <v>31.068576</v>
      </c>
      <c r="H3149" s="6" t="n">
        <f aca="false">Sens!H3148*Sens!G3158</f>
        <v>33.75614088</v>
      </c>
      <c r="I3149" s="6" t="n">
        <f aca="false">Sens!I3148*Sens!H3158</f>
        <v>36.6748772544</v>
      </c>
      <c r="J3149" s="6" t="n">
        <f aca="false">Sens!J3148*Sens!I3158</f>
        <v>39.844572147072</v>
      </c>
      <c r="K3149" s="6" t="n">
        <f aca="false">Sens!K3148*Sens!J3158</f>
        <v>43.2562143498393</v>
      </c>
      <c r="L3149" s="1" t="s">
        <v>858</v>
      </c>
    </row>
    <row r="3150" customFormat="false" ht="15" hidden="false" customHeight="false" outlineLevel="0" collapsed="false">
      <c r="A3150" s="1" t="s">
        <v>859</v>
      </c>
      <c r="B3150" s="0" t="s">
        <v>95</v>
      </c>
      <c r="E3150" s="6" t="n">
        <f aca="false">Sens!E3147-Sens!E3149</f>
        <v>37.441</v>
      </c>
      <c r="F3150" s="6" t="n">
        <f aca="false">Sens!F3147-Sens!F3149</f>
        <v>-56.1386756840581</v>
      </c>
      <c r="G3150" s="6" t="n">
        <f aca="false">Sens!G3147-Sens!G3149</f>
        <v>-43.9881336866931</v>
      </c>
      <c r="H3150" s="6" t="n">
        <f aca="false">Sens!H3147-Sens!H3149</f>
        <v>-19.9761650716234</v>
      </c>
      <c r="I3150" s="6" t="n">
        <f aca="false">Sens!I3147-Sens!I3149</f>
        <v>-14.7354964194189</v>
      </c>
      <c r="J3150" s="6" t="n">
        <f aca="false">Sens!J3147-Sens!J3149</f>
        <v>4.55797985112388</v>
      </c>
      <c r="K3150" s="6" t="n">
        <f aca="false">Sens!K3147-Sens!K3149</f>
        <v>-6.69876998771904</v>
      </c>
    </row>
    <row r="3151" customFormat="false" ht="15" hidden="false" customHeight="false" outlineLevel="0" collapsed="false">
      <c r="A3151" s="1" t="s">
        <v>860</v>
      </c>
      <c r="B3151" s="0" t="s">
        <v>95</v>
      </c>
      <c r="F3151" s="6" t="n">
        <f aca="false">debt_mat_27</f>
        <v>9.25</v>
      </c>
      <c r="G3151" s="6" t="n">
        <f aca="false">debt_mat_28</f>
        <v>0</v>
      </c>
      <c r="H3151" s="6" t="n">
        <f aca="false">debt_mat_29</f>
        <v>2.001</v>
      </c>
      <c r="I3151" s="6" t="n">
        <f aca="false">debt_mat_30</f>
        <v>0</v>
      </c>
      <c r="J3151" s="6" t="n">
        <f aca="false">debt_mat_31</f>
        <v>0.5</v>
      </c>
      <c r="K3151" s="6" t="n">
        <f aca="false">debt_mat_32</f>
        <v>0</v>
      </c>
    </row>
    <row r="3152" customFormat="false" ht="15" hidden="false" customHeight="false" outlineLevel="0" collapsed="false">
      <c r="A3152" s="1" t="s">
        <v>861</v>
      </c>
      <c r="B3152" s="0" t="s">
        <v>95</v>
      </c>
      <c r="E3152" s="6" t="n">
        <f aca="false">Q!M40</f>
        <v>22.271</v>
      </c>
      <c r="F3152" s="6" t="n">
        <f aca="false">MAX(0,MIN(bb_target,Sens!E3154+Sens!F3150-Sens!F3151-min_cash))</f>
        <v>0</v>
      </c>
      <c r="G3152" s="6" t="n">
        <f aca="false">MAX(0,MIN(bb_target,Sens!F3154+Sens!G3150-Sens!G3151-min_cash))</f>
        <v>0</v>
      </c>
      <c r="H3152" s="6" t="n">
        <f aca="false">MAX(0,MIN(bb_target,Sens!G3154+Sens!H3150-Sens!H3151-min_cash))</f>
        <v>0</v>
      </c>
      <c r="I3152" s="6" t="n">
        <f aca="false">MAX(0,MIN(bb_target,Sens!H3154+Sens!I3150-Sens!I3151-min_cash))</f>
        <v>0</v>
      </c>
      <c r="J3152" s="6" t="n">
        <f aca="false">MAX(0,MIN(bb_target,Sens!I3154+Sens!J3150-Sens!J3151-min_cash))</f>
        <v>4.05797985112388</v>
      </c>
      <c r="K3152" s="6" t="n">
        <f aca="false">MAX(0,MIN(bb_target,Sens!J3154+Sens!K3150-Sens!K3151-min_cash))</f>
        <v>0</v>
      </c>
    </row>
    <row r="3153" customFormat="false" ht="15" hidden="false" customHeight="false" outlineLevel="0" collapsed="false">
      <c r="A3153" s="1" t="s">
        <v>862</v>
      </c>
      <c r="B3153" s="0" t="s">
        <v>95</v>
      </c>
      <c r="F3153" s="6" t="n">
        <f aca="false">MAX(0,min_cash-(Sens!E3154+Sens!F3150-Sens!F3151-Sens!F3152))</f>
        <v>38.5456756840581</v>
      </c>
      <c r="G3153" s="6" t="n">
        <f aca="false">MAX(0,min_cash-(Sens!F3154+Sens!G3150-Sens!G3151-Sens!G3152))</f>
        <v>43.9881336866931</v>
      </c>
      <c r="H3153" s="6" t="n">
        <f aca="false">MAX(0,min_cash-(Sens!G3154+Sens!H3150-Sens!H3151-Sens!H3152))</f>
        <v>21.9771650716234</v>
      </c>
      <c r="I3153" s="6" t="n">
        <f aca="false">MAX(0,min_cash-(Sens!H3154+Sens!I3150-Sens!I3151-Sens!I3152))</f>
        <v>14.7354964194189</v>
      </c>
      <c r="J3153" s="6" t="n">
        <f aca="false">MAX(0,min_cash-(Sens!I3154+Sens!J3150-Sens!J3151-Sens!J3152))</f>
        <v>0</v>
      </c>
      <c r="K3153" s="6" t="n">
        <f aca="false">MAX(0,min_cash-(Sens!J3154+Sens!K3150-Sens!K3151-Sens!K3152))</f>
        <v>6.69876998771904</v>
      </c>
    </row>
    <row r="3154" customFormat="false" ht="15" hidden="false" customHeight="false" outlineLevel="0" collapsed="false">
      <c r="A3154" s="1" t="s">
        <v>863</v>
      </c>
      <c r="B3154" s="0" t="s">
        <v>95</v>
      </c>
      <c r="E3154" s="6" t="n">
        <f aca="false">cash_open</f>
        <v>76.843</v>
      </c>
      <c r="F3154" s="6" t="n">
        <f aca="false">Sens!E3154+Sens!F3150-Sens!F3151-Sens!F3152+Sens!F3153</f>
        <v>50</v>
      </c>
      <c r="G3154" s="6" t="n">
        <f aca="false">Sens!F3154+Sens!G3150-Sens!G3151-Sens!G3152+Sens!G3153</f>
        <v>50</v>
      </c>
      <c r="H3154" s="6" t="n">
        <f aca="false">Sens!G3154+Sens!H3150-Sens!H3151-Sens!H3152+Sens!H3153</f>
        <v>50</v>
      </c>
      <c r="I3154" s="6" t="n">
        <f aca="false">Sens!H3154+Sens!I3150-Sens!I3151-Sens!I3152+Sens!I3153</f>
        <v>50</v>
      </c>
      <c r="J3154" s="6" t="n">
        <f aca="false">Sens!I3154+Sens!J3150-Sens!J3151-Sens!J3152+Sens!J3153</f>
        <v>50</v>
      </c>
      <c r="K3154" s="6" t="n">
        <f aca="false">Sens!J3154+Sens!K3150-Sens!K3151-Sens!K3152+Sens!K3153</f>
        <v>50</v>
      </c>
    </row>
    <row r="3155" customFormat="false" ht="15" hidden="false" customHeight="false" outlineLevel="0" collapsed="false">
      <c r="A3155" s="1" t="s">
        <v>864</v>
      </c>
      <c r="B3155" s="0" t="s">
        <v>95</v>
      </c>
      <c r="E3155" s="6" t="n">
        <f aca="false">debt_face</f>
        <v>46.136</v>
      </c>
      <c r="F3155" s="6" t="n">
        <f aca="false">Sens!E3155-Sens!F3151+Sens!F3153</f>
        <v>75.4316756840581</v>
      </c>
      <c r="G3155" s="6" t="n">
        <f aca="false">Sens!F3155-Sens!G3151+Sens!G3153</f>
        <v>119.419809370751</v>
      </c>
      <c r="H3155" s="6" t="n">
        <f aca="false">Sens!G3155-Sens!H3151+Sens!H3153</f>
        <v>139.395974442375</v>
      </c>
      <c r="I3155" s="6" t="n">
        <f aca="false">Sens!H3155-Sens!I3151+Sens!I3153</f>
        <v>154.131470861793</v>
      </c>
      <c r="J3155" s="6" t="n">
        <f aca="false">Sens!I3155-Sens!J3151+Sens!J3153</f>
        <v>153.631470861793</v>
      </c>
      <c r="K3155" s="6" t="n">
        <f aca="false">Sens!J3155-Sens!K3151+Sens!K3153</f>
        <v>160.330240849512</v>
      </c>
    </row>
    <row r="3156" customFormat="false" ht="15" hidden="false" customHeight="false" outlineLevel="0" collapsed="false">
      <c r="A3156" s="1" t="s">
        <v>865</v>
      </c>
      <c r="B3156" s="0" t="s">
        <v>95</v>
      </c>
      <c r="E3156" s="6" t="n">
        <f aca="false">Sens!E3154-Sens!E3155</f>
        <v>30.707</v>
      </c>
      <c r="F3156" s="6" t="n">
        <f aca="false">Sens!F3154-Sens!F3155</f>
        <v>-25.4316756840581</v>
      </c>
      <c r="G3156" s="6" t="n">
        <f aca="false">Sens!G3154-Sens!G3155</f>
        <v>-69.4198093707512</v>
      </c>
      <c r="H3156" s="6" t="n">
        <f aca="false">Sens!H3154-Sens!H3155</f>
        <v>-89.3959744423746</v>
      </c>
      <c r="I3156" s="6" t="n">
        <f aca="false">Sens!I3154-Sens!I3155</f>
        <v>-104.131470861793</v>
      </c>
      <c r="J3156" s="6" t="n">
        <f aca="false">Sens!J3154-Sens!J3155</f>
        <v>-103.631470861793</v>
      </c>
      <c r="K3156" s="6" t="n">
        <f aca="false">Sens!K3154-Sens!K3155</f>
        <v>-110.330240849512</v>
      </c>
    </row>
    <row r="3157" customFormat="false" ht="15" hidden="false" customHeight="false" outlineLevel="0" collapsed="false">
      <c r="A3157" s="1" t="s">
        <v>866</v>
      </c>
      <c r="B3157" s="0" t="s">
        <v>73</v>
      </c>
      <c r="F3157" s="27" t="n">
        <f aca="false">px*(1+bb_g)^(1-0.5)</f>
        <v>553.494156066711</v>
      </c>
      <c r="G3157" s="27" t="n">
        <f aca="false">px*(1+bb_g)^(2-0.5)</f>
        <v>597.773688552047</v>
      </c>
      <c r="H3157" s="27" t="n">
        <f aca="false">px*(1+bb_g)^(3-0.5)</f>
        <v>645.595583636211</v>
      </c>
      <c r="I3157" s="27" t="n">
        <f aca="false">px*(1+bb_g)^(4-0.5)</f>
        <v>697.243230327108</v>
      </c>
      <c r="J3157" s="27" t="n">
        <f aca="false">px*(1+bb_g)^(5-0.5)</f>
        <v>753.022688753277</v>
      </c>
      <c r="K3157" s="27" t="n">
        <f aca="false">px*(1+bb_g)^(6-0.5)</f>
        <v>813.264503853539</v>
      </c>
    </row>
    <row r="3158" customFormat="false" ht="15" hidden="false" customHeight="false" outlineLevel="0" collapsed="false">
      <c r="A3158" s="1" t="s">
        <v>867</v>
      </c>
      <c r="B3158" s="1" t="s">
        <v>79</v>
      </c>
      <c r="E3158" s="18" t="n">
        <f aca="false">sh_out26</f>
        <v>7.427</v>
      </c>
      <c r="F3158" s="18" t="n">
        <f aca="false">Sens!E3158+sh_iss-Sens!F3152/Sens!F3157</f>
        <v>7.472</v>
      </c>
      <c r="G3158" s="18" t="n">
        <f aca="false">Sens!F3158+sh_iss-Sens!G3152/Sens!G3157</f>
        <v>7.517</v>
      </c>
      <c r="H3158" s="18" t="n">
        <f aca="false">Sens!G3158+sh_iss-Sens!H3152/Sens!H3157</f>
        <v>7.562</v>
      </c>
      <c r="I3158" s="18" t="n">
        <f aca="false">Sens!H3158+sh_iss-Sens!I3152/Sens!I3157</f>
        <v>7.607</v>
      </c>
      <c r="J3158" s="18" t="n">
        <f aca="false">Sens!I3158+sh_iss-Sens!J3152/Sens!J3157</f>
        <v>7.64661107890674</v>
      </c>
      <c r="K3158" s="18" t="n">
        <f aca="false">Sens!J3158+sh_iss-Sens!K3152/Sens!K3157</f>
        <v>7.69161107890674</v>
      </c>
    </row>
    <row r="3159" customFormat="false" ht="15" hidden="false" customHeight="false" outlineLevel="0" collapsed="false">
      <c r="A3159" s="1" t="s">
        <v>868</v>
      </c>
      <c r="B3159" s="1" t="s">
        <v>79</v>
      </c>
      <c r="E3159" s="18" t="n">
        <f aca="false">sh_dil26</f>
        <v>7.453</v>
      </c>
      <c r="F3159" s="18" t="n">
        <f aca="false">(Sens!E3158+Sens!F3158)/2+dil_gap</f>
        <v>7.4735</v>
      </c>
      <c r="G3159" s="18" t="n">
        <f aca="false">(Sens!F3158+Sens!G3158)/2+dil_gap</f>
        <v>7.5185</v>
      </c>
      <c r="H3159" s="18" t="n">
        <f aca="false">(Sens!G3158+Sens!H3158)/2+dil_gap</f>
        <v>7.5635</v>
      </c>
      <c r="I3159" s="18" t="n">
        <f aca="false">(Sens!H3158+Sens!I3158)/2+dil_gap</f>
        <v>7.6085</v>
      </c>
      <c r="J3159" s="18" t="n">
        <f aca="false">(Sens!I3158+Sens!J3158)/2+dil_gap</f>
        <v>7.65080553945337</v>
      </c>
      <c r="K3159" s="18" t="n">
        <f aca="false">(Sens!J3158+Sens!K3158)/2+dil_gap</f>
        <v>7.69311107890674</v>
      </c>
    </row>
    <row r="3160" customFormat="false" ht="17.15" hidden="false" customHeight="false" outlineLevel="0" collapsed="false">
      <c r="A3160" s="1" t="s">
        <v>869</v>
      </c>
      <c r="B3160" s="0" t="s">
        <v>95</v>
      </c>
      <c r="C3160" s="6" t="n">
        <f aca="false">SUM(Sens!F3150:J3150)</f>
        <v>-130.28049101067</v>
      </c>
    </row>
    <row r="3161" customFormat="false" ht="17.15" hidden="false" customHeight="false" outlineLevel="0" collapsed="false">
      <c r="A3161" s="1" t="s">
        <v>836</v>
      </c>
      <c r="B3161" s="1" t="s">
        <v>870</v>
      </c>
      <c r="C3161" s="30" t="str">
        <f aca="false">IF(SUM(Sens!F3153:J3153)&gt;0.05,"需要舉債 "&amp;TEXT(SUM(Sens!F3153:J3153),"0.0")&amp;" 十億美元","不需舉債")&amp;"；"&amp;IF(SUM(Sens!F3152:J3152)&lt;5*bb_target-0.05,"回購較每年 "&amp;TEXT(bb_target,"0.0")&amp;" 的目標少 "&amp;TEXT(5*bb_target-SUM(Sens!F3152:J3152),"0.0")&amp;" 十億美元（"&amp;TEXT(COUNTIF(Sens!F3152:J3152,"&lt;"&amp;(bb_target-0.05)),"0")&amp;" 年減少）","回購不減")</f>
        <v>需要舉債 119.2 十億美元；回購較每年 22.3 的目標少 107.3 十億美元（5 年減少）</v>
      </c>
    </row>
    <row r="3162" customFormat="false" ht="17.15" hidden="false" customHeight="false" outlineLevel="0" collapsed="false">
      <c r="A3162" s="3" t="s">
        <v>1203</v>
      </c>
    </row>
    <row r="3163" customFormat="false" ht="15" hidden="false" customHeight="false" outlineLevel="0" collapsed="false">
      <c r="A3163" s="4" t="s">
        <v>43</v>
      </c>
      <c r="B3163" s="4" t="s">
        <v>63</v>
      </c>
      <c r="C3163" s="19" t="s">
        <v>710</v>
      </c>
      <c r="D3163" s="19" t="s">
        <v>711</v>
      </c>
      <c r="E3163" s="19" t="s">
        <v>712</v>
      </c>
      <c r="F3163" s="19" t="s">
        <v>713</v>
      </c>
      <c r="G3163" s="19" t="s">
        <v>714</v>
      </c>
      <c r="H3163" s="19" t="s">
        <v>715</v>
      </c>
      <c r="I3163" s="19" t="s">
        <v>716</v>
      </c>
      <c r="J3163" s="19" t="s">
        <v>717</v>
      </c>
      <c r="K3163" s="19" t="s">
        <v>718</v>
      </c>
      <c r="L3163" s="4" t="s">
        <v>47</v>
      </c>
    </row>
    <row r="3164" customFormat="false" ht="17.15" hidden="false" customHeight="false" outlineLevel="0" collapsed="false">
      <c r="A3164" s="1" t="s">
        <v>938</v>
      </c>
      <c r="B3164" s="1" t="s">
        <v>213</v>
      </c>
      <c r="F3164" s="34" t="n">
        <f aca="false">1-0.5</f>
        <v>0.5</v>
      </c>
      <c r="G3164" s="34" t="n">
        <f aca="false">2-0.5</f>
        <v>1.5</v>
      </c>
      <c r="H3164" s="34" t="n">
        <f aca="false">3-0.5</f>
        <v>2.5</v>
      </c>
      <c r="I3164" s="34" t="n">
        <f aca="false">4-0.5</f>
        <v>3.5</v>
      </c>
      <c r="J3164" s="34" t="n">
        <f aca="false">5-0.5</f>
        <v>4.5</v>
      </c>
      <c r="K3164" s="34" t="n">
        <f aca="false">6-0.5</f>
        <v>5.5</v>
      </c>
    </row>
    <row r="3165" customFormat="false" ht="15" hidden="false" customHeight="false" outlineLevel="0" collapsed="false">
      <c r="A3165" s="1" t="s">
        <v>939</v>
      </c>
      <c r="B3165" s="0" t="s">
        <v>182</v>
      </c>
      <c r="F3165" s="18" t="n">
        <f aca="false">1/(1+wacc)^Sens!F3164</f>
        <v>0.949601579913219</v>
      </c>
      <c r="G3165" s="18" t="n">
        <f aca="false">1/(1+wacc)^Sens!G3164</f>
        <v>0.856296729956707</v>
      </c>
      <c r="H3165" s="18" t="n">
        <f aca="false">1/(1+wacc)^Sens!H3164</f>
        <v>0.772159719660069</v>
      </c>
      <c r="I3165" s="18" t="n">
        <f aca="false">1/(1+wacc)^Sens!I3164</f>
        <v>0.696289746073958</v>
      </c>
      <c r="J3165" s="18" t="n">
        <f aca="false">1/(1+wacc)^Sens!J3164</f>
        <v>0.627874516299776</v>
      </c>
      <c r="K3165" s="18" t="n">
        <f aca="false">1/(1+wacc)^Sens!K3164</f>
        <v>0.566181550771831</v>
      </c>
    </row>
    <row r="3166" customFormat="false" ht="15" hidden="false" customHeight="false" outlineLevel="0" collapsed="false">
      <c r="A3166" s="1" t="s">
        <v>940</v>
      </c>
      <c r="B3166" s="0" t="s">
        <v>95</v>
      </c>
      <c r="F3166" s="6" t="n">
        <f aca="false">Sens!F3147*Sens!F3165</f>
        <v>-26.1565150278578</v>
      </c>
      <c r="G3166" s="6" t="n">
        <f aca="false">Sens!G3147*Sens!G3165</f>
        <v>-11.0629749996023</v>
      </c>
      <c r="H3166" s="6" t="n">
        <f aca="false">Sens!H3147*Sens!H3165</f>
        <v>10.6403422571186</v>
      </c>
      <c r="I3166" s="6" t="n">
        <f aca="false">Sens!I3147*Sens!I3165</f>
        <v>15.2761659106089</v>
      </c>
      <c r="J3166" s="6" t="n">
        <f aca="false">Sens!J3147*Sens!J3165</f>
        <v>27.8792308583429</v>
      </c>
      <c r="K3166" s="6" t="n">
        <f aca="false">Sens!K3147*Sens!K3165</f>
        <v>20.6981505412002</v>
      </c>
    </row>
    <row r="3167" customFormat="false" ht="17.15" hidden="false" customHeight="false" outlineLevel="0" collapsed="false">
      <c r="A3167" s="1" t="s">
        <v>941</v>
      </c>
      <c r="B3167" s="0" t="s">
        <v>95</v>
      </c>
      <c r="C3167" s="6" t="n">
        <f aca="false">SUM(Sens!F3166:K3166)</f>
        <v>37.2743995398105</v>
      </c>
    </row>
    <row r="3168" customFormat="false" ht="17.15" hidden="false" customHeight="false" outlineLevel="0" collapsed="false">
      <c r="A3168" s="1" t="s">
        <v>942</v>
      </c>
      <c r="B3168" s="0" t="s">
        <v>95</v>
      </c>
      <c r="C3168" s="6" t="n">
        <f aca="false">Sens!K3113*(1+g_tv)*(1-tax_f)</f>
        <v>155.87276663073</v>
      </c>
    </row>
    <row r="3169" customFormat="false" ht="17.15" hidden="false" customHeight="false" outlineLevel="0" collapsed="false">
      <c r="A3169" s="1" t="s">
        <v>943</v>
      </c>
      <c r="B3169" s="0" t="s">
        <v>95</v>
      </c>
      <c r="C3169" s="6" t="n">
        <f aca="false">Sens!$C$3168*(1-g_tv/(wacc+ronic_prem))</f>
        <v>112.957524684333</v>
      </c>
    </row>
    <row r="3170" customFormat="false" ht="17.15" hidden="false" customHeight="false" outlineLevel="0" collapsed="false">
      <c r="A3170" s="1" t="s">
        <v>944</v>
      </c>
      <c r="B3170" s="0" t="s">
        <v>95</v>
      </c>
      <c r="C3170" s="6" t="n">
        <f aca="false">Sens!$C$3169/(wacc-g_tv)</f>
        <v>1430.5080648799</v>
      </c>
    </row>
    <row r="3171" customFormat="false" ht="15" hidden="false" customHeight="false" outlineLevel="0" collapsed="false">
      <c r="A3171" s="1" t="s">
        <v>945</v>
      </c>
      <c r="B3171" s="0" t="s">
        <v>95</v>
      </c>
      <c r="C3171" s="6" t="n">
        <f aca="false">Sens!$C$3170/(1+wacc)^6</f>
        <v>769.108219542028</v>
      </c>
    </row>
    <row r="3172" customFormat="false" ht="17.15" hidden="false" customHeight="false" outlineLevel="0" collapsed="false">
      <c r="A3172" s="0" t="s">
        <v>877</v>
      </c>
      <c r="B3172" s="0" t="s">
        <v>95</v>
      </c>
      <c r="C3172" s="6" t="n">
        <f aca="false">Sens!$C$3167+Sens!$C$3171</f>
        <v>806.382619081839</v>
      </c>
    </row>
    <row r="3173" customFormat="false" ht="15" hidden="false" customHeight="false" outlineLevel="0" collapsed="false">
      <c r="A3173" s="1" t="s">
        <v>878</v>
      </c>
      <c r="B3173" s="0" t="s">
        <v>126</v>
      </c>
      <c r="C3173" s="7" t="n">
        <f aca="false">Sens!$C$3171/Sens!$C$3172</f>
        <v>0.953775789981372</v>
      </c>
    </row>
    <row r="3174" customFormat="false" ht="17.15" hidden="false" customHeight="false" outlineLevel="0" collapsed="false">
      <c r="A3174" s="1" t="s">
        <v>946</v>
      </c>
      <c r="B3174" s="0" t="s">
        <v>95</v>
      </c>
      <c r="C3174" s="6" t="n">
        <f aca="false">Sens!$C$3172+Sens!E3156+oai_v</f>
        <v>1007.48961908184</v>
      </c>
    </row>
    <row r="3175" customFormat="false" ht="17.15" hidden="false" customHeight="false" outlineLevel="0" collapsed="false">
      <c r="A3175" s="0" t="s">
        <v>883</v>
      </c>
      <c r="B3175" s="0" t="s">
        <v>73</v>
      </c>
      <c r="C3175" s="5" t="n">
        <f aca="false">Sens!$C$3174/sh_dil26</f>
        <v>135.179071391633</v>
      </c>
    </row>
    <row r="3176" customFormat="false" ht="17.15" hidden="false" customHeight="false" outlineLevel="0" collapsed="false">
      <c r="A3176" s="0" t="s">
        <v>947</v>
      </c>
      <c r="B3176" s="0" t="s">
        <v>73</v>
      </c>
      <c r="C3176" s="5" t="n">
        <f aca="false">Sens!$C$3175*(1+wacc)^t_roll</f>
        <v>155.049660966781</v>
      </c>
    </row>
    <row r="3177" customFormat="false" ht="17.15" hidden="false" customHeight="false" outlineLevel="0" collapsed="false">
      <c r="A3177" s="1" t="s">
        <v>948</v>
      </c>
      <c r="B3177" s="0" t="s">
        <v>126</v>
      </c>
      <c r="F3177" s="7" t="n">
        <f aca="false">Sens!F3137/(Sens!F3088-Sens!F3044)</f>
        <v>0.0686864325746334</v>
      </c>
      <c r="G3177" s="7" t="n">
        <f aca="false">Sens!G3137/(Sens!G3088-Sens!G3044)</f>
        <v>0.066267001590801</v>
      </c>
      <c r="H3177" s="7" t="n">
        <f aca="false">Sens!H3137/(Sens!H3088-Sens!H3044)</f>
        <v>0.0650366246750144</v>
      </c>
      <c r="I3177" s="7" t="n">
        <f aca="false">Sens!I3137/(Sens!I3088-Sens!I3044)</f>
        <v>0.0648573271390164</v>
      </c>
      <c r="J3177" s="7" t="n">
        <f aca="false">Sens!J3137/(Sens!J3088-Sens!J3044)</f>
        <v>0.0655189837669657</v>
      </c>
      <c r="K3177" s="7" t="n">
        <f aca="false">Sens!K3137/(Sens!K3088-Sens!K3044)</f>
        <v>0.0667878921367872</v>
      </c>
    </row>
    <row r="3178" customFormat="false" ht="17.15" hidden="false" customHeight="false" outlineLevel="0" collapsed="false">
      <c r="A3178" s="0" t="s">
        <v>949</v>
      </c>
      <c r="B3178" s="0" t="s">
        <v>95</v>
      </c>
      <c r="F3178" s="6" t="n">
        <f aca="false">Sens!F3073*(al_m365+Sens!F3177)</f>
        <v>78.4986969872395</v>
      </c>
      <c r="G3178" s="6" t="n">
        <f aca="false">Sens!G3073*(al_m365+Sens!G3177)</f>
        <v>88.3098056906507</v>
      </c>
      <c r="H3178" s="6" t="n">
        <f aca="false">Sens!H3073*(al_m365+Sens!H3177)</f>
        <v>98.2773562913015</v>
      </c>
      <c r="I3178" s="6" t="n">
        <f aca="false">Sens!I3073*(al_m365+Sens!I3177)</f>
        <v>107.762753675846</v>
      </c>
      <c r="J3178" s="6" t="n">
        <f aca="false">Sens!J3073*(al_m365+Sens!J3177)</f>
        <v>116.587414331333</v>
      </c>
      <c r="K3178" s="6" t="n">
        <f aca="false">Sens!K3073*(al_m365+Sens!K3177)</f>
        <v>125.041394489287</v>
      </c>
    </row>
    <row r="3179" customFormat="false" ht="17.15" hidden="false" customHeight="false" outlineLevel="0" collapsed="false">
      <c r="A3179" s="0" t="s">
        <v>950</v>
      </c>
      <c r="B3179" s="0" t="s">
        <v>95</v>
      </c>
      <c r="F3179" s="6" t="n">
        <f aca="false">Sens!F3074*(al_lic+Sens!F3177)</f>
        <v>31.9877845991607</v>
      </c>
      <c r="G3179" s="6" t="n">
        <f aca="false">Sens!G3074*(al_lic+Sens!G3177)</f>
        <v>33.243749427372</v>
      </c>
      <c r="H3179" s="6" t="n">
        <f aca="false">Sens!H3074*(al_lic+Sens!H3177)</f>
        <v>34.4137793872059</v>
      </c>
      <c r="I3179" s="6" t="n">
        <f aca="false">Sens!I3074*(al_lic+Sens!I3177)</f>
        <v>35.4787240806467</v>
      </c>
      <c r="J3179" s="6" t="n">
        <f aca="false">Sens!J3074*(al_lic+Sens!J3177)</f>
        <v>36.4160307520991</v>
      </c>
      <c r="K3179" s="6" t="n">
        <f aca="false">Sens!K3074*(al_lic+Sens!K3177)</f>
        <v>37.2021461938459</v>
      </c>
    </row>
    <row r="3180" customFormat="false" ht="17.15" hidden="false" customHeight="false" outlineLevel="0" collapsed="false">
      <c r="A3180" s="0" t="s">
        <v>951</v>
      </c>
      <c r="B3180" s="0" t="s">
        <v>95</v>
      </c>
      <c r="F3180" s="6" t="n">
        <f aca="false">Sens!F3076*(al_ind+Sens!F3177)</f>
        <v>8.24280380456612</v>
      </c>
      <c r="G3180" s="6" t="n">
        <f aca="false">Sens!G3076*(al_ind+Sens!G3177)</f>
        <v>8.9512770630031</v>
      </c>
      <c r="H3180" s="6" t="n">
        <f aca="false">Sens!H3076*(al_ind+Sens!H3177)</f>
        <v>9.70041215792393</v>
      </c>
      <c r="I3180" s="6" t="n">
        <f aca="false">Sens!I3076*(al_ind+Sens!I3177)</f>
        <v>10.4864435829487</v>
      </c>
      <c r="J3180" s="6" t="n">
        <f aca="false">Sens!J3076*(al_ind+Sens!J3177)</f>
        <v>11.3015744981253</v>
      </c>
      <c r="K3180" s="6" t="n">
        <f aca="false">Sens!K3076*(al_ind+Sens!K3177)</f>
        <v>12.1346647729291</v>
      </c>
    </row>
    <row r="3181" customFormat="false" ht="17.15" hidden="false" customHeight="false" outlineLevel="0" collapsed="false">
      <c r="A3181" s="0" t="s">
        <v>952</v>
      </c>
      <c r="B3181" s="0" t="s">
        <v>95</v>
      </c>
      <c r="F3181" s="6" t="n">
        <f aca="false">Sens!F3078*(al_fro+Sens!F3177)</f>
        <v>3.24439651632051</v>
      </c>
      <c r="G3181" s="6" t="n">
        <f aca="false">Sens!G3078*(al_fro+Sens!G3177)</f>
        <v>3.43676117771401</v>
      </c>
      <c r="H3181" s="6" t="n">
        <f aca="false">Sens!H3078*(al_fro+Sens!H3177)</f>
        <v>3.65544732248501</v>
      </c>
      <c r="I3181" s="6" t="n">
        <f aca="false">Sens!I3078*(al_fro+Sens!I3177)</f>
        <v>3.90262750850979</v>
      </c>
      <c r="J3181" s="6" t="n">
        <f aca="false">Sens!J3078*(al_fro+Sens!J3177)</f>
        <v>4.17975656810881</v>
      </c>
      <c r="K3181" s="6" t="n">
        <f aca="false">Sens!K3078*(al_fro+Sens!K3177)</f>
        <v>4.48786536733111</v>
      </c>
    </row>
    <row r="3182" customFormat="false" ht="17.15" hidden="false" customHeight="false" outlineLevel="0" collapsed="false">
      <c r="A3182" s="0" t="s">
        <v>953</v>
      </c>
      <c r="B3182" s="0" t="s">
        <v>95</v>
      </c>
      <c r="F3182" s="6" t="n">
        <f aca="false">Sens!F3081*(al_srch+Sens!F3177)</f>
        <v>10.1799817910968</v>
      </c>
      <c r="G3182" s="6" t="n">
        <f aca="false">Sens!G3081*(al_srch+Sens!G3177)</f>
        <v>11.1592643133754</v>
      </c>
      <c r="H3182" s="6" t="n">
        <f aca="false">Sens!H3081*(al_srch+Sens!H3177)</f>
        <v>12.1792194533398</v>
      </c>
      <c r="I3182" s="6" t="n">
        <f aca="false">Sens!I3081*(al_srch+Sens!I3177)</f>
        <v>13.2288881134521</v>
      </c>
      <c r="J3182" s="6" t="n">
        <f aca="false">Sens!J3081*(al_srch+Sens!J3177)</f>
        <v>14.2913670918582</v>
      </c>
      <c r="K3182" s="6" t="n">
        <f aca="false">Sens!K3081*(al_srch+Sens!K3177)</f>
        <v>15.3448485284362</v>
      </c>
    </row>
    <row r="3183" customFormat="false" ht="17.15" hidden="false" customHeight="false" outlineLevel="0" collapsed="false">
      <c r="A3183" s="0" t="s">
        <v>954</v>
      </c>
      <c r="B3183" s="0" t="s">
        <v>95</v>
      </c>
      <c r="F3183" s="6" t="n">
        <f aca="false">Sens!F3050</f>
        <v>37.5923250023078</v>
      </c>
      <c r="G3183" s="6" t="n">
        <f aca="false">Sens!G3050</f>
        <v>58.943327784829</v>
      </c>
      <c r="H3183" s="6" t="n">
        <f aca="false">Sens!H3050</f>
        <v>75.1823223672818</v>
      </c>
      <c r="I3183" s="6" t="n">
        <f aca="false">Sens!I3050</f>
        <v>99.5316948409851</v>
      </c>
      <c r="J3183" s="6" t="n">
        <f aca="false">Sens!J3050</f>
        <v>123.948016235369</v>
      </c>
      <c r="K3183" s="6" t="n">
        <f aca="false">Sens!K3050</f>
        <v>148.402884961852</v>
      </c>
    </row>
    <row r="3184" customFormat="false" ht="17.15" hidden="false" customHeight="false" outlineLevel="0" collapsed="false">
      <c r="A3184" s="0" t="s">
        <v>955</v>
      </c>
      <c r="B3184" s="0" t="s">
        <v>95</v>
      </c>
      <c r="F3184" s="6" t="n">
        <f aca="false">Sens!F3110+Sens!F3061+Sens!F3177*(Sens!F3080-Sens!F3044)</f>
        <v>208.24571629896</v>
      </c>
      <c r="G3184" s="6" t="n">
        <f aca="false">Sens!G3110+Sens!G3061+Sens!G3177*(Sens!G3080-Sens!G3044)</f>
        <v>246.993374744711</v>
      </c>
      <c r="H3184" s="6" t="n">
        <f aca="false">Sens!H3110+Sens!H3061+Sens!H3177*(Sens!H3080-Sens!H3044)</f>
        <v>280.834251370457</v>
      </c>
      <c r="I3184" s="6" t="n">
        <f aca="false">Sens!I3110+Sens!I3061+Sens!I3177*(Sens!I3080-Sens!I3044)</f>
        <v>322.067940146935</v>
      </c>
      <c r="J3184" s="6" t="n">
        <f aca="false">Sens!J3110+Sens!J3061+Sens!J3177*(Sens!J3080-Sens!J3044)</f>
        <v>361.844598903701</v>
      </c>
      <c r="K3184" s="6" t="n">
        <f aca="false">Sens!K3110+Sens!K3061+Sens!K3177*(Sens!K3080-Sens!K3044)</f>
        <v>399.720542149957</v>
      </c>
    </row>
    <row r="3185" customFormat="false" ht="17.15" hidden="false" customHeight="false" outlineLevel="0" collapsed="false">
      <c r="A3185" s="0" t="s">
        <v>956</v>
      </c>
      <c r="B3185" s="0" t="s">
        <v>95</v>
      </c>
      <c r="F3185" s="6" t="n">
        <f aca="false">Sens!F3184-Sens!F3178-Sens!F3179-Sens!F3180-Sens!F3181-Sens!F3183</f>
        <v>48.6797093893649</v>
      </c>
      <c r="G3185" s="6" t="n">
        <f aca="false">Sens!G3184-Sens!G3178-Sens!G3179-Sens!G3180-Sens!G3181-Sens!G3183</f>
        <v>54.1084536011424</v>
      </c>
      <c r="H3185" s="6" t="n">
        <f aca="false">Sens!H3184-Sens!H3178-Sens!H3179-Sens!H3180-Sens!H3181-Sens!H3183</f>
        <v>59.6049338442586</v>
      </c>
      <c r="I3185" s="6" t="n">
        <f aca="false">Sens!I3184-Sens!I3178-Sens!I3179-Sens!I3180-Sens!I3181-Sens!I3183</f>
        <v>64.9056964579985</v>
      </c>
      <c r="J3185" s="6" t="n">
        <f aca="false">Sens!J3184-Sens!J3178-Sens!J3179-Sens!J3180-Sens!J3181-Sens!J3183</f>
        <v>69.4118065186663</v>
      </c>
      <c r="K3185" s="6" t="n">
        <f aca="false">Sens!K3184-Sens!K3178-Sens!K3179-Sens!K3180-Sens!K3181-Sens!K3183</f>
        <v>72.4515863647122</v>
      </c>
    </row>
    <row r="3186" customFormat="false" ht="17.15" hidden="false" customHeight="false" outlineLevel="0" collapsed="false">
      <c r="A3186" s="0" t="s">
        <v>957</v>
      </c>
      <c r="B3186" s="0" t="s">
        <v>95</v>
      </c>
      <c r="F3186" s="6" t="n">
        <f aca="false">Sens!F3112+Sens!F3177*Sens!F3087</f>
        <v>23.7697943901369</v>
      </c>
      <c r="G3186" s="6" t="n">
        <f aca="false">Sens!G3112+Sens!G3177*Sens!G3087</f>
        <v>24.331261048114</v>
      </c>
      <c r="H3186" s="6" t="n">
        <f aca="false">Sens!H3112+Sens!H3177*Sens!H3087</f>
        <v>25.1342423406419</v>
      </c>
      <c r="I3186" s="6" t="n">
        <f aca="false">Sens!I3112+Sens!I3177*Sens!I3087</f>
        <v>26.1495446421549</v>
      </c>
      <c r="J3186" s="6" t="n">
        <f aca="false">Sens!J3112+Sens!J3177*Sens!J3087</f>
        <v>27.3481502080811</v>
      </c>
      <c r="K3186" s="6" t="n">
        <f aca="false">Sens!K3112+Sens!K3177*Sens!K3087</f>
        <v>28.7026027133478</v>
      </c>
    </row>
    <row r="3187" customFormat="false" ht="17.15" hidden="false" customHeight="false" outlineLevel="0" collapsed="false">
      <c r="A3187" s="0" t="s">
        <v>958</v>
      </c>
      <c r="B3187" s="0" t="s">
        <v>95</v>
      </c>
      <c r="F3187" s="6" t="n">
        <f aca="false">(Sens!F3186-Sens!F3182)*Sens!F3083/(Sens!F3083+Sens!F3085)</f>
        <v>7.44980290393703</v>
      </c>
      <c r="G3187" s="6" t="n">
        <f aca="false">(Sens!G3186-Sens!G3182)*Sens!G3083/(Sens!G3083+Sens!G3085)</f>
        <v>7.09201461396229</v>
      </c>
      <c r="H3187" s="6" t="n">
        <f aca="false">(Sens!H3186-Sens!H3182)*Sens!H3083/(Sens!H3083+Sens!H3085)</f>
        <v>6.8809692168288</v>
      </c>
      <c r="I3187" s="6" t="n">
        <f aca="false">(Sens!I3186-Sens!I3182)*Sens!I3083/(Sens!I3083+Sens!I3085)</f>
        <v>6.80062182771623</v>
      </c>
      <c r="J3187" s="6" t="n">
        <f aca="false">(Sens!J3186-Sens!J3182)*Sens!J3083/(Sens!J3083+Sens!J3085)</f>
        <v>6.84119415814997</v>
      </c>
      <c r="K3187" s="6" t="n">
        <f aca="false">(Sens!K3186-Sens!K3182)*Sens!K3083/(Sens!K3083+Sens!K3085)</f>
        <v>6.99889008512965</v>
      </c>
    </row>
    <row r="3188" customFormat="false" ht="17.15" hidden="false" customHeight="false" outlineLevel="0" collapsed="false">
      <c r="A3188" s="0" t="s">
        <v>959</v>
      </c>
      <c r="B3188" s="0" t="s">
        <v>95</v>
      </c>
      <c r="F3188" s="6" t="n">
        <f aca="false">Sens!F3186-Sens!F3182-Sens!F3187</f>
        <v>6.14000969510312</v>
      </c>
      <c r="G3188" s="6" t="n">
        <f aca="false">Sens!G3186-Sens!G3182-Sens!G3187</f>
        <v>6.07998212077627</v>
      </c>
      <c r="H3188" s="6" t="n">
        <f aca="false">Sens!H3186-Sens!H3182-Sens!H3187</f>
        <v>6.07405367047327</v>
      </c>
      <c r="I3188" s="6" t="n">
        <f aca="false">Sens!I3186-Sens!I3182-Sens!I3187</f>
        <v>6.12003470098649</v>
      </c>
      <c r="J3188" s="6" t="n">
        <f aca="false">Sens!J3186-Sens!J3182-Sens!J3187</f>
        <v>6.21558895807294</v>
      </c>
      <c r="K3188" s="6" t="n">
        <f aca="false">Sens!K3186-Sens!K3182-Sens!K3187</f>
        <v>6.35886409978198</v>
      </c>
    </row>
    <row r="3189" customFormat="false" ht="17.15" hidden="false" customHeight="false" outlineLevel="0" collapsed="false">
      <c r="A3189" s="1" t="s">
        <v>960</v>
      </c>
      <c r="B3189" s="0" t="s">
        <v>95</v>
      </c>
      <c r="C3189" s="6" t="n">
        <f aca="false">(w_ntm28*Sens!G3183+(1-w_ntm28)*Sens!H3183)*m_ai*1</f>
        <v>385.159167159321</v>
      </c>
    </row>
    <row r="3190" customFormat="false" ht="17.15" hidden="false" customHeight="false" outlineLevel="0" collapsed="false">
      <c r="A3190" s="1" t="s">
        <v>961</v>
      </c>
      <c r="B3190" s="0" t="s">
        <v>95</v>
      </c>
      <c r="C3190" s="6" t="n">
        <f aca="false">(w_ntm28*Sens!G3185+(1-w_ntm28)*Sens!H3185)*m_cloud*1</f>
        <v>772.336198963032</v>
      </c>
    </row>
    <row r="3191" customFormat="false" ht="17.15" hidden="false" customHeight="false" outlineLevel="0" collapsed="false">
      <c r="A3191" s="1" t="s">
        <v>962</v>
      </c>
      <c r="B3191" s="0" t="s">
        <v>95</v>
      </c>
      <c r="C3191" s="6" t="n">
        <f aca="false">(w_ntm28*Sens!G3178+(1-w_ntm28)*Sens!H3178)*m_sw*1</f>
        <v>988.547672652094</v>
      </c>
    </row>
    <row r="3192" customFormat="false" ht="17.15" hidden="false" customHeight="false" outlineLevel="0" collapsed="false">
      <c r="A3192" s="1" t="s">
        <v>963</v>
      </c>
      <c r="B3192" s="0" t="s">
        <v>95</v>
      </c>
      <c r="C3192" s="6" t="n">
        <f aca="false">(w_ntm28*Sens!G3179+(1-w_ntm28)*Sens!H3179)*m_sw*1</f>
        <v>363.117661434282</v>
      </c>
    </row>
    <row r="3193" customFormat="false" ht="17.15" hidden="false" customHeight="false" outlineLevel="0" collapsed="false">
      <c r="A3193" s="1" t="s">
        <v>964</v>
      </c>
      <c r="B3193" s="0" t="s">
        <v>95</v>
      </c>
      <c r="C3193" s="6" t="n">
        <f aca="false">(w_ntm28*Sens!G3180+(1-w_ntm28)*Sens!H3180)*m_sw*1</f>
        <v>99.2894025954118</v>
      </c>
    </row>
    <row r="3194" customFormat="false" ht="17.15" hidden="false" customHeight="false" outlineLevel="0" collapsed="false">
      <c r="A3194" s="1" t="s">
        <v>965</v>
      </c>
      <c r="B3194" s="0" t="s">
        <v>95</v>
      </c>
      <c r="C3194" s="6" t="n">
        <f aca="false">(w_ntm28*Sens!G3181+(1-w_ntm28)*Sens!H3181)*m_sw*1</f>
        <v>37.8805648916295</v>
      </c>
    </row>
    <row r="3195" customFormat="false" ht="17.15" hidden="false" customHeight="false" outlineLevel="0" collapsed="false">
      <c r="A3195" s="1" t="s">
        <v>966</v>
      </c>
      <c r="B3195" s="0" t="s">
        <v>95</v>
      </c>
      <c r="C3195" s="6" t="n">
        <f aca="false">(w_ntm28*Sens!G3182+(1-w_ntm28)*Sens!H3182)*m_ads*1</f>
        <v>104.664819473916</v>
      </c>
    </row>
    <row r="3196" customFormat="false" ht="17.15" hidden="false" customHeight="false" outlineLevel="0" collapsed="false">
      <c r="A3196" s="1" t="s">
        <v>967</v>
      </c>
      <c r="B3196" s="0" t="s">
        <v>95</v>
      </c>
      <c r="C3196" s="6" t="n">
        <f aca="false">(w_ntm28*Sens!G3187+(1-w_ntm28)*Sens!H3187)*m_game*1</f>
        <v>88.7104201985522</v>
      </c>
    </row>
    <row r="3197" customFormat="false" ht="17.15" hidden="false" customHeight="false" outlineLevel="0" collapsed="false">
      <c r="A3197" s="1" t="s">
        <v>968</v>
      </c>
      <c r="B3197" s="0" t="s">
        <v>95</v>
      </c>
      <c r="C3197" s="6" t="n">
        <f aca="false">(w_ntm28*Sens!G3188+(1-w_ntm28)*Sens!H3188)*m_pc*1</f>
        <v>87.9496081595385</v>
      </c>
    </row>
    <row r="3198" customFormat="false" ht="17.15" hidden="false" customHeight="false" outlineLevel="0" collapsed="false">
      <c r="A3198" s="1" t="s">
        <v>969</v>
      </c>
      <c r="B3198" s="0" t="s">
        <v>95</v>
      </c>
      <c r="C3198" s="6" t="n">
        <f aca="false">Sens!$C$3189+Sens!$C$3190+Sens!$C$3191+Sens!$C$3192+Sens!$C$3193+Sens!$C$3194+Sens!$C$3195+Sens!$C$3196+Sens!$C$3197</f>
        <v>2927.65551552778</v>
      </c>
    </row>
    <row r="3199" customFormat="false" ht="17.15" hidden="false" customHeight="false" outlineLevel="0" collapsed="false">
      <c r="A3199" s="1" t="s">
        <v>903</v>
      </c>
      <c r="B3199" s="0" t="s">
        <v>95</v>
      </c>
      <c r="C3199" s="6" t="n">
        <f aca="false">Sens!F3156+oai_v-Sens!F3145</f>
        <v>82.4985943159419</v>
      </c>
      <c r="L3199" s="1" t="s">
        <v>970</v>
      </c>
    </row>
    <row r="3200" customFormat="false" ht="15" hidden="false" customHeight="false" outlineLevel="0" collapsed="false">
      <c r="A3200" s="1" t="s">
        <v>904</v>
      </c>
      <c r="B3200" s="0" t="s">
        <v>73</v>
      </c>
      <c r="C3200" s="5" t="n">
        <f aca="false">(Sens!$C$3198+Sens!$C$3199)/Sens!F3158</f>
        <v>402.857884079727</v>
      </c>
    </row>
    <row r="3201" customFormat="false" ht="17.15" hidden="false" customHeight="false" outlineLevel="0" collapsed="false">
      <c r="A3201" s="1" t="s">
        <v>971</v>
      </c>
      <c r="B3201" s="0" t="s">
        <v>73</v>
      </c>
      <c r="C3201" s="5" t="n">
        <f aca="false">w_dcf*Sens!$C$3176+(1-w_dcf)*Sens!$C$3200</f>
        <v>278.953772523254</v>
      </c>
    </row>
    <row r="3202" customFormat="false" ht="17.15" hidden="false" customHeight="false" outlineLevel="0" collapsed="false">
      <c r="A3202" s="3" t="s">
        <v>1204</v>
      </c>
    </row>
    <row r="3203" customFormat="false" ht="15" hidden="false" customHeight="false" outlineLevel="0" collapsed="false">
      <c r="A3203" s="4" t="s">
        <v>43</v>
      </c>
      <c r="B3203" s="4" t="s">
        <v>63</v>
      </c>
      <c r="C3203" s="19" t="s">
        <v>710</v>
      </c>
      <c r="D3203" s="19" t="s">
        <v>711</v>
      </c>
      <c r="E3203" s="19" t="s">
        <v>712</v>
      </c>
      <c r="F3203" s="19" t="s">
        <v>713</v>
      </c>
      <c r="G3203" s="19" t="s">
        <v>714</v>
      </c>
      <c r="H3203" s="19" t="s">
        <v>715</v>
      </c>
      <c r="I3203" s="19" t="s">
        <v>716</v>
      </c>
      <c r="J3203" s="19" t="s">
        <v>717</v>
      </c>
      <c r="K3203" s="19" t="s">
        <v>718</v>
      </c>
      <c r="L3203" s="4" t="s">
        <v>47</v>
      </c>
    </row>
    <row r="3204" customFormat="false" ht="17.15" hidden="false" customHeight="false" outlineLevel="0" collapsed="false">
      <c r="A3204" s="1" t="s">
        <v>719</v>
      </c>
      <c r="B3204" s="0" t="s">
        <v>340</v>
      </c>
      <c r="C3204" s="27" t="n">
        <f aca="false">mw_ext_24</f>
        <v>640</v>
      </c>
      <c r="D3204" s="27" t="n">
        <f aca="false">mw_ext_25</f>
        <v>1630</v>
      </c>
      <c r="E3204" s="27" t="n">
        <f aca="false">mw_ext_26</f>
        <v>3250</v>
      </c>
      <c r="F3204" s="27" t="n">
        <f aca="false">MIN(1000000000,Sens!E3204+pace)</f>
        <v>5777.2</v>
      </c>
      <c r="G3204" s="27" t="n">
        <f aca="false">MIN(1000000000,Sens!F3204+pace)</f>
        <v>8304.4</v>
      </c>
      <c r="H3204" s="27" t="n">
        <f aca="false">MIN(1000000000,Sens!G3204+pace)</f>
        <v>10831.6</v>
      </c>
      <c r="I3204" s="27" t="n">
        <f aca="false">MIN(1000000000,Sens!H3204+pace)</f>
        <v>13358.8</v>
      </c>
      <c r="J3204" s="27" t="n">
        <f aca="false">MIN(1000000000,Sens!I3204+pace)</f>
        <v>15886</v>
      </c>
      <c r="K3204" s="27" t="n">
        <f aca="false">MIN(1000000000,Sens!J3204+pace)</f>
        <v>18413.2</v>
      </c>
      <c r="L3204" s="11" t="s">
        <v>720</v>
      </c>
    </row>
    <row r="3205" customFormat="false" ht="17.15" hidden="false" customHeight="false" outlineLevel="0" collapsed="false">
      <c r="A3205" s="1" t="s">
        <v>721</v>
      </c>
      <c r="B3205" s="0" t="s">
        <v>340</v>
      </c>
      <c r="C3205" s="27" t="n">
        <f aca="false">rent_ext_24</f>
        <v>150</v>
      </c>
      <c r="D3205" s="27" t="n">
        <f aca="false">rent_ext_25</f>
        <v>400</v>
      </c>
      <c r="E3205" s="27" t="n">
        <f aca="false">rent_ext_26</f>
        <v>550</v>
      </c>
      <c r="F3205" s="27" t="n">
        <f aca="false">rent_ext_f</f>
        <v>756</v>
      </c>
      <c r="G3205" s="27" t="n">
        <f aca="false">rent_ext_f</f>
        <v>756</v>
      </c>
      <c r="H3205" s="27" t="n">
        <f aca="false">rent_ext_f</f>
        <v>756</v>
      </c>
      <c r="I3205" s="27" t="n">
        <f aca="false">rent_ext_f</f>
        <v>756</v>
      </c>
      <c r="J3205" s="27" t="n">
        <f aca="false">rent_ext_f</f>
        <v>756</v>
      </c>
      <c r="K3205" s="27" t="n">
        <f aca="false">rent_ext_f</f>
        <v>756</v>
      </c>
      <c r="L3205" s="1" t="s">
        <v>722</v>
      </c>
    </row>
    <row r="3206" customFormat="false" ht="17.15" hidden="false" customHeight="false" outlineLevel="0" collapsed="false">
      <c r="A3206" s="1" t="s">
        <v>723</v>
      </c>
      <c r="B3206" s="0" t="s">
        <v>340</v>
      </c>
      <c r="C3206" s="27" t="n">
        <f aca="false">Sens!C3204-Sens!C3205</f>
        <v>490</v>
      </c>
      <c r="D3206" s="27" t="n">
        <f aca="false">Sens!D3204-Sens!D3205</f>
        <v>1230</v>
      </c>
      <c r="E3206" s="27" t="n">
        <f aca="false">Sens!E3204-Sens!E3205</f>
        <v>2700</v>
      </c>
      <c r="F3206" s="27" t="n">
        <f aca="false">Sens!F3204-Sens!F3205</f>
        <v>5021.2</v>
      </c>
      <c r="G3206" s="27" t="n">
        <f aca="false">Sens!G3204-Sens!G3205</f>
        <v>7548.4</v>
      </c>
      <c r="H3206" s="27" t="n">
        <f aca="false">Sens!H3204-Sens!H3205</f>
        <v>10075.6</v>
      </c>
      <c r="I3206" s="27" t="n">
        <f aca="false">Sens!I3204-Sens!I3205</f>
        <v>12602.8</v>
      </c>
      <c r="J3206" s="27" t="n">
        <f aca="false">Sens!J3204-Sens!J3205</f>
        <v>15130</v>
      </c>
      <c r="K3206" s="27" t="n">
        <f aca="false">Sens!K3204-Sens!K3205</f>
        <v>17657.2</v>
      </c>
    </row>
    <row r="3207" customFormat="false" ht="17.15" hidden="false" customHeight="false" outlineLevel="0" collapsed="false">
      <c r="A3207" s="1" t="s">
        <v>724</v>
      </c>
      <c r="B3207" s="0" t="s">
        <v>340</v>
      </c>
      <c r="C3207" s="27" t="n">
        <f aca="false">Sens!C3206/ext_sh</f>
        <v>816.666666666667</v>
      </c>
      <c r="D3207" s="27" t="n">
        <f aca="false">Sens!D3206/ext_sh</f>
        <v>2050</v>
      </c>
      <c r="E3207" s="27" t="n">
        <f aca="false">Sens!E3206/ext_sh</f>
        <v>4500</v>
      </c>
      <c r="F3207" s="27" t="n">
        <f aca="false">Sens!F3206/ext_sh</f>
        <v>8368.66666666667</v>
      </c>
      <c r="G3207" s="27" t="n">
        <f aca="false">Sens!G3206/ext_sh</f>
        <v>12580.6666666667</v>
      </c>
      <c r="H3207" s="27" t="n">
        <f aca="false">Sens!H3206/ext_sh</f>
        <v>16792.6666666667</v>
      </c>
      <c r="I3207" s="27" t="n">
        <f aca="false">Sens!I3206/ext_sh</f>
        <v>21004.6666666667</v>
      </c>
      <c r="J3207" s="27" t="n">
        <f aca="false">Sens!J3206/ext_sh</f>
        <v>25216.6666666667</v>
      </c>
      <c r="K3207" s="27" t="n">
        <f aca="false">Sens!K3206/ext_sh</f>
        <v>29428.6666666667</v>
      </c>
      <c r="L3207" s="1" t="s">
        <v>725</v>
      </c>
    </row>
    <row r="3208" customFormat="false" ht="17.15" hidden="false" customHeight="false" outlineLevel="0" collapsed="false">
      <c r="A3208" s="1" t="s">
        <v>726</v>
      </c>
      <c r="B3208" s="0" t="s">
        <v>340</v>
      </c>
      <c r="C3208" s="27" t="n">
        <f aca="false">Sens!C3207-Sens!C3206</f>
        <v>326.666666666667</v>
      </c>
      <c r="D3208" s="27" t="n">
        <f aca="false">Sens!D3207-Sens!D3206</f>
        <v>820</v>
      </c>
      <c r="E3208" s="27" t="n">
        <f aca="false">Sens!E3207-Sens!E3206</f>
        <v>1800</v>
      </c>
      <c r="F3208" s="27" t="n">
        <f aca="false">Sens!F3207-Sens!F3206</f>
        <v>3347.46666666667</v>
      </c>
      <c r="G3208" s="27" t="n">
        <f aca="false">Sens!G3207-Sens!G3206</f>
        <v>5032.26666666667</v>
      </c>
      <c r="H3208" s="27" t="n">
        <f aca="false">Sens!H3207-Sens!H3206</f>
        <v>6717.06666666667</v>
      </c>
      <c r="I3208" s="27" t="n">
        <f aca="false">Sens!I3207-Sens!I3206</f>
        <v>8401.86666666667</v>
      </c>
      <c r="J3208" s="27" t="n">
        <f aca="false">Sens!J3207-Sens!J3206</f>
        <v>10086.6666666667</v>
      </c>
      <c r="K3208" s="27" t="n">
        <f aca="false">Sens!K3207-Sens!K3206</f>
        <v>11771.4666666667</v>
      </c>
    </row>
    <row r="3209" customFormat="false" ht="17.15" hidden="false" customHeight="false" outlineLevel="0" collapsed="false">
      <c r="A3209" s="1" t="s">
        <v>727</v>
      </c>
      <c r="B3209" s="0" t="s">
        <v>340</v>
      </c>
      <c r="C3209" s="27" t="n">
        <f aca="false">Sens!C3207</f>
        <v>816.666666666667</v>
      </c>
      <c r="D3209" s="27" t="n">
        <f aca="false">Sens!D3207-Sens!C3207</f>
        <v>1233.33333333333</v>
      </c>
      <c r="E3209" s="27" t="n">
        <f aca="false">Sens!E3207-Sens!D3207</f>
        <v>2450</v>
      </c>
      <c r="F3209" s="27" t="n">
        <f aca="false">Sens!F3207-Sens!E3207</f>
        <v>3868.66666666667</v>
      </c>
      <c r="G3209" s="27" t="n">
        <f aca="false">Sens!G3207-Sens!F3207</f>
        <v>4212</v>
      </c>
      <c r="H3209" s="27" t="n">
        <f aca="false">Sens!H3207-Sens!G3207</f>
        <v>4212</v>
      </c>
      <c r="I3209" s="27" t="n">
        <f aca="false">Sens!I3207-Sens!H3207</f>
        <v>4212</v>
      </c>
      <c r="J3209" s="27" t="n">
        <f aca="false">Sens!J3207-Sens!I3207</f>
        <v>4212</v>
      </c>
      <c r="K3209" s="27" t="n">
        <f aca="false">Sens!K3207-Sens!J3207</f>
        <v>4212</v>
      </c>
    </row>
    <row r="3210" customFormat="false" ht="17.15" hidden="false" customHeight="false" outlineLevel="0" collapsed="false">
      <c r="A3210" s="1" t="s">
        <v>728</v>
      </c>
      <c r="B3210" s="0" t="s">
        <v>340</v>
      </c>
      <c r="D3210" s="27" t="n">
        <f aca="false">Sens!D3204-Sens!C3204</f>
        <v>990</v>
      </c>
      <c r="E3210" s="27" t="n">
        <f aca="false">Sens!E3204-Sens!D3204</f>
        <v>1620</v>
      </c>
      <c r="F3210" s="27" t="n">
        <f aca="false">Sens!F3204-Sens!E3204</f>
        <v>2527.2</v>
      </c>
      <c r="G3210" s="27" t="n">
        <f aca="false">Sens!G3204-Sens!F3204</f>
        <v>2527.2</v>
      </c>
      <c r="H3210" s="27" t="n">
        <f aca="false">Sens!H3204-Sens!G3204</f>
        <v>2527.2</v>
      </c>
      <c r="I3210" s="27" t="n">
        <f aca="false">Sens!I3204-Sens!H3204</f>
        <v>2527.2</v>
      </c>
      <c r="J3210" s="27" t="n">
        <f aca="false">Sens!J3204-Sens!I3204</f>
        <v>2527.2</v>
      </c>
      <c r="K3210" s="27" t="n">
        <f aca="false">Sens!K3204-Sens!J3204</f>
        <v>2527.2</v>
      </c>
    </row>
    <row r="3211" customFormat="false" ht="17.15" hidden="false" customHeight="false" outlineLevel="0" collapsed="false">
      <c r="A3211" s="1" t="s">
        <v>729</v>
      </c>
      <c r="B3211" s="0" t="s">
        <v>340</v>
      </c>
      <c r="C3211" s="27" t="n">
        <f aca="false">mix_h*Sens!C3204</f>
        <v>128</v>
      </c>
      <c r="D3211" s="27" t="n">
        <f aca="false">mix_h*Sens!D3204</f>
        <v>326</v>
      </c>
      <c r="E3211" s="27" t="n">
        <f aca="false">mix_h*Sens!E3204</f>
        <v>650</v>
      </c>
      <c r="F3211" s="27" t="n">
        <f aca="false">Sens!E3211</f>
        <v>650</v>
      </c>
      <c r="G3211" s="27" t="n">
        <f aca="false">Sens!F3211</f>
        <v>650</v>
      </c>
      <c r="H3211" s="27" t="n">
        <f aca="false">Sens!G3211</f>
        <v>650</v>
      </c>
      <c r="I3211" s="27" t="n">
        <f aca="false">Sens!H3211</f>
        <v>650</v>
      </c>
      <c r="J3211" s="27" t="n">
        <f aca="false">Sens!I3211</f>
        <v>650</v>
      </c>
      <c r="K3211" s="27" t="n">
        <f aca="false">Sens!J3211</f>
        <v>650</v>
      </c>
    </row>
    <row r="3212" customFormat="false" ht="17.15" hidden="false" customHeight="false" outlineLevel="0" collapsed="false">
      <c r="A3212" s="1" t="s">
        <v>730</v>
      </c>
      <c r="B3212" s="0" t="s">
        <v>340</v>
      </c>
      <c r="C3212" s="27" t="n">
        <f aca="false">mix_g2*Sens!C3204</f>
        <v>288</v>
      </c>
      <c r="D3212" s="27" t="n">
        <f aca="false">mix_g2*Sens!D3204</f>
        <v>733.5</v>
      </c>
      <c r="E3212" s="27" t="n">
        <f aca="false">mix_g2*Sens!E3204</f>
        <v>1462.5</v>
      </c>
      <c r="F3212" s="27" t="n">
        <f aca="false">Sens!E3212</f>
        <v>1462.5</v>
      </c>
      <c r="G3212" s="27" t="n">
        <f aca="false">Sens!F3212</f>
        <v>1462.5</v>
      </c>
      <c r="H3212" s="27" t="n">
        <f aca="false">Sens!G3212</f>
        <v>1462.5</v>
      </c>
      <c r="I3212" s="27" t="n">
        <f aca="false">Sens!H3212</f>
        <v>1462.5</v>
      </c>
      <c r="J3212" s="27" t="n">
        <f aca="false">Sens!I3212</f>
        <v>1462.5</v>
      </c>
      <c r="K3212" s="27" t="n">
        <f aca="false">Sens!J3212</f>
        <v>1462.5</v>
      </c>
    </row>
    <row r="3213" customFormat="false" ht="17.15" hidden="false" customHeight="false" outlineLevel="0" collapsed="false">
      <c r="A3213" s="1" t="s">
        <v>731</v>
      </c>
      <c r="B3213" s="0" t="s">
        <v>340</v>
      </c>
      <c r="C3213" s="27" t="n">
        <f aca="false">mix_g3*Sens!C3204</f>
        <v>224</v>
      </c>
      <c r="D3213" s="27" t="n">
        <f aca="false">mix_g3*Sens!D3204</f>
        <v>570.5</v>
      </c>
      <c r="E3213" s="27" t="n">
        <f aca="false">mix_g3*Sens!E3204</f>
        <v>1137.5</v>
      </c>
      <c r="F3213" s="27" t="n">
        <f aca="false">Sens!E3213+Sens!F3210*a_g3_27</f>
        <v>2906.54</v>
      </c>
      <c r="G3213" s="27" t="n">
        <f aca="false">Sens!F3213+Sens!G3210*a_g3_28</f>
        <v>3664.7</v>
      </c>
      <c r="H3213" s="27" t="n">
        <f aca="false">Sens!G3213+Sens!H3210*a_g3_29</f>
        <v>3917.42</v>
      </c>
      <c r="I3213" s="27" t="n">
        <f aca="false">Sens!H3213+Sens!I3210*a_g3_29</f>
        <v>4170.14</v>
      </c>
      <c r="J3213" s="27" t="n">
        <f aca="false">Sens!I3213+Sens!J3210*a_g3_29</f>
        <v>4422.86</v>
      </c>
      <c r="K3213" s="27" t="n">
        <f aca="false">Sens!J3213+Sens!K3210*a_g3_29</f>
        <v>4675.58</v>
      </c>
    </row>
    <row r="3214" customFormat="false" ht="17.15" hidden="false" customHeight="false" outlineLevel="0" collapsed="false">
      <c r="A3214" s="1" t="s">
        <v>732</v>
      </c>
      <c r="B3214" s="0" t="s">
        <v>340</v>
      </c>
      <c r="C3214" s="27" t="n">
        <f aca="false">0</f>
        <v>0</v>
      </c>
      <c r="D3214" s="27" t="n">
        <f aca="false">0</f>
        <v>0</v>
      </c>
      <c r="E3214" s="27" t="n">
        <f aca="false">0</f>
        <v>0</v>
      </c>
      <c r="F3214" s="27" t="n">
        <f aca="false">Sens!E3214+Sens!F3210*(1-a_g3_27)</f>
        <v>758.16</v>
      </c>
      <c r="G3214" s="27" t="n">
        <f aca="false">Sens!F3214+Sens!G3210*(1-a_g3_28)</f>
        <v>2527.2</v>
      </c>
      <c r="H3214" s="27" t="n">
        <f aca="false">Sens!G3214+Sens!H3210*(1-a_g3_29)</f>
        <v>4801.68</v>
      </c>
      <c r="I3214" s="27" t="n">
        <f aca="false">Sens!H3214+Sens!I3210*(1-a_g3_29)</f>
        <v>7076.16</v>
      </c>
      <c r="J3214" s="27" t="n">
        <f aca="false">Sens!I3214+Sens!J3210*(1-a_g3_29)</f>
        <v>9350.64</v>
      </c>
      <c r="K3214" s="27" t="n">
        <f aca="false">Sens!J3214+Sens!K3210*(1-a_g3_29)</f>
        <v>11625.12</v>
      </c>
    </row>
    <row r="3215" customFormat="false" ht="17.15" hidden="false" customHeight="false" outlineLevel="0" collapsed="false">
      <c r="A3215" s="1" t="s">
        <v>733</v>
      </c>
      <c r="B3215" s="0" t="s">
        <v>291</v>
      </c>
      <c r="C3215" s="18" t="n">
        <f aca="false">(Sens!C3211*tk_hold_h100+Sens!C3212*tk_hold_gb200+Sens!C3213*tk_hold_gb300+Sens!C3214*tk_hold_vr200)/Sens!C3204</f>
        <v>9.7235358126469</v>
      </c>
      <c r="D3215" s="18" t="n">
        <f aca="false">(Sens!D3211*tk_hold_h100+Sens!D3212*tk_hold_gb200+Sens!D3213*tk_hold_gb300+Sens!D3214*tk_hold_vr200)/Sens!D3204</f>
        <v>9.7235358126469</v>
      </c>
      <c r="E3215" s="18" t="n">
        <f aca="false">(Sens!E3211*tk_hold_h100+Sens!E3212*tk_hold_gb200+Sens!E3213*tk_hold_gb300+Sens!E3214*tk_hold_vr200)/Sens!E3204</f>
        <v>9.7235358126469</v>
      </c>
      <c r="F3215" s="18" t="n">
        <f aca="false">(Sens!F3211*tk_hold_h100+Sens!F3212*tk_hold_gb200+Sens!F3213*tk_hold_gb300+Sens!F3214*tk_hold_vr200)/Sens!F3204</f>
        <v>10.4079573161931</v>
      </c>
      <c r="G3215" s="18" t="n">
        <f aca="false">(Sens!G3211*tk_hold_h100+Sens!G3212*tk_hold_gb200+Sens!G3213*tk_hold_gb300+Sens!G3214*tk_hold_vr200)/Sens!G3204</f>
        <v>10.8388131109316</v>
      </c>
      <c r="H3215" s="18" t="n">
        <f aca="false">(Sens!H3211*tk_hold_h100+Sens!H3212*tk_hold_gb200+Sens!H3213*tk_hold_gb300+Sens!H3214*tk_hold_vr200)/Sens!H3204</f>
        <v>11.1311018388216</v>
      </c>
      <c r="I3215" s="18" t="n">
        <f aca="false">(Sens!I3211*tk_hold_h100+Sens!I3212*tk_hold_gb200+Sens!I3213*tk_hold_gb300+Sens!I3214*tk_hold_vr200)/Sens!I3204</f>
        <v>11.3128009818501</v>
      </c>
      <c r="J3215" s="18" t="n">
        <f aca="false">(Sens!J3211*tk_hold_h100+Sens!J3212*tk_hold_gb200+Sens!J3213*tk_hold_gb300+Sens!J3214*tk_hold_vr200)/Sens!J3204</f>
        <v>11.4366894646418</v>
      </c>
      <c r="K3215" s="18" t="n">
        <f aca="false">(Sens!K3211*tk_hold_h100+Sens!K3212*tk_hold_gb200+Sens!K3213*tk_hold_gb300+Sens!K3214*tk_hold_vr200)/Sens!K3204</f>
        <v>11.526570716348</v>
      </c>
    </row>
    <row r="3216" customFormat="false" ht="17.15" hidden="false" customHeight="false" outlineLevel="0" collapsed="false">
      <c r="A3216" s="0" t="s">
        <v>734</v>
      </c>
      <c r="B3216" s="0" t="s">
        <v>182</v>
      </c>
      <c r="C3216" s="18" t="n">
        <f aca="false">k_B</f>
        <v>1.17213932619116</v>
      </c>
      <c r="D3216" s="18" t="n">
        <f aca="false">k_B</f>
        <v>1.17213932619116</v>
      </c>
      <c r="E3216" s="18" t="n">
        <f aca="false">k_B</f>
        <v>1.17213932619116</v>
      </c>
      <c r="F3216" s="18" t="n">
        <f aca="false">(k_B+((ls_A*k_long+(1-ls_A)*k_spot)-k_B)*MIN(1,1/3))*1</f>
        <v>1.25022828131298</v>
      </c>
      <c r="G3216" s="18" t="n">
        <f aca="false">(k_B+((ls_A*k_long+(1-ls_A)*k_spot)-k_B)*MIN(1,2/3))*1</f>
        <v>1.3283172364348</v>
      </c>
      <c r="H3216" s="18" t="n">
        <f aca="false">(k_B+((ls_A*k_long+(1-ls_A)*k_spot)-k_B)*MIN(1,3/3))*1</f>
        <v>1.40640619155662</v>
      </c>
      <c r="I3216" s="18" t="n">
        <f aca="false">(k_B+((ls_A*k_long+(1-ls_A)*k_spot)-k_B)*MIN(1,4/3))*1</f>
        <v>1.40640619155662</v>
      </c>
      <c r="J3216" s="18" t="n">
        <f aca="false">(k_B+((ls_A*k_long+(1-ls_A)*k_spot)-k_B)*MIN(1,5/3))*1</f>
        <v>1.40640619155662</v>
      </c>
      <c r="K3216" s="18" t="n">
        <f aca="false">(k_B+((ls_A*k_long+(1-ls_A)*k_spot)-k_B)*MIN(1,6/3))*1</f>
        <v>1.40640619155662</v>
      </c>
      <c r="L3216" s="1" t="s">
        <v>735</v>
      </c>
    </row>
    <row r="3217" customFormat="false" ht="17.15" hidden="false" customHeight="false" outlineLevel="0" collapsed="false">
      <c r="A3217" s="1" t="s">
        <v>736</v>
      </c>
      <c r="B3217" s="0" t="s">
        <v>291</v>
      </c>
      <c r="C3217" s="18" t="n">
        <f aca="false">Sens!C3215*Sens!C3216*chip_f</f>
        <v>11.3973387156315</v>
      </c>
      <c r="D3217" s="18" t="n">
        <f aca="false">Sens!D3215*Sens!D3216*chip_f</f>
        <v>11.3973387156315</v>
      </c>
      <c r="E3217" s="18" t="n">
        <f aca="false">Sens!E3215*Sens!E3216*chip_f</f>
        <v>11.3973387156315</v>
      </c>
      <c r="F3217" s="18" t="n">
        <f aca="false">Sens!F3215*Sens!F3216*chip_f</f>
        <v>13.0123225874029</v>
      </c>
      <c r="G3217" s="18" t="n">
        <f aca="false">Sens!G3215*Sens!G3216*chip_f</f>
        <v>14.3973822777458</v>
      </c>
      <c r="H3217" s="18" t="n">
        <f aca="false">Sens!H3215*Sens!H3216*chip_f</f>
        <v>15.6548505449659</v>
      </c>
      <c r="I3217" s="18" t="n">
        <f aca="false">Sens!I3215*Sens!I3216*chip_f</f>
        <v>15.9103933447218</v>
      </c>
      <c r="J3217" s="18" t="n">
        <f aca="false">Sens!J3215*Sens!J3216*chip_f</f>
        <v>16.0846308739825</v>
      </c>
      <c r="K3217" s="18" t="n">
        <f aca="false">Sens!K3215*Sens!K3216*chip_f</f>
        <v>16.211040422887</v>
      </c>
      <c r="L3217" s="1" t="s">
        <v>737</v>
      </c>
    </row>
    <row r="3218" customFormat="false" ht="17.15" hidden="false" customHeight="false" outlineLevel="0" collapsed="false">
      <c r="A3218" s="0" t="s">
        <v>738</v>
      </c>
      <c r="B3218" s="0" t="s">
        <v>95</v>
      </c>
      <c r="D3218" s="6" t="n">
        <f aca="false">(Sens!C3204+Sens!D3204)/2*Sens!D3217/1000</f>
        <v>12.9359794422418</v>
      </c>
      <c r="E3218" s="6" t="n">
        <f aca="false">(Sens!D3204+Sens!E3204)/2*Sens!E3217/1000</f>
        <v>27.8095064661409</v>
      </c>
      <c r="F3218" s="6" t="n">
        <f aca="false">(Sens!E3204+Sens!F3204)/2*Sens!F3217/1000</f>
        <v>58.7324192305018</v>
      </c>
      <c r="G3218" s="6" t="n">
        <f aca="false">(Sens!F3204+Sens!G3204)/2*Sens!G3217/1000</f>
        <v>101.369089141153</v>
      </c>
      <c r="H3218" s="6" t="n">
        <f aca="false">(Sens!G3204+Sens!H3204)/2*Sens!H3217/1000</f>
        <v>149.785610014234</v>
      </c>
      <c r="I3218" s="6" t="n">
        <f aca="false">(Sens!H3204+Sens!I3204)/2*Sens!I3217/1000</f>
        <v>192.439389583079</v>
      </c>
      <c r="J3218" s="6" t="n">
        <f aca="false">(Sens!I3204+Sens!J3204)/2*Sens!J3217/1000</f>
        <v>235.195906491722</v>
      </c>
      <c r="K3218" s="6" t="n">
        <f aca="false">(Sens!J3204+Sens!K3204)/2*Sens!K3217/1000</f>
        <v>278.012858836343</v>
      </c>
      <c r="L3218" s="11" t="s">
        <v>739</v>
      </c>
    </row>
    <row r="3219" customFormat="false" ht="17.15" hidden="false" customHeight="false" outlineLevel="0" collapsed="false">
      <c r="A3219" s="1" t="s">
        <v>740</v>
      </c>
      <c r="B3219" s="0" t="s">
        <v>291</v>
      </c>
      <c r="C3219" s="18" t="n">
        <f aca="false">(Sens!C3211*tk_opex_h100+Sens!C3212*tk_opex_gb200+Sens!C3213*tk_opex_gb300+Sens!C3214*tk_opex_vr200)/Sens!C3204</f>
        <v>1.88636041306092</v>
      </c>
      <c r="D3219" s="18" t="n">
        <f aca="false">(Sens!D3211*tk_opex_h100+Sens!D3212*tk_opex_gb200+Sens!D3213*tk_opex_gb300+Sens!D3214*tk_opex_vr200)/Sens!D3204</f>
        <v>1.88636041306092</v>
      </c>
      <c r="E3219" s="18" t="n">
        <f aca="false">(Sens!E3211*tk_opex_h100+Sens!E3212*tk_opex_gb200+Sens!E3213*tk_opex_gb300+Sens!E3214*tk_opex_vr200)/Sens!E3204</f>
        <v>1.88636041306092</v>
      </c>
      <c r="F3219" s="18" t="n">
        <f aca="false">(Sens!F3211*tk_opex_h100+Sens!F3212*tk_opex_gb200+Sens!F3213*tk_opex_gb300+Sens!F3214*tk_opex_vr200)/Sens!F3204</f>
        <v>1.9430236476499</v>
      </c>
      <c r="G3219" s="18" t="n">
        <f aca="false">(Sens!G3211*tk_opex_h100+Sens!G3212*tk_opex_gb200+Sens!G3213*tk_opex_gb300+Sens!G3214*tk_opex_vr200)/Sens!G3204</f>
        <v>1.9786941852423</v>
      </c>
      <c r="H3219" s="18" t="n">
        <f aca="false">(Sens!H3211*tk_opex_h100+Sens!H3212*tk_opex_gb200+Sens!H3213*tk_opex_gb300+Sens!H3214*tk_opex_vr200)/Sens!H3204</f>
        <v>2.00289275976156</v>
      </c>
      <c r="I3219" s="18" t="n">
        <f aca="false">(Sens!I3211*tk_opex_h100+Sens!I3212*tk_opex_gb200+Sens!I3213*tk_opex_gb300+Sens!I3214*tk_opex_vr200)/Sens!I3204</f>
        <v>2.01793562605478</v>
      </c>
      <c r="J3219" s="18" t="n">
        <f aca="false">(Sens!J3211*tk_opex_h100+Sens!J3212*tk_opex_gb200+Sens!J3213*tk_opex_gb300+Sens!J3214*tk_opex_vr200)/Sens!J3204</f>
        <v>2.02819234961902</v>
      </c>
      <c r="K3219" s="18" t="n">
        <f aca="false">(Sens!K3211*tk_opex_h100+Sens!K3212*tk_opex_gb200+Sens!K3213*tk_opex_gb300+Sens!K3214*tk_opex_vr200)/Sens!K3204</f>
        <v>2.0356336155994</v>
      </c>
    </row>
    <row r="3220" customFormat="false" ht="17.15" hidden="false" customHeight="false" outlineLevel="0" collapsed="false">
      <c r="A3220" s="0" t="s">
        <v>741</v>
      </c>
      <c r="B3220" s="0" t="s">
        <v>95</v>
      </c>
      <c r="D3220" s="6" t="n">
        <f aca="false">(Sens!C3207+Sens!D3207)/2*Sens!D3219/1000</f>
        <v>2.70378325872065</v>
      </c>
      <c r="E3220" s="6" t="n">
        <f aca="false">(Sens!D3207+Sens!E3207)/2*Sens!E3219/1000</f>
        <v>6.17783035277451</v>
      </c>
      <c r="F3220" s="6" t="n">
        <f aca="false">(Sens!E3207+Sens!F3207)/2*Sens!F3219/1000</f>
        <v>12.5020618235287</v>
      </c>
      <c r="G3220" s="6" t="n">
        <f aca="false">(Sens!F3207+Sens!G3207)/2*Sens!G3219/1000</f>
        <v>20.7261620256847</v>
      </c>
      <c r="H3220" s="6" t="n">
        <f aca="false">(Sens!G3207+Sens!H3207)/2*Sens!H3219/1000</f>
        <v>29.4158183316982</v>
      </c>
      <c r="I3220" s="6" t="n">
        <f aca="false">(Sens!H3207+Sens!I3207)/2*Sens!I3219/1000</f>
        <v>38.1362927516005</v>
      </c>
      <c r="J3220" s="6" t="n">
        <f aca="false">(Sens!I3207+Sens!J3207)/2*Sens!J3219/1000</f>
        <v>46.8728773279286</v>
      </c>
      <c r="K3220" s="6" t="n">
        <f aca="false">(Sens!J3207+Sens!K3207)/2*Sens!K3219/1000</f>
        <v>55.618938734484</v>
      </c>
    </row>
    <row r="3221" customFormat="false" ht="17.15" hidden="false" customHeight="false" outlineLevel="0" collapsed="false">
      <c r="A3221" s="0" t="s">
        <v>742</v>
      </c>
      <c r="B3221" s="0" t="s">
        <v>95</v>
      </c>
      <c r="D3221" s="6" t="n">
        <f aca="false">(Sens!C3205+Sens!D3205)/2*rent_mw/1000</f>
        <v>2.44475</v>
      </c>
      <c r="E3221" s="6" t="n">
        <f aca="false">(Sens!D3205+Sens!E3205)/2*rent_mw/1000</f>
        <v>4.22275</v>
      </c>
      <c r="F3221" s="6" t="n">
        <f aca="false">(Sens!E3205+Sens!F3205)/2*rent_mw/1000</f>
        <v>5.80517</v>
      </c>
      <c r="G3221" s="6" t="n">
        <f aca="false">(Sens!F3205+Sens!G3205)/2*rent_mw/1000</f>
        <v>6.72084</v>
      </c>
      <c r="H3221" s="6" t="n">
        <f aca="false">(Sens!G3205+Sens!H3205)/2*rent_mw/1000</f>
        <v>6.72084</v>
      </c>
      <c r="I3221" s="6" t="n">
        <f aca="false">(Sens!H3205+Sens!I3205)/2*rent_mw/1000</f>
        <v>6.72084</v>
      </c>
      <c r="J3221" s="6" t="n">
        <f aca="false">(Sens!I3205+Sens!J3205)/2*rent_mw/1000</f>
        <v>6.72084</v>
      </c>
      <c r="K3221" s="6" t="n">
        <f aca="false">(Sens!J3205+Sens!K3205)/2*rent_mw/1000</f>
        <v>6.72084</v>
      </c>
    </row>
    <row r="3222" customFormat="false" ht="17.15" hidden="false" customHeight="false" outlineLevel="0" collapsed="false">
      <c r="A3222" s="0" t="s">
        <v>743</v>
      </c>
      <c r="B3222" s="0" t="s">
        <v>95</v>
      </c>
      <c r="D3222" s="6" t="n">
        <f aca="false">(Sens!C3207+Sens!D3207)/2*(1-self_build)*fac_rent/1000</f>
        <v>0.853242375631075</v>
      </c>
      <c r="E3222" s="6" t="n">
        <f aca="false">(Sens!D3207+Sens!E3207)/2*(1-self_build)*fac_rent/1000</f>
        <v>1.94955961408728</v>
      </c>
      <c r="F3222" s="6" t="n">
        <f aca="false">(Sens!E3207+Sens!F3207)/2*(1-self_build)*fac_rent/1000</f>
        <v>3.83026455274573</v>
      </c>
      <c r="G3222" s="6" t="n">
        <f aca="false">(Sens!F3207+Sens!G3207)/2*(1-self_build)*fac_rent/1000</f>
        <v>6.23541590972812</v>
      </c>
      <c r="H3222" s="6" t="n">
        <f aca="false">(Sens!G3207+Sens!H3207)/2*(1-self_build)*fac_rent/1000</f>
        <v>8.74275792332679</v>
      </c>
      <c r="I3222" s="6" t="n">
        <f aca="false">(Sens!H3207+Sens!I3207)/2*(1-self_build)*fac_rent/1000</f>
        <v>11.2500999369255</v>
      </c>
      <c r="J3222" s="6" t="n">
        <f aca="false">(Sens!I3207+Sens!J3207)/2*(1-self_build)*fac_rent/1000</f>
        <v>13.7574419505241</v>
      </c>
      <c r="K3222" s="6" t="n">
        <f aca="false">(Sens!J3207+Sens!K3207)/2*(1-self_build)*fac_rent/1000</f>
        <v>16.2647839641228</v>
      </c>
      <c r="L3222" s="11" t="s">
        <v>744</v>
      </c>
    </row>
    <row r="3223" customFormat="false" ht="17.15" hidden="false" customHeight="false" outlineLevel="0" collapsed="false">
      <c r="A3223" s="1" t="s">
        <v>745</v>
      </c>
      <c r="B3223" s="0" t="s">
        <v>126</v>
      </c>
      <c r="D3223" s="7" t="n">
        <f aca="false">(Sens!C3206+Sens!D3206)/(Sens!C3207+Sens!D3207)</f>
        <v>0.6</v>
      </c>
      <c r="E3223" s="7" t="n">
        <f aca="false">(Sens!D3206+Sens!E3206)/(Sens!D3207+Sens!E3207)</f>
        <v>0.6</v>
      </c>
      <c r="F3223" s="7" t="n">
        <f aca="false">(Sens!E3206+Sens!F3206)/(Sens!E3207+Sens!F3207)</f>
        <v>0.6</v>
      </c>
      <c r="G3223" s="7" t="n">
        <f aca="false">(Sens!F3206+Sens!G3206)/(Sens!F3207+Sens!G3207)</f>
        <v>0.6</v>
      </c>
      <c r="H3223" s="7" t="n">
        <f aca="false">(Sens!G3206+Sens!H3206)/(Sens!G3207+Sens!H3207)</f>
        <v>0.6</v>
      </c>
      <c r="I3223" s="7" t="n">
        <f aca="false">(Sens!H3206+Sens!I3206)/(Sens!H3207+Sens!I3207)</f>
        <v>0.6</v>
      </c>
      <c r="J3223" s="7" t="n">
        <f aca="false">(Sens!I3206+Sens!J3206)/(Sens!I3207+Sens!J3207)</f>
        <v>0.6</v>
      </c>
      <c r="K3223" s="7" t="n">
        <f aca="false">(Sens!J3206+Sens!K3206)/(Sens!J3207+Sens!K3207)</f>
        <v>0.6</v>
      </c>
    </row>
    <row r="3224" customFormat="false" ht="17.15" hidden="false" customHeight="false" outlineLevel="0" collapsed="false">
      <c r="A3224" s="0" t="s">
        <v>746</v>
      </c>
      <c r="B3224" s="0" t="s">
        <v>95</v>
      </c>
      <c r="D3224" s="6" t="n">
        <f aca="false">Sens!D3218-Sens!D3223*(Sens!D3220+Sens!D3222)-Sens!D3221</f>
        <v>8.35701406163072</v>
      </c>
      <c r="E3224" s="6" t="n">
        <f aca="false">Sens!E3218-Sens!E3223*(Sens!E3220+Sens!E3222)-Sens!E3221</f>
        <v>18.7103224860238</v>
      </c>
      <c r="F3224" s="6" t="n">
        <f aca="false">Sens!F3218-Sens!F3223*(Sens!F3220+Sens!F3222)-Sens!F3221</f>
        <v>43.1278534047371</v>
      </c>
      <c r="G3224" s="6" t="n">
        <f aca="false">Sens!G3218-Sens!G3223*(Sens!G3220+Sens!G3222)-Sens!G3221</f>
        <v>78.4713023799053</v>
      </c>
      <c r="H3224" s="6" t="n">
        <f aca="false">Sens!H3218-Sens!H3223*(Sens!H3220+Sens!H3222)-Sens!H3221</f>
        <v>120.169624261219</v>
      </c>
      <c r="I3224" s="6" t="n">
        <f aca="false">Sens!I3218-Sens!I3223*(Sens!I3220+Sens!I3222)-Sens!I3221</f>
        <v>156.086713969963</v>
      </c>
      <c r="J3224" s="6" t="n">
        <f aca="false">Sens!J3218-Sens!J3223*(Sens!J3220+Sens!J3222)-Sens!J3221</f>
        <v>192.09687492465</v>
      </c>
      <c r="K3224" s="6" t="n">
        <f aca="false">Sens!K3218-Sens!K3223*(Sens!K3220+Sens!K3222)-Sens!K3221</f>
        <v>228.161785217179</v>
      </c>
    </row>
    <row r="3225" customFormat="false" ht="17.15" hidden="false" customHeight="false" outlineLevel="0" collapsed="false">
      <c r="A3225" s="1" t="s">
        <v>747</v>
      </c>
      <c r="B3225" s="0" t="s">
        <v>95</v>
      </c>
      <c r="D3225" s="6" t="n">
        <f aca="false">(1-Sens!D3223)*(Sens!D3220+Sens!D3222)</f>
        <v>1.42281025374069</v>
      </c>
      <c r="E3225" s="6" t="n">
        <f aca="false">(1-Sens!E3223)*(Sens!E3220+Sens!E3222)</f>
        <v>3.25095598674472</v>
      </c>
      <c r="F3225" s="6" t="n">
        <f aca="false">(1-Sens!F3223)*(Sens!F3220+Sens!F3222)</f>
        <v>6.53293055050977</v>
      </c>
      <c r="G3225" s="6" t="n">
        <f aca="false">(1-Sens!G3223)*(Sens!G3220+Sens!G3222)</f>
        <v>10.7846311741651</v>
      </c>
      <c r="H3225" s="6" t="n">
        <f aca="false">(1-Sens!H3223)*(Sens!H3220+Sens!H3222)</f>
        <v>15.26343050201</v>
      </c>
      <c r="I3225" s="6" t="n">
        <f aca="false">(1-Sens!I3223)*(Sens!I3220+Sens!I3222)</f>
        <v>19.7545570754104</v>
      </c>
      <c r="J3225" s="6" t="n">
        <f aca="false">(1-Sens!J3223)*(Sens!J3220+Sens!J3222)</f>
        <v>24.2521277113811</v>
      </c>
      <c r="K3225" s="6" t="n">
        <f aca="false">(1-Sens!K3223)*(Sens!K3220+Sens!K3222)</f>
        <v>28.7534890794427</v>
      </c>
    </row>
    <row r="3226" customFormat="false" ht="17.15" hidden="false" customHeight="false" outlineLevel="0" collapsed="false">
      <c r="A3226" s="1" t="s">
        <v>748</v>
      </c>
      <c r="B3226" s="0" t="s">
        <v>302</v>
      </c>
      <c r="C3226" s="8" t="n">
        <f aca="false">cxit_open</f>
        <v>27.5918995</v>
      </c>
      <c r="D3226" s="8" t="n">
        <f aca="false">cxit_open</f>
        <v>27.5918995</v>
      </c>
      <c r="E3226" s="8" t="n">
        <f aca="false">cxit_open</f>
        <v>27.5918995</v>
      </c>
      <c r="F3226" s="8" t="n">
        <f aca="false">(a_g3_27*tk_cxit_gb300+(1-a_g3_27)*tk_cxit_vr200)</f>
        <v>33.8419624</v>
      </c>
      <c r="G3226" s="8" t="n">
        <f aca="false">(a_g3_28*tk_cxit_gb300+(1-a_g3_28)*tk_cxit_vr200)</f>
        <v>35.9816136</v>
      </c>
      <c r="H3226" s="8" t="n">
        <f aca="false">(a_g3_29*tk_cxit_gb300+(1-a_g3_29)*tk_cxit_vr200)</f>
        <v>37.0514392</v>
      </c>
      <c r="I3226" s="8" t="n">
        <f aca="false">(a_g3_29*tk_cxit_gb300+(1-a_g3_29)*tk_cxit_vr200)</f>
        <v>37.0514392</v>
      </c>
      <c r="J3226" s="8" t="n">
        <f aca="false">(a_g3_29*tk_cxit_gb300+(1-a_g3_29)*tk_cxit_vr200)</f>
        <v>37.0514392</v>
      </c>
      <c r="K3226" s="8" t="n">
        <f aca="false">(a_g3_29*tk_cxit_gb300+(1-a_g3_29)*tk_cxit_vr200)</f>
        <v>37.0514392</v>
      </c>
      <c r="L3226" s="11" t="s">
        <v>749</v>
      </c>
    </row>
    <row r="3227" customFormat="false" ht="17.15" hidden="false" customHeight="false" outlineLevel="0" collapsed="false">
      <c r="A3227" s="0" t="s">
        <v>750</v>
      </c>
      <c r="B3227" s="0" t="s">
        <v>340</v>
      </c>
      <c r="F3227" s="27" t="n">
        <f aca="false">Sens!C3209*IF(3=life_it_lo,1,0)+Sens!D3209*IF(2=life_it_lo,1,0)+Sens!E3209*IF(1=life_it_lo,1,0)</f>
        <v>0</v>
      </c>
      <c r="G3227" s="27" t="n">
        <f aca="false">Sens!C3209*IF(4=life_it_lo,1,0)+Sens!D3209*IF(3=life_it_lo,1,0)+Sens!E3209*IF(2=life_it_lo,1,0)+Sens!F3209*IF(1=life_it_lo,1,0)</f>
        <v>0</v>
      </c>
      <c r="H3227" s="27" t="n">
        <f aca="false">Sens!C3209*IF(5=life_it_lo,1,0)+Sens!D3209*IF(4=life_it_lo,1,0)+Sens!E3209*IF(3=life_it_lo,1,0)+Sens!F3209*IF(2=life_it_lo,1,0)+Sens!G3209*IF(1=life_it_lo,1,0)</f>
        <v>816.666666666667</v>
      </c>
      <c r="I3227" s="27" t="n">
        <f aca="false">Sens!C3209*IF(6=life_it_lo,1,0)+Sens!D3209*IF(5=life_it_lo,1,0)+Sens!E3209*IF(4=life_it_lo,1,0)+Sens!F3209*IF(3=life_it_lo,1,0)+Sens!G3209*IF(2=life_it_lo,1,0)+Sens!H3209*IF(1=life_it_lo,1,0)</f>
        <v>1233.33333333333</v>
      </c>
      <c r="J3227" s="27" t="n">
        <f aca="false">Sens!C3209*IF(7=life_it_lo,1,0)+Sens!D3209*IF(6=life_it_lo,1,0)+Sens!E3209*IF(5=life_it_lo,1,0)+Sens!F3209*IF(4=life_it_lo,1,0)+Sens!G3209*IF(3=life_it_lo,1,0)+Sens!H3209*IF(2=life_it_lo,1,0)+Sens!I3209*IF(1=life_it_lo,1,0)</f>
        <v>2450</v>
      </c>
      <c r="K3227" s="27" t="n">
        <f aca="false">Sens!C3209*IF(8=life_it_lo,1,0)+Sens!D3209*IF(7=life_it_lo,1,0)+Sens!E3209*IF(6=life_it_lo,1,0)+Sens!F3209*IF(5=life_it_lo,1,0)+Sens!G3209*IF(4=life_it_lo,1,0)+Sens!H3209*IF(3=life_it_lo,1,0)+Sens!I3209*IF(2=life_it_lo,1,0)+Sens!J3209*IF(1=life_it_lo,1,0)</f>
        <v>3868.66666666667</v>
      </c>
      <c r="L3227" s="1" t="s">
        <v>751</v>
      </c>
    </row>
    <row r="3228" customFormat="false" ht="17.15" hidden="false" customHeight="false" outlineLevel="0" collapsed="false">
      <c r="A3228" s="0" t="s">
        <v>752</v>
      </c>
      <c r="B3228" s="0" t="s">
        <v>95</v>
      </c>
      <c r="C3228" s="6" t="n">
        <f aca="false">Sens!C3209*Sens!C3226/1000</f>
        <v>22.5333845916667</v>
      </c>
      <c r="D3228" s="6" t="n">
        <f aca="false">Sens!D3209*Sens!D3226/1000</f>
        <v>34.0300093833333</v>
      </c>
      <c r="E3228" s="6" t="n">
        <f aca="false">Sens!E3209*Sens!E3226/1000</f>
        <v>67.600153775</v>
      </c>
      <c r="F3228" s="6" t="n">
        <f aca="false">(Sens!F3209+Sens!F3227)*Sens!F3226/1000</f>
        <v>130.923271871467</v>
      </c>
      <c r="G3228" s="6" t="n">
        <f aca="false">(Sens!G3209+Sens!G3227)*Sens!G3226/1000</f>
        <v>151.5545564832</v>
      </c>
      <c r="H3228" s="6" t="n">
        <f aca="false">(Sens!H3209+Sens!H3227)*Sens!H3226/1000</f>
        <v>186.319337257067</v>
      </c>
      <c r="I3228" s="6" t="n">
        <f aca="false">(Sens!I3209+Sens!I3227)*Sens!I3226/1000</f>
        <v>201.757436923733</v>
      </c>
      <c r="J3228" s="6" t="n">
        <f aca="false">(Sens!J3209+Sens!J3227)*Sens!J3226/1000</f>
        <v>246.8366879504</v>
      </c>
      <c r="K3228" s="6" t="n">
        <f aca="false">(Sens!K3209+Sens!K3227)*Sens!K3226/1000</f>
        <v>299.400329695467</v>
      </c>
    </row>
    <row r="3229" customFormat="false" ht="17.15" hidden="false" customHeight="false" outlineLevel="0" collapsed="false">
      <c r="A3229" s="0" t="s">
        <v>753</v>
      </c>
      <c r="B3229" s="0" t="s">
        <v>95</v>
      </c>
      <c r="C3229" s="6" t="n">
        <f aca="false">Sens!C3209*self_build*tk_cxfac/1000</f>
        <v>6.2083</v>
      </c>
      <c r="D3229" s="6" t="n">
        <f aca="false">Sens!D3209*self_build*tk_cxfac/1000</f>
        <v>9.3758</v>
      </c>
      <c r="E3229" s="6" t="n">
        <f aca="false">Sens!E3209*self_build*tk_cxfac/1000</f>
        <v>18.6249</v>
      </c>
      <c r="F3229" s="6" t="n">
        <f aca="false">Sens!F3209*self_build*tk_cxfac/1000</f>
        <v>29.409604</v>
      </c>
      <c r="G3229" s="6" t="n">
        <f aca="false">Sens!G3209*self_build*tk_cxfac/1000</f>
        <v>32.019624</v>
      </c>
      <c r="H3229" s="6" t="n">
        <f aca="false">Sens!H3209*self_build*tk_cxfac/1000</f>
        <v>32.019624</v>
      </c>
      <c r="I3229" s="6" t="n">
        <f aca="false">Sens!I3209*self_build*tk_cxfac/1000</f>
        <v>32.019624</v>
      </c>
      <c r="J3229" s="6" t="n">
        <f aca="false">Sens!J3209*self_build*tk_cxfac/1000</f>
        <v>32.019624</v>
      </c>
      <c r="K3229" s="6" t="n">
        <f aca="false">Sens!K3209*self_build*tk_cxfac/1000</f>
        <v>32.019624</v>
      </c>
    </row>
    <row r="3230" customFormat="false" ht="17.15" hidden="false" customHeight="false" outlineLevel="0" collapsed="false">
      <c r="A3230" s="0" t="s">
        <v>754</v>
      </c>
      <c r="B3230" s="0" t="s">
        <v>95</v>
      </c>
      <c r="F3230" s="6" t="n">
        <f aca="false">MAX(0,capex_floor27-Sens!F3228-Sens!F3229-Sens!F3317)</f>
        <v>8.13777689897088</v>
      </c>
      <c r="G3230" s="6" t="n">
        <f aca="false">0</f>
        <v>0</v>
      </c>
      <c r="H3230" s="6" t="n">
        <f aca="false">0</f>
        <v>0</v>
      </c>
      <c r="I3230" s="6" t="n">
        <f aca="false">0</f>
        <v>0</v>
      </c>
      <c r="J3230" s="6" t="n">
        <f aca="false">0</f>
        <v>0</v>
      </c>
      <c r="K3230" s="6" t="n">
        <f aca="false">0</f>
        <v>0</v>
      </c>
      <c r="L3230" s="1" t="s">
        <v>755</v>
      </c>
    </row>
    <row r="3231" customFormat="false" ht="17.15" hidden="false" customHeight="false" outlineLevel="0" collapsed="false">
      <c r="A3231" s="0" t="s">
        <v>756</v>
      </c>
      <c r="B3231" s="0" t="s">
        <v>95</v>
      </c>
      <c r="C3231" s="6" t="n">
        <f aca="false">Sens!C3228</f>
        <v>22.5333845916667</v>
      </c>
      <c r="D3231" s="6" t="n">
        <f aca="false">Sens!D3228</f>
        <v>34.0300093833333</v>
      </c>
      <c r="E3231" s="6" t="n">
        <f aca="false">Sens!E3228</f>
        <v>67.600153775</v>
      </c>
      <c r="F3231" s="6" t="n">
        <f aca="false">Sens!F3228+Sens!F3230</f>
        <v>139.061048770438</v>
      </c>
      <c r="G3231" s="6" t="n">
        <f aca="false">Sens!G3228+Sens!G3230</f>
        <v>151.5545564832</v>
      </c>
      <c r="H3231" s="6" t="n">
        <f aca="false">Sens!H3228+Sens!H3230</f>
        <v>186.319337257067</v>
      </c>
      <c r="I3231" s="6" t="n">
        <f aca="false">Sens!I3228+Sens!I3230</f>
        <v>201.757436923733</v>
      </c>
      <c r="J3231" s="6" t="n">
        <f aca="false">Sens!J3228+Sens!J3230</f>
        <v>246.8366879504</v>
      </c>
      <c r="K3231" s="6" t="n">
        <f aca="false">Sens!K3228+Sens!K3230</f>
        <v>299.400329695467</v>
      </c>
    </row>
    <row r="3232" customFormat="false" ht="17.15" hidden="false" customHeight="false" outlineLevel="0" collapsed="false">
      <c r="A3232" s="0" t="s">
        <v>757</v>
      </c>
      <c r="B3232" s="0" t="s">
        <v>95</v>
      </c>
      <c r="C3232" s="6" t="n">
        <f aca="false">Sens!C3231+Sens!C3229</f>
        <v>28.7416845916667</v>
      </c>
      <c r="D3232" s="6" t="n">
        <f aca="false">Sens!D3231+Sens!D3229</f>
        <v>43.4058093833333</v>
      </c>
      <c r="E3232" s="6" t="n">
        <f aca="false">Sens!E3231+Sens!E3229</f>
        <v>86.225053775</v>
      </c>
      <c r="F3232" s="6" t="n">
        <f aca="false">Sens!F3231+Sens!F3229</f>
        <v>168.470652770438</v>
      </c>
      <c r="G3232" s="6" t="n">
        <f aca="false">Sens!G3231+Sens!G3229</f>
        <v>183.5741804832</v>
      </c>
      <c r="H3232" s="6" t="n">
        <f aca="false">Sens!H3231+Sens!H3229</f>
        <v>218.338961257067</v>
      </c>
      <c r="I3232" s="6" t="n">
        <f aca="false">Sens!I3231+Sens!I3229</f>
        <v>233.777060923733</v>
      </c>
      <c r="J3232" s="6" t="n">
        <f aca="false">Sens!J3231+Sens!J3229</f>
        <v>278.8563119504</v>
      </c>
      <c r="K3232" s="6" t="n">
        <f aca="false">Sens!K3231+Sens!K3229</f>
        <v>331.419953695467</v>
      </c>
      <c r="L3232" s="11" t="s">
        <v>758</v>
      </c>
    </row>
    <row r="3233" customFormat="false" ht="17.15" hidden="false" customHeight="false" outlineLevel="0" collapsed="false">
      <c r="A3233" s="0" t="s">
        <v>759</v>
      </c>
      <c r="B3233" s="0" t="s">
        <v>95</v>
      </c>
      <c r="E3233" s="6" t="n">
        <f aca="false">(Sens!C3231*IF(2&lt;life_it_lo,1,IF(2=life_it_lo,0.5,0))+Sens!D3231*IF(1&lt;life_it_lo,1,IF(1=life_it_lo,0.5,0))+Sens!E3231*0.5)/life_it_lo</f>
        <v>18.0726941725</v>
      </c>
      <c r="F3233" s="6" t="n">
        <f aca="false">(Sens!C3231*IF(3&lt;life_it_lo,1,IF(3=life_it_lo,0.5,0))+Sens!D3231*IF(2&lt;life_it_lo,1,IF(2=life_it_lo,0.5,0))+Sens!E3231*IF(1&lt;life_it_lo,1,IF(1=life_it_lo,0.5,0))+Sens!F3231*0.5)/life_it_lo</f>
        <v>38.7388144270438</v>
      </c>
      <c r="G3233" s="6" t="n">
        <f aca="false">(Sens!C3231*IF(4&lt;life_it_lo,1,IF(4=life_it_lo,0.5,0))+Sens!D3231*IF(3&lt;life_it_lo,1,IF(3=life_it_lo,0.5,0))+Sens!E3231*IF(2&lt;life_it_lo,1,IF(2=life_it_lo,0.5,0))+Sens!F3231*IF(1&lt;life_it_lo,1,IF(1=life_it_lo,0.5,0))+Sens!G3231*0.5)/life_it_lo</f>
        <v>67.8003749524075</v>
      </c>
      <c r="H3233" s="6" t="n">
        <f aca="false">(Sens!C3231*IF(5&lt;life_it_lo,1,IF(5=life_it_lo,0.5,0))+Sens!D3231*IF(4&lt;life_it_lo,1,IF(4=life_it_lo,0.5,0))+Sens!E3231*IF(3&lt;life_it_lo,1,IF(3=life_it_lo,0.5,0))+Sens!F3231*IF(2&lt;life_it_lo,1,IF(2=life_it_lo,0.5,0))+Sens!G3231*IF(1&lt;life_it_lo,1,IF(1=life_it_lo,0.5,0))+Sens!H3231*0.5)/life_it_lo</f>
        <v>99.3344258672675</v>
      </c>
      <c r="I3233" s="6" t="n">
        <f aca="false">(Sens!C3231*IF(6&lt;life_it_lo,1,IF(6=life_it_lo,0.5,0))+Sens!D3231*IF(5&lt;life_it_lo,1,IF(5=life_it_lo,0.5,0))+Sens!E3231*IF(4&lt;life_it_lo,1,IF(4=life_it_lo,0.5,0))+Sens!F3231*IF(3&lt;life_it_lo,1,IF(3=life_it_lo,0.5,0))+Sens!G3231*IF(2&lt;life_it_lo,1,IF(2=life_it_lo,0.5,0))+Sens!H3231*IF(1&lt;life_it_lo,1,IF(1=life_it_lo,0.5,0))+Sens!I3231*0.5)/life_it_lo</f>
        <v>132.485763887848</v>
      </c>
      <c r="J3233" s="6" t="n">
        <f aca="false">(Sens!C3231*IF(7&lt;life_it_lo,1,IF(7=life_it_lo,0.5,0))+Sens!D3231*IF(6&lt;life_it_lo,1,IF(6=life_it_lo,0.5,0))+Sens!E3231*IF(5&lt;life_it_lo,1,IF(5=life_it_lo,0.5,0))+Sens!F3231*IF(4&lt;life_it_lo,1,IF(4=life_it_lo,0.5,0))+Sens!G3231*IF(3&lt;life_it_lo,1,IF(3=life_it_lo,0.5,0))+Sens!H3231*IF(2&lt;life_it_lo,1,IF(2=life_it_lo,0.5,0))+Sens!I3231*IF(1&lt;life_it_lo,1,IF(1=life_it_lo,0.5,0))+Sens!J3231*0.5)/life_it_lo</f>
        <v>167.182160059428</v>
      </c>
      <c r="K3233" s="6" t="n">
        <f aca="false">(Sens!C3231*IF(8&lt;life_it_lo,1,IF(8=life_it_lo,0.5,0))+Sens!D3231*IF(7&lt;life_it_lo,1,IF(7=life_it_lo,0.5,0))+Sens!E3231*IF(6&lt;life_it_lo,1,IF(6=life_it_lo,0.5,0))+Sens!F3231*IF(5&lt;life_it_lo,1,IF(5=life_it_lo,0.5,0))+Sens!G3231*IF(4&lt;life_it_lo,1,IF(4=life_it_lo,0.5,0))+Sens!H3231*IF(3&lt;life_it_lo,1,IF(3=life_it_lo,0.5,0))+Sens!I3231*IF(2&lt;life_it_lo,1,IF(2=life_it_lo,0.5,0))+Sens!J3231*IF(1&lt;life_it_lo,1,IF(1=life_it_lo,0.5,0))+Sens!K3231*0.5)/life_it_lo</f>
        <v>201.13974156947</v>
      </c>
    </row>
    <row r="3234" customFormat="false" ht="17.15" hidden="false" customHeight="false" outlineLevel="0" collapsed="false">
      <c r="A3234" s="0" t="s">
        <v>760</v>
      </c>
      <c r="B3234" s="0" t="s">
        <v>95</v>
      </c>
      <c r="E3234" s="6" t="n">
        <f aca="false">(Sens!C3229*IF(2&lt;life_fac,1,IF(2=life_fac,0.5,0))+Sens!D3229*IF(1&lt;life_fac,1,IF(1=life_fac,0.5,0))+Sens!E3229*0.5)/life_fac</f>
        <v>1.2448275</v>
      </c>
      <c r="F3234" s="6" t="n">
        <f aca="false">(Sens!C3229*IF(3&lt;life_fac,1,IF(3=life_fac,0.5,0))+Sens!D3229*IF(2&lt;life_fac,1,IF(2=life_fac,0.5,0))+Sens!E3229*IF(1&lt;life_fac,1,IF(1=life_fac,0.5,0))+Sens!F3229*0.5)/life_fac</f>
        <v>2.4456901</v>
      </c>
      <c r="G3234" s="6" t="n">
        <f aca="false">(Sens!C3229*IF(4&lt;life_fac,1,IF(4=life_fac,0.5,0))+Sens!D3229*IF(3&lt;life_fac,1,IF(3=life_fac,0.5,0))+Sens!E3229*IF(2&lt;life_fac,1,IF(2=life_fac,0.5,0))+Sens!F3229*IF(1&lt;life_fac,1,IF(1=life_fac,0.5,0))+Sens!G3229*0.5)/life_fac</f>
        <v>3.9814208</v>
      </c>
      <c r="H3234" s="6" t="n">
        <f aca="false">(Sens!C3229*IF(5&lt;life_fac,1,IF(5=life_fac,0.5,0))+Sens!D3229*IF(4&lt;life_fac,1,IF(4=life_fac,0.5,0))+Sens!E3229*IF(3&lt;life_fac,1,IF(3=life_fac,0.5,0))+Sens!F3229*IF(2&lt;life_fac,1,IF(2=life_fac,0.5,0))+Sens!G3229*IF(1&lt;life_fac,1,IF(1=life_fac,0.5,0))+Sens!H3229*0.5)/life_fac</f>
        <v>5.582402</v>
      </c>
      <c r="I3234" s="6" t="n">
        <f aca="false">(Sens!C3229*IF(6&lt;life_fac,1,IF(6=life_fac,0.5,0))+Sens!D3229*IF(5&lt;life_fac,1,IF(5=life_fac,0.5,0))+Sens!E3229*IF(4&lt;life_fac,1,IF(4=life_fac,0.5,0))+Sens!F3229*IF(3&lt;life_fac,1,IF(3=life_fac,0.5,0))+Sens!G3229*IF(2&lt;life_fac,1,IF(2=life_fac,0.5,0))+Sens!H3229*IF(1&lt;life_fac,1,IF(1=life_fac,0.5,0))+Sens!I3229*0.5)/life_fac</f>
        <v>7.1833832</v>
      </c>
      <c r="J3234" s="6" t="n">
        <f aca="false">(Sens!C3229*IF(7&lt;life_fac,1,IF(7=life_fac,0.5,0))+Sens!D3229*IF(6&lt;life_fac,1,IF(6=life_fac,0.5,0))+Sens!E3229*IF(5&lt;life_fac,1,IF(5=life_fac,0.5,0))+Sens!F3229*IF(4&lt;life_fac,1,IF(4=life_fac,0.5,0))+Sens!G3229*IF(3&lt;life_fac,1,IF(3=life_fac,0.5,0))+Sens!H3229*IF(2&lt;life_fac,1,IF(2=life_fac,0.5,0))+Sens!I3229*IF(1&lt;life_fac,1,IF(1=life_fac,0.5,0))+Sens!J3229*0.5)/life_fac</f>
        <v>8.7843644</v>
      </c>
      <c r="K3234" s="6" t="n">
        <f aca="false">(Sens!C3229*IF(8&lt;life_fac,1,IF(8=life_fac,0.5,0))+Sens!D3229*IF(7&lt;life_fac,1,IF(7=life_fac,0.5,0))+Sens!E3229*IF(6&lt;life_fac,1,IF(6=life_fac,0.5,0))+Sens!F3229*IF(5&lt;life_fac,1,IF(5=life_fac,0.5,0))+Sens!G3229*IF(4&lt;life_fac,1,IF(4=life_fac,0.5,0))+Sens!H3229*IF(3&lt;life_fac,1,IF(3=life_fac,0.5,0))+Sens!I3229*IF(2&lt;life_fac,1,IF(2=life_fac,0.5,0))+Sens!J3229*IF(1&lt;life_fac,1,IF(1=life_fac,0.5,0))+Sens!K3229*0.5)/life_fac</f>
        <v>10.3853456</v>
      </c>
    </row>
    <row r="3235" customFormat="false" ht="17.15" hidden="false" customHeight="false" outlineLevel="0" collapsed="false">
      <c r="A3235" s="0" t="s">
        <v>761</v>
      </c>
      <c r="B3235" s="0" t="s">
        <v>95</v>
      </c>
      <c r="E3235" s="6" t="n">
        <f aca="false">Sens!E3233+Sens!E3234</f>
        <v>19.3175216725</v>
      </c>
      <c r="F3235" s="6" t="n">
        <f aca="false">Sens!F3233+Sens!F3234</f>
        <v>41.1845045270438</v>
      </c>
      <c r="G3235" s="6" t="n">
        <f aca="false">Sens!G3233+Sens!G3234</f>
        <v>71.7817957524075</v>
      </c>
      <c r="H3235" s="6" t="n">
        <f aca="false">Sens!H3233+Sens!H3234</f>
        <v>104.916827867267</v>
      </c>
      <c r="I3235" s="6" t="n">
        <f aca="false">Sens!I3233+Sens!I3234</f>
        <v>139.669147087848</v>
      </c>
      <c r="J3235" s="6" t="n">
        <f aca="false">Sens!J3233+Sens!J3234</f>
        <v>175.966524459428</v>
      </c>
      <c r="K3235" s="6" t="n">
        <f aca="false">Sens!K3233+Sens!K3234</f>
        <v>211.52508716947</v>
      </c>
    </row>
    <row r="3236" customFormat="false" ht="17.15" hidden="false" customHeight="false" outlineLevel="0" collapsed="false">
      <c r="A3236" s="0" t="s">
        <v>762</v>
      </c>
      <c r="B3236" s="0" t="s">
        <v>95</v>
      </c>
      <c r="E3236" s="6" t="n">
        <f aca="false">Sens!E3224-Sens!E3223*Sens!E3235</f>
        <v>7.11980948252379</v>
      </c>
      <c r="F3236" s="6" t="n">
        <f aca="false">Sens!F3224-Sens!F3223*Sens!F3235</f>
        <v>18.4171506885109</v>
      </c>
      <c r="G3236" s="6" t="n">
        <f aca="false">Sens!G3224-Sens!G3223*Sens!G3235</f>
        <v>35.4022249284608</v>
      </c>
      <c r="H3236" s="6" t="n">
        <f aca="false">Sens!H3224-Sens!H3223*Sens!H3235</f>
        <v>57.2195275408584</v>
      </c>
      <c r="I3236" s="6" t="n">
        <f aca="false">Sens!I3224-Sens!I3223*Sens!I3235</f>
        <v>72.285225717255</v>
      </c>
      <c r="J3236" s="6" t="n">
        <f aca="false">Sens!J3224-Sens!J3223*Sens!J3235</f>
        <v>86.516960248994</v>
      </c>
      <c r="K3236" s="6" t="n">
        <f aca="false">Sens!K3224-Sens!K3223*Sens!K3235</f>
        <v>101.246732915497</v>
      </c>
    </row>
    <row r="3237" customFormat="false" ht="17.15" hidden="false" customHeight="false" outlineLevel="0" collapsed="false">
      <c r="A3237" s="3" t="s">
        <v>1205</v>
      </c>
    </row>
    <row r="3238" customFormat="false" ht="15" hidden="false" customHeight="false" outlineLevel="0" collapsed="false">
      <c r="A3238" s="4" t="s">
        <v>43</v>
      </c>
      <c r="B3238" s="4" t="s">
        <v>63</v>
      </c>
      <c r="C3238" s="19" t="s">
        <v>710</v>
      </c>
      <c r="D3238" s="19" t="s">
        <v>711</v>
      </c>
      <c r="E3238" s="19" t="s">
        <v>712</v>
      </c>
      <c r="F3238" s="19" t="s">
        <v>713</v>
      </c>
      <c r="G3238" s="19" t="s">
        <v>714</v>
      </c>
      <c r="H3238" s="19" t="s">
        <v>715</v>
      </c>
      <c r="I3238" s="19" t="s">
        <v>716</v>
      </c>
      <c r="J3238" s="19" t="s">
        <v>717</v>
      </c>
      <c r="K3238" s="19" t="s">
        <v>718</v>
      </c>
      <c r="L3238" s="4" t="s">
        <v>47</v>
      </c>
    </row>
    <row r="3239" customFormat="false" ht="17.15" hidden="false" customHeight="false" outlineLevel="0" collapsed="false">
      <c r="A3239" s="0" t="s">
        <v>780</v>
      </c>
      <c r="B3239" s="0" t="s">
        <v>95</v>
      </c>
      <c r="D3239" s="6" t="n">
        <f aca="false">Sens!D3218</f>
        <v>12.9359794422418</v>
      </c>
      <c r="E3239" s="6" t="n">
        <f aca="false">Sens!E3218</f>
        <v>27.8095064661409</v>
      </c>
      <c r="F3239" s="6" t="n">
        <f aca="false">Sens!F3218</f>
        <v>58.7324192305018</v>
      </c>
      <c r="G3239" s="6" t="n">
        <f aca="false">Sens!G3218</f>
        <v>101.369089141153</v>
      </c>
      <c r="H3239" s="6" t="n">
        <f aca="false">Sens!H3218</f>
        <v>149.785610014234</v>
      </c>
      <c r="I3239" s="6" t="n">
        <f aca="false">Sens!I3218</f>
        <v>192.439389583079</v>
      </c>
      <c r="J3239" s="6" t="n">
        <f aca="false">Sens!J3218</f>
        <v>235.195906491722</v>
      </c>
      <c r="K3239" s="6" t="n">
        <f aca="false">Sens!K3218</f>
        <v>278.012858836343</v>
      </c>
    </row>
    <row r="3240" customFormat="false" ht="17.15" hidden="false" customHeight="false" outlineLevel="0" collapsed="false">
      <c r="A3240" s="0" t="s">
        <v>781</v>
      </c>
      <c r="B3240" s="0" t="s">
        <v>95</v>
      </c>
      <c r="D3240" s="6" t="n">
        <f aca="false">Q!L6-Sens!D3239</f>
        <v>59.6740205577583</v>
      </c>
      <c r="E3240" s="6" t="n">
        <f aca="false">Q!M6-Sens!E3239</f>
        <v>74.1284935338591</v>
      </c>
      <c r="F3240" s="6" t="n">
        <f aca="false">Sens!E3240*(1+Sens!F3241)</f>
        <v>90.0799497373663</v>
      </c>
      <c r="G3240" s="6" t="n">
        <f aca="false">Sens!F3240*(1+Sens!G3241)</f>
        <v>107.02842520331</v>
      </c>
      <c r="H3240" s="6" t="n">
        <f aca="false">Sens!G3240*(1+Sens!H3241)</f>
        <v>124.271982585636</v>
      </c>
      <c r="I3240" s="6" t="n">
        <f aca="false">Sens!H3240*(1+Sens!I3241)</f>
        <v>140.933702381855</v>
      </c>
      <c r="J3240" s="6" t="n">
        <f aca="false">Sens!I3240*(1+Sens!J3241)</f>
        <v>156.018867314332</v>
      </c>
      <c r="K3240" s="6" t="n">
        <f aca="false">Sens!J3240*(1+Sens!K3241)</f>
        <v>168.500376699478</v>
      </c>
    </row>
    <row r="3241" customFormat="false" ht="15" hidden="false" customHeight="false" outlineLevel="0" collapsed="false">
      <c r="A3241" s="1" t="s">
        <v>782</v>
      </c>
      <c r="B3241" s="0" t="s">
        <v>126</v>
      </c>
      <c r="E3241" s="7" t="n">
        <f aca="false">Sens!E3240/Sens!D3240-1</f>
        <v>0.242223883039864</v>
      </c>
      <c r="F3241" s="7" t="n">
        <f aca="false">Sens!$E$3241+(glt_azo-Sens!$E$3241)*MIN(1,1/n_conv)</f>
        <v>0.215186569199887</v>
      </c>
      <c r="G3241" s="7" t="n">
        <f aca="false">Sens!$E$3241+(glt_azo-Sens!$E$3241)*MIN(1,2/n_conv)</f>
        <v>0.18814925535991</v>
      </c>
      <c r="H3241" s="7" t="n">
        <f aca="false">Sens!$E$3241+(glt_azo-Sens!$E$3241)*MIN(1,3/n_conv)</f>
        <v>0.161111941519932</v>
      </c>
      <c r="I3241" s="7" t="n">
        <f aca="false">Sens!$E$3241+(glt_azo-Sens!$E$3241)*MIN(1,4/n_conv)</f>
        <v>0.134074627679955</v>
      </c>
      <c r="J3241" s="7" t="n">
        <f aca="false">Sens!$E$3241+(glt_azo-Sens!$E$3241)*MIN(1,5/n_conv)</f>
        <v>0.107037313839977</v>
      </c>
      <c r="K3241" s="7" t="n">
        <f aca="false">Sens!$E$3241+(glt_azo-Sens!$E$3241)*MIN(1,6/n_conv)</f>
        <v>0.08</v>
      </c>
    </row>
    <row r="3242" customFormat="false" ht="15" hidden="false" customHeight="false" outlineLevel="0" collapsed="false">
      <c r="A3242" s="0" t="s">
        <v>783</v>
      </c>
      <c r="B3242" s="0" t="s">
        <v>95</v>
      </c>
      <c r="D3242" s="6" t="n">
        <f aca="false">Sens!D3239+Sens!D3240</f>
        <v>72.61</v>
      </c>
      <c r="E3242" s="6" t="n">
        <f aca="false">Sens!E3239+Sens!E3240</f>
        <v>101.938</v>
      </c>
      <c r="F3242" s="6" t="n">
        <f aca="false">Sens!F3239+Sens!F3240</f>
        <v>148.812368967868</v>
      </c>
      <c r="G3242" s="6" t="n">
        <f aca="false">Sens!G3239+Sens!G3240</f>
        <v>208.397514344463</v>
      </c>
      <c r="H3242" s="6" t="n">
        <f aca="false">Sens!H3239+Sens!H3240</f>
        <v>274.05759259987</v>
      </c>
      <c r="I3242" s="6" t="n">
        <f aca="false">Sens!I3239+Sens!I3240</f>
        <v>333.373091964934</v>
      </c>
      <c r="J3242" s="6" t="n">
        <f aca="false">Sens!J3239+Sens!J3240</f>
        <v>391.214773806054</v>
      </c>
      <c r="K3242" s="6" t="n">
        <f aca="false">Sens!K3239+Sens!K3240</f>
        <v>446.513235535821</v>
      </c>
    </row>
    <row r="3243" customFormat="false" ht="17.15" hidden="false" customHeight="false" outlineLevel="0" collapsed="false">
      <c r="A3243" s="0" t="s">
        <v>784</v>
      </c>
      <c r="B3243" s="1" t="s">
        <v>451</v>
      </c>
      <c r="C3243" s="27" t="n">
        <f aca="false">cop_s24</f>
        <v>1</v>
      </c>
      <c r="D3243" s="27" t="n">
        <f aca="false">cop_s25</f>
        <v>5</v>
      </c>
      <c r="E3243" s="27" t="n">
        <f aca="false">cop_s26</f>
        <v>30</v>
      </c>
      <c r="F3243" s="27" t="n">
        <f aca="false">Sens!E3243+IF(2027&lt;=2029,cop_add_A,cop_add_A*cop_tail)</f>
        <v>60</v>
      </c>
      <c r="G3243" s="27" t="n">
        <f aca="false">Sens!F3243+IF(2028&lt;=2029,cop_add_A,cop_add_A*cop_tail)</f>
        <v>90</v>
      </c>
      <c r="H3243" s="27" t="n">
        <f aca="false">Sens!G3243+IF(2029&lt;=2029,cop_add_A,cop_add_A*cop_tail)</f>
        <v>120</v>
      </c>
      <c r="I3243" s="27" t="n">
        <f aca="false">Sens!H3243+IF(2030&lt;=2029,cop_add_A,cop_add_A*cop_tail)</f>
        <v>135</v>
      </c>
      <c r="J3243" s="27" t="n">
        <f aca="false">Sens!I3243+IF(2031&lt;=2029,cop_add_A,cop_add_A*cop_tail)</f>
        <v>150</v>
      </c>
      <c r="K3243" s="27" t="n">
        <f aca="false">Sens!J3243+IF(2032&lt;=2029,cop_add_A,cop_add_A*cop_tail)</f>
        <v>165</v>
      </c>
    </row>
    <row r="3244" customFormat="false" ht="17.15" hidden="false" customHeight="false" outlineLevel="0" collapsed="false">
      <c r="A3244" s="0" t="s">
        <v>785</v>
      </c>
      <c r="B3244" s="0" t="s">
        <v>95</v>
      </c>
      <c r="D3244" s="6" t="n">
        <f aca="false">(Sens!C3243+Sens!D3243)/2*cop_px*12/1000</f>
        <v>0.9</v>
      </c>
      <c r="E3244" s="6" t="n">
        <f aca="false">(Sens!D3243+Sens!E3243)/2*cop_px*12/1000</f>
        <v>5.25</v>
      </c>
      <c r="F3244" s="6" t="n">
        <f aca="false">(Sens!E3243+Sens!F3243)/2*cop_px*12/1000</f>
        <v>13.5</v>
      </c>
      <c r="G3244" s="6" t="n">
        <f aca="false">(Sens!F3243+Sens!G3243)/2*cop_px*12/1000</f>
        <v>22.5</v>
      </c>
      <c r="H3244" s="6" t="n">
        <f aca="false">(Sens!G3243+Sens!H3243)/2*cop_px*12/1000</f>
        <v>31.5</v>
      </c>
      <c r="I3244" s="6" t="n">
        <f aca="false">(Sens!H3243+Sens!I3243)/2*cop_px*12/1000</f>
        <v>38.25</v>
      </c>
      <c r="J3244" s="6" t="n">
        <f aca="false">(Sens!I3243+Sens!J3243)/2*cop_px*12/1000</f>
        <v>42.75</v>
      </c>
      <c r="K3244" s="6" t="n">
        <f aca="false">(Sens!J3243+Sens!K3243)/2*cop_px*12/1000</f>
        <v>47.25</v>
      </c>
      <c r="L3244" s="1" t="s">
        <v>786</v>
      </c>
    </row>
    <row r="3245" customFormat="false" ht="17.15" hidden="false" customHeight="false" outlineLevel="0" collapsed="false">
      <c r="A3245" s="0" t="s">
        <v>787</v>
      </c>
      <c r="B3245" s="0" t="s">
        <v>95</v>
      </c>
      <c r="D3245" s="6" t="n">
        <f aca="false">Q!L7-Sens!D3244</f>
        <v>83.705</v>
      </c>
      <c r="E3245" s="6" t="n">
        <f aca="false">Q!M7-Sens!E3244</f>
        <v>95.049</v>
      </c>
      <c r="F3245" s="6" t="n">
        <f aca="false">Sens!E3245*(1+Sens!F3246)</f>
        <v>106.89238776686</v>
      </c>
      <c r="G3245" s="6" t="n">
        <f aca="false">Sens!F3245*(1+Sens!G3246)</f>
        <v>119.044168448684</v>
      </c>
      <c r="H3245" s="6" t="n">
        <f aca="false">Sens!G3245*(1+Sens!H3246)</f>
        <v>131.277359388781</v>
      </c>
      <c r="I3245" s="6" t="n">
        <f aca="false">Sens!H3245*(1+Sens!I3246)</f>
        <v>143.334028071957</v>
      </c>
      <c r="J3245" s="6" t="n">
        <f aca="false">Sens!I3245*(1+Sens!J3246)</f>
        <v>154.932702785465</v>
      </c>
      <c r="K3245" s="6" t="n">
        <f aca="false">Sens!J3245*(1+Sens!K3246)</f>
        <v>165.777991980448</v>
      </c>
    </row>
    <row r="3246" customFormat="false" ht="15" hidden="false" customHeight="false" outlineLevel="0" collapsed="false">
      <c r="A3246" s="1" t="s">
        <v>782</v>
      </c>
      <c r="B3246" s="0" t="s">
        <v>126</v>
      </c>
      <c r="E3246" s="7" t="n">
        <f aca="false">Sens!E3245/Sens!D3245-1</f>
        <v>0.135523564900544</v>
      </c>
      <c r="F3246" s="7" t="n">
        <f aca="false">Sens!$E$3246+(glt_m365b-Sens!$E$3246)*MIN(1,1/n_conv)</f>
        <v>0.124602970750453</v>
      </c>
      <c r="G3246" s="7" t="n">
        <f aca="false">Sens!$E$3246+(glt_m365b-Sens!$E$3246)*MIN(1,2/n_conv)</f>
        <v>0.113682376600363</v>
      </c>
      <c r="H3246" s="7" t="n">
        <f aca="false">Sens!$E$3246+(glt_m365b-Sens!$E$3246)*MIN(1,3/n_conv)</f>
        <v>0.102761782450272</v>
      </c>
      <c r="I3246" s="7" t="n">
        <f aca="false">Sens!$E$3246+(glt_m365b-Sens!$E$3246)*MIN(1,4/n_conv)</f>
        <v>0.0918411883001813</v>
      </c>
      <c r="J3246" s="7" t="n">
        <f aca="false">Sens!$E$3246+(glt_m365b-Sens!$E$3246)*MIN(1,5/n_conv)</f>
        <v>0.0809205941500906</v>
      </c>
      <c r="K3246" s="7" t="n">
        <f aca="false">Sens!$E$3246+(glt_m365b-Sens!$E$3246)*MIN(1,6/n_conv)</f>
        <v>0.07</v>
      </c>
    </row>
    <row r="3247" customFormat="false" ht="15" hidden="false" customHeight="false" outlineLevel="0" collapsed="false">
      <c r="A3247" s="0" t="s">
        <v>788</v>
      </c>
      <c r="B3247" s="0" t="s">
        <v>95</v>
      </c>
      <c r="D3247" s="6" t="n">
        <f aca="false">Sens!D3245+Sens!D3244</f>
        <v>84.605</v>
      </c>
      <c r="E3247" s="6" t="n">
        <f aca="false">Sens!E3245+Sens!E3244</f>
        <v>100.299</v>
      </c>
      <c r="F3247" s="6" t="n">
        <f aca="false">Sens!F3245+Sens!F3244</f>
        <v>120.39238776686</v>
      </c>
      <c r="G3247" s="6" t="n">
        <f aca="false">Sens!G3245+Sens!G3244</f>
        <v>141.544168448684</v>
      </c>
      <c r="H3247" s="6" t="n">
        <f aca="false">Sens!H3245+Sens!H3244</f>
        <v>162.777359388781</v>
      </c>
      <c r="I3247" s="6" t="n">
        <f aca="false">Sens!I3245+Sens!I3244</f>
        <v>181.584028071957</v>
      </c>
      <c r="J3247" s="6" t="n">
        <f aca="false">Sens!J3245+Sens!J3244</f>
        <v>197.682702785465</v>
      </c>
      <c r="K3247" s="6" t="n">
        <f aca="false">Sens!K3245+Sens!K3244</f>
        <v>213.027991980448</v>
      </c>
    </row>
    <row r="3248" customFormat="false" ht="15" hidden="false" customHeight="false" outlineLevel="0" collapsed="false">
      <c r="A3248" s="0" t="s">
        <v>789</v>
      </c>
      <c r="B3248" s="0" t="s">
        <v>95</v>
      </c>
      <c r="D3248" s="6" t="n">
        <f aca="false">Q!L8</f>
        <v>35.391</v>
      </c>
      <c r="E3248" s="6" t="n">
        <f aca="false">Q!M8</f>
        <v>37.285</v>
      </c>
      <c r="F3248" s="6" t="n">
        <f aca="false">Sens!E3248*(1+Sens!F3249)</f>
        <v>39.0720834331704</v>
      </c>
      <c r="G3248" s="6" t="n">
        <f aca="false">Sens!F3248*(1+Sens!G3249)</f>
        <v>40.726562953769</v>
      </c>
      <c r="H3248" s="6" t="n">
        <f aca="false">Sens!G3248*(1+Sens!H3249)</f>
        <v>42.2235987259198</v>
      </c>
      <c r="I3248" s="6" t="n">
        <f aca="false">Sens!H3248*(1+Sens!I3249)</f>
        <v>43.5397988077414</v>
      </c>
      <c r="J3248" s="6" t="n">
        <f aca="false">Sens!I3248*(1+Sens!J3249)</f>
        <v>44.653811225693</v>
      </c>
      <c r="K3248" s="6" t="n">
        <f aca="false">Sens!J3248*(1+Sens!K3249)</f>
        <v>45.5468874502068</v>
      </c>
    </row>
    <row r="3249" customFormat="false" ht="15" hidden="false" customHeight="false" outlineLevel="0" collapsed="false">
      <c r="A3249" s="1" t="s">
        <v>782</v>
      </c>
      <c r="B3249" s="0" t="s">
        <v>126</v>
      </c>
      <c r="E3249" s="7" t="n">
        <f aca="false">Sens!E3248/Sens!D3248-1</f>
        <v>0.0535164307309768</v>
      </c>
      <c r="F3249" s="7" t="n">
        <f aca="false">Sens!$E$3249+(glt_lic-Sens!$E$3249)*MIN(1,1/n_conv)</f>
        <v>0.0479303589424807</v>
      </c>
      <c r="G3249" s="7" t="n">
        <f aca="false">Sens!$E$3249+(glt_lic-Sens!$E$3249)*MIN(1,2/n_conv)</f>
        <v>0.0423442871539845</v>
      </c>
      <c r="H3249" s="7" t="n">
        <f aca="false">Sens!$E$3249+(glt_lic-Sens!$E$3249)*MIN(1,3/n_conv)</f>
        <v>0.0367582153654884</v>
      </c>
      <c r="I3249" s="7" t="n">
        <f aca="false">Sens!$E$3249+(glt_lic-Sens!$E$3249)*MIN(1,4/n_conv)</f>
        <v>0.0311721435769923</v>
      </c>
      <c r="J3249" s="7" t="n">
        <f aca="false">Sens!$E$3249+(glt_lic-Sens!$E$3249)*MIN(1,5/n_conv)</f>
        <v>0.0255860717884961</v>
      </c>
      <c r="K3249" s="7" t="n">
        <f aca="false">Sens!$E$3249+(glt_lic-Sens!$E$3249)*MIN(1,6/n_conv)</f>
        <v>0.02</v>
      </c>
    </row>
    <row r="3250" customFormat="false" ht="15" hidden="false" customHeight="false" outlineLevel="0" collapsed="false">
      <c r="A3250" s="0" t="s">
        <v>790</v>
      </c>
      <c r="B3250" s="0" t="s">
        <v>95</v>
      </c>
      <c r="D3250" s="6" t="n">
        <f aca="false">Q!L9</f>
        <v>18.417</v>
      </c>
      <c r="E3250" s="6" t="n">
        <f aca="false">Q!M9</f>
        <v>20.345</v>
      </c>
      <c r="F3250" s="6" t="n">
        <f aca="false">Sens!E3250*(1+Sens!F3251)</f>
        <v>22.3572203267814</v>
      </c>
      <c r="G3250" s="6" t="n">
        <f aca="false">Sens!F3250*(1+Sens!G3251)</f>
        <v>24.4392124437232</v>
      </c>
      <c r="H3250" s="6" t="n">
        <f aca="false">Sens!G3250*(1+Sens!H3251)</f>
        <v>26.5738052080665</v>
      </c>
      <c r="I3250" s="6" t="n">
        <f aca="false">Sens!H3250*(1+Sens!I3251)</f>
        <v>28.7412169166967</v>
      </c>
      <c r="J3250" s="6" t="n">
        <f aca="false">Sens!I3250*(1+Sens!J3251)</f>
        <v>30.9192545395413</v>
      </c>
      <c r="K3250" s="6" t="n">
        <f aca="false">Sens!J3250*(1+Sens!K3251)</f>
        <v>33.0836023573092</v>
      </c>
    </row>
    <row r="3251" customFormat="false" ht="15" hidden="false" customHeight="false" outlineLevel="0" collapsed="false">
      <c r="A3251" s="1" t="s">
        <v>782</v>
      </c>
      <c r="B3251" s="0" t="s">
        <v>126</v>
      </c>
      <c r="E3251" s="7" t="n">
        <f aca="false">Sens!E3250/Sens!D3250-1</f>
        <v>0.104685888038225</v>
      </c>
      <c r="F3251" s="7" t="n">
        <f aca="false">Sens!$E$3251+(glt_ind-Sens!$E$3251)*MIN(1,1/n_conv)</f>
        <v>0.0989049066985211</v>
      </c>
      <c r="G3251" s="7" t="n">
        <f aca="false">Sens!$E$3251+(glt_ind-Sens!$E$3251)*MIN(1,2/n_conv)</f>
        <v>0.0931239253588169</v>
      </c>
      <c r="H3251" s="7" t="n">
        <f aca="false">Sens!$E$3251+(glt_ind-Sens!$E$3251)*MIN(1,3/n_conv)</f>
        <v>0.0873429440191127</v>
      </c>
      <c r="I3251" s="7" t="n">
        <f aca="false">Sens!$E$3251+(glt_ind-Sens!$E$3251)*MIN(1,4/n_conv)</f>
        <v>0.0815619626794085</v>
      </c>
      <c r="J3251" s="7" t="n">
        <f aca="false">Sens!$E$3251+(glt_ind-Sens!$E$3251)*MIN(1,5/n_conv)</f>
        <v>0.0757809813397042</v>
      </c>
      <c r="K3251" s="7" t="n">
        <f aca="false">Sens!$E$3251+(glt_ind-Sens!$E$3251)*MIN(1,6/n_conv)</f>
        <v>0.07</v>
      </c>
    </row>
    <row r="3252" customFormat="false" ht="15" hidden="false" customHeight="false" outlineLevel="0" collapsed="false">
      <c r="A3252" s="0" t="s">
        <v>791</v>
      </c>
      <c r="B3252" s="0" t="s">
        <v>95</v>
      </c>
      <c r="D3252" s="6" t="n">
        <f aca="false">Q!L10</f>
        <v>7.76</v>
      </c>
      <c r="E3252" s="6" t="n">
        <f aca="false">Q!M10</f>
        <v>8.26</v>
      </c>
      <c r="F3252" s="6" t="n">
        <f aca="false">Sens!E3252*(1+Sens!F3253)</f>
        <v>8.79988041237113</v>
      </c>
      <c r="G3252" s="6" t="n">
        <f aca="false">Sens!F3252*(1+Sens!G3253)</f>
        <v>9.38321269125306</v>
      </c>
      <c r="H3252" s="6" t="n">
        <f aca="false">Sens!G3252*(1+Sens!H3253)</f>
        <v>10.0139193587476</v>
      </c>
      <c r="I3252" s="6" t="n">
        <f aca="false">Sens!H3252*(1+Sens!I3253)</f>
        <v>10.6963111830911</v>
      </c>
      <c r="J3252" s="6" t="n">
        <f aca="false">Sens!I3252*(1+Sens!J3253)</f>
        <v>11.4351285534696</v>
      </c>
      <c r="K3252" s="6" t="n">
        <f aca="false">Sens!J3252*(1+Sens!K3253)</f>
        <v>12.2355875522124</v>
      </c>
    </row>
    <row r="3253" customFormat="false" ht="15" hidden="false" customHeight="false" outlineLevel="0" collapsed="false">
      <c r="A3253" s="1" t="s">
        <v>782</v>
      </c>
      <c r="B3253" s="0" t="s">
        <v>126</v>
      </c>
      <c r="E3253" s="7" t="n">
        <f aca="false">Sens!E3252/Sens!D3252-1</f>
        <v>0.0644329896907216</v>
      </c>
      <c r="F3253" s="7" t="n">
        <f aca="false">Sens!$E$3253+(glt_fro-Sens!$E$3253)*MIN(1,1/n_conv)</f>
        <v>0.065360824742268</v>
      </c>
      <c r="G3253" s="7" t="n">
        <f aca="false">Sens!$E$3253+(glt_fro-Sens!$E$3253)*MIN(1,2/n_conv)</f>
        <v>0.0662886597938144</v>
      </c>
      <c r="H3253" s="7" t="n">
        <f aca="false">Sens!$E$3253+(glt_fro-Sens!$E$3253)*MIN(1,3/n_conv)</f>
        <v>0.0672164948453608</v>
      </c>
      <c r="I3253" s="7" t="n">
        <f aca="false">Sens!$E$3253+(glt_fro-Sens!$E$3253)*MIN(1,4/n_conv)</f>
        <v>0.0681443298969072</v>
      </c>
      <c r="J3253" s="7" t="n">
        <f aca="false">Sens!$E$3253+(glt_fro-Sens!$E$3253)*MIN(1,5/n_conv)</f>
        <v>0.0690721649484536</v>
      </c>
      <c r="K3253" s="7" t="n">
        <f aca="false">Sens!$E$3253+(glt_fro-Sens!$E$3253)*MIN(1,6/n_conv)</f>
        <v>0.07</v>
      </c>
    </row>
    <row r="3254" customFormat="false" ht="15" hidden="false" customHeight="false" outlineLevel="0" collapsed="false">
      <c r="A3254" s="0" t="s">
        <v>626</v>
      </c>
      <c r="B3254" s="0" t="s">
        <v>95</v>
      </c>
      <c r="D3254" s="6" t="n">
        <f aca="false">Sens!D3242+Sens!D3247+Sens!D3248+Sens!D3250+Sens!D3252</f>
        <v>218.783</v>
      </c>
      <c r="E3254" s="6" t="n">
        <f aca="false">Sens!E3242+Sens!E3247+Sens!E3248+Sens!E3250+Sens!E3252</f>
        <v>268.127</v>
      </c>
      <c r="F3254" s="6" t="n">
        <f aca="false">Sens!F3242+Sens!F3247+Sens!F3248+Sens!F3250+Sens!F3252</f>
        <v>339.433940907051</v>
      </c>
      <c r="G3254" s="6" t="n">
        <f aca="false">Sens!G3242+Sens!G3247+Sens!G3248+Sens!G3250+Sens!G3252</f>
        <v>424.490670881892</v>
      </c>
      <c r="H3254" s="6" t="n">
        <f aca="false">Sens!H3242+Sens!H3247+Sens!H3248+Sens!H3250+Sens!H3252</f>
        <v>515.646275281385</v>
      </c>
      <c r="I3254" s="6" t="n">
        <f aca="false">Sens!I3242+Sens!I3247+Sens!I3248+Sens!I3250+Sens!I3252</f>
        <v>597.93444694442</v>
      </c>
      <c r="J3254" s="6" t="n">
        <f aca="false">Sens!J3242+Sens!J3247+Sens!J3248+Sens!J3250+Sens!J3252</f>
        <v>675.905670910223</v>
      </c>
      <c r="K3254" s="6" t="n">
        <f aca="false">Sens!K3242+Sens!K3247+Sens!K3248+Sens!K3250+Sens!K3252</f>
        <v>750.407304875998</v>
      </c>
    </row>
    <row r="3255" customFormat="false" ht="15" hidden="false" customHeight="false" outlineLevel="0" collapsed="false">
      <c r="A3255" s="0" t="s">
        <v>792</v>
      </c>
      <c r="B3255" s="0" t="s">
        <v>95</v>
      </c>
      <c r="D3255" s="6" t="n">
        <f aca="false">Q!L13</f>
        <v>22.171</v>
      </c>
      <c r="E3255" s="6" t="n">
        <f aca="false">Q!M13</f>
        <v>24.835</v>
      </c>
      <c r="F3255" s="6" t="n">
        <f aca="false">Sens!E3255*(1+Sens!F3256)</f>
        <v>27.6114901218559</v>
      </c>
      <c r="G3255" s="6" t="n">
        <f aca="false">Sens!F3255*(1+Sens!G3256)</f>
        <v>30.4675667338515</v>
      </c>
      <c r="H3255" s="6" t="n">
        <f aca="false">Sens!G3255*(1+Sens!H3256)</f>
        <v>33.3643766955789</v>
      </c>
      <c r="I3255" s="6" t="n">
        <f aca="false">Sens!H3255*(1+Sens!I3256)</f>
        <v>36.2577016533691</v>
      </c>
      <c r="J3255" s="6" t="n">
        <f aca="false">Sens!I3255*(1+Sens!J3256)</f>
        <v>39.0988367952171</v>
      </c>
      <c r="K3255" s="6" t="n">
        <f aca="false">Sens!J3255*(1+Sens!K3256)</f>
        <v>41.8357553708823</v>
      </c>
    </row>
    <row r="3256" customFormat="false" ht="15" hidden="false" customHeight="false" outlineLevel="0" collapsed="false">
      <c r="A3256" s="1" t="s">
        <v>782</v>
      </c>
      <c r="B3256" s="0" t="s">
        <v>126</v>
      </c>
      <c r="E3256" s="7" t="n">
        <f aca="false">Sens!E3255/Sens!D3255-1</f>
        <v>0.120156961796942</v>
      </c>
      <c r="F3256" s="7" t="n">
        <f aca="false">Sens!$E$3256+(glt_srch-Sens!$E$3256)*MIN(1,1/n_conv)</f>
        <v>0.111797468164118</v>
      </c>
      <c r="G3256" s="7" t="n">
        <f aca="false">Sens!$E$3256+(glt_srch-Sens!$E$3256)*MIN(1,2/n_conv)</f>
        <v>0.103437974531295</v>
      </c>
      <c r="H3256" s="7" t="n">
        <f aca="false">Sens!$E$3256+(glt_srch-Sens!$E$3256)*MIN(1,3/n_conv)</f>
        <v>0.095078480898471</v>
      </c>
      <c r="I3256" s="7" t="n">
        <f aca="false">Sens!$E$3256+(glt_srch-Sens!$E$3256)*MIN(1,4/n_conv)</f>
        <v>0.0867189872656474</v>
      </c>
      <c r="J3256" s="7" t="n">
        <f aca="false">Sens!$E$3256+(glt_srch-Sens!$E$3256)*MIN(1,5/n_conv)</f>
        <v>0.0783594936328237</v>
      </c>
      <c r="K3256" s="7" t="n">
        <f aca="false">Sens!$E$3256+(glt_srch-Sens!$E$3256)*MIN(1,6/n_conv)</f>
        <v>0.07</v>
      </c>
    </row>
    <row r="3257" customFormat="false" ht="15" hidden="false" customHeight="false" outlineLevel="0" collapsed="false">
      <c r="A3257" s="0" t="s">
        <v>793</v>
      </c>
      <c r="B3257" s="0" t="s">
        <v>95</v>
      </c>
      <c r="D3257" s="6" t="n">
        <f aca="false">Q!L14</f>
        <v>23.455</v>
      </c>
      <c r="E3257" s="6" t="n">
        <f aca="false">Q!M14</f>
        <v>21.79</v>
      </c>
      <c r="F3257" s="6" t="n">
        <f aca="false">Sens!E3257*(1+Sens!F3258)</f>
        <v>20.5736277908051</v>
      </c>
      <c r="G3257" s="6" t="n">
        <f aca="false">Sens!F3257*(1+Sens!G3258)</f>
        <v>19.7371452817919</v>
      </c>
      <c r="H3257" s="6" t="n">
        <f aca="false">Sens!G3257*(1+Sens!H3258)</f>
        <v>19.2339764043138</v>
      </c>
      <c r="I3257" s="6" t="n">
        <f aca="false">Sens!H3257*(1+Sens!I3258)</f>
        <v>19.0353086852681</v>
      </c>
      <c r="J3257" s="6" t="n">
        <f aca="false">Sens!I3257*(1+Sens!J3258)</f>
        <v>19.1273539319129</v>
      </c>
      <c r="K3257" s="6" t="n">
        <f aca="false">Sens!J3257*(1+Sens!K3258)</f>
        <v>19.5099010105511</v>
      </c>
    </row>
    <row r="3258" customFormat="false" ht="15" hidden="false" customHeight="false" outlineLevel="0" collapsed="false">
      <c r="A3258" s="1" t="s">
        <v>782</v>
      </c>
      <c r="B3258" s="0" t="s">
        <v>126</v>
      </c>
      <c r="E3258" s="7" t="n">
        <f aca="false">Sens!E3257/Sens!D3257-1</f>
        <v>-0.0709869963760392</v>
      </c>
      <c r="F3258" s="7" t="n">
        <f aca="false">Sens!$E$3258+(glt_xbox-Sens!$E$3258)*MIN(1,1/n_conv)</f>
        <v>-0.0558224969800327</v>
      </c>
      <c r="G3258" s="7" t="n">
        <f aca="false">Sens!$E$3258+(glt_xbox-Sens!$E$3258)*MIN(1,2/n_conv)</f>
        <v>-0.0406579975840262</v>
      </c>
      <c r="H3258" s="7" t="n">
        <f aca="false">Sens!$E$3258+(glt_xbox-Sens!$E$3258)*MIN(1,3/n_conv)</f>
        <v>-0.0254934981880196</v>
      </c>
      <c r="I3258" s="7" t="n">
        <f aca="false">Sens!$E$3258+(glt_xbox-Sens!$E$3258)*MIN(1,4/n_conv)</f>
        <v>-0.0103289987920131</v>
      </c>
      <c r="J3258" s="7" t="n">
        <f aca="false">Sens!$E$3258+(glt_xbox-Sens!$E$3258)*MIN(1,5/n_conv)</f>
        <v>0.00483550060399347</v>
      </c>
      <c r="K3258" s="7" t="n">
        <f aca="false">Sens!$E$3258+(glt_xbox-Sens!$E$3258)*MIN(1,6/n_conv)</f>
        <v>0.02</v>
      </c>
    </row>
    <row r="3259" customFormat="false" ht="15" hidden="false" customHeight="false" outlineLevel="0" collapsed="false">
      <c r="A3259" s="0" t="s">
        <v>794</v>
      </c>
      <c r="B3259" s="0" t="s">
        <v>95</v>
      </c>
      <c r="D3259" s="6" t="n">
        <f aca="false">Q!L15</f>
        <v>17.315</v>
      </c>
      <c r="E3259" s="6" t="n">
        <f aca="false">Q!M15</f>
        <v>17.087</v>
      </c>
      <c r="F3259" s="6" t="n">
        <f aca="false">Sens!E3259*(1+Sens!F3260)</f>
        <v>16.9564585436519</v>
      </c>
      <c r="G3259" s="6" t="n">
        <f aca="false">Sens!F3259*(1+Sens!G3260)</f>
        <v>16.9206490624268</v>
      </c>
      <c r="H3259" s="6" t="n">
        <f aca="false">Sens!G3259*(1+Sens!H3260)</f>
        <v>16.9784519149849</v>
      </c>
      <c r="I3259" s="6" t="n">
        <f aca="false">Sens!H3259*(1+Sens!I3260)</f>
        <v>17.1303084701817</v>
      </c>
      <c r="J3259" s="6" t="n">
        <f aca="false">Sens!I3259*(1+Sens!J3260)</f>
        <v>17.3782189407267</v>
      </c>
      <c r="K3259" s="6" t="n">
        <f aca="false">Sens!J3259*(1+Sens!K3260)</f>
        <v>17.7257833195413</v>
      </c>
    </row>
    <row r="3260" customFormat="false" ht="15" hidden="false" customHeight="false" outlineLevel="0" collapsed="false">
      <c r="A3260" s="1" t="s">
        <v>782</v>
      </c>
      <c r="B3260" s="0" t="s">
        <v>126</v>
      </c>
      <c r="E3260" s="7" t="n">
        <f aca="false">Sens!E3259/Sens!D3259-1</f>
        <v>-0.0131677736066995</v>
      </c>
      <c r="F3260" s="7" t="n">
        <f aca="false">Sens!$E$3260+(glt_win-Sens!$E$3260)*MIN(1,1/n_conv)</f>
        <v>-0.00763981133891627</v>
      </c>
      <c r="G3260" s="7" t="n">
        <f aca="false">Sens!$E$3260+(glt_win-Sens!$E$3260)*MIN(1,2/n_conv)</f>
        <v>-0.00211184907113301</v>
      </c>
      <c r="H3260" s="7" t="n">
        <f aca="false">Sens!$E$3260+(glt_win-Sens!$E$3260)*MIN(1,3/n_conv)</f>
        <v>0.00341611319665024</v>
      </c>
      <c r="I3260" s="7" t="n">
        <f aca="false">Sens!$E$3260+(glt_win-Sens!$E$3260)*MIN(1,4/n_conv)</f>
        <v>0.00894407546443349</v>
      </c>
      <c r="J3260" s="7" t="n">
        <f aca="false">Sens!$E$3260+(glt_win-Sens!$E$3260)*MIN(1,5/n_conv)</f>
        <v>0.0144720377322168</v>
      </c>
      <c r="K3260" s="7" t="n">
        <f aca="false">Sens!$E$3260+(glt_win-Sens!$E$3260)*MIN(1,6/n_conv)</f>
        <v>0.02</v>
      </c>
    </row>
    <row r="3261" customFormat="false" ht="15" hidden="false" customHeight="false" outlineLevel="0" collapsed="false">
      <c r="A3261" s="0" t="s">
        <v>640</v>
      </c>
      <c r="B3261" s="0" t="s">
        <v>95</v>
      </c>
      <c r="D3261" s="6" t="n">
        <f aca="false">Sens!D3255+Sens!D3257+Sens!D3259</f>
        <v>62.941</v>
      </c>
      <c r="E3261" s="6" t="n">
        <f aca="false">Sens!E3255+Sens!E3257+Sens!E3259</f>
        <v>63.712</v>
      </c>
      <c r="F3261" s="6" t="n">
        <f aca="false">Sens!F3255+Sens!F3257+Sens!F3259</f>
        <v>65.1415764563129</v>
      </c>
      <c r="G3261" s="6" t="n">
        <f aca="false">Sens!G3255+Sens!G3257+Sens!G3259</f>
        <v>67.1253610780702</v>
      </c>
      <c r="H3261" s="6" t="n">
        <f aca="false">Sens!H3255+Sens!H3257+Sens!H3259</f>
        <v>69.5768050148776</v>
      </c>
      <c r="I3261" s="6" t="n">
        <f aca="false">Sens!I3255+Sens!I3257+Sens!I3259</f>
        <v>72.4233188088189</v>
      </c>
      <c r="J3261" s="6" t="n">
        <f aca="false">Sens!J3255+Sens!J3257+Sens!J3259</f>
        <v>75.6044096678567</v>
      </c>
      <c r="K3261" s="6" t="n">
        <f aca="false">Sens!K3255+Sens!K3257+Sens!K3259</f>
        <v>79.0714397009747</v>
      </c>
    </row>
    <row r="3262" customFormat="false" ht="15" hidden="false" customHeight="false" outlineLevel="0" collapsed="false">
      <c r="A3262" s="1" t="s">
        <v>795</v>
      </c>
      <c r="B3262" s="0" t="s">
        <v>95</v>
      </c>
      <c r="D3262" s="6" t="n">
        <f aca="false">Sens!D3254+Sens!D3261</f>
        <v>281.724</v>
      </c>
      <c r="E3262" s="6" t="n">
        <f aca="false">Sens!E3254+Sens!E3261</f>
        <v>331.839</v>
      </c>
      <c r="F3262" s="6" t="n">
        <f aca="false">Sens!F3254+Sens!F3261</f>
        <v>404.575517363364</v>
      </c>
      <c r="G3262" s="6" t="n">
        <f aca="false">Sens!G3254+Sens!G3261</f>
        <v>491.616031959962</v>
      </c>
      <c r="H3262" s="6" t="n">
        <f aca="false">Sens!H3254+Sens!H3261</f>
        <v>585.223080296262</v>
      </c>
      <c r="I3262" s="6" t="n">
        <f aca="false">Sens!I3254+Sens!I3261</f>
        <v>670.357765753239</v>
      </c>
      <c r="J3262" s="6" t="n">
        <f aca="false">Sens!J3254+Sens!J3261</f>
        <v>751.510080578079</v>
      </c>
      <c r="K3262" s="6" t="n">
        <f aca="false">Sens!K3254+Sens!K3261</f>
        <v>829.478744576972</v>
      </c>
    </row>
    <row r="3263" customFormat="false" ht="15" hidden="false" customHeight="false" outlineLevel="0" collapsed="false">
      <c r="A3263" s="22" t="s">
        <v>796</v>
      </c>
      <c r="B3263" s="28" t="s">
        <v>95</v>
      </c>
      <c r="C3263" s="28"/>
      <c r="D3263" s="23" t="n">
        <f aca="false">(Sens!D3242+Sens!D3247+Sens!D3248+Sens!D3250+Sens!D3252-Sens!D3254)+(Sens!D3255+Sens!D3257+Sens!D3259-Sens!D3261)+(Sens!D3254-Q!L5)+(Sens!D3261-Q!L12)+(Sens!D3242-Q!L6)+(Sens!D3247-Q!L7)</f>
        <v>0</v>
      </c>
      <c r="E3263" s="23" t="n">
        <f aca="false">(Sens!E3242+Sens!E3247+Sens!E3248+Sens!E3250+Sens!E3252-Sens!E3254)+(Sens!E3255+Sens!E3257+Sens!E3259-Sens!E3261)+(Sens!E3254-Q!M5)+(Sens!E3261-Q!M12)+(Sens!E3242-Q!M6)+(Sens!E3247-Q!M7)</f>
        <v>0</v>
      </c>
      <c r="F3263" s="23" t="n">
        <f aca="false">(Sens!F3242+Sens!F3247+Sens!F3248+Sens!F3250+Sens!F3252-Sens!F3254)+(Sens!F3255+Sens!F3257+Sens!F3259-Sens!F3261)</f>
        <v>0</v>
      </c>
      <c r="G3263" s="23" t="n">
        <f aca="false">(Sens!G3242+Sens!G3247+Sens!G3248+Sens!G3250+Sens!G3252-Sens!G3254)+(Sens!G3255+Sens!G3257+Sens!G3259-Sens!G3261)</f>
        <v>0</v>
      </c>
      <c r="H3263" s="23" t="n">
        <f aca="false">(Sens!H3242+Sens!H3247+Sens!H3248+Sens!H3250+Sens!H3252-Sens!H3254)+(Sens!H3255+Sens!H3257+Sens!H3259-Sens!H3261)</f>
        <v>0</v>
      </c>
      <c r="I3263" s="23" t="n">
        <f aca="false">(Sens!I3242+Sens!I3247+Sens!I3248+Sens!I3250+Sens!I3252-Sens!I3254)+(Sens!I3255+Sens!I3257+Sens!I3259-Sens!I3261)</f>
        <v>0</v>
      </c>
      <c r="J3263" s="23" t="n">
        <f aca="false">(Sens!J3242+Sens!J3247+Sens!J3248+Sens!J3250+Sens!J3252-Sens!J3254)+(Sens!J3255+Sens!J3257+Sens!J3259-Sens!J3261)</f>
        <v>0</v>
      </c>
      <c r="K3263" s="23" t="n">
        <f aca="false">(Sens!K3242+Sens!K3247+Sens!K3248+Sens!K3250+Sens!K3252-Sens!K3254)+(Sens!K3255+Sens!K3257+Sens!K3259-Sens!K3261)</f>
        <v>0</v>
      </c>
    </row>
    <row r="3264" customFormat="false" ht="17.15" hidden="false" customHeight="false" outlineLevel="0" collapsed="false">
      <c r="A3264" s="3" t="s">
        <v>1206</v>
      </c>
    </row>
    <row r="3265" customFormat="false" ht="15" hidden="false" customHeight="false" outlineLevel="0" collapsed="false">
      <c r="A3265" s="4" t="s">
        <v>43</v>
      </c>
      <c r="B3265" s="4" t="s">
        <v>63</v>
      </c>
      <c r="C3265" s="19" t="s">
        <v>710</v>
      </c>
      <c r="D3265" s="19" t="s">
        <v>711</v>
      </c>
      <c r="E3265" s="19" t="s">
        <v>712</v>
      </c>
      <c r="F3265" s="19" t="s">
        <v>713</v>
      </c>
      <c r="G3265" s="19" t="s">
        <v>714</v>
      </c>
      <c r="H3265" s="19" t="s">
        <v>715</v>
      </c>
      <c r="I3265" s="19" t="s">
        <v>716</v>
      </c>
      <c r="J3265" s="19" t="s">
        <v>717</v>
      </c>
      <c r="K3265" s="19" t="s">
        <v>718</v>
      </c>
      <c r="L3265" s="4" t="s">
        <v>47</v>
      </c>
    </row>
    <row r="3266" customFormat="false" ht="15" hidden="false" customHeight="false" outlineLevel="0" collapsed="false">
      <c r="A3266" s="0" t="s">
        <v>783</v>
      </c>
      <c r="B3266" s="0" t="s">
        <v>95</v>
      </c>
      <c r="D3266" s="6" t="n">
        <f aca="false">Sens!D3242</f>
        <v>72.61</v>
      </c>
      <c r="E3266" s="6" t="n">
        <f aca="false">Sens!E3242</f>
        <v>101.938</v>
      </c>
      <c r="F3266" s="6" t="n">
        <f aca="false">Sens!F3242</f>
        <v>148.812368967868</v>
      </c>
      <c r="G3266" s="6" t="n">
        <f aca="false">Sens!G3242</f>
        <v>208.397514344463</v>
      </c>
      <c r="H3266" s="6" t="n">
        <f aca="false">Sens!H3242</f>
        <v>274.05759259987</v>
      </c>
      <c r="I3266" s="6" t="n">
        <f aca="false">Sens!I3242</f>
        <v>333.373091964934</v>
      </c>
      <c r="J3266" s="6" t="n">
        <f aca="false">Sens!J3242</f>
        <v>391.214773806054</v>
      </c>
      <c r="K3266" s="6" t="n">
        <f aca="false">Sens!K3242</f>
        <v>446.513235535821</v>
      </c>
    </row>
    <row r="3267" customFormat="false" ht="17.15" hidden="false" customHeight="false" outlineLevel="0" collapsed="false">
      <c r="A3267" s="0" t="s">
        <v>780</v>
      </c>
      <c r="B3267" s="0" t="s">
        <v>95</v>
      </c>
      <c r="D3267" s="6" t="n">
        <f aca="false">Sens!D3239</f>
        <v>12.9359794422418</v>
      </c>
      <c r="E3267" s="6" t="n">
        <f aca="false">Sens!E3239</f>
        <v>27.8095064661409</v>
      </c>
      <c r="F3267" s="6" t="n">
        <f aca="false">Sens!F3239</f>
        <v>58.7324192305018</v>
      </c>
      <c r="G3267" s="6" t="n">
        <f aca="false">Sens!G3239</f>
        <v>101.369089141153</v>
      </c>
      <c r="H3267" s="6" t="n">
        <f aca="false">Sens!H3239</f>
        <v>149.785610014234</v>
      </c>
      <c r="I3267" s="6" t="n">
        <f aca="false">Sens!I3239</f>
        <v>192.439389583079</v>
      </c>
      <c r="J3267" s="6" t="n">
        <f aca="false">Sens!J3239</f>
        <v>235.195906491722</v>
      </c>
      <c r="K3267" s="6" t="n">
        <f aca="false">Sens!K3239</f>
        <v>278.012858836343</v>
      </c>
    </row>
    <row r="3268" customFormat="false" ht="17.15" hidden="false" customHeight="false" outlineLevel="0" collapsed="false">
      <c r="A3268" s="0" t="s">
        <v>807</v>
      </c>
      <c r="B3268" s="0" t="s">
        <v>95</v>
      </c>
      <c r="D3268" s="6" t="n">
        <f aca="false">Sens!D3240</f>
        <v>59.6740205577583</v>
      </c>
      <c r="E3268" s="6" t="n">
        <f aca="false">Sens!E3240</f>
        <v>74.1284935338591</v>
      </c>
      <c r="F3268" s="6" t="n">
        <f aca="false">Sens!F3240</f>
        <v>90.0799497373663</v>
      </c>
      <c r="G3268" s="6" t="n">
        <f aca="false">Sens!G3240</f>
        <v>107.02842520331</v>
      </c>
      <c r="H3268" s="6" t="n">
        <f aca="false">Sens!H3240</f>
        <v>124.271982585636</v>
      </c>
      <c r="I3268" s="6" t="n">
        <f aca="false">Sens!I3240</f>
        <v>140.933702381855</v>
      </c>
      <c r="J3268" s="6" t="n">
        <f aca="false">Sens!J3240</f>
        <v>156.018867314332</v>
      </c>
      <c r="K3268" s="6" t="n">
        <f aca="false">Sens!K3240</f>
        <v>168.500376699478</v>
      </c>
    </row>
    <row r="3269" customFormat="false" ht="15" hidden="false" customHeight="false" outlineLevel="0" collapsed="false">
      <c r="A3269" s="0" t="s">
        <v>788</v>
      </c>
      <c r="B3269" s="0" t="s">
        <v>95</v>
      </c>
      <c r="D3269" s="6" t="n">
        <f aca="false">Sens!D3247</f>
        <v>84.605</v>
      </c>
      <c r="E3269" s="6" t="n">
        <f aca="false">Sens!E3247</f>
        <v>100.299</v>
      </c>
      <c r="F3269" s="6" t="n">
        <f aca="false">Sens!F3247</f>
        <v>120.39238776686</v>
      </c>
      <c r="G3269" s="6" t="n">
        <f aca="false">Sens!G3247</f>
        <v>141.544168448684</v>
      </c>
      <c r="H3269" s="6" t="n">
        <f aca="false">Sens!H3247</f>
        <v>162.777359388781</v>
      </c>
      <c r="I3269" s="6" t="n">
        <f aca="false">Sens!I3247</f>
        <v>181.584028071957</v>
      </c>
      <c r="J3269" s="6" t="n">
        <f aca="false">Sens!J3247</f>
        <v>197.682702785465</v>
      </c>
      <c r="K3269" s="6" t="n">
        <f aca="false">Sens!K3247</f>
        <v>213.027991980448</v>
      </c>
    </row>
    <row r="3270" customFormat="false" ht="17.15" hidden="false" customHeight="false" outlineLevel="0" collapsed="false">
      <c r="A3270" s="0" t="s">
        <v>808</v>
      </c>
      <c r="B3270" s="0" t="s">
        <v>95</v>
      </c>
      <c r="D3270" s="6" t="n">
        <f aca="false">Sens!D3245</f>
        <v>83.705</v>
      </c>
      <c r="E3270" s="6" t="n">
        <f aca="false">Sens!E3245</f>
        <v>95.049</v>
      </c>
      <c r="F3270" s="6" t="n">
        <f aca="false">Sens!F3245</f>
        <v>106.89238776686</v>
      </c>
      <c r="G3270" s="6" t="n">
        <f aca="false">Sens!G3245</f>
        <v>119.044168448684</v>
      </c>
      <c r="H3270" s="6" t="n">
        <f aca="false">Sens!H3245</f>
        <v>131.277359388781</v>
      </c>
      <c r="I3270" s="6" t="n">
        <f aca="false">Sens!I3245</f>
        <v>143.334028071957</v>
      </c>
      <c r="J3270" s="6" t="n">
        <f aca="false">Sens!J3245</f>
        <v>154.932702785465</v>
      </c>
      <c r="K3270" s="6" t="n">
        <f aca="false">Sens!K3245</f>
        <v>165.777991980448</v>
      </c>
    </row>
    <row r="3271" customFormat="false" ht="17.15" hidden="false" customHeight="false" outlineLevel="0" collapsed="false">
      <c r="A3271" s="0" t="s">
        <v>809</v>
      </c>
      <c r="B3271" s="0" t="s">
        <v>95</v>
      </c>
      <c r="D3271" s="6" t="n">
        <f aca="false">Sens!D3244</f>
        <v>0.9</v>
      </c>
      <c r="E3271" s="6" t="n">
        <f aca="false">Sens!E3244</f>
        <v>5.25</v>
      </c>
      <c r="F3271" s="6" t="n">
        <f aca="false">Sens!F3244</f>
        <v>13.5</v>
      </c>
      <c r="G3271" s="6" t="n">
        <f aca="false">Sens!G3244</f>
        <v>22.5</v>
      </c>
      <c r="H3271" s="6" t="n">
        <f aca="false">Sens!H3244</f>
        <v>31.5</v>
      </c>
      <c r="I3271" s="6" t="n">
        <f aca="false">Sens!I3244</f>
        <v>38.25</v>
      </c>
      <c r="J3271" s="6" t="n">
        <f aca="false">Sens!J3244</f>
        <v>42.75</v>
      </c>
      <c r="K3271" s="6" t="n">
        <f aca="false">Sens!K3244</f>
        <v>47.25</v>
      </c>
    </row>
    <row r="3272" customFormat="false" ht="15" hidden="false" customHeight="false" outlineLevel="0" collapsed="false">
      <c r="A3272" s="0" t="s">
        <v>789</v>
      </c>
      <c r="B3272" s="0" t="s">
        <v>95</v>
      </c>
      <c r="D3272" s="6" t="n">
        <f aca="false">Sens!D3248</f>
        <v>35.391</v>
      </c>
      <c r="E3272" s="6" t="n">
        <f aca="false">Sens!E3248</f>
        <v>37.285</v>
      </c>
      <c r="F3272" s="6" t="n">
        <f aca="false">Sens!F3248</f>
        <v>39.0720834331704</v>
      </c>
      <c r="G3272" s="6" t="n">
        <f aca="false">Sens!G3248</f>
        <v>40.726562953769</v>
      </c>
      <c r="H3272" s="6" t="n">
        <f aca="false">Sens!H3248</f>
        <v>42.2235987259198</v>
      </c>
      <c r="I3272" s="6" t="n">
        <f aca="false">Sens!I3248</f>
        <v>43.5397988077414</v>
      </c>
      <c r="J3272" s="6" t="n">
        <f aca="false">Sens!J3248</f>
        <v>44.653811225693</v>
      </c>
      <c r="K3272" s="6" t="n">
        <f aca="false">Sens!K3248</f>
        <v>45.5468874502068</v>
      </c>
    </row>
    <row r="3273" customFormat="false" ht="15" hidden="false" customHeight="false" outlineLevel="0" collapsed="false">
      <c r="A3273" s="0" t="s">
        <v>790</v>
      </c>
      <c r="B3273" s="0" t="s">
        <v>95</v>
      </c>
      <c r="D3273" s="6" t="n">
        <f aca="false">Sens!D3250</f>
        <v>18.417</v>
      </c>
      <c r="E3273" s="6" t="n">
        <f aca="false">Sens!E3250</f>
        <v>20.345</v>
      </c>
      <c r="F3273" s="6" t="n">
        <f aca="false">Sens!F3250</f>
        <v>22.3572203267814</v>
      </c>
      <c r="G3273" s="6" t="n">
        <f aca="false">Sens!G3250</f>
        <v>24.4392124437232</v>
      </c>
      <c r="H3273" s="6" t="n">
        <f aca="false">Sens!H3250</f>
        <v>26.5738052080665</v>
      </c>
      <c r="I3273" s="6" t="n">
        <f aca="false">Sens!I3250</f>
        <v>28.7412169166967</v>
      </c>
      <c r="J3273" s="6" t="n">
        <f aca="false">Sens!J3250</f>
        <v>30.9192545395413</v>
      </c>
      <c r="K3273" s="6" t="n">
        <f aca="false">Sens!K3250</f>
        <v>33.0836023573092</v>
      </c>
    </row>
    <row r="3274" customFormat="false" ht="15" hidden="false" customHeight="false" outlineLevel="0" collapsed="false">
      <c r="A3274" s="0" t="s">
        <v>791</v>
      </c>
      <c r="B3274" s="0" t="s">
        <v>95</v>
      </c>
      <c r="D3274" s="6" t="n">
        <f aca="false">Sens!D3252</f>
        <v>7.76</v>
      </c>
      <c r="E3274" s="6" t="n">
        <f aca="false">Sens!E3252</f>
        <v>8.26</v>
      </c>
      <c r="F3274" s="6" t="n">
        <f aca="false">Sens!F3252</f>
        <v>8.79988041237113</v>
      </c>
      <c r="G3274" s="6" t="n">
        <f aca="false">Sens!G3252</f>
        <v>9.38321269125306</v>
      </c>
      <c r="H3274" s="6" t="n">
        <f aca="false">Sens!H3252</f>
        <v>10.0139193587476</v>
      </c>
      <c r="I3274" s="6" t="n">
        <f aca="false">Sens!I3252</f>
        <v>10.6963111830911</v>
      </c>
      <c r="J3274" s="6" t="n">
        <f aca="false">Sens!J3252</f>
        <v>11.4351285534696</v>
      </c>
      <c r="K3274" s="6" t="n">
        <f aca="false">Sens!K3252</f>
        <v>12.2355875522124</v>
      </c>
    </row>
    <row r="3275" customFormat="false" ht="15" hidden="false" customHeight="false" outlineLevel="0" collapsed="false">
      <c r="A3275" s="0" t="s">
        <v>626</v>
      </c>
      <c r="B3275" s="0" t="s">
        <v>95</v>
      </c>
      <c r="D3275" s="6" t="n">
        <f aca="false">Sens!D3254</f>
        <v>218.783</v>
      </c>
      <c r="E3275" s="6" t="n">
        <f aca="false">Sens!E3254</f>
        <v>268.127</v>
      </c>
      <c r="F3275" s="6" t="n">
        <f aca="false">Sens!F3254</f>
        <v>339.433940907051</v>
      </c>
      <c r="G3275" s="6" t="n">
        <f aca="false">Sens!G3254</f>
        <v>424.490670881892</v>
      </c>
      <c r="H3275" s="6" t="n">
        <f aca="false">Sens!H3254</f>
        <v>515.646275281385</v>
      </c>
      <c r="I3275" s="6" t="n">
        <f aca="false">Sens!I3254</f>
        <v>597.93444694442</v>
      </c>
      <c r="J3275" s="6" t="n">
        <f aca="false">Sens!J3254</f>
        <v>675.905670910223</v>
      </c>
      <c r="K3275" s="6" t="n">
        <f aca="false">Sens!K3254</f>
        <v>750.407304875998</v>
      </c>
    </row>
    <row r="3276" customFormat="false" ht="15" hidden="false" customHeight="false" outlineLevel="0" collapsed="false">
      <c r="A3276" s="0" t="s">
        <v>792</v>
      </c>
      <c r="B3276" s="0" t="s">
        <v>95</v>
      </c>
      <c r="D3276" s="6" t="n">
        <f aca="false">Sens!D3255</f>
        <v>22.171</v>
      </c>
      <c r="E3276" s="6" t="n">
        <f aca="false">Sens!E3255</f>
        <v>24.835</v>
      </c>
      <c r="F3276" s="6" t="n">
        <f aca="false">Sens!F3255</f>
        <v>27.6114901218559</v>
      </c>
      <c r="G3276" s="6" t="n">
        <f aca="false">Sens!G3255</f>
        <v>30.4675667338515</v>
      </c>
      <c r="H3276" s="6" t="n">
        <f aca="false">Sens!H3255</f>
        <v>33.3643766955789</v>
      </c>
      <c r="I3276" s="6" t="n">
        <f aca="false">Sens!I3255</f>
        <v>36.2577016533691</v>
      </c>
      <c r="J3276" s="6" t="n">
        <f aca="false">Sens!J3255</f>
        <v>39.0988367952171</v>
      </c>
      <c r="K3276" s="6" t="n">
        <f aca="false">Sens!K3255</f>
        <v>41.8357553708823</v>
      </c>
    </row>
    <row r="3277" customFormat="false" ht="15" hidden="false" customHeight="false" outlineLevel="0" collapsed="false">
      <c r="A3277" s="0" t="s">
        <v>793</v>
      </c>
      <c r="B3277" s="0" t="s">
        <v>95</v>
      </c>
      <c r="D3277" s="6" t="n">
        <f aca="false">Sens!D3257</f>
        <v>23.455</v>
      </c>
      <c r="E3277" s="6" t="n">
        <f aca="false">Sens!E3257</f>
        <v>21.79</v>
      </c>
      <c r="F3277" s="6" t="n">
        <f aca="false">Sens!F3257</f>
        <v>20.5736277908051</v>
      </c>
      <c r="G3277" s="6" t="n">
        <f aca="false">Sens!G3257</f>
        <v>19.7371452817919</v>
      </c>
      <c r="H3277" s="6" t="n">
        <f aca="false">Sens!H3257</f>
        <v>19.2339764043138</v>
      </c>
      <c r="I3277" s="6" t="n">
        <f aca="false">Sens!I3257</f>
        <v>19.0353086852681</v>
      </c>
      <c r="J3277" s="6" t="n">
        <f aca="false">Sens!J3257</f>
        <v>19.1273539319129</v>
      </c>
      <c r="K3277" s="6" t="n">
        <f aca="false">Sens!K3257</f>
        <v>19.5099010105511</v>
      </c>
    </row>
    <row r="3278" customFormat="false" ht="15" hidden="false" customHeight="false" outlineLevel="0" collapsed="false">
      <c r="A3278" s="0" t="s">
        <v>794</v>
      </c>
      <c r="B3278" s="0" t="s">
        <v>95</v>
      </c>
      <c r="D3278" s="6" t="n">
        <f aca="false">Sens!D3259</f>
        <v>17.315</v>
      </c>
      <c r="E3278" s="6" t="n">
        <f aca="false">Sens!E3259</f>
        <v>17.087</v>
      </c>
      <c r="F3278" s="6" t="n">
        <f aca="false">Sens!F3259</f>
        <v>16.9564585436519</v>
      </c>
      <c r="G3278" s="6" t="n">
        <f aca="false">Sens!G3259</f>
        <v>16.9206490624268</v>
      </c>
      <c r="H3278" s="6" t="n">
        <f aca="false">Sens!H3259</f>
        <v>16.9784519149849</v>
      </c>
      <c r="I3278" s="6" t="n">
        <f aca="false">Sens!I3259</f>
        <v>17.1303084701817</v>
      </c>
      <c r="J3278" s="6" t="n">
        <f aca="false">Sens!J3259</f>
        <v>17.3782189407267</v>
      </c>
      <c r="K3278" s="6" t="n">
        <f aca="false">Sens!K3259</f>
        <v>17.7257833195413</v>
      </c>
    </row>
    <row r="3279" customFormat="false" ht="15" hidden="false" customHeight="false" outlineLevel="0" collapsed="false">
      <c r="A3279" s="0" t="s">
        <v>640</v>
      </c>
      <c r="B3279" s="0" t="s">
        <v>95</v>
      </c>
      <c r="D3279" s="6" t="n">
        <f aca="false">Sens!D3261</f>
        <v>62.941</v>
      </c>
      <c r="E3279" s="6" t="n">
        <f aca="false">Sens!E3261</f>
        <v>63.712</v>
      </c>
      <c r="F3279" s="6" t="n">
        <f aca="false">Sens!F3261</f>
        <v>65.1415764563129</v>
      </c>
      <c r="G3279" s="6" t="n">
        <f aca="false">Sens!G3261</f>
        <v>67.1253610780702</v>
      </c>
      <c r="H3279" s="6" t="n">
        <f aca="false">Sens!H3261</f>
        <v>69.5768050148776</v>
      </c>
      <c r="I3279" s="6" t="n">
        <f aca="false">Sens!I3261</f>
        <v>72.4233188088189</v>
      </c>
      <c r="J3279" s="6" t="n">
        <f aca="false">Sens!J3261</f>
        <v>75.6044096678567</v>
      </c>
      <c r="K3279" s="6" t="n">
        <f aca="false">Sens!K3261</f>
        <v>79.0714397009747</v>
      </c>
    </row>
    <row r="3280" customFormat="false" ht="15" hidden="false" customHeight="false" outlineLevel="0" collapsed="false">
      <c r="A3280" s="1" t="s">
        <v>810</v>
      </c>
      <c r="B3280" s="0" t="s">
        <v>95</v>
      </c>
      <c r="D3280" s="6" t="n">
        <f aca="false">Sens!D3262</f>
        <v>281.724</v>
      </c>
      <c r="E3280" s="6" t="n">
        <f aca="false">Sens!E3262</f>
        <v>331.839</v>
      </c>
      <c r="F3280" s="6" t="n">
        <f aca="false">Sens!F3262</f>
        <v>404.575517363364</v>
      </c>
      <c r="G3280" s="6" t="n">
        <f aca="false">Sens!G3262</f>
        <v>491.616031959962</v>
      </c>
      <c r="H3280" s="6" t="n">
        <f aca="false">Sens!H3262</f>
        <v>585.223080296262</v>
      </c>
      <c r="I3280" s="6" t="n">
        <f aca="false">Sens!I3262</f>
        <v>670.357765753239</v>
      </c>
      <c r="J3280" s="6" t="n">
        <f aca="false">Sens!J3262</f>
        <v>751.510080578079</v>
      </c>
      <c r="K3280" s="6" t="n">
        <f aca="false">Sens!K3262</f>
        <v>829.478744576972</v>
      </c>
    </row>
    <row r="3281" customFormat="false" ht="15" hidden="false" customHeight="false" outlineLevel="0" collapsed="false">
      <c r="A3281" s="1" t="s">
        <v>811</v>
      </c>
      <c r="B3281" s="0" t="s">
        <v>126</v>
      </c>
      <c r="E3281" s="7" t="n">
        <f aca="false">Sens!E3280/Sens!D3280-1</f>
        <v>0.177886867998467</v>
      </c>
      <c r="F3281" s="7" t="n">
        <f aca="false">Sens!F3280/Sens!E3280-1</f>
        <v>0.219192190680914</v>
      </c>
      <c r="G3281" s="7" t="n">
        <f aca="false">Sens!G3280/Sens!F3280-1</f>
        <v>0.215140340581766</v>
      </c>
      <c r="H3281" s="7" t="n">
        <f aca="false">Sens!H3280/Sens!G3280-1</f>
        <v>0.19040682616291</v>
      </c>
      <c r="I3281" s="7" t="n">
        <f aca="false">Sens!I3280/Sens!H3280-1</f>
        <v>0.14547390272762</v>
      </c>
      <c r="J3281" s="7" t="n">
        <f aca="false">Sens!J3280/Sens!I3280-1</f>
        <v>0.121058215434641</v>
      </c>
      <c r="K3281" s="7" t="n">
        <f aca="false">Sens!K3280/Sens!J3280-1</f>
        <v>0.103749325543202</v>
      </c>
    </row>
    <row r="3282" customFormat="false" ht="17.15" hidden="false" customHeight="false" outlineLevel="0" collapsed="false">
      <c r="A3282" s="22" t="s">
        <v>812</v>
      </c>
      <c r="B3282" s="28" t="s">
        <v>95</v>
      </c>
      <c r="C3282" s="28"/>
      <c r="D3282" s="23" t="n">
        <f aca="false">(Sens!D3275+Sens!D3279-Sens!D3280)+(Sens!D3267+Sens!D3268-Sens!D3266)+(Sens!D3270+Sens!D3271-Sens!D3269)+(Sens!D3280-Q!L18)</f>
        <v>0</v>
      </c>
      <c r="E3282" s="23" t="n">
        <f aca="false">(Sens!E3275+Sens!E3279-Sens!E3280)+(Sens!E3267+Sens!E3268-Sens!E3266)+(Sens!E3270+Sens!E3271-Sens!E3269)+(Sens!E3280-Q!M18)</f>
        <v>0</v>
      </c>
      <c r="F3282" s="23" t="n">
        <f aca="false">(Sens!F3275+Sens!F3279-Sens!F3280)+(Sens!F3267+Sens!F3268-Sens!F3266)+(Sens!F3270+Sens!F3271-Sens!F3269)</f>
        <v>0</v>
      </c>
      <c r="G3282" s="23" t="n">
        <f aca="false">(Sens!G3275+Sens!G3279-Sens!G3280)+(Sens!G3267+Sens!G3268-Sens!G3266)+(Sens!G3270+Sens!G3271-Sens!G3269)</f>
        <v>0</v>
      </c>
      <c r="H3282" s="23" t="n">
        <f aca="false">(Sens!H3275+Sens!H3279-Sens!H3280)+(Sens!H3267+Sens!H3268-Sens!H3266)+(Sens!H3270+Sens!H3271-Sens!H3269)</f>
        <v>0</v>
      </c>
      <c r="I3282" s="23" t="n">
        <f aca="false">(Sens!I3275+Sens!I3279-Sens!I3280)+(Sens!I3267+Sens!I3268-Sens!I3266)+(Sens!I3270+Sens!I3271-Sens!I3269)</f>
        <v>0</v>
      </c>
      <c r="J3282" s="23" t="n">
        <f aca="false">(Sens!J3275+Sens!J3279-Sens!J3280)+(Sens!J3267+Sens!J3268-Sens!J3266)+(Sens!J3270+Sens!J3271-Sens!J3269)</f>
        <v>0</v>
      </c>
      <c r="K3282" s="23" t="n">
        <f aca="false">(Sens!K3275+Sens!K3279-Sens!K3280)+(Sens!K3267+Sens!K3268-Sens!K3266)+(Sens!K3270+Sens!K3271-Sens!K3269)</f>
        <v>0</v>
      </c>
    </row>
    <row r="3283" customFormat="false" ht="17.15" hidden="false" customHeight="false" outlineLevel="0" collapsed="false">
      <c r="A3283" s="0" t="s">
        <v>813</v>
      </c>
      <c r="B3283" s="0" t="s">
        <v>126</v>
      </c>
      <c r="E3283" s="7" t="n">
        <f aca="false">(Q!M21+Sens!E3220+Sens!E3221+Sens!E3222+Sens!E3235-Sens!E3218)/(Q!M5-Sens!E3218)</f>
        <v>0.583491251973566</v>
      </c>
      <c r="F3283" s="7" t="n">
        <f aca="false">Sens!$E$3283+dm_seg</f>
        <v>0.583491251973566</v>
      </c>
      <c r="G3283" s="7" t="n">
        <f aca="false">Sens!$E$3283+dm_seg</f>
        <v>0.583491251973566</v>
      </c>
      <c r="H3283" s="7" t="n">
        <f aca="false">Sens!$E$3283+dm_seg</f>
        <v>0.583491251973566</v>
      </c>
      <c r="I3283" s="7" t="n">
        <f aca="false">Sens!$E$3283+dm_seg</f>
        <v>0.583491251973566</v>
      </c>
      <c r="J3283" s="7" t="n">
        <f aca="false">Sens!$E$3283+dm_seg</f>
        <v>0.583491251973566</v>
      </c>
      <c r="K3283" s="7" t="n">
        <f aca="false">Sens!$E$3283+dm_seg</f>
        <v>0.583491251973566</v>
      </c>
      <c r="L3283" s="11" t="s">
        <v>814</v>
      </c>
    </row>
    <row r="3284" customFormat="false" ht="17.15" hidden="false" customHeight="false" outlineLevel="0" collapsed="false">
      <c r="A3284" s="0" t="s">
        <v>654</v>
      </c>
      <c r="B3284" s="0" t="s">
        <v>95</v>
      </c>
      <c r="D3284" s="6" t="n">
        <f aca="false">Q!L21</f>
        <v>110.814</v>
      </c>
      <c r="E3284" s="6" t="n">
        <f aca="false">Q!M21</f>
        <v>136.365</v>
      </c>
      <c r="F3284" s="6" t="n">
        <f aca="false">Sens!F3283*(Sens!F3254-Sens!F3218)+Sens!F3218-(Sens!F3220+Sens!F3221+Sens!F3222)-Sens!F3235</f>
        <v>159.197300641118</v>
      </c>
      <c r="G3284" s="6" t="n">
        <f aca="false">Sens!G3283*(Sens!G3254-Sens!G3218)+Sens!G3218-(Sens!G3220+Sens!G3221+Sens!G3222)-Sens!G3235</f>
        <v>184.443491722916</v>
      </c>
      <c r="H3284" s="6" t="n">
        <f aca="false">Sens!H3283*(Sens!H3254-Sens!H3218)+Sens!H3218-(Sens!H3220+Sens!H3221+Sens!H3222)-Sens!H3235</f>
        <v>213.465863516553</v>
      </c>
      <c r="I3284" s="6" t="n">
        <f aca="false">Sens!I3283*(Sens!I3254-Sens!I3218)+Sens!I3218-(Sens!I3220+Sens!I3221+Sens!I3222)-Sens!I3235</f>
        <v>233.265828495568</v>
      </c>
      <c r="J3284" s="6" t="n">
        <f aca="false">Sens!J3283*(Sens!J3254-Sens!J3218)+Sens!J3218-(Sens!J3220+Sens!J3221+Sens!J3222)-Sens!J3235</f>
        <v>249.028514951368</v>
      </c>
      <c r="K3284" s="6" t="n">
        <f aca="false">Sens!K3283*(Sens!K3254-Sens!K3218)+Sens!K3218-(Sens!K3220+Sens!K3221+Sens!K3222)-Sens!K3235</f>
        <v>263.521235713303</v>
      </c>
      <c r="L3284" s="1" t="s">
        <v>815</v>
      </c>
    </row>
    <row r="3285" customFormat="false" ht="17.15" hidden="false" customHeight="false" outlineLevel="0" collapsed="false">
      <c r="A3285" s="0" t="s">
        <v>816</v>
      </c>
      <c r="B3285" s="0" t="s">
        <v>126</v>
      </c>
      <c r="E3285" s="7" t="n">
        <f aca="false">Q!M22/Q!M12</f>
        <v>0.296207935710698</v>
      </c>
      <c r="F3285" s="7" t="n">
        <f aca="false">Sens!$E$3285+dm_seg</f>
        <v>0.296207935710698</v>
      </c>
      <c r="G3285" s="7" t="n">
        <f aca="false">Sens!$E$3285+dm_seg</f>
        <v>0.296207935710698</v>
      </c>
      <c r="H3285" s="7" t="n">
        <f aca="false">Sens!$E$3285+dm_seg</f>
        <v>0.296207935710698</v>
      </c>
      <c r="I3285" s="7" t="n">
        <f aca="false">Sens!$E$3285+dm_seg</f>
        <v>0.296207935710698</v>
      </c>
      <c r="J3285" s="7" t="n">
        <f aca="false">Sens!$E$3285+dm_seg</f>
        <v>0.296207935710698</v>
      </c>
      <c r="K3285" s="7" t="n">
        <f aca="false">Sens!$E$3285+dm_seg</f>
        <v>0.296207935710698</v>
      </c>
      <c r="L3285" s="11" t="s">
        <v>817</v>
      </c>
    </row>
    <row r="3286" customFormat="false" ht="17.15" hidden="false" customHeight="false" outlineLevel="0" collapsed="false">
      <c r="A3286" s="0" t="s">
        <v>656</v>
      </c>
      <c r="B3286" s="0" t="s">
        <v>95</v>
      </c>
      <c r="D3286" s="6" t="n">
        <f aca="false">Q!L22</f>
        <v>17.714</v>
      </c>
      <c r="E3286" s="6" t="n">
        <f aca="false">Q!M22</f>
        <v>18.872</v>
      </c>
      <c r="F3286" s="6" t="n">
        <f aca="false">Sens!F3261*Sens!F3285</f>
        <v>19.2954518910651</v>
      </c>
      <c r="G3286" s="6" t="n">
        <f aca="false">Sens!G3261*Sens!G3285</f>
        <v>19.8830646387704</v>
      </c>
      <c r="H3286" s="6" t="n">
        <f aca="false">Sens!H3261*Sens!H3285</f>
        <v>20.6092017868026</v>
      </c>
      <c r="I3286" s="6" t="n">
        <f aca="false">Sens!I3261*Sens!I3285</f>
        <v>21.452361761678</v>
      </c>
      <c r="J3286" s="6" t="n">
        <f aca="false">Sens!J3261*Sens!J3285</f>
        <v>22.3946261183418</v>
      </c>
      <c r="K3286" s="6" t="n">
        <f aca="false">Sens!K3261*Sens!K3285</f>
        <v>23.4215879274986</v>
      </c>
    </row>
    <row r="3287" customFormat="false" ht="15" hidden="false" customHeight="false" outlineLevel="0" collapsed="false">
      <c r="A3287" s="1" t="s">
        <v>818</v>
      </c>
      <c r="B3287" s="0" t="s">
        <v>95</v>
      </c>
      <c r="D3287" s="6" t="n">
        <f aca="false">Sens!D3284+Sens!D3286</f>
        <v>128.528</v>
      </c>
      <c r="E3287" s="6" t="n">
        <f aca="false">Sens!E3284+Sens!E3286</f>
        <v>155.237</v>
      </c>
      <c r="F3287" s="6" t="n">
        <f aca="false">Sens!F3284+Sens!F3286</f>
        <v>178.492752532183</v>
      </c>
      <c r="G3287" s="6" t="n">
        <f aca="false">Sens!G3284+Sens!G3286</f>
        <v>204.326556361686</v>
      </c>
      <c r="H3287" s="6" t="n">
        <f aca="false">Sens!H3284+Sens!H3286</f>
        <v>234.075065303356</v>
      </c>
      <c r="I3287" s="6" t="n">
        <f aca="false">Sens!I3284+Sens!I3286</f>
        <v>254.718190257246</v>
      </c>
      <c r="J3287" s="6" t="n">
        <f aca="false">Sens!J3284+Sens!J3286</f>
        <v>271.42314106971</v>
      </c>
      <c r="K3287" s="6" t="n">
        <f aca="false">Sens!K3284+Sens!K3286</f>
        <v>286.942823640802</v>
      </c>
    </row>
    <row r="3288" customFormat="false" ht="15" hidden="false" customHeight="false" outlineLevel="0" collapsed="false">
      <c r="A3288" s="22" t="s">
        <v>819</v>
      </c>
      <c r="B3288" s="28" t="s">
        <v>95</v>
      </c>
      <c r="C3288" s="28"/>
      <c r="D3288" s="23" t="n">
        <f aca="false">Sens!D3287-Q!L23</f>
        <v>0</v>
      </c>
      <c r="E3288" s="23" t="n">
        <f aca="false">Sens!E3287-Q!M23</f>
        <v>0</v>
      </c>
      <c r="F3288" s="28"/>
      <c r="G3288" s="28"/>
      <c r="H3288" s="28"/>
      <c r="I3288" s="28"/>
      <c r="J3288" s="28"/>
      <c r="K3288" s="28"/>
    </row>
    <row r="3289" customFormat="false" ht="15" hidden="false" customHeight="false" outlineLevel="0" collapsed="false">
      <c r="A3289" s="1" t="s">
        <v>820</v>
      </c>
      <c r="B3289" s="0" t="s">
        <v>126</v>
      </c>
      <c r="D3289" s="7" t="n">
        <f aca="false">Sens!D3287/Sens!D3280</f>
        <v>0.456219562408598</v>
      </c>
      <c r="E3289" s="7" t="n">
        <f aca="false">Sens!E3287/Sens!E3280</f>
        <v>0.467808184089272</v>
      </c>
      <c r="F3289" s="7" t="n">
        <f aca="false">Sens!F3287/Sens!F3280</f>
        <v>0.4411852543511</v>
      </c>
      <c r="G3289" s="7" t="n">
        <f aca="false">Sens!G3287/Sens!G3280</f>
        <v>0.415622239875055</v>
      </c>
      <c r="H3289" s="7" t="n">
        <f aca="false">Sens!H3287/Sens!H3280</f>
        <v>0.399975792453124</v>
      </c>
      <c r="I3289" s="7" t="n">
        <f aca="false">Sens!I3287/Sens!I3280</f>
        <v>0.379973505596724</v>
      </c>
      <c r="J3289" s="7" t="n">
        <f aca="false">Sens!J3287/Sens!J3280</f>
        <v>0.361170326365982</v>
      </c>
      <c r="K3289" s="7" t="n">
        <f aca="false">Sens!K3287/Sens!K3280</f>
        <v>0.345931496758414</v>
      </c>
    </row>
    <row r="3290" customFormat="false" ht="17.15" hidden="false" customHeight="false" outlineLevel="0" collapsed="false">
      <c r="A3290" s="1" t="s">
        <v>821</v>
      </c>
      <c r="B3290" s="0" t="s">
        <v>95</v>
      </c>
      <c r="E3290" s="6" t="n">
        <f aca="false">Sens!E3235</f>
        <v>19.3175216725</v>
      </c>
      <c r="F3290" s="6" t="n">
        <f aca="false">Sens!F3235</f>
        <v>41.1845045270438</v>
      </c>
      <c r="G3290" s="6" t="n">
        <f aca="false">Sens!G3235</f>
        <v>71.7817957524075</v>
      </c>
      <c r="H3290" s="6" t="n">
        <f aca="false">Sens!H3235</f>
        <v>104.916827867267</v>
      </c>
      <c r="I3290" s="6" t="n">
        <f aca="false">Sens!I3235</f>
        <v>139.669147087848</v>
      </c>
      <c r="J3290" s="6" t="n">
        <f aca="false">Sens!J3235</f>
        <v>175.966524459428</v>
      </c>
      <c r="K3290" s="6" t="n">
        <f aca="false">Sens!K3235</f>
        <v>211.52508716947</v>
      </c>
    </row>
    <row r="3291" customFormat="false" ht="17.15" hidden="false" customHeight="false" outlineLevel="0" collapsed="false">
      <c r="A3291" s="1" t="s">
        <v>822</v>
      </c>
      <c r="B3291" s="0" t="s">
        <v>95</v>
      </c>
      <c r="E3291" s="6" t="n">
        <f aca="false">Sens!E3311</f>
        <v>19.2164783275</v>
      </c>
      <c r="F3291" s="6" t="n">
        <f aca="false">Sens!F3311</f>
        <v>20.8677652177062</v>
      </c>
      <c r="G3291" s="6" t="n">
        <f aca="false">Sens!G3311</f>
        <v>22.9412780529745</v>
      </c>
      <c r="H3291" s="6" t="n">
        <f aca="false">Sens!H3311</f>
        <v>25.4033016120861</v>
      </c>
      <c r="I3291" s="6" t="n">
        <f aca="false">Sens!I3311</f>
        <v>28.1803114820418</v>
      </c>
      <c r="J3291" s="6" t="n">
        <f aca="false">Sens!J3311</f>
        <v>31.182871658875</v>
      </c>
      <c r="K3291" s="6" t="n">
        <f aca="false">Sens!K3311</f>
        <v>34.3289547671869</v>
      </c>
    </row>
    <row r="3292" customFormat="false" ht="17.15" hidden="false" customHeight="false" outlineLevel="0" collapsed="false">
      <c r="A3292" s="1" t="s">
        <v>823</v>
      </c>
      <c r="B3292" s="0" t="s">
        <v>95</v>
      </c>
      <c r="D3292" s="6" t="n">
        <f aca="false">Q!L27</f>
        <v>-4.901</v>
      </c>
      <c r="E3292" s="6" t="n">
        <f aca="false">Q!M27</f>
        <v>10.697</v>
      </c>
      <c r="F3292" s="6" t="n">
        <f aca="false">oie_f</f>
        <v>-0.4</v>
      </c>
      <c r="G3292" s="6" t="n">
        <f aca="false">oie_f</f>
        <v>-0.4</v>
      </c>
      <c r="H3292" s="6" t="n">
        <f aca="false">oie_f</f>
        <v>-0.4</v>
      </c>
      <c r="I3292" s="6" t="n">
        <f aca="false">oie_f</f>
        <v>-0.4</v>
      </c>
      <c r="J3292" s="6" t="n">
        <f aca="false">oie_f</f>
        <v>-0.4</v>
      </c>
      <c r="K3292" s="6" t="n">
        <f aca="false">oie_f</f>
        <v>-0.4</v>
      </c>
      <c r="L3292" s="11" t="s">
        <v>824</v>
      </c>
    </row>
    <row r="3293" customFormat="false" ht="15" hidden="false" customHeight="false" outlineLevel="0" collapsed="false">
      <c r="A3293" s="1" t="s">
        <v>666</v>
      </c>
      <c r="B3293" s="0" t="s">
        <v>95</v>
      </c>
      <c r="D3293" s="6" t="n">
        <f aca="false">Sens!D3287+Sens!D3292</f>
        <v>123.627</v>
      </c>
      <c r="E3293" s="6" t="n">
        <f aca="false">Sens!E3287+Sens!E3292</f>
        <v>165.934</v>
      </c>
      <c r="F3293" s="6" t="n">
        <f aca="false">Sens!F3287+Sens!F3292</f>
        <v>178.092752532183</v>
      </c>
      <c r="G3293" s="6" t="n">
        <f aca="false">Sens!G3287+Sens!G3292</f>
        <v>203.926556361686</v>
      </c>
      <c r="H3293" s="6" t="n">
        <f aca="false">Sens!H3287+Sens!H3292</f>
        <v>233.675065303356</v>
      </c>
      <c r="I3293" s="6" t="n">
        <f aca="false">Sens!I3287+Sens!I3292</f>
        <v>254.318190257246</v>
      </c>
      <c r="J3293" s="6" t="n">
        <f aca="false">Sens!J3287+Sens!J3292</f>
        <v>271.02314106971</v>
      </c>
      <c r="K3293" s="6" t="n">
        <f aca="false">Sens!K3287+Sens!K3292</f>
        <v>286.542823640802</v>
      </c>
    </row>
    <row r="3294" customFormat="false" ht="15" hidden="false" customHeight="false" outlineLevel="0" collapsed="false">
      <c r="A3294" s="1" t="s">
        <v>668</v>
      </c>
      <c r="B3294" s="0" t="s">
        <v>95</v>
      </c>
      <c r="D3294" s="6" t="n">
        <f aca="false">Q!L29</f>
        <v>21.795</v>
      </c>
      <c r="E3294" s="6" t="n">
        <f aca="false">Q!M29</f>
        <v>32.185</v>
      </c>
      <c r="F3294" s="6" t="n">
        <f aca="false">Sens!F3293*tax_f</f>
        <v>35.6185505064367</v>
      </c>
      <c r="G3294" s="6" t="n">
        <f aca="false">Sens!G3293*tax_f</f>
        <v>40.7853112723372</v>
      </c>
      <c r="H3294" s="6" t="n">
        <f aca="false">Sens!H3293*tax_f</f>
        <v>46.7350130606712</v>
      </c>
      <c r="I3294" s="6" t="n">
        <f aca="false">Sens!I3293*tax_f</f>
        <v>50.8636380514491</v>
      </c>
      <c r="J3294" s="6" t="n">
        <f aca="false">Sens!J3293*tax_f</f>
        <v>54.204628213942</v>
      </c>
      <c r="K3294" s="6" t="n">
        <f aca="false">Sens!K3293*tax_f</f>
        <v>57.3085647281604</v>
      </c>
    </row>
    <row r="3295" customFormat="false" ht="15" hidden="false" customHeight="false" outlineLevel="0" collapsed="false">
      <c r="A3295" s="1" t="s">
        <v>825</v>
      </c>
      <c r="B3295" s="0" t="s">
        <v>95</v>
      </c>
      <c r="D3295" s="6" t="n">
        <f aca="false">Sens!D3293-Sens!D3294</f>
        <v>101.832</v>
      </c>
      <c r="E3295" s="6" t="n">
        <f aca="false">Sens!E3293-Sens!E3294</f>
        <v>133.749</v>
      </c>
      <c r="F3295" s="6" t="n">
        <f aca="false">Sens!F3293-Sens!F3294</f>
        <v>142.474202025747</v>
      </c>
      <c r="G3295" s="6" t="n">
        <f aca="false">Sens!G3293-Sens!G3294</f>
        <v>163.141245089349</v>
      </c>
      <c r="H3295" s="6" t="n">
        <f aca="false">Sens!H3293-Sens!H3294</f>
        <v>186.940052242685</v>
      </c>
      <c r="I3295" s="6" t="n">
        <f aca="false">Sens!I3293-Sens!I3294</f>
        <v>203.454552205796</v>
      </c>
      <c r="J3295" s="6" t="n">
        <f aca="false">Sens!J3293-Sens!J3294</f>
        <v>216.818512855768</v>
      </c>
      <c r="K3295" s="6" t="n">
        <f aca="false">Sens!K3293-Sens!K3294</f>
        <v>229.234258912642</v>
      </c>
    </row>
    <row r="3296" customFormat="false" ht="17.15" hidden="false" customHeight="false" outlineLevel="0" collapsed="false">
      <c r="A3296" s="1" t="s">
        <v>826</v>
      </c>
      <c r="B3296" s="1" t="s">
        <v>79</v>
      </c>
      <c r="D3296" s="18" t="n">
        <f aca="false">Q!L31</f>
        <v>7.465</v>
      </c>
      <c r="E3296" s="18" t="n">
        <f aca="false">Q!M31</f>
        <v>7.453</v>
      </c>
      <c r="F3296" s="18" t="n">
        <f aca="false">Sens!F3333</f>
        <v>7.4735</v>
      </c>
      <c r="G3296" s="18" t="n">
        <f aca="false">Sens!G3333</f>
        <v>7.50552378036399</v>
      </c>
      <c r="H3296" s="18" t="n">
        <f aca="false">Sens!H3333</f>
        <v>7.52029914657793</v>
      </c>
      <c r="I3296" s="18" t="n">
        <f aca="false">Sens!I3333</f>
        <v>7.53207997858524</v>
      </c>
      <c r="J3296" s="18" t="n">
        <f aca="false">Sens!J3333</f>
        <v>7.54632148970312</v>
      </c>
      <c r="K3296" s="18" t="n">
        <f aca="false">Sens!K3333</f>
        <v>7.56284140740486</v>
      </c>
    </row>
    <row r="3297" customFormat="false" ht="17.15" hidden="false" customHeight="false" outlineLevel="0" collapsed="false">
      <c r="A3297" s="0" t="s">
        <v>827</v>
      </c>
      <c r="B3297" s="0" t="s">
        <v>73</v>
      </c>
      <c r="D3297" s="8" t="n">
        <f aca="false">Sens!D3295/Sens!D3296</f>
        <v>13.641259209645</v>
      </c>
      <c r="E3297" s="8" t="n">
        <f aca="false">Sens!E3295/Sens!E3296</f>
        <v>17.9456594659869</v>
      </c>
      <c r="F3297" s="8" t="n">
        <f aca="false">Sens!F3295/Sens!F3296</f>
        <v>19.0639194521639</v>
      </c>
      <c r="G3297" s="8" t="n">
        <f aca="false">Sens!G3295/Sens!G3296</f>
        <v>21.7361572441034</v>
      </c>
      <c r="H3297" s="8" t="n">
        <f aca="false">Sens!H3295/Sens!H3296</f>
        <v>24.858060643472</v>
      </c>
      <c r="I3297" s="8" t="n">
        <f aca="false">Sens!I3295/Sens!I3296</f>
        <v>27.0117355078871</v>
      </c>
      <c r="J3297" s="8" t="n">
        <f aca="false">Sens!J3295/Sens!J3296</f>
        <v>28.7316824696131</v>
      </c>
      <c r="K3297" s="8" t="n">
        <f aca="false">Sens!K3295/Sens!K3296</f>
        <v>30.3105997552978</v>
      </c>
      <c r="L3297" s="1" t="s">
        <v>828</v>
      </c>
    </row>
    <row r="3298" customFormat="false" ht="17.15" hidden="false" customHeight="false" outlineLevel="0" collapsed="false">
      <c r="A3298" s="0" t="s">
        <v>829</v>
      </c>
      <c r="B3298" s="0" t="s">
        <v>126</v>
      </c>
      <c r="E3298" s="7" t="n">
        <f aca="false">Sens!E3297/Sens!D3297-1</f>
        <v>0.315542736208578</v>
      </c>
      <c r="F3298" s="7" t="n">
        <f aca="false">Sens!F3297/Sens!E3297-1</f>
        <v>0.0623136746964643</v>
      </c>
      <c r="G3298" s="7" t="n">
        <f aca="false">Sens!G3297/Sens!F3297-1</f>
        <v>0.140172528458526</v>
      </c>
      <c r="H3298" s="7" t="n">
        <f aca="false">Sens!H3297/Sens!G3297-1</f>
        <v>0.143627199799336</v>
      </c>
      <c r="I3298" s="7" t="n">
        <f aca="false">Sens!I3297/Sens!H3297-1</f>
        <v>0.0866388933273727</v>
      </c>
      <c r="J3298" s="7" t="n">
        <f aca="false">Sens!J3297/Sens!I3297-1</f>
        <v>0.0636740634908046</v>
      </c>
      <c r="K3298" s="7" t="n">
        <f aca="false">Sens!K3297/Sens!J3297-1</f>
        <v>0.0549538749550951</v>
      </c>
    </row>
    <row r="3299" customFormat="false" ht="17.15" hidden="false" customHeight="false" outlineLevel="0" collapsed="false">
      <c r="A3299" s="0" t="s">
        <v>763</v>
      </c>
      <c r="B3299" s="0" t="s">
        <v>95</v>
      </c>
      <c r="E3299" s="6" t="n">
        <f aca="false">Sens!E3244</f>
        <v>5.25</v>
      </c>
      <c r="F3299" s="6" t="n">
        <f aca="false">Sens!F3244</f>
        <v>13.5</v>
      </c>
      <c r="G3299" s="6" t="n">
        <f aca="false">Sens!G3244</f>
        <v>22.5</v>
      </c>
      <c r="H3299" s="6" t="n">
        <f aca="false">Sens!H3244</f>
        <v>31.5</v>
      </c>
      <c r="I3299" s="6" t="n">
        <f aca="false">Sens!I3244</f>
        <v>38.25</v>
      </c>
      <c r="J3299" s="6" t="n">
        <f aca="false">Sens!J3244</f>
        <v>42.75</v>
      </c>
      <c r="K3299" s="6" t="n">
        <f aca="false">Sens!K3244</f>
        <v>47.25</v>
      </c>
    </row>
    <row r="3300" customFormat="false" ht="17.15" hidden="false" customHeight="false" outlineLevel="0" collapsed="false">
      <c r="A3300" s="0" t="s">
        <v>764</v>
      </c>
      <c r="B3300" s="0" t="s">
        <v>95</v>
      </c>
      <c r="E3300" s="6" t="n">
        <f aca="false">Sens!E3224+Sens!E3299*Sens!E3283-Sens!E3225-Sens!E3235</f>
        <v>-0.7948261003597</v>
      </c>
      <c r="F3300" s="6" t="n">
        <f aca="false">Sens!F3224+Sens!F3299*Sens!F3283-Sens!F3225-Sens!F3235</f>
        <v>3.28755022882674</v>
      </c>
      <c r="G3300" s="6" t="n">
        <f aca="false">Sens!G3224+Sens!G3299*Sens!G3283-Sens!G3225-Sens!G3235</f>
        <v>9.03342862273789</v>
      </c>
      <c r="H3300" s="6" t="n">
        <f aca="false">Sens!H3224+Sens!H3299*Sens!H3283-Sens!H3225-Sens!H3235</f>
        <v>18.3693403291088</v>
      </c>
      <c r="I3300" s="6" t="n">
        <f aca="false">Sens!I3224+Sens!I3299*Sens!I3283-Sens!I3225-Sens!I3235</f>
        <v>18.9815501946945</v>
      </c>
      <c r="J3300" s="6" t="n">
        <f aca="false">Sens!J3224+Sens!J3299*Sens!J3283-Sens!J3225-Sens!J3235</f>
        <v>16.8224737757118</v>
      </c>
      <c r="K3300" s="6" t="n">
        <f aca="false">Sens!K3224+Sens!K3299*Sens!K3283-Sens!K3225-Sens!K3235</f>
        <v>15.453170624017</v>
      </c>
    </row>
    <row r="3301" customFormat="false" ht="17.15" hidden="false" customHeight="false" outlineLevel="0" collapsed="false">
      <c r="A3301" s="0" t="s">
        <v>765</v>
      </c>
      <c r="B3301" s="0" t="s">
        <v>95</v>
      </c>
      <c r="E3301" s="6" t="n">
        <f aca="false">Sens!E3207*(cxit_open+self_build*tk_cxfac)/1000*ai_net_open</f>
        <v>126.6980382</v>
      </c>
      <c r="F3301" s="6" t="n">
        <f aca="false">Sens!E3301+Sens!F3232-Sens!F3235</f>
        <v>253.984186443394</v>
      </c>
      <c r="G3301" s="6" t="n">
        <f aca="false">Sens!F3301+Sens!G3232-Sens!G3235</f>
        <v>365.776571174186</v>
      </c>
      <c r="H3301" s="6" t="n">
        <f aca="false">Sens!G3301+Sens!H3232-Sens!H3235</f>
        <v>479.198704563985</v>
      </c>
      <c r="I3301" s="6" t="n">
        <f aca="false">Sens!H3301+Sens!I3232-Sens!I3235</f>
        <v>573.306618399871</v>
      </c>
      <c r="J3301" s="6" t="n">
        <f aca="false">Sens!I3301+Sens!J3232-Sens!J3235</f>
        <v>676.196405890844</v>
      </c>
      <c r="K3301" s="6" t="n">
        <f aca="false">Sens!J3301+Sens!K3232-Sens!K3235</f>
        <v>796.09127241684</v>
      </c>
      <c r="L3301" s="1" t="s">
        <v>766</v>
      </c>
    </row>
    <row r="3302" customFormat="false" ht="17.15" hidden="false" customHeight="false" outlineLevel="0" collapsed="false">
      <c r="A3302" s="0" t="s">
        <v>767</v>
      </c>
      <c r="B3302" s="0" t="s">
        <v>126</v>
      </c>
      <c r="F3302" s="7" t="n">
        <f aca="false">Sens!F3300*(1-tax_f)/((Sens!E3301+Sens!F3301)/2)</f>
        <v>0.0138175097906139</v>
      </c>
      <c r="G3302" s="7" t="n">
        <f aca="false">Sens!G3300*(1-tax_f)/((Sens!F3301+Sens!G3301)/2)</f>
        <v>0.0233210728797048</v>
      </c>
      <c r="H3302" s="7" t="n">
        <f aca="false">Sens!H3300*(1-tax_f)/((Sens!G3301+Sens!H3301)/2)</f>
        <v>0.0347832006100984</v>
      </c>
      <c r="I3302" s="7" t="n">
        <f aca="false">Sens!I3300*(1-tax_f)/((Sens!H3301+Sens!I3301)/2)</f>
        <v>0.0288554173065727</v>
      </c>
      <c r="J3302" s="7" t="n">
        <f aca="false">Sens!J3300*(1-tax_f)/((Sens!I3301+Sens!J3301)/2)</f>
        <v>0.0215413308474526</v>
      </c>
      <c r="K3302" s="7" t="n">
        <f aca="false">Sens!K3300*(1-tax_f)/((Sens!J3301+Sens!K3301)/2)</f>
        <v>0.0167936425487493</v>
      </c>
    </row>
    <row r="3303" customFormat="false" ht="17.15" hidden="false" customHeight="false" outlineLevel="0" collapsed="false">
      <c r="A3303" s="1" t="s">
        <v>768</v>
      </c>
      <c r="B3303" s="0" t="s">
        <v>126</v>
      </c>
      <c r="F3303" s="7" t="n">
        <f aca="false">Sens!F3236*(1-tax_f)/(Sens!F3223*(Sens!E3301+Sens!F3301)/2)</f>
        <v>0.12901154468674</v>
      </c>
      <c r="G3303" s="7" t="n">
        <f aca="false">Sens!G3236*(1-tax_f)/(Sens!G3223*(Sens!F3301+Sens!G3301)/2)</f>
        <v>0.152326413026645</v>
      </c>
      <c r="H3303" s="7" t="n">
        <f aca="false">Sens!H3236*(1-tax_f)/(Sens!H3223*(Sens!G3301+Sens!H3301)/2)</f>
        <v>0.180579729557558</v>
      </c>
      <c r="I3303" s="7" t="n">
        <f aca="false">Sens!I3236*(1-tax_f)/(Sens!I3223*(Sens!H3301+Sens!I3301)/2)</f>
        <v>0.183144538756218</v>
      </c>
      <c r="J3303" s="7" t="n">
        <f aca="false">Sens!J3236*(1-tax_f)/(Sens!J3223*(Sens!I3301+Sens!J3301)/2)</f>
        <v>0.184642925637</v>
      </c>
      <c r="K3303" s="7" t="n">
        <f aca="false">Sens!K3236*(1-tax_f)/(Sens!K3223*(Sens!J3301+Sens!K3301)/2)</f>
        <v>0.183382155371292</v>
      </c>
    </row>
    <row r="3304" customFormat="false" ht="17.15" hidden="false" customHeight="false" outlineLevel="0" collapsed="false">
      <c r="A3304" s="0" t="s">
        <v>769</v>
      </c>
      <c r="B3304" s="0" t="s">
        <v>208</v>
      </c>
      <c r="F3304" s="7" t="n">
        <f aca="false">Sens!F3302-wacc</f>
        <v>-0.0951457113596401</v>
      </c>
      <c r="G3304" s="7" t="n">
        <f aca="false">Sens!G3302-wacc</f>
        <v>-0.0856421482705492</v>
      </c>
      <c r="H3304" s="7" t="n">
        <f aca="false">Sens!H3302-wacc</f>
        <v>-0.0741800205401556</v>
      </c>
      <c r="I3304" s="7" t="n">
        <f aca="false">Sens!I3302-wacc</f>
        <v>-0.0801078038436812</v>
      </c>
      <c r="J3304" s="7" t="n">
        <f aca="false">Sens!J3302-wacc</f>
        <v>-0.0874218903028013</v>
      </c>
      <c r="K3304" s="7" t="n">
        <f aca="false">Sens!K3302-wacc</f>
        <v>-0.0921695786015047</v>
      </c>
    </row>
    <row r="3305" customFormat="false" ht="17.15" hidden="false" customHeight="false" outlineLevel="0" collapsed="false">
      <c r="A3305" s="0" t="s">
        <v>770</v>
      </c>
      <c r="B3305" s="0" t="s">
        <v>95</v>
      </c>
      <c r="F3305" s="6" t="n">
        <f aca="false">Sens!F3300*(1-tax_f)-wacc*(Sens!E3301+Sens!F3301)/2</f>
        <v>-18.110140532833</v>
      </c>
      <c r="G3305" s="6" t="n">
        <f aca="false">Sens!G3300*(1-tax_f)-wacc*(Sens!F3301+Sens!G3301)/2</f>
        <v>-26.5388213480764</v>
      </c>
      <c r="H3305" s="6" t="n">
        <f aca="false">Sens!H3300*(1-tax_f)-wacc*(Sens!G3301+Sens!H3301)/2</f>
        <v>-31.3401416550906</v>
      </c>
      <c r="I3305" s="6" t="n">
        <f aca="false">Sens!I3300*(1-tax_f)-wacc*(Sens!H3301+Sens!I3301)/2</f>
        <v>-42.1569449782095</v>
      </c>
      <c r="J3305" s="6" t="n">
        <f aca="false">Sens!J3300*(1-tax_f)-wacc*(Sens!I3301+Sens!J3301)/2</f>
        <v>-54.6169581612807</v>
      </c>
      <c r="K3305" s="6" t="n">
        <f aca="false">Sens!K3300*(1-tax_f)-wacc*(Sens!J3301+Sens!K3301)/2</f>
        <v>-67.8500674449034</v>
      </c>
    </row>
    <row r="3306" customFormat="false" ht="17.15" hidden="false" customHeight="false" outlineLevel="0" collapsed="false">
      <c r="A3306" s="1" t="s">
        <v>771</v>
      </c>
      <c r="B3306" s="0" t="s">
        <v>95</v>
      </c>
      <c r="F3306" s="6" t="n">
        <f aca="false">(Sens!E3208+Sens!F3208)/2*Sens!F3215/1000</f>
        <v>26.7873066765967</v>
      </c>
      <c r="G3306" s="6" t="n">
        <f aca="false">(Sens!F3208+Sens!G3208)/2*Sens!G3215/1000</f>
        <v>45.4131817597218</v>
      </c>
      <c r="H3306" s="6" t="n">
        <f aca="false">(Sens!G3208+Sens!H3208)/2*Sens!H3215/1000</f>
        <v>65.3915129357971</v>
      </c>
      <c r="I3306" s="6" t="n">
        <f aca="false">(Sens!H3208+Sens!I3208)/2*Sens!I3215/1000</f>
        <v>85.5187419289299</v>
      </c>
      <c r="J3306" s="6" t="n">
        <f aca="false">(Sens!I3208+Sens!J3208)/2*Sens!J3215/1000</f>
        <v>105.723807195006</v>
      </c>
      <c r="K3306" s="6" t="n">
        <f aca="false">(Sens!J3208+Sens!K3208)/2*Sens!K3215/1000</f>
        <v>125.974659797015</v>
      </c>
      <c r="L3306" s="1" t="s">
        <v>772</v>
      </c>
    </row>
    <row r="3307" customFormat="false" ht="17.15" hidden="false" customHeight="false" outlineLevel="0" collapsed="false">
      <c r="A3307" s="1" t="s">
        <v>773</v>
      </c>
      <c r="B3307" s="0" t="s">
        <v>126</v>
      </c>
      <c r="F3307" s="7" t="n">
        <f aca="false">(Sens!F3224+Sens!F3306-Sens!F3225-Sens!F3235)*(1-tax_f)/((Sens!E3301+Sens!F3301)/2)</f>
        <v>0.0932966072669105</v>
      </c>
      <c r="G3307" s="7" t="n">
        <f aca="false">(Sens!G3224+Sens!G3306-Sens!G3225-Sens!G3235)*(1-tax_f)/((Sens!F3301+Sens!G3301)/2)</f>
        <v>0.106668405071363</v>
      </c>
      <c r="H3307" s="7" t="n">
        <f aca="false">(Sens!H3224+Sens!H3306-Sens!H3225-Sens!H3235)*(1-tax_f)/((Sens!G3301+Sens!H3301)/2)</f>
        <v>0.123801736131267</v>
      </c>
      <c r="I3307" s="7" t="n">
        <f aca="false">(Sens!I3224+Sens!I3306-Sens!I3225-Sens!I3235)*(1-tax_f)/((Sens!H3301+Sens!I3301)/2)</f>
        <v>0.124931247289789</v>
      </c>
      <c r="J3307" s="7" t="n">
        <f aca="false">(Sens!J3224+Sens!J3306-Sens!J3225-Sens!J3235)*(1-tax_f)/((Sens!I3301+Sens!J3301)/2)</f>
        <v>0.124980288068373</v>
      </c>
      <c r="K3307" s="7" t="n">
        <f aca="false">(Sens!K3224+Sens!K3306-Sens!K3225-Sens!K3235)*(1-tax_f)/((Sens!J3301+Sens!K3301)/2)</f>
        <v>0.123734371148068</v>
      </c>
      <c r="L3307" s="1" t="s">
        <v>774</v>
      </c>
    </row>
    <row r="3308" customFormat="false" ht="17.15" hidden="false" customHeight="false" outlineLevel="0" collapsed="false">
      <c r="A3308" s="3" t="s">
        <v>1207</v>
      </c>
    </row>
    <row r="3309" customFormat="false" ht="15" hidden="false" customHeight="false" outlineLevel="0" collapsed="false">
      <c r="A3309" s="4" t="s">
        <v>43</v>
      </c>
      <c r="B3309" s="4" t="s">
        <v>63</v>
      </c>
      <c r="C3309" s="19" t="s">
        <v>710</v>
      </c>
      <c r="D3309" s="19" t="s">
        <v>711</v>
      </c>
      <c r="E3309" s="19" t="s">
        <v>712</v>
      </c>
      <c r="F3309" s="19" t="s">
        <v>713</v>
      </c>
      <c r="G3309" s="19" t="s">
        <v>714</v>
      </c>
      <c r="H3309" s="19" t="s">
        <v>715</v>
      </c>
      <c r="I3309" s="19" t="s">
        <v>716</v>
      </c>
      <c r="J3309" s="19" t="s">
        <v>717</v>
      </c>
      <c r="K3309" s="19" t="s">
        <v>718</v>
      </c>
      <c r="L3309" s="4" t="s">
        <v>47</v>
      </c>
    </row>
    <row r="3310" customFormat="false" ht="15" hidden="false" customHeight="false" outlineLevel="0" collapsed="false">
      <c r="A3310" s="1" t="s">
        <v>825</v>
      </c>
      <c r="B3310" s="0" t="s">
        <v>95</v>
      </c>
      <c r="F3310" s="6" t="n">
        <f aca="false">Sens!F3295</f>
        <v>142.474202025747</v>
      </c>
      <c r="G3310" s="6" t="n">
        <f aca="false">Sens!G3295</f>
        <v>163.141245089349</v>
      </c>
      <c r="H3310" s="6" t="n">
        <f aca="false">Sens!H3295</f>
        <v>186.940052242685</v>
      </c>
      <c r="I3310" s="6" t="n">
        <f aca="false">Sens!I3295</f>
        <v>203.454552205796</v>
      </c>
      <c r="J3310" s="6" t="n">
        <f aca="false">Sens!J3295</f>
        <v>216.818512855768</v>
      </c>
      <c r="K3310" s="6" t="n">
        <f aca="false">Sens!K3295</f>
        <v>229.234258912642</v>
      </c>
    </row>
    <row r="3311" customFormat="false" ht="17.15" hidden="false" customHeight="false" outlineLevel="0" collapsed="false">
      <c r="A3311" s="1" t="s">
        <v>843</v>
      </c>
      <c r="B3311" s="0" t="s">
        <v>95</v>
      </c>
      <c r="E3311" s="6" t="n">
        <f aca="false">Q!M38-Sens!E3235</f>
        <v>19.2164783275</v>
      </c>
      <c r="F3311" s="6" t="n">
        <f aca="false">Sens!E3311*(1-1/life_nonai)+Sens!F3317/life_nonai</f>
        <v>20.8677652177062</v>
      </c>
      <c r="G3311" s="6" t="n">
        <f aca="false">Sens!F3311*(1-1/life_nonai)+Sens!G3317/life_nonai</f>
        <v>22.9412780529745</v>
      </c>
      <c r="H3311" s="6" t="n">
        <f aca="false">Sens!G3311*(1-1/life_nonai)+Sens!H3317/life_nonai</f>
        <v>25.4033016120861</v>
      </c>
      <c r="I3311" s="6" t="n">
        <f aca="false">Sens!H3311*(1-1/life_nonai)+Sens!I3317/life_nonai</f>
        <v>28.1803114820418</v>
      </c>
      <c r="J3311" s="6" t="n">
        <f aca="false">Sens!I3311*(1-1/life_nonai)+Sens!J3317/life_nonai</f>
        <v>31.182871658875</v>
      </c>
      <c r="K3311" s="6" t="n">
        <f aca="false">Sens!J3311*(1-1/life_nonai)+Sens!K3317/life_nonai</f>
        <v>34.3289547671869</v>
      </c>
      <c r="L3311" s="11" t="s">
        <v>844</v>
      </c>
    </row>
    <row r="3312" customFormat="false" ht="17.15" hidden="false" customHeight="false" outlineLevel="0" collapsed="false">
      <c r="A3312" s="1" t="s">
        <v>845</v>
      </c>
      <c r="B3312" s="0" t="s">
        <v>95</v>
      </c>
      <c r="E3312" s="6" t="n">
        <f aca="false">Sens!E3235+Sens!E3311</f>
        <v>38.534</v>
      </c>
      <c r="F3312" s="6" t="n">
        <f aca="false">Sens!F3235+Sens!F3311</f>
        <v>62.05226974475</v>
      </c>
      <c r="G3312" s="6" t="n">
        <f aca="false">Sens!G3235+Sens!G3311</f>
        <v>94.7230738053821</v>
      </c>
      <c r="H3312" s="6" t="n">
        <f aca="false">Sens!H3235+Sens!H3311</f>
        <v>130.320129479354</v>
      </c>
      <c r="I3312" s="6" t="n">
        <f aca="false">Sens!I3235+Sens!I3311</f>
        <v>167.849458569889</v>
      </c>
      <c r="J3312" s="6" t="n">
        <f aca="false">Sens!J3235+Sens!J3311</f>
        <v>207.149396118303</v>
      </c>
      <c r="K3312" s="6" t="n">
        <f aca="false">Sens!K3235+Sens!K3311</f>
        <v>245.854041936657</v>
      </c>
    </row>
    <row r="3313" customFormat="false" ht="15" hidden="false" customHeight="false" outlineLevel="0" collapsed="false">
      <c r="A3313" s="1" t="s">
        <v>685</v>
      </c>
      <c r="B3313" s="0" t="s">
        <v>95</v>
      </c>
      <c r="F3313" s="6" t="n">
        <f aca="false">Sens!F3262*sbc_r</f>
        <v>15.1240791253967</v>
      </c>
      <c r="G3313" s="6" t="n">
        <f aca="false">Sens!G3262*sbc_r</f>
        <v>18.3778786594202</v>
      </c>
      <c r="H3313" s="6" t="n">
        <f aca="false">Sens!H3262*sbc_r</f>
        <v>21.8771522065674</v>
      </c>
      <c r="I3313" s="6" t="n">
        <f aca="false">Sens!I3262*sbc_r</f>
        <v>25.059706918623</v>
      </c>
      <c r="J3313" s="6" t="n">
        <f aca="false">Sens!J3262*sbc_r</f>
        <v>28.0933903175066</v>
      </c>
      <c r="K3313" s="6" t="n">
        <f aca="false">Sens!K3262*sbc_r</f>
        <v>31.0080606151698</v>
      </c>
    </row>
    <row r="3314" customFormat="false" ht="17.15" hidden="false" customHeight="false" outlineLevel="0" collapsed="false">
      <c r="A3314" s="1" t="s">
        <v>846</v>
      </c>
      <c r="B3314" s="0" t="s">
        <v>95</v>
      </c>
      <c r="F3314" s="6" t="n">
        <f aca="false">wc27</f>
        <v>-4.895</v>
      </c>
      <c r="G3314" s="6" t="n">
        <f aca="false">0</f>
        <v>0</v>
      </c>
      <c r="H3314" s="6" t="n">
        <f aca="false">0</f>
        <v>0</v>
      </c>
      <c r="I3314" s="6" t="n">
        <f aca="false">0</f>
        <v>0</v>
      </c>
      <c r="J3314" s="6" t="n">
        <f aca="false">0</f>
        <v>0</v>
      </c>
      <c r="K3314" s="6" t="n">
        <f aca="false">0</f>
        <v>0</v>
      </c>
      <c r="L3314" s="11" t="s">
        <v>847</v>
      </c>
    </row>
    <row r="3315" customFormat="false" ht="15" hidden="false" customHeight="false" outlineLevel="0" collapsed="false">
      <c r="A3315" s="1" t="s">
        <v>678</v>
      </c>
      <c r="B3315" s="0" t="s">
        <v>95</v>
      </c>
      <c r="E3315" s="6" t="n">
        <f aca="false">Q!M35</f>
        <v>182.935</v>
      </c>
      <c r="F3315" s="6" t="n">
        <f aca="false">Sens!F3310+Sens!F3312+Sens!F3313+Sens!F3314</f>
        <v>214.755550895894</v>
      </c>
      <c r="G3315" s="6" t="n">
        <f aca="false">Sens!G3310+Sens!G3312+Sens!G3313+Sens!G3314</f>
        <v>276.242197554151</v>
      </c>
      <c r="H3315" s="6" t="n">
        <f aca="false">Sens!H3310+Sens!H3312+Sens!H3313+Sens!H3314</f>
        <v>339.137333928606</v>
      </c>
      <c r="I3315" s="6" t="n">
        <f aca="false">Sens!I3310+Sens!I3312+Sens!I3313+Sens!I3314</f>
        <v>396.363717694309</v>
      </c>
      <c r="J3315" s="6" t="n">
        <f aca="false">Sens!J3310+Sens!J3312+Sens!J3313+Sens!J3314</f>
        <v>452.061299291577</v>
      </c>
      <c r="K3315" s="6" t="n">
        <f aca="false">Sens!K3310+Sens!K3312+Sens!K3313+Sens!K3314</f>
        <v>506.096361464469</v>
      </c>
    </row>
    <row r="3316" customFormat="false" ht="17.15" hidden="false" customHeight="false" outlineLevel="0" collapsed="false">
      <c r="A3316" s="0" t="s">
        <v>848</v>
      </c>
      <c r="B3316" s="0" t="s">
        <v>95</v>
      </c>
      <c r="F3316" s="6" t="n">
        <f aca="false">Sens!F3232</f>
        <v>168.470652770438</v>
      </c>
      <c r="G3316" s="6" t="n">
        <f aca="false">Sens!G3232</f>
        <v>183.5741804832</v>
      </c>
      <c r="H3316" s="6" t="n">
        <f aca="false">Sens!H3232</f>
        <v>218.338961257067</v>
      </c>
      <c r="I3316" s="6" t="n">
        <f aca="false">Sens!I3232</f>
        <v>233.777060923733</v>
      </c>
      <c r="J3316" s="6" t="n">
        <f aca="false">Sens!J3232</f>
        <v>278.8563119504</v>
      </c>
      <c r="K3316" s="6" t="n">
        <f aca="false">Sens!K3232</f>
        <v>331.419953695467</v>
      </c>
    </row>
    <row r="3317" customFormat="false" ht="17.15" hidden="false" customHeight="false" outlineLevel="0" collapsed="false">
      <c r="A3317" s="1" t="s">
        <v>849</v>
      </c>
      <c r="B3317" s="0" t="s">
        <v>95</v>
      </c>
      <c r="E3317" s="6" t="n">
        <f aca="false">Sens!E3240*cx_azo+Sens!E3247*cx_m365+Sens!E3248*cx_lic+(Sens!E3250+Sens!E3252)*cx_ind+Sens!E3255*cx_srch+(Sens!E3257+Sens!E3259)*cx_dev</f>
        <v>30.1846587067718</v>
      </c>
      <c r="F3317" s="6" t="n">
        <f aca="false">Sens!F3240*cx_azo+Sens!F3247*cx_m365+Sens!F3248*cx_lic+(Sens!F3250+Sens!F3252)*cx_ind+Sens!F3255*cx_srch+(Sens!F3257+Sens!F3259)*cx_dev</f>
        <v>35.7293472295625</v>
      </c>
      <c r="G3317" s="6" t="n">
        <f aca="false">Sens!G3240*cx_azo+Sens!G3247*cx_m365+Sens!G3248*cx_lic+(Sens!G3250+Sens!G3252)*cx_ind+Sens!G3255*cx_srch+(Sens!G3257+Sens!G3259)*cx_dev</f>
        <v>41.6028935703892</v>
      </c>
      <c r="H3317" s="6" t="n">
        <f aca="false">Sens!H3240*cx_azo+Sens!H3247*cx_m365+Sens!H3248*cx_lic+(Sens!H3250+Sens!H3252)*cx_ind+Sens!H3255*cx_srch+(Sens!H3257+Sens!H3259)*cx_dev</f>
        <v>47.5615136440897</v>
      </c>
      <c r="I3317" s="6" t="n">
        <f aca="false">Sens!I3240*cx_azo+Sens!I3247*cx_m365+Sens!I3248*cx_lic+(Sens!I3250+Sens!I3252)*cx_ind+Sens!I3255*cx_srch+(Sens!I3257+Sens!I3259)*cx_dev</f>
        <v>53.1734003116439</v>
      </c>
      <c r="J3317" s="6" t="n">
        <f aca="false">Sens!J3240*cx_azo+Sens!J3247*cx_m365+Sens!J3248*cx_lic+(Sens!J3250+Sens!J3252)*cx_ind+Sens!J3255*cx_srch+(Sens!J3257+Sens!J3259)*cx_dev</f>
        <v>58.2059132503738</v>
      </c>
      <c r="K3317" s="6" t="n">
        <f aca="false">Sens!K3240*cx_azo+Sens!K3247*cx_m365+Sens!K3248*cx_lic+(Sens!K3250+Sens!K3252)*cx_ind+Sens!K3255*cx_srch+(Sens!K3257+Sens!K3259)*cx_dev</f>
        <v>62.643702741994</v>
      </c>
    </row>
    <row r="3318" customFormat="false" ht="17.15" hidden="false" customHeight="false" outlineLevel="0" collapsed="false">
      <c r="A3318" s="1" t="s">
        <v>850</v>
      </c>
      <c r="B3318" s="0" t="s">
        <v>95</v>
      </c>
      <c r="E3318" s="6" t="n">
        <f aca="false">Q!M42</f>
        <v>145.3</v>
      </c>
      <c r="F3318" s="6" t="n">
        <f aca="false">Sens!F3316+Sens!F3317</f>
        <v>204.2</v>
      </c>
      <c r="G3318" s="6" t="n">
        <f aca="false">Sens!G3316+Sens!G3317</f>
        <v>225.177074053589</v>
      </c>
      <c r="H3318" s="6" t="n">
        <f aca="false">Sens!H3316+Sens!H3317</f>
        <v>265.900474901156</v>
      </c>
      <c r="I3318" s="6" t="n">
        <f aca="false">Sens!I3316+Sens!I3317</f>
        <v>286.950461235377</v>
      </c>
      <c r="J3318" s="6" t="n">
        <f aca="false">Sens!J3316+Sens!J3317</f>
        <v>337.062225200774</v>
      </c>
      <c r="K3318" s="6" t="n">
        <f aca="false">Sens!K3316+Sens!K3317</f>
        <v>394.063656437461</v>
      </c>
      <c r="L3318" s="1" t="s">
        <v>851</v>
      </c>
    </row>
    <row r="3319" customFormat="false" ht="15" hidden="false" customHeight="false" outlineLevel="0" collapsed="false">
      <c r="A3319" s="1" t="s">
        <v>852</v>
      </c>
      <c r="B3319" s="0" t="s">
        <v>95</v>
      </c>
      <c r="E3319" s="6" t="n">
        <f aca="false">fl_liab</f>
        <v>66.594</v>
      </c>
      <c r="F3319" s="6" t="n">
        <f aca="false">Sens!E3319-Sens!F3320</f>
        <v>62.46973</v>
      </c>
      <c r="G3319" s="6" t="n">
        <f aca="false">Sens!F3319-Sens!G3320</f>
        <v>57.98686785</v>
      </c>
      <c r="H3319" s="6" t="n">
        <f aca="false">Sens!G3319-Sens!H3320</f>
        <v>53.92827690325</v>
      </c>
      <c r="I3319" s="6" t="n">
        <f aca="false">Sens!H3319-Sens!I3320</f>
        <v>49.7850493638962</v>
      </c>
      <c r="J3319" s="6" t="n">
        <f aca="false">Sens!I3319-Sens!J3320</f>
        <v>45.4823765852716</v>
      </c>
      <c r="K3319" s="6" t="n">
        <f aca="false">Sens!J3319-Sens!K3320</f>
        <v>40.9860835316088</v>
      </c>
    </row>
    <row r="3320" customFormat="false" ht="15" hidden="false" customHeight="false" outlineLevel="0" collapsed="false">
      <c r="A3320" s="1" t="s">
        <v>853</v>
      </c>
      <c r="B3320" s="0" t="s">
        <v>95</v>
      </c>
      <c r="F3320" s="6" t="n">
        <f aca="false">fl_pay_27-Sens!E3319*fl_rate</f>
        <v>4.12427</v>
      </c>
      <c r="G3320" s="6" t="n">
        <f aca="false">fl_pay_28-Sens!F3319*fl_rate</f>
        <v>4.48286215</v>
      </c>
      <c r="H3320" s="6" t="n">
        <f aca="false">fl_pay_29-Sens!G3319*fl_rate</f>
        <v>4.05859094675</v>
      </c>
      <c r="I3320" s="6" t="n">
        <f aca="false">fl_pay_30-Sens!H3319*fl_rate</f>
        <v>4.14322753935375</v>
      </c>
      <c r="J3320" s="6" t="n">
        <f aca="false">fl_pay_31-Sens!I3319*fl_rate</f>
        <v>4.30267277862467</v>
      </c>
      <c r="K3320" s="6" t="n">
        <f aca="false">fl_pay_32-Sens!J3319*fl_rate</f>
        <v>4.49629305366278</v>
      </c>
    </row>
    <row r="3321" customFormat="false" ht="17.15" hidden="false" customHeight="false" outlineLevel="0" collapsed="false">
      <c r="A3321" s="1" t="s">
        <v>854</v>
      </c>
      <c r="B3321" s="0" t="s">
        <v>95</v>
      </c>
      <c r="E3321" s="6" t="n">
        <f aca="false">Q!M35-Q!M36-Q!M43</f>
        <v>63.886</v>
      </c>
      <c r="F3321" s="6" t="n">
        <f aca="false">Sens!F3315-Sens!F3318-Sens!F3320</f>
        <v>6.4312808958935</v>
      </c>
      <c r="G3321" s="6" t="n">
        <f aca="false">Sens!G3315-Sens!G3318-Sens!G3320</f>
        <v>46.5822613505617</v>
      </c>
      <c r="H3321" s="6" t="n">
        <f aca="false">Sens!H3315-Sens!H3318-Sens!H3320</f>
        <v>69.1782680806993</v>
      </c>
      <c r="I3321" s="6" t="n">
        <f aca="false">Sens!I3315-Sens!I3318-Sens!I3320</f>
        <v>105.270028919578</v>
      </c>
      <c r="J3321" s="6" t="n">
        <f aca="false">Sens!J3315-Sens!J3318-Sens!J3320</f>
        <v>110.696401312179</v>
      </c>
      <c r="K3321" s="6" t="n">
        <f aca="false">Sens!K3315-Sens!K3318-Sens!K3320</f>
        <v>107.536411973345</v>
      </c>
      <c r="L3321" s="11" t="s">
        <v>855</v>
      </c>
    </row>
    <row r="3322" customFormat="false" ht="15" hidden="false" customHeight="false" outlineLevel="0" collapsed="false">
      <c r="A3322" s="1" t="s">
        <v>856</v>
      </c>
      <c r="B3322" s="0" t="s">
        <v>73</v>
      </c>
      <c r="F3322" s="8" t="n">
        <f aca="false">dps_27</f>
        <v>3.85</v>
      </c>
      <c r="G3322" s="8" t="n">
        <f aca="false">Sens!F3322*(1+dps_g)</f>
        <v>4.158</v>
      </c>
      <c r="H3322" s="8" t="n">
        <f aca="false">Sens!G3322*(1+dps_g)</f>
        <v>4.49064</v>
      </c>
      <c r="I3322" s="8" t="n">
        <f aca="false">Sens!H3322*(1+dps_g)</f>
        <v>4.8498912</v>
      </c>
      <c r="J3322" s="8" t="n">
        <f aca="false">Sens!I3322*(1+dps_g)</f>
        <v>5.237882496</v>
      </c>
      <c r="K3322" s="8" t="n">
        <f aca="false">Sens!J3322*(1+dps_g)</f>
        <v>5.65691309568</v>
      </c>
    </row>
    <row r="3323" customFormat="false" ht="17.15" hidden="false" customHeight="false" outlineLevel="0" collapsed="false">
      <c r="A3323" s="1" t="s">
        <v>857</v>
      </c>
      <c r="B3323" s="0" t="s">
        <v>95</v>
      </c>
      <c r="E3323" s="6" t="n">
        <f aca="false">Q!M41</f>
        <v>26.445</v>
      </c>
      <c r="F3323" s="6" t="n">
        <f aca="false">Sens!F3322*Sens!E3332</f>
        <v>28.59395</v>
      </c>
      <c r="G3323" s="6" t="n">
        <f aca="false">Sens!G3322*Sens!F3332</f>
        <v>31.068576</v>
      </c>
      <c r="H3323" s="6" t="n">
        <f aca="false">Sens!H3322*Sens!G3332</f>
        <v>33.6395978181075</v>
      </c>
      <c r="I3323" s="6" t="n">
        <f aca="false">Sens!I3322*Sens!H3332</f>
        <v>36.3817048835555</v>
      </c>
      <c r="J3323" s="6" t="n">
        <f aca="false">Sens!J3322*Sens!I3332</f>
        <v>39.3606401225594</v>
      </c>
      <c r="K3323" s="6" t="n">
        <f aca="false">Sens!K3322*Sens!J3332</f>
        <v>42.5967465576692</v>
      </c>
      <c r="L3323" s="1" t="s">
        <v>858</v>
      </c>
    </row>
    <row r="3324" customFormat="false" ht="15" hidden="false" customHeight="false" outlineLevel="0" collapsed="false">
      <c r="A3324" s="1" t="s">
        <v>859</v>
      </c>
      <c r="B3324" s="0" t="s">
        <v>95</v>
      </c>
      <c r="E3324" s="6" t="n">
        <f aca="false">Sens!E3321-Sens!E3323</f>
        <v>37.441</v>
      </c>
      <c r="F3324" s="6" t="n">
        <f aca="false">Sens!F3321-Sens!F3323</f>
        <v>-22.1626691041065</v>
      </c>
      <c r="G3324" s="6" t="n">
        <f aca="false">Sens!G3321-Sens!G3323</f>
        <v>15.5136853505617</v>
      </c>
      <c r="H3324" s="6" t="n">
        <f aca="false">Sens!H3321-Sens!H3323</f>
        <v>35.5386702625919</v>
      </c>
      <c r="I3324" s="6" t="n">
        <f aca="false">Sens!I3321-Sens!I3323</f>
        <v>68.8883240360221</v>
      </c>
      <c r="J3324" s="6" t="n">
        <f aca="false">Sens!J3321-Sens!J3323</f>
        <v>71.3357611896193</v>
      </c>
      <c r="K3324" s="6" t="n">
        <f aca="false">Sens!K3321-Sens!K3323</f>
        <v>64.9396654156762</v>
      </c>
    </row>
    <row r="3325" customFormat="false" ht="15" hidden="false" customHeight="false" outlineLevel="0" collapsed="false">
      <c r="A3325" s="1" t="s">
        <v>860</v>
      </c>
      <c r="B3325" s="0" t="s">
        <v>95</v>
      </c>
      <c r="F3325" s="6" t="n">
        <f aca="false">debt_mat_27</f>
        <v>9.25</v>
      </c>
      <c r="G3325" s="6" t="n">
        <f aca="false">debt_mat_28</f>
        <v>0</v>
      </c>
      <c r="H3325" s="6" t="n">
        <f aca="false">debt_mat_29</f>
        <v>2.001</v>
      </c>
      <c r="I3325" s="6" t="n">
        <f aca="false">debt_mat_30</f>
        <v>0</v>
      </c>
      <c r="J3325" s="6" t="n">
        <f aca="false">debt_mat_31</f>
        <v>0.5</v>
      </c>
      <c r="K3325" s="6" t="n">
        <f aca="false">debt_mat_32</f>
        <v>0</v>
      </c>
    </row>
    <row r="3326" customFormat="false" ht="15" hidden="false" customHeight="false" outlineLevel="0" collapsed="false">
      <c r="A3326" s="1" t="s">
        <v>861</v>
      </c>
      <c r="B3326" s="0" t="s">
        <v>95</v>
      </c>
      <c r="E3326" s="6" t="n">
        <f aca="false">Q!M40</f>
        <v>22.271</v>
      </c>
      <c r="F3326" s="6" t="n">
        <f aca="false">MAX(0,MIN(bb_target,Sens!E3328+Sens!F3324-Sens!F3325-min_cash))</f>
        <v>0</v>
      </c>
      <c r="G3326" s="6" t="n">
        <f aca="false">MAX(0,MIN(bb_target,Sens!F3328+Sens!G3324-Sens!G3325-min_cash))</f>
        <v>15.5136853505617</v>
      </c>
      <c r="H3326" s="6" t="n">
        <f aca="false">MAX(0,MIN(bb_target,Sens!G3328+Sens!H3324-Sens!H3325-min_cash))</f>
        <v>22.271</v>
      </c>
      <c r="I3326" s="6" t="n">
        <f aca="false">MAX(0,MIN(bb_target,Sens!H3328+Sens!I3324-Sens!I3325-min_cash))</f>
        <v>22.271</v>
      </c>
      <c r="J3326" s="6" t="n">
        <f aca="false">MAX(0,MIN(bb_target,Sens!I3328+Sens!J3324-Sens!J3325-min_cash))</f>
        <v>22.271</v>
      </c>
      <c r="K3326" s="6" t="n">
        <f aca="false">MAX(0,MIN(bb_target,Sens!J3328+Sens!K3324-Sens!K3325-min_cash))</f>
        <v>22.271</v>
      </c>
    </row>
    <row r="3327" customFormat="false" ht="15" hidden="false" customHeight="false" outlineLevel="0" collapsed="false">
      <c r="A3327" s="1" t="s">
        <v>862</v>
      </c>
      <c r="B3327" s="0" t="s">
        <v>95</v>
      </c>
      <c r="F3327" s="6" t="n">
        <f aca="false">MAX(0,min_cash-(Sens!E3328+Sens!F3324-Sens!F3325-Sens!F3326))</f>
        <v>4.5696691041065</v>
      </c>
      <c r="G3327" s="6" t="n">
        <f aca="false">MAX(0,min_cash-(Sens!F3328+Sens!G3324-Sens!G3325-Sens!G3326))</f>
        <v>0</v>
      </c>
      <c r="H3327" s="6" t="n">
        <f aca="false">MAX(0,min_cash-(Sens!G3328+Sens!H3324-Sens!H3325-Sens!H3326))</f>
        <v>0</v>
      </c>
      <c r="I3327" s="6" t="n">
        <f aca="false">MAX(0,min_cash-(Sens!H3328+Sens!I3324-Sens!I3325-Sens!I3326))</f>
        <v>0</v>
      </c>
      <c r="J3327" s="6" t="n">
        <f aca="false">MAX(0,min_cash-(Sens!I3328+Sens!J3324-Sens!J3325-Sens!J3326))</f>
        <v>0</v>
      </c>
      <c r="K3327" s="6" t="n">
        <f aca="false">MAX(0,min_cash-(Sens!J3328+Sens!K3324-Sens!K3325-Sens!K3326))</f>
        <v>0</v>
      </c>
    </row>
    <row r="3328" customFormat="false" ht="15" hidden="false" customHeight="false" outlineLevel="0" collapsed="false">
      <c r="A3328" s="1" t="s">
        <v>863</v>
      </c>
      <c r="B3328" s="0" t="s">
        <v>95</v>
      </c>
      <c r="E3328" s="6" t="n">
        <f aca="false">cash_open</f>
        <v>76.843</v>
      </c>
      <c r="F3328" s="6" t="n">
        <f aca="false">Sens!E3328+Sens!F3324-Sens!F3325-Sens!F3326+Sens!F3327</f>
        <v>50</v>
      </c>
      <c r="G3328" s="6" t="n">
        <f aca="false">Sens!F3328+Sens!G3324-Sens!G3325-Sens!G3326+Sens!G3327</f>
        <v>50</v>
      </c>
      <c r="H3328" s="6" t="n">
        <f aca="false">Sens!G3328+Sens!H3324-Sens!H3325-Sens!H3326+Sens!H3327</f>
        <v>61.2666702625918</v>
      </c>
      <c r="I3328" s="6" t="n">
        <f aca="false">Sens!H3328+Sens!I3324-Sens!I3325-Sens!I3326+Sens!I3327</f>
        <v>107.883994298614</v>
      </c>
      <c r="J3328" s="6" t="n">
        <f aca="false">Sens!I3328+Sens!J3324-Sens!J3325-Sens!J3326+Sens!J3327</f>
        <v>156.448755488233</v>
      </c>
      <c r="K3328" s="6" t="n">
        <f aca="false">Sens!J3328+Sens!K3324-Sens!K3325-Sens!K3326+Sens!K3327</f>
        <v>199.117420903909</v>
      </c>
    </row>
    <row r="3329" customFormat="false" ht="15" hidden="false" customHeight="false" outlineLevel="0" collapsed="false">
      <c r="A3329" s="1" t="s">
        <v>864</v>
      </c>
      <c r="B3329" s="0" t="s">
        <v>95</v>
      </c>
      <c r="E3329" s="6" t="n">
        <f aca="false">debt_face</f>
        <v>46.136</v>
      </c>
      <c r="F3329" s="6" t="n">
        <f aca="false">Sens!E3329-Sens!F3325+Sens!F3327</f>
        <v>41.4556691041065</v>
      </c>
      <c r="G3329" s="6" t="n">
        <f aca="false">Sens!F3329-Sens!G3325+Sens!G3327</f>
        <v>41.4556691041065</v>
      </c>
      <c r="H3329" s="6" t="n">
        <f aca="false">Sens!G3329-Sens!H3325+Sens!H3327</f>
        <v>39.4546691041065</v>
      </c>
      <c r="I3329" s="6" t="n">
        <f aca="false">Sens!H3329-Sens!I3325+Sens!I3327</f>
        <v>39.4546691041065</v>
      </c>
      <c r="J3329" s="6" t="n">
        <f aca="false">Sens!I3329-Sens!J3325+Sens!J3327</f>
        <v>38.9546691041065</v>
      </c>
      <c r="K3329" s="6" t="n">
        <f aca="false">Sens!J3329-Sens!K3325+Sens!K3327</f>
        <v>38.9546691041065</v>
      </c>
    </row>
    <row r="3330" customFormat="false" ht="15" hidden="false" customHeight="false" outlineLevel="0" collapsed="false">
      <c r="A3330" s="1" t="s">
        <v>865</v>
      </c>
      <c r="B3330" s="0" t="s">
        <v>95</v>
      </c>
      <c r="E3330" s="6" t="n">
        <f aca="false">Sens!E3328-Sens!E3329</f>
        <v>30.707</v>
      </c>
      <c r="F3330" s="6" t="n">
        <f aca="false">Sens!F3328-Sens!F3329</f>
        <v>8.5443308958935</v>
      </c>
      <c r="G3330" s="6" t="n">
        <f aca="false">Sens!G3328-Sens!G3329</f>
        <v>8.5443308958935</v>
      </c>
      <c r="H3330" s="6" t="n">
        <f aca="false">Sens!H3328-Sens!H3329</f>
        <v>21.8120011584853</v>
      </c>
      <c r="I3330" s="6" t="n">
        <f aca="false">Sens!I3328-Sens!I3329</f>
        <v>68.4293251945075</v>
      </c>
      <c r="J3330" s="6" t="n">
        <f aca="false">Sens!J3328-Sens!J3329</f>
        <v>117.494086384127</v>
      </c>
      <c r="K3330" s="6" t="n">
        <f aca="false">Sens!K3328-Sens!K3329</f>
        <v>160.162751799803</v>
      </c>
    </row>
    <row r="3331" customFormat="false" ht="15" hidden="false" customHeight="false" outlineLevel="0" collapsed="false">
      <c r="A3331" s="1" t="s">
        <v>866</v>
      </c>
      <c r="B3331" s="0" t="s">
        <v>73</v>
      </c>
      <c r="F3331" s="27" t="n">
        <f aca="false">px*(1+bb_g)^(1-0.5)</f>
        <v>553.494156066711</v>
      </c>
      <c r="G3331" s="27" t="n">
        <f aca="false">px*(1+bb_g)^(2-0.5)</f>
        <v>597.773688552047</v>
      </c>
      <c r="H3331" s="27" t="n">
        <f aca="false">px*(1+bb_g)^(3-0.5)</f>
        <v>645.595583636211</v>
      </c>
      <c r="I3331" s="27" t="n">
        <f aca="false">px*(1+bb_g)^(4-0.5)</f>
        <v>697.243230327108</v>
      </c>
      <c r="J3331" s="27" t="n">
        <f aca="false">px*(1+bb_g)^(5-0.5)</f>
        <v>753.022688753277</v>
      </c>
      <c r="K3331" s="27" t="n">
        <f aca="false">px*(1+bb_g)^(6-0.5)</f>
        <v>813.264503853539</v>
      </c>
    </row>
    <row r="3332" customFormat="false" ht="15" hidden="false" customHeight="false" outlineLevel="0" collapsed="false">
      <c r="A3332" s="1" t="s">
        <v>867</v>
      </c>
      <c r="B3332" s="1" t="s">
        <v>79</v>
      </c>
      <c r="E3332" s="18" t="n">
        <f aca="false">sh_out26</f>
        <v>7.427</v>
      </c>
      <c r="F3332" s="18" t="n">
        <f aca="false">Sens!E3332+sh_iss-Sens!F3326/Sens!F3331</f>
        <v>7.472</v>
      </c>
      <c r="G3332" s="18" t="n">
        <f aca="false">Sens!F3332+sh_iss-Sens!G3326/Sens!G3331</f>
        <v>7.49104756072797</v>
      </c>
      <c r="H3332" s="18" t="n">
        <f aca="false">Sens!G3332+sh_iss-Sens!H3326/Sens!H3331</f>
        <v>7.50155073242788</v>
      </c>
      <c r="I3332" s="18" t="n">
        <f aca="false">Sens!H3332+sh_iss-Sens!I3326/Sens!I3331</f>
        <v>7.5146092247426</v>
      </c>
      <c r="J3332" s="18" t="n">
        <f aca="false">Sens!I3332+sh_iss-Sens!J3326/Sens!J3331</f>
        <v>7.53003375466364</v>
      </c>
      <c r="K3332" s="18" t="n">
        <f aca="false">Sens!J3332+sh_iss-Sens!K3326/Sens!K3331</f>
        <v>7.54764906014609</v>
      </c>
    </row>
    <row r="3333" customFormat="false" ht="15" hidden="false" customHeight="false" outlineLevel="0" collapsed="false">
      <c r="A3333" s="1" t="s">
        <v>868</v>
      </c>
      <c r="B3333" s="1" t="s">
        <v>79</v>
      </c>
      <c r="E3333" s="18" t="n">
        <f aca="false">sh_dil26</f>
        <v>7.453</v>
      </c>
      <c r="F3333" s="18" t="n">
        <f aca="false">(Sens!E3332+Sens!F3332)/2+dil_gap</f>
        <v>7.4735</v>
      </c>
      <c r="G3333" s="18" t="n">
        <f aca="false">(Sens!F3332+Sens!G3332)/2+dil_gap</f>
        <v>7.50552378036399</v>
      </c>
      <c r="H3333" s="18" t="n">
        <f aca="false">(Sens!G3332+Sens!H3332)/2+dil_gap</f>
        <v>7.52029914657793</v>
      </c>
      <c r="I3333" s="18" t="n">
        <f aca="false">(Sens!H3332+Sens!I3332)/2+dil_gap</f>
        <v>7.53207997858524</v>
      </c>
      <c r="J3333" s="18" t="n">
        <f aca="false">(Sens!I3332+Sens!J3332)/2+dil_gap</f>
        <v>7.54632148970312</v>
      </c>
      <c r="K3333" s="18" t="n">
        <f aca="false">(Sens!J3332+Sens!K3332)/2+dil_gap</f>
        <v>7.56284140740486</v>
      </c>
    </row>
    <row r="3334" customFormat="false" ht="17.15" hidden="false" customHeight="false" outlineLevel="0" collapsed="false">
      <c r="A3334" s="1" t="s">
        <v>869</v>
      </c>
      <c r="B3334" s="0" t="s">
        <v>95</v>
      </c>
      <c r="C3334" s="6" t="n">
        <f aca="false">SUM(Sens!F3324:J3324)</f>
        <v>169.113771734688</v>
      </c>
    </row>
    <row r="3335" customFormat="false" ht="17.15" hidden="false" customHeight="false" outlineLevel="0" collapsed="false">
      <c r="A3335" s="1" t="s">
        <v>836</v>
      </c>
      <c r="B3335" s="1" t="s">
        <v>870</v>
      </c>
      <c r="C3335" s="30" t="str">
        <f aca="false">IF(SUM(Sens!F3327:J3327)&gt;0.05,"需要舉債 "&amp;TEXT(SUM(Sens!F3327:J3327),"0.0")&amp;" 十億美元","不需舉債")&amp;"；"&amp;IF(SUM(Sens!F3326:J3326)&lt;5*bb_target-0.05,"回購較每年 "&amp;TEXT(bb_target,"0.0")&amp;" 的目標少 "&amp;TEXT(5*bb_target-SUM(Sens!F3326:J3326),"0.0")&amp;" 十億美元（"&amp;TEXT(COUNTIF(Sens!F3326:J3326,"&lt;"&amp;(bb_target-0.05)),"0")&amp;" 年減少）","回購不減")</f>
        <v>需要舉債 4.6 十億美元；回購較每年 22.3 的目標少 29.0 十億美元（2 年減少）</v>
      </c>
    </row>
    <row r="3336" customFormat="false" ht="17.15" hidden="false" customHeight="false" outlineLevel="0" collapsed="false">
      <c r="A3336" s="3" t="s">
        <v>1208</v>
      </c>
    </row>
    <row r="3337" customFormat="false" ht="15" hidden="false" customHeight="false" outlineLevel="0" collapsed="false">
      <c r="A3337" s="4" t="s">
        <v>43</v>
      </c>
      <c r="B3337" s="4" t="s">
        <v>63</v>
      </c>
      <c r="C3337" s="19" t="s">
        <v>710</v>
      </c>
      <c r="D3337" s="19" t="s">
        <v>711</v>
      </c>
      <c r="E3337" s="19" t="s">
        <v>712</v>
      </c>
      <c r="F3337" s="19" t="s">
        <v>713</v>
      </c>
      <c r="G3337" s="19" t="s">
        <v>714</v>
      </c>
      <c r="H3337" s="19" t="s">
        <v>715</v>
      </c>
      <c r="I3337" s="19" t="s">
        <v>716</v>
      </c>
      <c r="J3337" s="19" t="s">
        <v>717</v>
      </c>
      <c r="K3337" s="19" t="s">
        <v>718</v>
      </c>
      <c r="L3337" s="4" t="s">
        <v>47</v>
      </c>
    </row>
    <row r="3338" customFormat="false" ht="17.15" hidden="false" customHeight="false" outlineLevel="0" collapsed="false">
      <c r="A3338" s="1" t="s">
        <v>938</v>
      </c>
      <c r="B3338" s="1" t="s">
        <v>213</v>
      </c>
      <c r="F3338" s="34" t="n">
        <f aca="false">1-0.5</f>
        <v>0.5</v>
      </c>
      <c r="G3338" s="34" t="n">
        <f aca="false">2-0.5</f>
        <v>1.5</v>
      </c>
      <c r="H3338" s="34" t="n">
        <f aca="false">3-0.5</f>
        <v>2.5</v>
      </c>
      <c r="I3338" s="34" t="n">
        <f aca="false">4-0.5</f>
        <v>3.5</v>
      </c>
      <c r="J3338" s="34" t="n">
        <f aca="false">5-0.5</f>
        <v>4.5</v>
      </c>
      <c r="K3338" s="34" t="n">
        <f aca="false">6-0.5</f>
        <v>5.5</v>
      </c>
    </row>
    <row r="3339" customFormat="false" ht="15" hidden="false" customHeight="false" outlineLevel="0" collapsed="false">
      <c r="A3339" s="1" t="s">
        <v>939</v>
      </c>
      <c r="B3339" s="0" t="s">
        <v>182</v>
      </c>
      <c r="F3339" s="18" t="n">
        <f aca="false">1/(1+wacc)^Sens!F3338</f>
        <v>0.949601579913219</v>
      </c>
      <c r="G3339" s="18" t="n">
        <f aca="false">1/(1+wacc)^Sens!G3338</f>
        <v>0.856296729956707</v>
      </c>
      <c r="H3339" s="18" t="n">
        <f aca="false">1/(1+wacc)^Sens!H3338</f>
        <v>0.772159719660069</v>
      </c>
      <c r="I3339" s="18" t="n">
        <f aca="false">1/(1+wacc)^Sens!I3338</f>
        <v>0.696289746073958</v>
      </c>
      <c r="J3339" s="18" t="n">
        <f aca="false">1/(1+wacc)^Sens!J3338</f>
        <v>0.627874516299776</v>
      </c>
      <c r="K3339" s="18" t="n">
        <f aca="false">1/(1+wacc)^Sens!K3338</f>
        <v>0.566181550771831</v>
      </c>
    </row>
    <row r="3340" customFormat="false" ht="15" hidden="false" customHeight="false" outlineLevel="0" collapsed="false">
      <c r="A3340" s="1" t="s">
        <v>940</v>
      </c>
      <c r="B3340" s="0" t="s">
        <v>95</v>
      </c>
      <c r="F3340" s="6" t="n">
        <f aca="false">Sens!F3321*Sens!F3339</f>
        <v>6.10715449960617</v>
      </c>
      <c r="G3340" s="6" t="n">
        <f aca="false">Sens!G3321*Sens!G3339</f>
        <v>39.8882380684747</v>
      </c>
      <c r="H3340" s="6" t="n">
        <f aca="false">Sens!H3321*Sens!H3339</f>
        <v>53.4166720877619</v>
      </c>
      <c r="I3340" s="6" t="n">
        <f aca="false">Sens!I3321*Sens!I3339</f>
        <v>73.2984417056109</v>
      </c>
      <c r="J3340" s="6" t="n">
        <f aca="false">Sens!J3321*Sens!J3339</f>
        <v>69.5034494300101</v>
      </c>
      <c r="K3340" s="6" t="n">
        <f aca="false">Sens!K3321*Sens!K3339</f>
        <v>60.8851324955073</v>
      </c>
    </row>
    <row r="3341" customFormat="false" ht="17.15" hidden="false" customHeight="false" outlineLevel="0" collapsed="false">
      <c r="A3341" s="1" t="s">
        <v>941</v>
      </c>
      <c r="B3341" s="0" t="s">
        <v>95</v>
      </c>
      <c r="C3341" s="6" t="n">
        <f aca="false">SUM(Sens!F3340:K3340)</f>
        <v>303.099088286971</v>
      </c>
    </row>
    <row r="3342" customFormat="false" ht="17.15" hidden="false" customHeight="false" outlineLevel="0" collapsed="false">
      <c r="A3342" s="1" t="s">
        <v>942</v>
      </c>
      <c r="B3342" s="0" t="s">
        <v>95</v>
      </c>
      <c r="C3342" s="6" t="n">
        <f aca="false">Sens!K3287*(1+g_tv)*(1-tax_f)</f>
        <v>236.440886680021</v>
      </c>
    </row>
    <row r="3343" customFormat="false" ht="17.15" hidden="false" customHeight="false" outlineLevel="0" collapsed="false">
      <c r="A3343" s="1" t="s">
        <v>943</v>
      </c>
      <c r="B3343" s="0" t="s">
        <v>95</v>
      </c>
      <c r="C3343" s="6" t="n">
        <f aca="false">Sens!$C$3342*(1-g_tv/(wacc+ronic_prem))</f>
        <v>171.343448062458</v>
      </c>
    </row>
    <row r="3344" customFormat="false" ht="17.15" hidden="false" customHeight="false" outlineLevel="0" collapsed="false">
      <c r="A3344" s="1" t="s">
        <v>944</v>
      </c>
      <c r="B3344" s="0" t="s">
        <v>95</v>
      </c>
      <c r="C3344" s="6" t="n">
        <f aca="false">Sens!$C$3343/(wacc-g_tv)</f>
        <v>2169.91462058544</v>
      </c>
    </row>
    <row r="3345" customFormat="false" ht="15" hidden="false" customHeight="false" outlineLevel="0" collapsed="false">
      <c r="A3345" s="1" t="s">
        <v>945</v>
      </c>
      <c r="B3345" s="0" t="s">
        <v>95</v>
      </c>
      <c r="C3345" s="6" t="n">
        <f aca="false">Sens!$C$3344/(1+wacc)^6</f>
        <v>1166.64785845636</v>
      </c>
    </row>
    <row r="3346" customFormat="false" ht="17.15" hidden="false" customHeight="false" outlineLevel="0" collapsed="false">
      <c r="A3346" s="0" t="s">
        <v>877</v>
      </c>
      <c r="B3346" s="0" t="s">
        <v>95</v>
      </c>
      <c r="C3346" s="6" t="n">
        <f aca="false">Sens!$C$3341+Sens!$C$3345</f>
        <v>1469.74694674333</v>
      </c>
    </row>
    <row r="3347" customFormat="false" ht="15" hidden="false" customHeight="false" outlineLevel="0" collapsed="false">
      <c r="A3347" s="1" t="s">
        <v>878</v>
      </c>
      <c r="B3347" s="0" t="s">
        <v>126</v>
      </c>
      <c r="C3347" s="7" t="n">
        <f aca="false">Sens!$C$3345/Sens!$C$3346</f>
        <v>0.793774643343482</v>
      </c>
    </row>
    <row r="3348" customFormat="false" ht="17.15" hidden="false" customHeight="false" outlineLevel="0" collapsed="false">
      <c r="A3348" s="1" t="s">
        <v>946</v>
      </c>
      <c r="B3348" s="0" t="s">
        <v>95</v>
      </c>
      <c r="C3348" s="6" t="n">
        <f aca="false">Sens!$C$3346+Sens!E3330+oai_v</f>
        <v>1670.85394674333</v>
      </c>
    </row>
    <row r="3349" customFormat="false" ht="17.15" hidden="false" customHeight="false" outlineLevel="0" collapsed="false">
      <c r="A3349" s="0" t="s">
        <v>883</v>
      </c>
      <c r="B3349" s="0" t="s">
        <v>73</v>
      </c>
      <c r="C3349" s="5" t="n">
        <f aca="false">Sens!$C$3348/sh_dil26</f>
        <v>224.185421540766</v>
      </c>
    </row>
    <row r="3350" customFormat="false" ht="17.15" hidden="false" customHeight="false" outlineLevel="0" collapsed="false">
      <c r="A3350" s="0" t="s">
        <v>947</v>
      </c>
      <c r="B3350" s="0" t="s">
        <v>73</v>
      </c>
      <c r="C3350" s="5" t="n">
        <f aca="false">Sens!$C$3349*(1+wacc)^t_roll</f>
        <v>257.139461351132</v>
      </c>
    </row>
    <row r="3351" customFormat="false" ht="17.15" hidden="false" customHeight="false" outlineLevel="0" collapsed="false">
      <c r="A3351" s="1" t="s">
        <v>948</v>
      </c>
      <c r="B3351" s="0" t="s">
        <v>126</v>
      </c>
      <c r="F3351" s="7" t="n">
        <f aca="false">Sens!F3311/(Sens!F3262-Sens!F3218)</f>
        <v>0.0603388222299857</v>
      </c>
      <c r="G3351" s="7" t="n">
        <f aca="false">Sens!G3311/(Sens!G3262-Sens!G3218)</f>
        <v>0.0587865670061793</v>
      </c>
      <c r="H3351" s="7" t="n">
        <f aca="false">Sens!H3311/(Sens!H3262-Sens!H3218)</f>
        <v>0.0583397234868938</v>
      </c>
      <c r="I3351" s="7" t="n">
        <f aca="false">Sens!I3311/(Sens!I3262-Sens!I3218)</f>
        <v>0.0589646954106833</v>
      </c>
      <c r="J3351" s="7" t="n">
        <f aca="false">Sens!J3311/(Sens!J3262-Sens!J3218)</f>
        <v>0.0603951493565999</v>
      </c>
      <c r="K3351" s="7" t="n">
        <f aca="false">Sens!K3311/(Sens!K3262-Sens!K3218)</f>
        <v>0.0622503687985749</v>
      </c>
    </row>
    <row r="3352" customFormat="false" ht="17.15" hidden="false" customHeight="false" outlineLevel="0" collapsed="false">
      <c r="A3352" s="0" t="s">
        <v>949</v>
      </c>
      <c r="B3352" s="0" t="s">
        <v>95</v>
      </c>
      <c r="F3352" s="6" t="n">
        <f aca="false">Sens!F3247*(al_m365+Sens!F3351)</f>
        <v>79.4997675434239</v>
      </c>
      <c r="G3352" s="6" t="n">
        <f aca="false">Sens!G3247*(al_m365+Sens!G3351)</f>
        <v>93.2473968120528</v>
      </c>
      <c r="H3352" s="6" t="n">
        <f aca="false">Sens!H3247*(al_m365+Sens!H3351)</f>
        <v>107.162801769937</v>
      </c>
      <c r="I3352" s="6" t="n">
        <f aca="false">Sens!I3247*(al_m365+Sens!I3351)</f>
        <v>119.657463749882</v>
      </c>
      <c r="J3352" s="6" t="n">
        <f aca="false">Sens!J3247*(al_m365+Sens!J3351)</f>
        <v>130.548698031224</v>
      </c>
      <c r="K3352" s="6" t="n">
        <f aca="false">Sens!K3247*(al_m365+Sens!K3351)</f>
        <v>141.077866253471</v>
      </c>
    </row>
    <row r="3353" customFormat="false" ht="17.15" hidden="false" customHeight="false" outlineLevel="0" collapsed="false">
      <c r="A3353" s="0" t="s">
        <v>950</v>
      </c>
      <c r="B3353" s="0" t="s">
        <v>95</v>
      </c>
      <c r="F3353" s="6" t="n">
        <f aca="false">Sens!F3248*(al_lic+Sens!F3351)</f>
        <v>31.661626071307</v>
      </c>
      <c r="G3353" s="6" t="n">
        <f aca="false">Sens!G3248*(al_lic+Sens!G3351)</f>
        <v>32.9390970373399</v>
      </c>
      <c r="H3353" s="6" t="n">
        <f aca="false">Sens!H3248*(al_lic+Sens!H3351)</f>
        <v>34.1310121187315</v>
      </c>
      <c r="I3353" s="6" t="n">
        <f aca="false">Sens!I3248*(al_lic+Sens!I3351)</f>
        <v>35.222160080747</v>
      </c>
      <c r="J3353" s="6" t="n">
        <f aca="false">Sens!J3248*(al_lic+Sens!J3351)</f>
        <v>36.1872320175869</v>
      </c>
      <c r="K3353" s="6" t="n">
        <f aca="false">Sens!K3248*(al_lic+Sens!K3351)</f>
        <v>36.9954761290577</v>
      </c>
    </row>
    <row r="3354" customFormat="false" ht="17.15" hidden="false" customHeight="false" outlineLevel="0" collapsed="false">
      <c r="A3354" s="0" t="s">
        <v>951</v>
      </c>
      <c r="B3354" s="0" t="s">
        <v>95</v>
      </c>
      <c r="F3354" s="6" t="n">
        <f aca="false">Sens!F3250*(al_ind+Sens!F3351)</f>
        <v>8.05617444088871</v>
      </c>
      <c r="G3354" s="6" t="n">
        <f aca="false">Sens!G3250*(al_ind+Sens!G3351)</f>
        <v>8.76846113301815</v>
      </c>
      <c r="H3354" s="6" t="n">
        <f aca="false">Sens!H3250*(al_ind+Sens!H3351)</f>
        <v>9.52245001025314</v>
      </c>
      <c r="I3354" s="6" t="n">
        <f aca="false">Sens!I3250*(al_ind+Sens!I3351)</f>
        <v>10.3170821762344</v>
      </c>
      <c r="J3354" s="6" t="n">
        <f aca="false">Sens!J3250*(al_ind+Sens!J3351)</f>
        <v>11.1431493577727</v>
      </c>
      <c r="K3354" s="6" t="n">
        <f aca="false">Sens!K3250*(al_ind+Sens!K3351)</f>
        <v>11.9845471551207</v>
      </c>
    </row>
    <row r="3355" customFormat="false" ht="17.15" hidden="false" customHeight="false" outlineLevel="0" collapsed="false">
      <c r="A3355" s="0" t="s">
        <v>952</v>
      </c>
      <c r="B3355" s="0" t="s">
        <v>95</v>
      </c>
      <c r="F3355" s="6" t="n">
        <f aca="false">Sens!F3252*(al_fro+Sens!F3351)</f>
        <v>3.17093854355854</v>
      </c>
      <c r="G3355" s="6" t="n">
        <f aca="false">Sens!G3252*(al_fro+Sens!G3351)</f>
        <v>3.3665706689835</v>
      </c>
      <c r="H3355" s="6" t="n">
        <f aca="false">Sens!H3252*(al_fro+Sens!H3351)</f>
        <v>3.58838509403366</v>
      </c>
      <c r="I3355" s="6" t="n">
        <f aca="false">Sens!I3252*(al_fro+Sens!I3351)</f>
        <v>3.83959808585619</v>
      </c>
      <c r="J3355" s="6" t="n">
        <f aca="false">Sens!J3252*(al_fro+Sens!J3351)</f>
        <v>4.12116486293959</v>
      </c>
      <c r="K3355" s="6" t="n">
        <f aca="false">Sens!K3252*(al_fro+Sens!K3351)</f>
        <v>4.43234610325621</v>
      </c>
    </row>
    <row r="3356" customFormat="false" ht="17.15" hidden="false" customHeight="false" outlineLevel="0" collapsed="false">
      <c r="A3356" s="0" t="s">
        <v>953</v>
      </c>
      <c r="B3356" s="0" t="s">
        <v>95</v>
      </c>
      <c r="F3356" s="6" t="n">
        <f aca="false">Sens!F3255*(al_srch+Sens!F3351)</f>
        <v>9.94949183052443</v>
      </c>
      <c r="G3356" s="6" t="n">
        <f aca="false">Sens!G3255*(al_srch+Sens!G3351)</f>
        <v>10.9313536734703</v>
      </c>
      <c r="H3356" s="6" t="n">
        <f aca="false">Sens!H3255*(al_srch+Sens!H3351)</f>
        <v>11.9557815194063</v>
      </c>
      <c r="I3356" s="6" t="n">
        <f aca="false">Sens!I3255*(al_srch+Sens!I3351)</f>
        <v>13.0152348302931</v>
      </c>
      <c r="J3356" s="6" t="n">
        <f aca="false">Sens!J3255*(al_srch+Sens!J3351)</f>
        <v>14.0910311264816</v>
      </c>
      <c r="K3356" s="6" t="n">
        <f aca="false">Sens!K3255*(al_srch+Sens!K3351)</f>
        <v>15.1550178120691</v>
      </c>
    </row>
    <row r="3357" customFormat="false" ht="17.15" hidden="false" customHeight="false" outlineLevel="0" collapsed="false">
      <c r="A3357" s="0" t="s">
        <v>954</v>
      </c>
      <c r="B3357" s="0" t="s">
        <v>95</v>
      </c>
      <c r="F3357" s="6" t="n">
        <f aca="false">Sens!F3224</f>
        <v>43.1278534047371</v>
      </c>
      <c r="G3357" s="6" t="n">
        <f aca="false">Sens!G3224</f>
        <v>78.4713023799053</v>
      </c>
      <c r="H3357" s="6" t="n">
        <f aca="false">Sens!H3224</f>
        <v>120.169624261219</v>
      </c>
      <c r="I3357" s="6" t="n">
        <f aca="false">Sens!I3224</f>
        <v>156.086713969963</v>
      </c>
      <c r="J3357" s="6" t="n">
        <f aca="false">Sens!J3224</f>
        <v>192.09687492465</v>
      </c>
      <c r="K3357" s="6" t="n">
        <f aca="false">Sens!K3224</f>
        <v>228.161785217179</v>
      </c>
    </row>
    <row r="3358" customFormat="false" ht="17.15" hidden="false" customHeight="false" outlineLevel="0" collapsed="false">
      <c r="A3358" s="0" t="s">
        <v>955</v>
      </c>
      <c r="B3358" s="0" t="s">
        <v>95</v>
      </c>
      <c r="F3358" s="6" t="n">
        <f aca="false">Sens!F3284+Sens!F3235+Sens!F3351*(Sens!F3254-Sens!F3218)</f>
        <v>217.31900438429</v>
      </c>
      <c r="G3358" s="6" t="n">
        <f aca="false">Sens!G3284+Sens!G3235+Sens!G3351*(Sens!G3254-Sens!G3218)</f>
        <v>275.220495991468</v>
      </c>
      <c r="H3358" s="6" t="n">
        <f aca="false">Sens!H3284+Sens!H3235+Sens!H3351*(Sens!H3254-Sens!H3218)</f>
        <v>339.726901430237</v>
      </c>
      <c r="I3358" s="6" t="n">
        <f aca="false">Sens!I3284+Sens!I3235+Sens!I3351*(Sens!I3254-Sens!I3218)</f>
        <v>396.844868131264</v>
      </c>
      <c r="J3358" s="6" t="n">
        <f aca="false">Sens!J3284+Sens!J3235+Sens!J3351*(Sens!J3254-Sens!J3218)</f>
        <v>451.611771455763</v>
      </c>
      <c r="K3358" s="6" t="n">
        <f aca="false">Sens!K3284+Sens!K3235+Sens!K3351*(Sens!K3254-Sens!K3218)</f>
        <v>504.453051367141</v>
      </c>
    </row>
    <row r="3359" customFormat="false" ht="17.15" hidden="false" customHeight="false" outlineLevel="0" collapsed="false">
      <c r="A3359" s="0" t="s">
        <v>956</v>
      </c>
      <c r="B3359" s="0" t="s">
        <v>95</v>
      </c>
      <c r="F3359" s="6" t="n">
        <f aca="false">Sens!F3358-Sens!F3352-Sens!F3353-Sens!F3354-Sens!F3355-Sens!F3357</f>
        <v>51.8026443803746</v>
      </c>
      <c r="G3359" s="6" t="n">
        <f aca="false">Sens!G3358-Sens!G3352-Sens!G3353-Sens!G3354-Sens!G3355-Sens!G3357</f>
        <v>58.427667960168</v>
      </c>
      <c r="H3359" s="6" t="n">
        <f aca="false">Sens!H3358-Sens!H3352-Sens!H3353-Sens!H3354-Sens!H3355-Sens!H3357</f>
        <v>65.1526281760632</v>
      </c>
      <c r="I3359" s="6" t="n">
        <f aca="false">Sens!I3358-Sens!I3352-Sens!I3353-Sens!I3354-Sens!I3355-Sens!I3357</f>
        <v>71.7218500685811</v>
      </c>
      <c r="J3359" s="6" t="n">
        <f aca="false">Sens!J3358-Sens!J3352-Sens!J3353-Sens!J3354-Sens!J3355-Sens!J3357</f>
        <v>77.5146522615898</v>
      </c>
      <c r="K3359" s="6" t="n">
        <f aca="false">Sens!K3358-Sens!K3352-Sens!K3353-Sens!K3354-Sens!K3355-Sens!K3357</f>
        <v>81.8010305090555</v>
      </c>
    </row>
    <row r="3360" customFormat="false" ht="17.15" hidden="false" customHeight="false" outlineLevel="0" collapsed="false">
      <c r="A3360" s="0" t="s">
        <v>957</v>
      </c>
      <c r="B3360" s="0" t="s">
        <v>95</v>
      </c>
      <c r="F3360" s="6" t="n">
        <f aca="false">Sens!F3286+Sens!F3351*Sens!F3261</f>
        <v>23.2260178926435</v>
      </c>
      <c r="G3360" s="6" t="n">
        <f aca="false">Sens!G3286+Sens!G3351*Sens!G3261</f>
        <v>23.8291341756004</v>
      </c>
      <c r="H3360" s="6" t="n">
        <f aca="false">Sens!H3286+Sens!H3351*Sens!H3261</f>
        <v>24.6682933524721</v>
      </c>
      <c r="I3360" s="6" t="n">
        <f aca="false">Sens!I3286+Sens!I3351*Sens!I3261</f>
        <v>25.7227806958708</v>
      </c>
      <c r="J3360" s="6" t="n">
        <f aca="false">Sens!J3286+Sens!J3351*Sens!J3261</f>
        <v>26.9607657322495</v>
      </c>
      <c r="K3360" s="6" t="n">
        <f aca="false">Sens!K3286+Sens!K3351*Sens!K3261</f>
        <v>28.3438142103186</v>
      </c>
    </row>
    <row r="3361" customFormat="false" ht="17.15" hidden="false" customHeight="false" outlineLevel="0" collapsed="false">
      <c r="A3361" s="0" t="s">
        <v>958</v>
      </c>
      <c r="B3361" s="0" t="s">
        <v>95</v>
      </c>
      <c r="F3361" s="6" t="n">
        <f aca="false">(Sens!F3360-Sens!F3356)*Sens!F3257/(Sens!F3257+Sens!F3259)</f>
        <v>7.27806227576358</v>
      </c>
      <c r="G3361" s="6" t="n">
        <f aca="false">(Sens!G3360-Sens!G3356)*Sens!G3257/(Sens!G3257+Sens!G3259)</f>
        <v>6.94437218979467</v>
      </c>
      <c r="H3361" s="6" t="n">
        <f aca="false">(Sens!H3360-Sens!H3356)*Sens!H3257/(Sens!H3257+Sens!H3259)</f>
        <v>6.75216117739446</v>
      </c>
      <c r="I3361" s="6" t="n">
        <f aca="false">(Sens!I3360-Sens!I3356)*Sens!I3257/(Sens!I3257+Sens!I3259)</f>
        <v>6.68845376379881</v>
      </c>
      <c r="J3361" s="6" t="n">
        <f aca="false">(Sens!J3360-Sens!J3356)*Sens!J3257/(Sens!J3257+Sens!J3259)</f>
        <v>6.74318876389439</v>
      </c>
      <c r="K3361" s="6" t="n">
        <f aca="false">(Sens!K3360-Sens!K3356)*Sens!K3257/(Sens!K3257+Sens!K3259)</f>
        <v>6.91036345396807</v>
      </c>
    </row>
    <row r="3362" customFormat="false" ht="17.15" hidden="false" customHeight="false" outlineLevel="0" collapsed="false">
      <c r="A3362" s="0" t="s">
        <v>959</v>
      </c>
      <c r="B3362" s="0" t="s">
        <v>95</v>
      </c>
      <c r="F3362" s="6" t="n">
        <f aca="false">Sens!F3360-Sens!F3356-Sens!F3361</f>
        <v>5.99846378635554</v>
      </c>
      <c r="G3362" s="6" t="n">
        <f aca="false">Sens!G3360-Sens!G3356-Sens!G3361</f>
        <v>5.95340831233545</v>
      </c>
      <c r="H3362" s="6" t="n">
        <f aca="false">Sens!H3360-Sens!H3356-Sens!H3361</f>
        <v>5.96035065567136</v>
      </c>
      <c r="I3362" s="6" t="n">
        <f aca="false">Sens!I3360-Sens!I3356-Sens!I3361</f>
        <v>6.01909210177897</v>
      </c>
      <c r="J3362" s="6" t="n">
        <f aca="false">Sens!J3360-Sens!J3356-Sens!J3361</f>
        <v>6.12654584187358</v>
      </c>
      <c r="K3362" s="6" t="n">
        <f aca="false">Sens!K3360-Sens!K3356-Sens!K3361</f>
        <v>6.27843294428147</v>
      </c>
    </row>
    <row r="3363" customFormat="false" ht="17.15" hidden="false" customHeight="false" outlineLevel="0" collapsed="false">
      <c r="A3363" s="1" t="s">
        <v>960</v>
      </c>
      <c r="B3363" s="0" t="s">
        <v>95</v>
      </c>
      <c r="C3363" s="6" t="n">
        <f aca="false">(w_ntm28*Sens!G3357+(1-w_ntm28)*Sens!H3357)*m_ai*1</f>
        <v>551.711134531404</v>
      </c>
    </row>
    <row r="3364" customFormat="false" ht="17.15" hidden="false" customHeight="false" outlineLevel="0" collapsed="false">
      <c r="A3364" s="1" t="s">
        <v>961</v>
      </c>
      <c r="B3364" s="0" t="s">
        <v>95</v>
      </c>
      <c r="C3364" s="6" t="n">
        <f aca="false">(w_ntm28*Sens!G3359+(1-w_ntm28)*Sens!H3359)*m_cloud*1</f>
        <v>837.516387981229</v>
      </c>
    </row>
    <row r="3365" customFormat="false" ht="17.15" hidden="false" customHeight="false" outlineLevel="0" collapsed="false">
      <c r="A3365" s="1" t="s">
        <v>962</v>
      </c>
      <c r="B3365" s="0" t="s">
        <v>95</v>
      </c>
      <c r="C3365" s="6" t="n">
        <f aca="false">(w_ntm28*Sens!G3352+(1-w_ntm28)*Sens!H3352)*m_sw*1</f>
        <v>1055.65761729162</v>
      </c>
    </row>
    <row r="3366" customFormat="false" ht="17.15" hidden="false" customHeight="false" outlineLevel="0" collapsed="false">
      <c r="A3366" s="1" t="s">
        <v>963</v>
      </c>
      <c r="B3366" s="0" t="s">
        <v>95</v>
      </c>
      <c r="C3366" s="6" t="n">
        <f aca="false">(w_ntm28*Sens!G3353+(1-w_ntm28)*Sens!H3353)*m_sw*1</f>
        <v>359.903827673751</v>
      </c>
    </row>
    <row r="3367" customFormat="false" ht="17.15" hidden="false" customHeight="false" outlineLevel="0" collapsed="false">
      <c r="A3367" s="1" t="s">
        <v>964</v>
      </c>
      <c r="B3367" s="0" t="s">
        <v>95</v>
      </c>
      <c r="C3367" s="6" t="n">
        <f aca="false">(w_ntm28*Sens!G3354+(1-w_ntm28)*Sens!H3354)*m_sw*1</f>
        <v>97.3319375657694</v>
      </c>
    </row>
    <row r="3368" customFormat="false" ht="17.15" hidden="false" customHeight="false" outlineLevel="0" collapsed="false">
      <c r="A3368" s="1" t="s">
        <v>965</v>
      </c>
      <c r="B3368" s="0" t="s">
        <v>95</v>
      </c>
      <c r="C3368" s="6" t="n">
        <f aca="false">(w_ntm28*Sens!G3355+(1-w_ntm28)*Sens!H3355)*m_sw*1</f>
        <v>37.1334298093613</v>
      </c>
    </row>
    <row r="3369" customFormat="false" ht="17.15" hidden="false" customHeight="false" outlineLevel="0" collapsed="false">
      <c r="A3369" s="1" t="s">
        <v>966</v>
      </c>
      <c r="B3369" s="0" t="s">
        <v>95</v>
      </c>
      <c r="C3369" s="6" t="n">
        <f aca="false">(w_ntm28*Sens!G3356+(1-w_ntm28)*Sens!H3356)*m_ads*1</f>
        <v>102.601726337435</v>
      </c>
    </row>
    <row r="3370" customFormat="false" ht="17.15" hidden="false" customHeight="false" outlineLevel="0" collapsed="false">
      <c r="A3370" s="1" t="s">
        <v>967</v>
      </c>
      <c r="B3370" s="0" t="s">
        <v>95</v>
      </c>
      <c r="C3370" s="6" t="n">
        <f aca="false">(w_ntm28*Sens!G3361+(1-w_ntm28)*Sens!H3361)*m_game*1</f>
        <v>86.9225994962286</v>
      </c>
    </row>
    <row r="3371" customFormat="false" ht="17.15" hidden="false" customHeight="false" outlineLevel="0" collapsed="false">
      <c r="A3371" s="1" t="s">
        <v>968</v>
      </c>
      <c r="B3371" s="0" t="s">
        <v>95</v>
      </c>
      <c r="C3371" s="6" t="n">
        <f aca="false">(w_ntm28*Sens!G3362+(1-w_ntm28)*Sens!H3362)*m_pc*1</f>
        <v>86.1782943714181</v>
      </c>
    </row>
    <row r="3372" customFormat="false" ht="17.15" hidden="false" customHeight="false" outlineLevel="0" collapsed="false">
      <c r="A3372" s="1" t="s">
        <v>969</v>
      </c>
      <c r="B3372" s="0" t="s">
        <v>95</v>
      </c>
      <c r="C3372" s="6" t="n">
        <f aca="false">Sens!$C$3363+Sens!$C$3364+Sens!$C$3365+Sens!$C$3366+Sens!$C$3367+Sens!$C$3368+Sens!$C$3369+Sens!$C$3370+Sens!$C$3371</f>
        <v>3214.95695505821</v>
      </c>
    </row>
    <row r="3373" customFormat="false" ht="17.15" hidden="false" customHeight="false" outlineLevel="0" collapsed="false">
      <c r="A3373" s="1" t="s">
        <v>903</v>
      </c>
      <c r="B3373" s="0" t="s">
        <v>95</v>
      </c>
      <c r="C3373" s="6" t="n">
        <f aca="false">Sens!F3330+oai_v-Sens!F3319</f>
        <v>116.474600895894</v>
      </c>
      <c r="L3373" s="1" t="s">
        <v>970</v>
      </c>
    </row>
    <row r="3374" customFormat="false" ht="15" hidden="false" customHeight="false" outlineLevel="0" collapsed="false">
      <c r="A3374" s="1" t="s">
        <v>904</v>
      </c>
      <c r="B3374" s="0" t="s">
        <v>73</v>
      </c>
      <c r="C3374" s="5" t="n">
        <f aca="false">(Sens!$C$3372+Sens!$C$3373)/Sens!F3332</f>
        <v>445.855400957455</v>
      </c>
    </row>
    <row r="3375" customFormat="false" ht="17.15" hidden="false" customHeight="false" outlineLevel="0" collapsed="false">
      <c r="A3375" s="1" t="s">
        <v>971</v>
      </c>
      <c r="B3375" s="0" t="s">
        <v>73</v>
      </c>
      <c r="C3375" s="5" t="n">
        <f aca="false">w_dcf*Sens!$C$3350+(1-w_dcf)*Sens!$C$3374</f>
        <v>351.497431154294</v>
      </c>
    </row>
    <row r="3376" customFormat="false" ht="17.15" hidden="false" customHeight="false" outlineLevel="0" collapsed="false">
      <c r="A3376" s="3" t="s">
        <v>1209</v>
      </c>
    </row>
    <row r="3377" customFormat="false" ht="15" hidden="false" customHeight="false" outlineLevel="0" collapsed="false">
      <c r="A3377" s="4" t="s">
        <v>43</v>
      </c>
      <c r="B3377" s="4" t="s">
        <v>63</v>
      </c>
      <c r="C3377" s="19" t="s">
        <v>710</v>
      </c>
      <c r="D3377" s="19" t="s">
        <v>711</v>
      </c>
      <c r="E3377" s="19" t="s">
        <v>712</v>
      </c>
      <c r="F3377" s="19" t="s">
        <v>713</v>
      </c>
      <c r="G3377" s="19" t="s">
        <v>714</v>
      </c>
      <c r="H3377" s="19" t="s">
        <v>715</v>
      </c>
      <c r="I3377" s="19" t="s">
        <v>716</v>
      </c>
      <c r="J3377" s="19" t="s">
        <v>717</v>
      </c>
      <c r="K3377" s="19" t="s">
        <v>718</v>
      </c>
      <c r="L3377" s="4" t="s">
        <v>47</v>
      </c>
    </row>
    <row r="3378" customFormat="false" ht="17.15" hidden="false" customHeight="false" outlineLevel="0" collapsed="false">
      <c r="A3378" s="1" t="s">
        <v>719</v>
      </c>
      <c r="B3378" s="0" t="s">
        <v>340</v>
      </c>
      <c r="C3378" s="27" t="n">
        <f aca="false">mw_ext_24</f>
        <v>640</v>
      </c>
      <c r="D3378" s="27" t="n">
        <f aca="false">mw_ext_25</f>
        <v>1630</v>
      </c>
      <c r="E3378" s="27" t="n">
        <f aca="false">mw_ext_26</f>
        <v>3250</v>
      </c>
      <c r="F3378" s="27" t="n">
        <f aca="false">MIN(1000000000,Sens!E3378+pace)</f>
        <v>5777.2</v>
      </c>
      <c r="G3378" s="27" t="n">
        <f aca="false">MIN(1000000000,Sens!F3378+pace)</f>
        <v>8304.4</v>
      </c>
      <c r="H3378" s="27" t="n">
        <f aca="false">MIN(1000000000,Sens!G3378+pace)</f>
        <v>10831.6</v>
      </c>
      <c r="I3378" s="27" t="n">
        <f aca="false">MIN(1000000000,Sens!H3378+pace)</f>
        <v>13358.8</v>
      </c>
      <c r="J3378" s="27" t="n">
        <f aca="false">MIN(1000000000,Sens!I3378+pace)</f>
        <v>15886</v>
      </c>
      <c r="K3378" s="27" t="n">
        <f aca="false">MIN(1000000000,Sens!J3378+pace)</f>
        <v>18413.2</v>
      </c>
      <c r="L3378" s="11" t="s">
        <v>720</v>
      </c>
    </row>
    <row r="3379" customFormat="false" ht="17.15" hidden="false" customHeight="false" outlineLevel="0" collapsed="false">
      <c r="A3379" s="1" t="s">
        <v>721</v>
      </c>
      <c r="B3379" s="0" t="s">
        <v>340</v>
      </c>
      <c r="C3379" s="27" t="n">
        <f aca="false">rent_ext_24</f>
        <v>150</v>
      </c>
      <c r="D3379" s="27" t="n">
        <f aca="false">rent_ext_25</f>
        <v>400</v>
      </c>
      <c r="E3379" s="27" t="n">
        <f aca="false">rent_ext_26</f>
        <v>550</v>
      </c>
      <c r="F3379" s="27" t="n">
        <f aca="false">rent_ext_f</f>
        <v>756</v>
      </c>
      <c r="G3379" s="27" t="n">
        <f aca="false">rent_ext_f</f>
        <v>756</v>
      </c>
      <c r="H3379" s="27" t="n">
        <f aca="false">rent_ext_f</f>
        <v>756</v>
      </c>
      <c r="I3379" s="27" t="n">
        <f aca="false">rent_ext_f</f>
        <v>756</v>
      </c>
      <c r="J3379" s="27" t="n">
        <f aca="false">rent_ext_f</f>
        <v>756</v>
      </c>
      <c r="K3379" s="27" t="n">
        <f aca="false">rent_ext_f</f>
        <v>756</v>
      </c>
      <c r="L3379" s="1" t="s">
        <v>722</v>
      </c>
    </row>
    <row r="3380" customFormat="false" ht="17.15" hidden="false" customHeight="false" outlineLevel="0" collapsed="false">
      <c r="A3380" s="1" t="s">
        <v>723</v>
      </c>
      <c r="B3380" s="0" t="s">
        <v>340</v>
      </c>
      <c r="C3380" s="27" t="n">
        <f aca="false">Sens!C3378-Sens!C3379</f>
        <v>490</v>
      </c>
      <c r="D3380" s="27" t="n">
        <f aca="false">Sens!D3378-Sens!D3379</f>
        <v>1230</v>
      </c>
      <c r="E3380" s="27" t="n">
        <f aca="false">Sens!E3378-Sens!E3379</f>
        <v>2700</v>
      </c>
      <c r="F3380" s="27" t="n">
        <f aca="false">Sens!F3378-Sens!F3379</f>
        <v>5021.2</v>
      </c>
      <c r="G3380" s="27" t="n">
        <f aca="false">Sens!G3378-Sens!G3379</f>
        <v>7548.4</v>
      </c>
      <c r="H3380" s="27" t="n">
        <f aca="false">Sens!H3378-Sens!H3379</f>
        <v>10075.6</v>
      </c>
      <c r="I3380" s="27" t="n">
        <f aca="false">Sens!I3378-Sens!I3379</f>
        <v>12602.8</v>
      </c>
      <c r="J3380" s="27" t="n">
        <f aca="false">Sens!J3378-Sens!J3379</f>
        <v>15130</v>
      </c>
      <c r="K3380" s="27" t="n">
        <f aca="false">Sens!K3378-Sens!K3379</f>
        <v>17657.2</v>
      </c>
    </row>
    <row r="3381" customFormat="false" ht="17.15" hidden="false" customHeight="false" outlineLevel="0" collapsed="false">
      <c r="A3381" s="1" t="s">
        <v>724</v>
      </c>
      <c r="B3381" s="0" t="s">
        <v>340</v>
      </c>
      <c r="C3381" s="27" t="n">
        <f aca="false">Sens!C3380/ext_sh</f>
        <v>816.666666666667</v>
      </c>
      <c r="D3381" s="27" t="n">
        <f aca="false">Sens!D3380/ext_sh</f>
        <v>2050</v>
      </c>
      <c r="E3381" s="27" t="n">
        <f aca="false">Sens!E3380/ext_sh</f>
        <v>4500</v>
      </c>
      <c r="F3381" s="27" t="n">
        <f aca="false">Sens!F3380/ext_sh</f>
        <v>8368.66666666667</v>
      </c>
      <c r="G3381" s="27" t="n">
        <f aca="false">Sens!G3380/ext_sh</f>
        <v>12580.6666666667</v>
      </c>
      <c r="H3381" s="27" t="n">
        <f aca="false">Sens!H3380/ext_sh</f>
        <v>16792.6666666667</v>
      </c>
      <c r="I3381" s="27" t="n">
        <f aca="false">Sens!I3380/ext_sh</f>
        <v>21004.6666666667</v>
      </c>
      <c r="J3381" s="27" t="n">
        <f aca="false">Sens!J3380/ext_sh</f>
        <v>25216.6666666667</v>
      </c>
      <c r="K3381" s="27" t="n">
        <f aca="false">Sens!K3380/ext_sh</f>
        <v>29428.6666666667</v>
      </c>
      <c r="L3381" s="1" t="s">
        <v>725</v>
      </c>
    </row>
    <row r="3382" customFormat="false" ht="17.15" hidden="false" customHeight="false" outlineLevel="0" collapsed="false">
      <c r="A3382" s="1" t="s">
        <v>726</v>
      </c>
      <c r="B3382" s="0" t="s">
        <v>340</v>
      </c>
      <c r="C3382" s="27" t="n">
        <f aca="false">Sens!C3381-Sens!C3380</f>
        <v>326.666666666667</v>
      </c>
      <c r="D3382" s="27" t="n">
        <f aca="false">Sens!D3381-Sens!D3380</f>
        <v>820</v>
      </c>
      <c r="E3382" s="27" t="n">
        <f aca="false">Sens!E3381-Sens!E3380</f>
        <v>1800</v>
      </c>
      <c r="F3382" s="27" t="n">
        <f aca="false">Sens!F3381-Sens!F3380</f>
        <v>3347.46666666667</v>
      </c>
      <c r="G3382" s="27" t="n">
        <f aca="false">Sens!G3381-Sens!G3380</f>
        <v>5032.26666666667</v>
      </c>
      <c r="H3382" s="27" t="n">
        <f aca="false">Sens!H3381-Sens!H3380</f>
        <v>6717.06666666667</v>
      </c>
      <c r="I3382" s="27" t="n">
        <f aca="false">Sens!I3381-Sens!I3380</f>
        <v>8401.86666666667</v>
      </c>
      <c r="J3382" s="27" t="n">
        <f aca="false">Sens!J3381-Sens!J3380</f>
        <v>10086.6666666667</v>
      </c>
      <c r="K3382" s="27" t="n">
        <f aca="false">Sens!K3381-Sens!K3380</f>
        <v>11771.4666666667</v>
      </c>
    </row>
    <row r="3383" customFormat="false" ht="17.15" hidden="false" customHeight="false" outlineLevel="0" collapsed="false">
      <c r="A3383" s="1" t="s">
        <v>727</v>
      </c>
      <c r="B3383" s="0" t="s">
        <v>340</v>
      </c>
      <c r="C3383" s="27" t="n">
        <f aca="false">Sens!C3381</f>
        <v>816.666666666667</v>
      </c>
      <c r="D3383" s="27" t="n">
        <f aca="false">Sens!D3381-Sens!C3381</f>
        <v>1233.33333333333</v>
      </c>
      <c r="E3383" s="27" t="n">
        <f aca="false">Sens!E3381-Sens!D3381</f>
        <v>2450</v>
      </c>
      <c r="F3383" s="27" t="n">
        <f aca="false">Sens!F3381-Sens!E3381</f>
        <v>3868.66666666667</v>
      </c>
      <c r="G3383" s="27" t="n">
        <f aca="false">Sens!G3381-Sens!F3381</f>
        <v>4212</v>
      </c>
      <c r="H3383" s="27" t="n">
        <f aca="false">Sens!H3381-Sens!G3381</f>
        <v>4212</v>
      </c>
      <c r="I3383" s="27" t="n">
        <f aca="false">Sens!I3381-Sens!H3381</f>
        <v>4212</v>
      </c>
      <c r="J3383" s="27" t="n">
        <f aca="false">Sens!J3381-Sens!I3381</f>
        <v>4212</v>
      </c>
      <c r="K3383" s="27" t="n">
        <f aca="false">Sens!K3381-Sens!J3381</f>
        <v>4212</v>
      </c>
    </row>
    <row r="3384" customFormat="false" ht="17.15" hidden="false" customHeight="false" outlineLevel="0" collapsed="false">
      <c r="A3384" s="1" t="s">
        <v>728</v>
      </c>
      <c r="B3384" s="0" t="s">
        <v>340</v>
      </c>
      <c r="D3384" s="27" t="n">
        <f aca="false">Sens!D3378-Sens!C3378</f>
        <v>990</v>
      </c>
      <c r="E3384" s="27" t="n">
        <f aca="false">Sens!E3378-Sens!D3378</f>
        <v>1620</v>
      </c>
      <c r="F3384" s="27" t="n">
        <f aca="false">Sens!F3378-Sens!E3378</f>
        <v>2527.2</v>
      </c>
      <c r="G3384" s="27" t="n">
        <f aca="false">Sens!G3378-Sens!F3378</f>
        <v>2527.2</v>
      </c>
      <c r="H3384" s="27" t="n">
        <f aca="false">Sens!H3378-Sens!G3378</f>
        <v>2527.2</v>
      </c>
      <c r="I3384" s="27" t="n">
        <f aca="false">Sens!I3378-Sens!H3378</f>
        <v>2527.2</v>
      </c>
      <c r="J3384" s="27" t="n">
        <f aca="false">Sens!J3378-Sens!I3378</f>
        <v>2527.2</v>
      </c>
      <c r="K3384" s="27" t="n">
        <f aca="false">Sens!K3378-Sens!J3378</f>
        <v>2527.2</v>
      </c>
    </row>
    <row r="3385" customFormat="false" ht="17.15" hidden="false" customHeight="false" outlineLevel="0" collapsed="false">
      <c r="A3385" s="1" t="s">
        <v>729</v>
      </c>
      <c r="B3385" s="0" t="s">
        <v>340</v>
      </c>
      <c r="C3385" s="27" t="n">
        <f aca="false">mix_h*Sens!C3378</f>
        <v>128</v>
      </c>
      <c r="D3385" s="27" t="n">
        <f aca="false">mix_h*Sens!D3378</f>
        <v>326</v>
      </c>
      <c r="E3385" s="27" t="n">
        <f aca="false">mix_h*Sens!E3378</f>
        <v>650</v>
      </c>
      <c r="F3385" s="27" t="n">
        <f aca="false">Sens!E3385</f>
        <v>650</v>
      </c>
      <c r="G3385" s="27" t="n">
        <f aca="false">Sens!F3385</f>
        <v>650</v>
      </c>
      <c r="H3385" s="27" t="n">
        <f aca="false">Sens!G3385</f>
        <v>650</v>
      </c>
      <c r="I3385" s="27" t="n">
        <f aca="false">Sens!H3385</f>
        <v>650</v>
      </c>
      <c r="J3385" s="27" t="n">
        <f aca="false">Sens!I3385</f>
        <v>650</v>
      </c>
      <c r="K3385" s="27" t="n">
        <f aca="false">Sens!J3385</f>
        <v>650</v>
      </c>
    </row>
    <row r="3386" customFormat="false" ht="17.15" hidden="false" customHeight="false" outlineLevel="0" collapsed="false">
      <c r="A3386" s="1" t="s">
        <v>730</v>
      </c>
      <c r="B3386" s="0" t="s">
        <v>340</v>
      </c>
      <c r="C3386" s="27" t="n">
        <f aca="false">mix_g2*Sens!C3378</f>
        <v>288</v>
      </c>
      <c r="D3386" s="27" t="n">
        <f aca="false">mix_g2*Sens!D3378</f>
        <v>733.5</v>
      </c>
      <c r="E3386" s="27" t="n">
        <f aca="false">mix_g2*Sens!E3378</f>
        <v>1462.5</v>
      </c>
      <c r="F3386" s="27" t="n">
        <f aca="false">Sens!E3386</f>
        <v>1462.5</v>
      </c>
      <c r="G3386" s="27" t="n">
        <f aca="false">Sens!F3386</f>
        <v>1462.5</v>
      </c>
      <c r="H3386" s="27" t="n">
        <f aca="false">Sens!G3386</f>
        <v>1462.5</v>
      </c>
      <c r="I3386" s="27" t="n">
        <f aca="false">Sens!H3386</f>
        <v>1462.5</v>
      </c>
      <c r="J3386" s="27" t="n">
        <f aca="false">Sens!I3386</f>
        <v>1462.5</v>
      </c>
      <c r="K3386" s="27" t="n">
        <f aca="false">Sens!J3386</f>
        <v>1462.5</v>
      </c>
    </row>
    <row r="3387" customFormat="false" ht="17.15" hidden="false" customHeight="false" outlineLevel="0" collapsed="false">
      <c r="A3387" s="1" t="s">
        <v>731</v>
      </c>
      <c r="B3387" s="0" t="s">
        <v>340</v>
      </c>
      <c r="C3387" s="27" t="n">
        <f aca="false">mix_g3*Sens!C3378</f>
        <v>224</v>
      </c>
      <c r="D3387" s="27" t="n">
        <f aca="false">mix_g3*Sens!D3378</f>
        <v>570.5</v>
      </c>
      <c r="E3387" s="27" t="n">
        <f aca="false">mix_g3*Sens!E3378</f>
        <v>1137.5</v>
      </c>
      <c r="F3387" s="27" t="n">
        <f aca="false">Sens!E3387+Sens!F3384*a_g3_27</f>
        <v>2906.54</v>
      </c>
      <c r="G3387" s="27" t="n">
        <f aca="false">Sens!F3387+Sens!G3384*a_g3_28</f>
        <v>3664.7</v>
      </c>
      <c r="H3387" s="27" t="n">
        <f aca="false">Sens!G3387+Sens!H3384*a_g3_29</f>
        <v>3917.42</v>
      </c>
      <c r="I3387" s="27" t="n">
        <f aca="false">Sens!H3387+Sens!I3384*a_g3_29</f>
        <v>4170.14</v>
      </c>
      <c r="J3387" s="27" t="n">
        <f aca="false">Sens!I3387+Sens!J3384*a_g3_29</f>
        <v>4422.86</v>
      </c>
      <c r="K3387" s="27" t="n">
        <f aca="false">Sens!J3387+Sens!K3384*a_g3_29</f>
        <v>4675.58</v>
      </c>
    </row>
    <row r="3388" customFormat="false" ht="17.15" hidden="false" customHeight="false" outlineLevel="0" collapsed="false">
      <c r="A3388" s="1" t="s">
        <v>732</v>
      </c>
      <c r="B3388" s="0" t="s">
        <v>340</v>
      </c>
      <c r="C3388" s="27" t="n">
        <f aca="false">0</f>
        <v>0</v>
      </c>
      <c r="D3388" s="27" t="n">
        <f aca="false">0</f>
        <v>0</v>
      </c>
      <c r="E3388" s="27" t="n">
        <f aca="false">0</f>
        <v>0</v>
      </c>
      <c r="F3388" s="27" t="n">
        <f aca="false">Sens!E3388+Sens!F3384*(1-a_g3_27)</f>
        <v>758.16</v>
      </c>
      <c r="G3388" s="27" t="n">
        <f aca="false">Sens!F3388+Sens!G3384*(1-a_g3_28)</f>
        <v>2527.2</v>
      </c>
      <c r="H3388" s="27" t="n">
        <f aca="false">Sens!G3388+Sens!H3384*(1-a_g3_29)</f>
        <v>4801.68</v>
      </c>
      <c r="I3388" s="27" t="n">
        <f aca="false">Sens!H3388+Sens!I3384*(1-a_g3_29)</f>
        <v>7076.16</v>
      </c>
      <c r="J3388" s="27" t="n">
        <f aca="false">Sens!I3388+Sens!J3384*(1-a_g3_29)</f>
        <v>9350.64</v>
      </c>
      <c r="K3388" s="27" t="n">
        <f aca="false">Sens!J3388+Sens!K3384*(1-a_g3_29)</f>
        <v>11625.12</v>
      </c>
    </row>
    <row r="3389" customFormat="false" ht="17.15" hidden="false" customHeight="false" outlineLevel="0" collapsed="false">
      <c r="A3389" s="1" t="s">
        <v>733</v>
      </c>
      <c r="B3389" s="0" t="s">
        <v>291</v>
      </c>
      <c r="C3389" s="18" t="n">
        <f aca="false">(Sens!C3385*tk_hold_h100+Sens!C3386*tk_hold_gb200+Sens!C3387*tk_hold_gb300+Sens!C3388*tk_hold_vr200)/Sens!C3378</f>
        <v>9.7235358126469</v>
      </c>
      <c r="D3389" s="18" t="n">
        <f aca="false">(Sens!D3385*tk_hold_h100+Sens!D3386*tk_hold_gb200+Sens!D3387*tk_hold_gb300+Sens!D3388*tk_hold_vr200)/Sens!D3378</f>
        <v>9.7235358126469</v>
      </c>
      <c r="E3389" s="18" t="n">
        <f aca="false">(Sens!E3385*tk_hold_h100+Sens!E3386*tk_hold_gb200+Sens!E3387*tk_hold_gb300+Sens!E3388*tk_hold_vr200)/Sens!E3378</f>
        <v>9.7235358126469</v>
      </c>
      <c r="F3389" s="18" t="n">
        <f aca="false">(Sens!F3385*tk_hold_h100+Sens!F3386*tk_hold_gb200+Sens!F3387*tk_hold_gb300+Sens!F3388*tk_hold_vr200)/Sens!F3378</f>
        <v>10.4079573161931</v>
      </c>
      <c r="G3389" s="18" t="n">
        <f aca="false">(Sens!G3385*tk_hold_h100+Sens!G3386*tk_hold_gb200+Sens!G3387*tk_hold_gb300+Sens!G3388*tk_hold_vr200)/Sens!G3378</f>
        <v>10.8388131109316</v>
      </c>
      <c r="H3389" s="18" t="n">
        <f aca="false">(Sens!H3385*tk_hold_h100+Sens!H3386*tk_hold_gb200+Sens!H3387*tk_hold_gb300+Sens!H3388*tk_hold_vr200)/Sens!H3378</f>
        <v>11.1311018388216</v>
      </c>
      <c r="I3389" s="18" t="n">
        <f aca="false">(Sens!I3385*tk_hold_h100+Sens!I3386*tk_hold_gb200+Sens!I3387*tk_hold_gb300+Sens!I3388*tk_hold_vr200)/Sens!I3378</f>
        <v>11.3128009818501</v>
      </c>
      <c r="J3389" s="18" t="n">
        <f aca="false">(Sens!J3385*tk_hold_h100+Sens!J3386*tk_hold_gb200+Sens!J3387*tk_hold_gb300+Sens!J3388*tk_hold_vr200)/Sens!J3378</f>
        <v>11.4366894646418</v>
      </c>
      <c r="K3389" s="18" t="n">
        <f aca="false">(Sens!K3385*tk_hold_h100+Sens!K3386*tk_hold_gb200+Sens!K3387*tk_hold_gb300+Sens!K3388*tk_hold_vr200)/Sens!K3378</f>
        <v>11.526570716348</v>
      </c>
    </row>
    <row r="3390" customFormat="false" ht="17.15" hidden="false" customHeight="false" outlineLevel="0" collapsed="false">
      <c r="A3390" s="0" t="s">
        <v>734</v>
      </c>
      <c r="B3390" s="0" t="s">
        <v>182</v>
      </c>
      <c r="C3390" s="18" t="n">
        <f aca="false">k_B</f>
        <v>1.17213932619116</v>
      </c>
      <c r="D3390" s="18" t="n">
        <f aca="false">k_B</f>
        <v>1.17213932619116</v>
      </c>
      <c r="E3390" s="18" t="n">
        <f aca="false">k_B</f>
        <v>1.17213932619116</v>
      </c>
      <c r="F3390" s="18" t="n">
        <f aca="false">(k_B+((ls_B*k_long+(1-ls_B)*k_spot)-k_B)*MIN(1,1/3))*1</f>
        <v>1.17213932619116</v>
      </c>
      <c r="G3390" s="18" t="n">
        <f aca="false">(k_B+((ls_B*k_long+(1-ls_B)*k_spot)-k_B)*MIN(1,2/3))*1</f>
        <v>1.17213932619116</v>
      </c>
      <c r="H3390" s="18" t="n">
        <f aca="false">(k_B+((ls_B*k_long+(1-ls_B)*k_spot)-k_B)*MIN(1,3/3))*1</f>
        <v>1.17213932619116</v>
      </c>
      <c r="I3390" s="18" t="n">
        <f aca="false">(k_B+((ls_B*k_long+(1-ls_B)*k_spot)-k_B)*MIN(1,4/3))*1</f>
        <v>1.17213932619116</v>
      </c>
      <c r="J3390" s="18" t="n">
        <f aca="false">(k_B+((ls_B*k_long+(1-ls_B)*k_spot)-k_B)*MIN(1,5/3))*1</f>
        <v>1.17213932619116</v>
      </c>
      <c r="K3390" s="18" t="n">
        <f aca="false">(k_B+((ls_B*k_long+(1-ls_B)*k_spot)-k_B)*MIN(1,6/3))*1</f>
        <v>1.17213932619116</v>
      </c>
      <c r="L3390" s="1" t="s">
        <v>735</v>
      </c>
    </row>
    <row r="3391" customFormat="false" ht="17.15" hidden="false" customHeight="false" outlineLevel="0" collapsed="false">
      <c r="A3391" s="1" t="s">
        <v>736</v>
      </c>
      <c r="B3391" s="0" t="s">
        <v>291</v>
      </c>
      <c r="C3391" s="18" t="n">
        <f aca="false">Sens!C3389*Sens!C3390*chip_f</f>
        <v>11.3973387156315</v>
      </c>
      <c r="D3391" s="18" t="n">
        <f aca="false">Sens!D3389*Sens!D3390*chip_f</f>
        <v>11.3973387156315</v>
      </c>
      <c r="E3391" s="18" t="n">
        <f aca="false">Sens!E3389*Sens!E3390*chip_f</f>
        <v>11.3973387156315</v>
      </c>
      <c r="F3391" s="18" t="n">
        <f aca="false">Sens!F3389*Sens!F3390*chip_f</f>
        <v>12.1995760756289</v>
      </c>
      <c r="G3391" s="18" t="n">
        <f aca="false">Sens!G3389*Sens!G3390*chip_f</f>
        <v>12.7045990965592</v>
      </c>
      <c r="H3391" s="18" t="n">
        <f aca="false">Sens!H3389*Sens!H3390*chip_f</f>
        <v>13.0472022091214</v>
      </c>
      <c r="I3391" s="18" t="n">
        <f aca="false">Sens!I3389*Sens!I3390*chip_f</f>
        <v>13.2601789202004</v>
      </c>
      <c r="J3391" s="18" t="n">
        <f aca="false">Sens!J3389*Sens!J3390*chip_f</f>
        <v>13.4053934829427</v>
      </c>
      <c r="K3391" s="18" t="n">
        <f aca="false">Sens!K3389*Sens!K3390*chip_f</f>
        <v>13.5107468327548</v>
      </c>
      <c r="L3391" s="1" t="s">
        <v>737</v>
      </c>
    </row>
    <row r="3392" customFormat="false" ht="17.15" hidden="false" customHeight="false" outlineLevel="0" collapsed="false">
      <c r="A3392" s="0" t="s">
        <v>738</v>
      </c>
      <c r="B3392" s="0" t="s">
        <v>95</v>
      </c>
      <c r="D3392" s="6" t="n">
        <f aca="false">(Sens!C3378+Sens!D3378)/2*Sens!D3391/1000</f>
        <v>12.9359794422418</v>
      </c>
      <c r="E3392" s="6" t="n">
        <f aca="false">(Sens!D3378+Sens!E3378)/2*Sens!E3391/1000</f>
        <v>27.8095064661409</v>
      </c>
      <c r="F3392" s="6" t="n">
        <f aca="false">(Sens!E3378+Sens!F3378)/2*Sens!F3391/1000</f>
        <v>55.0640065749585</v>
      </c>
      <c r="G3392" s="6" t="n">
        <f aca="false">(Sens!F3378+Sens!G3378)/2*Sens!G3391/1000</f>
        <v>89.4505413190538</v>
      </c>
      <c r="H3392" s="6" t="n">
        <f aca="false">(Sens!G3378+Sens!H3378)/2*Sens!H3391/1000</f>
        <v>124.835630736874</v>
      </c>
      <c r="I3392" s="6" t="n">
        <f aca="false">(Sens!H3378+Sens!I3378)/2*Sens!I3391/1000</f>
        <v>160.384516075608</v>
      </c>
      <c r="J3392" s="6" t="n">
        <f aca="false">(Sens!I3378+Sens!J3378)/2*Sens!J3391/1000</f>
        <v>196.019025664981</v>
      </c>
      <c r="K3392" s="6" t="n">
        <f aca="false">(Sens!J3378+Sens!K3378)/2*Sens!K3391/1000</f>
        <v>231.703903883012</v>
      </c>
      <c r="L3392" s="11" t="s">
        <v>739</v>
      </c>
    </row>
    <row r="3393" customFormat="false" ht="17.15" hidden="false" customHeight="false" outlineLevel="0" collapsed="false">
      <c r="A3393" s="1" t="s">
        <v>740</v>
      </c>
      <c r="B3393" s="0" t="s">
        <v>291</v>
      </c>
      <c r="C3393" s="18" t="n">
        <f aca="false">(Sens!C3385*tk_opex_h100+Sens!C3386*tk_opex_gb200+Sens!C3387*tk_opex_gb300+Sens!C3388*tk_opex_vr200)/Sens!C3378</f>
        <v>1.88636041306092</v>
      </c>
      <c r="D3393" s="18" t="n">
        <f aca="false">(Sens!D3385*tk_opex_h100+Sens!D3386*tk_opex_gb200+Sens!D3387*tk_opex_gb300+Sens!D3388*tk_opex_vr200)/Sens!D3378</f>
        <v>1.88636041306092</v>
      </c>
      <c r="E3393" s="18" t="n">
        <f aca="false">(Sens!E3385*tk_opex_h100+Sens!E3386*tk_opex_gb200+Sens!E3387*tk_opex_gb300+Sens!E3388*tk_opex_vr200)/Sens!E3378</f>
        <v>1.88636041306092</v>
      </c>
      <c r="F3393" s="18" t="n">
        <f aca="false">(Sens!F3385*tk_opex_h100+Sens!F3386*tk_opex_gb200+Sens!F3387*tk_opex_gb300+Sens!F3388*tk_opex_vr200)/Sens!F3378</f>
        <v>1.9430236476499</v>
      </c>
      <c r="G3393" s="18" t="n">
        <f aca="false">(Sens!G3385*tk_opex_h100+Sens!G3386*tk_opex_gb200+Sens!G3387*tk_opex_gb300+Sens!G3388*tk_opex_vr200)/Sens!G3378</f>
        <v>1.9786941852423</v>
      </c>
      <c r="H3393" s="18" t="n">
        <f aca="false">(Sens!H3385*tk_opex_h100+Sens!H3386*tk_opex_gb200+Sens!H3387*tk_opex_gb300+Sens!H3388*tk_opex_vr200)/Sens!H3378</f>
        <v>2.00289275976156</v>
      </c>
      <c r="I3393" s="18" t="n">
        <f aca="false">(Sens!I3385*tk_opex_h100+Sens!I3386*tk_opex_gb200+Sens!I3387*tk_opex_gb300+Sens!I3388*tk_opex_vr200)/Sens!I3378</f>
        <v>2.01793562605478</v>
      </c>
      <c r="J3393" s="18" t="n">
        <f aca="false">(Sens!J3385*tk_opex_h100+Sens!J3386*tk_opex_gb200+Sens!J3387*tk_opex_gb300+Sens!J3388*tk_opex_vr200)/Sens!J3378</f>
        <v>2.02819234961902</v>
      </c>
      <c r="K3393" s="18" t="n">
        <f aca="false">(Sens!K3385*tk_opex_h100+Sens!K3386*tk_opex_gb200+Sens!K3387*tk_opex_gb300+Sens!K3388*tk_opex_vr200)/Sens!K3378</f>
        <v>2.0356336155994</v>
      </c>
    </row>
    <row r="3394" customFormat="false" ht="17.15" hidden="false" customHeight="false" outlineLevel="0" collapsed="false">
      <c r="A3394" s="0" t="s">
        <v>741</v>
      </c>
      <c r="B3394" s="0" t="s">
        <v>95</v>
      </c>
      <c r="D3394" s="6" t="n">
        <f aca="false">(Sens!C3381+Sens!D3381)/2*Sens!D3393/1000</f>
        <v>2.70378325872065</v>
      </c>
      <c r="E3394" s="6" t="n">
        <f aca="false">(Sens!D3381+Sens!E3381)/2*Sens!E3393/1000</f>
        <v>6.17783035277451</v>
      </c>
      <c r="F3394" s="6" t="n">
        <f aca="false">(Sens!E3381+Sens!F3381)/2*Sens!F3393/1000</f>
        <v>12.5020618235287</v>
      </c>
      <c r="G3394" s="6" t="n">
        <f aca="false">(Sens!F3381+Sens!G3381)/2*Sens!G3393/1000</f>
        <v>20.7261620256847</v>
      </c>
      <c r="H3394" s="6" t="n">
        <f aca="false">(Sens!G3381+Sens!H3381)/2*Sens!H3393/1000</f>
        <v>29.4158183316982</v>
      </c>
      <c r="I3394" s="6" t="n">
        <f aca="false">(Sens!H3381+Sens!I3381)/2*Sens!I3393/1000</f>
        <v>38.1362927516005</v>
      </c>
      <c r="J3394" s="6" t="n">
        <f aca="false">(Sens!I3381+Sens!J3381)/2*Sens!J3393/1000</f>
        <v>46.8728773279286</v>
      </c>
      <c r="K3394" s="6" t="n">
        <f aca="false">(Sens!J3381+Sens!K3381)/2*Sens!K3393/1000</f>
        <v>55.618938734484</v>
      </c>
    </row>
    <row r="3395" customFormat="false" ht="17.15" hidden="false" customHeight="false" outlineLevel="0" collapsed="false">
      <c r="A3395" s="0" t="s">
        <v>742</v>
      </c>
      <c r="B3395" s="0" t="s">
        <v>95</v>
      </c>
      <c r="D3395" s="6" t="n">
        <f aca="false">(Sens!C3379+Sens!D3379)/2*rent_mw/1000</f>
        <v>2.44475</v>
      </c>
      <c r="E3395" s="6" t="n">
        <f aca="false">(Sens!D3379+Sens!E3379)/2*rent_mw/1000</f>
        <v>4.22275</v>
      </c>
      <c r="F3395" s="6" t="n">
        <f aca="false">(Sens!E3379+Sens!F3379)/2*rent_mw/1000</f>
        <v>5.80517</v>
      </c>
      <c r="G3395" s="6" t="n">
        <f aca="false">(Sens!F3379+Sens!G3379)/2*rent_mw/1000</f>
        <v>6.72084</v>
      </c>
      <c r="H3395" s="6" t="n">
        <f aca="false">(Sens!G3379+Sens!H3379)/2*rent_mw/1000</f>
        <v>6.72084</v>
      </c>
      <c r="I3395" s="6" t="n">
        <f aca="false">(Sens!H3379+Sens!I3379)/2*rent_mw/1000</f>
        <v>6.72084</v>
      </c>
      <c r="J3395" s="6" t="n">
        <f aca="false">(Sens!I3379+Sens!J3379)/2*rent_mw/1000</f>
        <v>6.72084</v>
      </c>
      <c r="K3395" s="6" t="n">
        <f aca="false">(Sens!J3379+Sens!K3379)/2*rent_mw/1000</f>
        <v>6.72084</v>
      </c>
    </row>
    <row r="3396" customFormat="false" ht="17.15" hidden="false" customHeight="false" outlineLevel="0" collapsed="false">
      <c r="A3396" s="0" t="s">
        <v>743</v>
      </c>
      <c r="B3396" s="0" t="s">
        <v>95</v>
      </c>
      <c r="D3396" s="6" t="n">
        <f aca="false">(Sens!C3381+Sens!D3381)/2*(1-self_build)*fac_rent/1000</f>
        <v>0.853242375631075</v>
      </c>
      <c r="E3396" s="6" t="n">
        <f aca="false">(Sens!D3381+Sens!E3381)/2*(1-self_build)*fac_rent/1000</f>
        <v>1.94955961408728</v>
      </c>
      <c r="F3396" s="6" t="n">
        <f aca="false">(Sens!E3381+Sens!F3381)/2*(1-self_build)*fac_rent/1000</f>
        <v>3.83026455274573</v>
      </c>
      <c r="G3396" s="6" t="n">
        <f aca="false">(Sens!F3381+Sens!G3381)/2*(1-self_build)*fac_rent/1000</f>
        <v>6.23541590972812</v>
      </c>
      <c r="H3396" s="6" t="n">
        <f aca="false">(Sens!G3381+Sens!H3381)/2*(1-self_build)*fac_rent/1000</f>
        <v>8.74275792332679</v>
      </c>
      <c r="I3396" s="6" t="n">
        <f aca="false">(Sens!H3381+Sens!I3381)/2*(1-self_build)*fac_rent/1000</f>
        <v>11.2500999369255</v>
      </c>
      <c r="J3396" s="6" t="n">
        <f aca="false">(Sens!I3381+Sens!J3381)/2*(1-self_build)*fac_rent/1000</f>
        <v>13.7574419505241</v>
      </c>
      <c r="K3396" s="6" t="n">
        <f aca="false">(Sens!J3381+Sens!K3381)/2*(1-self_build)*fac_rent/1000</f>
        <v>16.2647839641228</v>
      </c>
      <c r="L3396" s="11" t="s">
        <v>744</v>
      </c>
    </row>
    <row r="3397" customFormat="false" ht="17.15" hidden="false" customHeight="false" outlineLevel="0" collapsed="false">
      <c r="A3397" s="1" t="s">
        <v>745</v>
      </c>
      <c r="B3397" s="0" t="s">
        <v>126</v>
      </c>
      <c r="D3397" s="7" t="n">
        <f aca="false">(Sens!C3380+Sens!D3380)/(Sens!C3381+Sens!D3381)</f>
        <v>0.6</v>
      </c>
      <c r="E3397" s="7" t="n">
        <f aca="false">(Sens!D3380+Sens!E3380)/(Sens!D3381+Sens!E3381)</f>
        <v>0.6</v>
      </c>
      <c r="F3397" s="7" t="n">
        <f aca="false">(Sens!E3380+Sens!F3380)/(Sens!E3381+Sens!F3381)</f>
        <v>0.6</v>
      </c>
      <c r="G3397" s="7" t="n">
        <f aca="false">(Sens!F3380+Sens!G3380)/(Sens!F3381+Sens!G3381)</f>
        <v>0.6</v>
      </c>
      <c r="H3397" s="7" t="n">
        <f aca="false">(Sens!G3380+Sens!H3380)/(Sens!G3381+Sens!H3381)</f>
        <v>0.6</v>
      </c>
      <c r="I3397" s="7" t="n">
        <f aca="false">(Sens!H3380+Sens!I3380)/(Sens!H3381+Sens!I3381)</f>
        <v>0.6</v>
      </c>
      <c r="J3397" s="7" t="n">
        <f aca="false">(Sens!I3380+Sens!J3380)/(Sens!I3381+Sens!J3381)</f>
        <v>0.6</v>
      </c>
      <c r="K3397" s="7" t="n">
        <f aca="false">(Sens!J3380+Sens!K3380)/(Sens!J3381+Sens!K3381)</f>
        <v>0.6</v>
      </c>
    </row>
    <row r="3398" customFormat="false" ht="17.15" hidden="false" customHeight="false" outlineLevel="0" collapsed="false">
      <c r="A3398" s="0" t="s">
        <v>746</v>
      </c>
      <c r="B3398" s="0" t="s">
        <v>95</v>
      </c>
      <c r="D3398" s="6" t="n">
        <f aca="false">Sens!D3392-Sens!D3397*(Sens!D3394+Sens!D3396)-Sens!D3395</f>
        <v>8.35701406163072</v>
      </c>
      <c r="E3398" s="6" t="n">
        <f aca="false">Sens!E3392-Sens!E3397*(Sens!E3394+Sens!E3396)-Sens!E3395</f>
        <v>18.7103224860238</v>
      </c>
      <c r="F3398" s="6" t="n">
        <f aca="false">Sens!F3392-Sens!F3397*(Sens!F3394+Sens!F3396)-Sens!F3395</f>
        <v>39.4594407491938</v>
      </c>
      <c r="G3398" s="6" t="n">
        <f aca="false">Sens!G3392-Sens!G3397*(Sens!G3394+Sens!G3396)-Sens!G3395</f>
        <v>66.5527545578061</v>
      </c>
      <c r="H3398" s="6" t="n">
        <f aca="false">Sens!H3392-Sens!H3397*(Sens!H3394+Sens!H3396)-Sens!H3395</f>
        <v>95.219644983859</v>
      </c>
      <c r="I3398" s="6" t="n">
        <f aca="false">Sens!I3392-Sens!I3397*(Sens!I3394+Sens!I3396)-Sens!I3395</f>
        <v>124.031840462493</v>
      </c>
      <c r="J3398" s="6" t="n">
        <f aca="false">Sens!J3392-Sens!J3397*(Sens!J3394+Sens!J3396)-Sens!J3395</f>
        <v>152.919994097909</v>
      </c>
      <c r="K3398" s="6" t="n">
        <f aca="false">Sens!K3392-Sens!K3397*(Sens!K3394+Sens!K3396)-Sens!K3395</f>
        <v>181.852830263848</v>
      </c>
    </row>
    <row r="3399" customFormat="false" ht="17.15" hidden="false" customHeight="false" outlineLevel="0" collapsed="false">
      <c r="A3399" s="1" t="s">
        <v>747</v>
      </c>
      <c r="B3399" s="0" t="s">
        <v>95</v>
      </c>
      <c r="D3399" s="6" t="n">
        <f aca="false">(1-Sens!D3397)*(Sens!D3394+Sens!D3396)</f>
        <v>1.42281025374069</v>
      </c>
      <c r="E3399" s="6" t="n">
        <f aca="false">(1-Sens!E3397)*(Sens!E3394+Sens!E3396)</f>
        <v>3.25095598674472</v>
      </c>
      <c r="F3399" s="6" t="n">
        <f aca="false">(1-Sens!F3397)*(Sens!F3394+Sens!F3396)</f>
        <v>6.53293055050977</v>
      </c>
      <c r="G3399" s="6" t="n">
        <f aca="false">(1-Sens!G3397)*(Sens!G3394+Sens!G3396)</f>
        <v>10.7846311741651</v>
      </c>
      <c r="H3399" s="6" t="n">
        <f aca="false">(1-Sens!H3397)*(Sens!H3394+Sens!H3396)</f>
        <v>15.26343050201</v>
      </c>
      <c r="I3399" s="6" t="n">
        <f aca="false">(1-Sens!I3397)*(Sens!I3394+Sens!I3396)</f>
        <v>19.7545570754104</v>
      </c>
      <c r="J3399" s="6" t="n">
        <f aca="false">(1-Sens!J3397)*(Sens!J3394+Sens!J3396)</f>
        <v>24.2521277113811</v>
      </c>
      <c r="K3399" s="6" t="n">
        <f aca="false">(1-Sens!K3397)*(Sens!K3394+Sens!K3396)</f>
        <v>28.7534890794427</v>
      </c>
    </row>
    <row r="3400" customFormat="false" ht="17.15" hidden="false" customHeight="false" outlineLevel="0" collapsed="false">
      <c r="A3400" s="1" t="s">
        <v>748</v>
      </c>
      <c r="B3400" s="0" t="s">
        <v>302</v>
      </c>
      <c r="C3400" s="8" t="n">
        <f aca="false">cxit_open</f>
        <v>27.5918995</v>
      </c>
      <c r="D3400" s="8" t="n">
        <f aca="false">cxit_open</f>
        <v>27.5918995</v>
      </c>
      <c r="E3400" s="8" t="n">
        <f aca="false">cxit_open</f>
        <v>27.5918995</v>
      </c>
      <c r="F3400" s="8" t="n">
        <f aca="false">(a_g3_27*tk_cxit_gb300+(1-a_g3_27)*tk_cxit_vr200)</f>
        <v>33.8419624</v>
      </c>
      <c r="G3400" s="8" t="n">
        <f aca="false">(a_g3_28*tk_cxit_gb300+(1-a_g3_28)*tk_cxit_vr200)</f>
        <v>35.9816136</v>
      </c>
      <c r="H3400" s="8" t="n">
        <f aca="false">(a_g3_29*tk_cxit_gb300+(1-a_g3_29)*tk_cxit_vr200)</f>
        <v>37.0514392</v>
      </c>
      <c r="I3400" s="8" t="n">
        <f aca="false">(a_g3_29*tk_cxit_gb300+(1-a_g3_29)*tk_cxit_vr200)</f>
        <v>37.0514392</v>
      </c>
      <c r="J3400" s="8" t="n">
        <f aca="false">(a_g3_29*tk_cxit_gb300+(1-a_g3_29)*tk_cxit_vr200)</f>
        <v>37.0514392</v>
      </c>
      <c r="K3400" s="8" t="n">
        <f aca="false">(a_g3_29*tk_cxit_gb300+(1-a_g3_29)*tk_cxit_vr200)</f>
        <v>37.0514392</v>
      </c>
      <c r="L3400" s="11" t="s">
        <v>749</v>
      </c>
    </row>
    <row r="3401" customFormat="false" ht="17.15" hidden="false" customHeight="false" outlineLevel="0" collapsed="false">
      <c r="A3401" s="0" t="s">
        <v>750</v>
      </c>
      <c r="B3401" s="0" t="s">
        <v>340</v>
      </c>
      <c r="F3401" s="27" t="n">
        <f aca="false">Sens!C3383*IF(3=life_it_lo,1,0)+Sens!D3383*IF(2=life_it_lo,1,0)+Sens!E3383*IF(1=life_it_lo,1,0)</f>
        <v>0</v>
      </c>
      <c r="G3401" s="27" t="n">
        <f aca="false">Sens!C3383*IF(4=life_it_lo,1,0)+Sens!D3383*IF(3=life_it_lo,1,0)+Sens!E3383*IF(2=life_it_lo,1,0)+Sens!F3383*IF(1=life_it_lo,1,0)</f>
        <v>0</v>
      </c>
      <c r="H3401" s="27" t="n">
        <f aca="false">Sens!C3383*IF(5=life_it_lo,1,0)+Sens!D3383*IF(4=life_it_lo,1,0)+Sens!E3383*IF(3=life_it_lo,1,0)+Sens!F3383*IF(2=life_it_lo,1,0)+Sens!G3383*IF(1=life_it_lo,1,0)</f>
        <v>816.666666666667</v>
      </c>
      <c r="I3401" s="27" t="n">
        <f aca="false">Sens!C3383*IF(6=life_it_lo,1,0)+Sens!D3383*IF(5=life_it_lo,1,0)+Sens!E3383*IF(4=life_it_lo,1,0)+Sens!F3383*IF(3=life_it_lo,1,0)+Sens!G3383*IF(2=life_it_lo,1,0)+Sens!H3383*IF(1=life_it_lo,1,0)</f>
        <v>1233.33333333333</v>
      </c>
      <c r="J3401" s="27" t="n">
        <f aca="false">Sens!C3383*IF(7=life_it_lo,1,0)+Sens!D3383*IF(6=life_it_lo,1,0)+Sens!E3383*IF(5=life_it_lo,1,0)+Sens!F3383*IF(4=life_it_lo,1,0)+Sens!G3383*IF(3=life_it_lo,1,0)+Sens!H3383*IF(2=life_it_lo,1,0)+Sens!I3383*IF(1=life_it_lo,1,0)</f>
        <v>2450</v>
      </c>
      <c r="K3401" s="27" t="n">
        <f aca="false">Sens!C3383*IF(8=life_it_lo,1,0)+Sens!D3383*IF(7=life_it_lo,1,0)+Sens!E3383*IF(6=life_it_lo,1,0)+Sens!F3383*IF(5=life_it_lo,1,0)+Sens!G3383*IF(4=life_it_lo,1,0)+Sens!H3383*IF(3=life_it_lo,1,0)+Sens!I3383*IF(2=life_it_lo,1,0)+Sens!J3383*IF(1=life_it_lo,1,0)</f>
        <v>3868.66666666667</v>
      </c>
      <c r="L3401" s="1" t="s">
        <v>751</v>
      </c>
    </row>
    <row r="3402" customFormat="false" ht="17.15" hidden="false" customHeight="false" outlineLevel="0" collapsed="false">
      <c r="A3402" s="0" t="s">
        <v>752</v>
      </c>
      <c r="B3402" s="0" t="s">
        <v>95</v>
      </c>
      <c r="C3402" s="6" t="n">
        <f aca="false">Sens!C3383*Sens!C3400/1000</f>
        <v>22.5333845916667</v>
      </c>
      <c r="D3402" s="6" t="n">
        <f aca="false">Sens!D3383*Sens!D3400/1000</f>
        <v>34.0300093833333</v>
      </c>
      <c r="E3402" s="6" t="n">
        <f aca="false">Sens!E3383*Sens!E3400/1000</f>
        <v>67.600153775</v>
      </c>
      <c r="F3402" s="6" t="n">
        <f aca="false">(Sens!F3383+Sens!F3401)*Sens!F3400/1000</f>
        <v>130.923271871467</v>
      </c>
      <c r="G3402" s="6" t="n">
        <f aca="false">(Sens!G3383+Sens!G3401)*Sens!G3400/1000</f>
        <v>151.5545564832</v>
      </c>
      <c r="H3402" s="6" t="n">
        <f aca="false">(Sens!H3383+Sens!H3401)*Sens!H3400/1000</f>
        <v>186.319337257067</v>
      </c>
      <c r="I3402" s="6" t="n">
        <f aca="false">(Sens!I3383+Sens!I3401)*Sens!I3400/1000</f>
        <v>201.757436923733</v>
      </c>
      <c r="J3402" s="6" t="n">
        <f aca="false">(Sens!J3383+Sens!J3401)*Sens!J3400/1000</f>
        <v>246.8366879504</v>
      </c>
      <c r="K3402" s="6" t="n">
        <f aca="false">(Sens!K3383+Sens!K3401)*Sens!K3400/1000</f>
        <v>299.400329695467</v>
      </c>
    </row>
    <row r="3403" customFormat="false" ht="17.15" hidden="false" customHeight="false" outlineLevel="0" collapsed="false">
      <c r="A3403" s="0" t="s">
        <v>753</v>
      </c>
      <c r="B3403" s="0" t="s">
        <v>95</v>
      </c>
      <c r="C3403" s="6" t="n">
        <f aca="false">Sens!C3383*self_build*tk_cxfac/1000</f>
        <v>6.2083</v>
      </c>
      <c r="D3403" s="6" t="n">
        <f aca="false">Sens!D3383*self_build*tk_cxfac/1000</f>
        <v>9.3758</v>
      </c>
      <c r="E3403" s="6" t="n">
        <f aca="false">Sens!E3383*self_build*tk_cxfac/1000</f>
        <v>18.6249</v>
      </c>
      <c r="F3403" s="6" t="n">
        <f aca="false">Sens!F3383*self_build*tk_cxfac/1000</f>
        <v>29.409604</v>
      </c>
      <c r="G3403" s="6" t="n">
        <f aca="false">Sens!G3383*self_build*tk_cxfac/1000</f>
        <v>32.019624</v>
      </c>
      <c r="H3403" s="6" t="n">
        <f aca="false">Sens!H3383*self_build*tk_cxfac/1000</f>
        <v>32.019624</v>
      </c>
      <c r="I3403" s="6" t="n">
        <f aca="false">Sens!I3383*self_build*tk_cxfac/1000</f>
        <v>32.019624</v>
      </c>
      <c r="J3403" s="6" t="n">
        <f aca="false">Sens!J3383*self_build*tk_cxfac/1000</f>
        <v>32.019624</v>
      </c>
      <c r="K3403" s="6" t="n">
        <f aca="false">Sens!K3383*self_build*tk_cxfac/1000</f>
        <v>32.019624</v>
      </c>
    </row>
    <row r="3404" customFormat="false" ht="17.15" hidden="false" customHeight="false" outlineLevel="0" collapsed="false">
      <c r="A3404" s="0" t="s">
        <v>754</v>
      </c>
      <c r="B3404" s="0" t="s">
        <v>95</v>
      </c>
      <c r="F3404" s="6" t="n">
        <f aca="false">MAX(0,capex_floor27-Sens!F3402-Sens!F3403-Sens!F3491)</f>
        <v>8.28777689897088</v>
      </c>
      <c r="G3404" s="6" t="n">
        <f aca="false">0</f>
        <v>0</v>
      </c>
      <c r="H3404" s="6" t="n">
        <f aca="false">0</f>
        <v>0</v>
      </c>
      <c r="I3404" s="6" t="n">
        <f aca="false">0</f>
        <v>0</v>
      </c>
      <c r="J3404" s="6" t="n">
        <f aca="false">0</f>
        <v>0</v>
      </c>
      <c r="K3404" s="6" t="n">
        <f aca="false">0</f>
        <v>0</v>
      </c>
      <c r="L3404" s="1" t="s">
        <v>755</v>
      </c>
    </row>
    <row r="3405" customFormat="false" ht="17.15" hidden="false" customHeight="false" outlineLevel="0" collapsed="false">
      <c r="A3405" s="0" t="s">
        <v>756</v>
      </c>
      <c r="B3405" s="0" t="s">
        <v>95</v>
      </c>
      <c r="C3405" s="6" t="n">
        <f aca="false">Sens!C3402</f>
        <v>22.5333845916667</v>
      </c>
      <c r="D3405" s="6" t="n">
        <f aca="false">Sens!D3402</f>
        <v>34.0300093833333</v>
      </c>
      <c r="E3405" s="6" t="n">
        <f aca="false">Sens!E3402</f>
        <v>67.600153775</v>
      </c>
      <c r="F3405" s="6" t="n">
        <f aca="false">Sens!F3402+Sens!F3404</f>
        <v>139.211048770438</v>
      </c>
      <c r="G3405" s="6" t="n">
        <f aca="false">Sens!G3402+Sens!G3404</f>
        <v>151.5545564832</v>
      </c>
      <c r="H3405" s="6" t="n">
        <f aca="false">Sens!H3402+Sens!H3404</f>
        <v>186.319337257067</v>
      </c>
      <c r="I3405" s="6" t="n">
        <f aca="false">Sens!I3402+Sens!I3404</f>
        <v>201.757436923733</v>
      </c>
      <c r="J3405" s="6" t="n">
        <f aca="false">Sens!J3402+Sens!J3404</f>
        <v>246.8366879504</v>
      </c>
      <c r="K3405" s="6" t="n">
        <f aca="false">Sens!K3402+Sens!K3404</f>
        <v>299.400329695467</v>
      </c>
    </row>
    <row r="3406" customFormat="false" ht="17.15" hidden="false" customHeight="false" outlineLevel="0" collapsed="false">
      <c r="A3406" s="0" t="s">
        <v>757</v>
      </c>
      <c r="B3406" s="0" t="s">
        <v>95</v>
      </c>
      <c r="C3406" s="6" t="n">
        <f aca="false">Sens!C3405+Sens!C3403</f>
        <v>28.7416845916667</v>
      </c>
      <c r="D3406" s="6" t="n">
        <f aca="false">Sens!D3405+Sens!D3403</f>
        <v>43.4058093833333</v>
      </c>
      <c r="E3406" s="6" t="n">
        <f aca="false">Sens!E3405+Sens!E3403</f>
        <v>86.225053775</v>
      </c>
      <c r="F3406" s="6" t="n">
        <f aca="false">Sens!F3405+Sens!F3403</f>
        <v>168.620652770438</v>
      </c>
      <c r="G3406" s="6" t="n">
        <f aca="false">Sens!G3405+Sens!G3403</f>
        <v>183.5741804832</v>
      </c>
      <c r="H3406" s="6" t="n">
        <f aca="false">Sens!H3405+Sens!H3403</f>
        <v>218.338961257067</v>
      </c>
      <c r="I3406" s="6" t="n">
        <f aca="false">Sens!I3405+Sens!I3403</f>
        <v>233.777060923733</v>
      </c>
      <c r="J3406" s="6" t="n">
        <f aca="false">Sens!J3405+Sens!J3403</f>
        <v>278.8563119504</v>
      </c>
      <c r="K3406" s="6" t="n">
        <f aca="false">Sens!K3405+Sens!K3403</f>
        <v>331.419953695467</v>
      </c>
      <c r="L3406" s="11" t="s">
        <v>758</v>
      </c>
    </row>
    <row r="3407" customFormat="false" ht="17.15" hidden="false" customHeight="false" outlineLevel="0" collapsed="false">
      <c r="A3407" s="0" t="s">
        <v>759</v>
      </c>
      <c r="B3407" s="0" t="s">
        <v>95</v>
      </c>
      <c r="E3407" s="6" t="n">
        <f aca="false">(Sens!C3405*IF(2&lt;life_it_lo,1,IF(2=life_it_lo,0.5,0))+Sens!D3405*IF(1&lt;life_it_lo,1,IF(1=life_it_lo,0.5,0))+Sens!E3405*0.5)/life_it_lo</f>
        <v>18.0726941725</v>
      </c>
      <c r="F3407" s="6" t="n">
        <f aca="false">(Sens!C3405*IF(3&lt;life_it_lo,1,IF(3=life_it_lo,0.5,0))+Sens!D3405*IF(2&lt;life_it_lo,1,IF(2=life_it_lo,0.5,0))+Sens!E3405*IF(1&lt;life_it_lo,1,IF(1=life_it_lo,0.5,0))+Sens!F3405*0.5)/life_it_lo</f>
        <v>38.7538144270438</v>
      </c>
      <c r="G3407" s="6" t="n">
        <f aca="false">(Sens!C3405*IF(4&lt;life_it_lo,1,IF(4=life_it_lo,0.5,0))+Sens!D3405*IF(3&lt;life_it_lo,1,IF(3=life_it_lo,0.5,0))+Sens!E3405*IF(2&lt;life_it_lo,1,IF(2=life_it_lo,0.5,0))+Sens!F3405*IF(1&lt;life_it_lo,1,IF(1=life_it_lo,0.5,0))+Sens!G3405*0.5)/life_it_lo</f>
        <v>67.8303749524075</v>
      </c>
      <c r="H3407" s="6" t="n">
        <f aca="false">(Sens!C3405*IF(5&lt;life_it_lo,1,IF(5=life_it_lo,0.5,0))+Sens!D3405*IF(4&lt;life_it_lo,1,IF(4=life_it_lo,0.5,0))+Sens!E3405*IF(3&lt;life_it_lo,1,IF(3=life_it_lo,0.5,0))+Sens!F3405*IF(2&lt;life_it_lo,1,IF(2=life_it_lo,0.5,0))+Sens!G3405*IF(1&lt;life_it_lo,1,IF(1=life_it_lo,0.5,0))+Sens!H3405*0.5)/life_it_lo</f>
        <v>99.3644258672675</v>
      </c>
      <c r="I3407" s="6" t="n">
        <f aca="false">(Sens!C3405*IF(6&lt;life_it_lo,1,IF(6=life_it_lo,0.5,0))+Sens!D3405*IF(5&lt;life_it_lo,1,IF(5=life_it_lo,0.5,0))+Sens!E3405*IF(4&lt;life_it_lo,1,IF(4=life_it_lo,0.5,0))+Sens!F3405*IF(3&lt;life_it_lo,1,IF(3=life_it_lo,0.5,0))+Sens!G3405*IF(2&lt;life_it_lo,1,IF(2=life_it_lo,0.5,0))+Sens!H3405*IF(1&lt;life_it_lo,1,IF(1=life_it_lo,0.5,0))+Sens!I3405*0.5)/life_it_lo</f>
        <v>132.515763887848</v>
      </c>
      <c r="J3407" s="6" t="n">
        <f aca="false">(Sens!C3405*IF(7&lt;life_it_lo,1,IF(7=life_it_lo,0.5,0))+Sens!D3405*IF(6&lt;life_it_lo,1,IF(6=life_it_lo,0.5,0))+Sens!E3405*IF(5&lt;life_it_lo,1,IF(5=life_it_lo,0.5,0))+Sens!F3405*IF(4&lt;life_it_lo,1,IF(4=life_it_lo,0.5,0))+Sens!G3405*IF(3&lt;life_it_lo,1,IF(3=life_it_lo,0.5,0))+Sens!H3405*IF(2&lt;life_it_lo,1,IF(2=life_it_lo,0.5,0))+Sens!I3405*IF(1&lt;life_it_lo,1,IF(1=life_it_lo,0.5,0))+Sens!J3405*0.5)/life_it_lo</f>
        <v>167.212160059428</v>
      </c>
      <c r="K3407" s="6" t="n">
        <f aca="false">(Sens!C3405*IF(8&lt;life_it_lo,1,IF(8=life_it_lo,0.5,0))+Sens!D3405*IF(7&lt;life_it_lo,1,IF(7=life_it_lo,0.5,0))+Sens!E3405*IF(6&lt;life_it_lo,1,IF(6=life_it_lo,0.5,0))+Sens!F3405*IF(5&lt;life_it_lo,1,IF(5=life_it_lo,0.5,0))+Sens!G3405*IF(4&lt;life_it_lo,1,IF(4=life_it_lo,0.5,0))+Sens!H3405*IF(3&lt;life_it_lo,1,IF(3=life_it_lo,0.5,0))+Sens!I3405*IF(2&lt;life_it_lo,1,IF(2=life_it_lo,0.5,0))+Sens!J3405*IF(1&lt;life_it_lo,1,IF(1=life_it_lo,0.5,0))+Sens!K3405*0.5)/life_it_lo</f>
        <v>201.15474156947</v>
      </c>
    </row>
    <row r="3408" customFormat="false" ht="17.15" hidden="false" customHeight="false" outlineLevel="0" collapsed="false">
      <c r="A3408" s="0" t="s">
        <v>760</v>
      </c>
      <c r="B3408" s="0" t="s">
        <v>95</v>
      </c>
      <c r="E3408" s="6" t="n">
        <f aca="false">(Sens!C3403*IF(2&lt;life_fac,1,IF(2=life_fac,0.5,0))+Sens!D3403*IF(1&lt;life_fac,1,IF(1=life_fac,0.5,0))+Sens!E3403*0.5)/life_fac</f>
        <v>1.2448275</v>
      </c>
      <c r="F3408" s="6" t="n">
        <f aca="false">(Sens!C3403*IF(3&lt;life_fac,1,IF(3=life_fac,0.5,0))+Sens!D3403*IF(2&lt;life_fac,1,IF(2=life_fac,0.5,0))+Sens!E3403*IF(1&lt;life_fac,1,IF(1=life_fac,0.5,0))+Sens!F3403*0.5)/life_fac</f>
        <v>2.4456901</v>
      </c>
      <c r="G3408" s="6" t="n">
        <f aca="false">(Sens!C3403*IF(4&lt;life_fac,1,IF(4=life_fac,0.5,0))+Sens!D3403*IF(3&lt;life_fac,1,IF(3=life_fac,0.5,0))+Sens!E3403*IF(2&lt;life_fac,1,IF(2=life_fac,0.5,0))+Sens!F3403*IF(1&lt;life_fac,1,IF(1=life_fac,0.5,0))+Sens!G3403*0.5)/life_fac</f>
        <v>3.9814208</v>
      </c>
      <c r="H3408" s="6" t="n">
        <f aca="false">(Sens!C3403*IF(5&lt;life_fac,1,IF(5=life_fac,0.5,0))+Sens!D3403*IF(4&lt;life_fac,1,IF(4=life_fac,0.5,0))+Sens!E3403*IF(3&lt;life_fac,1,IF(3=life_fac,0.5,0))+Sens!F3403*IF(2&lt;life_fac,1,IF(2=life_fac,0.5,0))+Sens!G3403*IF(1&lt;life_fac,1,IF(1=life_fac,0.5,0))+Sens!H3403*0.5)/life_fac</f>
        <v>5.582402</v>
      </c>
      <c r="I3408" s="6" t="n">
        <f aca="false">(Sens!C3403*IF(6&lt;life_fac,1,IF(6=life_fac,0.5,0))+Sens!D3403*IF(5&lt;life_fac,1,IF(5=life_fac,0.5,0))+Sens!E3403*IF(4&lt;life_fac,1,IF(4=life_fac,0.5,0))+Sens!F3403*IF(3&lt;life_fac,1,IF(3=life_fac,0.5,0))+Sens!G3403*IF(2&lt;life_fac,1,IF(2=life_fac,0.5,0))+Sens!H3403*IF(1&lt;life_fac,1,IF(1=life_fac,0.5,0))+Sens!I3403*0.5)/life_fac</f>
        <v>7.1833832</v>
      </c>
      <c r="J3408" s="6" t="n">
        <f aca="false">(Sens!C3403*IF(7&lt;life_fac,1,IF(7=life_fac,0.5,0))+Sens!D3403*IF(6&lt;life_fac,1,IF(6=life_fac,0.5,0))+Sens!E3403*IF(5&lt;life_fac,1,IF(5=life_fac,0.5,0))+Sens!F3403*IF(4&lt;life_fac,1,IF(4=life_fac,0.5,0))+Sens!G3403*IF(3&lt;life_fac,1,IF(3=life_fac,0.5,0))+Sens!H3403*IF(2&lt;life_fac,1,IF(2=life_fac,0.5,0))+Sens!I3403*IF(1&lt;life_fac,1,IF(1=life_fac,0.5,0))+Sens!J3403*0.5)/life_fac</f>
        <v>8.7843644</v>
      </c>
      <c r="K3408" s="6" t="n">
        <f aca="false">(Sens!C3403*IF(8&lt;life_fac,1,IF(8=life_fac,0.5,0))+Sens!D3403*IF(7&lt;life_fac,1,IF(7=life_fac,0.5,0))+Sens!E3403*IF(6&lt;life_fac,1,IF(6=life_fac,0.5,0))+Sens!F3403*IF(5&lt;life_fac,1,IF(5=life_fac,0.5,0))+Sens!G3403*IF(4&lt;life_fac,1,IF(4=life_fac,0.5,0))+Sens!H3403*IF(3&lt;life_fac,1,IF(3=life_fac,0.5,0))+Sens!I3403*IF(2&lt;life_fac,1,IF(2=life_fac,0.5,0))+Sens!J3403*IF(1&lt;life_fac,1,IF(1=life_fac,0.5,0))+Sens!K3403*0.5)/life_fac</f>
        <v>10.3853456</v>
      </c>
    </row>
    <row r="3409" customFormat="false" ht="17.15" hidden="false" customHeight="false" outlineLevel="0" collapsed="false">
      <c r="A3409" s="0" t="s">
        <v>761</v>
      </c>
      <c r="B3409" s="0" t="s">
        <v>95</v>
      </c>
      <c r="E3409" s="6" t="n">
        <f aca="false">Sens!E3407+Sens!E3408</f>
        <v>19.3175216725</v>
      </c>
      <c r="F3409" s="6" t="n">
        <f aca="false">Sens!F3407+Sens!F3408</f>
        <v>41.1995045270438</v>
      </c>
      <c r="G3409" s="6" t="n">
        <f aca="false">Sens!G3407+Sens!G3408</f>
        <v>71.8117957524075</v>
      </c>
      <c r="H3409" s="6" t="n">
        <f aca="false">Sens!H3407+Sens!H3408</f>
        <v>104.946827867268</v>
      </c>
      <c r="I3409" s="6" t="n">
        <f aca="false">Sens!I3407+Sens!I3408</f>
        <v>139.699147087848</v>
      </c>
      <c r="J3409" s="6" t="n">
        <f aca="false">Sens!J3407+Sens!J3408</f>
        <v>175.996524459428</v>
      </c>
      <c r="K3409" s="6" t="n">
        <f aca="false">Sens!K3407+Sens!K3408</f>
        <v>211.54008716947</v>
      </c>
    </row>
    <row r="3410" customFormat="false" ht="17.15" hidden="false" customHeight="false" outlineLevel="0" collapsed="false">
      <c r="A3410" s="0" t="s">
        <v>762</v>
      </c>
      <c r="B3410" s="0" t="s">
        <v>95</v>
      </c>
      <c r="E3410" s="6" t="n">
        <f aca="false">Sens!E3398-Sens!E3397*Sens!E3409</f>
        <v>7.11980948252379</v>
      </c>
      <c r="F3410" s="6" t="n">
        <f aca="false">Sens!F3398-Sens!F3397*Sens!F3409</f>
        <v>14.7397380329676</v>
      </c>
      <c r="G3410" s="6" t="n">
        <f aca="false">Sens!G3398-Sens!G3397*Sens!G3409</f>
        <v>23.4656771063616</v>
      </c>
      <c r="H3410" s="6" t="n">
        <f aca="false">Sens!H3398-Sens!H3397*Sens!H3409</f>
        <v>32.2515482634984</v>
      </c>
      <c r="I3410" s="6" t="n">
        <f aca="false">Sens!I3398-Sens!I3397*Sens!I3409</f>
        <v>40.2123522097843</v>
      </c>
      <c r="J3410" s="6" t="n">
        <f aca="false">Sens!J3398-Sens!J3397*Sens!J3409</f>
        <v>47.322079422253</v>
      </c>
      <c r="K3410" s="6" t="n">
        <f aca="false">Sens!K3398-Sens!K3397*Sens!K3409</f>
        <v>54.928777962166</v>
      </c>
    </row>
    <row r="3411" customFormat="false" ht="17.15" hidden="false" customHeight="false" outlineLevel="0" collapsed="false">
      <c r="A3411" s="3" t="s">
        <v>1210</v>
      </c>
    </row>
    <row r="3412" customFormat="false" ht="15" hidden="false" customHeight="false" outlineLevel="0" collapsed="false">
      <c r="A3412" s="4" t="s">
        <v>43</v>
      </c>
      <c r="B3412" s="4" t="s">
        <v>63</v>
      </c>
      <c r="C3412" s="19" t="s">
        <v>710</v>
      </c>
      <c r="D3412" s="19" t="s">
        <v>711</v>
      </c>
      <c r="E3412" s="19" t="s">
        <v>712</v>
      </c>
      <c r="F3412" s="19" t="s">
        <v>713</v>
      </c>
      <c r="G3412" s="19" t="s">
        <v>714</v>
      </c>
      <c r="H3412" s="19" t="s">
        <v>715</v>
      </c>
      <c r="I3412" s="19" t="s">
        <v>716</v>
      </c>
      <c r="J3412" s="19" t="s">
        <v>717</v>
      </c>
      <c r="K3412" s="19" t="s">
        <v>718</v>
      </c>
      <c r="L3412" s="4" t="s">
        <v>47</v>
      </c>
    </row>
    <row r="3413" customFormat="false" ht="17.15" hidden="false" customHeight="false" outlineLevel="0" collapsed="false">
      <c r="A3413" s="0" t="s">
        <v>780</v>
      </c>
      <c r="B3413" s="0" t="s">
        <v>95</v>
      </c>
      <c r="D3413" s="6" t="n">
        <f aca="false">Sens!D3392</f>
        <v>12.9359794422418</v>
      </c>
      <c r="E3413" s="6" t="n">
        <f aca="false">Sens!E3392</f>
        <v>27.8095064661409</v>
      </c>
      <c r="F3413" s="6" t="n">
        <f aca="false">Sens!F3392</f>
        <v>55.0640065749585</v>
      </c>
      <c r="G3413" s="6" t="n">
        <f aca="false">Sens!G3392</f>
        <v>89.4505413190538</v>
      </c>
      <c r="H3413" s="6" t="n">
        <f aca="false">Sens!H3392</f>
        <v>124.835630736874</v>
      </c>
      <c r="I3413" s="6" t="n">
        <f aca="false">Sens!I3392</f>
        <v>160.384516075608</v>
      </c>
      <c r="J3413" s="6" t="n">
        <f aca="false">Sens!J3392</f>
        <v>196.019025664981</v>
      </c>
      <c r="K3413" s="6" t="n">
        <f aca="false">Sens!K3392</f>
        <v>231.703903883012</v>
      </c>
    </row>
    <row r="3414" customFormat="false" ht="17.15" hidden="false" customHeight="false" outlineLevel="0" collapsed="false">
      <c r="A3414" s="0" t="s">
        <v>781</v>
      </c>
      <c r="B3414" s="0" t="s">
        <v>95</v>
      </c>
      <c r="D3414" s="6" t="n">
        <f aca="false">Q!L6-Sens!D3413</f>
        <v>59.6740205577583</v>
      </c>
      <c r="E3414" s="6" t="n">
        <f aca="false">Q!M6-Sens!E3413</f>
        <v>74.1284935338591</v>
      </c>
      <c r="F3414" s="6" t="n">
        <f aca="false">Sens!E3414*(1+Sens!F3415)</f>
        <v>90.0799497373663</v>
      </c>
      <c r="G3414" s="6" t="n">
        <f aca="false">Sens!F3414*(1+Sens!G3415)</f>
        <v>107.02842520331</v>
      </c>
      <c r="H3414" s="6" t="n">
        <f aca="false">Sens!G3414*(1+Sens!H3415)</f>
        <v>124.271982585636</v>
      </c>
      <c r="I3414" s="6" t="n">
        <f aca="false">Sens!H3414*(1+Sens!I3415)</f>
        <v>140.933702381855</v>
      </c>
      <c r="J3414" s="6" t="n">
        <f aca="false">Sens!I3414*(1+Sens!J3415)</f>
        <v>156.018867314332</v>
      </c>
      <c r="K3414" s="6" t="n">
        <f aca="false">Sens!J3414*(1+Sens!K3415)</f>
        <v>168.500376699478</v>
      </c>
    </row>
    <row r="3415" customFormat="false" ht="15" hidden="false" customHeight="false" outlineLevel="0" collapsed="false">
      <c r="A3415" s="1" t="s">
        <v>782</v>
      </c>
      <c r="B3415" s="0" t="s">
        <v>126</v>
      </c>
      <c r="E3415" s="7" t="n">
        <f aca="false">Sens!E3414/Sens!D3414-1</f>
        <v>0.242223883039864</v>
      </c>
      <c r="F3415" s="7" t="n">
        <f aca="false">Sens!$E$3415+(glt_azo-Sens!$E$3415)*MIN(1,1/n_conv)</f>
        <v>0.215186569199887</v>
      </c>
      <c r="G3415" s="7" t="n">
        <f aca="false">Sens!$E$3415+(glt_azo-Sens!$E$3415)*MIN(1,2/n_conv)</f>
        <v>0.18814925535991</v>
      </c>
      <c r="H3415" s="7" t="n">
        <f aca="false">Sens!$E$3415+(glt_azo-Sens!$E$3415)*MIN(1,3/n_conv)</f>
        <v>0.161111941519932</v>
      </c>
      <c r="I3415" s="7" t="n">
        <f aca="false">Sens!$E$3415+(glt_azo-Sens!$E$3415)*MIN(1,4/n_conv)</f>
        <v>0.134074627679955</v>
      </c>
      <c r="J3415" s="7" t="n">
        <f aca="false">Sens!$E$3415+(glt_azo-Sens!$E$3415)*MIN(1,5/n_conv)</f>
        <v>0.107037313839977</v>
      </c>
      <c r="K3415" s="7" t="n">
        <f aca="false">Sens!$E$3415+(glt_azo-Sens!$E$3415)*MIN(1,6/n_conv)</f>
        <v>0.08</v>
      </c>
    </row>
    <row r="3416" customFormat="false" ht="15" hidden="false" customHeight="false" outlineLevel="0" collapsed="false">
      <c r="A3416" s="0" t="s">
        <v>783</v>
      </c>
      <c r="B3416" s="0" t="s">
        <v>95</v>
      </c>
      <c r="D3416" s="6" t="n">
        <f aca="false">Sens!D3413+Sens!D3414</f>
        <v>72.61</v>
      </c>
      <c r="E3416" s="6" t="n">
        <f aca="false">Sens!E3413+Sens!E3414</f>
        <v>101.938</v>
      </c>
      <c r="F3416" s="6" t="n">
        <f aca="false">Sens!F3413+Sens!F3414</f>
        <v>145.143956312325</v>
      </c>
      <c r="G3416" s="6" t="n">
        <f aca="false">Sens!G3413+Sens!G3414</f>
        <v>196.478966522364</v>
      </c>
      <c r="H3416" s="6" t="n">
        <f aca="false">Sens!H3413+Sens!H3414</f>
        <v>249.10761332251</v>
      </c>
      <c r="I3416" s="6" t="n">
        <f aca="false">Sens!I3413+Sens!I3414</f>
        <v>301.318218457463</v>
      </c>
      <c r="J3416" s="6" t="n">
        <f aca="false">Sens!J3413+Sens!J3414</f>
        <v>352.037892979313</v>
      </c>
      <c r="K3416" s="6" t="n">
        <f aca="false">Sens!K3413+Sens!K3414</f>
        <v>400.20428058249</v>
      </c>
    </row>
    <row r="3417" customFormat="false" ht="17.15" hidden="false" customHeight="false" outlineLevel="0" collapsed="false">
      <c r="A3417" s="0" t="s">
        <v>784</v>
      </c>
      <c r="B3417" s="1" t="s">
        <v>451</v>
      </c>
      <c r="C3417" s="27" t="n">
        <f aca="false">cop_s24</f>
        <v>1</v>
      </c>
      <c r="D3417" s="27" t="n">
        <f aca="false">cop_s25</f>
        <v>5</v>
      </c>
      <c r="E3417" s="27" t="n">
        <f aca="false">cop_s26</f>
        <v>30</v>
      </c>
      <c r="F3417" s="27" t="n">
        <f aca="false">Sens!E3417+IF(2027&lt;=2029,cop_add_B,cop_add_B*cop_tail)</f>
        <v>50</v>
      </c>
      <c r="G3417" s="27" t="n">
        <f aca="false">Sens!F3417+IF(2028&lt;=2029,cop_add_B,cop_add_B*cop_tail)</f>
        <v>70</v>
      </c>
      <c r="H3417" s="27" t="n">
        <f aca="false">Sens!G3417+IF(2029&lt;=2029,cop_add_B,cop_add_B*cop_tail)</f>
        <v>90</v>
      </c>
      <c r="I3417" s="27" t="n">
        <f aca="false">Sens!H3417+IF(2030&lt;=2029,cop_add_B,cop_add_B*cop_tail)</f>
        <v>100</v>
      </c>
      <c r="J3417" s="27" t="n">
        <f aca="false">Sens!I3417+IF(2031&lt;=2029,cop_add_B,cop_add_B*cop_tail)</f>
        <v>110</v>
      </c>
      <c r="K3417" s="27" t="n">
        <f aca="false">Sens!J3417+IF(2032&lt;=2029,cop_add_B,cop_add_B*cop_tail)</f>
        <v>120</v>
      </c>
    </row>
    <row r="3418" customFormat="false" ht="17.15" hidden="false" customHeight="false" outlineLevel="0" collapsed="false">
      <c r="A3418" s="0" t="s">
        <v>785</v>
      </c>
      <c r="B3418" s="0" t="s">
        <v>95</v>
      </c>
      <c r="D3418" s="6" t="n">
        <f aca="false">(Sens!C3417+Sens!D3417)/2*cop_px*12/1000</f>
        <v>0.9</v>
      </c>
      <c r="E3418" s="6" t="n">
        <f aca="false">(Sens!D3417+Sens!E3417)/2*cop_px*12/1000</f>
        <v>5.25</v>
      </c>
      <c r="F3418" s="6" t="n">
        <f aca="false">(Sens!E3417+Sens!F3417)/2*cop_px*12/1000</f>
        <v>12</v>
      </c>
      <c r="G3418" s="6" t="n">
        <f aca="false">(Sens!F3417+Sens!G3417)/2*cop_px*12/1000</f>
        <v>18</v>
      </c>
      <c r="H3418" s="6" t="n">
        <f aca="false">(Sens!G3417+Sens!H3417)/2*cop_px*12/1000</f>
        <v>24</v>
      </c>
      <c r="I3418" s="6" t="n">
        <f aca="false">(Sens!H3417+Sens!I3417)/2*cop_px*12/1000</f>
        <v>28.5</v>
      </c>
      <c r="J3418" s="6" t="n">
        <f aca="false">(Sens!I3417+Sens!J3417)/2*cop_px*12/1000</f>
        <v>31.5</v>
      </c>
      <c r="K3418" s="6" t="n">
        <f aca="false">(Sens!J3417+Sens!K3417)/2*cop_px*12/1000</f>
        <v>34.5</v>
      </c>
      <c r="L3418" s="1" t="s">
        <v>786</v>
      </c>
    </row>
    <row r="3419" customFormat="false" ht="17.15" hidden="false" customHeight="false" outlineLevel="0" collapsed="false">
      <c r="A3419" s="0" t="s">
        <v>787</v>
      </c>
      <c r="B3419" s="0" t="s">
        <v>95</v>
      </c>
      <c r="D3419" s="6" t="n">
        <f aca="false">Q!L7-Sens!D3418</f>
        <v>83.705</v>
      </c>
      <c r="E3419" s="6" t="n">
        <f aca="false">Q!M7-Sens!E3418</f>
        <v>95.049</v>
      </c>
      <c r="F3419" s="6" t="n">
        <f aca="false">Sens!E3419*(1+Sens!F3420)</f>
        <v>106.89238776686</v>
      </c>
      <c r="G3419" s="6" t="n">
        <f aca="false">Sens!F3419*(1+Sens!G3420)</f>
        <v>119.044168448684</v>
      </c>
      <c r="H3419" s="6" t="n">
        <f aca="false">Sens!G3419*(1+Sens!H3420)</f>
        <v>131.277359388781</v>
      </c>
      <c r="I3419" s="6" t="n">
        <f aca="false">Sens!H3419*(1+Sens!I3420)</f>
        <v>143.334028071957</v>
      </c>
      <c r="J3419" s="6" t="n">
        <f aca="false">Sens!I3419*(1+Sens!J3420)</f>
        <v>154.932702785465</v>
      </c>
      <c r="K3419" s="6" t="n">
        <f aca="false">Sens!J3419*(1+Sens!K3420)</f>
        <v>165.777991980448</v>
      </c>
    </row>
    <row r="3420" customFormat="false" ht="15" hidden="false" customHeight="false" outlineLevel="0" collapsed="false">
      <c r="A3420" s="1" t="s">
        <v>782</v>
      </c>
      <c r="B3420" s="0" t="s">
        <v>126</v>
      </c>
      <c r="E3420" s="7" t="n">
        <f aca="false">Sens!E3419/Sens!D3419-1</f>
        <v>0.135523564900544</v>
      </c>
      <c r="F3420" s="7" t="n">
        <f aca="false">Sens!$E$3420+(glt_m365b-Sens!$E$3420)*MIN(1,1/n_conv)</f>
        <v>0.124602970750453</v>
      </c>
      <c r="G3420" s="7" t="n">
        <f aca="false">Sens!$E$3420+(glt_m365b-Sens!$E$3420)*MIN(1,2/n_conv)</f>
        <v>0.113682376600363</v>
      </c>
      <c r="H3420" s="7" t="n">
        <f aca="false">Sens!$E$3420+(glt_m365b-Sens!$E$3420)*MIN(1,3/n_conv)</f>
        <v>0.102761782450272</v>
      </c>
      <c r="I3420" s="7" t="n">
        <f aca="false">Sens!$E$3420+(glt_m365b-Sens!$E$3420)*MIN(1,4/n_conv)</f>
        <v>0.0918411883001813</v>
      </c>
      <c r="J3420" s="7" t="n">
        <f aca="false">Sens!$E$3420+(glt_m365b-Sens!$E$3420)*MIN(1,5/n_conv)</f>
        <v>0.0809205941500906</v>
      </c>
      <c r="K3420" s="7" t="n">
        <f aca="false">Sens!$E$3420+(glt_m365b-Sens!$E$3420)*MIN(1,6/n_conv)</f>
        <v>0.07</v>
      </c>
    </row>
    <row r="3421" customFormat="false" ht="15" hidden="false" customHeight="false" outlineLevel="0" collapsed="false">
      <c r="A3421" s="0" t="s">
        <v>788</v>
      </c>
      <c r="B3421" s="0" t="s">
        <v>95</v>
      </c>
      <c r="D3421" s="6" t="n">
        <f aca="false">Sens!D3419+Sens!D3418</f>
        <v>84.605</v>
      </c>
      <c r="E3421" s="6" t="n">
        <f aca="false">Sens!E3419+Sens!E3418</f>
        <v>100.299</v>
      </c>
      <c r="F3421" s="6" t="n">
        <f aca="false">Sens!F3419+Sens!F3418</f>
        <v>118.89238776686</v>
      </c>
      <c r="G3421" s="6" t="n">
        <f aca="false">Sens!G3419+Sens!G3418</f>
        <v>137.044168448684</v>
      </c>
      <c r="H3421" s="6" t="n">
        <f aca="false">Sens!H3419+Sens!H3418</f>
        <v>155.277359388781</v>
      </c>
      <c r="I3421" s="6" t="n">
        <f aca="false">Sens!I3419+Sens!I3418</f>
        <v>171.834028071957</v>
      </c>
      <c r="J3421" s="6" t="n">
        <f aca="false">Sens!J3419+Sens!J3418</f>
        <v>186.432702785465</v>
      </c>
      <c r="K3421" s="6" t="n">
        <f aca="false">Sens!K3419+Sens!K3418</f>
        <v>200.277991980448</v>
      </c>
    </row>
    <row r="3422" customFormat="false" ht="15" hidden="false" customHeight="false" outlineLevel="0" collapsed="false">
      <c r="A3422" s="0" t="s">
        <v>789</v>
      </c>
      <c r="B3422" s="0" t="s">
        <v>95</v>
      </c>
      <c r="D3422" s="6" t="n">
        <f aca="false">Q!L8</f>
        <v>35.391</v>
      </c>
      <c r="E3422" s="6" t="n">
        <f aca="false">Q!M8</f>
        <v>37.285</v>
      </c>
      <c r="F3422" s="6" t="n">
        <f aca="false">Sens!E3422*(1+Sens!F3423)</f>
        <v>39.0720834331704</v>
      </c>
      <c r="G3422" s="6" t="n">
        <f aca="false">Sens!F3422*(1+Sens!G3423)</f>
        <v>40.726562953769</v>
      </c>
      <c r="H3422" s="6" t="n">
        <f aca="false">Sens!G3422*(1+Sens!H3423)</f>
        <v>42.2235987259198</v>
      </c>
      <c r="I3422" s="6" t="n">
        <f aca="false">Sens!H3422*(1+Sens!I3423)</f>
        <v>43.5397988077414</v>
      </c>
      <c r="J3422" s="6" t="n">
        <f aca="false">Sens!I3422*(1+Sens!J3423)</f>
        <v>44.653811225693</v>
      </c>
      <c r="K3422" s="6" t="n">
        <f aca="false">Sens!J3422*(1+Sens!K3423)</f>
        <v>45.5468874502068</v>
      </c>
    </row>
    <row r="3423" customFormat="false" ht="15" hidden="false" customHeight="false" outlineLevel="0" collapsed="false">
      <c r="A3423" s="1" t="s">
        <v>782</v>
      </c>
      <c r="B3423" s="0" t="s">
        <v>126</v>
      </c>
      <c r="E3423" s="7" t="n">
        <f aca="false">Sens!E3422/Sens!D3422-1</f>
        <v>0.0535164307309768</v>
      </c>
      <c r="F3423" s="7" t="n">
        <f aca="false">Sens!$E$3423+(glt_lic-Sens!$E$3423)*MIN(1,1/n_conv)</f>
        <v>0.0479303589424807</v>
      </c>
      <c r="G3423" s="7" t="n">
        <f aca="false">Sens!$E$3423+(glt_lic-Sens!$E$3423)*MIN(1,2/n_conv)</f>
        <v>0.0423442871539845</v>
      </c>
      <c r="H3423" s="7" t="n">
        <f aca="false">Sens!$E$3423+(glt_lic-Sens!$E$3423)*MIN(1,3/n_conv)</f>
        <v>0.0367582153654884</v>
      </c>
      <c r="I3423" s="7" t="n">
        <f aca="false">Sens!$E$3423+(glt_lic-Sens!$E$3423)*MIN(1,4/n_conv)</f>
        <v>0.0311721435769923</v>
      </c>
      <c r="J3423" s="7" t="n">
        <f aca="false">Sens!$E$3423+(glt_lic-Sens!$E$3423)*MIN(1,5/n_conv)</f>
        <v>0.0255860717884961</v>
      </c>
      <c r="K3423" s="7" t="n">
        <f aca="false">Sens!$E$3423+(glt_lic-Sens!$E$3423)*MIN(1,6/n_conv)</f>
        <v>0.02</v>
      </c>
    </row>
    <row r="3424" customFormat="false" ht="15" hidden="false" customHeight="false" outlineLevel="0" collapsed="false">
      <c r="A3424" s="0" t="s">
        <v>790</v>
      </c>
      <c r="B3424" s="0" t="s">
        <v>95</v>
      </c>
      <c r="D3424" s="6" t="n">
        <f aca="false">Q!L9</f>
        <v>18.417</v>
      </c>
      <c r="E3424" s="6" t="n">
        <f aca="false">Q!M9</f>
        <v>20.345</v>
      </c>
      <c r="F3424" s="6" t="n">
        <f aca="false">Sens!E3424*(1+Sens!F3425)</f>
        <v>22.3572203267814</v>
      </c>
      <c r="G3424" s="6" t="n">
        <f aca="false">Sens!F3424*(1+Sens!G3425)</f>
        <v>24.4392124437232</v>
      </c>
      <c r="H3424" s="6" t="n">
        <f aca="false">Sens!G3424*(1+Sens!H3425)</f>
        <v>26.5738052080665</v>
      </c>
      <c r="I3424" s="6" t="n">
        <f aca="false">Sens!H3424*(1+Sens!I3425)</f>
        <v>28.7412169166967</v>
      </c>
      <c r="J3424" s="6" t="n">
        <f aca="false">Sens!I3424*(1+Sens!J3425)</f>
        <v>30.9192545395413</v>
      </c>
      <c r="K3424" s="6" t="n">
        <f aca="false">Sens!J3424*(1+Sens!K3425)</f>
        <v>33.0836023573092</v>
      </c>
    </row>
    <row r="3425" customFormat="false" ht="15" hidden="false" customHeight="false" outlineLevel="0" collapsed="false">
      <c r="A3425" s="1" t="s">
        <v>782</v>
      </c>
      <c r="B3425" s="0" t="s">
        <v>126</v>
      </c>
      <c r="E3425" s="7" t="n">
        <f aca="false">Sens!E3424/Sens!D3424-1</f>
        <v>0.104685888038225</v>
      </c>
      <c r="F3425" s="7" t="n">
        <f aca="false">Sens!$E$3425+(glt_ind-Sens!$E$3425)*MIN(1,1/n_conv)</f>
        <v>0.0989049066985211</v>
      </c>
      <c r="G3425" s="7" t="n">
        <f aca="false">Sens!$E$3425+(glt_ind-Sens!$E$3425)*MIN(1,2/n_conv)</f>
        <v>0.0931239253588169</v>
      </c>
      <c r="H3425" s="7" t="n">
        <f aca="false">Sens!$E$3425+(glt_ind-Sens!$E$3425)*MIN(1,3/n_conv)</f>
        <v>0.0873429440191127</v>
      </c>
      <c r="I3425" s="7" t="n">
        <f aca="false">Sens!$E$3425+(glt_ind-Sens!$E$3425)*MIN(1,4/n_conv)</f>
        <v>0.0815619626794085</v>
      </c>
      <c r="J3425" s="7" t="n">
        <f aca="false">Sens!$E$3425+(glt_ind-Sens!$E$3425)*MIN(1,5/n_conv)</f>
        <v>0.0757809813397042</v>
      </c>
      <c r="K3425" s="7" t="n">
        <f aca="false">Sens!$E$3425+(glt_ind-Sens!$E$3425)*MIN(1,6/n_conv)</f>
        <v>0.07</v>
      </c>
    </row>
    <row r="3426" customFormat="false" ht="15" hidden="false" customHeight="false" outlineLevel="0" collapsed="false">
      <c r="A3426" s="0" t="s">
        <v>791</v>
      </c>
      <c r="B3426" s="0" t="s">
        <v>95</v>
      </c>
      <c r="D3426" s="6" t="n">
        <f aca="false">Q!L10</f>
        <v>7.76</v>
      </c>
      <c r="E3426" s="6" t="n">
        <f aca="false">Q!M10</f>
        <v>8.26</v>
      </c>
      <c r="F3426" s="6" t="n">
        <f aca="false">Sens!E3426*(1+Sens!F3427)</f>
        <v>8.79988041237113</v>
      </c>
      <c r="G3426" s="6" t="n">
        <f aca="false">Sens!F3426*(1+Sens!G3427)</f>
        <v>9.38321269125306</v>
      </c>
      <c r="H3426" s="6" t="n">
        <f aca="false">Sens!G3426*(1+Sens!H3427)</f>
        <v>10.0139193587476</v>
      </c>
      <c r="I3426" s="6" t="n">
        <f aca="false">Sens!H3426*(1+Sens!I3427)</f>
        <v>10.6963111830911</v>
      </c>
      <c r="J3426" s="6" t="n">
        <f aca="false">Sens!I3426*(1+Sens!J3427)</f>
        <v>11.4351285534696</v>
      </c>
      <c r="K3426" s="6" t="n">
        <f aca="false">Sens!J3426*(1+Sens!K3427)</f>
        <v>12.2355875522124</v>
      </c>
    </row>
    <row r="3427" customFormat="false" ht="15" hidden="false" customHeight="false" outlineLevel="0" collapsed="false">
      <c r="A3427" s="1" t="s">
        <v>782</v>
      </c>
      <c r="B3427" s="0" t="s">
        <v>126</v>
      </c>
      <c r="E3427" s="7" t="n">
        <f aca="false">Sens!E3426/Sens!D3426-1</f>
        <v>0.0644329896907216</v>
      </c>
      <c r="F3427" s="7" t="n">
        <f aca="false">Sens!$E$3427+(glt_fro-Sens!$E$3427)*MIN(1,1/n_conv)</f>
        <v>0.065360824742268</v>
      </c>
      <c r="G3427" s="7" t="n">
        <f aca="false">Sens!$E$3427+(glt_fro-Sens!$E$3427)*MIN(1,2/n_conv)</f>
        <v>0.0662886597938144</v>
      </c>
      <c r="H3427" s="7" t="n">
        <f aca="false">Sens!$E$3427+(glt_fro-Sens!$E$3427)*MIN(1,3/n_conv)</f>
        <v>0.0672164948453608</v>
      </c>
      <c r="I3427" s="7" t="n">
        <f aca="false">Sens!$E$3427+(glt_fro-Sens!$E$3427)*MIN(1,4/n_conv)</f>
        <v>0.0681443298969072</v>
      </c>
      <c r="J3427" s="7" t="n">
        <f aca="false">Sens!$E$3427+(glt_fro-Sens!$E$3427)*MIN(1,5/n_conv)</f>
        <v>0.0690721649484536</v>
      </c>
      <c r="K3427" s="7" t="n">
        <f aca="false">Sens!$E$3427+(glt_fro-Sens!$E$3427)*MIN(1,6/n_conv)</f>
        <v>0.07</v>
      </c>
    </row>
    <row r="3428" customFormat="false" ht="15" hidden="false" customHeight="false" outlineLevel="0" collapsed="false">
      <c r="A3428" s="0" t="s">
        <v>626</v>
      </c>
      <c r="B3428" s="0" t="s">
        <v>95</v>
      </c>
      <c r="D3428" s="6" t="n">
        <f aca="false">Sens!D3416+Sens!D3421+Sens!D3422+Sens!D3424+Sens!D3426</f>
        <v>218.783</v>
      </c>
      <c r="E3428" s="6" t="n">
        <f aca="false">Sens!E3416+Sens!E3421+Sens!E3422+Sens!E3424+Sens!E3426</f>
        <v>268.127</v>
      </c>
      <c r="F3428" s="6" t="n">
        <f aca="false">Sens!F3416+Sens!F3421+Sens!F3422+Sens!F3424+Sens!F3426</f>
        <v>334.265528251508</v>
      </c>
      <c r="G3428" s="6" t="n">
        <f aca="false">Sens!G3416+Sens!G3421+Sens!G3422+Sens!G3424+Sens!G3426</f>
        <v>408.072123059793</v>
      </c>
      <c r="H3428" s="6" t="n">
        <f aca="false">Sens!H3416+Sens!H3421+Sens!H3422+Sens!H3424+Sens!H3426</f>
        <v>483.196296004025</v>
      </c>
      <c r="I3428" s="6" t="n">
        <f aca="false">Sens!I3416+Sens!I3421+Sens!I3422+Sens!I3424+Sens!I3426</f>
        <v>556.129573436949</v>
      </c>
      <c r="J3428" s="6" t="n">
        <f aca="false">Sens!J3416+Sens!J3421+Sens!J3422+Sens!J3424+Sens!J3426</f>
        <v>625.478790083482</v>
      </c>
      <c r="K3428" s="6" t="n">
        <f aca="false">Sens!K3416+Sens!K3421+Sens!K3422+Sens!K3424+Sens!K3426</f>
        <v>691.348349922667</v>
      </c>
    </row>
    <row r="3429" customFormat="false" ht="15" hidden="false" customHeight="false" outlineLevel="0" collapsed="false">
      <c r="A3429" s="0" t="s">
        <v>792</v>
      </c>
      <c r="B3429" s="0" t="s">
        <v>95</v>
      </c>
      <c r="D3429" s="6" t="n">
        <f aca="false">Q!L13</f>
        <v>22.171</v>
      </c>
      <c r="E3429" s="6" t="n">
        <f aca="false">Q!M13</f>
        <v>24.835</v>
      </c>
      <c r="F3429" s="6" t="n">
        <f aca="false">Sens!E3429*(1+Sens!F3430)</f>
        <v>27.6114901218559</v>
      </c>
      <c r="G3429" s="6" t="n">
        <f aca="false">Sens!F3429*(1+Sens!G3430)</f>
        <v>30.4675667338515</v>
      </c>
      <c r="H3429" s="6" t="n">
        <f aca="false">Sens!G3429*(1+Sens!H3430)</f>
        <v>33.3643766955789</v>
      </c>
      <c r="I3429" s="6" t="n">
        <f aca="false">Sens!H3429*(1+Sens!I3430)</f>
        <v>36.2577016533691</v>
      </c>
      <c r="J3429" s="6" t="n">
        <f aca="false">Sens!I3429*(1+Sens!J3430)</f>
        <v>39.0988367952171</v>
      </c>
      <c r="K3429" s="6" t="n">
        <f aca="false">Sens!J3429*(1+Sens!K3430)</f>
        <v>41.8357553708823</v>
      </c>
    </row>
    <row r="3430" customFormat="false" ht="15" hidden="false" customHeight="false" outlineLevel="0" collapsed="false">
      <c r="A3430" s="1" t="s">
        <v>782</v>
      </c>
      <c r="B3430" s="0" t="s">
        <v>126</v>
      </c>
      <c r="E3430" s="7" t="n">
        <f aca="false">Sens!E3429/Sens!D3429-1</f>
        <v>0.120156961796942</v>
      </c>
      <c r="F3430" s="7" t="n">
        <f aca="false">Sens!$E$3430+(glt_srch-Sens!$E$3430)*MIN(1,1/n_conv)</f>
        <v>0.111797468164118</v>
      </c>
      <c r="G3430" s="7" t="n">
        <f aca="false">Sens!$E$3430+(glt_srch-Sens!$E$3430)*MIN(1,2/n_conv)</f>
        <v>0.103437974531295</v>
      </c>
      <c r="H3430" s="7" t="n">
        <f aca="false">Sens!$E$3430+(glt_srch-Sens!$E$3430)*MIN(1,3/n_conv)</f>
        <v>0.095078480898471</v>
      </c>
      <c r="I3430" s="7" t="n">
        <f aca="false">Sens!$E$3430+(glt_srch-Sens!$E$3430)*MIN(1,4/n_conv)</f>
        <v>0.0867189872656474</v>
      </c>
      <c r="J3430" s="7" t="n">
        <f aca="false">Sens!$E$3430+(glt_srch-Sens!$E$3430)*MIN(1,5/n_conv)</f>
        <v>0.0783594936328237</v>
      </c>
      <c r="K3430" s="7" t="n">
        <f aca="false">Sens!$E$3430+(glt_srch-Sens!$E$3430)*MIN(1,6/n_conv)</f>
        <v>0.07</v>
      </c>
    </row>
    <row r="3431" customFormat="false" ht="15" hidden="false" customHeight="false" outlineLevel="0" collapsed="false">
      <c r="A3431" s="0" t="s">
        <v>793</v>
      </c>
      <c r="B3431" s="0" t="s">
        <v>95</v>
      </c>
      <c r="D3431" s="6" t="n">
        <f aca="false">Q!L14</f>
        <v>23.455</v>
      </c>
      <c r="E3431" s="6" t="n">
        <f aca="false">Q!M14</f>
        <v>21.79</v>
      </c>
      <c r="F3431" s="6" t="n">
        <f aca="false">Sens!E3431*(1+Sens!F3432)</f>
        <v>20.5736277908051</v>
      </c>
      <c r="G3431" s="6" t="n">
        <f aca="false">Sens!F3431*(1+Sens!G3432)</f>
        <v>19.7371452817919</v>
      </c>
      <c r="H3431" s="6" t="n">
        <f aca="false">Sens!G3431*(1+Sens!H3432)</f>
        <v>19.2339764043138</v>
      </c>
      <c r="I3431" s="6" t="n">
        <f aca="false">Sens!H3431*(1+Sens!I3432)</f>
        <v>19.0353086852681</v>
      </c>
      <c r="J3431" s="6" t="n">
        <f aca="false">Sens!I3431*(1+Sens!J3432)</f>
        <v>19.1273539319129</v>
      </c>
      <c r="K3431" s="6" t="n">
        <f aca="false">Sens!J3431*(1+Sens!K3432)</f>
        <v>19.5099010105511</v>
      </c>
    </row>
    <row r="3432" customFormat="false" ht="15" hidden="false" customHeight="false" outlineLevel="0" collapsed="false">
      <c r="A3432" s="1" t="s">
        <v>782</v>
      </c>
      <c r="B3432" s="0" t="s">
        <v>126</v>
      </c>
      <c r="E3432" s="7" t="n">
        <f aca="false">Sens!E3431/Sens!D3431-1</f>
        <v>-0.0709869963760392</v>
      </c>
      <c r="F3432" s="7" t="n">
        <f aca="false">Sens!$E$3432+(glt_xbox-Sens!$E$3432)*MIN(1,1/n_conv)</f>
        <v>-0.0558224969800327</v>
      </c>
      <c r="G3432" s="7" t="n">
        <f aca="false">Sens!$E$3432+(glt_xbox-Sens!$E$3432)*MIN(1,2/n_conv)</f>
        <v>-0.0406579975840262</v>
      </c>
      <c r="H3432" s="7" t="n">
        <f aca="false">Sens!$E$3432+(glt_xbox-Sens!$E$3432)*MIN(1,3/n_conv)</f>
        <v>-0.0254934981880196</v>
      </c>
      <c r="I3432" s="7" t="n">
        <f aca="false">Sens!$E$3432+(glt_xbox-Sens!$E$3432)*MIN(1,4/n_conv)</f>
        <v>-0.0103289987920131</v>
      </c>
      <c r="J3432" s="7" t="n">
        <f aca="false">Sens!$E$3432+(glt_xbox-Sens!$E$3432)*MIN(1,5/n_conv)</f>
        <v>0.00483550060399347</v>
      </c>
      <c r="K3432" s="7" t="n">
        <f aca="false">Sens!$E$3432+(glt_xbox-Sens!$E$3432)*MIN(1,6/n_conv)</f>
        <v>0.02</v>
      </c>
    </row>
    <row r="3433" customFormat="false" ht="15" hidden="false" customHeight="false" outlineLevel="0" collapsed="false">
      <c r="A3433" s="0" t="s">
        <v>794</v>
      </c>
      <c r="B3433" s="0" t="s">
        <v>95</v>
      </c>
      <c r="D3433" s="6" t="n">
        <f aca="false">Q!L15</f>
        <v>17.315</v>
      </c>
      <c r="E3433" s="6" t="n">
        <f aca="false">Q!M15</f>
        <v>17.087</v>
      </c>
      <c r="F3433" s="6" t="n">
        <f aca="false">Sens!E3433*(1+Sens!F3434)</f>
        <v>16.9564585436519</v>
      </c>
      <c r="G3433" s="6" t="n">
        <f aca="false">Sens!F3433*(1+Sens!G3434)</f>
        <v>16.9206490624268</v>
      </c>
      <c r="H3433" s="6" t="n">
        <f aca="false">Sens!G3433*(1+Sens!H3434)</f>
        <v>16.9784519149849</v>
      </c>
      <c r="I3433" s="6" t="n">
        <f aca="false">Sens!H3433*(1+Sens!I3434)</f>
        <v>17.1303084701817</v>
      </c>
      <c r="J3433" s="6" t="n">
        <f aca="false">Sens!I3433*(1+Sens!J3434)</f>
        <v>17.3782189407267</v>
      </c>
      <c r="K3433" s="6" t="n">
        <f aca="false">Sens!J3433*(1+Sens!K3434)</f>
        <v>17.7257833195413</v>
      </c>
    </row>
    <row r="3434" customFormat="false" ht="15" hidden="false" customHeight="false" outlineLevel="0" collapsed="false">
      <c r="A3434" s="1" t="s">
        <v>782</v>
      </c>
      <c r="B3434" s="0" t="s">
        <v>126</v>
      </c>
      <c r="E3434" s="7" t="n">
        <f aca="false">Sens!E3433/Sens!D3433-1</f>
        <v>-0.0131677736066995</v>
      </c>
      <c r="F3434" s="7" t="n">
        <f aca="false">Sens!$E$3434+(glt_win-Sens!$E$3434)*MIN(1,1/n_conv)</f>
        <v>-0.00763981133891627</v>
      </c>
      <c r="G3434" s="7" t="n">
        <f aca="false">Sens!$E$3434+(glt_win-Sens!$E$3434)*MIN(1,2/n_conv)</f>
        <v>-0.00211184907113301</v>
      </c>
      <c r="H3434" s="7" t="n">
        <f aca="false">Sens!$E$3434+(glt_win-Sens!$E$3434)*MIN(1,3/n_conv)</f>
        <v>0.00341611319665024</v>
      </c>
      <c r="I3434" s="7" t="n">
        <f aca="false">Sens!$E$3434+(glt_win-Sens!$E$3434)*MIN(1,4/n_conv)</f>
        <v>0.00894407546443349</v>
      </c>
      <c r="J3434" s="7" t="n">
        <f aca="false">Sens!$E$3434+(glt_win-Sens!$E$3434)*MIN(1,5/n_conv)</f>
        <v>0.0144720377322168</v>
      </c>
      <c r="K3434" s="7" t="n">
        <f aca="false">Sens!$E$3434+(glt_win-Sens!$E$3434)*MIN(1,6/n_conv)</f>
        <v>0.02</v>
      </c>
    </row>
    <row r="3435" customFormat="false" ht="15" hidden="false" customHeight="false" outlineLevel="0" collapsed="false">
      <c r="A3435" s="0" t="s">
        <v>640</v>
      </c>
      <c r="B3435" s="0" t="s">
        <v>95</v>
      </c>
      <c r="D3435" s="6" t="n">
        <f aca="false">Sens!D3429+Sens!D3431+Sens!D3433</f>
        <v>62.941</v>
      </c>
      <c r="E3435" s="6" t="n">
        <f aca="false">Sens!E3429+Sens!E3431+Sens!E3433</f>
        <v>63.712</v>
      </c>
      <c r="F3435" s="6" t="n">
        <f aca="false">Sens!F3429+Sens!F3431+Sens!F3433</f>
        <v>65.1415764563129</v>
      </c>
      <c r="G3435" s="6" t="n">
        <f aca="false">Sens!G3429+Sens!G3431+Sens!G3433</f>
        <v>67.1253610780702</v>
      </c>
      <c r="H3435" s="6" t="n">
        <f aca="false">Sens!H3429+Sens!H3431+Sens!H3433</f>
        <v>69.5768050148776</v>
      </c>
      <c r="I3435" s="6" t="n">
        <f aca="false">Sens!I3429+Sens!I3431+Sens!I3433</f>
        <v>72.4233188088189</v>
      </c>
      <c r="J3435" s="6" t="n">
        <f aca="false">Sens!J3429+Sens!J3431+Sens!J3433</f>
        <v>75.6044096678567</v>
      </c>
      <c r="K3435" s="6" t="n">
        <f aca="false">Sens!K3429+Sens!K3431+Sens!K3433</f>
        <v>79.0714397009747</v>
      </c>
    </row>
    <row r="3436" customFormat="false" ht="15" hidden="false" customHeight="false" outlineLevel="0" collapsed="false">
      <c r="A3436" s="1" t="s">
        <v>795</v>
      </c>
      <c r="B3436" s="0" t="s">
        <v>95</v>
      </c>
      <c r="D3436" s="6" t="n">
        <f aca="false">Sens!D3428+Sens!D3435</f>
        <v>281.724</v>
      </c>
      <c r="E3436" s="6" t="n">
        <f aca="false">Sens!E3428+Sens!E3435</f>
        <v>331.839</v>
      </c>
      <c r="F3436" s="6" t="n">
        <f aca="false">Sens!F3428+Sens!F3435</f>
        <v>399.407104707821</v>
      </c>
      <c r="G3436" s="6" t="n">
        <f aca="false">Sens!G3428+Sens!G3435</f>
        <v>475.197484137863</v>
      </c>
      <c r="H3436" s="6" t="n">
        <f aca="false">Sens!H3428+Sens!H3435</f>
        <v>552.773101018903</v>
      </c>
      <c r="I3436" s="6" t="n">
        <f aca="false">Sens!I3428+Sens!I3435</f>
        <v>628.552892245768</v>
      </c>
      <c r="J3436" s="6" t="n">
        <f aca="false">Sens!J3428+Sens!J3435</f>
        <v>701.083199751338</v>
      </c>
      <c r="K3436" s="6" t="n">
        <f aca="false">Sens!K3428+Sens!K3435</f>
        <v>770.419789623641</v>
      </c>
    </row>
    <row r="3437" customFormat="false" ht="15" hidden="false" customHeight="false" outlineLevel="0" collapsed="false">
      <c r="A3437" s="22" t="s">
        <v>796</v>
      </c>
      <c r="B3437" s="28" t="s">
        <v>95</v>
      </c>
      <c r="C3437" s="28"/>
      <c r="D3437" s="23" t="n">
        <f aca="false">(Sens!D3416+Sens!D3421+Sens!D3422+Sens!D3424+Sens!D3426-Sens!D3428)+(Sens!D3429+Sens!D3431+Sens!D3433-Sens!D3435)+(Sens!D3428-Q!L5)+(Sens!D3435-Q!L12)+(Sens!D3416-Q!L6)+(Sens!D3421-Q!L7)</f>
        <v>0</v>
      </c>
      <c r="E3437" s="23" t="n">
        <f aca="false">(Sens!E3416+Sens!E3421+Sens!E3422+Sens!E3424+Sens!E3426-Sens!E3428)+(Sens!E3429+Sens!E3431+Sens!E3433-Sens!E3435)+(Sens!E3428-Q!M5)+(Sens!E3435-Q!M12)+(Sens!E3416-Q!M6)+(Sens!E3421-Q!M7)</f>
        <v>0</v>
      </c>
      <c r="F3437" s="23" t="n">
        <f aca="false">(Sens!F3416+Sens!F3421+Sens!F3422+Sens!F3424+Sens!F3426-Sens!F3428)+(Sens!F3429+Sens!F3431+Sens!F3433-Sens!F3435)</f>
        <v>0</v>
      </c>
      <c r="G3437" s="23" t="n">
        <f aca="false">(Sens!G3416+Sens!G3421+Sens!G3422+Sens!G3424+Sens!G3426-Sens!G3428)+(Sens!G3429+Sens!G3431+Sens!G3433-Sens!G3435)</f>
        <v>0</v>
      </c>
      <c r="H3437" s="23" t="n">
        <f aca="false">(Sens!H3416+Sens!H3421+Sens!H3422+Sens!H3424+Sens!H3426-Sens!H3428)+(Sens!H3429+Sens!H3431+Sens!H3433-Sens!H3435)</f>
        <v>0</v>
      </c>
      <c r="I3437" s="23" t="n">
        <f aca="false">(Sens!I3416+Sens!I3421+Sens!I3422+Sens!I3424+Sens!I3426-Sens!I3428)+(Sens!I3429+Sens!I3431+Sens!I3433-Sens!I3435)</f>
        <v>0</v>
      </c>
      <c r="J3437" s="23" t="n">
        <f aca="false">(Sens!J3416+Sens!J3421+Sens!J3422+Sens!J3424+Sens!J3426-Sens!J3428)+(Sens!J3429+Sens!J3431+Sens!J3433-Sens!J3435)</f>
        <v>0</v>
      </c>
      <c r="K3437" s="23" t="n">
        <f aca="false">(Sens!K3416+Sens!K3421+Sens!K3422+Sens!K3424+Sens!K3426-Sens!K3428)+(Sens!K3429+Sens!K3431+Sens!K3433-Sens!K3435)</f>
        <v>0</v>
      </c>
    </row>
    <row r="3438" customFormat="false" ht="17.15" hidden="false" customHeight="false" outlineLevel="0" collapsed="false">
      <c r="A3438" s="3" t="s">
        <v>1211</v>
      </c>
    </row>
    <row r="3439" customFormat="false" ht="15" hidden="false" customHeight="false" outlineLevel="0" collapsed="false">
      <c r="A3439" s="4" t="s">
        <v>43</v>
      </c>
      <c r="B3439" s="4" t="s">
        <v>63</v>
      </c>
      <c r="C3439" s="19" t="s">
        <v>710</v>
      </c>
      <c r="D3439" s="19" t="s">
        <v>711</v>
      </c>
      <c r="E3439" s="19" t="s">
        <v>712</v>
      </c>
      <c r="F3439" s="19" t="s">
        <v>713</v>
      </c>
      <c r="G3439" s="19" t="s">
        <v>714</v>
      </c>
      <c r="H3439" s="19" t="s">
        <v>715</v>
      </c>
      <c r="I3439" s="19" t="s">
        <v>716</v>
      </c>
      <c r="J3439" s="19" t="s">
        <v>717</v>
      </c>
      <c r="K3439" s="19" t="s">
        <v>718</v>
      </c>
      <c r="L3439" s="4" t="s">
        <v>47</v>
      </c>
    </row>
    <row r="3440" customFormat="false" ht="15" hidden="false" customHeight="false" outlineLevel="0" collapsed="false">
      <c r="A3440" s="0" t="s">
        <v>783</v>
      </c>
      <c r="B3440" s="0" t="s">
        <v>95</v>
      </c>
      <c r="D3440" s="6" t="n">
        <f aca="false">Sens!D3416</f>
        <v>72.61</v>
      </c>
      <c r="E3440" s="6" t="n">
        <f aca="false">Sens!E3416</f>
        <v>101.938</v>
      </c>
      <c r="F3440" s="6" t="n">
        <f aca="false">Sens!F3416</f>
        <v>145.143956312325</v>
      </c>
      <c r="G3440" s="6" t="n">
        <f aca="false">Sens!G3416</f>
        <v>196.478966522364</v>
      </c>
      <c r="H3440" s="6" t="n">
        <f aca="false">Sens!H3416</f>
        <v>249.10761332251</v>
      </c>
      <c r="I3440" s="6" t="n">
        <f aca="false">Sens!I3416</f>
        <v>301.318218457463</v>
      </c>
      <c r="J3440" s="6" t="n">
        <f aca="false">Sens!J3416</f>
        <v>352.037892979313</v>
      </c>
      <c r="K3440" s="6" t="n">
        <f aca="false">Sens!K3416</f>
        <v>400.20428058249</v>
      </c>
    </row>
    <row r="3441" customFormat="false" ht="17.15" hidden="false" customHeight="false" outlineLevel="0" collapsed="false">
      <c r="A3441" s="0" t="s">
        <v>780</v>
      </c>
      <c r="B3441" s="0" t="s">
        <v>95</v>
      </c>
      <c r="D3441" s="6" t="n">
        <f aca="false">Sens!D3413</f>
        <v>12.9359794422418</v>
      </c>
      <c r="E3441" s="6" t="n">
        <f aca="false">Sens!E3413</f>
        <v>27.8095064661409</v>
      </c>
      <c r="F3441" s="6" t="n">
        <f aca="false">Sens!F3413</f>
        <v>55.0640065749585</v>
      </c>
      <c r="G3441" s="6" t="n">
        <f aca="false">Sens!G3413</f>
        <v>89.4505413190538</v>
      </c>
      <c r="H3441" s="6" t="n">
        <f aca="false">Sens!H3413</f>
        <v>124.835630736874</v>
      </c>
      <c r="I3441" s="6" t="n">
        <f aca="false">Sens!I3413</f>
        <v>160.384516075608</v>
      </c>
      <c r="J3441" s="6" t="n">
        <f aca="false">Sens!J3413</f>
        <v>196.019025664981</v>
      </c>
      <c r="K3441" s="6" t="n">
        <f aca="false">Sens!K3413</f>
        <v>231.703903883012</v>
      </c>
    </row>
    <row r="3442" customFormat="false" ht="17.15" hidden="false" customHeight="false" outlineLevel="0" collapsed="false">
      <c r="A3442" s="0" t="s">
        <v>807</v>
      </c>
      <c r="B3442" s="0" t="s">
        <v>95</v>
      </c>
      <c r="D3442" s="6" t="n">
        <f aca="false">Sens!D3414</f>
        <v>59.6740205577583</v>
      </c>
      <c r="E3442" s="6" t="n">
        <f aca="false">Sens!E3414</f>
        <v>74.1284935338591</v>
      </c>
      <c r="F3442" s="6" t="n">
        <f aca="false">Sens!F3414</f>
        <v>90.0799497373663</v>
      </c>
      <c r="G3442" s="6" t="n">
        <f aca="false">Sens!G3414</f>
        <v>107.02842520331</v>
      </c>
      <c r="H3442" s="6" t="n">
        <f aca="false">Sens!H3414</f>
        <v>124.271982585636</v>
      </c>
      <c r="I3442" s="6" t="n">
        <f aca="false">Sens!I3414</f>
        <v>140.933702381855</v>
      </c>
      <c r="J3442" s="6" t="n">
        <f aca="false">Sens!J3414</f>
        <v>156.018867314332</v>
      </c>
      <c r="K3442" s="6" t="n">
        <f aca="false">Sens!K3414</f>
        <v>168.500376699478</v>
      </c>
    </row>
    <row r="3443" customFormat="false" ht="15" hidden="false" customHeight="false" outlineLevel="0" collapsed="false">
      <c r="A3443" s="0" t="s">
        <v>788</v>
      </c>
      <c r="B3443" s="0" t="s">
        <v>95</v>
      </c>
      <c r="D3443" s="6" t="n">
        <f aca="false">Sens!D3421</f>
        <v>84.605</v>
      </c>
      <c r="E3443" s="6" t="n">
        <f aca="false">Sens!E3421</f>
        <v>100.299</v>
      </c>
      <c r="F3443" s="6" t="n">
        <f aca="false">Sens!F3421</f>
        <v>118.89238776686</v>
      </c>
      <c r="G3443" s="6" t="n">
        <f aca="false">Sens!G3421</f>
        <v>137.044168448684</v>
      </c>
      <c r="H3443" s="6" t="n">
        <f aca="false">Sens!H3421</f>
        <v>155.277359388781</v>
      </c>
      <c r="I3443" s="6" t="n">
        <f aca="false">Sens!I3421</f>
        <v>171.834028071957</v>
      </c>
      <c r="J3443" s="6" t="n">
        <f aca="false">Sens!J3421</f>
        <v>186.432702785465</v>
      </c>
      <c r="K3443" s="6" t="n">
        <f aca="false">Sens!K3421</f>
        <v>200.277991980448</v>
      </c>
    </row>
    <row r="3444" customFormat="false" ht="17.15" hidden="false" customHeight="false" outlineLevel="0" collapsed="false">
      <c r="A3444" s="0" t="s">
        <v>808</v>
      </c>
      <c r="B3444" s="0" t="s">
        <v>95</v>
      </c>
      <c r="D3444" s="6" t="n">
        <f aca="false">Sens!D3419</f>
        <v>83.705</v>
      </c>
      <c r="E3444" s="6" t="n">
        <f aca="false">Sens!E3419</f>
        <v>95.049</v>
      </c>
      <c r="F3444" s="6" t="n">
        <f aca="false">Sens!F3419</f>
        <v>106.89238776686</v>
      </c>
      <c r="G3444" s="6" t="n">
        <f aca="false">Sens!G3419</f>
        <v>119.044168448684</v>
      </c>
      <c r="H3444" s="6" t="n">
        <f aca="false">Sens!H3419</f>
        <v>131.277359388781</v>
      </c>
      <c r="I3444" s="6" t="n">
        <f aca="false">Sens!I3419</f>
        <v>143.334028071957</v>
      </c>
      <c r="J3444" s="6" t="n">
        <f aca="false">Sens!J3419</f>
        <v>154.932702785465</v>
      </c>
      <c r="K3444" s="6" t="n">
        <f aca="false">Sens!K3419</f>
        <v>165.777991980448</v>
      </c>
    </row>
    <row r="3445" customFormat="false" ht="17.15" hidden="false" customHeight="false" outlineLevel="0" collapsed="false">
      <c r="A3445" s="0" t="s">
        <v>809</v>
      </c>
      <c r="B3445" s="0" t="s">
        <v>95</v>
      </c>
      <c r="D3445" s="6" t="n">
        <f aca="false">Sens!D3418</f>
        <v>0.9</v>
      </c>
      <c r="E3445" s="6" t="n">
        <f aca="false">Sens!E3418</f>
        <v>5.25</v>
      </c>
      <c r="F3445" s="6" t="n">
        <f aca="false">Sens!F3418</f>
        <v>12</v>
      </c>
      <c r="G3445" s="6" t="n">
        <f aca="false">Sens!G3418</f>
        <v>18</v>
      </c>
      <c r="H3445" s="6" t="n">
        <f aca="false">Sens!H3418</f>
        <v>24</v>
      </c>
      <c r="I3445" s="6" t="n">
        <f aca="false">Sens!I3418</f>
        <v>28.5</v>
      </c>
      <c r="J3445" s="6" t="n">
        <f aca="false">Sens!J3418</f>
        <v>31.5</v>
      </c>
      <c r="K3445" s="6" t="n">
        <f aca="false">Sens!K3418</f>
        <v>34.5</v>
      </c>
    </row>
    <row r="3446" customFormat="false" ht="15" hidden="false" customHeight="false" outlineLevel="0" collapsed="false">
      <c r="A3446" s="0" t="s">
        <v>789</v>
      </c>
      <c r="B3446" s="0" t="s">
        <v>95</v>
      </c>
      <c r="D3446" s="6" t="n">
        <f aca="false">Sens!D3422</f>
        <v>35.391</v>
      </c>
      <c r="E3446" s="6" t="n">
        <f aca="false">Sens!E3422</f>
        <v>37.285</v>
      </c>
      <c r="F3446" s="6" t="n">
        <f aca="false">Sens!F3422</f>
        <v>39.0720834331704</v>
      </c>
      <c r="G3446" s="6" t="n">
        <f aca="false">Sens!G3422</f>
        <v>40.726562953769</v>
      </c>
      <c r="H3446" s="6" t="n">
        <f aca="false">Sens!H3422</f>
        <v>42.2235987259198</v>
      </c>
      <c r="I3446" s="6" t="n">
        <f aca="false">Sens!I3422</f>
        <v>43.5397988077414</v>
      </c>
      <c r="J3446" s="6" t="n">
        <f aca="false">Sens!J3422</f>
        <v>44.653811225693</v>
      </c>
      <c r="K3446" s="6" t="n">
        <f aca="false">Sens!K3422</f>
        <v>45.5468874502068</v>
      </c>
    </row>
    <row r="3447" customFormat="false" ht="15" hidden="false" customHeight="false" outlineLevel="0" collapsed="false">
      <c r="A3447" s="0" t="s">
        <v>790</v>
      </c>
      <c r="B3447" s="0" t="s">
        <v>95</v>
      </c>
      <c r="D3447" s="6" t="n">
        <f aca="false">Sens!D3424</f>
        <v>18.417</v>
      </c>
      <c r="E3447" s="6" t="n">
        <f aca="false">Sens!E3424</f>
        <v>20.345</v>
      </c>
      <c r="F3447" s="6" t="n">
        <f aca="false">Sens!F3424</f>
        <v>22.3572203267814</v>
      </c>
      <c r="G3447" s="6" t="n">
        <f aca="false">Sens!G3424</f>
        <v>24.4392124437232</v>
      </c>
      <c r="H3447" s="6" t="n">
        <f aca="false">Sens!H3424</f>
        <v>26.5738052080665</v>
      </c>
      <c r="I3447" s="6" t="n">
        <f aca="false">Sens!I3424</f>
        <v>28.7412169166967</v>
      </c>
      <c r="J3447" s="6" t="n">
        <f aca="false">Sens!J3424</f>
        <v>30.9192545395413</v>
      </c>
      <c r="K3447" s="6" t="n">
        <f aca="false">Sens!K3424</f>
        <v>33.0836023573092</v>
      </c>
    </row>
    <row r="3448" customFormat="false" ht="15" hidden="false" customHeight="false" outlineLevel="0" collapsed="false">
      <c r="A3448" s="0" t="s">
        <v>791</v>
      </c>
      <c r="B3448" s="0" t="s">
        <v>95</v>
      </c>
      <c r="D3448" s="6" t="n">
        <f aca="false">Sens!D3426</f>
        <v>7.76</v>
      </c>
      <c r="E3448" s="6" t="n">
        <f aca="false">Sens!E3426</f>
        <v>8.26</v>
      </c>
      <c r="F3448" s="6" t="n">
        <f aca="false">Sens!F3426</f>
        <v>8.79988041237113</v>
      </c>
      <c r="G3448" s="6" t="n">
        <f aca="false">Sens!G3426</f>
        <v>9.38321269125306</v>
      </c>
      <c r="H3448" s="6" t="n">
        <f aca="false">Sens!H3426</f>
        <v>10.0139193587476</v>
      </c>
      <c r="I3448" s="6" t="n">
        <f aca="false">Sens!I3426</f>
        <v>10.6963111830911</v>
      </c>
      <c r="J3448" s="6" t="n">
        <f aca="false">Sens!J3426</f>
        <v>11.4351285534696</v>
      </c>
      <c r="K3448" s="6" t="n">
        <f aca="false">Sens!K3426</f>
        <v>12.2355875522124</v>
      </c>
    </row>
    <row r="3449" customFormat="false" ht="15" hidden="false" customHeight="false" outlineLevel="0" collapsed="false">
      <c r="A3449" s="0" t="s">
        <v>626</v>
      </c>
      <c r="B3449" s="0" t="s">
        <v>95</v>
      </c>
      <c r="D3449" s="6" t="n">
        <f aca="false">Sens!D3428</f>
        <v>218.783</v>
      </c>
      <c r="E3449" s="6" t="n">
        <f aca="false">Sens!E3428</f>
        <v>268.127</v>
      </c>
      <c r="F3449" s="6" t="n">
        <f aca="false">Sens!F3428</f>
        <v>334.265528251508</v>
      </c>
      <c r="G3449" s="6" t="n">
        <f aca="false">Sens!G3428</f>
        <v>408.072123059793</v>
      </c>
      <c r="H3449" s="6" t="n">
        <f aca="false">Sens!H3428</f>
        <v>483.196296004025</v>
      </c>
      <c r="I3449" s="6" t="n">
        <f aca="false">Sens!I3428</f>
        <v>556.129573436949</v>
      </c>
      <c r="J3449" s="6" t="n">
        <f aca="false">Sens!J3428</f>
        <v>625.478790083482</v>
      </c>
      <c r="K3449" s="6" t="n">
        <f aca="false">Sens!K3428</f>
        <v>691.348349922667</v>
      </c>
    </row>
    <row r="3450" customFormat="false" ht="15" hidden="false" customHeight="false" outlineLevel="0" collapsed="false">
      <c r="A3450" s="0" t="s">
        <v>792</v>
      </c>
      <c r="B3450" s="0" t="s">
        <v>95</v>
      </c>
      <c r="D3450" s="6" t="n">
        <f aca="false">Sens!D3429</f>
        <v>22.171</v>
      </c>
      <c r="E3450" s="6" t="n">
        <f aca="false">Sens!E3429</f>
        <v>24.835</v>
      </c>
      <c r="F3450" s="6" t="n">
        <f aca="false">Sens!F3429</f>
        <v>27.6114901218559</v>
      </c>
      <c r="G3450" s="6" t="n">
        <f aca="false">Sens!G3429</f>
        <v>30.4675667338515</v>
      </c>
      <c r="H3450" s="6" t="n">
        <f aca="false">Sens!H3429</f>
        <v>33.3643766955789</v>
      </c>
      <c r="I3450" s="6" t="n">
        <f aca="false">Sens!I3429</f>
        <v>36.2577016533691</v>
      </c>
      <c r="J3450" s="6" t="n">
        <f aca="false">Sens!J3429</f>
        <v>39.0988367952171</v>
      </c>
      <c r="K3450" s="6" t="n">
        <f aca="false">Sens!K3429</f>
        <v>41.8357553708823</v>
      </c>
    </row>
    <row r="3451" customFormat="false" ht="15" hidden="false" customHeight="false" outlineLevel="0" collapsed="false">
      <c r="A3451" s="0" t="s">
        <v>793</v>
      </c>
      <c r="B3451" s="0" t="s">
        <v>95</v>
      </c>
      <c r="D3451" s="6" t="n">
        <f aca="false">Sens!D3431</f>
        <v>23.455</v>
      </c>
      <c r="E3451" s="6" t="n">
        <f aca="false">Sens!E3431</f>
        <v>21.79</v>
      </c>
      <c r="F3451" s="6" t="n">
        <f aca="false">Sens!F3431</f>
        <v>20.5736277908051</v>
      </c>
      <c r="G3451" s="6" t="n">
        <f aca="false">Sens!G3431</f>
        <v>19.7371452817919</v>
      </c>
      <c r="H3451" s="6" t="n">
        <f aca="false">Sens!H3431</f>
        <v>19.2339764043138</v>
      </c>
      <c r="I3451" s="6" t="n">
        <f aca="false">Sens!I3431</f>
        <v>19.0353086852681</v>
      </c>
      <c r="J3451" s="6" t="n">
        <f aca="false">Sens!J3431</f>
        <v>19.1273539319129</v>
      </c>
      <c r="K3451" s="6" t="n">
        <f aca="false">Sens!K3431</f>
        <v>19.5099010105511</v>
      </c>
    </row>
    <row r="3452" customFormat="false" ht="15" hidden="false" customHeight="false" outlineLevel="0" collapsed="false">
      <c r="A3452" s="0" t="s">
        <v>794</v>
      </c>
      <c r="B3452" s="0" t="s">
        <v>95</v>
      </c>
      <c r="D3452" s="6" t="n">
        <f aca="false">Sens!D3433</f>
        <v>17.315</v>
      </c>
      <c r="E3452" s="6" t="n">
        <f aca="false">Sens!E3433</f>
        <v>17.087</v>
      </c>
      <c r="F3452" s="6" t="n">
        <f aca="false">Sens!F3433</f>
        <v>16.9564585436519</v>
      </c>
      <c r="G3452" s="6" t="n">
        <f aca="false">Sens!G3433</f>
        <v>16.9206490624268</v>
      </c>
      <c r="H3452" s="6" t="n">
        <f aca="false">Sens!H3433</f>
        <v>16.9784519149849</v>
      </c>
      <c r="I3452" s="6" t="n">
        <f aca="false">Sens!I3433</f>
        <v>17.1303084701817</v>
      </c>
      <c r="J3452" s="6" t="n">
        <f aca="false">Sens!J3433</f>
        <v>17.3782189407267</v>
      </c>
      <c r="K3452" s="6" t="n">
        <f aca="false">Sens!K3433</f>
        <v>17.7257833195413</v>
      </c>
    </row>
    <row r="3453" customFormat="false" ht="15" hidden="false" customHeight="false" outlineLevel="0" collapsed="false">
      <c r="A3453" s="0" t="s">
        <v>640</v>
      </c>
      <c r="B3453" s="0" t="s">
        <v>95</v>
      </c>
      <c r="D3453" s="6" t="n">
        <f aca="false">Sens!D3435</f>
        <v>62.941</v>
      </c>
      <c r="E3453" s="6" t="n">
        <f aca="false">Sens!E3435</f>
        <v>63.712</v>
      </c>
      <c r="F3453" s="6" t="n">
        <f aca="false">Sens!F3435</f>
        <v>65.1415764563129</v>
      </c>
      <c r="G3453" s="6" t="n">
        <f aca="false">Sens!G3435</f>
        <v>67.1253610780702</v>
      </c>
      <c r="H3453" s="6" t="n">
        <f aca="false">Sens!H3435</f>
        <v>69.5768050148776</v>
      </c>
      <c r="I3453" s="6" t="n">
        <f aca="false">Sens!I3435</f>
        <v>72.4233188088189</v>
      </c>
      <c r="J3453" s="6" t="n">
        <f aca="false">Sens!J3435</f>
        <v>75.6044096678567</v>
      </c>
      <c r="K3453" s="6" t="n">
        <f aca="false">Sens!K3435</f>
        <v>79.0714397009747</v>
      </c>
    </row>
    <row r="3454" customFormat="false" ht="15" hidden="false" customHeight="false" outlineLevel="0" collapsed="false">
      <c r="A3454" s="1" t="s">
        <v>810</v>
      </c>
      <c r="B3454" s="0" t="s">
        <v>95</v>
      </c>
      <c r="D3454" s="6" t="n">
        <f aca="false">Sens!D3436</f>
        <v>281.724</v>
      </c>
      <c r="E3454" s="6" t="n">
        <f aca="false">Sens!E3436</f>
        <v>331.839</v>
      </c>
      <c r="F3454" s="6" t="n">
        <f aca="false">Sens!F3436</f>
        <v>399.407104707821</v>
      </c>
      <c r="G3454" s="6" t="n">
        <f aca="false">Sens!G3436</f>
        <v>475.197484137863</v>
      </c>
      <c r="H3454" s="6" t="n">
        <f aca="false">Sens!H3436</f>
        <v>552.773101018903</v>
      </c>
      <c r="I3454" s="6" t="n">
        <f aca="false">Sens!I3436</f>
        <v>628.552892245768</v>
      </c>
      <c r="J3454" s="6" t="n">
        <f aca="false">Sens!J3436</f>
        <v>701.083199751338</v>
      </c>
      <c r="K3454" s="6" t="n">
        <f aca="false">Sens!K3436</f>
        <v>770.419789623641</v>
      </c>
    </row>
    <row r="3455" customFormat="false" ht="15" hidden="false" customHeight="false" outlineLevel="0" collapsed="false">
      <c r="A3455" s="1" t="s">
        <v>811</v>
      </c>
      <c r="B3455" s="0" t="s">
        <v>126</v>
      </c>
      <c r="E3455" s="7" t="n">
        <f aca="false">Sens!E3454/Sens!D3454-1</f>
        <v>0.177886867998467</v>
      </c>
      <c r="F3455" s="7" t="n">
        <f aca="false">Sens!F3454/Sens!E3454-1</f>
        <v>0.203617129715978</v>
      </c>
      <c r="G3455" s="7" t="n">
        <f aca="false">Sens!G3454/Sens!F3454-1</f>
        <v>0.189757213972159</v>
      </c>
      <c r="H3455" s="7" t="n">
        <f aca="false">Sens!H3454/Sens!G3454-1</f>
        <v>0.163249216316418</v>
      </c>
      <c r="I3455" s="7" t="n">
        <f aca="false">Sens!I3454/Sens!H3454-1</f>
        <v>0.137090229403682</v>
      </c>
      <c r="J3455" s="7" t="n">
        <f aca="false">Sens!J3454/Sens!I3454-1</f>
        <v>0.11539252845759</v>
      </c>
      <c r="K3455" s="7" t="n">
        <f aca="false">Sens!K3454/Sens!J3454-1</f>
        <v>0.098899231784324</v>
      </c>
    </row>
    <row r="3456" customFormat="false" ht="17.15" hidden="false" customHeight="false" outlineLevel="0" collapsed="false">
      <c r="A3456" s="22" t="s">
        <v>812</v>
      </c>
      <c r="B3456" s="28" t="s">
        <v>95</v>
      </c>
      <c r="C3456" s="28"/>
      <c r="D3456" s="23" t="n">
        <f aca="false">(Sens!D3449+Sens!D3453-Sens!D3454)+(Sens!D3441+Sens!D3442-Sens!D3440)+(Sens!D3444+Sens!D3445-Sens!D3443)+(Sens!D3454-Q!L18)</f>
        <v>0</v>
      </c>
      <c r="E3456" s="23" t="n">
        <f aca="false">(Sens!E3449+Sens!E3453-Sens!E3454)+(Sens!E3441+Sens!E3442-Sens!E3440)+(Sens!E3444+Sens!E3445-Sens!E3443)+(Sens!E3454-Q!M18)</f>
        <v>0</v>
      </c>
      <c r="F3456" s="23" t="n">
        <f aca="false">(Sens!F3449+Sens!F3453-Sens!F3454)+(Sens!F3441+Sens!F3442-Sens!F3440)+(Sens!F3444+Sens!F3445-Sens!F3443)</f>
        <v>0</v>
      </c>
      <c r="G3456" s="23" t="n">
        <f aca="false">(Sens!G3449+Sens!G3453-Sens!G3454)+(Sens!G3441+Sens!G3442-Sens!G3440)+(Sens!G3444+Sens!G3445-Sens!G3443)</f>
        <v>0</v>
      </c>
      <c r="H3456" s="23" t="n">
        <f aca="false">(Sens!H3449+Sens!H3453-Sens!H3454)+(Sens!H3441+Sens!H3442-Sens!H3440)+(Sens!H3444+Sens!H3445-Sens!H3443)</f>
        <v>0</v>
      </c>
      <c r="I3456" s="23" t="n">
        <f aca="false">(Sens!I3449+Sens!I3453-Sens!I3454)+(Sens!I3441+Sens!I3442-Sens!I3440)+(Sens!I3444+Sens!I3445-Sens!I3443)</f>
        <v>0</v>
      </c>
      <c r="J3456" s="23" t="n">
        <f aca="false">(Sens!J3449+Sens!J3453-Sens!J3454)+(Sens!J3441+Sens!J3442-Sens!J3440)+(Sens!J3444+Sens!J3445-Sens!J3443)</f>
        <v>0</v>
      </c>
      <c r="K3456" s="23" t="n">
        <f aca="false">(Sens!K3449+Sens!K3453-Sens!K3454)+(Sens!K3441+Sens!K3442-Sens!K3440)+(Sens!K3444+Sens!K3445-Sens!K3443)</f>
        <v>0</v>
      </c>
    </row>
    <row r="3457" customFormat="false" ht="17.15" hidden="false" customHeight="false" outlineLevel="0" collapsed="false">
      <c r="A3457" s="0" t="s">
        <v>813</v>
      </c>
      <c r="B3457" s="0" t="s">
        <v>126</v>
      </c>
      <c r="E3457" s="7" t="n">
        <f aca="false">(Q!M21+Sens!E3394+Sens!E3395+Sens!E3396+Sens!E3409-Sens!E3392)/(Q!M5-Sens!E3392)</f>
        <v>0.583491251973566</v>
      </c>
      <c r="F3457" s="7" t="n">
        <f aca="false">Sens!$E$3457+dm_seg</f>
        <v>0.583491251973566</v>
      </c>
      <c r="G3457" s="7" t="n">
        <f aca="false">Sens!$E$3457+dm_seg</f>
        <v>0.583491251973566</v>
      </c>
      <c r="H3457" s="7" t="n">
        <f aca="false">Sens!$E$3457+dm_seg</f>
        <v>0.583491251973566</v>
      </c>
      <c r="I3457" s="7" t="n">
        <f aca="false">Sens!$E$3457+dm_seg</f>
        <v>0.583491251973566</v>
      </c>
      <c r="J3457" s="7" t="n">
        <f aca="false">Sens!$E$3457+dm_seg</f>
        <v>0.583491251973566</v>
      </c>
      <c r="K3457" s="7" t="n">
        <f aca="false">Sens!$E$3457+dm_seg</f>
        <v>0.583491251973566</v>
      </c>
      <c r="L3457" s="11" t="s">
        <v>814</v>
      </c>
    </row>
    <row r="3458" customFormat="false" ht="17.15" hidden="false" customHeight="false" outlineLevel="0" collapsed="false">
      <c r="A3458" s="0" t="s">
        <v>654</v>
      </c>
      <c r="B3458" s="0" t="s">
        <v>95</v>
      </c>
      <c r="D3458" s="6" t="n">
        <f aca="false">Q!L21</f>
        <v>110.814</v>
      </c>
      <c r="E3458" s="6" t="n">
        <f aca="false">Q!M21</f>
        <v>136.365</v>
      </c>
      <c r="F3458" s="6" t="n">
        <f aca="false">Sens!F3457*(Sens!F3428-Sens!F3392)+Sens!F3392-(Sens!F3394+Sens!F3395+Sens!F3396)-Sens!F3409</f>
        <v>154.638651107615</v>
      </c>
      <c r="G3458" s="6" t="n">
        <f aca="false">Sens!G3457*(Sens!G3428-Sens!G3392)+Sens!G3392-(Sens!G3394+Sens!G3395+Sens!G3396)-Sens!G3409</f>
        <v>169.869233266935</v>
      </c>
      <c r="H3458" s="6" t="n">
        <f aca="false">Sens!H3457*(Sens!H3428-Sens!H3392)+Sens!H3392-(Sens!H3394+Sens!H3395+Sens!H3396)-Sens!H3409</f>
        <v>184.109699849392</v>
      </c>
      <c r="I3458" s="6" t="n">
        <f aca="false">Sens!I3457*(Sens!I3428-Sens!I3392)+Sens!I3392-(Sens!I3394+Sens!I3395+Sens!I3396)-Sens!I3409</f>
        <v>195.491915281355</v>
      </c>
      <c r="J3458" s="6" t="n">
        <f aca="false">Sens!J3457*(Sens!J3428-Sens!J3392)+Sens!J3392-(Sens!J3394+Sens!J3395+Sens!J3396)-Sens!J3409</f>
        <v>203.257357539925</v>
      </c>
      <c r="K3458" s="6" t="n">
        <f aca="false">Sens!K3457*(Sens!K3428-Sens!K3392)+Sens!K3392-(Sens!K3394+Sens!K3395+Sens!K3396)-Sens!K3409</f>
        <v>209.757767297309</v>
      </c>
      <c r="L3458" s="1" t="s">
        <v>815</v>
      </c>
    </row>
    <row r="3459" customFormat="false" ht="17.15" hidden="false" customHeight="false" outlineLevel="0" collapsed="false">
      <c r="A3459" s="0" t="s">
        <v>816</v>
      </c>
      <c r="B3459" s="0" t="s">
        <v>126</v>
      </c>
      <c r="E3459" s="7" t="n">
        <f aca="false">Q!M22/Q!M12</f>
        <v>0.296207935710698</v>
      </c>
      <c r="F3459" s="7" t="n">
        <f aca="false">Sens!$E$3459+dm_seg</f>
        <v>0.296207935710698</v>
      </c>
      <c r="G3459" s="7" t="n">
        <f aca="false">Sens!$E$3459+dm_seg</f>
        <v>0.296207935710698</v>
      </c>
      <c r="H3459" s="7" t="n">
        <f aca="false">Sens!$E$3459+dm_seg</f>
        <v>0.296207935710698</v>
      </c>
      <c r="I3459" s="7" t="n">
        <f aca="false">Sens!$E$3459+dm_seg</f>
        <v>0.296207935710698</v>
      </c>
      <c r="J3459" s="7" t="n">
        <f aca="false">Sens!$E$3459+dm_seg</f>
        <v>0.296207935710698</v>
      </c>
      <c r="K3459" s="7" t="n">
        <f aca="false">Sens!$E$3459+dm_seg</f>
        <v>0.296207935710698</v>
      </c>
      <c r="L3459" s="11" t="s">
        <v>817</v>
      </c>
    </row>
    <row r="3460" customFormat="false" ht="17.15" hidden="false" customHeight="false" outlineLevel="0" collapsed="false">
      <c r="A3460" s="0" t="s">
        <v>656</v>
      </c>
      <c r="B3460" s="0" t="s">
        <v>95</v>
      </c>
      <c r="D3460" s="6" t="n">
        <f aca="false">Q!L22</f>
        <v>17.714</v>
      </c>
      <c r="E3460" s="6" t="n">
        <f aca="false">Q!M22</f>
        <v>18.872</v>
      </c>
      <c r="F3460" s="6" t="n">
        <f aca="false">Sens!F3435*Sens!F3459</f>
        <v>19.2954518910651</v>
      </c>
      <c r="G3460" s="6" t="n">
        <f aca="false">Sens!G3435*Sens!G3459</f>
        <v>19.8830646387704</v>
      </c>
      <c r="H3460" s="6" t="n">
        <f aca="false">Sens!H3435*Sens!H3459</f>
        <v>20.6092017868026</v>
      </c>
      <c r="I3460" s="6" t="n">
        <f aca="false">Sens!I3435*Sens!I3459</f>
        <v>21.452361761678</v>
      </c>
      <c r="J3460" s="6" t="n">
        <f aca="false">Sens!J3435*Sens!J3459</f>
        <v>22.3946261183418</v>
      </c>
      <c r="K3460" s="6" t="n">
        <f aca="false">Sens!K3435*Sens!K3459</f>
        <v>23.4215879274986</v>
      </c>
    </row>
    <row r="3461" customFormat="false" ht="15" hidden="false" customHeight="false" outlineLevel="0" collapsed="false">
      <c r="A3461" s="1" t="s">
        <v>818</v>
      </c>
      <c r="B3461" s="0" t="s">
        <v>95</v>
      </c>
      <c r="D3461" s="6" t="n">
        <f aca="false">Sens!D3458+Sens!D3460</f>
        <v>128.528</v>
      </c>
      <c r="E3461" s="6" t="n">
        <f aca="false">Sens!E3458+Sens!E3460</f>
        <v>155.237</v>
      </c>
      <c r="F3461" s="6" t="n">
        <f aca="false">Sens!F3458+Sens!F3460</f>
        <v>173.93410299868</v>
      </c>
      <c r="G3461" s="6" t="n">
        <f aca="false">Sens!G3458+Sens!G3460</f>
        <v>189.752297905706</v>
      </c>
      <c r="H3461" s="6" t="n">
        <f aca="false">Sens!H3458+Sens!H3460</f>
        <v>204.718901636194</v>
      </c>
      <c r="I3461" s="6" t="n">
        <f aca="false">Sens!I3458+Sens!I3460</f>
        <v>216.944277043033</v>
      </c>
      <c r="J3461" s="6" t="n">
        <f aca="false">Sens!J3458+Sens!J3460</f>
        <v>225.651983658266</v>
      </c>
      <c r="K3461" s="6" t="n">
        <f aca="false">Sens!K3458+Sens!K3460</f>
        <v>233.179355224808</v>
      </c>
    </row>
    <row r="3462" customFormat="false" ht="15" hidden="false" customHeight="false" outlineLevel="0" collapsed="false">
      <c r="A3462" s="22" t="s">
        <v>819</v>
      </c>
      <c r="B3462" s="28" t="s">
        <v>95</v>
      </c>
      <c r="C3462" s="28"/>
      <c r="D3462" s="23" t="n">
        <f aca="false">Sens!D3461-Q!L23</f>
        <v>0</v>
      </c>
      <c r="E3462" s="23" t="n">
        <f aca="false">Sens!E3461-Q!M23</f>
        <v>0</v>
      </c>
      <c r="F3462" s="28"/>
      <c r="G3462" s="28"/>
      <c r="H3462" s="28"/>
      <c r="I3462" s="28"/>
      <c r="J3462" s="28"/>
      <c r="K3462" s="28"/>
    </row>
    <row r="3463" customFormat="false" ht="15" hidden="false" customHeight="false" outlineLevel="0" collapsed="false">
      <c r="A3463" s="1" t="s">
        <v>820</v>
      </c>
      <c r="B3463" s="0" t="s">
        <v>126</v>
      </c>
      <c r="D3463" s="7" t="n">
        <f aca="false">Sens!D3461/Sens!D3454</f>
        <v>0.456219562408598</v>
      </c>
      <c r="E3463" s="7" t="n">
        <f aca="false">Sens!E3461/Sens!E3454</f>
        <v>0.467808184089272</v>
      </c>
      <c r="F3463" s="7" t="n">
        <f aca="false">Sens!F3461/Sens!F3454</f>
        <v>0.435480743703641</v>
      </c>
      <c r="G3463" s="7" t="n">
        <f aca="false">Sens!G3461/Sens!G3454</f>
        <v>0.399312505304964</v>
      </c>
      <c r="H3463" s="7" t="n">
        <f aca="false">Sens!H3461/Sens!H3454</f>
        <v>0.370348885028676</v>
      </c>
      <c r="I3463" s="7" t="n">
        <f aca="false">Sens!I3461/Sens!I3454</f>
        <v>0.345148800871647</v>
      </c>
      <c r="J3463" s="7" t="n">
        <f aca="false">Sens!J3461/Sens!J3454</f>
        <v>0.321861918440352</v>
      </c>
      <c r="K3463" s="7" t="n">
        <f aca="false">Sens!K3461/Sens!K3454</f>
        <v>0.302665323977099</v>
      </c>
    </row>
    <row r="3464" customFormat="false" ht="17.15" hidden="false" customHeight="false" outlineLevel="0" collapsed="false">
      <c r="A3464" s="1" t="s">
        <v>821</v>
      </c>
      <c r="B3464" s="0" t="s">
        <v>95</v>
      </c>
      <c r="E3464" s="6" t="n">
        <f aca="false">Sens!E3409</f>
        <v>19.3175216725</v>
      </c>
      <c r="F3464" s="6" t="n">
        <f aca="false">Sens!F3409</f>
        <v>41.1995045270438</v>
      </c>
      <c r="G3464" s="6" t="n">
        <f aca="false">Sens!G3409</f>
        <v>71.8117957524075</v>
      </c>
      <c r="H3464" s="6" t="n">
        <f aca="false">Sens!H3409</f>
        <v>104.946827867268</v>
      </c>
      <c r="I3464" s="6" t="n">
        <f aca="false">Sens!I3409</f>
        <v>139.699147087848</v>
      </c>
      <c r="J3464" s="6" t="n">
        <f aca="false">Sens!J3409</f>
        <v>175.996524459428</v>
      </c>
      <c r="K3464" s="6" t="n">
        <f aca="false">Sens!K3409</f>
        <v>211.54008716947</v>
      </c>
    </row>
    <row r="3465" customFormat="false" ht="17.15" hidden="false" customHeight="false" outlineLevel="0" collapsed="false">
      <c r="A3465" s="1" t="s">
        <v>822</v>
      </c>
      <c r="B3465" s="0" t="s">
        <v>95</v>
      </c>
      <c r="E3465" s="6" t="n">
        <f aca="false">Sens!E3485</f>
        <v>19.2164783275</v>
      </c>
      <c r="F3465" s="6" t="n">
        <f aca="false">Sens!F3485</f>
        <v>20.8527652177062</v>
      </c>
      <c r="G3465" s="6" t="n">
        <f aca="false">Sens!G3485</f>
        <v>22.8827780529745</v>
      </c>
      <c r="H3465" s="6" t="n">
        <f aca="false">Sens!H3485</f>
        <v>25.2756516120861</v>
      </c>
      <c r="I3465" s="6" t="n">
        <f aca="false">Sens!I3485</f>
        <v>27.9679264820418</v>
      </c>
      <c r="J3465" s="6" t="n">
        <f aca="false">Sens!J3485</f>
        <v>30.879225158875</v>
      </c>
      <c r="K3465" s="6" t="n">
        <f aca="false">Sens!K3485</f>
        <v>33.9281729171869</v>
      </c>
    </row>
    <row r="3466" customFormat="false" ht="17.15" hidden="false" customHeight="false" outlineLevel="0" collapsed="false">
      <c r="A3466" s="1" t="s">
        <v>823</v>
      </c>
      <c r="B3466" s="0" t="s">
        <v>95</v>
      </c>
      <c r="D3466" s="6" t="n">
        <f aca="false">Q!L27</f>
        <v>-4.901</v>
      </c>
      <c r="E3466" s="6" t="n">
        <f aca="false">Q!M27</f>
        <v>10.697</v>
      </c>
      <c r="F3466" s="6" t="n">
        <f aca="false">oie_f</f>
        <v>-0.4</v>
      </c>
      <c r="G3466" s="6" t="n">
        <f aca="false">oie_f</f>
        <v>-0.4</v>
      </c>
      <c r="H3466" s="6" t="n">
        <f aca="false">oie_f</f>
        <v>-0.4</v>
      </c>
      <c r="I3466" s="6" t="n">
        <f aca="false">oie_f</f>
        <v>-0.4</v>
      </c>
      <c r="J3466" s="6" t="n">
        <f aca="false">oie_f</f>
        <v>-0.4</v>
      </c>
      <c r="K3466" s="6" t="n">
        <f aca="false">oie_f</f>
        <v>-0.4</v>
      </c>
      <c r="L3466" s="11" t="s">
        <v>824</v>
      </c>
    </row>
    <row r="3467" customFormat="false" ht="15" hidden="false" customHeight="false" outlineLevel="0" collapsed="false">
      <c r="A3467" s="1" t="s">
        <v>666</v>
      </c>
      <c r="B3467" s="0" t="s">
        <v>95</v>
      </c>
      <c r="D3467" s="6" t="n">
        <f aca="false">Sens!D3461+Sens!D3466</f>
        <v>123.627</v>
      </c>
      <c r="E3467" s="6" t="n">
        <f aca="false">Sens!E3461+Sens!E3466</f>
        <v>165.934</v>
      </c>
      <c r="F3467" s="6" t="n">
        <f aca="false">Sens!F3461+Sens!F3466</f>
        <v>173.53410299868</v>
      </c>
      <c r="G3467" s="6" t="n">
        <f aca="false">Sens!G3461+Sens!G3466</f>
        <v>189.352297905706</v>
      </c>
      <c r="H3467" s="6" t="n">
        <f aca="false">Sens!H3461+Sens!H3466</f>
        <v>204.318901636194</v>
      </c>
      <c r="I3467" s="6" t="n">
        <f aca="false">Sens!I3461+Sens!I3466</f>
        <v>216.544277043033</v>
      </c>
      <c r="J3467" s="6" t="n">
        <f aca="false">Sens!J3461+Sens!J3466</f>
        <v>225.251983658266</v>
      </c>
      <c r="K3467" s="6" t="n">
        <f aca="false">Sens!K3461+Sens!K3466</f>
        <v>232.779355224808</v>
      </c>
    </row>
    <row r="3468" customFormat="false" ht="15" hidden="false" customHeight="false" outlineLevel="0" collapsed="false">
      <c r="A3468" s="1" t="s">
        <v>668</v>
      </c>
      <c r="B3468" s="0" t="s">
        <v>95</v>
      </c>
      <c r="D3468" s="6" t="n">
        <f aca="false">Q!L29</f>
        <v>21.795</v>
      </c>
      <c r="E3468" s="6" t="n">
        <f aca="false">Q!M29</f>
        <v>32.185</v>
      </c>
      <c r="F3468" s="6" t="n">
        <f aca="false">Sens!F3467*tax_f</f>
        <v>34.706820599736</v>
      </c>
      <c r="G3468" s="6" t="n">
        <f aca="false">Sens!G3467*tax_f</f>
        <v>37.8704595811412</v>
      </c>
      <c r="H3468" s="6" t="n">
        <f aca="false">Sens!H3467*tax_f</f>
        <v>40.8637803272388</v>
      </c>
      <c r="I3468" s="6" t="n">
        <f aca="false">Sens!I3467*tax_f</f>
        <v>43.3088554086065</v>
      </c>
      <c r="J3468" s="6" t="n">
        <f aca="false">Sens!J3467*tax_f</f>
        <v>45.0503967316533</v>
      </c>
      <c r="K3468" s="6" t="n">
        <f aca="false">Sens!K3467*tax_f</f>
        <v>46.5558710449616</v>
      </c>
    </row>
    <row r="3469" customFormat="false" ht="15" hidden="false" customHeight="false" outlineLevel="0" collapsed="false">
      <c r="A3469" s="1" t="s">
        <v>825</v>
      </c>
      <c r="B3469" s="0" t="s">
        <v>95</v>
      </c>
      <c r="D3469" s="6" t="n">
        <f aca="false">Sens!D3467-Sens!D3468</f>
        <v>101.832</v>
      </c>
      <c r="E3469" s="6" t="n">
        <f aca="false">Sens!E3467-Sens!E3468</f>
        <v>133.749</v>
      </c>
      <c r="F3469" s="6" t="n">
        <f aca="false">Sens!F3467-Sens!F3468</f>
        <v>138.827282398944</v>
      </c>
      <c r="G3469" s="6" t="n">
        <f aca="false">Sens!G3467-Sens!G3468</f>
        <v>151.481838324565</v>
      </c>
      <c r="H3469" s="6" t="n">
        <f aca="false">Sens!H3467-Sens!H3468</f>
        <v>163.455121308955</v>
      </c>
      <c r="I3469" s="6" t="n">
        <f aca="false">Sens!I3467-Sens!I3468</f>
        <v>173.235421634426</v>
      </c>
      <c r="J3469" s="6" t="n">
        <f aca="false">Sens!J3467-Sens!J3468</f>
        <v>180.201586926613</v>
      </c>
      <c r="K3469" s="6" t="n">
        <f aca="false">Sens!K3467-Sens!K3468</f>
        <v>186.223484179846</v>
      </c>
    </row>
    <row r="3470" customFormat="false" ht="17.15" hidden="false" customHeight="false" outlineLevel="0" collapsed="false">
      <c r="A3470" s="1" t="s">
        <v>826</v>
      </c>
      <c r="B3470" s="1" t="s">
        <v>79</v>
      </c>
      <c r="D3470" s="18" t="n">
        <f aca="false">Q!L31</f>
        <v>7.465</v>
      </c>
      <c r="E3470" s="18" t="n">
        <f aca="false">Q!M31</f>
        <v>7.453</v>
      </c>
      <c r="F3470" s="18" t="n">
        <f aca="false">Sens!F3507</f>
        <v>7.4735</v>
      </c>
      <c r="G3470" s="18" t="n">
        <f aca="false">Sens!G3507</f>
        <v>7.51543695885436</v>
      </c>
      <c r="H3470" s="18" t="n">
        <f aca="false">Sens!H3507</f>
        <v>7.55009150098368</v>
      </c>
      <c r="I3470" s="18" t="n">
        <f aca="false">Sens!I3507</f>
        <v>7.57183833041599</v>
      </c>
      <c r="J3470" s="18" t="n">
        <f aca="false">Sens!J3507</f>
        <v>7.58607984153387</v>
      </c>
      <c r="K3470" s="18" t="n">
        <f aca="false">Sens!K3507</f>
        <v>7.60259975923561</v>
      </c>
    </row>
    <row r="3471" customFormat="false" ht="17.15" hidden="false" customHeight="false" outlineLevel="0" collapsed="false">
      <c r="A3471" s="0" t="s">
        <v>827</v>
      </c>
      <c r="B3471" s="0" t="s">
        <v>73</v>
      </c>
      <c r="D3471" s="8" t="n">
        <f aca="false">Sens!D3469/Sens!D3470</f>
        <v>13.641259209645</v>
      </c>
      <c r="E3471" s="8" t="n">
        <f aca="false">Sens!E3469/Sens!E3470</f>
        <v>17.9456594659869</v>
      </c>
      <c r="F3471" s="8" t="n">
        <f aca="false">Sens!F3469/Sens!F3470</f>
        <v>18.5759393054049</v>
      </c>
      <c r="G3471" s="8" t="n">
        <f aca="false">Sens!G3469/Sens!G3470</f>
        <v>20.1560919416795</v>
      </c>
      <c r="H3471" s="8" t="n">
        <f aca="false">Sens!H3469/Sens!H3470</f>
        <v>21.6494225649662</v>
      </c>
      <c r="I3471" s="8" t="n">
        <f aca="false">Sens!I3469/Sens!I3470</f>
        <v>22.8789118408064</v>
      </c>
      <c r="J3471" s="8" t="n">
        <f aca="false">Sens!J3469/Sens!J3470</f>
        <v>23.7542433893205</v>
      </c>
      <c r="K3471" s="8" t="n">
        <f aca="false">Sens!K3469/Sens!K3470</f>
        <v>24.4947110300819</v>
      </c>
      <c r="L3471" s="1" t="s">
        <v>828</v>
      </c>
    </row>
    <row r="3472" customFormat="false" ht="17.15" hidden="false" customHeight="false" outlineLevel="0" collapsed="false">
      <c r="A3472" s="0" t="s">
        <v>829</v>
      </c>
      <c r="B3472" s="0" t="s">
        <v>126</v>
      </c>
      <c r="E3472" s="7" t="n">
        <f aca="false">Sens!E3471/Sens!D3471-1</f>
        <v>0.315542736208578</v>
      </c>
      <c r="F3472" s="7" t="n">
        <f aca="false">Sens!F3471/Sens!E3471-1</f>
        <v>0.0351215758112811</v>
      </c>
      <c r="G3472" s="7" t="n">
        <f aca="false">Sens!G3471/Sens!F3471-1</f>
        <v>0.0850644810093011</v>
      </c>
      <c r="H3472" s="7" t="n">
        <f aca="false">Sens!H3471/Sens!G3471-1</f>
        <v>0.0740883018199934</v>
      </c>
      <c r="I3472" s="7" t="n">
        <f aca="false">Sens!I3471/Sens!H3471-1</f>
        <v>0.0567908576845748</v>
      </c>
      <c r="J3472" s="7" t="n">
        <f aca="false">Sens!J3471/Sens!I3471-1</f>
        <v>0.0382593173401207</v>
      </c>
      <c r="K3472" s="7" t="n">
        <f aca="false">Sens!K3471/Sens!J3471-1</f>
        <v>0.0311720154005972</v>
      </c>
    </row>
    <row r="3473" customFormat="false" ht="17.15" hidden="false" customHeight="false" outlineLevel="0" collapsed="false">
      <c r="A3473" s="0" t="s">
        <v>763</v>
      </c>
      <c r="B3473" s="0" t="s">
        <v>95</v>
      </c>
      <c r="E3473" s="6" t="n">
        <f aca="false">Sens!E3418</f>
        <v>5.25</v>
      </c>
      <c r="F3473" s="6" t="n">
        <f aca="false">Sens!F3418</f>
        <v>12</v>
      </c>
      <c r="G3473" s="6" t="n">
        <f aca="false">Sens!G3418</f>
        <v>18</v>
      </c>
      <c r="H3473" s="6" t="n">
        <f aca="false">Sens!H3418</f>
        <v>24</v>
      </c>
      <c r="I3473" s="6" t="n">
        <f aca="false">Sens!I3418</f>
        <v>28.5</v>
      </c>
      <c r="J3473" s="6" t="n">
        <f aca="false">Sens!J3418</f>
        <v>31.5</v>
      </c>
      <c r="K3473" s="6" t="n">
        <f aca="false">Sens!K3418</f>
        <v>34.5</v>
      </c>
    </row>
    <row r="3474" customFormat="false" ht="17.15" hidden="false" customHeight="false" outlineLevel="0" collapsed="false">
      <c r="A3474" s="0" t="s">
        <v>764</v>
      </c>
      <c r="B3474" s="0" t="s">
        <v>95</v>
      </c>
      <c r="E3474" s="6" t="n">
        <f aca="false">Sens!E3398+Sens!E3473*Sens!E3457-Sens!E3399-Sens!E3409</f>
        <v>-0.7948261003597</v>
      </c>
      <c r="F3474" s="6" t="n">
        <f aca="false">Sens!F3398+Sens!F3473*Sens!F3457-Sens!F3399-Sens!F3409</f>
        <v>-1.27109930467689</v>
      </c>
      <c r="G3474" s="6" t="n">
        <f aca="false">Sens!G3398+Sens!G3473*Sens!G3457-Sens!G3399-Sens!G3409</f>
        <v>-5.54082983324233</v>
      </c>
      <c r="H3474" s="6" t="n">
        <f aca="false">Sens!H3398+Sens!H3473*Sens!H3457-Sens!H3399-Sens!H3409</f>
        <v>-10.9868233380529</v>
      </c>
      <c r="I3474" s="6" t="n">
        <f aca="false">Sens!I3398+Sens!I3473*Sens!I3457-Sens!I3399-Sens!I3409</f>
        <v>-18.7923630195185</v>
      </c>
      <c r="J3474" s="6" t="n">
        <f aca="false">Sens!J3398+Sens!J3473*Sens!J3457-Sens!J3399-Sens!J3409</f>
        <v>-28.9486836357318</v>
      </c>
      <c r="K3474" s="6" t="n">
        <f aca="false">Sens!K3398+Sens!K3473*Sens!K3457-Sens!K3399-Sens!K3409</f>
        <v>-38.3102977919768</v>
      </c>
    </row>
    <row r="3475" customFormat="false" ht="17.15" hidden="false" customHeight="false" outlineLevel="0" collapsed="false">
      <c r="A3475" s="0" t="s">
        <v>765</v>
      </c>
      <c r="B3475" s="0" t="s">
        <v>95</v>
      </c>
      <c r="E3475" s="6" t="n">
        <f aca="false">Sens!E3381*(cxit_open+self_build*tk_cxfac)/1000*ai_net_open</f>
        <v>126.6980382</v>
      </c>
      <c r="F3475" s="6" t="n">
        <f aca="false">Sens!E3475+Sens!F3406-Sens!F3409</f>
        <v>254.119186443394</v>
      </c>
      <c r="G3475" s="6" t="n">
        <f aca="false">Sens!F3475+Sens!G3406-Sens!G3409</f>
        <v>365.881571174186</v>
      </c>
      <c r="H3475" s="6" t="n">
        <f aca="false">Sens!G3475+Sens!H3406-Sens!H3409</f>
        <v>479.273704563985</v>
      </c>
      <c r="I3475" s="6" t="n">
        <f aca="false">Sens!H3475+Sens!I3406-Sens!I3409</f>
        <v>573.351618399871</v>
      </c>
      <c r="J3475" s="6" t="n">
        <f aca="false">Sens!I3475+Sens!J3406-Sens!J3409</f>
        <v>676.211405890844</v>
      </c>
      <c r="K3475" s="6" t="n">
        <f aca="false">Sens!J3475+Sens!K3406-Sens!K3409</f>
        <v>796.09127241684</v>
      </c>
      <c r="L3475" s="1" t="s">
        <v>766</v>
      </c>
    </row>
    <row r="3476" customFormat="false" ht="17.15" hidden="false" customHeight="false" outlineLevel="0" collapsed="false">
      <c r="A3476" s="0" t="s">
        <v>767</v>
      </c>
      <c r="B3476" s="0" t="s">
        <v>126</v>
      </c>
      <c r="F3476" s="7" t="n">
        <f aca="false">Sens!F3474*(1-tax_f)/((Sens!E3475+Sens!F3475)/2)</f>
        <v>-0.00534051181478853</v>
      </c>
      <c r="G3476" s="7" t="n">
        <f aca="false">Sens!G3474*(1-tax_f)/((Sens!F3475+Sens!G3475)/2)</f>
        <v>-0.0142988982259533</v>
      </c>
      <c r="H3476" s="7" t="n">
        <f aca="false">Sens!H3474*(1-tax_f)/((Sens!G3475+Sens!H3475)/2)</f>
        <v>-0.0207996303703257</v>
      </c>
      <c r="I3476" s="7" t="n">
        <f aca="false">Sens!I3474*(1-tax_f)/((Sens!H3475+Sens!I3475)/2)</f>
        <v>-0.0285645615541229</v>
      </c>
      <c r="J3476" s="7" t="n">
        <f aca="false">Sens!J3474*(1-tax_f)/((Sens!I3475+Sens!J3475)/2)</f>
        <v>-0.0370672730520832</v>
      </c>
      <c r="K3476" s="7" t="n">
        <f aca="false">Sens!K3474*(1-tax_f)/((Sens!J3475+Sens!K3475)/2)</f>
        <v>-0.0416330672831616</v>
      </c>
    </row>
    <row r="3477" customFormat="false" ht="17.15" hidden="false" customHeight="false" outlineLevel="0" collapsed="false">
      <c r="A3477" s="1" t="s">
        <v>768</v>
      </c>
      <c r="B3477" s="0" t="s">
        <v>126</v>
      </c>
      <c r="F3477" s="7" t="n">
        <f aca="false">Sens!F3410*(1-tax_f)/(Sens!F3397*(Sens!E3475+Sens!F3475)/2)</f>
        <v>0.103214785320492</v>
      </c>
      <c r="G3477" s="7" t="n">
        <f aca="false">Sens!G3410*(1-tax_f)/(Sens!G3397*(Sens!F3475+Sens!G3475)/2)</f>
        <v>0.100927520138442</v>
      </c>
      <c r="H3477" s="7" t="n">
        <f aca="false">Sens!H3410*(1-tax_f)/(Sens!H3397*(Sens!G3475+Sens!H3475)/2)</f>
        <v>0.101761334480868</v>
      </c>
      <c r="I3477" s="7" t="n">
        <f aca="false">Sens!I3410*(1-tax_f)/(Sens!I3397*(Sens!H3475+Sens!I3475)/2)</f>
        <v>0.101871897708254</v>
      </c>
      <c r="J3477" s="7" t="n">
        <f aca="false">Sens!J3410*(1-tax_f)/(Sens!J3397*(Sens!I3475+Sens!J3475)/2)</f>
        <v>0.100989073251671</v>
      </c>
      <c r="K3477" s="7" t="n">
        <f aca="false">Sens!K3410*(1-tax_f)/(Sens!K3397*(Sens!J3475+Sens!K3475)/2)</f>
        <v>0.099488198582107</v>
      </c>
    </row>
    <row r="3478" customFormat="false" ht="17.15" hidden="false" customHeight="false" outlineLevel="0" collapsed="false">
      <c r="A3478" s="0" t="s">
        <v>769</v>
      </c>
      <c r="B3478" s="0" t="s">
        <v>208</v>
      </c>
      <c r="F3478" s="7" t="n">
        <f aca="false">Sens!F3476-wacc</f>
        <v>-0.114303732965043</v>
      </c>
      <c r="G3478" s="7" t="n">
        <f aca="false">Sens!G3476-wacc</f>
        <v>-0.123262119376207</v>
      </c>
      <c r="H3478" s="7" t="n">
        <f aca="false">Sens!H3476-wacc</f>
        <v>-0.12976285152058</v>
      </c>
      <c r="I3478" s="7" t="n">
        <f aca="false">Sens!I3476-wacc</f>
        <v>-0.137527782704377</v>
      </c>
      <c r="J3478" s="7" t="n">
        <f aca="false">Sens!J3476-wacc</f>
        <v>-0.146030494202337</v>
      </c>
      <c r="K3478" s="7" t="n">
        <f aca="false">Sens!K3476-wacc</f>
        <v>-0.150596288433416</v>
      </c>
    </row>
    <row r="3479" customFormat="false" ht="17.15" hidden="false" customHeight="false" outlineLevel="0" collapsed="false">
      <c r="A3479" s="0" t="s">
        <v>770</v>
      </c>
      <c r="B3479" s="0" t="s">
        <v>95</v>
      </c>
      <c r="F3479" s="6" t="n">
        <f aca="false">Sens!F3474*(1-tax_f)-wacc*(Sens!E3475+Sens!F3475)/2</f>
        <v>-21.7644151770635</v>
      </c>
      <c r="G3479" s="6" t="n">
        <f aca="false">Sens!G3474*(1-tax_f)-wacc*(Sens!F3475+Sens!G3475)/2</f>
        <v>-38.2113036993986</v>
      </c>
      <c r="H3479" s="6" t="n">
        <f aca="false">Sens!H3474*(1-tax_f)-wacc*(Sens!G3475+Sens!H3475)/2</f>
        <v>-54.8348792787235</v>
      </c>
      <c r="I3479" s="6" t="n">
        <f aca="false">Sens!I3474*(1-tax_f)-wacc*(Sens!H3475+Sens!I3475)/2</f>
        <v>-72.3826133428489</v>
      </c>
      <c r="J3479" s="6" t="n">
        <f aca="false">Sens!J3474*(1-tax_f)-wacc*(Sens!I3475+Sens!J3475)/2</f>
        <v>-91.2371529870701</v>
      </c>
      <c r="K3479" s="6" t="n">
        <f aca="false">Sens!K3474*(1-tax_f)-wacc*(Sens!J3475+Sens!K3475)/2</f>
        <v>-110.861659401857</v>
      </c>
    </row>
    <row r="3480" customFormat="false" ht="17.15" hidden="false" customHeight="false" outlineLevel="0" collapsed="false">
      <c r="A3480" s="1" t="s">
        <v>771</v>
      </c>
      <c r="B3480" s="0" t="s">
        <v>95</v>
      </c>
      <c r="F3480" s="6" t="n">
        <f aca="false">(Sens!E3382+Sens!F3382)/2*Sens!F3389/1000</f>
        <v>26.7873066765967</v>
      </c>
      <c r="G3480" s="6" t="n">
        <f aca="false">(Sens!F3382+Sens!G3382)/2*Sens!G3389/1000</f>
        <v>45.4131817597218</v>
      </c>
      <c r="H3480" s="6" t="n">
        <f aca="false">(Sens!G3382+Sens!H3382)/2*Sens!H3389/1000</f>
        <v>65.3915129357971</v>
      </c>
      <c r="I3480" s="6" t="n">
        <f aca="false">(Sens!H3382+Sens!I3382)/2*Sens!I3389/1000</f>
        <v>85.5187419289299</v>
      </c>
      <c r="J3480" s="6" t="n">
        <f aca="false">(Sens!I3382+Sens!J3382)/2*Sens!J3389/1000</f>
        <v>105.723807195006</v>
      </c>
      <c r="K3480" s="6" t="n">
        <f aca="false">(Sens!J3382+Sens!K3382)/2*Sens!K3389/1000</f>
        <v>125.974659797015</v>
      </c>
      <c r="L3480" s="1" t="s">
        <v>772</v>
      </c>
    </row>
    <row r="3481" customFormat="false" ht="17.15" hidden="false" customHeight="false" outlineLevel="0" collapsed="false">
      <c r="A3481" s="1" t="s">
        <v>773</v>
      </c>
      <c r="B3481" s="0" t="s">
        <v>126</v>
      </c>
      <c r="F3481" s="7" t="n">
        <f aca="false">(Sens!F3398+Sens!F3480-Sens!F3399-Sens!F3409)*(1-tax_f)/((Sens!E3475+Sens!F3475)/2)</f>
        <v>0.0777877097994158</v>
      </c>
      <c r="G3481" s="7" t="n">
        <f aca="false">(Sens!G3398+Sens!G3480-Sens!G3399-Sens!G3409)*(1-tax_f)/((Sens!F3475+Sens!G3475)/2)</f>
        <v>0.0757921896839243</v>
      </c>
      <c r="H3481" s="7" t="n">
        <f aca="false">(Sens!H3398+Sens!H3480-Sens!H3399-Sens!H3409)*(1-tax_f)/((Sens!G3475+Sens!H3475)/2)</f>
        <v>0.0764846900164551</v>
      </c>
      <c r="I3481" s="7" t="n">
        <f aca="false">(Sens!I3398+Sens!I3480-Sens!I3399-Sens!I3409)*(1-tax_f)/((Sens!H3475+Sens!I3475)/2)</f>
        <v>0.0761477074666728</v>
      </c>
      <c r="J3481" s="7" t="n">
        <f aca="false">(Sens!J3398+Sens!J3480-Sens!J3399-Sens!J3409)*(1-tax_f)/((Sens!I3475+Sens!J3475)/2)</f>
        <v>0.0747719296899052</v>
      </c>
      <c r="K3481" s="7" t="n">
        <f aca="false">(Sens!K3398+Sens!K3480-Sens!K3399-Sens!K3409)*(1-tax_f)/((Sens!J3475+Sens!K3475)/2)</f>
        <v>0.0733913370471631</v>
      </c>
      <c r="L3481" s="1" t="s">
        <v>774</v>
      </c>
    </row>
    <row r="3482" customFormat="false" ht="17.15" hidden="false" customHeight="false" outlineLevel="0" collapsed="false">
      <c r="A3482" s="3" t="s">
        <v>1212</v>
      </c>
    </row>
    <row r="3483" customFormat="false" ht="15" hidden="false" customHeight="false" outlineLevel="0" collapsed="false">
      <c r="A3483" s="4" t="s">
        <v>43</v>
      </c>
      <c r="B3483" s="4" t="s">
        <v>63</v>
      </c>
      <c r="C3483" s="19" t="s">
        <v>710</v>
      </c>
      <c r="D3483" s="19" t="s">
        <v>711</v>
      </c>
      <c r="E3483" s="19" t="s">
        <v>712</v>
      </c>
      <c r="F3483" s="19" t="s">
        <v>713</v>
      </c>
      <c r="G3483" s="19" t="s">
        <v>714</v>
      </c>
      <c r="H3483" s="19" t="s">
        <v>715</v>
      </c>
      <c r="I3483" s="19" t="s">
        <v>716</v>
      </c>
      <c r="J3483" s="19" t="s">
        <v>717</v>
      </c>
      <c r="K3483" s="19" t="s">
        <v>718</v>
      </c>
      <c r="L3483" s="4" t="s">
        <v>47</v>
      </c>
    </row>
    <row r="3484" customFormat="false" ht="15" hidden="false" customHeight="false" outlineLevel="0" collapsed="false">
      <c r="A3484" s="1" t="s">
        <v>825</v>
      </c>
      <c r="B3484" s="0" t="s">
        <v>95</v>
      </c>
      <c r="F3484" s="6" t="n">
        <f aca="false">Sens!F3469</f>
        <v>138.827282398944</v>
      </c>
      <c r="G3484" s="6" t="n">
        <f aca="false">Sens!G3469</f>
        <v>151.481838324565</v>
      </c>
      <c r="H3484" s="6" t="n">
        <f aca="false">Sens!H3469</f>
        <v>163.455121308955</v>
      </c>
      <c r="I3484" s="6" t="n">
        <f aca="false">Sens!I3469</f>
        <v>173.235421634426</v>
      </c>
      <c r="J3484" s="6" t="n">
        <f aca="false">Sens!J3469</f>
        <v>180.201586926613</v>
      </c>
      <c r="K3484" s="6" t="n">
        <f aca="false">Sens!K3469</f>
        <v>186.223484179846</v>
      </c>
    </row>
    <row r="3485" customFormat="false" ht="17.15" hidden="false" customHeight="false" outlineLevel="0" collapsed="false">
      <c r="A3485" s="1" t="s">
        <v>843</v>
      </c>
      <c r="B3485" s="0" t="s">
        <v>95</v>
      </c>
      <c r="E3485" s="6" t="n">
        <f aca="false">Q!M38-Sens!E3409</f>
        <v>19.2164783275</v>
      </c>
      <c r="F3485" s="6" t="n">
        <f aca="false">Sens!E3485*(1-1/life_nonai)+Sens!F3491/life_nonai</f>
        <v>20.8527652177062</v>
      </c>
      <c r="G3485" s="6" t="n">
        <f aca="false">Sens!F3485*(1-1/life_nonai)+Sens!G3491/life_nonai</f>
        <v>22.8827780529745</v>
      </c>
      <c r="H3485" s="6" t="n">
        <f aca="false">Sens!G3485*(1-1/life_nonai)+Sens!H3491/life_nonai</f>
        <v>25.2756516120861</v>
      </c>
      <c r="I3485" s="6" t="n">
        <f aca="false">Sens!H3485*(1-1/life_nonai)+Sens!I3491/life_nonai</f>
        <v>27.9679264820418</v>
      </c>
      <c r="J3485" s="6" t="n">
        <f aca="false">Sens!I3485*(1-1/life_nonai)+Sens!J3491/life_nonai</f>
        <v>30.879225158875</v>
      </c>
      <c r="K3485" s="6" t="n">
        <f aca="false">Sens!J3485*(1-1/life_nonai)+Sens!K3491/life_nonai</f>
        <v>33.9281729171869</v>
      </c>
      <c r="L3485" s="11" t="s">
        <v>844</v>
      </c>
    </row>
    <row r="3486" customFormat="false" ht="17.15" hidden="false" customHeight="false" outlineLevel="0" collapsed="false">
      <c r="A3486" s="1" t="s">
        <v>845</v>
      </c>
      <c r="B3486" s="0" t="s">
        <v>95</v>
      </c>
      <c r="E3486" s="6" t="n">
        <f aca="false">Sens!E3409+Sens!E3485</f>
        <v>38.534</v>
      </c>
      <c r="F3486" s="6" t="n">
        <f aca="false">Sens!F3409+Sens!F3485</f>
        <v>62.05226974475</v>
      </c>
      <c r="G3486" s="6" t="n">
        <f aca="false">Sens!G3409+Sens!G3485</f>
        <v>94.6945738053821</v>
      </c>
      <c r="H3486" s="6" t="n">
        <f aca="false">Sens!H3409+Sens!H3485</f>
        <v>130.222479479354</v>
      </c>
      <c r="I3486" s="6" t="n">
        <f aca="false">Sens!I3409+Sens!I3485</f>
        <v>167.667073569889</v>
      </c>
      <c r="J3486" s="6" t="n">
        <f aca="false">Sens!J3409+Sens!J3485</f>
        <v>206.875749618303</v>
      </c>
      <c r="K3486" s="6" t="n">
        <f aca="false">Sens!K3409+Sens!K3485</f>
        <v>245.468260086657</v>
      </c>
    </row>
    <row r="3487" customFormat="false" ht="15" hidden="false" customHeight="false" outlineLevel="0" collapsed="false">
      <c r="A3487" s="1" t="s">
        <v>685</v>
      </c>
      <c r="B3487" s="0" t="s">
        <v>95</v>
      </c>
      <c r="F3487" s="6" t="n">
        <f aca="false">Sens!F3436*sbc_r</f>
        <v>14.9308704941267</v>
      </c>
      <c r="G3487" s="6" t="n">
        <f aca="false">Sens!G3436*sbc_r</f>
        <v>17.7641108812713</v>
      </c>
      <c r="H3487" s="6" t="n">
        <f aca="false">Sens!H3436*sbc_r</f>
        <v>20.6640880611968</v>
      </c>
      <c r="I3487" s="6" t="n">
        <f aca="false">Sens!I3436*sbc_r</f>
        <v>23.4969326339241</v>
      </c>
      <c r="J3487" s="6" t="n">
        <f aca="false">Sens!J3436*sbc_r</f>
        <v>26.2083031015503</v>
      </c>
      <c r="K3487" s="6" t="n">
        <f aca="false">Sens!K3436*sbc_r</f>
        <v>28.8002841446643</v>
      </c>
    </row>
    <row r="3488" customFormat="false" ht="17.15" hidden="false" customHeight="false" outlineLevel="0" collapsed="false">
      <c r="A3488" s="1" t="s">
        <v>846</v>
      </c>
      <c r="B3488" s="0" t="s">
        <v>95</v>
      </c>
      <c r="F3488" s="6" t="n">
        <f aca="false">wc27</f>
        <v>-4.895</v>
      </c>
      <c r="G3488" s="6" t="n">
        <f aca="false">0</f>
        <v>0</v>
      </c>
      <c r="H3488" s="6" t="n">
        <f aca="false">0</f>
        <v>0</v>
      </c>
      <c r="I3488" s="6" t="n">
        <f aca="false">0</f>
        <v>0</v>
      </c>
      <c r="J3488" s="6" t="n">
        <f aca="false">0</f>
        <v>0</v>
      </c>
      <c r="K3488" s="6" t="n">
        <f aca="false">0</f>
        <v>0</v>
      </c>
      <c r="L3488" s="11" t="s">
        <v>847</v>
      </c>
    </row>
    <row r="3489" customFormat="false" ht="15" hidden="false" customHeight="false" outlineLevel="0" collapsed="false">
      <c r="A3489" s="1" t="s">
        <v>678</v>
      </c>
      <c r="B3489" s="0" t="s">
        <v>95</v>
      </c>
      <c r="E3489" s="6" t="n">
        <f aca="false">Q!M35</f>
        <v>182.935</v>
      </c>
      <c r="F3489" s="6" t="n">
        <f aca="false">Sens!F3484+Sens!F3486+Sens!F3487+Sens!F3488</f>
        <v>210.915422637821</v>
      </c>
      <c r="G3489" s="6" t="n">
        <f aca="false">Sens!G3484+Sens!G3486+Sens!G3487+Sens!G3488</f>
        <v>263.940523011218</v>
      </c>
      <c r="H3489" s="6" t="n">
        <f aca="false">Sens!H3484+Sens!H3486+Sens!H3487+Sens!H3488</f>
        <v>314.341688849506</v>
      </c>
      <c r="I3489" s="6" t="n">
        <f aca="false">Sens!I3484+Sens!I3486+Sens!I3487+Sens!I3488</f>
        <v>364.39942783824</v>
      </c>
      <c r="J3489" s="6" t="n">
        <f aca="false">Sens!J3484+Sens!J3486+Sens!J3487+Sens!J3488</f>
        <v>413.285639646466</v>
      </c>
      <c r="K3489" s="6" t="n">
        <f aca="false">Sens!K3484+Sens!K3486+Sens!K3487+Sens!K3488</f>
        <v>460.492028411168</v>
      </c>
    </row>
    <row r="3490" customFormat="false" ht="17.15" hidden="false" customHeight="false" outlineLevel="0" collapsed="false">
      <c r="A3490" s="0" t="s">
        <v>848</v>
      </c>
      <c r="B3490" s="0" t="s">
        <v>95</v>
      </c>
      <c r="F3490" s="6" t="n">
        <f aca="false">Sens!F3406</f>
        <v>168.620652770438</v>
      </c>
      <c r="G3490" s="6" t="n">
        <f aca="false">Sens!G3406</f>
        <v>183.5741804832</v>
      </c>
      <c r="H3490" s="6" t="n">
        <f aca="false">Sens!H3406</f>
        <v>218.338961257067</v>
      </c>
      <c r="I3490" s="6" t="n">
        <f aca="false">Sens!I3406</f>
        <v>233.777060923733</v>
      </c>
      <c r="J3490" s="6" t="n">
        <f aca="false">Sens!J3406</f>
        <v>278.8563119504</v>
      </c>
      <c r="K3490" s="6" t="n">
        <f aca="false">Sens!K3406</f>
        <v>331.419953695467</v>
      </c>
    </row>
    <row r="3491" customFormat="false" ht="17.15" hidden="false" customHeight="false" outlineLevel="0" collapsed="false">
      <c r="A3491" s="1" t="s">
        <v>849</v>
      </c>
      <c r="B3491" s="0" t="s">
        <v>95</v>
      </c>
      <c r="E3491" s="6" t="n">
        <f aca="false">Sens!E3414*cx_azo+Sens!E3421*cx_m365+Sens!E3422*cx_lic+(Sens!E3424+Sens!E3426)*cx_ind+Sens!E3429*cx_srch+(Sens!E3431+Sens!E3433)*cx_dev</f>
        <v>30.1846587067718</v>
      </c>
      <c r="F3491" s="6" t="n">
        <f aca="false">Sens!F3414*cx_azo+Sens!F3421*cx_m365+Sens!F3422*cx_lic+(Sens!F3424+Sens!F3426)*cx_ind+Sens!F3429*cx_srch+(Sens!F3431+Sens!F3433)*cx_dev</f>
        <v>35.5793472295625</v>
      </c>
      <c r="G3491" s="6" t="n">
        <f aca="false">Sens!G3414*cx_azo+Sens!G3421*cx_m365+Sens!G3422*cx_lic+(Sens!G3424+Sens!G3426)*cx_ind+Sens!G3429*cx_srch+(Sens!G3431+Sens!G3433)*cx_dev</f>
        <v>41.1528935703892</v>
      </c>
      <c r="H3491" s="6" t="n">
        <f aca="false">Sens!H3414*cx_azo+Sens!H3421*cx_m365+Sens!H3422*cx_lic+(Sens!H3424+Sens!H3426)*cx_ind+Sens!H3429*cx_srch+(Sens!H3431+Sens!H3433)*cx_dev</f>
        <v>46.8115136440897</v>
      </c>
      <c r="I3491" s="6" t="n">
        <f aca="false">Sens!I3414*cx_azo+Sens!I3421*cx_m365+Sens!I3422*cx_lic+(Sens!I3424+Sens!I3426)*cx_ind+Sens!I3429*cx_srch+(Sens!I3431+Sens!I3433)*cx_dev</f>
        <v>52.1984003116439</v>
      </c>
      <c r="J3491" s="6" t="n">
        <f aca="false">Sens!J3414*cx_azo+Sens!J3421*cx_m365+Sens!J3422*cx_lic+(Sens!J3424+Sens!J3426)*cx_ind+Sens!J3429*cx_srch+(Sens!J3431+Sens!J3433)*cx_dev</f>
        <v>57.0809132503738</v>
      </c>
      <c r="K3491" s="6" t="n">
        <f aca="false">Sens!K3414*cx_azo+Sens!K3421*cx_m365+Sens!K3422*cx_lic+(Sens!K3424+Sens!K3426)*cx_ind+Sens!K3429*cx_srch+(Sens!K3431+Sens!K3433)*cx_dev</f>
        <v>61.368702741994</v>
      </c>
    </row>
    <row r="3492" customFormat="false" ht="17.15" hidden="false" customHeight="false" outlineLevel="0" collapsed="false">
      <c r="A3492" s="1" t="s">
        <v>850</v>
      </c>
      <c r="B3492" s="0" t="s">
        <v>95</v>
      </c>
      <c r="E3492" s="6" t="n">
        <f aca="false">Q!M42</f>
        <v>145.3</v>
      </c>
      <c r="F3492" s="6" t="n">
        <f aca="false">Sens!F3490+Sens!F3491</f>
        <v>204.2</v>
      </c>
      <c r="G3492" s="6" t="n">
        <f aca="false">Sens!G3490+Sens!G3491</f>
        <v>224.727074053589</v>
      </c>
      <c r="H3492" s="6" t="n">
        <f aca="false">Sens!H3490+Sens!H3491</f>
        <v>265.150474901156</v>
      </c>
      <c r="I3492" s="6" t="n">
        <f aca="false">Sens!I3490+Sens!I3491</f>
        <v>285.975461235377</v>
      </c>
      <c r="J3492" s="6" t="n">
        <f aca="false">Sens!J3490+Sens!J3491</f>
        <v>335.937225200774</v>
      </c>
      <c r="K3492" s="6" t="n">
        <f aca="false">Sens!K3490+Sens!K3491</f>
        <v>392.788656437461</v>
      </c>
      <c r="L3492" s="1" t="s">
        <v>851</v>
      </c>
    </row>
    <row r="3493" customFormat="false" ht="15" hidden="false" customHeight="false" outlineLevel="0" collapsed="false">
      <c r="A3493" s="1" t="s">
        <v>852</v>
      </c>
      <c r="B3493" s="0" t="s">
        <v>95</v>
      </c>
      <c r="E3493" s="6" t="n">
        <f aca="false">fl_liab</f>
        <v>66.594</v>
      </c>
      <c r="F3493" s="6" t="n">
        <f aca="false">Sens!E3493-Sens!F3494</f>
        <v>62.46973</v>
      </c>
      <c r="G3493" s="6" t="n">
        <f aca="false">Sens!F3493-Sens!G3494</f>
        <v>57.98686785</v>
      </c>
      <c r="H3493" s="6" t="n">
        <f aca="false">Sens!G3493-Sens!H3494</f>
        <v>53.92827690325</v>
      </c>
      <c r="I3493" s="6" t="n">
        <f aca="false">Sens!H3493-Sens!I3494</f>
        <v>49.7850493638962</v>
      </c>
      <c r="J3493" s="6" t="n">
        <f aca="false">Sens!I3493-Sens!J3494</f>
        <v>45.4823765852716</v>
      </c>
      <c r="K3493" s="6" t="n">
        <f aca="false">Sens!J3493-Sens!K3494</f>
        <v>40.9860835316088</v>
      </c>
    </row>
    <row r="3494" customFormat="false" ht="15" hidden="false" customHeight="false" outlineLevel="0" collapsed="false">
      <c r="A3494" s="1" t="s">
        <v>853</v>
      </c>
      <c r="B3494" s="0" t="s">
        <v>95</v>
      </c>
      <c r="F3494" s="6" t="n">
        <f aca="false">fl_pay_27-Sens!E3493*fl_rate</f>
        <v>4.12427</v>
      </c>
      <c r="G3494" s="6" t="n">
        <f aca="false">fl_pay_28-Sens!F3493*fl_rate</f>
        <v>4.48286215</v>
      </c>
      <c r="H3494" s="6" t="n">
        <f aca="false">fl_pay_29-Sens!G3493*fl_rate</f>
        <v>4.05859094675</v>
      </c>
      <c r="I3494" s="6" t="n">
        <f aca="false">fl_pay_30-Sens!H3493*fl_rate</f>
        <v>4.14322753935375</v>
      </c>
      <c r="J3494" s="6" t="n">
        <f aca="false">fl_pay_31-Sens!I3493*fl_rate</f>
        <v>4.30267277862467</v>
      </c>
      <c r="K3494" s="6" t="n">
        <f aca="false">fl_pay_32-Sens!J3493*fl_rate</f>
        <v>4.49629305366278</v>
      </c>
    </row>
    <row r="3495" customFormat="false" ht="17.15" hidden="false" customHeight="false" outlineLevel="0" collapsed="false">
      <c r="A3495" s="1" t="s">
        <v>854</v>
      </c>
      <c r="B3495" s="0" t="s">
        <v>95</v>
      </c>
      <c r="E3495" s="6" t="n">
        <f aca="false">Q!M35-Q!M36-Q!M43</f>
        <v>63.886</v>
      </c>
      <c r="F3495" s="6" t="n">
        <f aca="false">Sens!F3489-Sens!F3492-Sens!F3494</f>
        <v>2.59115263782052</v>
      </c>
      <c r="G3495" s="6" t="n">
        <f aca="false">Sens!G3489-Sens!G3492-Sens!G3494</f>
        <v>34.7305868076287</v>
      </c>
      <c r="H3495" s="6" t="n">
        <f aca="false">Sens!H3489-Sens!H3492-Sens!H3494</f>
        <v>45.1326230015995</v>
      </c>
      <c r="I3495" s="6" t="n">
        <f aca="false">Sens!I3489-Sens!I3492-Sens!I3494</f>
        <v>74.2807390635084</v>
      </c>
      <c r="J3495" s="6" t="n">
        <f aca="false">Sens!J3489-Sens!J3492-Sens!J3494</f>
        <v>73.0457416670675</v>
      </c>
      <c r="K3495" s="6" t="n">
        <f aca="false">Sens!K3489-Sens!K3492-Sens!K3494</f>
        <v>63.2070789200448</v>
      </c>
      <c r="L3495" s="11" t="s">
        <v>855</v>
      </c>
    </row>
    <row r="3496" customFormat="false" ht="15" hidden="false" customHeight="false" outlineLevel="0" collapsed="false">
      <c r="A3496" s="1" t="s">
        <v>856</v>
      </c>
      <c r="B3496" s="0" t="s">
        <v>73</v>
      </c>
      <c r="F3496" s="8" t="n">
        <f aca="false">dps_27</f>
        <v>3.85</v>
      </c>
      <c r="G3496" s="8" t="n">
        <f aca="false">Sens!F3496*(1+dps_g)</f>
        <v>4.158</v>
      </c>
      <c r="H3496" s="8" t="n">
        <f aca="false">Sens!G3496*(1+dps_g)</f>
        <v>4.49064</v>
      </c>
      <c r="I3496" s="8" t="n">
        <f aca="false">Sens!H3496*(1+dps_g)</f>
        <v>4.8498912</v>
      </c>
      <c r="J3496" s="8" t="n">
        <f aca="false">Sens!I3496*(1+dps_g)</f>
        <v>5.237882496</v>
      </c>
      <c r="K3496" s="8" t="n">
        <f aca="false">Sens!J3496*(1+dps_g)</f>
        <v>5.65691309568</v>
      </c>
    </row>
    <row r="3497" customFormat="false" ht="17.15" hidden="false" customHeight="false" outlineLevel="0" collapsed="false">
      <c r="A3497" s="1" t="s">
        <v>857</v>
      </c>
      <c r="B3497" s="0" t="s">
        <v>95</v>
      </c>
      <c r="E3497" s="6" t="n">
        <f aca="false">Q!M41</f>
        <v>26.445</v>
      </c>
      <c r="F3497" s="6" t="n">
        <f aca="false">Sens!F3496*Sens!E3506</f>
        <v>28.59395</v>
      </c>
      <c r="G3497" s="6" t="n">
        <f aca="false">Sens!G3496*Sens!F3506</f>
        <v>31.068576</v>
      </c>
      <c r="H3497" s="6" t="n">
        <f aca="false">Sens!H3496*Sens!G3506</f>
        <v>33.7286308498195</v>
      </c>
      <c r="I3497" s="6" t="n">
        <f aca="false">Sens!I3496*Sens!H3506</f>
        <v>36.574528564226</v>
      </c>
      <c r="J3497" s="6" t="n">
        <f aca="false">Sens!J3496*Sens!I3506</f>
        <v>39.5688896976835</v>
      </c>
      <c r="K3497" s="6" t="n">
        <f aca="false">Sens!K3496*Sens!J3506</f>
        <v>42.8216560988032</v>
      </c>
      <c r="L3497" s="1" t="s">
        <v>858</v>
      </c>
    </row>
    <row r="3498" customFormat="false" ht="15" hidden="false" customHeight="false" outlineLevel="0" collapsed="false">
      <c r="A3498" s="1" t="s">
        <v>859</v>
      </c>
      <c r="B3498" s="0" t="s">
        <v>95</v>
      </c>
      <c r="E3498" s="6" t="n">
        <f aca="false">Sens!E3495-Sens!E3497</f>
        <v>37.441</v>
      </c>
      <c r="F3498" s="6" t="n">
        <f aca="false">Sens!F3495-Sens!F3497</f>
        <v>-26.0027973621795</v>
      </c>
      <c r="G3498" s="6" t="n">
        <f aca="false">Sens!G3495-Sens!G3497</f>
        <v>3.66201080762874</v>
      </c>
      <c r="H3498" s="6" t="n">
        <f aca="false">Sens!H3495-Sens!H3497</f>
        <v>11.4039921517799</v>
      </c>
      <c r="I3498" s="6" t="n">
        <f aca="false">Sens!I3495-Sens!I3497</f>
        <v>37.7062104992824</v>
      </c>
      <c r="J3498" s="6" t="n">
        <f aca="false">Sens!J3495-Sens!J3497</f>
        <v>33.476851969384</v>
      </c>
      <c r="K3498" s="6" t="n">
        <f aca="false">Sens!K3495-Sens!K3497</f>
        <v>20.3854228212416</v>
      </c>
    </row>
    <row r="3499" customFormat="false" ht="15" hidden="false" customHeight="false" outlineLevel="0" collapsed="false">
      <c r="A3499" s="1" t="s">
        <v>860</v>
      </c>
      <c r="B3499" s="0" t="s">
        <v>95</v>
      </c>
      <c r="F3499" s="6" t="n">
        <f aca="false">debt_mat_27</f>
        <v>9.25</v>
      </c>
      <c r="G3499" s="6" t="n">
        <f aca="false">debt_mat_28</f>
        <v>0</v>
      </c>
      <c r="H3499" s="6" t="n">
        <f aca="false">debt_mat_29</f>
        <v>2.001</v>
      </c>
      <c r="I3499" s="6" t="n">
        <f aca="false">debt_mat_30</f>
        <v>0</v>
      </c>
      <c r="J3499" s="6" t="n">
        <f aca="false">debt_mat_31</f>
        <v>0.5</v>
      </c>
      <c r="K3499" s="6" t="n">
        <f aca="false">debt_mat_32</f>
        <v>0</v>
      </c>
    </row>
    <row r="3500" customFormat="false" ht="15" hidden="false" customHeight="false" outlineLevel="0" collapsed="false">
      <c r="A3500" s="1" t="s">
        <v>861</v>
      </c>
      <c r="B3500" s="0" t="s">
        <v>95</v>
      </c>
      <c r="E3500" s="6" t="n">
        <f aca="false">Q!M40</f>
        <v>22.271</v>
      </c>
      <c r="F3500" s="6" t="n">
        <f aca="false">MAX(0,MIN(bb_target,Sens!E3502+Sens!F3498-Sens!F3499-min_cash))</f>
        <v>0</v>
      </c>
      <c r="G3500" s="6" t="n">
        <f aca="false">MAX(0,MIN(bb_target,Sens!F3502+Sens!G3498-Sens!G3499-min_cash))</f>
        <v>3.66201080762874</v>
      </c>
      <c r="H3500" s="6" t="n">
        <f aca="false">MAX(0,MIN(bb_target,Sens!G3502+Sens!H3498-Sens!H3499-min_cash))</f>
        <v>9.40299215177995</v>
      </c>
      <c r="I3500" s="6" t="n">
        <f aca="false">MAX(0,MIN(bb_target,Sens!H3502+Sens!I3498-Sens!I3499-min_cash))</f>
        <v>22.271</v>
      </c>
      <c r="J3500" s="6" t="n">
        <f aca="false">MAX(0,MIN(bb_target,Sens!I3502+Sens!J3498-Sens!J3499-min_cash))</f>
        <v>22.271</v>
      </c>
      <c r="K3500" s="6" t="n">
        <f aca="false">MAX(0,MIN(bb_target,Sens!J3502+Sens!K3498-Sens!K3499-min_cash))</f>
        <v>22.271</v>
      </c>
    </row>
    <row r="3501" customFormat="false" ht="15" hidden="false" customHeight="false" outlineLevel="0" collapsed="false">
      <c r="A3501" s="1" t="s">
        <v>862</v>
      </c>
      <c r="B3501" s="0" t="s">
        <v>95</v>
      </c>
      <c r="F3501" s="6" t="n">
        <f aca="false">MAX(0,min_cash-(Sens!E3502+Sens!F3498-Sens!F3499-Sens!F3500))</f>
        <v>8.40979736217948</v>
      </c>
      <c r="G3501" s="6" t="n">
        <f aca="false">MAX(0,min_cash-(Sens!F3502+Sens!G3498-Sens!G3499-Sens!G3500))</f>
        <v>0</v>
      </c>
      <c r="H3501" s="6" t="n">
        <f aca="false">MAX(0,min_cash-(Sens!G3502+Sens!H3498-Sens!H3499-Sens!H3500))</f>
        <v>0</v>
      </c>
      <c r="I3501" s="6" t="n">
        <f aca="false">MAX(0,min_cash-(Sens!H3502+Sens!I3498-Sens!I3499-Sens!I3500))</f>
        <v>0</v>
      </c>
      <c r="J3501" s="6" t="n">
        <f aca="false">MAX(0,min_cash-(Sens!I3502+Sens!J3498-Sens!J3499-Sens!J3500))</f>
        <v>0</v>
      </c>
      <c r="K3501" s="6" t="n">
        <f aca="false">MAX(0,min_cash-(Sens!J3502+Sens!K3498-Sens!K3499-Sens!K3500))</f>
        <v>0</v>
      </c>
    </row>
    <row r="3502" customFormat="false" ht="15" hidden="false" customHeight="false" outlineLevel="0" collapsed="false">
      <c r="A3502" s="1" t="s">
        <v>863</v>
      </c>
      <c r="B3502" s="0" t="s">
        <v>95</v>
      </c>
      <c r="E3502" s="6" t="n">
        <f aca="false">cash_open</f>
        <v>76.843</v>
      </c>
      <c r="F3502" s="6" t="n">
        <f aca="false">Sens!E3502+Sens!F3498-Sens!F3499-Sens!F3500+Sens!F3501</f>
        <v>50</v>
      </c>
      <c r="G3502" s="6" t="n">
        <f aca="false">Sens!F3502+Sens!G3498-Sens!G3499-Sens!G3500+Sens!G3501</f>
        <v>50</v>
      </c>
      <c r="H3502" s="6" t="n">
        <f aca="false">Sens!G3502+Sens!H3498-Sens!H3499-Sens!H3500+Sens!H3501</f>
        <v>50</v>
      </c>
      <c r="I3502" s="6" t="n">
        <f aca="false">Sens!H3502+Sens!I3498-Sens!I3499-Sens!I3500+Sens!I3501</f>
        <v>65.4352104992824</v>
      </c>
      <c r="J3502" s="6" t="n">
        <f aca="false">Sens!I3502+Sens!J3498-Sens!J3499-Sens!J3500+Sens!J3501</f>
        <v>76.1410624686664</v>
      </c>
      <c r="K3502" s="6" t="n">
        <f aca="false">Sens!J3502+Sens!K3498-Sens!K3499-Sens!K3500+Sens!K3501</f>
        <v>74.255485289908</v>
      </c>
    </row>
    <row r="3503" customFormat="false" ht="15" hidden="false" customHeight="false" outlineLevel="0" collapsed="false">
      <c r="A3503" s="1" t="s">
        <v>864</v>
      </c>
      <c r="B3503" s="0" t="s">
        <v>95</v>
      </c>
      <c r="E3503" s="6" t="n">
        <f aca="false">debt_face</f>
        <v>46.136</v>
      </c>
      <c r="F3503" s="6" t="n">
        <f aca="false">Sens!E3503-Sens!F3499+Sens!F3501</f>
        <v>45.2957973621795</v>
      </c>
      <c r="G3503" s="6" t="n">
        <f aca="false">Sens!F3503-Sens!G3499+Sens!G3501</f>
        <v>45.2957973621795</v>
      </c>
      <c r="H3503" s="6" t="n">
        <f aca="false">Sens!G3503-Sens!H3499+Sens!H3501</f>
        <v>43.2947973621795</v>
      </c>
      <c r="I3503" s="6" t="n">
        <f aca="false">Sens!H3503-Sens!I3499+Sens!I3501</f>
        <v>43.2947973621795</v>
      </c>
      <c r="J3503" s="6" t="n">
        <f aca="false">Sens!I3503-Sens!J3499+Sens!J3501</f>
        <v>42.7947973621795</v>
      </c>
      <c r="K3503" s="6" t="n">
        <f aca="false">Sens!J3503-Sens!K3499+Sens!K3501</f>
        <v>42.7947973621795</v>
      </c>
    </row>
    <row r="3504" customFormat="false" ht="15" hidden="false" customHeight="false" outlineLevel="0" collapsed="false">
      <c r="A3504" s="1" t="s">
        <v>865</v>
      </c>
      <c r="B3504" s="0" t="s">
        <v>95</v>
      </c>
      <c r="E3504" s="6" t="n">
        <f aca="false">Sens!E3502-Sens!E3503</f>
        <v>30.707</v>
      </c>
      <c r="F3504" s="6" t="n">
        <f aca="false">Sens!F3502-Sens!F3503</f>
        <v>4.70420263782052</v>
      </c>
      <c r="G3504" s="6" t="n">
        <f aca="false">Sens!G3502-Sens!G3503</f>
        <v>4.70420263782052</v>
      </c>
      <c r="H3504" s="6" t="n">
        <f aca="false">Sens!H3502-Sens!H3503</f>
        <v>6.70520263782052</v>
      </c>
      <c r="I3504" s="6" t="n">
        <f aca="false">Sens!I3502-Sens!I3503</f>
        <v>22.140413137103</v>
      </c>
      <c r="J3504" s="6" t="n">
        <f aca="false">Sens!J3502-Sens!J3503</f>
        <v>33.3462651064869</v>
      </c>
      <c r="K3504" s="6" t="n">
        <f aca="false">Sens!K3502-Sens!K3503</f>
        <v>31.4606879277285</v>
      </c>
    </row>
    <row r="3505" customFormat="false" ht="15" hidden="false" customHeight="false" outlineLevel="0" collapsed="false">
      <c r="A3505" s="1" t="s">
        <v>866</v>
      </c>
      <c r="B3505" s="0" t="s">
        <v>73</v>
      </c>
      <c r="F3505" s="27" t="n">
        <f aca="false">px*(1+bb_g)^(1-0.5)</f>
        <v>553.494156066711</v>
      </c>
      <c r="G3505" s="27" t="n">
        <f aca="false">px*(1+bb_g)^(2-0.5)</f>
        <v>597.773688552047</v>
      </c>
      <c r="H3505" s="27" t="n">
        <f aca="false">px*(1+bb_g)^(3-0.5)</f>
        <v>645.595583636211</v>
      </c>
      <c r="I3505" s="27" t="n">
        <f aca="false">px*(1+bb_g)^(4-0.5)</f>
        <v>697.243230327108</v>
      </c>
      <c r="J3505" s="27" t="n">
        <f aca="false">px*(1+bb_g)^(5-0.5)</f>
        <v>753.022688753277</v>
      </c>
      <c r="K3505" s="27" t="n">
        <f aca="false">px*(1+bb_g)^(6-0.5)</f>
        <v>813.264503853539</v>
      </c>
    </row>
    <row r="3506" customFormat="false" ht="15" hidden="false" customHeight="false" outlineLevel="0" collapsed="false">
      <c r="A3506" s="1" t="s">
        <v>867</v>
      </c>
      <c r="B3506" s="1" t="s">
        <v>79</v>
      </c>
      <c r="E3506" s="18" t="n">
        <f aca="false">sh_out26</f>
        <v>7.427</v>
      </c>
      <c r="F3506" s="18" t="n">
        <f aca="false">Sens!E3506+sh_iss-Sens!F3500/Sens!F3505</f>
        <v>7.472</v>
      </c>
      <c r="G3506" s="18" t="n">
        <f aca="false">Sens!F3506+sh_iss-Sens!G3500/Sens!G3505</f>
        <v>7.51087391770872</v>
      </c>
      <c r="H3506" s="18" t="n">
        <f aca="false">Sens!G3506+sh_iss-Sens!H3500/Sens!H3505</f>
        <v>7.54130908425863</v>
      </c>
      <c r="I3506" s="18" t="n">
        <f aca="false">Sens!H3506+sh_iss-Sens!I3500/Sens!I3505</f>
        <v>7.55436757657335</v>
      </c>
      <c r="J3506" s="18" t="n">
        <f aca="false">Sens!I3506+sh_iss-Sens!J3500/Sens!J3505</f>
        <v>7.56979210649439</v>
      </c>
      <c r="K3506" s="18" t="n">
        <f aca="false">Sens!J3506+sh_iss-Sens!K3500/Sens!K3505</f>
        <v>7.58740741197684</v>
      </c>
    </row>
    <row r="3507" customFormat="false" ht="15" hidden="false" customHeight="false" outlineLevel="0" collapsed="false">
      <c r="A3507" s="1" t="s">
        <v>868</v>
      </c>
      <c r="B3507" s="1" t="s">
        <v>79</v>
      </c>
      <c r="E3507" s="18" t="n">
        <f aca="false">sh_dil26</f>
        <v>7.453</v>
      </c>
      <c r="F3507" s="18" t="n">
        <f aca="false">(Sens!E3506+Sens!F3506)/2+dil_gap</f>
        <v>7.4735</v>
      </c>
      <c r="G3507" s="18" t="n">
        <f aca="false">(Sens!F3506+Sens!G3506)/2+dil_gap</f>
        <v>7.51543695885436</v>
      </c>
      <c r="H3507" s="18" t="n">
        <f aca="false">(Sens!G3506+Sens!H3506)/2+dil_gap</f>
        <v>7.55009150098368</v>
      </c>
      <c r="I3507" s="18" t="n">
        <f aca="false">(Sens!H3506+Sens!I3506)/2+dil_gap</f>
        <v>7.57183833041599</v>
      </c>
      <c r="J3507" s="18" t="n">
        <f aca="false">(Sens!I3506+Sens!J3506)/2+dil_gap</f>
        <v>7.58607984153387</v>
      </c>
      <c r="K3507" s="18" t="n">
        <f aca="false">(Sens!J3506+Sens!K3506)/2+dil_gap</f>
        <v>7.60259975923561</v>
      </c>
    </row>
    <row r="3508" customFormat="false" ht="17.15" hidden="false" customHeight="false" outlineLevel="0" collapsed="false">
      <c r="A3508" s="1" t="s">
        <v>869</v>
      </c>
      <c r="B3508" s="0" t="s">
        <v>95</v>
      </c>
      <c r="C3508" s="6" t="n">
        <f aca="false">SUM(Sens!F3498:J3498)</f>
        <v>60.2462680658956</v>
      </c>
    </row>
    <row r="3509" customFormat="false" ht="17.15" hidden="false" customHeight="false" outlineLevel="0" collapsed="false">
      <c r="A3509" s="1" t="s">
        <v>836</v>
      </c>
      <c r="B3509" s="1" t="s">
        <v>870</v>
      </c>
      <c r="C3509" s="30" t="str">
        <f aca="false">IF(SUM(Sens!F3501:J3501)&gt;0.05,"需要舉債 "&amp;TEXT(SUM(Sens!F3501:J3501),"0.0")&amp;" 十億美元","不需舉債")&amp;"；"&amp;IF(SUM(Sens!F3500:J3500)&lt;5*bb_target-0.05,"回購較每年 "&amp;TEXT(bb_target,"0.0")&amp;" 的目標少 "&amp;TEXT(5*bb_target-SUM(Sens!F3500:J3500),"0.0")&amp;" 十億美元（"&amp;TEXT(COUNTIF(Sens!F3500:J3500,"&lt;"&amp;(bb_target-0.05)),"0")&amp;" 年減少）","回購不減")</f>
        <v>需要舉債 8.4 十億美元；回購較每年 22.3 的目標少 53.7 十億美元（3 年減少）</v>
      </c>
    </row>
    <row r="3510" customFormat="false" ht="17.15" hidden="false" customHeight="false" outlineLevel="0" collapsed="false">
      <c r="A3510" s="3" t="s">
        <v>1213</v>
      </c>
    </row>
    <row r="3511" customFormat="false" ht="15" hidden="false" customHeight="false" outlineLevel="0" collapsed="false">
      <c r="A3511" s="4" t="s">
        <v>43</v>
      </c>
      <c r="B3511" s="4" t="s">
        <v>63</v>
      </c>
      <c r="C3511" s="19" t="s">
        <v>710</v>
      </c>
      <c r="D3511" s="19" t="s">
        <v>711</v>
      </c>
      <c r="E3511" s="19" t="s">
        <v>712</v>
      </c>
      <c r="F3511" s="19" t="s">
        <v>713</v>
      </c>
      <c r="G3511" s="19" t="s">
        <v>714</v>
      </c>
      <c r="H3511" s="19" t="s">
        <v>715</v>
      </c>
      <c r="I3511" s="19" t="s">
        <v>716</v>
      </c>
      <c r="J3511" s="19" t="s">
        <v>717</v>
      </c>
      <c r="K3511" s="19" t="s">
        <v>718</v>
      </c>
      <c r="L3511" s="4" t="s">
        <v>47</v>
      </c>
    </row>
    <row r="3512" customFormat="false" ht="17.15" hidden="false" customHeight="false" outlineLevel="0" collapsed="false">
      <c r="A3512" s="1" t="s">
        <v>938</v>
      </c>
      <c r="B3512" s="1" t="s">
        <v>213</v>
      </c>
      <c r="F3512" s="34" t="n">
        <f aca="false">1-0.5</f>
        <v>0.5</v>
      </c>
      <c r="G3512" s="34" t="n">
        <f aca="false">2-0.5</f>
        <v>1.5</v>
      </c>
      <c r="H3512" s="34" t="n">
        <f aca="false">3-0.5</f>
        <v>2.5</v>
      </c>
      <c r="I3512" s="34" t="n">
        <f aca="false">4-0.5</f>
        <v>3.5</v>
      </c>
      <c r="J3512" s="34" t="n">
        <f aca="false">5-0.5</f>
        <v>4.5</v>
      </c>
      <c r="K3512" s="34" t="n">
        <f aca="false">6-0.5</f>
        <v>5.5</v>
      </c>
    </row>
    <row r="3513" customFormat="false" ht="15" hidden="false" customHeight="false" outlineLevel="0" collapsed="false">
      <c r="A3513" s="1" t="s">
        <v>939</v>
      </c>
      <c r="B3513" s="0" t="s">
        <v>182</v>
      </c>
      <c r="F3513" s="18" t="n">
        <f aca="false">1/(1+wacc)^Sens!F3512</f>
        <v>0.949601579913219</v>
      </c>
      <c r="G3513" s="18" t="n">
        <f aca="false">1/(1+wacc)^Sens!G3512</f>
        <v>0.856296729956707</v>
      </c>
      <c r="H3513" s="18" t="n">
        <f aca="false">1/(1+wacc)^Sens!H3512</f>
        <v>0.772159719660069</v>
      </c>
      <c r="I3513" s="18" t="n">
        <f aca="false">1/(1+wacc)^Sens!I3512</f>
        <v>0.696289746073958</v>
      </c>
      <c r="J3513" s="18" t="n">
        <f aca="false">1/(1+wacc)^Sens!J3512</f>
        <v>0.627874516299776</v>
      </c>
      <c r="K3513" s="18" t="n">
        <f aca="false">1/(1+wacc)^Sens!K3512</f>
        <v>0.566181550771831</v>
      </c>
    </row>
    <row r="3514" customFormat="false" ht="15" hidden="false" customHeight="false" outlineLevel="0" collapsed="false">
      <c r="A3514" s="1" t="s">
        <v>940</v>
      </c>
      <c r="B3514" s="0" t="s">
        <v>95</v>
      </c>
      <c r="F3514" s="6" t="n">
        <f aca="false">Sens!F3495*Sens!F3513</f>
        <v>2.46056263867067</v>
      </c>
      <c r="G3514" s="6" t="n">
        <f aca="false">Sens!G3495*Sens!G3513</f>
        <v>29.73968791285</v>
      </c>
      <c r="H3514" s="6" t="n">
        <f aca="false">Sens!H3495*Sens!H3513</f>
        <v>34.8495935244386</v>
      </c>
      <c r="I3514" s="6" t="n">
        <f aca="false">Sens!I3495*Sens!I3513</f>
        <v>51.7209169407162</v>
      </c>
      <c r="J3514" s="6" t="n">
        <f aca="false">Sens!J3495*Sens!J3513</f>
        <v>45.8635597169684</v>
      </c>
      <c r="K3514" s="6" t="n">
        <f aca="false">Sens!K3495*Sens!K3513</f>
        <v>35.7866819627085</v>
      </c>
    </row>
    <row r="3515" customFormat="false" ht="17.15" hidden="false" customHeight="false" outlineLevel="0" collapsed="false">
      <c r="A3515" s="1" t="s">
        <v>941</v>
      </c>
      <c r="B3515" s="0" t="s">
        <v>95</v>
      </c>
      <c r="C3515" s="6" t="n">
        <f aca="false">SUM(Sens!F3514:K3514)</f>
        <v>200.421002696352</v>
      </c>
    </row>
    <row r="3516" customFormat="false" ht="17.15" hidden="false" customHeight="false" outlineLevel="0" collapsed="false">
      <c r="A3516" s="1" t="s">
        <v>942</v>
      </c>
      <c r="B3516" s="0" t="s">
        <v>95</v>
      </c>
      <c r="C3516" s="6" t="n">
        <f aca="false">Sens!K3461*(1+g_tv)*(1-tax_f)</f>
        <v>192.139788705242</v>
      </c>
    </row>
    <row r="3517" customFormat="false" ht="17.15" hidden="false" customHeight="false" outlineLevel="0" collapsed="false">
      <c r="A3517" s="1" t="s">
        <v>943</v>
      </c>
      <c r="B3517" s="0" t="s">
        <v>95</v>
      </c>
      <c r="C3517" s="6" t="n">
        <f aca="false">Sens!$C$3516*(1-g_tv/(wacc+ronic_prem))</f>
        <v>139.239428378992</v>
      </c>
    </row>
    <row r="3518" customFormat="false" ht="17.15" hidden="false" customHeight="false" outlineLevel="0" collapsed="false">
      <c r="A3518" s="1" t="s">
        <v>944</v>
      </c>
      <c r="B3518" s="0" t="s">
        <v>95</v>
      </c>
      <c r="C3518" s="6" t="n">
        <f aca="false">Sens!$C$3517/(wacc-g_tv)</f>
        <v>1763.34534420832</v>
      </c>
    </row>
    <row r="3519" customFormat="false" ht="15" hidden="false" customHeight="false" outlineLevel="0" collapsed="false">
      <c r="A3519" s="1" t="s">
        <v>945</v>
      </c>
      <c r="B3519" s="0" t="s">
        <v>95</v>
      </c>
      <c r="C3519" s="6" t="n">
        <f aca="false">Sens!$C$3518/(1+wacc)^6</f>
        <v>948.057149356686</v>
      </c>
    </row>
    <row r="3520" customFormat="false" ht="17.15" hidden="false" customHeight="false" outlineLevel="0" collapsed="false">
      <c r="A3520" s="0" t="s">
        <v>877</v>
      </c>
      <c r="B3520" s="0" t="s">
        <v>95</v>
      </c>
      <c r="C3520" s="6" t="n">
        <f aca="false">Sens!$C$3515+Sens!$C$3519</f>
        <v>1148.47815205304</v>
      </c>
    </row>
    <row r="3521" customFormat="false" ht="15" hidden="false" customHeight="false" outlineLevel="0" collapsed="false">
      <c r="A3521" s="1" t="s">
        <v>878</v>
      </c>
      <c r="B3521" s="0" t="s">
        <v>126</v>
      </c>
      <c r="C3521" s="7" t="n">
        <f aca="false">Sens!$C$3519/Sens!$C$3520</f>
        <v>0.825489930010356</v>
      </c>
    </row>
    <row r="3522" customFormat="false" ht="17.15" hidden="false" customHeight="false" outlineLevel="0" collapsed="false">
      <c r="A3522" s="1" t="s">
        <v>946</v>
      </c>
      <c r="B3522" s="0" t="s">
        <v>95</v>
      </c>
      <c r="C3522" s="6" t="n">
        <f aca="false">Sens!$C$3520+Sens!E3504+oai_v</f>
        <v>1349.58515205304</v>
      </c>
    </row>
    <row r="3523" customFormat="false" ht="17.15" hidden="false" customHeight="false" outlineLevel="0" collapsed="false">
      <c r="A3523" s="0" t="s">
        <v>883</v>
      </c>
      <c r="B3523" s="0" t="s">
        <v>73</v>
      </c>
      <c r="C3523" s="5" t="n">
        <f aca="false">Sens!$C$3522/sh_dil26</f>
        <v>181.079451503158</v>
      </c>
    </row>
    <row r="3524" customFormat="false" ht="17.15" hidden="false" customHeight="false" outlineLevel="0" collapsed="false">
      <c r="A3524" s="0" t="s">
        <v>947</v>
      </c>
      <c r="B3524" s="0" t="s">
        <v>73</v>
      </c>
      <c r="C3524" s="5" t="n">
        <f aca="false">Sens!$C$3523*(1+wacc)^t_roll</f>
        <v>207.697147750589</v>
      </c>
    </row>
    <row r="3525" customFormat="false" ht="17.15" hidden="false" customHeight="false" outlineLevel="0" collapsed="false">
      <c r="A3525" s="1" t="s">
        <v>948</v>
      </c>
      <c r="B3525" s="0" t="s">
        <v>126</v>
      </c>
      <c r="F3525" s="7" t="n">
        <f aca="false">Sens!F3485/(Sens!F3436-Sens!F3392)</f>
        <v>0.0605581042012359</v>
      </c>
      <c r="G3525" s="7" t="n">
        <f aca="false">Sens!G3485/(Sens!G3436-Sens!G3392)</f>
        <v>0.0593206983981799</v>
      </c>
      <c r="H3525" s="7" t="n">
        <f aca="false">Sens!H3485/(Sens!H3436-Sens!H3392)</f>
        <v>0.059063889860891</v>
      </c>
      <c r="I3525" s="7" t="n">
        <f aca="false">Sens!I3485/(Sens!I3436-Sens!I3392)</f>
        <v>0.0597390338724559</v>
      </c>
      <c r="J3525" s="7" t="n">
        <f aca="false">Sens!J3485/(Sens!J3436-Sens!J3392)</f>
        <v>0.0611392111007169</v>
      </c>
      <c r="K3525" s="7" t="n">
        <f aca="false">Sens!K3485/(Sens!K3436-Sens!K3392)</f>
        <v>0.0629797149392436</v>
      </c>
    </row>
    <row r="3526" customFormat="false" ht="17.15" hidden="false" customHeight="false" outlineLevel="0" collapsed="false">
      <c r="A3526" s="0" t="s">
        <v>949</v>
      </c>
      <c r="B3526" s="0" t="s">
        <v>95</v>
      </c>
      <c r="F3526" s="6" t="n">
        <f aca="false">Sens!F3421*(al_m365+Sens!F3525)</f>
        <v>78.5353302672351</v>
      </c>
      <c r="G3526" s="6" t="n">
        <f aca="false">Sens!G3421*(al_m365+Sens!G3525)</f>
        <v>90.3560568529841</v>
      </c>
      <c r="H3526" s="6" t="n">
        <f aca="false">Sens!H3421*(al_m365+Sens!H3525)</f>
        <v>102.337700486098</v>
      </c>
      <c r="I3526" s="6" t="n">
        <f aca="false">Sens!I3421*(al_m365+Sens!I3525)</f>
        <v>113.365615666605</v>
      </c>
      <c r="J3526" s="6" t="n">
        <f aca="false">Sens!J3421*(al_m365+Sens!J3525)</f>
        <v>123.257970042957</v>
      </c>
      <c r="K3526" s="6" t="n">
        <f aca="false">Sens!K3421*(al_m365+Sens!K3525)</f>
        <v>132.780246031801</v>
      </c>
    </row>
    <row r="3527" customFormat="false" ht="17.15" hidden="false" customHeight="false" outlineLevel="0" collapsed="false">
      <c r="A3527" s="0" t="s">
        <v>950</v>
      </c>
      <c r="B3527" s="0" t="s">
        <v>95</v>
      </c>
      <c r="F3527" s="6" t="n">
        <f aca="false">Sens!F3422*(al_lic+Sens!F3525)</f>
        <v>31.6701938747831</v>
      </c>
      <c r="G3527" s="6" t="n">
        <f aca="false">Sens!G3422*(al_lic+Sens!G3525)</f>
        <v>32.9608503731018</v>
      </c>
      <c r="H3527" s="6" t="n">
        <f aca="false">Sens!H3422*(al_lic+Sens!H3525)</f>
        <v>34.161589029118</v>
      </c>
      <c r="I3527" s="6" t="n">
        <f aca="false">Sens!I3422*(al_lic+Sens!I3525)</f>
        <v>35.2558746215817</v>
      </c>
      <c r="J3527" s="6" t="n">
        <f aca="false">Sens!J3422*(al_lic+Sens!J3525)</f>
        <v>36.2204572102489</v>
      </c>
      <c r="K3527" s="6" t="n">
        <f aca="false">Sens!K3422*(al_lic+Sens!K3525)</f>
        <v>37.028695575639</v>
      </c>
    </row>
    <row r="3528" customFormat="false" ht="17.15" hidden="false" customHeight="false" outlineLevel="0" collapsed="false">
      <c r="A3528" s="0" t="s">
        <v>951</v>
      </c>
      <c r="B3528" s="0" t="s">
        <v>95</v>
      </c>
      <c r="F3528" s="6" t="n">
        <f aca="false">Sens!F3424*(al_ind+Sens!F3525)</f>
        <v>8.06107697623364</v>
      </c>
      <c r="G3528" s="6" t="n">
        <f aca="false">Sens!G3424*(al_ind+Sens!G3525)</f>
        <v>8.78151488358012</v>
      </c>
      <c r="H3528" s="6" t="n">
        <f aca="false">Sens!H3424*(al_ind+Sens!H3525)</f>
        <v>9.54169386641398</v>
      </c>
      <c r="I3528" s="6" t="n">
        <f aca="false">Sens!I3424*(al_ind+Sens!I3525)</f>
        <v>10.3393376059312</v>
      </c>
      <c r="J3528" s="6" t="n">
        <f aca="false">Sens!J3424*(al_ind+Sens!J3525)</f>
        <v>11.1661551922322</v>
      </c>
      <c r="K3528" s="6" t="n">
        <f aca="false">Sens!K3424*(al_ind+Sens!K3525)</f>
        <v>12.0086765528194</v>
      </c>
    </row>
    <row r="3529" customFormat="false" ht="17.15" hidden="false" customHeight="false" outlineLevel="0" collapsed="false">
      <c r="A3529" s="0" t="s">
        <v>952</v>
      </c>
      <c r="B3529" s="0" t="s">
        <v>95</v>
      </c>
      <c r="F3529" s="6" t="n">
        <f aca="false">Sens!F3426*(al_fro+Sens!F3525)</f>
        <v>3.17286819868213</v>
      </c>
      <c r="G3529" s="6" t="n">
        <f aca="false">Sens!G3426*(al_fro+Sens!G3525)</f>
        <v>3.37158253743971</v>
      </c>
      <c r="H3529" s="6" t="n">
        <f aca="false">Sens!H3426*(al_fro+Sens!H3525)</f>
        <v>3.59563683770519</v>
      </c>
      <c r="I3529" s="6" t="n">
        <f aca="false">Sens!I3426*(al_fro+Sens!I3525)</f>
        <v>3.84788065100434</v>
      </c>
      <c r="J3529" s="6" t="n">
        <f aca="false">Sens!J3426*(al_fro+Sens!J3525)</f>
        <v>4.12967330463528</v>
      </c>
      <c r="K3529" s="6" t="n">
        <f aca="false">Sens!K3426*(al_fro+Sens!K3525)</f>
        <v>4.44127008181623</v>
      </c>
    </row>
    <row r="3530" customFormat="false" ht="17.15" hidden="false" customHeight="false" outlineLevel="0" collapsed="false">
      <c r="A3530" s="0" t="s">
        <v>953</v>
      </c>
      <c r="B3530" s="0" t="s">
        <v>95</v>
      </c>
      <c r="F3530" s="6" t="n">
        <f aca="false">Sens!F3429*(al_srch+Sens!F3525)</f>
        <v>9.95554653250751</v>
      </c>
      <c r="G3530" s="6" t="n">
        <f aca="false">Sens!G3429*(al_srch+Sens!G3525)</f>
        <v>10.9476273573007</v>
      </c>
      <c r="H3530" s="6" t="n">
        <f aca="false">Sens!H3429*(al_srch+Sens!H3525)</f>
        <v>11.9799428790986</v>
      </c>
      <c r="I3530" s="6" t="n">
        <f aca="false">Sens!I3429*(al_srch+Sens!I3525)</f>
        <v>13.0433105632187</v>
      </c>
      <c r="J3530" s="6" t="n">
        <f aca="false">Sens!J3429*(al_srch+Sens!J3525)</f>
        <v>14.1201230751804</v>
      </c>
      <c r="K3530" s="6" t="n">
        <f aca="false">Sens!K3429*(al_srch+Sens!K3525)</f>
        <v>15.1855305587908</v>
      </c>
    </row>
    <row r="3531" customFormat="false" ht="17.15" hidden="false" customHeight="false" outlineLevel="0" collapsed="false">
      <c r="A3531" s="0" t="s">
        <v>954</v>
      </c>
      <c r="B3531" s="0" t="s">
        <v>95</v>
      </c>
      <c r="F3531" s="6" t="n">
        <f aca="false">Sens!F3398</f>
        <v>39.4594407491938</v>
      </c>
      <c r="G3531" s="6" t="n">
        <f aca="false">Sens!G3398</f>
        <v>66.5527545578061</v>
      </c>
      <c r="H3531" s="6" t="n">
        <f aca="false">Sens!H3398</f>
        <v>95.219644983859</v>
      </c>
      <c r="I3531" s="6" t="n">
        <f aca="false">Sens!I3398</f>
        <v>124.031840462493</v>
      </c>
      <c r="J3531" s="6" t="n">
        <f aca="false">Sens!J3398</f>
        <v>152.919994097909</v>
      </c>
      <c r="K3531" s="6" t="n">
        <f aca="false">Sens!K3398</f>
        <v>181.852830263848</v>
      </c>
    </row>
    <row r="3532" customFormat="false" ht="17.15" hidden="false" customHeight="false" outlineLevel="0" collapsed="false">
      <c r="A3532" s="0" t="s">
        <v>955</v>
      </c>
      <c r="B3532" s="0" t="s">
        <v>95</v>
      </c>
      <c r="F3532" s="6" t="n">
        <f aca="false">Sens!F3458+Sens!F3409+Sens!F3525*(Sens!F3428-Sens!F3392)</f>
        <v>212.746070477491</v>
      </c>
      <c r="G3532" s="6" t="n">
        <f aca="false">Sens!G3458+Sens!G3409+Sens!G3525*(Sens!G3428-Sens!G3392)</f>
        <v>260.581883772936</v>
      </c>
      <c r="H3532" s="6" t="n">
        <f aca="false">Sens!H3458+Sens!H3409+Sens!H3525*(Sens!H3428-Sens!H3392)</f>
        <v>310.222702580474</v>
      </c>
      <c r="I3532" s="6" t="n">
        <f aca="false">Sens!I3458+Sens!I3409+Sens!I3525*(Sens!I3428-Sens!I3392)</f>
        <v>358.832489755768</v>
      </c>
      <c r="J3532" s="6" t="n">
        <f aca="false">Sens!J3458+Sens!J3409+Sens!J3525*(Sens!J3428-Sens!J3392)</f>
        <v>405.510713195399</v>
      </c>
      <c r="K3532" s="6" t="n">
        <f aca="false">Sens!K3458+Sens!K3409+Sens!K3525*(Sens!K3428-Sens!K3392)</f>
        <v>450.246130651764</v>
      </c>
    </row>
    <row r="3533" customFormat="false" ht="17.15" hidden="false" customHeight="false" outlineLevel="0" collapsed="false">
      <c r="A3533" s="0" t="s">
        <v>956</v>
      </c>
      <c r="B3533" s="0" t="s">
        <v>95</v>
      </c>
      <c r="F3533" s="6" t="n">
        <f aca="false">Sens!F3532-Sens!F3526-Sens!F3527-Sens!F3528-Sens!F3529-Sens!F3531</f>
        <v>51.8471604113628</v>
      </c>
      <c r="G3533" s="6" t="n">
        <f aca="false">Sens!G3532-Sens!G3526-Sens!G3527-Sens!G3528-Sens!G3529-Sens!G3531</f>
        <v>58.5591245680245</v>
      </c>
      <c r="H3533" s="6" t="n">
        <f aca="false">Sens!H3532-Sens!H3526-Sens!H3527-Sens!H3528-Sens!H3529-Sens!H3531</f>
        <v>65.36643737728</v>
      </c>
      <c r="I3533" s="6" t="n">
        <f aca="false">Sens!I3532-Sens!I3526-Sens!I3527-Sens!I3528-Sens!I3529-Sens!I3531</f>
        <v>71.9919407481531</v>
      </c>
      <c r="J3533" s="6" t="n">
        <f aca="false">Sens!J3532-Sens!J3526-Sens!J3527-Sens!J3528-Sens!J3529-Sens!J3531</f>
        <v>77.8164633474162</v>
      </c>
      <c r="K3533" s="6" t="n">
        <f aca="false">Sens!K3532-Sens!K3526-Sens!K3527-Sens!K3528-Sens!K3529-Sens!K3531</f>
        <v>82.1344121458396</v>
      </c>
    </row>
    <row r="3534" customFormat="false" ht="17.15" hidden="false" customHeight="false" outlineLevel="0" collapsed="false">
      <c r="A3534" s="0" t="s">
        <v>957</v>
      </c>
      <c r="B3534" s="0" t="s">
        <v>95</v>
      </c>
      <c r="F3534" s="6" t="n">
        <f aca="false">Sens!F3460+Sens!F3525*Sens!F3435</f>
        <v>23.2403022659392</v>
      </c>
      <c r="G3534" s="6" t="n">
        <f aca="false">Sens!G3460+Sens!G3525*Sens!G3435</f>
        <v>23.8649879381515</v>
      </c>
      <c r="H3534" s="6" t="n">
        <f aca="false">Sens!H3460+Sens!H3525*Sens!H3435</f>
        <v>24.7186785350741</v>
      </c>
      <c r="I3534" s="6" t="n">
        <f aca="false">Sens!I3460+Sens!I3525*Sens!I3435</f>
        <v>25.7788608571537</v>
      </c>
      <c r="J3534" s="6" t="n">
        <f aca="false">Sens!J3460+Sens!J3525*Sens!J3435</f>
        <v>27.0170200811699</v>
      </c>
      <c r="K3534" s="6" t="n">
        <f aca="false">Sens!K3460+Sens!K3525*Sens!K3435</f>
        <v>28.4014846597016</v>
      </c>
    </row>
    <row r="3535" customFormat="false" ht="17.15" hidden="false" customHeight="false" outlineLevel="0" collapsed="false">
      <c r="A3535" s="0" t="s">
        <v>958</v>
      </c>
      <c r="B3535" s="0" t="s">
        <v>95</v>
      </c>
      <c r="F3535" s="6" t="n">
        <f aca="false">(Sens!F3534-Sens!F3530)*Sens!F3431/(Sens!F3431+Sens!F3433)</f>
        <v>7.28257370142131</v>
      </c>
      <c r="G3535" s="6" t="n">
        <f aca="false">(Sens!G3534-Sens!G3530)*Sens!G3431/(Sens!G3431+Sens!G3433)</f>
        <v>6.95491441867816</v>
      </c>
      <c r="H3535" s="6" t="n">
        <f aca="false">(Sens!H3534-Sens!H3530)*Sens!H3431/(Sens!H3431+Sens!H3433)</f>
        <v>6.76608977634472</v>
      </c>
      <c r="I3535" s="6" t="n">
        <f aca="false">(Sens!I3534-Sens!I3530)*Sens!I3431/(Sens!I3431+Sens!I3433)</f>
        <v>6.70319353544553</v>
      </c>
      <c r="J3535" s="6" t="n">
        <f aca="false">(Sens!J3534-Sens!J3530)*Sens!J3431/(Sens!J3431+Sens!J3433)</f>
        <v>6.75742069622132</v>
      </c>
      <c r="K3535" s="6" t="n">
        <f aca="false">(Sens!K3534-Sens!K3530)*Sens!K3431/(Sens!K3431+Sens!K3433)</f>
        <v>6.92459292497494</v>
      </c>
    </row>
    <row r="3536" customFormat="false" ht="17.15" hidden="false" customHeight="false" outlineLevel="0" collapsed="false">
      <c r="A3536" s="0" t="s">
        <v>959</v>
      </c>
      <c r="B3536" s="0" t="s">
        <v>95</v>
      </c>
      <c r="F3536" s="6" t="n">
        <f aca="false">Sens!F3534-Sens!F3530-Sens!F3535</f>
        <v>6.00218203201041</v>
      </c>
      <c r="G3536" s="6" t="n">
        <f aca="false">Sens!G3534-Sens!G3530-Sens!G3535</f>
        <v>5.96244616217271</v>
      </c>
      <c r="H3536" s="6" t="n">
        <f aca="false">Sens!H3534-Sens!H3530-Sens!H3535</f>
        <v>5.97264587963072</v>
      </c>
      <c r="I3536" s="6" t="n">
        <f aca="false">Sens!I3534-Sens!I3530-Sens!I3535</f>
        <v>6.03235675848946</v>
      </c>
      <c r="J3536" s="6" t="n">
        <f aca="false">Sens!J3534-Sens!J3530-Sens!J3535</f>
        <v>6.13947630976826</v>
      </c>
      <c r="K3536" s="6" t="n">
        <f aca="false">Sens!K3534-Sens!K3530-Sens!K3535</f>
        <v>6.29136117593591</v>
      </c>
    </row>
    <row r="3537" customFormat="false" ht="17.15" hidden="false" customHeight="false" outlineLevel="0" collapsed="false">
      <c r="A3537" s="1" t="s">
        <v>960</v>
      </c>
      <c r="B3537" s="0" t="s">
        <v>95</v>
      </c>
      <c r="C3537" s="6" t="n">
        <f aca="false">(w_ntm28*Sens!G3531+(1-w_ntm28)*Sens!H3531)*m_ai*1</f>
        <v>454.922440830797</v>
      </c>
    </row>
    <row r="3538" customFormat="false" ht="17.15" hidden="false" customHeight="false" outlineLevel="0" collapsed="false">
      <c r="A3538" s="1" t="s">
        <v>961</v>
      </c>
      <c r="B3538" s="0" t="s">
        <v>95</v>
      </c>
      <c r="C3538" s="6" t="n">
        <f aca="false">(w_ntm28*Sens!G3533+(1-w_ntm28)*Sens!H3533)*m_cloud*1</f>
        <v>839.701056151527</v>
      </c>
    </row>
    <row r="3539" customFormat="false" ht="17.15" hidden="false" customHeight="false" outlineLevel="0" collapsed="false">
      <c r="A3539" s="1" t="s">
        <v>962</v>
      </c>
      <c r="B3539" s="0" t="s">
        <v>95</v>
      </c>
      <c r="C3539" s="6" t="n">
        <f aca="false">(w_ntm28*Sens!G3526+(1-w_ntm28)*Sens!H3526)*m_sw*1</f>
        <v>1017.6794048233</v>
      </c>
    </row>
    <row r="3540" customFormat="false" ht="17.15" hidden="false" customHeight="false" outlineLevel="0" collapsed="false">
      <c r="A3540" s="1" t="s">
        <v>963</v>
      </c>
      <c r="B3540" s="0" t="s">
        <v>95</v>
      </c>
      <c r="C3540" s="6" t="n">
        <f aca="false">(w_ntm28*Sens!G3527+(1-w_ntm28)*Sens!H3527)*m_sw*1</f>
        <v>360.169571271217</v>
      </c>
    </row>
    <row r="3541" customFormat="false" ht="17.15" hidden="false" customHeight="false" outlineLevel="0" collapsed="false">
      <c r="A3541" s="1" t="s">
        <v>964</v>
      </c>
      <c r="B3541" s="0" t="s">
        <v>95</v>
      </c>
      <c r="C3541" s="6" t="n">
        <f aca="false">(w_ntm28*Sens!G3528+(1-w_ntm28)*Sens!H3528)*m_sw*1</f>
        <v>97.4945308679351</v>
      </c>
    </row>
    <row r="3542" customFormat="false" ht="17.15" hidden="false" customHeight="false" outlineLevel="0" collapsed="false">
      <c r="A3542" s="1" t="s">
        <v>965</v>
      </c>
      <c r="B3542" s="0" t="s">
        <v>95</v>
      </c>
      <c r="C3542" s="6" t="n">
        <f aca="false">(w_ntm28*Sens!G3529+(1-w_ntm28)*Sens!H3529)*m_sw*1</f>
        <v>37.1953785283443</v>
      </c>
    </row>
    <row r="3543" customFormat="false" ht="17.15" hidden="false" customHeight="false" outlineLevel="0" collapsed="false">
      <c r="A3543" s="1" t="s">
        <v>966</v>
      </c>
      <c r="B3543" s="0" t="s">
        <v>95</v>
      </c>
      <c r="C3543" s="6" t="n">
        <f aca="false">(w_ntm28*Sens!G3530+(1-w_ntm28)*Sens!H3530)*m_ads*1</f>
        <v>102.773209991098</v>
      </c>
    </row>
    <row r="3544" customFormat="false" ht="17.15" hidden="false" customHeight="false" outlineLevel="0" collapsed="false">
      <c r="A3544" s="1" t="s">
        <v>967</v>
      </c>
      <c r="B3544" s="0" t="s">
        <v>95</v>
      </c>
      <c r="C3544" s="6" t="n">
        <f aca="false">(w_ntm28*Sens!G3535+(1-w_ntm28)*Sens!H3535)*m_game*1</f>
        <v>87.0695748135073</v>
      </c>
    </row>
    <row r="3545" customFormat="false" ht="17.15" hidden="false" customHeight="false" outlineLevel="0" collapsed="false">
      <c r="A3545" s="1" t="s">
        <v>968</v>
      </c>
      <c r="B3545" s="0" t="s">
        <v>95</v>
      </c>
      <c r="C3545" s="6" t="n">
        <f aca="false">(w_ntm28*Sens!G3536+(1-w_ntm28)*Sens!H3536)*m_pc*1</f>
        <v>86.3243099654634</v>
      </c>
    </row>
    <row r="3546" customFormat="false" ht="17.15" hidden="false" customHeight="false" outlineLevel="0" collapsed="false">
      <c r="A3546" s="1" t="s">
        <v>969</v>
      </c>
      <c r="B3546" s="0" t="s">
        <v>95</v>
      </c>
      <c r="C3546" s="6" t="n">
        <f aca="false">Sens!$C$3537+Sens!$C$3538+Sens!$C$3539+Sens!$C$3540+Sens!$C$3541+Sens!$C$3542+Sens!$C$3543+Sens!$C$3544+Sens!$C$3545</f>
        <v>3083.32947724319</v>
      </c>
    </row>
    <row r="3547" customFormat="false" ht="17.15" hidden="false" customHeight="false" outlineLevel="0" collapsed="false">
      <c r="A3547" s="1" t="s">
        <v>903</v>
      </c>
      <c r="B3547" s="0" t="s">
        <v>95</v>
      </c>
      <c r="C3547" s="6" t="n">
        <f aca="false">Sens!F3504+oai_v-Sens!F3493</f>
        <v>112.634472637821</v>
      </c>
      <c r="L3547" s="1" t="s">
        <v>970</v>
      </c>
    </row>
    <row r="3548" customFormat="false" ht="15" hidden="false" customHeight="false" outlineLevel="0" collapsed="false">
      <c r="A3548" s="1" t="s">
        <v>904</v>
      </c>
      <c r="B3548" s="0" t="s">
        <v>73</v>
      </c>
      <c r="C3548" s="5" t="n">
        <f aca="false">(Sens!$C$3546+Sens!$C$3547)/Sens!F3506</f>
        <v>427.72536802476</v>
      </c>
    </row>
    <row r="3549" customFormat="false" ht="17.15" hidden="false" customHeight="false" outlineLevel="0" collapsed="false">
      <c r="A3549" s="1" t="s">
        <v>971</v>
      </c>
      <c r="B3549" s="0" t="s">
        <v>73</v>
      </c>
      <c r="C3549" s="5" t="n">
        <f aca="false">w_dcf*Sens!$C$3524+(1-w_dcf)*Sens!$C$3548</f>
        <v>317.711257887675</v>
      </c>
    </row>
    <row r="3550" customFormat="false" ht="17.15" hidden="false" customHeight="false" outlineLevel="0" collapsed="false">
      <c r="A3550" s="3" t="s">
        <v>1214</v>
      </c>
    </row>
    <row r="3551" customFormat="false" ht="15" hidden="false" customHeight="false" outlineLevel="0" collapsed="false">
      <c r="A3551" s="4" t="s">
        <v>43</v>
      </c>
      <c r="B3551" s="4" t="s">
        <v>63</v>
      </c>
      <c r="C3551" s="19" t="s">
        <v>710</v>
      </c>
      <c r="D3551" s="19" t="s">
        <v>711</v>
      </c>
      <c r="E3551" s="19" t="s">
        <v>712</v>
      </c>
      <c r="F3551" s="19" t="s">
        <v>713</v>
      </c>
      <c r="G3551" s="19" t="s">
        <v>714</v>
      </c>
      <c r="H3551" s="19" t="s">
        <v>715</v>
      </c>
      <c r="I3551" s="19" t="s">
        <v>716</v>
      </c>
      <c r="J3551" s="19" t="s">
        <v>717</v>
      </c>
      <c r="K3551" s="19" t="s">
        <v>718</v>
      </c>
      <c r="L3551" s="4" t="s">
        <v>47</v>
      </c>
    </row>
    <row r="3552" customFormat="false" ht="17.15" hidden="false" customHeight="false" outlineLevel="0" collapsed="false">
      <c r="A3552" s="1" t="s">
        <v>719</v>
      </c>
      <c r="B3552" s="0" t="s">
        <v>340</v>
      </c>
      <c r="C3552" s="27" t="n">
        <f aca="false">mw_ext_24</f>
        <v>640</v>
      </c>
      <c r="D3552" s="27" t="n">
        <f aca="false">mw_ext_25</f>
        <v>1630</v>
      </c>
      <c r="E3552" s="27" t="n">
        <f aca="false">mw_ext_26</f>
        <v>3250</v>
      </c>
      <c r="F3552" s="27" t="n">
        <f aca="false">MIN(1000000000,Sens!E3552+pace)</f>
        <v>5777.2</v>
      </c>
      <c r="G3552" s="27" t="n">
        <f aca="false">MIN(1000000000,Sens!F3552+pace)</f>
        <v>8304.4</v>
      </c>
      <c r="H3552" s="27" t="n">
        <f aca="false">MIN(1000000000,Sens!G3552+pace)</f>
        <v>10831.6</v>
      </c>
      <c r="I3552" s="27" t="n">
        <f aca="false">MIN(1000000000,Sens!H3552+pace)</f>
        <v>13358.8</v>
      </c>
      <c r="J3552" s="27" t="n">
        <f aca="false">MIN(1000000000,Sens!I3552+pace)</f>
        <v>15886</v>
      </c>
      <c r="K3552" s="27" t="n">
        <f aca="false">MIN(1000000000,Sens!J3552+pace)</f>
        <v>18413.2</v>
      </c>
      <c r="L3552" s="11" t="s">
        <v>720</v>
      </c>
    </row>
    <row r="3553" customFormat="false" ht="17.15" hidden="false" customHeight="false" outlineLevel="0" collapsed="false">
      <c r="A3553" s="1" t="s">
        <v>721</v>
      </c>
      <c r="B3553" s="0" t="s">
        <v>340</v>
      </c>
      <c r="C3553" s="27" t="n">
        <f aca="false">rent_ext_24</f>
        <v>150</v>
      </c>
      <c r="D3553" s="27" t="n">
        <f aca="false">rent_ext_25</f>
        <v>400</v>
      </c>
      <c r="E3553" s="27" t="n">
        <f aca="false">rent_ext_26</f>
        <v>550</v>
      </c>
      <c r="F3553" s="27" t="n">
        <f aca="false">rent_ext_f</f>
        <v>756</v>
      </c>
      <c r="G3553" s="27" t="n">
        <f aca="false">rent_ext_f</f>
        <v>756</v>
      </c>
      <c r="H3553" s="27" t="n">
        <f aca="false">rent_ext_f</f>
        <v>756</v>
      </c>
      <c r="I3553" s="27" t="n">
        <f aca="false">rent_ext_f</f>
        <v>756</v>
      </c>
      <c r="J3553" s="27" t="n">
        <f aca="false">rent_ext_f</f>
        <v>756</v>
      </c>
      <c r="K3553" s="27" t="n">
        <f aca="false">rent_ext_f</f>
        <v>756</v>
      </c>
      <c r="L3553" s="1" t="s">
        <v>722</v>
      </c>
    </row>
    <row r="3554" customFormat="false" ht="17.15" hidden="false" customHeight="false" outlineLevel="0" collapsed="false">
      <c r="A3554" s="1" t="s">
        <v>723</v>
      </c>
      <c r="B3554" s="0" t="s">
        <v>340</v>
      </c>
      <c r="C3554" s="27" t="n">
        <f aca="false">Sens!C3552-Sens!C3553</f>
        <v>490</v>
      </c>
      <c r="D3554" s="27" t="n">
        <f aca="false">Sens!D3552-Sens!D3553</f>
        <v>1230</v>
      </c>
      <c r="E3554" s="27" t="n">
        <f aca="false">Sens!E3552-Sens!E3553</f>
        <v>2700</v>
      </c>
      <c r="F3554" s="27" t="n">
        <f aca="false">Sens!F3552-Sens!F3553</f>
        <v>5021.2</v>
      </c>
      <c r="G3554" s="27" t="n">
        <f aca="false">Sens!G3552-Sens!G3553</f>
        <v>7548.4</v>
      </c>
      <c r="H3554" s="27" t="n">
        <f aca="false">Sens!H3552-Sens!H3553</f>
        <v>10075.6</v>
      </c>
      <c r="I3554" s="27" t="n">
        <f aca="false">Sens!I3552-Sens!I3553</f>
        <v>12602.8</v>
      </c>
      <c r="J3554" s="27" t="n">
        <f aca="false">Sens!J3552-Sens!J3553</f>
        <v>15130</v>
      </c>
      <c r="K3554" s="27" t="n">
        <f aca="false">Sens!K3552-Sens!K3553</f>
        <v>17657.2</v>
      </c>
    </row>
    <row r="3555" customFormat="false" ht="17.15" hidden="false" customHeight="false" outlineLevel="0" collapsed="false">
      <c r="A3555" s="1" t="s">
        <v>724</v>
      </c>
      <c r="B3555" s="0" t="s">
        <v>340</v>
      </c>
      <c r="C3555" s="27" t="n">
        <f aca="false">Sens!C3554/ext_sh</f>
        <v>816.666666666667</v>
      </c>
      <c r="D3555" s="27" t="n">
        <f aca="false">Sens!D3554/ext_sh</f>
        <v>2050</v>
      </c>
      <c r="E3555" s="27" t="n">
        <f aca="false">Sens!E3554/ext_sh</f>
        <v>4500</v>
      </c>
      <c r="F3555" s="27" t="n">
        <f aca="false">Sens!F3554/ext_sh</f>
        <v>8368.66666666667</v>
      </c>
      <c r="G3555" s="27" t="n">
        <f aca="false">Sens!G3554/ext_sh</f>
        <v>12580.6666666667</v>
      </c>
      <c r="H3555" s="27" t="n">
        <f aca="false">Sens!H3554/ext_sh</f>
        <v>16792.6666666667</v>
      </c>
      <c r="I3555" s="27" t="n">
        <f aca="false">Sens!I3554/ext_sh</f>
        <v>21004.6666666667</v>
      </c>
      <c r="J3555" s="27" t="n">
        <f aca="false">Sens!J3554/ext_sh</f>
        <v>25216.6666666667</v>
      </c>
      <c r="K3555" s="27" t="n">
        <f aca="false">Sens!K3554/ext_sh</f>
        <v>29428.6666666667</v>
      </c>
      <c r="L3555" s="1" t="s">
        <v>725</v>
      </c>
    </row>
    <row r="3556" customFormat="false" ht="17.15" hidden="false" customHeight="false" outlineLevel="0" collapsed="false">
      <c r="A3556" s="1" t="s">
        <v>726</v>
      </c>
      <c r="B3556" s="0" t="s">
        <v>340</v>
      </c>
      <c r="C3556" s="27" t="n">
        <f aca="false">Sens!C3555-Sens!C3554</f>
        <v>326.666666666667</v>
      </c>
      <c r="D3556" s="27" t="n">
        <f aca="false">Sens!D3555-Sens!D3554</f>
        <v>820</v>
      </c>
      <c r="E3556" s="27" t="n">
        <f aca="false">Sens!E3555-Sens!E3554</f>
        <v>1800</v>
      </c>
      <c r="F3556" s="27" t="n">
        <f aca="false">Sens!F3555-Sens!F3554</f>
        <v>3347.46666666667</v>
      </c>
      <c r="G3556" s="27" t="n">
        <f aca="false">Sens!G3555-Sens!G3554</f>
        <v>5032.26666666667</v>
      </c>
      <c r="H3556" s="27" t="n">
        <f aca="false">Sens!H3555-Sens!H3554</f>
        <v>6717.06666666667</v>
      </c>
      <c r="I3556" s="27" t="n">
        <f aca="false">Sens!I3555-Sens!I3554</f>
        <v>8401.86666666667</v>
      </c>
      <c r="J3556" s="27" t="n">
        <f aca="false">Sens!J3555-Sens!J3554</f>
        <v>10086.6666666667</v>
      </c>
      <c r="K3556" s="27" t="n">
        <f aca="false">Sens!K3555-Sens!K3554</f>
        <v>11771.4666666667</v>
      </c>
    </row>
    <row r="3557" customFormat="false" ht="17.15" hidden="false" customHeight="false" outlineLevel="0" collapsed="false">
      <c r="A3557" s="1" t="s">
        <v>727</v>
      </c>
      <c r="B3557" s="0" t="s">
        <v>340</v>
      </c>
      <c r="C3557" s="27" t="n">
        <f aca="false">Sens!C3555</f>
        <v>816.666666666667</v>
      </c>
      <c r="D3557" s="27" t="n">
        <f aca="false">Sens!D3555-Sens!C3555</f>
        <v>1233.33333333333</v>
      </c>
      <c r="E3557" s="27" t="n">
        <f aca="false">Sens!E3555-Sens!D3555</f>
        <v>2450</v>
      </c>
      <c r="F3557" s="27" t="n">
        <f aca="false">Sens!F3555-Sens!E3555</f>
        <v>3868.66666666667</v>
      </c>
      <c r="G3557" s="27" t="n">
        <f aca="false">Sens!G3555-Sens!F3555</f>
        <v>4212</v>
      </c>
      <c r="H3557" s="27" t="n">
        <f aca="false">Sens!H3555-Sens!G3555</f>
        <v>4212</v>
      </c>
      <c r="I3557" s="27" t="n">
        <f aca="false">Sens!I3555-Sens!H3555</f>
        <v>4212</v>
      </c>
      <c r="J3557" s="27" t="n">
        <f aca="false">Sens!J3555-Sens!I3555</f>
        <v>4212</v>
      </c>
      <c r="K3557" s="27" t="n">
        <f aca="false">Sens!K3555-Sens!J3555</f>
        <v>4212</v>
      </c>
    </row>
    <row r="3558" customFormat="false" ht="17.15" hidden="false" customHeight="false" outlineLevel="0" collapsed="false">
      <c r="A3558" s="1" t="s">
        <v>728</v>
      </c>
      <c r="B3558" s="0" t="s">
        <v>340</v>
      </c>
      <c r="D3558" s="27" t="n">
        <f aca="false">Sens!D3552-Sens!C3552</f>
        <v>990</v>
      </c>
      <c r="E3558" s="27" t="n">
        <f aca="false">Sens!E3552-Sens!D3552</f>
        <v>1620</v>
      </c>
      <c r="F3558" s="27" t="n">
        <f aca="false">Sens!F3552-Sens!E3552</f>
        <v>2527.2</v>
      </c>
      <c r="G3558" s="27" t="n">
        <f aca="false">Sens!G3552-Sens!F3552</f>
        <v>2527.2</v>
      </c>
      <c r="H3558" s="27" t="n">
        <f aca="false">Sens!H3552-Sens!G3552</f>
        <v>2527.2</v>
      </c>
      <c r="I3558" s="27" t="n">
        <f aca="false">Sens!I3552-Sens!H3552</f>
        <v>2527.2</v>
      </c>
      <c r="J3558" s="27" t="n">
        <f aca="false">Sens!J3552-Sens!I3552</f>
        <v>2527.2</v>
      </c>
      <c r="K3558" s="27" t="n">
        <f aca="false">Sens!K3552-Sens!J3552</f>
        <v>2527.2</v>
      </c>
    </row>
    <row r="3559" customFormat="false" ht="17.15" hidden="false" customHeight="false" outlineLevel="0" collapsed="false">
      <c r="A3559" s="1" t="s">
        <v>729</v>
      </c>
      <c r="B3559" s="0" t="s">
        <v>340</v>
      </c>
      <c r="C3559" s="27" t="n">
        <f aca="false">mix_h*Sens!C3552</f>
        <v>128</v>
      </c>
      <c r="D3559" s="27" t="n">
        <f aca="false">mix_h*Sens!D3552</f>
        <v>326</v>
      </c>
      <c r="E3559" s="27" t="n">
        <f aca="false">mix_h*Sens!E3552</f>
        <v>650</v>
      </c>
      <c r="F3559" s="27" t="n">
        <f aca="false">Sens!E3559</f>
        <v>650</v>
      </c>
      <c r="G3559" s="27" t="n">
        <f aca="false">Sens!F3559</f>
        <v>650</v>
      </c>
      <c r="H3559" s="27" t="n">
        <f aca="false">Sens!G3559</f>
        <v>650</v>
      </c>
      <c r="I3559" s="27" t="n">
        <f aca="false">Sens!H3559</f>
        <v>650</v>
      </c>
      <c r="J3559" s="27" t="n">
        <f aca="false">Sens!I3559</f>
        <v>650</v>
      </c>
      <c r="K3559" s="27" t="n">
        <f aca="false">Sens!J3559</f>
        <v>650</v>
      </c>
    </row>
    <row r="3560" customFormat="false" ht="17.15" hidden="false" customHeight="false" outlineLevel="0" collapsed="false">
      <c r="A3560" s="1" t="s">
        <v>730</v>
      </c>
      <c r="B3560" s="0" t="s">
        <v>340</v>
      </c>
      <c r="C3560" s="27" t="n">
        <f aca="false">mix_g2*Sens!C3552</f>
        <v>288</v>
      </c>
      <c r="D3560" s="27" t="n">
        <f aca="false">mix_g2*Sens!D3552</f>
        <v>733.5</v>
      </c>
      <c r="E3560" s="27" t="n">
        <f aca="false">mix_g2*Sens!E3552</f>
        <v>1462.5</v>
      </c>
      <c r="F3560" s="27" t="n">
        <f aca="false">Sens!E3560</f>
        <v>1462.5</v>
      </c>
      <c r="G3560" s="27" t="n">
        <f aca="false">Sens!F3560</f>
        <v>1462.5</v>
      </c>
      <c r="H3560" s="27" t="n">
        <f aca="false">Sens!G3560</f>
        <v>1462.5</v>
      </c>
      <c r="I3560" s="27" t="n">
        <f aca="false">Sens!H3560</f>
        <v>1462.5</v>
      </c>
      <c r="J3560" s="27" t="n">
        <f aca="false">Sens!I3560</f>
        <v>1462.5</v>
      </c>
      <c r="K3560" s="27" t="n">
        <f aca="false">Sens!J3560</f>
        <v>1462.5</v>
      </c>
    </row>
    <row r="3561" customFormat="false" ht="17.15" hidden="false" customHeight="false" outlineLevel="0" collapsed="false">
      <c r="A3561" s="1" t="s">
        <v>731</v>
      </c>
      <c r="B3561" s="0" t="s">
        <v>340</v>
      </c>
      <c r="C3561" s="27" t="n">
        <f aca="false">mix_g3*Sens!C3552</f>
        <v>224</v>
      </c>
      <c r="D3561" s="27" t="n">
        <f aca="false">mix_g3*Sens!D3552</f>
        <v>570.5</v>
      </c>
      <c r="E3561" s="27" t="n">
        <f aca="false">mix_g3*Sens!E3552</f>
        <v>1137.5</v>
      </c>
      <c r="F3561" s="27" t="n">
        <f aca="false">Sens!E3561+Sens!F3558*a_g3_27</f>
        <v>2906.54</v>
      </c>
      <c r="G3561" s="27" t="n">
        <f aca="false">Sens!F3561+Sens!G3558*a_g3_28</f>
        <v>3664.7</v>
      </c>
      <c r="H3561" s="27" t="n">
        <f aca="false">Sens!G3561+Sens!H3558*a_g3_29</f>
        <v>3917.42</v>
      </c>
      <c r="I3561" s="27" t="n">
        <f aca="false">Sens!H3561+Sens!I3558*a_g3_29</f>
        <v>4170.14</v>
      </c>
      <c r="J3561" s="27" t="n">
        <f aca="false">Sens!I3561+Sens!J3558*a_g3_29</f>
        <v>4422.86</v>
      </c>
      <c r="K3561" s="27" t="n">
        <f aca="false">Sens!J3561+Sens!K3558*a_g3_29</f>
        <v>4675.58</v>
      </c>
    </row>
    <row r="3562" customFormat="false" ht="17.15" hidden="false" customHeight="false" outlineLevel="0" collapsed="false">
      <c r="A3562" s="1" t="s">
        <v>732</v>
      </c>
      <c r="B3562" s="0" t="s">
        <v>340</v>
      </c>
      <c r="C3562" s="27" t="n">
        <f aca="false">0</f>
        <v>0</v>
      </c>
      <c r="D3562" s="27" t="n">
        <f aca="false">0</f>
        <v>0</v>
      </c>
      <c r="E3562" s="27" t="n">
        <f aca="false">0</f>
        <v>0</v>
      </c>
      <c r="F3562" s="27" t="n">
        <f aca="false">Sens!E3562+Sens!F3558*(1-a_g3_27)</f>
        <v>758.16</v>
      </c>
      <c r="G3562" s="27" t="n">
        <f aca="false">Sens!F3562+Sens!G3558*(1-a_g3_28)</f>
        <v>2527.2</v>
      </c>
      <c r="H3562" s="27" t="n">
        <f aca="false">Sens!G3562+Sens!H3558*(1-a_g3_29)</f>
        <v>4801.68</v>
      </c>
      <c r="I3562" s="27" t="n">
        <f aca="false">Sens!H3562+Sens!I3558*(1-a_g3_29)</f>
        <v>7076.16</v>
      </c>
      <c r="J3562" s="27" t="n">
        <f aca="false">Sens!I3562+Sens!J3558*(1-a_g3_29)</f>
        <v>9350.64</v>
      </c>
      <c r="K3562" s="27" t="n">
        <f aca="false">Sens!J3562+Sens!K3558*(1-a_g3_29)</f>
        <v>11625.12</v>
      </c>
    </row>
    <row r="3563" customFormat="false" ht="17.15" hidden="false" customHeight="false" outlineLevel="0" collapsed="false">
      <c r="A3563" s="1" t="s">
        <v>733</v>
      </c>
      <c r="B3563" s="0" t="s">
        <v>291</v>
      </c>
      <c r="C3563" s="18" t="n">
        <f aca="false">(Sens!C3559*tk_hold_h100+Sens!C3560*tk_hold_gb200+Sens!C3561*tk_hold_gb300+Sens!C3562*tk_hold_vr200)/Sens!C3552</f>
        <v>9.7235358126469</v>
      </c>
      <c r="D3563" s="18" t="n">
        <f aca="false">(Sens!D3559*tk_hold_h100+Sens!D3560*tk_hold_gb200+Sens!D3561*tk_hold_gb300+Sens!D3562*tk_hold_vr200)/Sens!D3552</f>
        <v>9.7235358126469</v>
      </c>
      <c r="E3563" s="18" t="n">
        <f aca="false">(Sens!E3559*tk_hold_h100+Sens!E3560*tk_hold_gb200+Sens!E3561*tk_hold_gb300+Sens!E3562*tk_hold_vr200)/Sens!E3552</f>
        <v>9.7235358126469</v>
      </c>
      <c r="F3563" s="18" t="n">
        <f aca="false">(Sens!F3559*tk_hold_h100+Sens!F3560*tk_hold_gb200+Sens!F3561*tk_hold_gb300+Sens!F3562*tk_hold_vr200)/Sens!F3552</f>
        <v>10.4079573161931</v>
      </c>
      <c r="G3563" s="18" t="n">
        <f aca="false">(Sens!G3559*tk_hold_h100+Sens!G3560*tk_hold_gb200+Sens!G3561*tk_hold_gb300+Sens!G3562*tk_hold_vr200)/Sens!G3552</f>
        <v>10.8388131109316</v>
      </c>
      <c r="H3563" s="18" t="n">
        <f aca="false">(Sens!H3559*tk_hold_h100+Sens!H3560*tk_hold_gb200+Sens!H3561*tk_hold_gb300+Sens!H3562*tk_hold_vr200)/Sens!H3552</f>
        <v>11.1311018388216</v>
      </c>
      <c r="I3563" s="18" t="n">
        <f aca="false">(Sens!I3559*tk_hold_h100+Sens!I3560*tk_hold_gb200+Sens!I3561*tk_hold_gb300+Sens!I3562*tk_hold_vr200)/Sens!I3552</f>
        <v>11.3128009818501</v>
      </c>
      <c r="J3563" s="18" t="n">
        <f aca="false">(Sens!J3559*tk_hold_h100+Sens!J3560*tk_hold_gb200+Sens!J3561*tk_hold_gb300+Sens!J3562*tk_hold_vr200)/Sens!J3552</f>
        <v>11.4366894646418</v>
      </c>
      <c r="K3563" s="18" t="n">
        <f aca="false">(Sens!K3559*tk_hold_h100+Sens!K3560*tk_hold_gb200+Sens!K3561*tk_hold_gb300+Sens!K3562*tk_hold_vr200)/Sens!K3552</f>
        <v>11.526570716348</v>
      </c>
    </row>
    <row r="3564" customFormat="false" ht="17.15" hidden="false" customHeight="false" outlineLevel="0" collapsed="false">
      <c r="A3564" s="0" t="s">
        <v>734</v>
      </c>
      <c r="B3564" s="0" t="s">
        <v>182</v>
      </c>
      <c r="C3564" s="18" t="n">
        <f aca="false">k_B</f>
        <v>1.17213932619116</v>
      </c>
      <c r="D3564" s="18" t="n">
        <f aca="false">k_B</f>
        <v>1.17213932619116</v>
      </c>
      <c r="E3564" s="18" t="n">
        <f aca="false">k_B</f>
        <v>1.17213932619116</v>
      </c>
      <c r="F3564" s="18" t="n">
        <f aca="false">(k_B+((ls_C*k_long+(1-ls_C)*k_spot)-k_B)*MIN(1,1/3))*1</f>
        <v>1.07843258004497</v>
      </c>
      <c r="G3564" s="18" t="n">
        <f aca="false">(k_B+((ls_C*k_long+(1-ls_C)*k_spot)-k_B)*MIN(1,2/3))*1</f>
        <v>0.984725833898784</v>
      </c>
      <c r="H3564" s="18" t="n">
        <f aca="false">(k_B+((ls_C*k_long+(1-ls_C)*k_spot)-k_B)*MIN(1,3/3))*1</f>
        <v>0.891019087752599</v>
      </c>
      <c r="I3564" s="18" t="n">
        <f aca="false">(k_B+((ls_C*k_long+(1-ls_C)*k_spot)-k_B)*MIN(1,4/3))*1</f>
        <v>0.891019087752599</v>
      </c>
      <c r="J3564" s="18" t="n">
        <f aca="false">(k_B+((ls_C*k_long+(1-ls_C)*k_spot)-k_B)*MIN(1,5/3))*1</f>
        <v>0.891019087752599</v>
      </c>
      <c r="K3564" s="18" t="n">
        <f aca="false">(k_B+((ls_C*k_long+(1-ls_C)*k_spot)-k_B)*MIN(1,6/3))*1</f>
        <v>0.891019087752599</v>
      </c>
      <c r="L3564" s="1" t="s">
        <v>735</v>
      </c>
    </row>
    <row r="3565" customFormat="false" ht="17.15" hidden="false" customHeight="false" outlineLevel="0" collapsed="false">
      <c r="A3565" s="1" t="s">
        <v>736</v>
      </c>
      <c r="B3565" s="0" t="s">
        <v>291</v>
      </c>
      <c r="C3565" s="18" t="n">
        <f aca="false">Sens!C3563*Sens!C3564*chip_f</f>
        <v>11.3973387156315</v>
      </c>
      <c r="D3565" s="18" t="n">
        <f aca="false">Sens!D3563*Sens!D3564*chip_f</f>
        <v>11.3973387156315</v>
      </c>
      <c r="E3565" s="18" t="n">
        <f aca="false">Sens!E3563*Sens!E3564*chip_f</f>
        <v>11.3973387156315</v>
      </c>
      <c r="F3565" s="18" t="n">
        <f aca="false">Sens!F3563*Sens!F3564*chip_f</f>
        <v>11.2242802615</v>
      </c>
      <c r="G3565" s="18" t="n">
        <f aca="false">Sens!G3563*Sens!G3564*chip_f</f>
        <v>10.6732592791352</v>
      </c>
      <c r="H3565" s="18" t="n">
        <f aca="false">Sens!H3563*Sens!H3564*chip_f</f>
        <v>9.91802420610807</v>
      </c>
      <c r="I3565" s="18" t="n">
        <f aca="false">Sens!I3563*Sens!I3564*chip_f</f>
        <v>10.0799216107748</v>
      </c>
      <c r="J3565" s="18" t="n">
        <f aca="false">Sens!J3563*Sens!J3564*chip_f</f>
        <v>10.1903086136949</v>
      </c>
      <c r="K3565" s="18" t="n">
        <f aca="false">Sens!K3563*Sens!K3564*chip_f</f>
        <v>10.2703945245962</v>
      </c>
      <c r="L3565" s="1" t="s">
        <v>737</v>
      </c>
    </row>
    <row r="3566" customFormat="false" ht="17.15" hidden="false" customHeight="false" outlineLevel="0" collapsed="false">
      <c r="A3566" s="0" t="s">
        <v>738</v>
      </c>
      <c r="B3566" s="0" t="s">
        <v>95</v>
      </c>
      <c r="D3566" s="6" t="n">
        <f aca="false">(Sens!C3552+Sens!D3552)/2*Sens!D3565/1000</f>
        <v>12.9359794422418</v>
      </c>
      <c r="E3566" s="6" t="n">
        <f aca="false">(Sens!D3552+Sens!E3552)/2*Sens!E3565/1000</f>
        <v>27.8095064661409</v>
      </c>
      <c r="F3566" s="6" t="n">
        <f aca="false">(Sens!E3552+Sens!F3552)/2*Sens!F3565/1000</f>
        <v>50.6619113883066</v>
      </c>
      <c r="G3566" s="6" t="n">
        <f aca="false">(Sens!F3552+Sens!G3552)/2*Sens!G3565/1000</f>
        <v>75.1482839325348</v>
      </c>
      <c r="H3566" s="6" t="n">
        <f aca="false">(Sens!G3552+Sens!H3552)/2*Sens!H3565/1000</f>
        <v>94.895655604042</v>
      </c>
      <c r="I3566" s="6" t="n">
        <f aca="false">(Sens!H3552+Sens!I3552)/2*Sens!I3565/1000</f>
        <v>121.918667866643</v>
      </c>
      <c r="J3566" s="6" t="n">
        <f aca="false">(Sens!I3552+Sens!J3552)/2*Sens!J3565/1000</f>
        <v>149.006768672892</v>
      </c>
      <c r="K3566" s="6" t="n">
        <f aca="false">(Sens!J3552+Sens!K3552)/2*Sens!K3565/1000</f>
        <v>176.133157939015</v>
      </c>
      <c r="L3566" s="11" t="s">
        <v>739</v>
      </c>
    </row>
    <row r="3567" customFormat="false" ht="17.15" hidden="false" customHeight="false" outlineLevel="0" collapsed="false">
      <c r="A3567" s="1" t="s">
        <v>740</v>
      </c>
      <c r="B3567" s="0" t="s">
        <v>291</v>
      </c>
      <c r="C3567" s="18" t="n">
        <f aca="false">(Sens!C3559*tk_opex_h100+Sens!C3560*tk_opex_gb200+Sens!C3561*tk_opex_gb300+Sens!C3562*tk_opex_vr200)/Sens!C3552</f>
        <v>1.88636041306092</v>
      </c>
      <c r="D3567" s="18" t="n">
        <f aca="false">(Sens!D3559*tk_opex_h100+Sens!D3560*tk_opex_gb200+Sens!D3561*tk_opex_gb300+Sens!D3562*tk_opex_vr200)/Sens!D3552</f>
        <v>1.88636041306092</v>
      </c>
      <c r="E3567" s="18" t="n">
        <f aca="false">(Sens!E3559*tk_opex_h100+Sens!E3560*tk_opex_gb200+Sens!E3561*tk_opex_gb300+Sens!E3562*tk_opex_vr200)/Sens!E3552</f>
        <v>1.88636041306092</v>
      </c>
      <c r="F3567" s="18" t="n">
        <f aca="false">(Sens!F3559*tk_opex_h100+Sens!F3560*tk_opex_gb200+Sens!F3561*tk_opex_gb300+Sens!F3562*tk_opex_vr200)/Sens!F3552</f>
        <v>1.9430236476499</v>
      </c>
      <c r="G3567" s="18" t="n">
        <f aca="false">(Sens!G3559*tk_opex_h100+Sens!G3560*tk_opex_gb200+Sens!G3561*tk_opex_gb300+Sens!G3562*tk_opex_vr200)/Sens!G3552</f>
        <v>1.9786941852423</v>
      </c>
      <c r="H3567" s="18" t="n">
        <f aca="false">(Sens!H3559*tk_opex_h100+Sens!H3560*tk_opex_gb200+Sens!H3561*tk_opex_gb300+Sens!H3562*tk_opex_vr200)/Sens!H3552</f>
        <v>2.00289275976156</v>
      </c>
      <c r="I3567" s="18" t="n">
        <f aca="false">(Sens!I3559*tk_opex_h100+Sens!I3560*tk_opex_gb200+Sens!I3561*tk_opex_gb300+Sens!I3562*tk_opex_vr200)/Sens!I3552</f>
        <v>2.01793562605478</v>
      </c>
      <c r="J3567" s="18" t="n">
        <f aca="false">(Sens!J3559*tk_opex_h100+Sens!J3560*tk_opex_gb200+Sens!J3561*tk_opex_gb300+Sens!J3562*tk_opex_vr200)/Sens!J3552</f>
        <v>2.02819234961902</v>
      </c>
      <c r="K3567" s="18" t="n">
        <f aca="false">(Sens!K3559*tk_opex_h100+Sens!K3560*tk_opex_gb200+Sens!K3561*tk_opex_gb300+Sens!K3562*tk_opex_vr200)/Sens!K3552</f>
        <v>2.0356336155994</v>
      </c>
    </row>
    <row r="3568" customFormat="false" ht="17.15" hidden="false" customHeight="false" outlineLevel="0" collapsed="false">
      <c r="A3568" s="0" t="s">
        <v>741</v>
      </c>
      <c r="B3568" s="0" t="s">
        <v>95</v>
      </c>
      <c r="D3568" s="6" t="n">
        <f aca="false">(Sens!C3555+Sens!D3555)/2*Sens!D3567/1000</f>
        <v>2.70378325872065</v>
      </c>
      <c r="E3568" s="6" t="n">
        <f aca="false">(Sens!D3555+Sens!E3555)/2*Sens!E3567/1000</f>
        <v>6.17783035277451</v>
      </c>
      <c r="F3568" s="6" t="n">
        <f aca="false">(Sens!E3555+Sens!F3555)/2*Sens!F3567/1000</f>
        <v>12.5020618235287</v>
      </c>
      <c r="G3568" s="6" t="n">
        <f aca="false">(Sens!F3555+Sens!G3555)/2*Sens!G3567/1000</f>
        <v>20.7261620256847</v>
      </c>
      <c r="H3568" s="6" t="n">
        <f aca="false">(Sens!G3555+Sens!H3555)/2*Sens!H3567/1000</f>
        <v>29.4158183316982</v>
      </c>
      <c r="I3568" s="6" t="n">
        <f aca="false">(Sens!H3555+Sens!I3555)/2*Sens!I3567/1000</f>
        <v>38.1362927516005</v>
      </c>
      <c r="J3568" s="6" t="n">
        <f aca="false">(Sens!I3555+Sens!J3555)/2*Sens!J3567/1000</f>
        <v>46.8728773279286</v>
      </c>
      <c r="K3568" s="6" t="n">
        <f aca="false">(Sens!J3555+Sens!K3555)/2*Sens!K3567/1000</f>
        <v>55.618938734484</v>
      </c>
    </row>
    <row r="3569" customFormat="false" ht="17.15" hidden="false" customHeight="false" outlineLevel="0" collapsed="false">
      <c r="A3569" s="0" t="s">
        <v>742</v>
      </c>
      <c r="B3569" s="0" t="s">
        <v>95</v>
      </c>
      <c r="D3569" s="6" t="n">
        <f aca="false">(Sens!C3553+Sens!D3553)/2*rent_mw/1000</f>
        <v>2.44475</v>
      </c>
      <c r="E3569" s="6" t="n">
        <f aca="false">(Sens!D3553+Sens!E3553)/2*rent_mw/1000</f>
        <v>4.22275</v>
      </c>
      <c r="F3569" s="6" t="n">
        <f aca="false">(Sens!E3553+Sens!F3553)/2*rent_mw/1000</f>
        <v>5.80517</v>
      </c>
      <c r="G3569" s="6" t="n">
        <f aca="false">(Sens!F3553+Sens!G3553)/2*rent_mw/1000</f>
        <v>6.72084</v>
      </c>
      <c r="H3569" s="6" t="n">
        <f aca="false">(Sens!G3553+Sens!H3553)/2*rent_mw/1000</f>
        <v>6.72084</v>
      </c>
      <c r="I3569" s="6" t="n">
        <f aca="false">(Sens!H3553+Sens!I3553)/2*rent_mw/1000</f>
        <v>6.72084</v>
      </c>
      <c r="J3569" s="6" t="n">
        <f aca="false">(Sens!I3553+Sens!J3553)/2*rent_mw/1000</f>
        <v>6.72084</v>
      </c>
      <c r="K3569" s="6" t="n">
        <f aca="false">(Sens!J3553+Sens!K3553)/2*rent_mw/1000</f>
        <v>6.72084</v>
      </c>
    </row>
    <row r="3570" customFormat="false" ht="17.15" hidden="false" customHeight="false" outlineLevel="0" collapsed="false">
      <c r="A3570" s="0" t="s">
        <v>743</v>
      </c>
      <c r="B3570" s="0" t="s">
        <v>95</v>
      </c>
      <c r="D3570" s="6" t="n">
        <f aca="false">(Sens!C3555+Sens!D3555)/2*(1-self_build)*fac_rent/1000</f>
        <v>0.853242375631075</v>
      </c>
      <c r="E3570" s="6" t="n">
        <f aca="false">(Sens!D3555+Sens!E3555)/2*(1-self_build)*fac_rent/1000</f>
        <v>1.94955961408728</v>
      </c>
      <c r="F3570" s="6" t="n">
        <f aca="false">(Sens!E3555+Sens!F3555)/2*(1-self_build)*fac_rent/1000</f>
        <v>3.83026455274573</v>
      </c>
      <c r="G3570" s="6" t="n">
        <f aca="false">(Sens!F3555+Sens!G3555)/2*(1-self_build)*fac_rent/1000</f>
        <v>6.23541590972812</v>
      </c>
      <c r="H3570" s="6" t="n">
        <f aca="false">(Sens!G3555+Sens!H3555)/2*(1-self_build)*fac_rent/1000</f>
        <v>8.74275792332679</v>
      </c>
      <c r="I3570" s="6" t="n">
        <f aca="false">(Sens!H3555+Sens!I3555)/2*(1-self_build)*fac_rent/1000</f>
        <v>11.2500999369255</v>
      </c>
      <c r="J3570" s="6" t="n">
        <f aca="false">(Sens!I3555+Sens!J3555)/2*(1-self_build)*fac_rent/1000</f>
        <v>13.7574419505241</v>
      </c>
      <c r="K3570" s="6" t="n">
        <f aca="false">(Sens!J3555+Sens!K3555)/2*(1-self_build)*fac_rent/1000</f>
        <v>16.2647839641228</v>
      </c>
      <c r="L3570" s="11" t="s">
        <v>744</v>
      </c>
    </row>
    <row r="3571" customFormat="false" ht="17.15" hidden="false" customHeight="false" outlineLevel="0" collapsed="false">
      <c r="A3571" s="1" t="s">
        <v>745</v>
      </c>
      <c r="B3571" s="0" t="s">
        <v>126</v>
      </c>
      <c r="D3571" s="7" t="n">
        <f aca="false">(Sens!C3554+Sens!D3554)/(Sens!C3555+Sens!D3555)</f>
        <v>0.6</v>
      </c>
      <c r="E3571" s="7" t="n">
        <f aca="false">(Sens!D3554+Sens!E3554)/(Sens!D3555+Sens!E3555)</f>
        <v>0.6</v>
      </c>
      <c r="F3571" s="7" t="n">
        <f aca="false">(Sens!E3554+Sens!F3554)/(Sens!E3555+Sens!F3555)</f>
        <v>0.6</v>
      </c>
      <c r="G3571" s="7" t="n">
        <f aca="false">(Sens!F3554+Sens!G3554)/(Sens!F3555+Sens!G3555)</f>
        <v>0.6</v>
      </c>
      <c r="H3571" s="7" t="n">
        <f aca="false">(Sens!G3554+Sens!H3554)/(Sens!G3555+Sens!H3555)</f>
        <v>0.6</v>
      </c>
      <c r="I3571" s="7" t="n">
        <f aca="false">(Sens!H3554+Sens!I3554)/(Sens!H3555+Sens!I3555)</f>
        <v>0.6</v>
      </c>
      <c r="J3571" s="7" t="n">
        <f aca="false">(Sens!I3554+Sens!J3554)/(Sens!I3555+Sens!J3555)</f>
        <v>0.6</v>
      </c>
      <c r="K3571" s="7" t="n">
        <f aca="false">(Sens!J3554+Sens!K3554)/(Sens!J3555+Sens!K3555)</f>
        <v>0.6</v>
      </c>
    </row>
    <row r="3572" customFormat="false" ht="17.15" hidden="false" customHeight="false" outlineLevel="0" collapsed="false">
      <c r="A3572" s="0" t="s">
        <v>746</v>
      </c>
      <c r="B3572" s="0" t="s">
        <v>95</v>
      </c>
      <c r="D3572" s="6" t="n">
        <f aca="false">Sens!D3566-Sens!D3571*(Sens!D3568+Sens!D3570)-Sens!D3569</f>
        <v>8.35701406163072</v>
      </c>
      <c r="E3572" s="6" t="n">
        <f aca="false">Sens!E3566-Sens!E3571*(Sens!E3568+Sens!E3570)-Sens!E3569</f>
        <v>18.7103224860238</v>
      </c>
      <c r="F3572" s="6" t="n">
        <f aca="false">Sens!F3566-Sens!F3571*(Sens!F3568+Sens!F3570)-Sens!F3569</f>
        <v>35.0573455625419</v>
      </c>
      <c r="G3572" s="6" t="n">
        <f aca="false">Sens!G3566-Sens!G3571*(Sens!G3568+Sens!G3570)-Sens!G3569</f>
        <v>52.2504971712871</v>
      </c>
      <c r="H3572" s="6" t="n">
        <f aca="false">Sens!H3566-Sens!H3571*(Sens!H3568+Sens!H3570)-Sens!H3569</f>
        <v>65.2796698510271</v>
      </c>
      <c r="I3572" s="6" t="n">
        <f aca="false">Sens!I3566-Sens!I3571*(Sens!I3568+Sens!I3570)-Sens!I3569</f>
        <v>85.5659922535278</v>
      </c>
      <c r="J3572" s="6" t="n">
        <f aca="false">Sens!J3566-Sens!J3571*(Sens!J3568+Sens!J3570)-Sens!J3569</f>
        <v>105.90773710582</v>
      </c>
      <c r="K3572" s="6" t="n">
        <f aca="false">Sens!K3566-Sens!K3571*(Sens!K3568+Sens!K3570)-Sens!K3569</f>
        <v>126.282084319851</v>
      </c>
    </row>
    <row r="3573" customFormat="false" ht="17.15" hidden="false" customHeight="false" outlineLevel="0" collapsed="false">
      <c r="A3573" s="1" t="s">
        <v>747</v>
      </c>
      <c r="B3573" s="0" t="s">
        <v>95</v>
      </c>
      <c r="D3573" s="6" t="n">
        <f aca="false">(1-Sens!D3571)*(Sens!D3568+Sens!D3570)</f>
        <v>1.42281025374069</v>
      </c>
      <c r="E3573" s="6" t="n">
        <f aca="false">(1-Sens!E3571)*(Sens!E3568+Sens!E3570)</f>
        <v>3.25095598674472</v>
      </c>
      <c r="F3573" s="6" t="n">
        <f aca="false">(1-Sens!F3571)*(Sens!F3568+Sens!F3570)</f>
        <v>6.53293055050977</v>
      </c>
      <c r="G3573" s="6" t="n">
        <f aca="false">(1-Sens!G3571)*(Sens!G3568+Sens!G3570)</f>
        <v>10.7846311741651</v>
      </c>
      <c r="H3573" s="6" t="n">
        <f aca="false">(1-Sens!H3571)*(Sens!H3568+Sens!H3570)</f>
        <v>15.26343050201</v>
      </c>
      <c r="I3573" s="6" t="n">
        <f aca="false">(1-Sens!I3571)*(Sens!I3568+Sens!I3570)</f>
        <v>19.7545570754104</v>
      </c>
      <c r="J3573" s="6" t="n">
        <f aca="false">(1-Sens!J3571)*(Sens!J3568+Sens!J3570)</f>
        <v>24.2521277113811</v>
      </c>
      <c r="K3573" s="6" t="n">
        <f aca="false">(1-Sens!K3571)*(Sens!K3568+Sens!K3570)</f>
        <v>28.7534890794427</v>
      </c>
    </row>
    <row r="3574" customFormat="false" ht="17.15" hidden="false" customHeight="false" outlineLevel="0" collapsed="false">
      <c r="A3574" s="1" t="s">
        <v>748</v>
      </c>
      <c r="B3574" s="0" t="s">
        <v>302</v>
      </c>
      <c r="C3574" s="8" t="n">
        <f aca="false">cxit_open</f>
        <v>27.5918995</v>
      </c>
      <c r="D3574" s="8" t="n">
        <f aca="false">cxit_open</f>
        <v>27.5918995</v>
      </c>
      <c r="E3574" s="8" t="n">
        <f aca="false">cxit_open</f>
        <v>27.5918995</v>
      </c>
      <c r="F3574" s="8" t="n">
        <f aca="false">(a_g3_27*tk_cxit_gb300+(1-a_g3_27)*tk_cxit_vr200)</f>
        <v>33.8419624</v>
      </c>
      <c r="G3574" s="8" t="n">
        <f aca="false">(a_g3_28*tk_cxit_gb300+(1-a_g3_28)*tk_cxit_vr200)</f>
        <v>35.9816136</v>
      </c>
      <c r="H3574" s="8" t="n">
        <f aca="false">(a_g3_29*tk_cxit_gb300+(1-a_g3_29)*tk_cxit_vr200)</f>
        <v>37.0514392</v>
      </c>
      <c r="I3574" s="8" t="n">
        <f aca="false">(a_g3_29*tk_cxit_gb300+(1-a_g3_29)*tk_cxit_vr200)</f>
        <v>37.0514392</v>
      </c>
      <c r="J3574" s="8" t="n">
        <f aca="false">(a_g3_29*tk_cxit_gb300+(1-a_g3_29)*tk_cxit_vr200)</f>
        <v>37.0514392</v>
      </c>
      <c r="K3574" s="8" t="n">
        <f aca="false">(a_g3_29*tk_cxit_gb300+(1-a_g3_29)*tk_cxit_vr200)</f>
        <v>37.0514392</v>
      </c>
      <c r="L3574" s="11" t="s">
        <v>749</v>
      </c>
    </row>
    <row r="3575" customFormat="false" ht="17.15" hidden="false" customHeight="false" outlineLevel="0" collapsed="false">
      <c r="A3575" s="0" t="s">
        <v>750</v>
      </c>
      <c r="B3575" s="0" t="s">
        <v>340</v>
      </c>
      <c r="F3575" s="27" t="n">
        <f aca="false">Sens!C3557*IF(3=life_it_lo,1,0)+Sens!D3557*IF(2=life_it_lo,1,0)+Sens!E3557*IF(1=life_it_lo,1,0)</f>
        <v>0</v>
      </c>
      <c r="G3575" s="27" t="n">
        <f aca="false">Sens!C3557*IF(4=life_it_lo,1,0)+Sens!D3557*IF(3=life_it_lo,1,0)+Sens!E3557*IF(2=life_it_lo,1,0)+Sens!F3557*IF(1=life_it_lo,1,0)</f>
        <v>0</v>
      </c>
      <c r="H3575" s="27" t="n">
        <f aca="false">Sens!C3557*IF(5=life_it_lo,1,0)+Sens!D3557*IF(4=life_it_lo,1,0)+Sens!E3557*IF(3=life_it_lo,1,0)+Sens!F3557*IF(2=life_it_lo,1,0)+Sens!G3557*IF(1=life_it_lo,1,0)</f>
        <v>816.666666666667</v>
      </c>
      <c r="I3575" s="27" t="n">
        <f aca="false">Sens!C3557*IF(6=life_it_lo,1,0)+Sens!D3557*IF(5=life_it_lo,1,0)+Sens!E3557*IF(4=life_it_lo,1,0)+Sens!F3557*IF(3=life_it_lo,1,0)+Sens!G3557*IF(2=life_it_lo,1,0)+Sens!H3557*IF(1=life_it_lo,1,0)</f>
        <v>1233.33333333333</v>
      </c>
      <c r="J3575" s="27" t="n">
        <f aca="false">Sens!C3557*IF(7=life_it_lo,1,0)+Sens!D3557*IF(6=life_it_lo,1,0)+Sens!E3557*IF(5=life_it_lo,1,0)+Sens!F3557*IF(4=life_it_lo,1,0)+Sens!G3557*IF(3=life_it_lo,1,0)+Sens!H3557*IF(2=life_it_lo,1,0)+Sens!I3557*IF(1=life_it_lo,1,0)</f>
        <v>2450</v>
      </c>
      <c r="K3575" s="27" t="n">
        <f aca="false">Sens!C3557*IF(8=life_it_lo,1,0)+Sens!D3557*IF(7=life_it_lo,1,0)+Sens!E3557*IF(6=life_it_lo,1,0)+Sens!F3557*IF(5=life_it_lo,1,0)+Sens!G3557*IF(4=life_it_lo,1,0)+Sens!H3557*IF(3=life_it_lo,1,0)+Sens!I3557*IF(2=life_it_lo,1,0)+Sens!J3557*IF(1=life_it_lo,1,0)</f>
        <v>3868.66666666667</v>
      </c>
      <c r="L3575" s="1" t="s">
        <v>751</v>
      </c>
    </row>
    <row r="3576" customFormat="false" ht="17.15" hidden="false" customHeight="false" outlineLevel="0" collapsed="false">
      <c r="A3576" s="0" t="s">
        <v>752</v>
      </c>
      <c r="B3576" s="0" t="s">
        <v>95</v>
      </c>
      <c r="C3576" s="6" t="n">
        <f aca="false">Sens!C3557*Sens!C3574/1000</f>
        <v>22.5333845916667</v>
      </c>
      <c r="D3576" s="6" t="n">
        <f aca="false">Sens!D3557*Sens!D3574/1000</f>
        <v>34.0300093833333</v>
      </c>
      <c r="E3576" s="6" t="n">
        <f aca="false">Sens!E3557*Sens!E3574/1000</f>
        <v>67.600153775</v>
      </c>
      <c r="F3576" s="6" t="n">
        <f aca="false">(Sens!F3557+Sens!F3575)*Sens!F3574/1000</f>
        <v>130.923271871467</v>
      </c>
      <c r="G3576" s="6" t="n">
        <f aca="false">(Sens!G3557+Sens!G3575)*Sens!G3574/1000</f>
        <v>151.5545564832</v>
      </c>
      <c r="H3576" s="6" t="n">
        <f aca="false">(Sens!H3557+Sens!H3575)*Sens!H3574/1000</f>
        <v>186.319337257067</v>
      </c>
      <c r="I3576" s="6" t="n">
        <f aca="false">(Sens!I3557+Sens!I3575)*Sens!I3574/1000</f>
        <v>201.757436923733</v>
      </c>
      <c r="J3576" s="6" t="n">
        <f aca="false">(Sens!J3557+Sens!J3575)*Sens!J3574/1000</f>
        <v>246.8366879504</v>
      </c>
      <c r="K3576" s="6" t="n">
        <f aca="false">(Sens!K3557+Sens!K3575)*Sens!K3574/1000</f>
        <v>299.400329695467</v>
      </c>
    </row>
    <row r="3577" customFormat="false" ht="17.15" hidden="false" customHeight="false" outlineLevel="0" collapsed="false">
      <c r="A3577" s="0" t="s">
        <v>753</v>
      </c>
      <c r="B3577" s="0" t="s">
        <v>95</v>
      </c>
      <c r="C3577" s="6" t="n">
        <f aca="false">Sens!C3557*self_build*tk_cxfac/1000</f>
        <v>6.2083</v>
      </c>
      <c r="D3577" s="6" t="n">
        <f aca="false">Sens!D3557*self_build*tk_cxfac/1000</f>
        <v>9.3758</v>
      </c>
      <c r="E3577" s="6" t="n">
        <f aca="false">Sens!E3557*self_build*tk_cxfac/1000</f>
        <v>18.6249</v>
      </c>
      <c r="F3577" s="6" t="n">
        <f aca="false">Sens!F3557*self_build*tk_cxfac/1000</f>
        <v>29.409604</v>
      </c>
      <c r="G3577" s="6" t="n">
        <f aca="false">Sens!G3557*self_build*tk_cxfac/1000</f>
        <v>32.019624</v>
      </c>
      <c r="H3577" s="6" t="n">
        <f aca="false">Sens!H3557*self_build*tk_cxfac/1000</f>
        <v>32.019624</v>
      </c>
      <c r="I3577" s="6" t="n">
        <f aca="false">Sens!I3557*self_build*tk_cxfac/1000</f>
        <v>32.019624</v>
      </c>
      <c r="J3577" s="6" t="n">
        <f aca="false">Sens!J3557*self_build*tk_cxfac/1000</f>
        <v>32.019624</v>
      </c>
      <c r="K3577" s="6" t="n">
        <f aca="false">Sens!K3557*self_build*tk_cxfac/1000</f>
        <v>32.019624</v>
      </c>
    </row>
    <row r="3578" customFormat="false" ht="17.15" hidden="false" customHeight="false" outlineLevel="0" collapsed="false">
      <c r="A3578" s="0" t="s">
        <v>754</v>
      </c>
      <c r="B3578" s="0" t="s">
        <v>95</v>
      </c>
      <c r="F3578" s="6" t="n">
        <f aca="false">MAX(0,capex_floor27-Sens!F3576-Sens!F3577-Sens!F3665)</f>
        <v>8.43777689897088</v>
      </c>
      <c r="G3578" s="6" t="n">
        <f aca="false">0</f>
        <v>0</v>
      </c>
      <c r="H3578" s="6" t="n">
        <f aca="false">0</f>
        <v>0</v>
      </c>
      <c r="I3578" s="6" t="n">
        <f aca="false">0</f>
        <v>0</v>
      </c>
      <c r="J3578" s="6" t="n">
        <f aca="false">0</f>
        <v>0</v>
      </c>
      <c r="K3578" s="6" t="n">
        <f aca="false">0</f>
        <v>0</v>
      </c>
      <c r="L3578" s="1" t="s">
        <v>755</v>
      </c>
    </row>
    <row r="3579" customFormat="false" ht="17.15" hidden="false" customHeight="false" outlineLevel="0" collapsed="false">
      <c r="A3579" s="0" t="s">
        <v>756</v>
      </c>
      <c r="B3579" s="0" t="s">
        <v>95</v>
      </c>
      <c r="C3579" s="6" t="n">
        <f aca="false">Sens!C3576</f>
        <v>22.5333845916667</v>
      </c>
      <c r="D3579" s="6" t="n">
        <f aca="false">Sens!D3576</f>
        <v>34.0300093833333</v>
      </c>
      <c r="E3579" s="6" t="n">
        <f aca="false">Sens!E3576</f>
        <v>67.600153775</v>
      </c>
      <c r="F3579" s="6" t="n">
        <f aca="false">Sens!F3576+Sens!F3578</f>
        <v>139.361048770438</v>
      </c>
      <c r="G3579" s="6" t="n">
        <f aca="false">Sens!G3576+Sens!G3578</f>
        <v>151.5545564832</v>
      </c>
      <c r="H3579" s="6" t="n">
        <f aca="false">Sens!H3576+Sens!H3578</f>
        <v>186.319337257067</v>
      </c>
      <c r="I3579" s="6" t="n">
        <f aca="false">Sens!I3576+Sens!I3578</f>
        <v>201.757436923733</v>
      </c>
      <c r="J3579" s="6" t="n">
        <f aca="false">Sens!J3576+Sens!J3578</f>
        <v>246.8366879504</v>
      </c>
      <c r="K3579" s="6" t="n">
        <f aca="false">Sens!K3576+Sens!K3578</f>
        <v>299.400329695467</v>
      </c>
    </row>
    <row r="3580" customFormat="false" ht="17.15" hidden="false" customHeight="false" outlineLevel="0" collapsed="false">
      <c r="A3580" s="0" t="s">
        <v>757</v>
      </c>
      <c r="B3580" s="0" t="s">
        <v>95</v>
      </c>
      <c r="C3580" s="6" t="n">
        <f aca="false">Sens!C3579+Sens!C3577</f>
        <v>28.7416845916667</v>
      </c>
      <c r="D3580" s="6" t="n">
        <f aca="false">Sens!D3579+Sens!D3577</f>
        <v>43.4058093833333</v>
      </c>
      <c r="E3580" s="6" t="n">
        <f aca="false">Sens!E3579+Sens!E3577</f>
        <v>86.225053775</v>
      </c>
      <c r="F3580" s="6" t="n">
        <f aca="false">Sens!F3579+Sens!F3577</f>
        <v>168.770652770438</v>
      </c>
      <c r="G3580" s="6" t="n">
        <f aca="false">Sens!G3579+Sens!G3577</f>
        <v>183.5741804832</v>
      </c>
      <c r="H3580" s="6" t="n">
        <f aca="false">Sens!H3579+Sens!H3577</f>
        <v>218.338961257067</v>
      </c>
      <c r="I3580" s="6" t="n">
        <f aca="false">Sens!I3579+Sens!I3577</f>
        <v>233.777060923733</v>
      </c>
      <c r="J3580" s="6" t="n">
        <f aca="false">Sens!J3579+Sens!J3577</f>
        <v>278.8563119504</v>
      </c>
      <c r="K3580" s="6" t="n">
        <f aca="false">Sens!K3579+Sens!K3577</f>
        <v>331.419953695467</v>
      </c>
      <c r="L3580" s="11" t="s">
        <v>758</v>
      </c>
    </row>
    <row r="3581" customFormat="false" ht="17.15" hidden="false" customHeight="false" outlineLevel="0" collapsed="false">
      <c r="A3581" s="0" t="s">
        <v>759</v>
      </c>
      <c r="B3581" s="0" t="s">
        <v>95</v>
      </c>
      <c r="E3581" s="6" t="n">
        <f aca="false">(Sens!C3579*IF(2&lt;life_it_lo,1,IF(2=life_it_lo,0.5,0))+Sens!D3579*IF(1&lt;life_it_lo,1,IF(1=life_it_lo,0.5,0))+Sens!E3579*0.5)/life_it_lo</f>
        <v>18.0726941725</v>
      </c>
      <c r="F3581" s="6" t="n">
        <f aca="false">(Sens!C3579*IF(3&lt;life_it_lo,1,IF(3=life_it_lo,0.5,0))+Sens!D3579*IF(2&lt;life_it_lo,1,IF(2=life_it_lo,0.5,0))+Sens!E3579*IF(1&lt;life_it_lo,1,IF(1=life_it_lo,0.5,0))+Sens!F3579*0.5)/life_it_lo</f>
        <v>38.7688144270438</v>
      </c>
      <c r="G3581" s="6" t="n">
        <f aca="false">(Sens!C3579*IF(4&lt;life_it_lo,1,IF(4=life_it_lo,0.5,0))+Sens!D3579*IF(3&lt;life_it_lo,1,IF(3=life_it_lo,0.5,0))+Sens!E3579*IF(2&lt;life_it_lo,1,IF(2=life_it_lo,0.5,0))+Sens!F3579*IF(1&lt;life_it_lo,1,IF(1=life_it_lo,0.5,0))+Sens!G3579*0.5)/life_it_lo</f>
        <v>67.8603749524075</v>
      </c>
      <c r="H3581" s="6" t="n">
        <f aca="false">(Sens!C3579*IF(5&lt;life_it_lo,1,IF(5=life_it_lo,0.5,0))+Sens!D3579*IF(4&lt;life_it_lo,1,IF(4=life_it_lo,0.5,0))+Sens!E3579*IF(3&lt;life_it_lo,1,IF(3=life_it_lo,0.5,0))+Sens!F3579*IF(2&lt;life_it_lo,1,IF(2=life_it_lo,0.5,0))+Sens!G3579*IF(1&lt;life_it_lo,1,IF(1=life_it_lo,0.5,0))+Sens!H3579*0.5)/life_it_lo</f>
        <v>99.3944258672675</v>
      </c>
      <c r="I3581" s="6" t="n">
        <f aca="false">(Sens!C3579*IF(6&lt;life_it_lo,1,IF(6=life_it_lo,0.5,0))+Sens!D3579*IF(5&lt;life_it_lo,1,IF(5=life_it_lo,0.5,0))+Sens!E3579*IF(4&lt;life_it_lo,1,IF(4=life_it_lo,0.5,0))+Sens!F3579*IF(3&lt;life_it_lo,1,IF(3=life_it_lo,0.5,0))+Sens!G3579*IF(2&lt;life_it_lo,1,IF(2=life_it_lo,0.5,0))+Sens!H3579*IF(1&lt;life_it_lo,1,IF(1=life_it_lo,0.5,0))+Sens!I3579*0.5)/life_it_lo</f>
        <v>132.545763887848</v>
      </c>
      <c r="J3581" s="6" t="n">
        <f aca="false">(Sens!C3579*IF(7&lt;life_it_lo,1,IF(7=life_it_lo,0.5,0))+Sens!D3579*IF(6&lt;life_it_lo,1,IF(6=life_it_lo,0.5,0))+Sens!E3579*IF(5&lt;life_it_lo,1,IF(5=life_it_lo,0.5,0))+Sens!F3579*IF(4&lt;life_it_lo,1,IF(4=life_it_lo,0.5,0))+Sens!G3579*IF(3&lt;life_it_lo,1,IF(3=life_it_lo,0.5,0))+Sens!H3579*IF(2&lt;life_it_lo,1,IF(2=life_it_lo,0.5,0))+Sens!I3579*IF(1&lt;life_it_lo,1,IF(1=life_it_lo,0.5,0))+Sens!J3579*0.5)/life_it_lo</f>
        <v>167.242160059428</v>
      </c>
      <c r="K3581" s="6" t="n">
        <f aca="false">(Sens!C3579*IF(8&lt;life_it_lo,1,IF(8=life_it_lo,0.5,0))+Sens!D3579*IF(7&lt;life_it_lo,1,IF(7=life_it_lo,0.5,0))+Sens!E3579*IF(6&lt;life_it_lo,1,IF(6=life_it_lo,0.5,0))+Sens!F3579*IF(5&lt;life_it_lo,1,IF(5=life_it_lo,0.5,0))+Sens!G3579*IF(4&lt;life_it_lo,1,IF(4=life_it_lo,0.5,0))+Sens!H3579*IF(3&lt;life_it_lo,1,IF(3=life_it_lo,0.5,0))+Sens!I3579*IF(2&lt;life_it_lo,1,IF(2=life_it_lo,0.5,0))+Sens!J3579*IF(1&lt;life_it_lo,1,IF(1=life_it_lo,0.5,0))+Sens!K3579*0.5)/life_it_lo</f>
        <v>201.16974156947</v>
      </c>
    </row>
    <row r="3582" customFormat="false" ht="17.15" hidden="false" customHeight="false" outlineLevel="0" collapsed="false">
      <c r="A3582" s="0" t="s">
        <v>760</v>
      </c>
      <c r="B3582" s="0" t="s">
        <v>95</v>
      </c>
      <c r="E3582" s="6" t="n">
        <f aca="false">(Sens!C3577*IF(2&lt;life_fac,1,IF(2=life_fac,0.5,0))+Sens!D3577*IF(1&lt;life_fac,1,IF(1=life_fac,0.5,0))+Sens!E3577*0.5)/life_fac</f>
        <v>1.2448275</v>
      </c>
      <c r="F3582" s="6" t="n">
        <f aca="false">(Sens!C3577*IF(3&lt;life_fac,1,IF(3=life_fac,0.5,0))+Sens!D3577*IF(2&lt;life_fac,1,IF(2=life_fac,0.5,0))+Sens!E3577*IF(1&lt;life_fac,1,IF(1=life_fac,0.5,0))+Sens!F3577*0.5)/life_fac</f>
        <v>2.4456901</v>
      </c>
      <c r="G3582" s="6" t="n">
        <f aca="false">(Sens!C3577*IF(4&lt;life_fac,1,IF(4=life_fac,0.5,0))+Sens!D3577*IF(3&lt;life_fac,1,IF(3=life_fac,0.5,0))+Sens!E3577*IF(2&lt;life_fac,1,IF(2=life_fac,0.5,0))+Sens!F3577*IF(1&lt;life_fac,1,IF(1=life_fac,0.5,0))+Sens!G3577*0.5)/life_fac</f>
        <v>3.9814208</v>
      </c>
      <c r="H3582" s="6" t="n">
        <f aca="false">(Sens!C3577*IF(5&lt;life_fac,1,IF(5=life_fac,0.5,0))+Sens!D3577*IF(4&lt;life_fac,1,IF(4=life_fac,0.5,0))+Sens!E3577*IF(3&lt;life_fac,1,IF(3=life_fac,0.5,0))+Sens!F3577*IF(2&lt;life_fac,1,IF(2=life_fac,0.5,0))+Sens!G3577*IF(1&lt;life_fac,1,IF(1=life_fac,0.5,0))+Sens!H3577*0.5)/life_fac</f>
        <v>5.582402</v>
      </c>
      <c r="I3582" s="6" t="n">
        <f aca="false">(Sens!C3577*IF(6&lt;life_fac,1,IF(6=life_fac,0.5,0))+Sens!D3577*IF(5&lt;life_fac,1,IF(5=life_fac,0.5,0))+Sens!E3577*IF(4&lt;life_fac,1,IF(4=life_fac,0.5,0))+Sens!F3577*IF(3&lt;life_fac,1,IF(3=life_fac,0.5,0))+Sens!G3577*IF(2&lt;life_fac,1,IF(2=life_fac,0.5,0))+Sens!H3577*IF(1&lt;life_fac,1,IF(1=life_fac,0.5,0))+Sens!I3577*0.5)/life_fac</f>
        <v>7.1833832</v>
      </c>
      <c r="J3582" s="6" t="n">
        <f aca="false">(Sens!C3577*IF(7&lt;life_fac,1,IF(7=life_fac,0.5,0))+Sens!D3577*IF(6&lt;life_fac,1,IF(6=life_fac,0.5,0))+Sens!E3577*IF(5&lt;life_fac,1,IF(5=life_fac,0.5,0))+Sens!F3577*IF(4&lt;life_fac,1,IF(4=life_fac,0.5,0))+Sens!G3577*IF(3&lt;life_fac,1,IF(3=life_fac,0.5,0))+Sens!H3577*IF(2&lt;life_fac,1,IF(2=life_fac,0.5,0))+Sens!I3577*IF(1&lt;life_fac,1,IF(1=life_fac,0.5,0))+Sens!J3577*0.5)/life_fac</f>
        <v>8.7843644</v>
      </c>
      <c r="K3582" s="6" t="n">
        <f aca="false">(Sens!C3577*IF(8&lt;life_fac,1,IF(8=life_fac,0.5,0))+Sens!D3577*IF(7&lt;life_fac,1,IF(7=life_fac,0.5,0))+Sens!E3577*IF(6&lt;life_fac,1,IF(6=life_fac,0.5,0))+Sens!F3577*IF(5&lt;life_fac,1,IF(5=life_fac,0.5,0))+Sens!G3577*IF(4&lt;life_fac,1,IF(4=life_fac,0.5,0))+Sens!H3577*IF(3&lt;life_fac,1,IF(3=life_fac,0.5,0))+Sens!I3577*IF(2&lt;life_fac,1,IF(2=life_fac,0.5,0))+Sens!J3577*IF(1&lt;life_fac,1,IF(1=life_fac,0.5,0))+Sens!K3577*0.5)/life_fac</f>
        <v>10.3853456</v>
      </c>
    </row>
    <row r="3583" customFormat="false" ht="17.15" hidden="false" customHeight="false" outlineLevel="0" collapsed="false">
      <c r="A3583" s="0" t="s">
        <v>761</v>
      </c>
      <c r="B3583" s="0" t="s">
        <v>95</v>
      </c>
      <c r="E3583" s="6" t="n">
        <f aca="false">Sens!E3581+Sens!E3582</f>
        <v>19.3175216725</v>
      </c>
      <c r="F3583" s="6" t="n">
        <f aca="false">Sens!F3581+Sens!F3582</f>
        <v>41.2145045270438</v>
      </c>
      <c r="G3583" s="6" t="n">
        <f aca="false">Sens!G3581+Sens!G3582</f>
        <v>71.8417957524075</v>
      </c>
      <c r="H3583" s="6" t="n">
        <f aca="false">Sens!H3581+Sens!H3582</f>
        <v>104.976827867268</v>
      </c>
      <c r="I3583" s="6" t="n">
        <f aca="false">Sens!I3581+Sens!I3582</f>
        <v>139.729147087848</v>
      </c>
      <c r="J3583" s="6" t="n">
        <f aca="false">Sens!J3581+Sens!J3582</f>
        <v>176.026524459428</v>
      </c>
      <c r="K3583" s="6" t="n">
        <f aca="false">Sens!K3581+Sens!K3582</f>
        <v>211.55508716947</v>
      </c>
    </row>
    <row r="3584" customFormat="false" ht="17.15" hidden="false" customHeight="false" outlineLevel="0" collapsed="false">
      <c r="A3584" s="0" t="s">
        <v>762</v>
      </c>
      <c r="B3584" s="0" t="s">
        <v>95</v>
      </c>
      <c r="E3584" s="6" t="n">
        <f aca="false">Sens!E3572-Sens!E3571*Sens!E3583</f>
        <v>7.11980948252379</v>
      </c>
      <c r="F3584" s="6" t="n">
        <f aca="false">Sens!F3572-Sens!F3571*Sens!F3583</f>
        <v>10.3286428463157</v>
      </c>
      <c r="G3584" s="6" t="n">
        <f aca="false">Sens!G3572-Sens!G3571*Sens!G3583</f>
        <v>9.1454197198426</v>
      </c>
      <c r="H3584" s="6" t="n">
        <f aca="false">Sens!H3572-Sens!H3571*Sens!H3583</f>
        <v>2.29357313066654</v>
      </c>
      <c r="I3584" s="6" t="n">
        <f aca="false">Sens!I3572-Sens!I3571*Sens!I3583</f>
        <v>1.72850400081933</v>
      </c>
      <c r="J3584" s="6" t="n">
        <f aca="false">Sens!J3572-Sens!J3571*Sens!J3583</f>
        <v>0.29182243016372</v>
      </c>
      <c r="K3584" s="6" t="n">
        <f aca="false">Sens!K3572-Sens!K3571*Sens!K3583</f>
        <v>-0.650967981831116</v>
      </c>
    </row>
    <row r="3585" customFormat="false" ht="17.15" hidden="false" customHeight="false" outlineLevel="0" collapsed="false">
      <c r="A3585" s="3" t="s">
        <v>1215</v>
      </c>
    </row>
    <row r="3586" customFormat="false" ht="15" hidden="false" customHeight="false" outlineLevel="0" collapsed="false">
      <c r="A3586" s="4" t="s">
        <v>43</v>
      </c>
      <c r="B3586" s="4" t="s">
        <v>63</v>
      </c>
      <c r="C3586" s="19" t="s">
        <v>710</v>
      </c>
      <c r="D3586" s="19" t="s">
        <v>711</v>
      </c>
      <c r="E3586" s="19" t="s">
        <v>712</v>
      </c>
      <c r="F3586" s="19" t="s">
        <v>713</v>
      </c>
      <c r="G3586" s="19" t="s">
        <v>714</v>
      </c>
      <c r="H3586" s="19" t="s">
        <v>715</v>
      </c>
      <c r="I3586" s="19" t="s">
        <v>716</v>
      </c>
      <c r="J3586" s="19" t="s">
        <v>717</v>
      </c>
      <c r="K3586" s="19" t="s">
        <v>718</v>
      </c>
      <c r="L3586" s="4" t="s">
        <v>47</v>
      </c>
    </row>
    <row r="3587" customFormat="false" ht="17.15" hidden="false" customHeight="false" outlineLevel="0" collapsed="false">
      <c r="A3587" s="0" t="s">
        <v>780</v>
      </c>
      <c r="B3587" s="0" t="s">
        <v>95</v>
      </c>
      <c r="D3587" s="6" t="n">
        <f aca="false">Sens!D3566</f>
        <v>12.9359794422418</v>
      </c>
      <c r="E3587" s="6" t="n">
        <f aca="false">Sens!E3566</f>
        <v>27.8095064661409</v>
      </c>
      <c r="F3587" s="6" t="n">
        <f aca="false">Sens!F3566</f>
        <v>50.6619113883066</v>
      </c>
      <c r="G3587" s="6" t="n">
        <f aca="false">Sens!G3566</f>
        <v>75.1482839325348</v>
      </c>
      <c r="H3587" s="6" t="n">
        <f aca="false">Sens!H3566</f>
        <v>94.895655604042</v>
      </c>
      <c r="I3587" s="6" t="n">
        <f aca="false">Sens!I3566</f>
        <v>121.918667866643</v>
      </c>
      <c r="J3587" s="6" t="n">
        <f aca="false">Sens!J3566</f>
        <v>149.006768672892</v>
      </c>
      <c r="K3587" s="6" t="n">
        <f aca="false">Sens!K3566</f>
        <v>176.133157939015</v>
      </c>
    </row>
    <row r="3588" customFormat="false" ht="17.15" hidden="false" customHeight="false" outlineLevel="0" collapsed="false">
      <c r="A3588" s="0" t="s">
        <v>781</v>
      </c>
      <c r="B3588" s="0" t="s">
        <v>95</v>
      </c>
      <c r="D3588" s="6" t="n">
        <f aca="false">Q!L6-Sens!D3587</f>
        <v>59.6740205577583</v>
      </c>
      <c r="E3588" s="6" t="n">
        <f aca="false">Q!M6-Sens!E3587</f>
        <v>74.1284935338591</v>
      </c>
      <c r="F3588" s="6" t="n">
        <f aca="false">Sens!E3588*(1+Sens!F3589)</f>
        <v>90.0799497373663</v>
      </c>
      <c r="G3588" s="6" t="n">
        <f aca="false">Sens!F3588*(1+Sens!G3589)</f>
        <v>107.02842520331</v>
      </c>
      <c r="H3588" s="6" t="n">
        <f aca="false">Sens!G3588*(1+Sens!H3589)</f>
        <v>124.271982585636</v>
      </c>
      <c r="I3588" s="6" t="n">
        <f aca="false">Sens!H3588*(1+Sens!I3589)</f>
        <v>140.933702381855</v>
      </c>
      <c r="J3588" s="6" t="n">
        <f aca="false">Sens!I3588*(1+Sens!J3589)</f>
        <v>156.018867314332</v>
      </c>
      <c r="K3588" s="6" t="n">
        <f aca="false">Sens!J3588*(1+Sens!K3589)</f>
        <v>168.500376699478</v>
      </c>
    </row>
    <row r="3589" customFormat="false" ht="15" hidden="false" customHeight="false" outlineLevel="0" collapsed="false">
      <c r="A3589" s="1" t="s">
        <v>782</v>
      </c>
      <c r="B3589" s="0" t="s">
        <v>126</v>
      </c>
      <c r="E3589" s="7" t="n">
        <f aca="false">Sens!E3588/Sens!D3588-1</f>
        <v>0.242223883039864</v>
      </c>
      <c r="F3589" s="7" t="n">
        <f aca="false">Sens!$E$3589+(glt_azo-Sens!$E$3589)*MIN(1,1/n_conv)</f>
        <v>0.215186569199887</v>
      </c>
      <c r="G3589" s="7" t="n">
        <f aca="false">Sens!$E$3589+(glt_azo-Sens!$E$3589)*MIN(1,2/n_conv)</f>
        <v>0.18814925535991</v>
      </c>
      <c r="H3589" s="7" t="n">
        <f aca="false">Sens!$E$3589+(glt_azo-Sens!$E$3589)*MIN(1,3/n_conv)</f>
        <v>0.161111941519932</v>
      </c>
      <c r="I3589" s="7" t="n">
        <f aca="false">Sens!$E$3589+(glt_azo-Sens!$E$3589)*MIN(1,4/n_conv)</f>
        <v>0.134074627679955</v>
      </c>
      <c r="J3589" s="7" t="n">
        <f aca="false">Sens!$E$3589+(glt_azo-Sens!$E$3589)*MIN(1,5/n_conv)</f>
        <v>0.107037313839977</v>
      </c>
      <c r="K3589" s="7" t="n">
        <f aca="false">Sens!$E$3589+(glt_azo-Sens!$E$3589)*MIN(1,6/n_conv)</f>
        <v>0.08</v>
      </c>
    </row>
    <row r="3590" customFormat="false" ht="15" hidden="false" customHeight="false" outlineLevel="0" collapsed="false">
      <c r="A3590" s="0" t="s">
        <v>783</v>
      </c>
      <c r="B3590" s="0" t="s">
        <v>95</v>
      </c>
      <c r="D3590" s="6" t="n">
        <f aca="false">Sens!D3587+Sens!D3588</f>
        <v>72.61</v>
      </c>
      <c r="E3590" s="6" t="n">
        <f aca="false">Sens!E3587+Sens!E3588</f>
        <v>101.938</v>
      </c>
      <c r="F3590" s="6" t="n">
        <f aca="false">Sens!F3587+Sens!F3588</f>
        <v>140.741861125673</v>
      </c>
      <c r="G3590" s="6" t="n">
        <f aca="false">Sens!G3587+Sens!G3588</f>
        <v>182.176709135845</v>
      </c>
      <c r="H3590" s="6" t="n">
        <f aca="false">Sens!H3587+Sens!H3588</f>
        <v>219.167638189678</v>
      </c>
      <c r="I3590" s="6" t="n">
        <f aca="false">Sens!I3587+Sens!I3588</f>
        <v>262.852370248498</v>
      </c>
      <c r="J3590" s="6" t="n">
        <f aca="false">Sens!J3587+Sens!J3588</f>
        <v>305.025635987223</v>
      </c>
      <c r="K3590" s="6" t="n">
        <f aca="false">Sens!K3587+Sens!K3588</f>
        <v>344.633534638493</v>
      </c>
    </row>
    <row r="3591" customFormat="false" ht="17.15" hidden="false" customHeight="false" outlineLevel="0" collapsed="false">
      <c r="A3591" s="0" t="s">
        <v>784</v>
      </c>
      <c r="B3591" s="1" t="s">
        <v>451</v>
      </c>
      <c r="C3591" s="27" t="n">
        <f aca="false">cop_s24</f>
        <v>1</v>
      </c>
      <c r="D3591" s="27" t="n">
        <f aca="false">cop_s25</f>
        <v>5</v>
      </c>
      <c r="E3591" s="27" t="n">
        <f aca="false">cop_s26</f>
        <v>30</v>
      </c>
      <c r="F3591" s="27" t="n">
        <f aca="false">Sens!E3591+IF(2027&lt;=2029,cop_add_C,cop_add_C*cop_tail)</f>
        <v>40</v>
      </c>
      <c r="G3591" s="27" t="n">
        <f aca="false">Sens!F3591+IF(2028&lt;=2029,cop_add_C,cop_add_C*cop_tail)</f>
        <v>50</v>
      </c>
      <c r="H3591" s="27" t="n">
        <f aca="false">Sens!G3591+IF(2029&lt;=2029,cop_add_C,cop_add_C*cop_tail)</f>
        <v>60</v>
      </c>
      <c r="I3591" s="27" t="n">
        <f aca="false">Sens!H3591+IF(2030&lt;=2029,cop_add_C,cop_add_C*cop_tail)</f>
        <v>65</v>
      </c>
      <c r="J3591" s="27" t="n">
        <f aca="false">Sens!I3591+IF(2031&lt;=2029,cop_add_C,cop_add_C*cop_tail)</f>
        <v>70</v>
      </c>
      <c r="K3591" s="27" t="n">
        <f aca="false">Sens!J3591+IF(2032&lt;=2029,cop_add_C,cop_add_C*cop_tail)</f>
        <v>75</v>
      </c>
    </row>
    <row r="3592" customFormat="false" ht="17.15" hidden="false" customHeight="false" outlineLevel="0" collapsed="false">
      <c r="A3592" s="0" t="s">
        <v>785</v>
      </c>
      <c r="B3592" s="0" t="s">
        <v>95</v>
      </c>
      <c r="D3592" s="6" t="n">
        <f aca="false">(Sens!C3591+Sens!D3591)/2*cop_px*12/1000</f>
        <v>0.9</v>
      </c>
      <c r="E3592" s="6" t="n">
        <f aca="false">(Sens!D3591+Sens!E3591)/2*cop_px*12/1000</f>
        <v>5.25</v>
      </c>
      <c r="F3592" s="6" t="n">
        <f aca="false">(Sens!E3591+Sens!F3591)/2*cop_px*12/1000</f>
        <v>10.5</v>
      </c>
      <c r="G3592" s="6" t="n">
        <f aca="false">(Sens!F3591+Sens!G3591)/2*cop_px*12/1000</f>
        <v>13.5</v>
      </c>
      <c r="H3592" s="6" t="n">
        <f aca="false">(Sens!G3591+Sens!H3591)/2*cop_px*12/1000</f>
        <v>16.5</v>
      </c>
      <c r="I3592" s="6" t="n">
        <f aca="false">(Sens!H3591+Sens!I3591)/2*cop_px*12/1000</f>
        <v>18.75</v>
      </c>
      <c r="J3592" s="6" t="n">
        <f aca="false">(Sens!I3591+Sens!J3591)/2*cop_px*12/1000</f>
        <v>20.25</v>
      </c>
      <c r="K3592" s="6" t="n">
        <f aca="false">(Sens!J3591+Sens!K3591)/2*cop_px*12/1000</f>
        <v>21.75</v>
      </c>
      <c r="L3592" s="1" t="s">
        <v>786</v>
      </c>
    </row>
    <row r="3593" customFormat="false" ht="17.15" hidden="false" customHeight="false" outlineLevel="0" collapsed="false">
      <c r="A3593" s="0" t="s">
        <v>787</v>
      </c>
      <c r="B3593" s="0" t="s">
        <v>95</v>
      </c>
      <c r="D3593" s="6" t="n">
        <f aca="false">Q!L7-Sens!D3592</f>
        <v>83.705</v>
      </c>
      <c r="E3593" s="6" t="n">
        <f aca="false">Q!M7-Sens!E3592</f>
        <v>95.049</v>
      </c>
      <c r="F3593" s="6" t="n">
        <f aca="false">Sens!E3593*(1+Sens!F3594)</f>
        <v>106.89238776686</v>
      </c>
      <c r="G3593" s="6" t="n">
        <f aca="false">Sens!F3593*(1+Sens!G3594)</f>
        <v>119.044168448684</v>
      </c>
      <c r="H3593" s="6" t="n">
        <f aca="false">Sens!G3593*(1+Sens!H3594)</f>
        <v>131.277359388781</v>
      </c>
      <c r="I3593" s="6" t="n">
        <f aca="false">Sens!H3593*(1+Sens!I3594)</f>
        <v>143.334028071957</v>
      </c>
      <c r="J3593" s="6" t="n">
        <f aca="false">Sens!I3593*(1+Sens!J3594)</f>
        <v>154.932702785465</v>
      </c>
      <c r="K3593" s="6" t="n">
        <f aca="false">Sens!J3593*(1+Sens!K3594)</f>
        <v>165.777991980448</v>
      </c>
    </row>
    <row r="3594" customFormat="false" ht="15" hidden="false" customHeight="false" outlineLevel="0" collapsed="false">
      <c r="A3594" s="1" t="s">
        <v>782</v>
      </c>
      <c r="B3594" s="0" t="s">
        <v>126</v>
      </c>
      <c r="E3594" s="7" t="n">
        <f aca="false">Sens!E3593/Sens!D3593-1</f>
        <v>0.135523564900544</v>
      </c>
      <c r="F3594" s="7" t="n">
        <f aca="false">Sens!$E$3594+(glt_m365b-Sens!$E$3594)*MIN(1,1/n_conv)</f>
        <v>0.124602970750453</v>
      </c>
      <c r="G3594" s="7" t="n">
        <f aca="false">Sens!$E$3594+(glt_m365b-Sens!$E$3594)*MIN(1,2/n_conv)</f>
        <v>0.113682376600363</v>
      </c>
      <c r="H3594" s="7" t="n">
        <f aca="false">Sens!$E$3594+(glt_m365b-Sens!$E$3594)*MIN(1,3/n_conv)</f>
        <v>0.102761782450272</v>
      </c>
      <c r="I3594" s="7" t="n">
        <f aca="false">Sens!$E$3594+(glt_m365b-Sens!$E$3594)*MIN(1,4/n_conv)</f>
        <v>0.0918411883001813</v>
      </c>
      <c r="J3594" s="7" t="n">
        <f aca="false">Sens!$E$3594+(glt_m365b-Sens!$E$3594)*MIN(1,5/n_conv)</f>
        <v>0.0809205941500906</v>
      </c>
      <c r="K3594" s="7" t="n">
        <f aca="false">Sens!$E$3594+(glt_m365b-Sens!$E$3594)*MIN(1,6/n_conv)</f>
        <v>0.07</v>
      </c>
    </row>
    <row r="3595" customFormat="false" ht="15" hidden="false" customHeight="false" outlineLevel="0" collapsed="false">
      <c r="A3595" s="0" t="s">
        <v>788</v>
      </c>
      <c r="B3595" s="0" t="s">
        <v>95</v>
      </c>
      <c r="D3595" s="6" t="n">
        <f aca="false">Sens!D3593+Sens!D3592</f>
        <v>84.605</v>
      </c>
      <c r="E3595" s="6" t="n">
        <f aca="false">Sens!E3593+Sens!E3592</f>
        <v>100.299</v>
      </c>
      <c r="F3595" s="6" t="n">
        <f aca="false">Sens!F3593+Sens!F3592</f>
        <v>117.39238776686</v>
      </c>
      <c r="G3595" s="6" t="n">
        <f aca="false">Sens!G3593+Sens!G3592</f>
        <v>132.544168448684</v>
      </c>
      <c r="H3595" s="6" t="n">
        <f aca="false">Sens!H3593+Sens!H3592</f>
        <v>147.777359388781</v>
      </c>
      <c r="I3595" s="6" t="n">
        <f aca="false">Sens!I3593+Sens!I3592</f>
        <v>162.084028071957</v>
      </c>
      <c r="J3595" s="6" t="n">
        <f aca="false">Sens!J3593+Sens!J3592</f>
        <v>175.182702785465</v>
      </c>
      <c r="K3595" s="6" t="n">
        <f aca="false">Sens!K3593+Sens!K3592</f>
        <v>187.527991980448</v>
      </c>
    </row>
    <row r="3596" customFormat="false" ht="15" hidden="false" customHeight="false" outlineLevel="0" collapsed="false">
      <c r="A3596" s="0" t="s">
        <v>789</v>
      </c>
      <c r="B3596" s="0" t="s">
        <v>95</v>
      </c>
      <c r="D3596" s="6" t="n">
        <f aca="false">Q!L8</f>
        <v>35.391</v>
      </c>
      <c r="E3596" s="6" t="n">
        <f aca="false">Q!M8</f>
        <v>37.285</v>
      </c>
      <c r="F3596" s="6" t="n">
        <f aca="false">Sens!E3596*(1+Sens!F3597)</f>
        <v>39.0720834331704</v>
      </c>
      <c r="G3596" s="6" t="n">
        <f aca="false">Sens!F3596*(1+Sens!G3597)</f>
        <v>40.726562953769</v>
      </c>
      <c r="H3596" s="6" t="n">
        <f aca="false">Sens!G3596*(1+Sens!H3597)</f>
        <v>42.2235987259198</v>
      </c>
      <c r="I3596" s="6" t="n">
        <f aca="false">Sens!H3596*(1+Sens!I3597)</f>
        <v>43.5397988077414</v>
      </c>
      <c r="J3596" s="6" t="n">
        <f aca="false">Sens!I3596*(1+Sens!J3597)</f>
        <v>44.653811225693</v>
      </c>
      <c r="K3596" s="6" t="n">
        <f aca="false">Sens!J3596*(1+Sens!K3597)</f>
        <v>45.5468874502068</v>
      </c>
    </row>
    <row r="3597" customFormat="false" ht="15" hidden="false" customHeight="false" outlineLevel="0" collapsed="false">
      <c r="A3597" s="1" t="s">
        <v>782</v>
      </c>
      <c r="B3597" s="0" t="s">
        <v>126</v>
      </c>
      <c r="E3597" s="7" t="n">
        <f aca="false">Sens!E3596/Sens!D3596-1</f>
        <v>0.0535164307309768</v>
      </c>
      <c r="F3597" s="7" t="n">
        <f aca="false">Sens!$E$3597+(glt_lic-Sens!$E$3597)*MIN(1,1/n_conv)</f>
        <v>0.0479303589424807</v>
      </c>
      <c r="G3597" s="7" t="n">
        <f aca="false">Sens!$E$3597+(glt_lic-Sens!$E$3597)*MIN(1,2/n_conv)</f>
        <v>0.0423442871539845</v>
      </c>
      <c r="H3597" s="7" t="n">
        <f aca="false">Sens!$E$3597+(glt_lic-Sens!$E$3597)*MIN(1,3/n_conv)</f>
        <v>0.0367582153654884</v>
      </c>
      <c r="I3597" s="7" t="n">
        <f aca="false">Sens!$E$3597+(glt_lic-Sens!$E$3597)*MIN(1,4/n_conv)</f>
        <v>0.0311721435769923</v>
      </c>
      <c r="J3597" s="7" t="n">
        <f aca="false">Sens!$E$3597+(glt_lic-Sens!$E$3597)*MIN(1,5/n_conv)</f>
        <v>0.0255860717884961</v>
      </c>
      <c r="K3597" s="7" t="n">
        <f aca="false">Sens!$E$3597+(glt_lic-Sens!$E$3597)*MIN(1,6/n_conv)</f>
        <v>0.02</v>
      </c>
    </row>
    <row r="3598" customFormat="false" ht="15" hidden="false" customHeight="false" outlineLevel="0" collapsed="false">
      <c r="A3598" s="0" t="s">
        <v>790</v>
      </c>
      <c r="B3598" s="0" t="s">
        <v>95</v>
      </c>
      <c r="D3598" s="6" t="n">
        <f aca="false">Q!L9</f>
        <v>18.417</v>
      </c>
      <c r="E3598" s="6" t="n">
        <f aca="false">Q!M9</f>
        <v>20.345</v>
      </c>
      <c r="F3598" s="6" t="n">
        <f aca="false">Sens!E3598*(1+Sens!F3599)</f>
        <v>22.3572203267814</v>
      </c>
      <c r="G3598" s="6" t="n">
        <f aca="false">Sens!F3598*(1+Sens!G3599)</f>
        <v>24.4392124437232</v>
      </c>
      <c r="H3598" s="6" t="n">
        <f aca="false">Sens!G3598*(1+Sens!H3599)</f>
        <v>26.5738052080665</v>
      </c>
      <c r="I3598" s="6" t="n">
        <f aca="false">Sens!H3598*(1+Sens!I3599)</f>
        <v>28.7412169166967</v>
      </c>
      <c r="J3598" s="6" t="n">
        <f aca="false">Sens!I3598*(1+Sens!J3599)</f>
        <v>30.9192545395413</v>
      </c>
      <c r="K3598" s="6" t="n">
        <f aca="false">Sens!J3598*(1+Sens!K3599)</f>
        <v>33.0836023573092</v>
      </c>
    </row>
    <row r="3599" customFormat="false" ht="15" hidden="false" customHeight="false" outlineLevel="0" collapsed="false">
      <c r="A3599" s="1" t="s">
        <v>782</v>
      </c>
      <c r="B3599" s="0" t="s">
        <v>126</v>
      </c>
      <c r="E3599" s="7" t="n">
        <f aca="false">Sens!E3598/Sens!D3598-1</f>
        <v>0.104685888038225</v>
      </c>
      <c r="F3599" s="7" t="n">
        <f aca="false">Sens!$E$3599+(glt_ind-Sens!$E$3599)*MIN(1,1/n_conv)</f>
        <v>0.0989049066985211</v>
      </c>
      <c r="G3599" s="7" t="n">
        <f aca="false">Sens!$E$3599+(glt_ind-Sens!$E$3599)*MIN(1,2/n_conv)</f>
        <v>0.0931239253588169</v>
      </c>
      <c r="H3599" s="7" t="n">
        <f aca="false">Sens!$E$3599+(glt_ind-Sens!$E$3599)*MIN(1,3/n_conv)</f>
        <v>0.0873429440191127</v>
      </c>
      <c r="I3599" s="7" t="n">
        <f aca="false">Sens!$E$3599+(glt_ind-Sens!$E$3599)*MIN(1,4/n_conv)</f>
        <v>0.0815619626794085</v>
      </c>
      <c r="J3599" s="7" t="n">
        <f aca="false">Sens!$E$3599+(glt_ind-Sens!$E$3599)*MIN(1,5/n_conv)</f>
        <v>0.0757809813397042</v>
      </c>
      <c r="K3599" s="7" t="n">
        <f aca="false">Sens!$E$3599+(glt_ind-Sens!$E$3599)*MIN(1,6/n_conv)</f>
        <v>0.07</v>
      </c>
    </row>
    <row r="3600" customFormat="false" ht="15" hidden="false" customHeight="false" outlineLevel="0" collapsed="false">
      <c r="A3600" s="0" t="s">
        <v>791</v>
      </c>
      <c r="B3600" s="0" t="s">
        <v>95</v>
      </c>
      <c r="D3600" s="6" t="n">
        <f aca="false">Q!L10</f>
        <v>7.76</v>
      </c>
      <c r="E3600" s="6" t="n">
        <f aca="false">Q!M10</f>
        <v>8.26</v>
      </c>
      <c r="F3600" s="6" t="n">
        <f aca="false">Sens!E3600*(1+Sens!F3601)</f>
        <v>8.79988041237113</v>
      </c>
      <c r="G3600" s="6" t="n">
        <f aca="false">Sens!F3600*(1+Sens!G3601)</f>
        <v>9.38321269125306</v>
      </c>
      <c r="H3600" s="6" t="n">
        <f aca="false">Sens!G3600*(1+Sens!H3601)</f>
        <v>10.0139193587476</v>
      </c>
      <c r="I3600" s="6" t="n">
        <f aca="false">Sens!H3600*(1+Sens!I3601)</f>
        <v>10.6963111830911</v>
      </c>
      <c r="J3600" s="6" t="n">
        <f aca="false">Sens!I3600*(1+Sens!J3601)</f>
        <v>11.4351285534696</v>
      </c>
      <c r="K3600" s="6" t="n">
        <f aca="false">Sens!J3600*(1+Sens!K3601)</f>
        <v>12.2355875522124</v>
      </c>
    </row>
    <row r="3601" customFormat="false" ht="15" hidden="false" customHeight="false" outlineLevel="0" collapsed="false">
      <c r="A3601" s="1" t="s">
        <v>782</v>
      </c>
      <c r="B3601" s="0" t="s">
        <v>126</v>
      </c>
      <c r="E3601" s="7" t="n">
        <f aca="false">Sens!E3600/Sens!D3600-1</f>
        <v>0.0644329896907216</v>
      </c>
      <c r="F3601" s="7" t="n">
        <f aca="false">Sens!$E$3601+(glt_fro-Sens!$E$3601)*MIN(1,1/n_conv)</f>
        <v>0.065360824742268</v>
      </c>
      <c r="G3601" s="7" t="n">
        <f aca="false">Sens!$E$3601+(glt_fro-Sens!$E$3601)*MIN(1,2/n_conv)</f>
        <v>0.0662886597938144</v>
      </c>
      <c r="H3601" s="7" t="n">
        <f aca="false">Sens!$E$3601+(glt_fro-Sens!$E$3601)*MIN(1,3/n_conv)</f>
        <v>0.0672164948453608</v>
      </c>
      <c r="I3601" s="7" t="n">
        <f aca="false">Sens!$E$3601+(glt_fro-Sens!$E$3601)*MIN(1,4/n_conv)</f>
        <v>0.0681443298969072</v>
      </c>
      <c r="J3601" s="7" t="n">
        <f aca="false">Sens!$E$3601+(glt_fro-Sens!$E$3601)*MIN(1,5/n_conv)</f>
        <v>0.0690721649484536</v>
      </c>
      <c r="K3601" s="7" t="n">
        <f aca="false">Sens!$E$3601+(glt_fro-Sens!$E$3601)*MIN(1,6/n_conv)</f>
        <v>0.07</v>
      </c>
    </row>
    <row r="3602" customFormat="false" ht="15" hidden="false" customHeight="false" outlineLevel="0" collapsed="false">
      <c r="A3602" s="0" t="s">
        <v>626</v>
      </c>
      <c r="B3602" s="0" t="s">
        <v>95</v>
      </c>
      <c r="D3602" s="6" t="n">
        <f aca="false">Sens!D3590+Sens!D3595+Sens!D3596+Sens!D3598+Sens!D3600</f>
        <v>218.783</v>
      </c>
      <c r="E3602" s="6" t="n">
        <f aca="false">Sens!E3590+Sens!E3595+Sens!E3596+Sens!E3598+Sens!E3600</f>
        <v>268.127</v>
      </c>
      <c r="F3602" s="6" t="n">
        <f aca="false">Sens!F3590+Sens!F3595+Sens!F3596+Sens!F3598+Sens!F3600</f>
        <v>328.363433064856</v>
      </c>
      <c r="G3602" s="6" t="n">
        <f aca="false">Sens!G3590+Sens!G3595+Sens!G3596+Sens!G3598+Sens!G3600</f>
        <v>389.269865673274</v>
      </c>
      <c r="H3602" s="6" t="n">
        <f aca="false">Sens!H3590+Sens!H3595+Sens!H3596+Sens!H3598+Sens!H3600</f>
        <v>445.756320871193</v>
      </c>
      <c r="I3602" s="6" t="n">
        <f aca="false">Sens!I3590+Sens!I3595+Sens!I3596+Sens!I3598+Sens!I3600</f>
        <v>507.913725227984</v>
      </c>
      <c r="J3602" s="6" t="n">
        <f aca="false">Sens!J3590+Sens!J3595+Sens!J3596+Sens!J3598+Sens!J3600</f>
        <v>567.216533091392</v>
      </c>
      <c r="K3602" s="6" t="n">
        <f aca="false">Sens!K3590+Sens!K3595+Sens!K3596+Sens!K3598+Sens!K3600</f>
        <v>623.027603978669</v>
      </c>
    </row>
    <row r="3603" customFormat="false" ht="15" hidden="false" customHeight="false" outlineLevel="0" collapsed="false">
      <c r="A3603" s="0" t="s">
        <v>792</v>
      </c>
      <c r="B3603" s="0" t="s">
        <v>95</v>
      </c>
      <c r="D3603" s="6" t="n">
        <f aca="false">Q!L13</f>
        <v>22.171</v>
      </c>
      <c r="E3603" s="6" t="n">
        <f aca="false">Q!M13</f>
        <v>24.835</v>
      </c>
      <c r="F3603" s="6" t="n">
        <f aca="false">Sens!E3603*(1+Sens!F3604)</f>
        <v>27.6114901218559</v>
      </c>
      <c r="G3603" s="6" t="n">
        <f aca="false">Sens!F3603*(1+Sens!G3604)</f>
        <v>30.4675667338515</v>
      </c>
      <c r="H3603" s="6" t="n">
        <f aca="false">Sens!G3603*(1+Sens!H3604)</f>
        <v>33.3643766955789</v>
      </c>
      <c r="I3603" s="6" t="n">
        <f aca="false">Sens!H3603*(1+Sens!I3604)</f>
        <v>36.2577016533691</v>
      </c>
      <c r="J3603" s="6" t="n">
        <f aca="false">Sens!I3603*(1+Sens!J3604)</f>
        <v>39.0988367952171</v>
      </c>
      <c r="K3603" s="6" t="n">
        <f aca="false">Sens!J3603*(1+Sens!K3604)</f>
        <v>41.8357553708823</v>
      </c>
    </row>
    <row r="3604" customFormat="false" ht="15" hidden="false" customHeight="false" outlineLevel="0" collapsed="false">
      <c r="A3604" s="1" t="s">
        <v>782</v>
      </c>
      <c r="B3604" s="0" t="s">
        <v>126</v>
      </c>
      <c r="E3604" s="7" t="n">
        <f aca="false">Sens!E3603/Sens!D3603-1</f>
        <v>0.120156961796942</v>
      </c>
      <c r="F3604" s="7" t="n">
        <f aca="false">Sens!$E$3604+(glt_srch-Sens!$E$3604)*MIN(1,1/n_conv)</f>
        <v>0.111797468164118</v>
      </c>
      <c r="G3604" s="7" t="n">
        <f aca="false">Sens!$E$3604+(glt_srch-Sens!$E$3604)*MIN(1,2/n_conv)</f>
        <v>0.103437974531295</v>
      </c>
      <c r="H3604" s="7" t="n">
        <f aca="false">Sens!$E$3604+(glt_srch-Sens!$E$3604)*MIN(1,3/n_conv)</f>
        <v>0.095078480898471</v>
      </c>
      <c r="I3604" s="7" t="n">
        <f aca="false">Sens!$E$3604+(glt_srch-Sens!$E$3604)*MIN(1,4/n_conv)</f>
        <v>0.0867189872656474</v>
      </c>
      <c r="J3604" s="7" t="n">
        <f aca="false">Sens!$E$3604+(glt_srch-Sens!$E$3604)*MIN(1,5/n_conv)</f>
        <v>0.0783594936328237</v>
      </c>
      <c r="K3604" s="7" t="n">
        <f aca="false">Sens!$E$3604+(glt_srch-Sens!$E$3604)*MIN(1,6/n_conv)</f>
        <v>0.07</v>
      </c>
    </row>
    <row r="3605" customFormat="false" ht="15" hidden="false" customHeight="false" outlineLevel="0" collapsed="false">
      <c r="A3605" s="0" t="s">
        <v>793</v>
      </c>
      <c r="B3605" s="0" t="s">
        <v>95</v>
      </c>
      <c r="D3605" s="6" t="n">
        <f aca="false">Q!L14</f>
        <v>23.455</v>
      </c>
      <c r="E3605" s="6" t="n">
        <f aca="false">Q!M14</f>
        <v>21.79</v>
      </c>
      <c r="F3605" s="6" t="n">
        <f aca="false">Sens!E3605*(1+Sens!F3606)</f>
        <v>20.5736277908051</v>
      </c>
      <c r="G3605" s="6" t="n">
        <f aca="false">Sens!F3605*(1+Sens!G3606)</f>
        <v>19.7371452817919</v>
      </c>
      <c r="H3605" s="6" t="n">
        <f aca="false">Sens!G3605*(1+Sens!H3606)</f>
        <v>19.2339764043138</v>
      </c>
      <c r="I3605" s="6" t="n">
        <f aca="false">Sens!H3605*(1+Sens!I3606)</f>
        <v>19.0353086852681</v>
      </c>
      <c r="J3605" s="6" t="n">
        <f aca="false">Sens!I3605*(1+Sens!J3606)</f>
        <v>19.1273539319129</v>
      </c>
      <c r="K3605" s="6" t="n">
        <f aca="false">Sens!J3605*(1+Sens!K3606)</f>
        <v>19.5099010105511</v>
      </c>
    </row>
    <row r="3606" customFormat="false" ht="15" hidden="false" customHeight="false" outlineLevel="0" collapsed="false">
      <c r="A3606" s="1" t="s">
        <v>782</v>
      </c>
      <c r="B3606" s="0" t="s">
        <v>126</v>
      </c>
      <c r="E3606" s="7" t="n">
        <f aca="false">Sens!E3605/Sens!D3605-1</f>
        <v>-0.0709869963760392</v>
      </c>
      <c r="F3606" s="7" t="n">
        <f aca="false">Sens!$E$3606+(glt_xbox-Sens!$E$3606)*MIN(1,1/n_conv)</f>
        <v>-0.0558224969800327</v>
      </c>
      <c r="G3606" s="7" t="n">
        <f aca="false">Sens!$E$3606+(glt_xbox-Sens!$E$3606)*MIN(1,2/n_conv)</f>
        <v>-0.0406579975840262</v>
      </c>
      <c r="H3606" s="7" t="n">
        <f aca="false">Sens!$E$3606+(glt_xbox-Sens!$E$3606)*MIN(1,3/n_conv)</f>
        <v>-0.0254934981880196</v>
      </c>
      <c r="I3606" s="7" t="n">
        <f aca="false">Sens!$E$3606+(glt_xbox-Sens!$E$3606)*MIN(1,4/n_conv)</f>
        <v>-0.0103289987920131</v>
      </c>
      <c r="J3606" s="7" t="n">
        <f aca="false">Sens!$E$3606+(glt_xbox-Sens!$E$3606)*MIN(1,5/n_conv)</f>
        <v>0.00483550060399347</v>
      </c>
      <c r="K3606" s="7" t="n">
        <f aca="false">Sens!$E$3606+(glt_xbox-Sens!$E$3606)*MIN(1,6/n_conv)</f>
        <v>0.02</v>
      </c>
    </row>
    <row r="3607" customFormat="false" ht="15" hidden="false" customHeight="false" outlineLevel="0" collapsed="false">
      <c r="A3607" s="0" t="s">
        <v>794</v>
      </c>
      <c r="B3607" s="0" t="s">
        <v>95</v>
      </c>
      <c r="D3607" s="6" t="n">
        <f aca="false">Q!L15</f>
        <v>17.315</v>
      </c>
      <c r="E3607" s="6" t="n">
        <f aca="false">Q!M15</f>
        <v>17.087</v>
      </c>
      <c r="F3607" s="6" t="n">
        <f aca="false">Sens!E3607*(1+Sens!F3608)</f>
        <v>16.9564585436519</v>
      </c>
      <c r="G3607" s="6" t="n">
        <f aca="false">Sens!F3607*(1+Sens!G3608)</f>
        <v>16.9206490624268</v>
      </c>
      <c r="H3607" s="6" t="n">
        <f aca="false">Sens!G3607*(1+Sens!H3608)</f>
        <v>16.9784519149849</v>
      </c>
      <c r="I3607" s="6" t="n">
        <f aca="false">Sens!H3607*(1+Sens!I3608)</f>
        <v>17.1303084701817</v>
      </c>
      <c r="J3607" s="6" t="n">
        <f aca="false">Sens!I3607*(1+Sens!J3608)</f>
        <v>17.3782189407267</v>
      </c>
      <c r="K3607" s="6" t="n">
        <f aca="false">Sens!J3607*(1+Sens!K3608)</f>
        <v>17.7257833195413</v>
      </c>
    </row>
    <row r="3608" customFormat="false" ht="15" hidden="false" customHeight="false" outlineLevel="0" collapsed="false">
      <c r="A3608" s="1" t="s">
        <v>782</v>
      </c>
      <c r="B3608" s="0" t="s">
        <v>126</v>
      </c>
      <c r="E3608" s="7" t="n">
        <f aca="false">Sens!E3607/Sens!D3607-1</f>
        <v>-0.0131677736066995</v>
      </c>
      <c r="F3608" s="7" t="n">
        <f aca="false">Sens!$E$3608+(glt_win-Sens!$E$3608)*MIN(1,1/n_conv)</f>
        <v>-0.00763981133891627</v>
      </c>
      <c r="G3608" s="7" t="n">
        <f aca="false">Sens!$E$3608+(glt_win-Sens!$E$3608)*MIN(1,2/n_conv)</f>
        <v>-0.00211184907113301</v>
      </c>
      <c r="H3608" s="7" t="n">
        <f aca="false">Sens!$E$3608+(glt_win-Sens!$E$3608)*MIN(1,3/n_conv)</f>
        <v>0.00341611319665024</v>
      </c>
      <c r="I3608" s="7" t="n">
        <f aca="false">Sens!$E$3608+(glt_win-Sens!$E$3608)*MIN(1,4/n_conv)</f>
        <v>0.00894407546443349</v>
      </c>
      <c r="J3608" s="7" t="n">
        <f aca="false">Sens!$E$3608+(glt_win-Sens!$E$3608)*MIN(1,5/n_conv)</f>
        <v>0.0144720377322168</v>
      </c>
      <c r="K3608" s="7" t="n">
        <f aca="false">Sens!$E$3608+(glt_win-Sens!$E$3608)*MIN(1,6/n_conv)</f>
        <v>0.02</v>
      </c>
    </row>
    <row r="3609" customFormat="false" ht="15" hidden="false" customHeight="false" outlineLevel="0" collapsed="false">
      <c r="A3609" s="0" t="s">
        <v>640</v>
      </c>
      <c r="B3609" s="0" t="s">
        <v>95</v>
      </c>
      <c r="D3609" s="6" t="n">
        <f aca="false">Sens!D3603+Sens!D3605+Sens!D3607</f>
        <v>62.941</v>
      </c>
      <c r="E3609" s="6" t="n">
        <f aca="false">Sens!E3603+Sens!E3605+Sens!E3607</f>
        <v>63.712</v>
      </c>
      <c r="F3609" s="6" t="n">
        <f aca="false">Sens!F3603+Sens!F3605+Sens!F3607</f>
        <v>65.1415764563129</v>
      </c>
      <c r="G3609" s="6" t="n">
        <f aca="false">Sens!G3603+Sens!G3605+Sens!G3607</f>
        <v>67.1253610780702</v>
      </c>
      <c r="H3609" s="6" t="n">
        <f aca="false">Sens!H3603+Sens!H3605+Sens!H3607</f>
        <v>69.5768050148776</v>
      </c>
      <c r="I3609" s="6" t="n">
        <f aca="false">Sens!I3603+Sens!I3605+Sens!I3607</f>
        <v>72.4233188088189</v>
      </c>
      <c r="J3609" s="6" t="n">
        <f aca="false">Sens!J3603+Sens!J3605+Sens!J3607</f>
        <v>75.6044096678567</v>
      </c>
      <c r="K3609" s="6" t="n">
        <f aca="false">Sens!K3603+Sens!K3605+Sens!K3607</f>
        <v>79.0714397009747</v>
      </c>
    </row>
    <row r="3610" customFormat="false" ht="15" hidden="false" customHeight="false" outlineLevel="0" collapsed="false">
      <c r="A3610" s="1" t="s">
        <v>795</v>
      </c>
      <c r="B3610" s="0" t="s">
        <v>95</v>
      </c>
      <c r="D3610" s="6" t="n">
        <f aca="false">Sens!D3602+Sens!D3609</f>
        <v>281.724</v>
      </c>
      <c r="E3610" s="6" t="n">
        <f aca="false">Sens!E3602+Sens!E3609</f>
        <v>331.839</v>
      </c>
      <c r="F3610" s="6" t="n">
        <f aca="false">Sens!F3602+Sens!F3609</f>
        <v>393.505009521169</v>
      </c>
      <c r="G3610" s="6" t="n">
        <f aca="false">Sens!G3602+Sens!G3609</f>
        <v>456.395226751344</v>
      </c>
      <c r="H3610" s="6" t="n">
        <f aca="false">Sens!H3602+Sens!H3609</f>
        <v>515.333125886071</v>
      </c>
      <c r="I3610" s="6" t="n">
        <f aca="false">Sens!I3602+Sens!I3609</f>
        <v>580.337044036803</v>
      </c>
      <c r="J3610" s="6" t="n">
        <f aca="false">Sens!J3602+Sens!J3609</f>
        <v>642.820942759249</v>
      </c>
      <c r="K3610" s="6" t="n">
        <f aca="false">Sens!K3602+Sens!K3609</f>
        <v>702.099043679644</v>
      </c>
    </row>
    <row r="3611" customFormat="false" ht="15" hidden="false" customHeight="false" outlineLevel="0" collapsed="false">
      <c r="A3611" s="22" t="s">
        <v>796</v>
      </c>
      <c r="B3611" s="28" t="s">
        <v>95</v>
      </c>
      <c r="C3611" s="28"/>
      <c r="D3611" s="23" t="n">
        <f aca="false">(Sens!D3590+Sens!D3595+Sens!D3596+Sens!D3598+Sens!D3600-Sens!D3602)+(Sens!D3603+Sens!D3605+Sens!D3607-Sens!D3609)+(Sens!D3602-Q!L5)+(Sens!D3609-Q!L12)+(Sens!D3590-Q!L6)+(Sens!D3595-Q!L7)</f>
        <v>0</v>
      </c>
      <c r="E3611" s="23" t="n">
        <f aca="false">(Sens!E3590+Sens!E3595+Sens!E3596+Sens!E3598+Sens!E3600-Sens!E3602)+(Sens!E3603+Sens!E3605+Sens!E3607-Sens!E3609)+(Sens!E3602-Q!M5)+(Sens!E3609-Q!M12)+(Sens!E3590-Q!M6)+(Sens!E3595-Q!M7)</f>
        <v>0</v>
      </c>
      <c r="F3611" s="23" t="n">
        <f aca="false">(Sens!F3590+Sens!F3595+Sens!F3596+Sens!F3598+Sens!F3600-Sens!F3602)+(Sens!F3603+Sens!F3605+Sens!F3607-Sens!F3609)</f>
        <v>0</v>
      </c>
      <c r="G3611" s="23" t="n">
        <f aca="false">(Sens!G3590+Sens!G3595+Sens!G3596+Sens!G3598+Sens!G3600-Sens!G3602)+(Sens!G3603+Sens!G3605+Sens!G3607-Sens!G3609)</f>
        <v>0</v>
      </c>
      <c r="H3611" s="23" t="n">
        <f aca="false">(Sens!H3590+Sens!H3595+Sens!H3596+Sens!H3598+Sens!H3600-Sens!H3602)+(Sens!H3603+Sens!H3605+Sens!H3607-Sens!H3609)</f>
        <v>0</v>
      </c>
      <c r="I3611" s="23" t="n">
        <f aca="false">(Sens!I3590+Sens!I3595+Sens!I3596+Sens!I3598+Sens!I3600-Sens!I3602)+(Sens!I3603+Sens!I3605+Sens!I3607-Sens!I3609)</f>
        <v>0</v>
      </c>
      <c r="J3611" s="23" t="n">
        <f aca="false">(Sens!J3590+Sens!J3595+Sens!J3596+Sens!J3598+Sens!J3600-Sens!J3602)+(Sens!J3603+Sens!J3605+Sens!J3607-Sens!J3609)</f>
        <v>0</v>
      </c>
      <c r="K3611" s="23" t="n">
        <f aca="false">(Sens!K3590+Sens!K3595+Sens!K3596+Sens!K3598+Sens!K3600-Sens!K3602)+(Sens!K3603+Sens!K3605+Sens!K3607-Sens!K3609)</f>
        <v>0</v>
      </c>
    </row>
    <row r="3612" customFormat="false" ht="17.15" hidden="false" customHeight="false" outlineLevel="0" collapsed="false">
      <c r="A3612" s="3" t="s">
        <v>1216</v>
      </c>
    </row>
    <row r="3613" customFormat="false" ht="15" hidden="false" customHeight="false" outlineLevel="0" collapsed="false">
      <c r="A3613" s="4" t="s">
        <v>43</v>
      </c>
      <c r="B3613" s="4" t="s">
        <v>63</v>
      </c>
      <c r="C3613" s="19" t="s">
        <v>710</v>
      </c>
      <c r="D3613" s="19" t="s">
        <v>711</v>
      </c>
      <c r="E3613" s="19" t="s">
        <v>712</v>
      </c>
      <c r="F3613" s="19" t="s">
        <v>713</v>
      </c>
      <c r="G3613" s="19" t="s">
        <v>714</v>
      </c>
      <c r="H3613" s="19" t="s">
        <v>715</v>
      </c>
      <c r="I3613" s="19" t="s">
        <v>716</v>
      </c>
      <c r="J3613" s="19" t="s">
        <v>717</v>
      </c>
      <c r="K3613" s="19" t="s">
        <v>718</v>
      </c>
      <c r="L3613" s="4" t="s">
        <v>47</v>
      </c>
    </row>
    <row r="3614" customFormat="false" ht="15" hidden="false" customHeight="false" outlineLevel="0" collapsed="false">
      <c r="A3614" s="0" t="s">
        <v>783</v>
      </c>
      <c r="B3614" s="0" t="s">
        <v>95</v>
      </c>
      <c r="D3614" s="6" t="n">
        <f aca="false">Sens!D3590</f>
        <v>72.61</v>
      </c>
      <c r="E3614" s="6" t="n">
        <f aca="false">Sens!E3590</f>
        <v>101.938</v>
      </c>
      <c r="F3614" s="6" t="n">
        <f aca="false">Sens!F3590</f>
        <v>140.741861125673</v>
      </c>
      <c r="G3614" s="6" t="n">
        <f aca="false">Sens!G3590</f>
        <v>182.176709135845</v>
      </c>
      <c r="H3614" s="6" t="n">
        <f aca="false">Sens!H3590</f>
        <v>219.167638189678</v>
      </c>
      <c r="I3614" s="6" t="n">
        <f aca="false">Sens!I3590</f>
        <v>262.852370248498</v>
      </c>
      <c r="J3614" s="6" t="n">
        <f aca="false">Sens!J3590</f>
        <v>305.025635987223</v>
      </c>
      <c r="K3614" s="6" t="n">
        <f aca="false">Sens!K3590</f>
        <v>344.633534638493</v>
      </c>
    </row>
    <row r="3615" customFormat="false" ht="17.15" hidden="false" customHeight="false" outlineLevel="0" collapsed="false">
      <c r="A3615" s="0" t="s">
        <v>780</v>
      </c>
      <c r="B3615" s="0" t="s">
        <v>95</v>
      </c>
      <c r="D3615" s="6" t="n">
        <f aca="false">Sens!D3587</f>
        <v>12.9359794422418</v>
      </c>
      <c r="E3615" s="6" t="n">
        <f aca="false">Sens!E3587</f>
        <v>27.8095064661409</v>
      </c>
      <c r="F3615" s="6" t="n">
        <f aca="false">Sens!F3587</f>
        <v>50.6619113883066</v>
      </c>
      <c r="G3615" s="6" t="n">
        <f aca="false">Sens!G3587</f>
        <v>75.1482839325348</v>
      </c>
      <c r="H3615" s="6" t="n">
        <f aca="false">Sens!H3587</f>
        <v>94.895655604042</v>
      </c>
      <c r="I3615" s="6" t="n">
        <f aca="false">Sens!I3587</f>
        <v>121.918667866643</v>
      </c>
      <c r="J3615" s="6" t="n">
        <f aca="false">Sens!J3587</f>
        <v>149.006768672892</v>
      </c>
      <c r="K3615" s="6" t="n">
        <f aca="false">Sens!K3587</f>
        <v>176.133157939015</v>
      </c>
    </row>
    <row r="3616" customFormat="false" ht="17.15" hidden="false" customHeight="false" outlineLevel="0" collapsed="false">
      <c r="A3616" s="0" t="s">
        <v>807</v>
      </c>
      <c r="B3616" s="0" t="s">
        <v>95</v>
      </c>
      <c r="D3616" s="6" t="n">
        <f aca="false">Sens!D3588</f>
        <v>59.6740205577583</v>
      </c>
      <c r="E3616" s="6" t="n">
        <f aca="false">Sens!E3588</f>
        <v>74.1284935338591</v>
      </c>
      <c r="F3616" s="6" t="n">
        <f aca="false">Sens!F3588</f>
        <v>90.0799497373663</v>
      </c>
      <c r="G3616" s="6" t="n">
        <f aca="false">Sens!G3588</f>
        <v>107.02842520331</v>
      </c>
      <c r="H3616" s="6" t="n">
        <f aca="false">Sens!H3588</f>
        <v>124.271982585636</v>
      </c>
      <c r="I3616" s="6" t="n">
        <f aca="false">Sens!I3588</f>
        <v>140.933702381855</v>
      </c>
      <c r="J3616" s="6" t="n">
        <f aca="false">Sens!J3588</f>
        <v>156.018867314332</v>
      </c>
      <c r="K3616" s="6" t="n">
        <f aca="false">Sens!K3588</f>
        <v>168.500376699478</v>
      </c>
    </row>
    <row r="3617" customFormat="false" ht="15" hidden="false" customHeight="false" outlineLevel="0" collapsed="false">
      <c r="A3617" s="0" t="s">
        <v>788</v>
      </c>
      <c r="B3617" s="0" t="s">
        <v>95</v>
      </c>
      <c r="D3617" s="6" t="n">
        <f aca="false">Sens!D3595</f>
        <v>84.605</v>
      </c>
      <c r="E3617" s="6" t="n">
        <f aca="false">Sens!E3595</f>
        <v>100.299</v>
      </c>
      <c r="F3617" s="6" t="n">
        <f aca="false">Sens!F3595</f>
        <v>117.39238776686</v>
      </c>
      <c r="G3617" s="6" t="n">
        <f aca="false">Sens!G3595</f>
        <v>132.544168448684</v>
      </c>
      <c r="H3617" s="6" t="n">
        <f aca="false">Sens!H3595</f>
        <v>147.777359388781</v>
      </c>
      <c r="I3617" s="6" t="n">
        <f aca="false">Sens!I3595</f>
        <v>162.084028071957</v>
      </c>
      <c r="J3617" s="6" t="n">
        <f aca="false">Sens!J3595</f>
        <v>175.182702785465</v>
      </c>
      <c r="K3617" s="6" t="n">
        <f aca="false">Sens!K3595</f>
        <v>187.527991980448</v>
      </c>
    </row>
    <row r="3618" customFormat="false" ht="17.15" hidden="false" customHeight="false" outlineLevel="0" collapsed="false">
      <c r="A3618" s="0" t="s">
        <v>808</v>
      </c>
      <c r="B3618" s="0" t="s">
        <v>95</v>
      </c>
      <c r="D3618" s="6" t="n">
        <f aca="false">Sens!D3593</f>
        <v>83.705</v>
      </c>
      <c r="E3618" s="6" t="n">
        <f aca="false">Sens!E3593</f>
        <v>95.049</v>
      </c>
      <c r="F3618" s="6" t="n">
        <f aca="false">Sens!F3593</f>
        <v>106.89238776686</v>
      </c>
      <c r="G3618" s="6" t="n">
        <f aca="false">Sens!G3593</f>
        <v>119.044168448684</v>
      </c>
      <c r="H3618" s="6" t="n">
        <f aca="false">Sens!H3593</f>
        <v>131.277359388781</v>
      </c>
      <c r="I3618" s="6" t="n">
        <f aca="false">Sens!I3593</f>
        <v>143.334028071957</v>
      </c>
      <c r="J3618" s="6" t="n">
        <f aca="false">Sens!J3593</f>
        <v>154.932702785465</v>
      </c>
      <c r="K3618" s="6" t="n">
        <f aca="false">Sens!K3593</f>
        <v>165.777991980448</v>
      </c>
    </row>
    <row r="3619" customFormat="false" ht="17.15" hidden="false" customHeight="false" outlineLevel="0" collapsed="false">
      <c r="A3619" s="0" t="s">
        <v>809</v>
      </c>
      <c r="B3619" s="0" t="s">
        <v>95</v>
      </c>
      <c r="D3619" s="6" t="n">
        <f aca="false">Sens!D3592</f>
        <v>0.9</v>
      </c>
      <c r="E3619" s="6" t="n">
        <f aca="false">Sens!E3592</f>
        <v>5.25</v>
      </c>
      <c r="F3619" s="6" t="n">
        <f aca="false">Sens!F3592</f>
        <v>10.5</v>
      </c>
      <c r="G3619" s="6" t="n">
        <f aca="false">Sens!G3592</f>
        <v>13.5</v>
      </c>
      <c r="H3619" s="6" t="n">
        <f aca="false">Sens!H3592</f>
        <v>16.5</v>
      </c>
      <c r="I3619" s="6" t="n">
        <f aca="false">Sens!I3592</f>
        <v>18.75</v>
      </c>
      <c r="J3619" s="6" t="n">
        <f aca="false">Sens!J3592</f>
        <v>20.25</v>
      </c>
      <c r="K3619" s="6" t="n">
        <f aca="false">Sens!K3592</f>
        <v>21.75</v>
      </c>
    </row>
    <row r="3620" customFormat="false" ht="15" hidden="false" customHeight="false" outlineLevel="0" collapsed="false">
      <c r="A3620" s="0" t="s">
        <v>789</v>
      </c>
      <c r="B3620" s="0" t="s">
        <v>95</v>
      </c>
      <c r="D3620" s="6" t="n">
        <f aca="false">Sens!D3596</f>
        <v>35.391</v>
      </c>
      <c r="E3620" s="6" t="n">
        <f aca="false">Sens!E3596</f>
        <v>37.285</v>
      </c>
      <c r="F3620" s="6" t="n">
        <f aca="false">Sens!F3596</f>
        <v>39.0720834331704</v>
      </c>
      <c r="G3620" s="6" t="n">
        <f aca="false">Sens!G3596</f>
        <v>40.726562953769</v>
      </c>
      <c r="H3620" s="6" t="n">
        <f aca="false">Sens!H3596</f>
        <v>42.2235987259198</v>
      </c>
      <c r="I3620" s="6" t="n">
        <f aca="false">Sens!I3596</f>
        <v>43.5397988077414</v>
      </c>
      <c r="J3620" s="6" t="n">
        <f aca="false">Sens!J3596</f>
        <v>44.653811225693</v>
      </c>
      <c r="K3620" s="6" t="n">
        <f aca="false">Sens!K3596</f>
        <v>45.5468874502068</v>
      </c>
    </row>
    <row r="3621" customFormat="false" ht="15" hidden="false" customHeight="false" outlineLevel="0" collapsed="false">
      <c r="A3621" s="0" t="s">
        <v>790</v>
      </c>
      <c r="B3621" s="0" t="s">
        <v>95</v>
      </c>
      <c r="D3621" s="6" t="n">
        <f aca="false">Sens!D3598</f>
        <v>18.417</v>
      </c>
      <c r="E3621" s="6" t="n">
        <f aca="false">Sens!E3598</f>
        <v>20.345</v>
      </c>
      <c r="F3621" s="6" t="n">
        <f aca="false">Sens!F3598</f>
        <v>22.3572203267814</v>
      </c>
      <c r="G3621" s="6" t="n">
        <f aca="false">Sens!G3598</f>
        <v>24.4392124437232</v>
      </c>
      <c r="H3621" s="6" t="n">
        <f aca="false">Sens!H3598</f>
        <v>26.5738052080665</v>
      </c>
      <c r="I3621" s="6" t="n">
        <f aca="false">Sens!I3598</f>
        <v>28.7412169166967</v>
      </c>
      <c r="J3621" s="6" t="n">
        <f aca="false">Sens!J3598</f>
        <v>30.9192545395413</v>
      </c>
      <c r="K3621" s="6" t="n">
        <f aca="false">Sens!K3598</f>
        <v>33.0836023573092</v>
      </c>
    </row>
    <row r="3622" customFormat="false" ht="15" hidden="false" customHeight="false" outlineLevel="0" collapsed="false">
      <c r="A3622" s="0" t="s">
        <v>791</v>
      </c>
      <c r="B3622" s="0" t="s">
        <v>95</v>
      </c>
      <c r="D3622" s="6" t="n">
        <f aca="false">Sens!D3600</f>
        <v>7.76</v>
      </c>
      <c r="E3622" s="6" t="n">
        <f aca="false">Sens!E3600</f>
        <v>8.26</v>
      </c>
      <c r="F3622" s="6" t="n">
        <f aca="false">Sens!F3600</f>
        <v>8.79988041237113</v>
      </c>
      <c r="G3622" s="6" t="n">
        <f aca="false">Sens!G3600</f>
        <v>9.38321269125306</v>
      </c>
      <c r="H3622" s="6" t="n">
        <f aca="false">Sens!H3600</f>
        <v>10.0139193587476</v>
      </c>
      <c r="I3622" s="6" t="n">
        <f aca="false">Sens!I3600</f>
        <v>10.6963111830911</v>
      </c>
      <c r="J3622" s="6" t="n">
        <f aca="false">Sens!J3600</f>
        <v>11.4351285534696</v>
      </c>
      <c r="K3622" s="6" t="n">
        <f aca="false">Sens!K3600</f>
        <v>12.2355875522124</v>
      </c>
    </row>
    <row r="3623" customFormat="false" ht="15" hidden="false" customHeight="false" outlineLevel="0" collapsed="false">
      <c r="A3623" s="0" t="s">
        <v>626</v>
      </c>
      <c r="B3623" s="0" t="s">
        <v>95</v>
      </c>
      <c r="D3623" s="6" t="n">
        <f aca="false">Sens!D3602</f>
        <v>218.783</v>
      </c>
      <c r="E3623" s="6" t="n">
        <f aca="false">Sens!E3602</f>
        <v>268.127</v>
      </c>
      <c r="F3623" s="6" t="n">
        <f aca="false">Sens!F3602</f>
        <v>328.363433064856</v>
      </c>
      <c r="G3623" s="6" t="n">
        <f aca="false">Sens!G3602</f>
        <v>389.269865673274</v>
      </c>
      <c r="H3623" s="6" t="n">
        <f aca="false">Sens!H3602</f>
        <v>445.756320871193</v>
      </c>
      <c r="I3623" s="6" t="n">
        <f aca="false">Sens!I3602</f>
        <v>507.913725227984</v>
      </c>
      <c r="J3623" s="6" t="n">
        <f aca="false">Sens!J3602</f>
        <v>567.216533091392</v>
      </c>
      <c r="K3623" s="6" t="n">
        <f aca="false">Sens!K3602</f>
        <v>623.027603978669</v>
      </c>
    </row>
    <row r="3624" customFormat="false" ht="15" hidden="false" customHeight="false" outlineLevel="0" collapsed="false">
      <c r="A3624" s="0" t="s">
        <v>792</v>
      </c>
      <c r="B3624" s="0" t="s">
        <v>95</v>
      </c>
      <c r="D3624" s="6" t="n">
        <f aca="false">Sens!D3603</f>
        <v>22.171</v>
      </c>
      <c r="E3624" s="6" t="n">
        <f aca="false">Sens!E3603</f>
        <v>24.835</v>
      </c>
      <c r="F3624" s="6" t="n">
        <f aca="false">Sens!F3603</f>
        <v>27.6114901218559</v>
      </c>
      <c r="G3624" s="6" t="n">
        <f aca="false">Sens!G3603</f>
        <v>30.4675667338515</v>
      </c>
      <c r="H3624" s="6" t="n">
        <f aca="false">Sens!H3603</f>
        <v>33.3643766955789</v>
      </c>
      <c r="I3624" s="6" t="n">
        <f aca="false">Sens!I3603</f>
        <v>36.2577016533691</v>
      </c>
      <c r="J3624" s="6" t="n">
        <f aca="false">Sens!J3603</f>
        <v>39.0988367952171</v>
      </c>
      <c r="K3624" s="6" t="n">
        <f aca="false">Sens!K3603</f>
        <v>41.8357553708823</v>
      </c>
    </row>
    <row r="3625" customFormat="false" ht="15" hidden="false" customHeight="false" outlineLevel="0" collapsed="false">
      <c r="A3625" s="0" t="s">
        <v>793</v>
      </c>
      <c r="B3625" s="0" t="s">
        <v>95</v>
      </c>
      <c r="D3625" s="6" t="n">
        <f aca="false">Sens!D3605</f>
        <v>23.455</v>
      </c>
      <c r="E3625" s="6" t="n">
        <f aca="false">Sens!E3605</f>
        <v>21.79</v>
      </c>
      <c r="F3625" s="6" t="n">
        <f aca="false">Sens!F3605</f>
        <v>20.5736277908051</v>
      </c>
      <c r="G3625" s="6" t="n">
        <f aca="false">Sens!G3605</f>
        <v>19.7371452817919</v>
      </c>
      <c r="H3625" s="6" t="n">
        <f aca="false">Sens!H3605</f>
        <v>19.2339764043138</v>
      </c>
      <c r="I3625" s="6" t="n">
        <f aca="false">Sens!I3605</f>
        <v>19.0353086852681</v>
      </c>
      <c r="J3625" s="6" t="n">
        <f aca="false">Sens!J3605</f>
        <v>19.1273539319129</v>
      </c>
      <c r="K3625" s="6" t="n">
        <f aca="false">Sens!K3605</f>
        <v>19.5099010105511</v>
      </c>
    </row>
    <row r="3626" customFormat="false" ht="15" hidden="false" customHeight="false" outlineLevel="0" collapsed="false">
      <c r="A3626" s="0" t="s">
        <v>794</v>
      </c>
      <c r="B3626" s="0" t="s">
        <v>95</v>
      </c>
      <c r="D3626" s="6" t="n">
        <f aca="false">Sens!D3607</f>
        <v>17.315</v>
      </c>
      <c r="E3626" s="6" t="n">
        <f aca="false">Sens!E3607</f>
        <v>17.087</v>
      </c>
      <c r="F3626" s="6" t="n">
        <f aca="false">Sens!F3607</f>
        <v>16.9564585436519</v>
      </c>
      <c r="G3626" s="6" t="n">
        <f aca="false">Sens!G3607</f>
        <v>16.9206490624268</v>
      </c>
      <c r="H3626" s="6" t="n">
        <f aca="false">Sens!H3607</f>
        <v>16.9784519149849</v>
      </c>
      <c r="I3626" s="6" t="n">
        <f aca="false">Sens!I3607</f>
        <v>17.1303084701817</v>
      </c>
      <c r="J3626" s="6" t="n">
        <f aca="false">Sens!J3607</f>
        <v>17.3782189407267</v>
      </c>
      <c r="K3626" s="6" t="n">
        <f aca="false">Sens!K3607</f>
        <v>17.7257833195413</v>
      </c>
    </row>
    <row r="3627" customFormat="false" ht="15" hidden="false" customHeight="false" outlineLevel="0" collapsed="false">
      <c r="A3627" s="0" t="s">
        <v>640</v>
      </c>
      <c r="B3627" s="0" t="s">
        <v>95</v>
      </c>
      <c r="D3627" s="6" t="n">
        <f aca="false">Sens!D3609</f>
        <v>62.941</v>
      </c>
      <c r="E3627" s="6" t="n">
        <f aca="false">Sens!E3609</f>
        <v>63.712</v>
      </c>
      <c r="F3627" s="6" t="n">
        <f aca="false">Sens!F3609</f>
        <v>65.1415764563129</v>
      </c>
      <c r="G3627" s="6" t="n">
        <f aca="false">Sens!G3609</f>
        <v>67.1253610780702</v>
      </c>
      <c r="H3627" s="6" t="n">
        <f aca="false">Sens!H3609</f>
        <v>69.5768050148776</v>
      </c>
      <c r="I3627" s="6" t="n">
        <f aca="false">Sens!I3609</f>
        <v>72.4233188088189</v>
      </c>
      <c r="J3627" s="6" t="n">
        <f aca="false">Sens!J3609</f>
        <v>75.6044096678567</v>
      </c>
      <c r="K3627" s="6" t="n">
        <f aca="false">Sens!K3609</f>
        <v>79.0714397009747</v>
      </c>
    </row>
    <row r="3628" customFormat="false" ht="15" hidden="false" customHeight="false" outlineLevel="0" collapsed="false">
      <c r="A3628" s="1" t="s">
        <v>810</v>
      </c>
      <c r="B3628" s="0" t="s">
        <v>95</v>
      </c>
      <c r="D3628" s="6" t="n">
        <f aca="false">Sens!D3610</f>
        <v>281.724</v>
      </c>
      <c r="E3628" s="6" t="n">
        <f aca="false">Sens!E3610</f>
        <v>331.839</v>
      </c>
      <c r="F3628" s="6" t="n">
        <f aca="false">Sens!F3610</f>
        <v>393.505009521169</v>
      </c>
      <c r="G3628" s="6" t="n">
        <f aca="false">Sens!G3610</f>
        <v>456.395226751344</v>
      </c>
      <c r="H3628" s="6" t="n">
        <f aca="false">Sens!H3610</f>
        <v>515.333125886071</v>
      </c>
      <c r="I3628" s="6" t="n">
        <f aca="false">Sens!I3610</f>
        <v>580.337044036803</v>
      </c>
      <c r="J3628" s="6" t="n">
        <f aca="false">Sens!J3610</f>
        <v>642.820942759249</v>
      </c>
      <c r="K3628" s="6" t="n">
        <f aca="false">Sens!K3610</f>
        <v>702.099043679644</v>
      </c>
    </row>
    <row r="3629" customFormat="false" ht="15" hidden="false" customHeight="false" outlineLevel="0" collapsed="false">
      <c r="A3629" s="1" t="s">
        <v>811</v>
      </c>
      <c r="B3629" s="0" t="s">
        <v>126</v>
      </c>
      <c r="E3629" s="7" t="n">
        <f aca="false">Sens!E3628/Sens!D3628-1</f>
        <v>0.177886867998467</v>
      </c>
      <c r="F3629" s="7" t="n">
        <f aca="false">Sens!F3628/Sens!E3628-1</f>
        <v>0.185831109427067</v>
      </c>
      <c r="G3629" s="7" t="n">
        <f aca="false">Sens!G3628/Sens!F3628-1</f>
        <v>0.159820626697237</v>
      </c>
      <c r="H3629" s="7" t="n">
        <f aca="false">Sens!H3628/Sens!G3628-1</f>
        <v>0.129137851756801</v>
      </c>
      <c r="I3629" s="7" t="n">
        <f aca="false">Sens!I3628/Sens!H3628-1</f>
        <v>0.126139607344208</v>
      </c>
      <c r="J3629" s="7" t="n">
        <f aca="false">Sens!J3628/Sens!I3628-1</f>
        <v>0.107668292700756</v>
      </c>
      <c r="K3629" s="7" t="n">
        <f aca="false">Sens!K3628/Sens!J3628-1</f>
        <v>0.0922155719848661</v>
      </c>
    </row>
    <row r="3630" customFormat="false" ht="17.15" hidden="false" customHeight="false" outlineLevel="0" collapsed="false">
      <c r="A3630" s="22" t="s">
        <v>812</v>
      </c>
      <c r="B3630" s="28" t="s">
        <v>95</v>
      </c>
      <c r="C3630" s="28"/>
      <c r="D3630" s="23" t="n">
        <f aca="false">(Sens!D3623+Sens!D3627-Sens!D3628)+(Sens!D3615+Sens!D3616-Sens!D3614)+(Sens!D3618+Sens!D3619-Sens!D3617)+(Sens!D3628-Q!L18)</f>
        <v>0</v>
      </c>
      <c r="E3630" s="23" t="n">
        <f aca="false">(Sens!E3623+Sens!E3627-Sens!E3628)+(Sens!E3615+Sens!E3616-Sens!E3614)+(Sens!E3618+Sens!E3619-Sens!E3617)+(Sens!E3628-Q!M18)</f>
        <v>0</v>
      </c>
      <c r="F3630" s="23" t="n">
        <f aca="false">(Sens!F3623+Sens!F3627-Sens!F3628)+(Sens!F3615+Sens!F3616-Sens!F3614)+(Sens!F3618+Sens!F3619-Sens!F3617)</f>
        <v>0</v>
      </c>
      <c r="G3630" s="23" t="n">
        <f aca="false">(Sens!G3623+Sens!G3627-Sens!G3628)+(Sens!G3615+Sens!G3616-Sens!G3614)+(Sens!G3618+Sens!G3619-Sens!G3617)</f>
        <v>0</v>
      </c>
      <c r="H3630" s="23" t="n">
        <f aca="false">(Sens!H3623+Sens!H3627-Sens!H3628)+(Sens!H3615+Sens!H3616-Sens!H3614)+(Sens!H3618+Sens!H3619-Sens!H3617)</f>
        <v>0</v>
      </c>
      <c r="I3630" s="23" t="n">
        <f aca="false">(Sens!I3623+Sens!I3627-Sens!I3628)+(Sens!I3615+Sens!I3616-Sens!I3614)+(Sens!I3618+Sens!I3619-Sens!I3617)</f>
        <v>0</v>
      </c>
      <c r="J3630" s="23" t="n">
        <f aca="false">(Sens!J3623+Sens!J3627-Sens!J3628)+(Sens!J3615+Sens!J3616-Sens!J3614)+(Sens!J3618+Sens!J3619-Sens!J3617)</f>
        <v>0</v>
      </c>
      <c r="K3630" s="23" t="n">
        <f aca="false">(Sens!K3623+Sens!K3627-Sens!K3628)+(Sens!K3615+Sens!K3616-Sens!K3614)+(Sens!K3618+Sens!K3619-Sens!K3617)</f>
        <v>0</v>
      </c>
    </row>
    <row r="3631" customFormat="false" ht="17.15" hidden="false" customHeight="false" outlineLevel="0" collapsed="false">
      <c r="A3631" s="0" t="s">
        <v>813</v>
      </c>
      <c r="B3631" s="0" t="s">
        <v>126</v>
      </c>
      <c r="E3631" s="7" t="n">
        <f aca="false">(Q!M21+Sens!E3568+Sens!E3569+Sens!E3570+Sens!E3583-Sens!E3566)/(Q!M5-Sens!E3566)</f>
        <v>0.583491251973566</v>
      </c>
      <c r="F3631" s="7" t="n">
        <f aca="false">Sens!$E$3631+dm_seg</f>
        <v>0.583491251973566</v>
      </c>
      <c r="G3631" s="7" t="n">
        <f aca="false">Sens!$E$3631+dm_seg</f>
        <v>0.583491251973566</v>
      </c>
      <c r="H3631" s="7" t="n">
        <f aca="false">Sens!$E$3631+dm_seg</f>
        <v>0.583491251973566</v>
      </c>
      <c r="I3631" s="7" t="n">
        <f aca="false">Sens!$E$3631+dm_seg</f>
        <v>0.583491251973566</v>
      </c>
      <c r="J3631" s="7" t="n">
        <f aca="false">Sens!$E$3631+dm_seg</f>
        <v>0.583491251973566</v>
      </c>
      <c r="K3631" s="7" t="n">
        <f aca="false">Sens!$E$3631+dm_seg</f>
        <v>0.583491251973566</v>
      </c>
      <c r="L3631" s="11" t="s">
        <v>814</v>
      </c>
    </row>
    <row r="3632" customFormat="false" ht="17.15" hidden="false" customHeight="false" outlineLevel="0" collapsed="false">
      <c r="A3632" s="0" t="s">
        <v>654</v>
      </c>
      <c r="B3632" s="0" t="s">
        <v>95</v>
      </c>
      <c r="D3632" s="6" t="n">
        <f aca="false">Q!L21</f>
        <v>110.814</v>
      </c>
      <c r="E3632" s="6" t="n">
        <f aca="false">Q!M21</f>
        <v>136.365</v>
      </c>
      <c r="F3632" s="6" t="n">
        <f aca="false">Sens!F3631*(Sens!F3602-Sens!F3566)+Sens!F3566-(Sens!F3568+Sens!F3569+Sens!F3570)-Sens!F3583</f>
        <v>149.346319043003</v>
      </c>
      <c r="G3632" s="6" t="n">
        <f aca="false">Sens!G3631*(Sens!G3602-Sens!G3566)+Sens!G3566-(Sens!G3568+Sens!G3569+Sens!G3570)-Sens!G3583</f>
        <v>152.911265246535</v>
      </c>
      <c r="H3632" s="6" t="n">
        <f aca="false">Sens!H3631*(Sens!H3602-Sens!H3566)+Sens!H3566-(Sens!H3568+Sens!H3569+Sens!H3570)-Sens!H3583</f>
        <v>149.763540326758</v>
      </c>
      <c r="I3632" s="6" t="n">
        <f aca="false">Sens!I3631*(Sens!I3602-Sens!I3566)+Sens!I3566-(Sens!I3568+Sens!I3569+Sens!I3570)-Sens!I3583</f>
        <v>151.307027365647</v>
      </c>
      <c r="J3632" s="6" t="n">
        <f aca="false">Sens!J3631*(Sens!J3602-Sens!J3566)+Sens!J3566-(Sens!J3568+Sens!J3569+Sens!J3570)-Sens!J3583</f>
        <v>149.650823963133</v>
      </c>
      <c r="K3632" s="6" t="n">
        <f aca="false">Sens!K3631*(Sens!K3602-Sens!K3566)+Sens!K3566-(Sens!K3568+Sens!K3569+Sens!K3570)-Sens!K3583</f>
        <v>146.732507890649</v>
      </c>
      <c r="L3632" s="1" t="s">
        <v>815</v>
      </c>
    </row>
    <row r="3633" customFormat="false" ht="17.15" hidden="false" customHeight="false" outlineLevel="0" collapsed="false">
      <c r="A3633" s="0" t="s">
        <v>816</v>
      </c>
      <c r="B3633" s="0" t="s">
        <v>126</v>
      </c>
      <c r="E3633" s="7" t="n">
        <f aca="false">Q!M22/Q!M12</f>
        <v>0.296207935710698</v>
      </c>
      <c r="F3633" s="7" t="n">
        <f aca="false">Sens!$E$3633+dm_seg</f>
        <v>0.296207935710698</v>
      </c>
      <c r="G3633" s="7" t="n">
        <f aca="false">Sens!$E$3633+dm_seg</f>
        <v>0.296207935710698</v>
      </c>
      <c r="H3633" s="7" t="n">
        <f aca="false">Sens!$E$3633+dm_seg</f>
        <v>0.296207935710698</v>
      </c>
      <c r="I3633" s="7" t="n">
        <f aca="false">Sens!$E$3633+dm_seg</f>
        <v>0.296207935710698</v>
      </c>
      <c r="J3633" s="7" t="n">
        <f aca="false">Sens!$E$3633+dm_seg</f>
        <v>0.296207935710698</v>
      </c>
      <c r="K3633" s="7" t="n">
        <f aca="false">Sens!$E$3633+dm_seg</f>
        <v>0.296207935710698</v>
      </c>
      <c r="L3633" s="11" t="s">
        <v>817</v>
      </c>
    </row>
    <row r="3634" customFormat="false" ht="17.15" hidden="false" customHeight="false" outlineLevel="0" collapsed="false">
      <c r="A3634" s="0" t="s">
        <v>656</v>
      </c>
      <c r="B3634" s="0" t="s">
        <v>95</v>
      </c>
      <c r="D3634" s="6" t="n">
        <f aca="false">Q!L22</f>
        <v>17.714</v>
      </c>
      <c r="E3634" s="6" t="n">
        <f aca="false">Q!M22</f>
        <v>18.872</v>
      </c>
      <c r="F3634" s="6" t="n">
        <f aca="false">Sens!F3609*Sens!F3633</f>
        <v>19.2954518910651</v>
      </c>
      <c r="G3634" s="6" t="n">
        <f aca="false">Sens!G3609*Sens!G3633</f>
        <v>19.8830646387704</v>
      </c>
      <c r="H3634" s="6" t="n">
        <f aca="false">Sens!H3609*Sens!H3633</f>
        <v>20.6092017868026</v>
      </c>
      <c r="I3634" s="6" t="n">
        <f aca="false">Sens!I3609*Sens!I3633</f>
        <v>21.452361761678</v>
      </c>
      <c r="J3634" s="6" t="n">
        <f aca="false">Sens!J3609*Sens!J3633</f>
        <v>22.3946261183418</v>
      </c>
      <c r="K3634" s="6" t="n">
        <f aca="false">Sens!K3609*Sens!K3633</f>
        <v>23.4215879274986</v>
      </c>
    </row>
    <row r="3635" customFormat="false" ht="15" hidden="false" customHeight="false" outlineLevel="0" collapsed="false">
      <c r="A3635" s="1" t="s">
        <v>818</v>
      </c>
      <c r="B3635" s="0" t="s">
        <v>95</v>
      </c>
      <c r="D3635" s="6" t="n">
        <f aca="false">Sens!D3632+Sens!D3634</f>
        <v>128.528</v>
      </c>
      <c r="E3635" s="6" t="n">
        <f aca="false">Sens!E3632+Sens!E3634</f>
        <v>155.237</v>
      </c>
      <c r="F3635" s="6" t="n">
        <f aca="false">Sens!F3632+Sens!F3634</f>
        <v>168.641770934068</v>
      </c>
      <c r="G3635" s="6" t="n">
        <f aca="false">Sens!G3632+Sens!G3634</f>
        <v>172.794329885306</v>
      </c>
      <c r="H3635" s="6" t="n">
        <f aca="false">Sens!H3632+Sens!H3634</f>
        <v>170.372742113561</v>
      </c>
      <c r="I3635" s="6" t="n">
        <f aca="false">Sens!I3632+Sens!I3634</f>
        <v>172.759389127325</v>
      </c>
      <c r="J3635" s="6" t="n">
        <f aca="false">Sens!J3632+Sens!J3634</f>
        <v>172.045450081475</v>
      </c>
      <c r="K3635" s="6" t="n">
        <f aca="false">Sens!K3632+Sens!K3634</f>
        <v>170.154095818148</v>
      </c>
    </row>
    <row r="3636" customFormat="false" ht="15" hidden="false" customHeight="false" outlineLevel="0" collapsed="false">
      <c r="A3636" s="22" t="s">
        <v>819</v>
      </c>
      <c r="B3636" s="28" t="s">
        <v>95</v>
      </c>
      <c r="C3636" s="28"/>
      <c r="D3636" s="23" t="n">
        <f aca="false">Sens!D3635-Q!L23</f>
        <v>0</v>
      </c>
      <c r="E3636" s="23" t="n">
        <f aca="false">Sens!E3635-Q!M23</f>
        <v>0</v>
      </c>
      <c r="F3636" s="28"/>
      <c r="G3636" s="28"/>
      <c r="H3636" s="28"/>
      <c r="I3636" s="28"/>
      <c r="J3636" s="28"/>
      <c r="K3636" s="28"/>
    </row>
    <row r="3637" customFormat="false" ht="15" hidden="false" customHeight="false" outlineLevel="0" collapsed="false">
      <c r="A3637" s="1" t="s">
        <v>820</v>
      </c>
      <c r="B3637" s="0" t="s">
        <v>126</v>
      </c>
      <c r="D3637" s="7" t="n">
        <f aca="false">Sens!D3635/Sens!D3628</f>
        <v>0.456219562408598</v>
      </c>
      <c r="E3637" s="7" t="n">
        <f aca="false">Sens!E3635/Sens!E3628</f>
        <v>0.467808184089272</v>
      </c>
      <c r="F3637" s="7" t="n">
        <f aca="false">Sens!F3635/Sens!F3628</f>
        <v>0.428563212293732</v>
      </c>
      <c r="G3637" s="7" t="n">
        <f aca="false">Sens!G3635/Sens!G3628</f>
        <v>0.378606785866866</v>
      </c>
      <c r="H3637" s="7" t="n">
        <f aca="false">Sens!H3635/Sens!H3628</f>
        <v>0.33060700652732</v>
      </c>
      <c r="I3637" s="7" t="n">
        <f aca="false">Sens!I3635/Sens!I3628</f>
        <v>0.297688026126365</v>
      </c>
      <c r="J3637" s="7" t="n">
        <f aca="false">Sens!J3635/Sens!J3628</f>
        <v>0.267641326903547</v>
      </c>
      <c r="K3637" s="7" t="n">
        <f aca="false">Sens!K3635/Sens!K3628</f>
        <v>0.242350559155278</v>
      </c>
    </row>
    <row r="3638" customFormat="false" ht="17.15" hidden="false" customHeight="false" outlineLevel="0" collapsed="false">
      <c r="A3638" s="1" t="s">
        <v>821</v>
      </c>
      <c r="B3638" s="0" t="s">
        <v>95</v>
      </c>
      <c r="E3638" s="6" t="n">
        <f aca="false">Sens!E3583</f>
        <v>19.3175216725</v>
      </c>
      <c r="F3638" s="6" t="n">
        <f aca="false">Sens!F3583</f>
        <v>41.2145045270438</v>
      </c>
      <c r="G3638" s="6" t="n">
        <f aca="false">Sens!G3583</f>
        <v>71.8417957524075</v>
      </c>
      <c r="H3638" s="6" t="n">
        <f aca="false">Sens!H3583</f>
        <v>104.976827867268</v>
      </c>
      <c r="I3638" s="6" t="n">
        <f aca="false">Sens!I3583</f>
        <v>139.729147087848</v>
      </c>
      <c r="J3638" s="6" t="n">
        <f aca="false">Sens!J3583</f>
        <v>176.026524459428</v>
      </c>
      <c r="K3638" s="6" t="n">
        <f aca="false">Sens!K3583</f>
        <v>211.55508716947</v>
      </c>
    </row>
    <row r="3639" customFormat="false" ht="17.15" hidden="false" customHeight="false" outlineLevel="0" collapsed="false">
      <c r="A3639" s="1" t="s">
        <v>822</v>
      </c>
      <c r="B3639" s="0" t="s">
        <v>95</v>
      </c>
      <c r="E3639" s="6" t="n">
        <f aca="false">Sens!E3659</f>
        <v>19.2164783275</v>
      </c>
      <c r="F3639" s="6" t="n">
        <f aca="false">Sens!F3659</f>
        <v>20.8377652177062</v>
      </c>
      <c r="G3639" s="6" t="n">
        <f aca="false">Sens!G3659</f>
        <v>22.8242780529745</v>
      </c>
      <c r="H3639" s="6" t="n">
        <f aca="false">Sens!H3659</f>
        <v>25.1480016120861</v>
      </c>
      <c r="I3639" s="6" t="n">
        <f aca="false">Sens!I3659</f>
        <v>27.7555414820418</v>
      </c>
      <c r="J3639" s="6" t="n">
        <f aca="false">Sens!J3659</f>
        <v>30.575578658875</v>
      </c>
      <c r="K3639" s="6" t="n">
        <f aca="false">Sens!K3659</f>
        <v>33.5273910671869</v>
      </c>
    </row>
    <row r="3640" customFormat="false" ht="17.15" hidden="false" customHeight="false" outlineLevel="0" collapsed="false">
      <c r="A3640" s="1" t="s">
        <v>823</v>
      </c>
      <c r="B3640" s="0" t="s">
        <v>95</v>
      </c>
      <c r="D3640" s="6" t="n">
        <f aca="false">Q!L27</f>
        <v>-4.901</v>
      </c>
      <c r="E3640" s="6" t="n">
        <f aca="false">Q!M27</f>
        <v>10.697</v>
      </c>
      <c r="F3640" s="6" t="n">
        <f aca="false">oie_f</f>
        <v>-0.4</v>
      </c>
      <c r="G3640" s="6" t="n">
        <f aca="false">oie_f</f>
        <v>-0.4</v>
      </c>
      <c r="H3640" s="6" t="n">
        <f aca="false">oie_f</f>
        <v>-0.4</v>
      </c>
      <c r="I3640" s="6" t="n">
        <f aca="false">oie_f</f>
        <v>-0.4</v>
      </c>
      <c r="J3640" s="6" t="n">
        <f aca="false">oie_f</f>
        <v>-0.4</v>
      </c>
      <c r="K3640" s="6" t="n">
        <f aca="false">oie_f</f>
        <v>-0.4</v>
      </c>
      <c r="L3640" s="11" t="s">
        <v>824</v>
      </c>
    </row>
    <row r="3641" customFormat="false" ht="15" hidden="false" customHeight="false" outlineLevel="0" collapsed="false">
      <c r="A3641" s="1" t="s">
        <v>666</v>
      </c>
      <c r="B3641" s="0" t="s">
        <v>95</v>
      </c>
      <c r="D3641" s="6" t="n">
        <f aca="false">Sens!D3635+Sens!D3640</f>
        <v>123.627</v>
      </c>
      <c r="E3641" s="6" t="n">
        <f aca="false">Sens!E3635+Sens!E3640</f>
        <v>165.934</v>
      </c>
      <c r="F3641" s="6" t="n">
        <f aca="false">Sens!F3635+Sens!F3640</f>
        <v>168.241770934068</v>
      </c>
      <c r="G3641" s="6" t="n">
        <f aca="false">Sens!G3635+Sens!G3640</f>
        <v>172.394329885306</v>
      </c>
      <c r="H3641" s="6" t="n">
        <f aca="false">Sens!H3635+Sens!H3640</f>
        <v>169.972742113561</v>
      </c>
      <c r="I3641" s="6" t="n">
        <f aca="false">Sens!I3635+Sens!I3640</f>
        <v>172.359389127325</v>
      </c>
      <c r="J3641" s="6" t="n">
        <f aca="false">Sens!J3635+Sens!J3640</f>
        <v>171.645450081475</v>
      </c>
      <c r="K3641" s="6" t="n">
        <f aca="false">Sens!K3635+Sens!K3640</f>
        <v>169.754095818148</v>
      </c>
    </row>
    <row r="3642" customFormat="false" ht="15" hidden="false" customHeight="false" outlineLevel="0" collapsed="false">
      <c r="A3642" s="1" t="s">
        <v>668</v>
      </c>
      <c r="B3642" s="0" t="s">
        <v>95</v>
      </c>
      <c r="D3642" s="6" t="n">
        <f aca="false">Q!L29</f>
        <v>21.795</v>
      </c>
      <c r="E3642" s="6" t="n">
        <f aca="false">Q!M29</f>
        <v>32.185</v>
      </c>
      <c r="F3642" s="6" t="n">
        <f aca="false">Sens!F3641*tax_f</f>
        <v>33.6483541868135</v>
      </c>
      <c r="G3642" s="6" t="n">
        <f aca="false">Sens!G3641*tax_f</f>
        <v>34.4788659770612</v>
      </c>
      <c r="H3642" s="6" t="n">
        <f aca="false">Sens!H3641*tax_f</f>
        <v>33.9945484227121</v>
      </c>
      <c r="I3642" s="6" t="n">
        <f aca="false">Sens!I3641*tax_f</f>
        <v>34.471877825465</v>
      </c>
      <c r="J3642" s="6" t="n">
        <f aca="false">Sens!J3641*tax_f</f>
        <v>34.3290900162949</v>
      </c>
      <c r="K3642" s="6" t="n">
        <f aca="false">Sens!K3641*tax_f</f>
        <v>33.9508191636296</v>
      </c>
    </row>
    <row r="3643" customFormat="false" ht="15" hidden="false" customHeight="false" outlineLevel="0" collapsed="false">
      <c r="A3643" s="1" t="s">
        <v>825</v>
      </c>
      <c r="B3643" s="0" t="s">
        <v>95</v>
      </c>
      <c r="D3643" s="6" t="n">
        <f aca="false">Sens!D3641-Sens!D3642</f>
        <v>101.832</v>
      </c>
      <c r="E3643" s="6" t="n">
        <f aca="false">Sens!E3641-Sens!E3642</f>
        <v>133.749</v>
      </c>
      <c r="F3643" s="6" t="n">
        <f aca="false">Sens!F3641-Sens!F3642</f>
        <v>134.593416747254</v>
      </c>
      <c r="G3643" s="6" t="n">
        <f aca="false">Sens!G3641-Sens!G3642</f>
        <v>137.915463908245</v>
      </c>
      <c r="H3643" s="6" t="n">
        <f aca="false">Sens!H3641-Sens!H3642</f>
        <v>135.978193690848</v>
      </c>
      <c r="I3643" s="6" t="n">
        <f aca="false">Sens!I3641-Sens!I3642</f>
        <v>137.88751130186</v>
      </c>
      <c r="J3643" s="6" t="n">
        <f aca="false">Sens!J3641-Sens!J3642</f>
        <v>137.31636006518</v>
      </c>
      <c r="K3643" s="6" t="n">
        <f aca="false">Sens!K3641-Sens!K3642</f>
        <v>135.803276654518</v>
      </c>
    </row>
    <row r="3644" customFormat="false" ht="17.15" hidden="false" customHeight="false" outlineLevel="0" collapsed="false">
      <c r="A3644" s="1" t="s">
        <v>826</v>
      </c>
      <c r="B3644" s="1" t="s">
        <v>79</v>
      </c>
      <c r="D3644" s="18" t="n">
        <f aca="false">Q!L31</f>
        <v>7.465</v>
      </c>
      <c r="E3644" s="18" t="n">
        <f aca="false">Q!M31</f>
        <v>7.453</v>
      </c>
      <c r="F3644" s="18" t="n">
        <f aca="false">Sens!F3681</f>
        <v>7.4735</v>
      </c>
      <c r="G3644" s="18" t="n">
        <f aca="false">Sens!G3681</f>
        <v>7.5185</v>
      </c>
      <c r="H3644" s="18" t="n">
        <f aca="false">Sens!H3681</f>
        <v>7.5635</v>
      </c>
      <c r="I3644" s="18" t="n">
        <f aca="false">Sens!I3681</f>
        <v>7.6076049512397</v>
      </c>
      <c r="J3644" s="18" t="n">
        <f aca="false">Sens!J3681</f>
        <v>7.6517099024794</v>
      </c>
      <c r="K3644" s="18" t="n">
        <f aca="false">Sens!K3681</f>
        <v>7.6967099024794</v>
      </c>
    </row>
    <row r="3645" customFormat="false" ht="17.15" hidden="false" customHeight="false" outlineLevel="0" collapsed="false">
      <c r="A3645" s="0" t="s">
        <v>827</v>
      </c>
      <c r="B3645" s="0" t="s">
        <v>73</v>
      </c>
      <c r="D3645" s="8" t="n">
        <f aca="false">Sens!D3643/Sens!D3644</f>
        <v>13.641259209645</v>
      </c>
      <c r="E3645" s="8" t="n">
        <f aca="false">Sens!E3643/Sens!E3644</f>
        <v>17.9456594659869</v>
      </c>
      <c r="F3645" s="8" t="n">
        <f aca="false">Sens!F3643/Sens!F3644</f>
        <v>18.0094221913767</v>
      </c>
      <c r="G3645" s="8" t="n">
        <f aca="false">Sens!G3643/Sens!G3644</f>
        <v>18.3434812673066</v>
      </c>
      <c r="H3645" s="8" t="n">
        <f aca="false">Sens!H3643/Sens!H3644</f>
        <v>17.978210311476</v>
      </c>
      <c r="I3645" s="8" t="n">
        <f aca="false">Sens!I3643/Sens!I3644</f>
        <v>18.1249568274955</v>
      </c>
      <c r="J3645" s="8" t="n">
        <f aca="false">Sens!J3643/Sens!J3644</f>
        <v>17.9458397946693</v>
      </c>
      <c r="K3645" s="8" t="n">
        <f aca="false">Sens!K3643/Sens!K3644</f>
        <v>17.6443283396677</v>
      </c>
      <c r="L3645" s="1" t="s">
        <v>828</v>
      </c>
    </row>
    <row r="3646" customFormat="false" ht="17.15" hidden="false" customHeight="false" outlineLevel="0" collapsed="false">
      <c r="A3646" s="0" t="s">
        <v>829</v>
      </c>
      <c r="B3646" s="0" t="s">
        <v>126</v>
      </c>
      <c r="E3646" s="7" t="n">
        <f aca="false">Sens!E3645/Sens!D3645-1</f>
        <v>0.315542736208578</v>
      </c>
      <c r="F3646" s="7" t="n">
        <f aca="false">Sens!F3645/Sens!E3645-1</f>
        <v>0.0035531001527549</v>
      </c>
      <c r="G3646" s="7" t="n">
        <f aca="false">Sens!G3645/Sens!F3645-1</f>
        <v>0.0185491279164862</v>
      </c>
      <c r="H3646" s="7" t="n">
        <f aca="false">Sens!H3645/Sens!G3645-1</f>
        <v>-0.0199128480852563</v>
      </c>
      <c r="I3646" s="7" t="n">
        <f aca="false">Sens!I3645/Sens!H3645-1</f>
        <v>0.00816246519965391</v>
      </c>
      <c r="J3646" s="7" t="n">
        <f aca="false">Sens!J3645/Sens!I3645-1</f>
        <v>-0.00988234259154075</v>
      </c>
      <c r="K3646" s="7" t="n">
        <f aca="false">Sens!K3645/Sens!J3645-1</f>
        <v>-0.0168011894930162</v>
      </c>
    </row>
    <row r="3647" customFormat="false" ht="17.15" hidden="false" customHeight="false" outlineLevel="0" collapsed="false">
      <c r="A3647" s="0" t="s">
        <v>763</v>
      </c>
      <c r="B3647" s="0" t="s">
        <v>95</v>
      </c>
      <c r="E3647" s="6" t="n">
        <f aca="false">Sens!E3592</f>
        <v>5.25</v>
      </c>
      <c r="F3647" s="6" t="n">
        <f aca="false">Sens!F3592</f>
        <v>10.5</v>
      </c>
      <c r="G3647" s="6" t="n">
        <f aca="false">Sens!G3592</f>
        <v>13.5</v>
      </c>
      <c r="H3647" s="6" t="n">
        <f aca="false">Sens!H3592</f>
        <v>16.5</v>
      </c>
      <c r="I3647" s="6" t="n">
        <f aca="false">Sens!I3592</f>
        <v>18.75</v>
      </c>
      <c r="J3647" s="6" t="n">
        <f aca="false">Sens!J3592</f>
        <v>20.25</v>
      </c>
      <c r="K3647" s="6" t="n">
        <f aca="false">Sens!K3592</f>
        <v>21.75</v>
      </c>
    </row>
    <row r="3648" customFormat="false" ht="17.15" hidden="false" customHeight="false" outlineLevel="0" collapsed="false">
      <c r="A3648" s="0" t="s">
        <v>764</v>
      </c>
      <c r="B3648" s="0" t="s">
        <v>95</v>
      </c>
      <c r="E3648" s="6" t="n">
        <f aca="false">Sens!E3572+Sens!E3647*Sens!E3631-Sens!E3573-Sens!E3583</f>
        <v>-0.7948261003597</v>
      </c>
      <c r="F3648" s="6" t="n">
        <f aca="false">Sens!F3572+Sens!F3647*Sens!F3631-Sens!F3573-Sens!F3583</f>
        <v>-6.56343136928915</v>
      </c>
      <c r="G3648" s="6" t="n">
        <f aca="false">Sens!G3572+Sens!G3647*Sens!G3631-Sens!G3573-Sens!G3583</f>
        <v>-22.4987978536424</v>
      </c>
      <c r="H3648" s="6" t="n">
        <f aca="false">Sens!H3572+Sens!H3647*Sens!H3631-Sens!H3573-Sens!H3583</f>
        <v>-45.3329828606866</v>
      </c>
      <c r="I3648" s="6" t="n">
        <f aca="false">Sens!I3572+Sens!I3647*Sens!I3631-Sens!I3573-Sens!I3583</f>
        <v>-62.9772509352257</v>
      </c>
      <c r="J3648" s="6" t="n">
        <f aca="false">Sens!J3572+Sens!J3647*Sens!J3631-Sens!J3573-Sens!J3583</f>
        <v>-82.5552172125237</v>
      </c>
      <c r="K3648" s="6" t="n">
        <f aca="false">Sens!K3572+Sens!K3647*Sens!K3631-Sens!K3573-Sens!K3583</f>
        <v>-101.335557198637</v>
      </c>
    </row>
    <row r="3649" customFormat="false" ht="17.15" hidden="false" customHeight="false" outlineLevel="0" collapsed="false">
      <c r="A3649" s="0" t="s">
        <v>765</v>
      </c>
      <c r="B3649" s="0" t="s">
        <v>95</v>
      </c>
      <c r="E3649" s="6" t="n">
        <f aca="false">Sens!E3555*(cxit_open+self_build*tk_cxfac)/1000*ai_net_open</f>
        <v>126.6980382</v>
      </c>
      <c r="F3649" s="6" t="n">
        <f aca="false">Sens!E3649+Sens!F3580-Sens!F3583</f>
        <v>254.254186443394</v>
      </c>
      <c r="G3649" s="6" t="n">
        <f aca="false">Sens!F3649+Sens!G3580-Sens!G3583</f>
        <v>365.986571174186</v>
      </c>
      <c r="H3649" s="6" t="n">
        <f aca="false">Sens!G3649+Sens!H3580-Sens!H3583</f>
        <v>479.348704563985</v>
      </c>
      <c r="I3649" s="6" t="n">
        <f aca="false">Sens!H3649+Sens!I3580-Sens!I3583</f>
        <v>573.396618399871</v>
      </c>
      <c r="J3649" s="6" t="n">
        <f aca="false">Sens!I3649+Sens!J3580-Sens!J3583</f>
        <v>676.226405890844</v>
      </c>
      <c r="K3649" s="6" t="n">
        <f aca="false">Sens!J3649+Sens!K3580-Sens!K3583</f>
        <v>796.09127241684</v>
      </c>
      <c r="L3649" s="1" t="s">
        <v>766</v>
      </c>
    </row>
    <row r="3650" customFormat="false" ht="17.15" hidden="false" customHeight="false" outlineLevel="0" collapsed="false">
      <c r="A3650" s="0" t="s">
        <v>767</v>
      </c>
      <c r="B3650" s="0" t="s">
        <v>126</v>
      </c>
      <c r="F3650" s="7" t="n">
        <f aca="false">Sens!F3648*(1-tax_f)/((Sens!E3649+Sens!F3649)/2)</f>
        <v>-0.0275664230618236</v>
      </c>
      <c r="G3650" s="7" t="n">
        <f aca="false">Sens!G3648*(1-tax_f)/((Sens!F3649+Sens!G3649)/2)</f>
        <v>-0.0580388762326758</v>
      </c>
      <c r="H3650" s="7" t="n">
        <f aca="false">Sens!H3648*(1-tax_f)/((Sens!G3649+Sens!H3649)/2)</f>
        <v>-0.0858035558894201</v>
      </c>
      <c r="I3650" s="7" t="n">
        <f aca="false">Sens!I3648*(1-tax_f)/((Sens!H3649+Sens!I3649)/2)</f>
        <v>-0.0957150787549218</v>
      </c>
      <c r="J3650" s="7" t="n">
        <f aca="false">Sens!J3648*(1-tax_f)/((Sens!I3649+Sens!J3649)/2)</f>
        <v>-0.105702555868808</v>
      </c>
      <c r="K3650" s="7" t="n">
        <f aca="false">Sens!K3648*(1-tax_f)/((Sens!J3649+Sens!K3649)/2)</f>
        <v>-0.110123578563685</v>
      </c>
    </row>
    <row r="3651" customFormat="false" ht="17.15" hidden="false" customHeight="false" outlineLevel="0" collapsed="false">
      <c r="A3651" s="1" t="s">
        <v>768</v>
      </c>
      <c r="B3651" s="0" t="s">
        <v>126</v>
      </c>
      <c r="F3651" s="7" t="n">
        <f aca="false">Sens!F3584*(1-tax_f)/(Sens!F3571*(Sens!E3649+Sens!F3649)/2)</f>
        <v>0.072300529589919</v>
      </c>
      <c r="G3651" s="7" t="n">
        <f aca="false">Sens!G3584*(1-tax_f)/(Sens!G3571*(Sens!F3649+Sens!G3649)/2)</f>
        <v>0.0393198699376944</v>
      </c>
      <c r="H3651" s="7" t="n">
        <f aca="false">Sens!H3584*(1-tax_f)/(Sens!H3571*(Sens!G3649+Sens!H3649)/2)</f>
        <v>0.00723522984388641</v>
      </c>
      <c r="I3651" s="7" t="n">
        <f aca="false">Sens!I3584*(1-tax_f)/(Sens!I3571*(Sens!H3649+Sens!I3649)/2)</f>
        <v>0.00437840368571566</v>
      </c>
      <c r="J3651" s="7" t="n">
        <f aca="false">Sens!J3584*(1-tax_f)/(Sens!J3571*(Sens!I3649+Sens!J3649)/2)</f>
        <v>0.000622742324666236</v>
      </c>
      <c r="K3651" s="7" t="n">
        <f aca="false">Sens!K3584*(1-tax_f)/(Sens!K3571*(Sens!J3649+Sens!K3649)/2)</f>
        <v>-0.00117903536973869</v>
      </c>
    </row>
    <row r="3652" customFormat="false" ht="17.15" hidden="false" customHeight="false" outlineLevel="0" collapsed="false">
      <c r="A3652" s="0" t="s">
        <v>769</v>
      </c>
      <c r="B3652" s="0" t="s">
        <v>208</v>
      </c>
      <c r="F3652" s="7" t="n">
        <f aca="false">Sens!F3650-wacc</f>
        <v>-0.136529644212078</v>
      </c>
      <c r="G3652" s="7" t="n">
        <f aca="false">Sens!G3650-wacc</f>
        <v>-0.16700209738293</v>
      </c>
      <c r="H3652" s="7" t="n">
        <f aca="false">Sens!H3650-wacc</f>
        <v>-0.194766777039674</v>
      </c>
      <c r="I3652" s="7" t="n">
        <f aca="false">Sens!I3650-wacc</f>
        <v>-0.204678299905176</v>
      </c>
      <c r="J3652" s="7" t="n">
        <f aca="false">Sens!J3650-wacc</f>
        <v>-0.214665777019062</v>
      </c>
      <c r="K3652" s="7" t="n">
        <f aca="false">Sens!K3650-wacc</f>
        <v>-0.219086799713939</v>
      </c>
    </row>
    <row r="3653" customFormat="false" ht="17.15" hidden="false" customHeight="false" outlineLevel="0" collapsed="false">
      <c r="A3653" s="0" t="s">
        <v>770</v>
      </c>
      <c r="B3653" s="0" t="s">
        <v>95</v>
      </c>
      <c r="F3653" s="6" t="n">
        <f aca="false">Sens!F3648*(1-tax_f)-wacc*(Sens!E3649+Sens!F3649)/2</f>
        <v>-26.005635846181</v>
      </c>
      <c r="G3653" s="6" t="n">
        <f aca="false">Sens!G3648*(1-tax_f)-wacc*(Sens!F3649+Sens!G3649)/2</f>
        <v>-51.7907537022566</v>
      </c>
      <c r="H3653" s="6" t="n">
        <f aca="false">Sens!H3648*(1-tax_f)-wacc*(Sens!G3649+Sens!H3649)/2</f>
        <v>-82.3216135867339</v>
      </c>
      <c r="I3653" s="6" t="n">
        <f aca="false">Sens!I3648*(1-tax_f)-wacc*(Sens!H3649+Sens!I3649)/2</f>
        <v>-107.737061468684</v>
      </c>
      <c r="J3653" s="6" t="n">
        <f aca="false">Sens!J3648*(1-tax_f)-wacc*(Sens!I3649+Sens!J3649)/2</f>
        <v>-134.125648745138</v>
      </c>
      <c r="K3653" s="6" t="n">
        <f aca="false">Sens!K3648*(1-tax_f)-wacc*(Sens!J3649+Sens!K3649)/2</f>
        <v>-161.282684151344</v>
      </c>
    </row>
    <row r="3654" customFormat="false" ht="17.15" hidden="false" customHeight="false" outlineLevel="0" collapsed="false">
      <c r="A3654" s="1" t="s">
        <v>771</v>
      </c>
      <c r="B3654" s="0" t="s">
        <v>95</v>
      </c>
      <c r="F3654" s="6" t="n">
        <f aca="false">(Sens!E3556+Sens!F3556)/2*Sens!F3563/1000</f>
        <v>26.7873066765967</v>
      </c>
      <c r="G3654" s="6" t="n">
        <f aca="false">(Sens!F3556+Sens!G3556)/2*Sens!G3563/1000</f>
        <v>45.4131817597218</v>
      </c>
      <c r="H3654" s="6" t="n">
        <f aca="false">(Sens!G3556+Sens!H3556)/2*Sens!H3563/1000</f>
        <v>65.3915129357971</v>
      </c>
      <c r="I3654" s="6" t="n">
        <f aca="false">(Sens!H3556+Sens!I3556)/2*Sens!I3563/1000</f>
        <v>85.5187419289299</v>
      </c>
      <c r="J3654" s="6" t="n">
        <f aca="false">(Sens!I3556+Sens!J3556)/2*Sens!J3563/1000</f>
        <v>105.723807195006</v>
      </c>
      <c r="K3654" s="6" t="n">
        <f aca="false">(Sens!J3556+Sens!K3556)/2*Sens!K3563/1000</f>
        <v>125.974659797015</v>
      </c>
      <c r="L3654" s="1" t="s">
        <v>772</v>
      </c>
    </row>
    <row r="3655" customFormat="false" ht="17.15" hidden="false" customHeight="false" outlineLevel="0" collapsed="false">
      <c r="A3655" s="1" t="s">
        <v>773</v>
      </c>
      <c r="B3655" s="0" t="s">
        <v>126</v>
      </c>
      <c r="F3655" s="7" t="n">
        <f aca="false">(Sens!F3572+Sens!F3654-Sens!F3573-Sens!F3583)*(1-tax_f)/((Sens!E3649+Sens!F3649)/2)</f>
        <v>0.0592083363724946</v>
      </c>
      <c r="G3655" s="7" t="n">
        <f aca="false">(Sens!G3572+Sens!G3654-Sens!G3573-Sens!G3583)*(1-tax_f)/((Sens!F3649+Sens!G3649)/2)</f>
        <v>0.0387907484498662</v>
      </c>
      <c r="H3655" s="7" t="n">
        <f aca="false">(Sens!H3572+Sens!H3654-Sens!H3573-Sens!H3583)*(1-tax_f)/((Sens!G3649+Sens!H3649)/2)</f>
        <v>0.0197430292418602</v>
      </c>
      <c r="I3655" s="7" t="n">
        <f aca="false">(Sens!I3572+Sens!I3654-Sens!I3573-Sens!I3583)*(1-tax_f)/((Sens!H3649+Sens!I3649)/2)</f>
        <v>0.0176316604081052</v>
      </c>
      <c r="J3655" s="7" t="n">
        <f aca="false">(Sens!J3572+Sens!J3654-Sens!J3573-Sens!J3583)*(1-tax_f)/((Sens!I3649+Sens!J3649)/2)</f>
        <v>0.0145360857274041</v>
      </c>
      <c r="K3655" s="7" t="n">
        <f aca="false">(Sens!K3572+Sens!K3654-Sens!K3573-Sens!K3583)*(1-tax_f)/((Sens!J3649+Sens!K3649)/2)</f>
        <v>0.0129843367843673</v>
      </c>
      <c r="L3655" s="1" t="s">
        <v>774</v>
      </c>
    </row>
    <row r="3656" customFormat="false" ht="17.15" hidden="false" customHeight="false" outlineLevel="0" collapsed="false">
      <c r="A3656" s="3" t="s">
        <v>1217</v>
      </c>
    </row>
    <row r="3657" customFormat="false" ht="15" hidden="false" customHeight="false" outlineLevel="0" collapsed="false">
      <c r="A3657" s="4" t="s">
        <v>43</v>
      </c>
      <c r="B3657" s="4" t="s">
        <v>63</v>
      </c>
      <c r="C3657" s="19" t="s">
        <v>710</v>
      </c>
      <c r="D3657" s="19" t="s">
        <v>711</v>
      </c>
      <c r="E3657" s="19" t="s">
        <v>712</v>
      </c>
      <c r="F3657" s="19" t="s">
        <v>713</v>
      </c>
      <c r="G3657" s="19" t="s">
        <v>714</v>
      </c>
      <c r="H3657" s="19" t="s">
        <v>715</v>
      </c>
      <c r="I3657" s="19" t="s">
        <v>716</v>
      </c>
      <c r="J3657" s="19" t="s">
        <v>717</v>
      </c>
      <c r="K3657" s="19" t="s">
        <v>718</v>
      </c>
      <c r="L3657" s="4" t="s">
        <v>47</v>
      </c>
    </row>
    <row r="3658" customFormat="false" ht="15" hidden="false" customHeight="false" outlineLevel="0" collapsed="false">
      <c r="A3658" s="1" t="s">
        <v>825</v>
      </c>
      <c r="B3658" s="0" t="s">
        <v>95</v>
      </c>
      <c r="F3658" s="6" t="n">
        <f aca="false">Sens!F3643</f>
        <v>134.593416747254</v>
      </c>
      <c r="G3658" s="6" t="n">
        <f aca="false">Sens!G3643</f>
        <v>137.915463908245</v>
      </c>
      <c r="H3658" s="6" t="n">
        <f aca="false">Sens!H3643</f>
        <v>135.978193690848</v>
      </c>
      <c r="I3658" s="6" t="n">
        <f aca="false">Sens!I3643</f>
        <v>137.88751130186</v>
      </c>
      <c r="J3658" s="6" t="n">
        <f aca="false">Sens!J3643</f>
        <v>137.31636006518</v>
      </c>
      <c r="K3658" s="6" t="n">
        <f aca="false">Sens!K3643</f>
        <v>135.803276654518</v>
      </c>
    </row>
    <row r="3659" customFormat="false" ht="17.15" hidden="false" customHeight="false" outlineLevel="0" collapsed="false">
      <c r="A3659" s="1" t="s">
        <v>843</v>
      </c>
      <c r="B3659" s="0" t="s">
        <v>95</v>
      </c>
      <c r="E3659" s="6" t="n">
        <f aca="false">Q!M38-Sens!E3583</f>
        <v>19.2164783275</v>
      </c>
      <c r="F3659" s="6" t="n">
        <f aca="false">Sens!E3659*(1-1/life_nonai)+Sens!F3665/life_nonai</f>
        <v>20.8377652177062</v>
      </c>
      <c r="G3659" s="6" t="n">
        <f aca="false">Sens!F3659*(1-1/life_nonai)+Sens!G3665/life_nonai</f>
        <v>22.8242780529745</v>
      </c>
      <c r="H3659" s="6" t="n">
        <f aca="false">Sens!G3659*(1-1/life_nonai)+Sens!H3665/life_nonai</f>
        <v>25.1480016120861</v>
      </c>
      <c r="I3659" s="6" t="n">
        <f aca="false">Sens!H3659*(1-1/life_nonai)+Sens!I3665/life_nonai</f>
        <v>27.7555414820418</v>
      </c>
      <c r="J3659" s="6" t="n">
        <f aca="false">Sens!I3659*(1-1/life_nonai)+Sens!J3665/life_nonai</f>
        <v>30.575578658875</v>
      </c>
      <c r="K3659" s="6" t="n">
        <f aca="false">Sens!J3659*(1-1/life_nonai)+Sens!K3665/life_nonai</f>
        <v>33.5273910671869</v>
      </c>
      <c r="L3659" s="11" t="s">
        <v>844</v>
      </c>
    </row>
    <row r="3660" customFormat="false" ht="17.15" hidden="false" customHeight="false" outlineLevel="0" collapsed="false">
      <c r="A3660" s="1" t="s">
        <v>845</v>
      </c>
      <c r="B3660" s="0" t="s">
        <v>95</v>
      </c>
      <c r="E3660" s="6" t="n">
        <f aca="false">Sens!E3583+Sens!E3659</f>
        <v>38.534</v>
      </c>
      <c r="F3660" s="6" t="n">
        <f aca="false">Sens!F3583+Sens!F3659</f>
        <v>62.05226974475</v>
      </c>
      <c r="G3660" s="6" t="n">
        <f aca="false">Sens!G3583+Sens!G3659</f>
        <v>94.6660738053821</v>
      </c>
      <c r="H3660" s="6" t="n">
        <f aca="false">Sens!H3583+Sens!H3659</f>
        <v>130.124829479354</v>
      </c>
      <c r="I3660" s="6" t="n">
        <f aca="false">Sens!I3583+Sens!I3659</f>
        <v>167.484688569889</v>
      </c>
      <c r="J3660" s="6" t="n">
        <f aca="false">Sens!J3583+Sens!J3659</f>
        <v>206.602103118303</v>
      </c>
      <c r="K3660" s="6" t="n">
        <f aca="false">Sens!K3583+Sens!K3659</f>
        <v>245.082478236657</v>
      </c>
    </row>
    <row r="3661" customFormat="false" ht="15" hidden="false" customHeight="false" outlineLevel="0" collapsed="false">
      <c r="A3661" s="1" t="s">
        <v>685</v>
      </c>
      <c r="B3661" s="0" t="s">
        <v>95</v>
      </c>
      <c r="F3661" s="6" t="n">
        <f aca="false">Sens!F3610*sbc_r</f>
        <v>14.7102349124428</v>
      </c>
      <c r="G3661" s="6" t="n">
        <f aca="false">Sens!G3610*sbc_r</f>
        <v>17.061233875013</v>
      </c>
      <c r="H3661" s="6" t="n">
        <f aca="false">Sens!H3610*sbc_r</f>
        <v>19.2644849659525</v>
      </c>
      <c r="I3661" s="6" t="n">
        <f aca="false">Sens!I3610*sbc_r</f>
        <v>21.6944995352461</v>
      </c>
      <c r="J3661" s="6" t="n">
        <f aca="false">Sens!J3610*sbc_r</f>
        <v>24.0303092612034</v>
      </c>
      <c r="K3661" s="6" t="n">
        <f aca="false">Sens!K3610*sbc_r</f>
        <v>26.2462779746985</v>
      </c>
    </row>
    <row r="3662" customFormat="false" ht="17.15" hidden="false" customHeight="false" outlineLevel="0" collapsed="false">
      <c r="A3662" s="1" t="s">
        <v>846</v>
      </c>
      <c r="B3662" s="0" t="s">
        <v>95</v>
      </c>
      <c r="F3662" s="6" t="n">
        <f aca="false">wc27</f>
        <v>-4.895</v>
      </c>
      <c r="G3662" s="6" t="n">
        <f aca="false">0</f>
        <v>0</v>
      </c>
      <c r="H3662" s="6" t="n">
        <f aca="false">0</f>
        <v>0</v>
      </c>
      <c r="I3662" s="6" t="n">
        <f aca="false">0</f>
        <v>0</v>
      </c>
      <c r="J3662" s="6" t="n">
        <f aca="false">0</f>
        <v>0</v>
      </c>
      <c r="K3662" s="6" t="n">
        <f aca="false">0</f>
        <v>0</v>
      </c>
      <c r="L3662" s="11" t="s">
        <v>847</v>
      </c>
    </row>
    <row r="3663" customFormat="false" ht="15" hidden="false" customHeight="false" outlineLevel="0" collapsed="false">
      <c r="A3663" s="1" t="s">
        <v>678</v>
      </c>
      <c r="B3663" s="0" t="s">
        <v>95</v>
      </c>
      <c r="E3663" s="6" t="n">
        <f aca="false">Q!M35</f>
        <v>182.935</v>
      </c>
      <c r="F3663" s="6" t="n">
        <f aca="false">Sens!F3658+Sens!F3660+Sens!F3661+Sens!F3662</f>
        <v>206.460921404447</v>
      </c>
      <c r="G3663" s="6" t="n">
        <f aca="false">Sens!G3658+Sens!G3660+Sens!G3661+Sens!G3662</f>
        <v>249.64277158864</v>
      </c>
      <c r="H3663" s="6" t="n">
        <f aca="false">Sens!H3658+Sens!H3660+Sens!H3661+Sens!H3662</f>
        <v>285.367508136155</v>
      </c>
      <c r="I3663" s="6" t="n">
        <f aca="false">Sens!I3658+Sens!I3660+Sens!I3661+Sens!I3662</f>
        <v>327.066699406996</v>
      </c>
      <c r="J3663" s="6" t="n">
        <f aca="false">Sens!J3658+Sens!J3660+Sens!J3661+Sens!J3662</f>
        <v>367.948772444686</v>
      </c>
      <c r="K3663" s="6" t="n">
        <f aca="false">Sens!K3658+Sens!K3660+Sens!K3661+Sens!K3662</f>
        <v>407.132032865874</v>
      </c>
    </row>
    <row r="3664" customFormat="false" ht="17.15" hidden="false" customHeight="false" outlineLevel="0" collapsed="false">
      <c r="A3664" s="0" t="s">
        <v>848</v>
      </c>
      <c r="B3664" s="0" t="s">
        <v>95</v>
      </c>
      <c r="F3664" s="6" t="n">
        <f aca="false">Sens!F3580</f>
        <v>168.770652770438</v>
      </c>
      <c r="G3664" s="6" t="n">
        <f aca="false">Sens!G3580</f>
        <v>183.5741804832</v>
      </c>
      <c r="H3664" s="6" t="n">
        <f aca="false">Sens!H3580</f>
        <v>218.338961257067</v>
      </c>
      <c r="I3664" s="6" t="n">
        <f aca="false">Sens!I3580</f>
        <v>233.777060923733</v>
      </c>
      <c r="J3664" s="6" t="n">
        <f aca="false">Sens!J3580</f>
        <v>278.8563119504</v>
      </c>
      <c r="K3664" s="6" t="n">
        <f aca="false">Sens!K3580</f>
        <v>331.419953695467</v>
      </c>
    </row>
    <row r="3665" customFormat="false" ht="17.15" hidden="false" customHeight="false" outlineLevel="0" collapsed="false">
      <c r="A3665" s="1" t="s">
        <v>849</v>
      </c>
      <c r="B3665" s="0" t="s">
        <v>95</v>
      </c>
      <c r="E3665" s="6" t="n">
        <f aca="false">Sens!E3588*cx_azo+Sens!E3595*cx_m365+Sens!E3596*cx_lic+(Sens!E3598+Sens!E3600)*cx_ind+Sens!E3603*cx_srch+(Sens!E3605+Sens!E3607)*cx_dev</f>
        <v>30.1846587067718</v>
      </c>
      <c r="F3665" s="6" t="n">
        <f aca="false">Sens!F3588*cx_azo+Sens!F3595*cx_m365+Sens!F3596*cx_lic+(Sens!F3598+Sens!F3600)*cx_ind+Sens!F3603*cx_srch+(Sens!F3605+Sens!F3607)*cx_dev</f>
        <v>35.4293472295625</v>
      </c>
      <c r="G3665" s="6" t="n">
        <f aca="false">Sens!G3588*cx_azo+Sens!G3595*cx_m365+Sens!G3596*cx_lic+(Sens!G3598+Sens!G3600)*cx_ind+Sens!G3603*cx_srch+(Sens!G3605+Sens!G3607)*cx_dev</f>
        <v>40.7028935703892</v>
      </c>
      <c r="H3665" s="6" t="n">
        <f aca="false">Sens!H3588*cx_azo+Sens!H3595*cx_m365+Sens!H3596*cx_lic+(Sens!H3598+Sens!H3600)*cx_ind+Sens!H3603*cx_srch+(Sens!H3605+Sens!H3607)*cx_dev</f>
        <v>46.0615136440897</v>
      </c>
      <c r="I3665" s="6" t="n">
        <f aca="false">Sens!I3588*cx_azo+Sens!I3595*cx_m365+Sens!I3596*cx_lic+(Sens!I3598+Sens!I3600)*cx_ind+Sens!I3603*cx_srch+(Sens!I3605+Sens!I3607)*cx_dev</f>
        <v>51.2234003116439</v>
      </c>
      <c r="J3665" s="6" t="n">
        <f aca="false">Sens!J3588*cx_azo+Sens!J3595*cx_m365+Sens!J3596*cx_lic+(Sens!J3598+Sens!J3600)*cx_ind+Sens!J3603*cx_srch+(Sens!J3605+Sens!J3607)*cx_dev</f>
        <v>55.9559132503738</v>
      </c>
      <c r="K3665" s="6" t="n">
        <f aca="false">Sens!K3588*cx_azo+Sens!K3595*cx_m365+Sens!K3596*cx_lic+(Sens!K3598+Sens!K3600)*cx_ind+Sens!K3603*cx_srch+(Sens!K3605+Sens!K3607)*cx_dev</f>
        <v>60.093702741994</v>
      </c>
    </row>
    <row r="3666" customFormat="false" ht="17.15" hidden="false" customHeight="false" outlineLevel="0" collapsed="false">
      <c r="A3666" s="1" t="s">
        <v>850</v>
      </c>
      <c r="B3666" s="0" t="s">
        <v>95</v>
      </c>
      <c r="E3666" s="6" t="n">
        <f aca="false">Q!M42</f>
        <v>145.3</v>
      </c>
      <c r="F3666" s="6" t="n">
        <f aca="false">Sens!F3664+Sens!F3665</f>
        <v>204.2</v>
      </c>
      <c r="G3666" s="6" t="n">
        <f aca="false">Sens!G3664+Sens!G3665</f>
        <v>224.277074053589</v>
      </c>
      <c r="H3666" s="6" t="n">
        <f aca="false">Sens!H3664+Sens!H3665</f>
        <v>264.400474901156</v>
      </c>
      <c r="I3666" s="6" t="n">
        <f aca="false">Sens!I3664+Sens!I3665</f>
        <v>285.000461235377</v>
      </c>
      <c r="J3666" s="6" t="n">
        <f aca="false">Sens!J3664+Sens!J3665</f>
        <v>334.812225200774</v>
      </c>
      <c r="K3666" s="6" t="n">
        <f aca="false">Sens!K3664+Sens!K3665</f>
        <v>391.513656437461</v>
      </c>
      <c r="L3666" s="1" t="s">
        <v>851</v>
      </c>
    </row>
    <row r="3667" customFormat="false" ht="15" hidden="false" customHeight="false" outlineLevel="0" collapsed="false">
      <c r="A3667" s="1" t="s">
        <v>852</v>
      </c>
      <c r="B3667" s="0" t="s">
        <v>95</v>
      </c>
      <c r="E3667" s="6" t="n">
        <f aca="false">fl_liab</f>
        <v>66.594</v>
      </c>
      <c r="F3667" s="6" t="n">
        <f aca="false">Sens!E3667-Sens!F3668</f>
        <v>62.46973</v>
      </c>
      <c r="G3667" s="6" t="n">
        <f aca="false">Sens!F3667-Sens!G3668</f>
        <v>57.98686785</v>
      </c>
      <c r="H3667" s="6" t="n">
        <f aca="false">Sens!G3667-Sens!H3668</f>
        <v>53.92827690325</v>
      </c>
      <c r="I3667" s="6" t="n">
        <f aca="false">Sens!H3667-Sens!I3668</f>
        <v>49.7850493638962</v>
      </c>
      <c r="J3667" s="6" t="n">
        <f aca="false">Sens!I3667-Sens!J3668</f>
        <v>45.4823765852716</v>
      </c>
      <c r="K3667" s="6" t="n">
        <f aca="false">Sens!J3667-Sens!K3668</f>
        <v>40.9860835316088</v>
      </c>
    </row>
    <row r="3668" customFormat="false" ht="15" hidden="false" customHeight="false" outlineLevel="0" collapsed="false">
      <c r="A3668" s="1" t="s">
        <v>853</v>
      </c>
      <c r="B3668" s="0" t="s">
        <v>95</v>
      </c>
      <c r="F3668" s="6" t="n">
        <f aca="false">fl_pay_27-Sens!E3667*fl_rate</f>
        <v>4.12427</v>
      </c>
      <c r="G3668" s="6" t="n">
        <f aca="false">fl_pay_28-Sens!F3667*fl_rate</f>
        <v>4.48286215</v>
      </c>
      <c r="H3668" s="6" t="n">
        <f aca="false">fl_pay_29-Sens!G3667*fl_rate</f>
        <v>4.05859094675</v>
      </c>
      <c r="I3668" s="6" t="n">
        <f aca="false">fl_pay_30-Sens!H3667*fl_rate</f>
        <v>4.14322753935375</v>
      </c>
      <c r="J3668" s="6" t="n">
        <f aca="false">fl_pay_31-Sens!I3667*fl_rate</f>
        <v>4.30267277862467</v>
      </c>
      <c r="K3668" s="6" t="n">
        <f aca="false">fl_pay_32-Sens!J3667*fl_rate</f>
        <v>4.49629305366278</v>
      </c>
    </row>
    <row r="3669" customFormat="false" ht="17.15" hidden="false" customHeight="false" outlineLevel="0" collapsed="false">
      <c r="A3669" s="1" t="s">
        <v>854</v>
      </c>
      <c r="B3669" s="0" t="s">
        <v>95</v>
      </c>
      <c r="E3669" s="6" t="n">
        <f aca="false">Q!M35-Q!M36-Q!M43</f>
        <v>63.886</v>
      </c>
      <c r="F3669" s="6" t="n">
        <f aca="false">Sens!F3663-Sens!F3666-Sens!F3668</f>
        <v>-1.86334859555322</v>
      </c>
      <c r="G3669" s="6" t="n">
        <f aca="false">Sens!G3663-Sens!G3666-Sens!G3668</f>
        <v>20.8828353850503</v>
      </c>
      <c r="H3669" s="6" t="n">
        <f aca="false">Sens!H3663-Sens!H3666-Sens!H3668</f>
        <v>16.9084422882483</v>
      </c>
      <c r="I3669" s="6" t="n">
        <f aca="false">Sens!I3663-Sens!I3666-Sens!I3668</f>
        <v>37.9230106322645</v>
      </c>
      <c r="J3669" s="6" t="n">
        <f aca="false">Sens!J3663-Sens!J3666-Sens!J3668</f>
        <v>28.8338744652871</v>
      </c>
      <c r="K3669" s="6" t="n">
        <f aca="false">Sens!K3663-Sens!K3666-Sens!K3668</f>
        <v>11.1220833747508</v>
      </c>
      <c r="L3669" s="11" t="s">
        <v>855</v>
      </c>
    </row>
    <row r="3670" customFormat="false" ht="15" hidden="false" customHeight="false" outlineLevel="0" collapsed="false">
      <c r="A3670" s="1" t="s">
        <v>856</v>
      </c>
      <c r="B3670" s="0" t="s">
        <v>73</v>
      </c>
      <c r="F3670" s="8" t="n">
        <f aca="false">dps_27</f>
        <v>3.85</v>
      </c>
      <c r="G3670" s="8" t="n">
        <f aca="false">Sens!F3670*(1+dps_g)</f>
        <v>4.158</v>
      </c>
      <c r="H3670" s="8" t="n">
        <f aca="false">Sens!G3670*(1+dps_g)</f>
        <v>4.49064</v>
      </c>
      <c r="I3670" s="8" t="n">
        <f aca="false">Sens!H3670*(1+dps_g)</f>
        <v>4.8498912</v>
      </c>
      <c r="J3670" s="8" t="n">
        <f aca="false">Sens!I3670*(1+dps_g)</f>
        <v>5.237882496</v>
      </c>
      <c r="K3670" s="8" t="n">
        <f aca="false">Sens!J3670*(1+dps_g)</f>
        <v>5.65691309568</v>
      </c>
    </row>
    <row r="3671" customFormat="false" ht="17.15" hidden="false" customHeight="false" outlineLevel="0" collapsed="false">
      <c r="A3671" s="1" t="s">
        <v>857</v>
      </c>
      <c r="B3671" s="0" t="s">
        <v>95</v>
      </c>
      <c r="E3671" s="6" t="n">
        <f aca="false">Q!M41</f>
        <v>26.445</v>
      </c>
      <c r="F3671" s="6" t="n">
        <f aca="false">Sens!F3670*Sens!E3680</f>
        <v>28.59395</v>
      </c>
      <c r="G3671" s="6" t="n">
        <f aca="false">Sens!G3670*Sens!F3680</f>
        <v>31.068576</v>
      </c>
      <c r="H3671" s="6" t="n">
        <f aca="false">Sens!H3670*Sens!G3680</f>
        <v>33.75614088</v>
      </c>
      <c r="I3671" s="6" t="n">
        <f aca="false">Sens!I3670*Sens!H3680</f>
        <v>36.6748772544</v>
      </c>
      <c r="J3671" s="6" t="n">
        <f aca="false">Sens!J3670*Sens!I3680</f>
        <v>39.8351958266027</v>
      </c>
      <c r="K3671" s="6" t="n">
        <f aca="false">Sens!K3670*Sens!J3680</f>
        <v>43.2765725820365</v>
      </c>
      <c r="L3671" s="1" t="s">
        <v>858</v>
      </c>
    </row>
    <row r="3672" customFormat="false" ht="15" hidden="false" customHeight="false" outlineLevel="0" collapsed="false">
      <c r="A3672" s="1" t="s">
        <v>859</v>
      </c>
      <c r="B3672" s="0" t="s">
        <v>95</v>
      </c>
      <c r="E3672" s="6" t="n">
        <f aca="false">Sens!E3669-Sens!E3671</f>
        <v>37.441</v>
      </c>
      <c r="F3672" s="6" t="n">
        <f aca="false">Sens!F3669-Sens!F3671</f>
        <v>-30.4572985955532</v>
      </c>
      <c r="G3672" s="6" t="n">
        <f aca="false">Sens!G3669-Sens!G3671</f>
        <v>-10.1857406149497</v>
      </c>
      <c r="H3672" s="6" t="n">
        <f aca="false">Sens!H3669-Sens!H3671</f>
        <v>-16.8476985917517</v>
      </c>
      <c r="I3672" s="6" t="n">
        <f aca="false">Sens!I3669-Sens!I3671</f>
        <v>1.24813337786454</v>
      </c>
      <c r="J3672" s="6" t="n">
        <f aca="false">Sens!J3669-Sens!J3671</f>
        <v>-11.0013213613156</v>
      </c>
      <c r="K3672" s="6" t="n">
        <f aca="false">Sens!K3669-Sens!K3671</f>
        <v>-32.1544892072857</v>
      </c>
    </row>
    <row r="3673" customFormat="false" ht="15" hidden="false" customHeight="false" outlineLevel="0" collapsed="false">
      <c r="A3673" s="1" t="s">
        <v>860</v>
      </c>
      <c r="B3673" s="0" t="s">
        <v>95</v>
      </c>
      <c r="F3673" s="6" t="n">
        <f aca="false">debt_mat_27</f>
        <v>9.25</v>
      </c>
      <c r="G3673" s="6" t="n">
        <f aca="false">debt_mat_28</f>
        <v>0</v>
      </c>
      <c r="H3673" s="6" t="n">
        <f aca="false">debt_mat_29</f>
        <v>2.001</v>
      </c>
      <c r="I3673" s="6" t="n">
        <f aca="false">debt_mat_30</f>
        <v>0</v>
      </c>
      <c r="J3673" s="6" t="n">
        <f aca="false">debt_mat_31</f>
        <v>0.5</v>
      </c>
      <c r="K3673" s="6" t="n">
        <f aca="false">debt_mat_32</f>
        <v>0</v>
      </c>
    </row>
    <row r="3674" customFormat="false" ht="15" hidden="false" customHeight="false" outlineLevel="0" collapsed="false">
      <c r="A3674" s="1" t="s">
        <v>861</v>
      </c>
      <c r="B3674" s="0" t="s">
        <v>95</v>
      </c>
      <c r="E3674" s="6" t="n">
        <f aca="false">Q!M40</f>
        <v>22.271</v>
      </c>
      <c r="F3674" s="6" t="n">
        <f aca="false">MAX(0,MIN(bb_target,Sens!E3676+Sens!F3672-Sens!F3673-min_cash))</f>
        <v>0</v>
      </c>
      <c r="G3674" s="6" t="n">
        <f aca="false">MAX(0,MIN(bb_target,Sens!F3676+Sens!G3672-Sens!G3673-min_cash))</f>
        <v>0</v>
      </c>
      <c r="H3674" s="6" t="n">
        <f aca="false">MAX(0,MIN(bb_target,Sens!G3676+Sens!H3672-Sens!H3673-min_cash))</f>
        <v>0</v>
      </c>
      <c r="I3674" s="6" t="n">
        <f aca="false">MAX(0,MIN(bb_target,Sens!H3676+Sens!I3672-Sens!I3673-min_cash))</f>
        <v>1.24813337786454</v>
      </c>
      <c r="J3674" s="6" t="n">
        <f aca="false">MAX(0,MIN(bb_target,Sens!I3676+Sens!J3672-Sens!J3673-min_cash))</f>
        <v>0</v>
      </c>
      <c r="K3674" s="6" t="n">
        <f aca="false">MAX(0,MIN(bb_target,Sens!J3676+Sens!K3672-Sens!K3673-min_cash))</f>
        <v>0</v>
      </c>
    </row>
    <row r="3675" customFormat="false" ht="15" hidden="false" customHeight="false" outlineLevel="0" collapsed="false">
      <c r="A3675" s="1" t="s">
        <v>862</v>
      </c>
      <c r="B3675" s="0" t="s">
        <v>95</v>
      </c>
      <c r="F3675" s="6" t="n">
        <f aca="false">MAX(0,min_cash-(Sens!E3676+Sens!F3672-Sens!F3673-Sens!F3674))</f>
        <v>12.8642985955532</v>
      </c>
      <c r="G3675" s="6" t="n">
        <f aca="false">MAX(0,min_cash-(Sens!F3676+Sens!G3672-Sens!G3673-Sens!G3674))</f>
        <v>10.1857406149497</v>
      </c>
      <c r="H3675" s="6" t="n">
        <f aca="false">MAX(0,min_cash-(Sens!G3676+Sens!H3672-Sens!H3673-Sens!H3674))</f>
        <v>18.8486985917517</v>
      </c>
      <c r="I3675" s="6" t="n">
        <f aca="false">MAX(0,min_cash-(Sens!H3676+Sens!I3672-Sens!I3673-Sens!I3674))</f>
        <v>0</v>
      </c>
      <c r="J3675" s="6" t="n">
        <f aca="false">MAX(0,min_cash-(Sens!I3676+Sens!J3672-Sens!J3673-Sens!J3674))</f>
        <v>11.5013213613156</v>
      </c>
      <c r="K3675" s="6" t="n">
        <f aca="false">MAX(0,min_cash-(Sens!J3676+Sens!K3672-Sens!K3673-Sens!K3674))</f>
        <v>32.1544892072857</v>
      </c>
    </row>
    <row r="3676" customFormat="false" ht="15" hidden="false" customHeight="false" outlineLevel="0" collapsed="false">
      <c r="A3676" s="1" t="s">
        <v>863</v>
      </c>
      <c r="B3676" s="0" t="s">
        <v>95</v>
      </c>
      <c r="E3676" s="6" t="n">
        <f aca="false">cash_open</f>
        <v>76.843</v>
      </c>
      <c r="F3676" s="6" t="n">
        <f aca="false">Sens!E3676+Sens!F3672-Sens!F3673-Sens!F3674+Sens!F3675</f>
        <v>50</v>
      </c>
      <c r="G3676" s="6" t="n">
        <f aca="false">Sens!F3676+Sens!G3672-Sens!G3673-Sens!G3674+Sens!G3675</f>
        <v>50</v>
      </c>
      <c r="H3676" s="6" t="n">
        <f aca="false">Sens!G3676+Sens!H3672-Sens!H3673-Sens!H3674+Sens!H3675</f>
        <v>50</v>
      </c>
      <c r="I3676" s="6" t="n">
        <f aca="false">Sens!H3676+Sens!I3672-Sens!I3673-Sens!I3674+Sens!I3675</f>
        <v>50</v>
      </c>
      <c r="J3676" s="6" t="n">
        <f aca="false">Sens!I3676+Sens!J3672-Sens!J3673-Sens!J3674+Sens!J3675</f>
        <v>50</v>
      </c>
      <c r="K3676" s="6" t="n">
        <f aca="false">Sens!J3676+Sens!K3672-Sens!K3673-Sens!K3674+Sens!K3675</f>
        <v>50</v>
      </c>
    </row>
    <row r="3677" customFormat="false" ht="15" hidden="false" customHeight="false" outlineLevel="0" collapsed="false">
      <c r="A3677" s="1" t="s">
        <v>864</v>
      </c>
      <c r="B3677" s="0" t="s">
        <v>95</v>
      </c>
      <c r="E3677" s="6" t="n">
        <f aca="false">debt_face</f>
        <v>46.136</v>
      </c>
      <c r="F3677" s="6" t="n">
        <f aca="false">Sens!E3677-Sens!F3673+Sens!F3675</f>
        <v>49.7502985955532</v>
      </c>
      <c r="G3677" s="6" t="n">
        <f aca="false">Sens!F3677-Sens!G3673+Sens!G3675</f>
        <v>59.9360392105029</v>
      </c>
      <c r="H3677" s="6" t="n">
        <f aca="false">Sens!G3677-Sens!H3673+Sens!H3675</f>
        <v>76.7837378022546</v>
      </c>
      <c r="I3677" s="6" t="n">
        <f aca="false">Sens!H3677-Sens!I3673+Sens!I3675</f>
        <v>76.7837378022546</v>
      </c>
      <c r="J3677" s="6" t="n">
        <f aca="false">Sens!I3677-Sens!J3673+Sens!J3675</f>
        <v>87.7850591635702</v>
      </c>
      <c r="K3677" s="6" t="n">
        <f aca="false">Sens!J3677-Sens!K3673+Sens!K3675</f>
        <v>119.939548370856</v>
      </c>
    </row>
    <row r="3678" customFormat="false" ht="15" hidden="false" customHeight="false" outlineLevel="0" collapsed="false">
      <c r="A3678" s="1" t="s">
        <v>865</v>
      </c>
      <c r="B3678" s="0" t="s">
        <v>95</v>
      </c>
      <c r="E3678" s="6" t="n">
        <f aca="false">Sens!E3676-Sens!E3677</f>
        <v>30.707</v>
      </c>
      <c r="F3678" s="6" t="n">
        <f aca="false">Sens!F3676-Sens!F3677</f>
        <v>0.249701404446775</v>
      </c>
      <c r="G3678" s="6" t="n">
        <f aca="false">Sens!G3676-Sens!G3677</f>
        <v>-9.93603921050288</v>
      </c>
      <c r="H3678" s="6" t="n">
        <f aca="false">Sens!H3676-Sens!H3677</f>
        <v>-26.7837378022546</v>
      </c>
      <c r="I3678" s="6" t="n">
        <f aca="false">Sens!I3676-Sens!I3677</f>
        <v>-26.7837378022546</v>
      </c>
      <c r="J3678" s="6" t="n">
        <f aca="false">Sens!J3676-Sens!J3677</f>
        <v>-37.7850591635702</v>
      </c>
      <c r="K3678" s="6" t="n">
        <f aca="false">Sens!K3676-Sens!K3677</f>
        <v>-69.9395483708559</v>
      </c>
    </row>
    <row r="3679" customFormat="false" ht="15" hidden="false" customHeight="false" outlineLevel="0" collapsed="false">
      <c r="A3679" s="1" t="s">
        <v>866</v>
      </c>
      <c r="B3679" s="0" t="s">
        <v>73</v>
      </c>
      <c r="F3679" s="27" t="n">
        <f aca="false">px*(1+bb_g)^(1-0.5)</f>
        <v>553.494156066711</v>
      </c>
      <c r="G3679" s="27" t="n">
        <f aca="false">px*(1+bb_g)^(2-0.5)</f>
        <v>597.773688552047</v>
      </c>
      <c r="H3679" s="27" t="n">
        <f aca="false">px*(1+bb_g)^(3-0.5)</f>
        <v>645.595583636211</v>
      </c>
      <c r="I3679" s="27" t="n">
        <f aca="false">px*(1+bb_g)^(4-0.5)</f>
        <v>697.243230327108</v>
      </c>
      <c r="J3679" s="27" t="n">
        <f aca="false">px*(1+bb_g)^(5-0.5)</f>
        <v>753.022688753277</v>
      </c>
      <c r="K3679" s="27" t="n">
        <f aca="false">px*(1+bb_g)^(6-0.5)</f>
        <v>813.264503853539</v>
      </c>
    </row>
    <row r="3680" customFormat="false" ht="15" hidden="false" customHeight="false" outlineLevel="0" collapsed="false">
      <c r="A3680" s="1" t="s">
        <v>867</v>
      </c>
      <c r="B3680" s="1" t="s">
        <v>79</v>
      </c>
      <c r="E3680" s="18" t="n">
        <f aca="false">sh_out26</f>
        <v>7.427</v>
      </c>
      <c r="F3680" s="18" t="n">
        <f aca="false">Sens!E3680+sh_iss-Sens!F3674/Sens!F3679</f>
        <v>7.472</v>
      </c>
      <c r="G3680" s="18" t="n">
        <f aca="false">Sens!F3680+sh_iss-Sens!G3674/Sens!G3679</f>
        <v>7.517</v>
      </c>
      <c r="H3680" s="18" t="n">
        <f aca="false">Sens!G3680+sh_iss-Sens!H3674/Sens!H3679</f>
        <v>7.562</v>
      </c>
      <c r="I3680" s="18" t="n">
        <f aca="false">Sens!H3680+sh_iss-Sens!I3674/Sens!I3679</f>
        <v>7.6052099024794</v>
      </c>
      <c r="J3680" s="18" t="n">
        <f aca="false">Sens!I3680+sh_iss-Sens!J3674/Sens!J3679</f>
        <v>7.6502099024794</v>
      </c>
      <c r="K3680" s="18" t="n">
        <f aca="false">Sens!J3680+sh_iss-Sens!K3674/Sens!K3679</f>
        <v>7.6952099024794</v>
      </c>
    </row>
    <row r="3681" customFormat="false" ht="15" hidden="false" customHeight="false" outlineLevel="0" collapsed="false">
      <c r="A3681" s="1" t="s">
        <v>868</v>
      </c>
      <c r="B3681" s="1" t="s">
        <v>79</v>
      </c>
      <c r="E3681" s="18" t="n">
        <f aca="false">sh_dil26</f>
        <v>7.453</v>
      </c>
      <c r="F3681" s="18" t="n">
        <f aca="false">(Sens!E3680+Sens!F3680)/2+dil_gap</f>
        <v>7.4735</v>
      </c>
      <c r="G3681" s="18" t="n">
        <f aca="false">(Sens!F3680+Sens!G3680)/2+dil_gap</f>
        <v>7.5185</v>
      </c>
      <c r="H3681" s="18" t="n">
        <f aca="false">(Sens!G3680+Sens!H3680)/2+dil_gap</f>
        <v>7.5635</v>
      </c>
      <c r="I3681" s="18" t="n">
        <f aca="false">(Sens!H3680+Sens!I3680)/2+dil_gap</f>
        <v>7.6076049512397</v>
      </c>
      <c r="J3681" s="18" t="n">
        <f aca="false">(Sens!I3680+Sens!J3680)/2+dil_gap</f>
        <v>7.6517099024794</v>
      </c>
      <c r="K3681" s="18" t="n">
        <f aca="false">(Sens!J3680+Sens!K3680)/2+dil_gap</f>
        <v>7.6967099024794</v>
      </c>
    </row>
    <row r="3682" customFormat="false" ht="17.15" hidden="false" customHeight="false" outlineLevel="0" collapsed="false">
      <c r="A3682" s="1" t="s">
        <v>869</v>
      </c>
      <c r="B3682" s="0" t="s">
        <v>95</v>
      </c>
      <c r="C3682" s="6" t="n">
        <f aca="false">SUM(Sens!F3672:J3672)</f>
        <v>-67.2439257857057</v>
      </c>
    </row>
    <row r="3683" customFormat="false" ht="17.15" hidden="false" customHeight="false" outlineLevel="0" collapsed="false">
      <c r="A3683" s="1" t="s">
        <v>836</v>
      </c>
      <c r="B3683" s="1" t="s">
        <v>870</v>
      </c>
      <c r="C3683" s="30" t="str">
        <f aca="false">IF(SUM(Sens!F3675:J3675)&gt;0.05,"需要舉債 "&amp;TEXT(SUM(Sens!F3675:J3675),"0.0")&amp;" 十億美元","不需舉債")&amp;"；"&amp;IF(SUM(Sens!F3674:J3674)&lt;5*bb_target-0.05,"回購較每年 "&amp;TEXT(bb_target,"0.0")&amp;" 的目標少 "&amp;TEXT(5*bb_target-SUM(Sens!F3674:J3674),"0.0")&amp;" 十億美元（"&amp;TEXT(COUNTIF(Sens!F3674:J3674,"&lt;"&amp;(bb_target-0.05)),"0")&amp;" 年減少）","回購不減")</f>
        <v>需要舉債 53.4 十億美元；回購較每年 22.3 的目標少 110.1 十億美元（5 年減少）</v>
      </c>
    </row>
    <row r="3684" customFormat="false" ht="17.15" hidden="false" customHeight="false" outlineLevel="0" collapsed="false">
      <c r="A3684" s="3" t="s">
        <v>1218</v>
      </c>
    </row>
    <row r="3685" customFormat="false" ht="15" hidden="false" customHeight="false" outlineLevel="0" collapsed="false">
      <c r="A3685" s="4" t="s">
        <v>43</v>
      </c>
      <c r="B3685" s="4" t="s">
        <v>63</v>
      </c>
      <c r="C3685" s="19" t="s">
        <v>710</v>
      </c>
      <c r="D3685" s="19" t="s">
        <v>711</v>
      </c>
      <c r="E3685" s="19" t="s">
        <v>712</v>
      </c>
      <c r="F3685" s="19" t="s">
        <v>713</v>
      </c>
      <c r="G3685" s="19" t="s">
        <v>714</v>
      </c>
      <c r="H3685" s="19" t="s">
        <v>715</v>
      </c>
      <c r="I3685" s="19" t="s">
        <v>716</v>
      </c>
      <c r="J3685" s="19" t="s">
        <v>717</v>
      </c>
      <c r="K3685" s="19" t="s">
        <v>718</v>
      </c>
      <c r="L3685" s="4" t="s">
        <v>47</v>
      </c>
    </row>
    <row r="3686" customFormat="false" ht="17.15" hidden="false" customHeight="false" outlineLevel="0" collapsed="false">
      <c r="A3686" s="1" t="s">
        <v>938</v>
      </c>
      <c r="B3686" s="1" t="s">
        <v>213</v>
      </c>
      <c r="F3686" s="34" t="n">
        <f aca="false">1-0.5</f>
        <v>0.5</v>
      </c>
      <c r="G3686" s="34" t="n">
        <f aca="false">2-0.5</f>
        <v>1.5</v>
      </c>
      <c r="H3686" s="34" t="n">
        <f aca="false">3-0.5</f>
        <v>2.5</v>
      </c>
      <c r="I3686" s="34" t="n">
        <f aca="false">4-0.5</f>
        <v>3.5</v>
      </c>
      <c r="J3686" s="34" t="n">
        <f aca="false">5-0.5</f>
        <v>4.5</v>
      </c>
      <c r="K3686" s="34" t="n">
        <f aca="false">6-0.5</f>
        <v>5.5</v>
      </c>
    </row>
    <row r="3687" customFormat="false" ht="15" hidden="false" customHeight="false" outlineLevel="0" collapsed="false">
      <c r="A3687" s="1" t="s">
        <v>939</v>
      </c>
      <c r="B3687" s="0" t="s">
        <v>182</v>
      </c>
      <c r="F3687" s="18" t="n">
        <f aca="false">1/(1+wacc)^Sens!F3686</f>
        <v>0.949601579913219</v>
      </c>
      <c r="G3687" s="18" t="n">
        <f aca="false">1/(1+wacc)^Sens!G3686</f>
        <v>0.856296729956707</v>
      </c>
      <c r="H3687" s="18" t="n">
        <f aca="false">1/(1+wacc)^Sens!H3686</f>
        <v>0.772159719660069</v>
      </c>
      <c r="I3687" s="18" t="n">
        <f aca="false">1/(1+wacc)^Sens!I3686</f>
        <v>0.696289746073958</v>
      </c>
      <c r="J3687" s="18" t="n">
        <f aca="false">1/(1+wacc)^Sens!J3686</f>
        <v>0.627874516299776</v>
      </c>
      <c r="K3687" s="18" t="n">
        <f aca="false">1/(1+wacc)^Sens!K3686</f>
        <v>0.566181550771831</v>
      </c>
    </row>
    <row r="3688" customFormat="false" ht="15" hidden="false" customHeight="false" outlineLevel="0" collapsed="false">
      <c r="A3688" s="1" t="s">
        <v>940</v>
      </c>
      <c r="B3688" s="0" t="s">
        <v>95</v>
      </c>
      <c r="F3688" s="6" t="n">
        <f aca="false">Sens!F3669*Sens!F3687</f>
        <v>-1.76943877026642</v>
      </c>
      <c r="G3688" s="6" t="n">
        <f aca="false">Sens!G3669*Sens!G3687</f>
        <v>17.8819036524428</v>
      </c>
      <c r="H3688" s="6" t="n">
        <f aca="false">Sens!H3669*Sens!H3687</f>
        <v>13.0560180571822</v>
      </c>
      <c r="I3688" s="6" t="n">
        <f aca="false">Sens!I3669*Sens!I3687</f>
        <v>26.4054034434995</v>
      </c>
      <c r="J3688" s="6" t="n">
        <f aca="false">Sens!J3669*Sens!J3687</f>
        <v>18.1040549829406</v>
      </c>
      <c r="K3688" s="6" t="n">
        <f aca="false">Sens!K3669*Sens!K3687</f>
        <v>6.29711841293004</v>
      </c>
    </row>
    <row r="3689" customFormat="false" ht="17.15" hidden="false" customHeight="false" outlineLevel="0" collapsed="false">
      <c r="A3689" s="1" t="s">
        <v>941</v>
      </c>
      <c r="B3689" s="0" t="s">
        <v>95</v>
      </c>
      <c r="C3689" s="6" t="n">
        <f aca="false">SUM(Sens!F3688:K3688)</f>
        <v>79.9750597787287</v>
      </c>
    </row>
    <row r="3690" customFormat="false" ht="17.15" hidden="false" customHeight="false" outlineLevel="0" collapsed="false">
      <c r="A3690" s="1" t="s">
        <v>942</v>
      </c>
      <c r="B3690" s="0" t="s">
        <v>95</v>
      </c>
      <c r="C3690" s="6" t="n">
        <f aca="false">Sens!K3635*(1+g_tv)*(1-tax_f)</f>
        <v>140.206974954154</v>
      </c>
    </row>
    <row r="3691" customFormat="false" ht="17.15" hidden="false" customHeight="false" outlineLevel="0" collapsed="false">
      <c r="A3691" s="1" t="s">
        <v>943</v>
      </c>
      <c r="B3691" s="0" t="s">
        <v>95</v>
      </c>
      <c r="C3691" s="6" t="n">
        <f aca="false">Sens!$C$3690*(1-g_tv/(wacc+ronic_prem))</f>
        <v>101.604874133139</v>
      </c>
    </row>
    <row r="3692" customFormat="false" ht="17.15" hidden="false" customHeight="false" outlineLevel="0" collapsed="false">
      <c r="A3692" s="1" t="s">
        <v>944</v>
      </c>
      <c r="B3692" s="0" t="s">
        <v>95</v>
      </c>
      <c r="C3692" s="6" t="n">
        <f aca="false">Sens!$C$3691/(wacc-g_tv)</f>
        <v>1286.73669403382</v>
      </c>
    </row>
    <row r="3693" customFormat="false" ht="15" hidden="false" customHeight="false" outlineLevel="0" collapsed="false">
      <c r="A3693" s="1" t="s">
        <v>945</v>
      </c>
      <c r="B3693" s="0" t="s">
        <v>95</v>
      </c>
      <c r="C3693" s="6" t="n">
        <f aca="false">Sens!$C$3692/(1+wacc)^6</f>
        <v>691.809988397958</v>
      </c>
    </row>
    <row r="3694" customFormat="false" ht="17.15" hidden="false" customHeight="false" outlineLevel="0" collapsed="false">
      <c r="A3694" s="0" t="s">
        <v>877</v>
      </c>
      <c r="B3694" s="0" t="s">
        <v>95</v>
      </c>
      <c r="C3694" s="6" t="n">
        <f aca="false">Sens!$C$3689+Sens!$C$3693</f>
        <v>771.785048176686</v>
      </c>
    </row>
    <row r="3695" customFormat="false" ht="15" hidden="false" customHeight="false" outlineLevel="0" collapsed="false">
      <c r="A3695" s="1" t="s">
        <v>878</v>
      </c>
      <c r="B3695" s="0" t="s">
        <v>126</v>
      </c>
      <c r="C3695" s="7" t="n">
        <f aca="false">Sens!$C$3693/Sens!$C$3694</f>
        <v>0.896376510574198</v>
      </c>
    </row>
    <row r="3696" customFormat="false" ht="17.15" hidden="false" customHeight="false" outlineLevel="0" collapsed="false">
      <c r="A3696" s="1" t="s">
        <v>946</v>
      </c>
      <c r="B3696" s="0" t="s">
        <v>95</v>
      </c>
      <c r="C3696" s="6" t="n">
        <f aca="false">Sens!$C$3694+Sens!E3678+oai_v</f>
        <v>972.892048176686</v>
      </c>
    </row>
    <row r="3697" customFormat="false" ht="17.15" hidden="false" customHeight="false" outlineLevel="0" collapsed="false">
      <c r="A3697" s="0" t="s">
        <v>883</v>
      </c>
      <c r="B3697" s="0" t="s">
        <v>73</v>
      </c>
      <c r="C3697" s="5" t="n">
        <f aca="false">Sens!$C$3696/sh_dil26</f>
        <v>130.536971444611</v>
      </c>
    </row>
    <row r="3698" customFormat="false" ht="17.15" hidden="false" customHeight="false" outlineLevel="0" collapsed="false">
      <c r="A3698" s="0" t="s">
        <v>947</v>
      </c>
      <c r="B3698" s="0" t="s">
        <v>73</v>
      </c>
      <c r="C3698" s="5" t="n">
        <f aca="false">Sens!$C$3697*(1+wacc)^t_roll</f>
        <v>149.725197530615</v>
      </c>
    </row>
    <row r="3699" customFormat="false" ht="17.15" hidden="false" customHeight="false" outlineLevel="0" collapsed="false">
      <c r="A3699" s="1" t="s">
        <v>948</v>
      </c>
      <c r="B3699" s="0" t="s">
        <v>126</v>
      </c>
      <c r="F3699" s="7" t="n">
        <f aca="false">Sens!F3659/(Sens!F3610-Sens!F3566)</f>
        <v>0.0607793049683357</v>
      </c>
      <c r="G3699" s="7" t="n">
        <f aca="false">Sens!G3659/(Sens!G3610-Sens!G3566)</f>
        <v>0.0598674388946431</v>
      </c>
      <c r="H3699" s="7" t="n">
        <f aca="false">Sens!H3659/(Sens!H3610-Sens!H3566)</f>
        <v>0.0598138924088208</v>
      </c>
      <c r="I3699" s="7" t="n">
        <f aca="false">Sens!I3659/(Sens!I3610-Sens!I3566)</f>
        <v>0.0605463108043891</v>
      </c>
      <c r="J3699" s="7" t="n">
        <f aca="false">Sens!J3659/(Sens!J3610-Sens!J3566)</f>
        <v>0.0619171750495927</v>
      </c>
      <c r="K3699" s="7" t="n">
        <f aca="false">Sens!K3659/(Sens!K3610-Sens!K3566)</f>
        <v>0.0637444214085786</v>
      </c>
    </row>
    <row r="3700" customFormat="false" ht="17.15" hidden="false" customHeight="false" outlineLevel="0" collapsed="false">
      <c r="A3700" s="0" t="s">
        <v>949</v>
      </c>
      <c r="B3700" s="0" t="s">
        <v>95</v>
      </c>
      <c r="F3700" s="6" t="n">
        <f aca="false">Sens!F3595*(al_m365+Sens!F3699)</f>
        <v>77.570460397159</v>
      </c>
      <c r="G3700" s="6" t="n">
        <f aca="false">Sens!G3595*(al_m365+Sens!G3699)</f>
        <v>87.4615809746532</v>
      </c>
      <c r="H3700" s="6" t="n">
        <f aca="false">Sens!H3595*(al_m365+Sens!H3699)</f>
        <v>97.5055547082089</v>
      </c>
      <c r="I3700" s="6" t="n">
        <f aca="false">Sens!I3595*(al_m365+Sens!I3699)</f>
        <v>107.064006783246</v>
      </c>
      <c r="J3700" s="6" t="n">
        <f aca="false">Sens!J3595*(al_m365+Sens!J3699)</f>
        <v>115.956439745308</v>
      </c>
      <c r="K3700" s="6" t="n">
        <f aca="false">Sens!K3595*(al_m365+Sens!K3699)</f>
        <v>124.470658534975</v>
      </c>
    </row>
    <row r="3701" customFormat="false" ht="17.15" hidden="false" customHeight="false" outlineLevel="0" collapsed="false">
      <c r="A3701" s="0" t="s">
        <v>950</v>
      </c>
      <c r="B3701" s="0" t="s">
        <v>95</v>
      </c>
      <c r="F3701" s="6" t="n">
        <f aca="false">Sens!F3596*(al_lic+Sens!F3699)</f>
        <v>31.6788366496107</v>
      </c>
      <c r="G3701" s="6" t="n">
        <f aca="false">Sens!G3596*(al_lic+Sens!G3699)</f>
        <v>32.9831172343503</v>
      </c>
      <c r="H3701" s="6" t="n">
        <f aca="false">Sens!H3596*(al_lic+Sens!H3699)</f>
        <v>34.1932568357452</v>
      </c>
      <c r="I3701" s="6" t="n">
        <f aca="false">Sens!I3596*(al_lic+Sens!I3699)</f>
        <v>35.2910232967802</v>
      </c>
      <c r="J3701" s="6" t="n">
        <f aca="false">Sens!J3596*(al_lic+Sens!J3699)</f>
        <v>36.2551962655624</v>
      </c>
      <c r="K3701" s="6" t="n">
        <f aca="false">Sens!K3596*(al_lic+Sens!K3699)</f>
        <v>37.0635255751302</v>
      </c>
    </row>
    <row r="3702" customFormat="false" ht="17.15" hidden="false" customHeight="false" outlineLevel="0" collapsed="false">
      <c r="A3702" s="0" t="s">
        <v>951</v>
      </c>
      <c r="B3702" s="0" t="s">
        <v>95</v>
      </c>
      <c r="F3702" s="6" t="n">
        <f aca="false">Sens!F3598*(al_ind+Sens!F3699)</f>
        <v>8.06602241052014</v>
      </c>
      <c r="G3702" s="6" t="n">
        <f aca="false">Sens!G3598*(al_ind+Sens!G3699)</f>
        <v>8.79487679072477</v>
      </c>
      <c r="H3702" s="6" t="n">
        <f aca="false">Sens!H3598*(al_ind+Sens!H3699)</f>
        <v>9.56162428802822</v>
      </c>
      <c r="I3702" s="6" t="n">
        <f aca="false">Sens!I3598*(al_ind+Sens!I3699)</f>
        <v>10.3625397273437</v>
      </c>
      <c r="J3702" s="6" t="n">
        <f aca="false">Sens!J3598*(al_ind+Sens!J3699)</f>
        <v>11.1902092575901</v>
      </c>
      <c r="K3702" s="6" t="n">
        <f aca="false">Sens!K3598*(al_ind+Sens!K3699)</f>
        <v>12.0339757975709</v>
      </c>
    </row>
    <row r="3703" customFormat="false" ht="17.15" hidden="false" customHeight="false" outlineLevel="0" collapsed="false">
      <c r="A3703" s="0" t="s">
        <v>952</v>
      </c>
      <c r="B3703" s="0" t="s">
        <v>95</v>
      </c>
      <c r="F3703" s="6" t="n">
        <f aca="false">Sens!F3600*(al_fro+Sens!F3699)</f>
        <v>3.17481473897973</v>
      </c>
      <c r="G3703" s="6" t="n">
        <f aca="false">Sens!G3600*(al_fro+Sens!G3699)</f>
        <v>3.37671271980495</v>
      </c>
      <c r="H3703" s="6" t="n">
        <f aca="false">Sens!H3600*(al_fro+Sens!H3699)</f>
        <v>3.60314730273901</v>
      </c>
      <c r="I3703" s="6" t="n">
        <f aca="false">Sens!I3600*(al_fro+Sens!I3699)</f>
        <v>3.85651553627923</v>
      </c>
      <c r="J3703" s="6" t="n">
        <f aca="false">Sens!J3600*(al_fro+Sens!J3699)</f>
        <v>4.13856942240064</v>
      </c>
      <c r="K3703" s="6" t="n">
        <f aca="false">Sens!K3600*(al_fro+Sens!K3699)</f>
        <v>4.45062671477352</v>
      </c>
    </row>
    <row r="3704" customFormat="false" ht="17.15" hidden="false" customHeight="false" outlineLevel="0" collapsed="false">
      <c r="A3704" s="0" t="s">
        <v>953</v>
      </c>
      <c r="B3704" s="0" t="s">
        <v>95</v>
      </c>
      <c r="F3704" s="6" t="n">
        <f aca="false">Sens!F3603*(al_srch+Sens!F3699)</f>
        <v>9.96165421530323</v>
      </c>
      <c r="G3704" s="6" t="n">
        <f aca="false">Sens!G3603*(al_srch+Sens!G3699)</f>
        <v>10.9642852098628</v>
      </c>
      <c r="H3704" s="6" t="n">
        <f aca="false">Sens!H3603*(al_srch+Sens!H3699)</f>
        <v>12.0049662466304</v>
      </c>
      <c r="I3704" s="6" t="n">
        <f aca="false">Sens!I3603*(al_srch+Sens!I3699)</f>
        <v>13.0725805693684</v>
      </c>
      <c r="J3704" s="6" t="n">
        <f aca="false">Sens!J3603*(al_srch+Sens!J3699)</f>
        <v>14.15054056065</v>
      </c>
      <c r="K3704" s="6" t="n">
        <f aca="false">Sens!K3603*(al_srch+Sens!K3699)</f>
        <v>15.2175226315724</v>
      </c>
    </row>
    <row r="3705" customFormat="false" ht="17.15" hidden="false" customHeight="false" outlineLevel="0" collapsed="false">
      <c r="A3705" s="0" t="s">
        <v>954</v>
      </c>
      <c r="B3705" s="0" t="s">
        <v>95</v>
      </c>
      <c r="F3705" s="6" t="n">
        <f aca="false">Sens!F3572</f>
        <v>35.0573455625419</v>
      </c>
      <c r="G3705" s="6" t="n">
        <f aca="false">Sens!G3572</f>
        <v>52.2504971712871</v>
      </c>
      <c r="H3705" s="6" t="n">
        <f aca="false">Sens!H3572</f>
        <v>65.2796698510271</v>
      </c>
      <c r="I3705" s="6" t="n">
        <f aca="false">Sens!I3572</f>
        <v>85.5659922535278</v>
      </c>
      <c r="J3705" s="6" t="n">
        <f aca="false">Sens!J3572</f>
        <v>105.90773710582</v>
      </c>
      <c r="K3705" s="6" t="n">
        <f aca="false">Sens!K3572</f>
        <v>126.282084319851</v>
      </c>
    </row>
    <row r="3706" customFormat="false" ht="17.15" hidden="false" customHeight="false" outlineLevel="0" collapsed="false">
      <c r="A3706" s="0" t="s">
        <v>955</v>
      </c>
      <c r="B3706" s="0" t="s">
        <v>95</v>
      </c>
      <c r="F3706" s="6" t="n">
        <f aca="false">Sens!F3632+Sens!F3583+Sens!F3699*(Sens!F3602-Sens!F3566)</f>
        <v>207.439329046196</v>
      </c>
      <c r="G3706" s="6" t="n">
        <f aca="false">Sens!G3632+Sens!G3583+Sens!G3699*(Sens!G3602-Sens!G3566)</f>
        <v>243.558715599295</v>
      </c>
      <c r="H3706" s="6" t="n">
        <f aca="false">Sens!H3632+Sens!H3583+Sens!H3699*(Sens!H3602-Sens!H3566)</f>
        <v>275.726710276802</v>
      </c>
      <c r="I3706" s="6" t="n">
        <f aca="false">Sens!I3632+Sens!I3583+Sens!I3699*(Sens!I3602-Sens!I3566)</f>
        <v>314.406751165453</v>
      </c>
      <c r="J3706" s="6" t="n">
        <f aca="false">Sens!J3632+Sens!J3583+Sens!J3699*(Sens!J3602-Sens!J3566)</f>
        <v>351.57171561351</v>
      </c>
      <c r="K3706" s="6" t="n">
        <f aca="false">Sens!K3632+Sens!K3583+Sens!K3699*(Sens!K3602-Sens!K3566)</f>
        <v>386.774622953625</v>
      </c>
    </row>
    <row r="3707" customFormat="false" ht="17.15" hidden="false" customHeight="false" outlineLevel="0" collapsed="false">
      <c r="A3707" s="0" t="s">
        <v>956</v>
      </c>
      <c r="B3707" s="0" t="s">
        <v>95</v>
      </c>
      <c r="F3707" s="6" t="n">
        <f aca="false">Sens!F3706-Sens!F3700-Sens!F3701-Sens!F3702-Sens!F3703-Sens!F3705</f>
        <v>51.8918492873846</v>
      </c>
      <c r="G3707" s="6" t="n">
        <f aca="false">Sens!G3706-Sens!G3700-Sens!G3701-Sens!G3702-Sens!G3703-Sens!G3705</f>
        <v>58.6919307084748</v>
      </c>
      <c r="H3707" s="6" t="n">
        <f aca="false">Sens!H3706-Sens!H3700-Sens!H3701-Sens!H3702-Sens!H3703-Sens!H3705</f>
        <v>65.5834572910538</v>
      </c>
      <c r="I3707" s="6" t="n">
        <f aca="false">Sens!I3706-Sens!I3700-Sens!I3701-Sens!I3702-Sens!I3703-Sens!I3705</f>
        <v>72.2666735682755</v>
      </c>
      <c r="J3707" s="6" t="n">
        <f aca="false">Sens!J3706-Sens!J3700-Sens!J3701-Sens!J3702-Sens!J3703-Sens!J3705</f>
        <v>78.1235638168286</v>
      </c>
      <c r="K3707" s="6" t="n">
        <f aca="false">Sens!K3706-Sens!K3700-Sens!K3701-Sens!K3702-Sens!K3703-Sens!K3705</f>
        <v>82.473752011324</v>
      </c>
    </row>
    <row r="3708" customFormat="false" ht="17.15" hidden="false" customHeight="false" outlineLevel="0" collapsed="false">
      <c r="A3708" s="0" t="s">
        <v>957</v>
      </c>
      <c r="B3708" s="0" t="s">
        <v>95</v>
      </c>
      <c r="F3708" s="6" t="n">
        <f aca="false">Sens!F3634+Sens!F3699*Sens!F3609</f>
        <v>23.2547116326215</v>
      </c>
      <c r="G3708" s="6" t="n">
        <f aca="false">Sens!G3634+Sens!G3699*Sens!G3609</f>
        <v>23.9016880913926</v>
      </c>
      <c r="H3708" s="6" t="n">
        <f aca="false">Sens!H3634+Sens!H3699*Sens!H3609</f>
        <v>24.770861316112</v>
      </c>
      <c r="I3708" s="6" t="n">
        <f aca="false">Sens!I3634+Sens!I3699*Sens!I3609</f>
        <v>25.8373265317621</v>
      </c>
      <c r="J3708" s="6" t="n">
        <f aca="false">Sens!J3634+Sens!J3699*Sens!J3609</f>
        <v>27.0758375862676</v>
      </c>
      <c r="K3708" s="6" t="n">
        <f aca="false">Sens!K3634+Sens!K3699*Sens!K3609</f>
        <v>28.4619511011806</v>
      </c>
    </row>
    <row r="3709" customFormat="false" ht="17.15" hidden="false" customHeight="false" outlineLevel="0" collapsed="false">
      <c r="A3709" s="0" t="s">
        <v>958</v>
      </c>
      <c r="B3709" s="0" t="s">
        <v>95</v>
      </c>
      <c r="F3709" s="6" t="n">
        <f aca="false">(Sens!F3708-Sens!F3704)*Sens!F3605/(Sens!F3605+Sens!F3607)</f>
        <v>7.28712460367066</v>
      </c>
      <c r="G3709" s="6" t="n">
        <f aca="false">(Sens!G3708-Sens!G3704)*Sens!G3605/(Sens!G3605+Sens!G3607)</f>
        <v>6.96570551528829</v>
      </c>
      <c r="H3709" s="6" t="n">
        <f aca="false">(Sens!H3708-Sens!H3704)*Sens!H3605/(Sens!H3605+Sens!H3607)</f>
        <v>6.78051530765478</v>
      </c>
      <c r="I3709" s="6" t="n">
        <f aca="false">(Sens!I3708-Sens!I3704)*Sens!I3605/(Sens!I3605+Sens!I3607)</f>
        <v>6.71856030103937</v>
      </c>
      <c r="J3709" s="6" t="n">
        <f aca="false">(Sens!J3708-Sens!J3704)*Sens!J3605/(Sens!J3605+Sens!J3607)</f>
        <v>6.77230108801773</v>
      </c>
      <c r="K3709" s="6" t="n">
        <f aca="false">(Sens!K3708-Sens!K3704)*Sens!K3605/(Sens!K3605+Sens!K3607)</f>
        <v>6.9395122724938</v>
      </c>
    </row>
    <row r="3710" customFormat="false" ht="17.15" hidden="false" customHeight="false" outlineLevel="0" collapsed="false">
      <c r="A3710" s="0" t="s">
        <v>959</v>
      </c>
      <c r="B3710" s="0" t="s">
        <v>95</v>
      </c>
      <c r="F3710" s="6" t="n">
        <f aca="false">Sens!F3708-Sens!F3704-Sens!F3709</f>
        <v>6.00593281364756</v>
      </c>
      <c r="G3710" s="6" t="n">
        <f aca="false">Sens!G3708-Sens!G3704-Sens!G3709</f>
        <v>5.97169736624158</v>
      </c>
      <c r="H3710" s="6" t="n">
        <f aca="false">Sens!H3708-Sens!H3704-Sens!H3709</f>
        <v>5.98537976182686</v>
      </c>
      <c r="I3710" s="6" t="n">
        <f aca="false">Sens!I3708-Sens!I3704-Sens!I3709</f>
        <v>6.04618566135434</v>
      </c>
      <c r="J3710" s="6" t="n">
        <f aca="false">Sens!J3708-Sens!J3704-Sens!J3709</f>
        <v>6.15299593759982</v>
      </c>
      <c r="K3710" s="6" t="n">
        <f aca="false">Sens!K3708-Sens!K3704-Sens!K3709</f>
        <v>6.30491619711439</v>
      </c>
    </row>
    <row r="3711" customFormat="false" ht="17.15" hidden="false" customHeight="false" outlineLevel="0" collapsed="false">
      <c r="A3711" s="1" t="s">
        <v>960</v>
      </c>
      <c r="B3711" s="0" t="s">
        <v>95</v>
      </c>
      <c r="C3711" s="6" t="n">
        <f aca="false">(w_ntm28*Sens!G3705+(1-w_ntm28)*Sens!H3705)*m_ai*1</f>
        <v>338.776008390068</v>
      </c>
    </row>
    <row r="3712" customFormat="false" ht="17.15" hidden="false" customHeight="false" outlineLevel="0" collapsed="false">
      <c r="A3712" s="1" t="s">
        <v>961</v>
      </c>
      <c r="B3712" s="0" t="s">
        <v>95</v>
      </c>
      <c r="C3712" s="6" t="n">
        <f aca="false">(w_ntm28*Sens!G3707+(1-w_ntm28)*Sens!H3707)*m_cloud*1</f>
        <v>841.9126903084</v>
      </c>
    </row>
    <row r="3713" customFormat="false" ht="17.15" hidden="false" customHeight="false" outlineLevel="0" collapsed="false">
      <c r="A3713" s="1" t="s">
        <v>962</v>
      </c>
      <c r="B3713" s="0" t="s">
        <v>95</v>
      </c>
      <c r="C3713" s="6" t="n">
        <f aca="false">(w_ntm28*Sens!G3700+(1-w_ntm28)*Sens!H3700)*m_sw*1</f>
        <v>979.653677611305</v>
      </c>
    </row>
    <row r="3714" customFormat="false" ht="17.15" hidden="false" customHeight="false" outlineLevel="0" collapsed="false">
      <c r="A3714" s="1" t="s">
        <v>963</v>
      </c>
      <c r="B3714" s="0" t="s">
        <v>95</v>
      </c>
      <c r="C3714" s="6" t="n">
        <f aca="false">(w_ntm28*Sens!G3701+(1-w_ntm28)*Sens!H3701)*m_sw*1</f>
        <v>360.442876837881</v>
      </c>
    </row>
    <row r="3715" customFormat="false" ht="17.15" hidden="false" customHeight="false" outlineLevel="0" collapsed="false">
      <c r="A3715" s="1" t="s">
        <v>964</v>
      </c>
      <c r="B3715" s="0" t="s">
        <v>95</v>
      </c>
      <c r="C3715" s="6" t="n">
        <f aca="false">(w_ntm28*Sens!G3702+(1-w_ntm28)*Sens!H3702)*m_sw*1</f>
        <v>97.6617734783577</v>
      </c>
    </row>
    <row r="3716" customFormat="false" ht="17.15" hidden="false" customHeight="false" outlineLevel="0" collapsed="false">
      <c r="A3716" s="1" t="s">
        <v>965</v>
      </c>
      <c r="B3716" s="0" t="s">
        <v>95</v>
      </c>
      <c r="C3716" s="6" t="n">
        <f aca="false">(w_ntm28*Sens!G3703+(1-w_ntm28)*Sens!H3703)*m_sw*1</f>
        <v>37.2590952711295</v>
      </c>
    </row>
    <row r="3717" customFormat="false" ht="17.15" hidden="false" customHeight="false" outlineLevel="0" collapsed="false">
      <c r="A3717" s="1" t="s">
        <v>966</v>
      </c>
      <c r="B3717" s="0" t="s">
        <v>95</v>
      </c>
      <c r="C3717" s="6" t="n">
        <f aca="false">(w_ntm28*Sens!G3704+(1-w_ntm28)*Sens!H3704)*m_ads*1</f>
        <v>102.949600730081</v>
      </c>
    </row>
    <row r="3718" customFormat="false" ht="17.15" hidden="false" customHeight="false" outlineLevel="0" collapsed="false">
      <c r="A3718" s="1" t="s">
        <v>967</v>
      </c>
      <c r="B3718" s="0" t="s">
        <v>95</v>
      </c>
      <c r="C3718" s="6" t="n">
        <f aca="false">(w_ntm28*Sens!G3709+(1-w_ntm28)*Sens!H3709)*m_game*1</f>
        <v>87.2207062086541</v>
      </c>
    </row>
    <row r="3719" customFormat="false" ht="17.15" hidden="false" customHeight="false" outlineLevel="0" collapsed="false">
      <c r="A3719" s="1" t="s">
        <v>968</v>
      </c>
      <c r="B3719" s="0" t="s">
        <v>95</v>
      </c>
      <c r="C3719" s="6" t="n">
        <f aca="false">(w_ntm28*Sens!G3710+(1-w_ntm28)*Sens!H3710)*m_pc*1</f>
        <v>86.4744667612035</v>
      </c>
    </row>
    <row r="3720" customFormat="false" ht="17.15" hidden="false" customHeight="false" outlineLevel="0" collapsed="false">
      <c r="A3720" s="1" t="s">
        <v>969</v>
      </c>
      <c r="B3720" s="0" t="s">
        <v>95</v>
      </c>
      <c r="C3720" s="6" t="n">
        <f aca="false">Sens!$C$3711+Sens!$C$3712+Sens!$C$3713+Sens!$C$3714+Sens!$C$3715+Sens!$C$3716+Sens!$C$3717+Sens!$C$3718+Sens!$C$3719</f>
        <v>2932.35089559708</v>
      </c>
    </row>
    <row r="3721" customFormat="false" ht="17.15" hidden="false" customHeight="false" outlineLevel="0" collapsed="false">
      <c r="A3721" s="1" t="s">
        <v>903</v>
      </c>
      <c r="B3721" s="0" t="s">
        <v>95</v>
      </c>
      <c r="C3721" s="6" t="n">
        <f aca="false">Sens!F3678+oai_v-Sens!F3667</f>
        <v>108.179971404447</v>
      </c>
      <c r="L3721" s="1" t="s">
        <v>970</v>
      </c>
    </row>
    <row r="3722" customFormat="false" ht="15" hidden="false" customHeight="false" outlineLevel="0" collapsed="false">
      <c r="A3722" s="1" t="s">
        <v>904</v>
      </c>
      <c r="B3722" s="0" t="s">
        <v>73</v>
      </c>
      <c r="C3722" s="5" t="n">
        <f aca="false">(Sens!$C$3720+Sens!$C$3721)/Sens!F3680</f>
        <v>406.923295904915</v>
      </c>
    </row>
    <row r="3723" customFormat="false" ht="17.15" hidden="false" customHeight="false" outlineLevel="0" collapsed="false">
      <c r="A3723" s="1" t="s">
        <v>971</v>
      </c>
      <c r="B3723" s="0" t="s">
        <v>73</v>
      </c>
      <c r="C3723" s="5" t="n">
        <f aca="false">w_dcf*Sens!$C$3698+(1-w_dcf)*Sens!$C$3722</f>
        <v>278.324246717765</v>
      </c>
    </row>
    <row r="3724" customFormat="false" ht="17.15" hidden="false" customHeight="false" outlineLevel="0" collapsed="false">
      <c r="A3724" s="3" t="s">
        <v>1219</v>
      </c>
    </row>
    <row r="3725" customFormat="false" ht="15" hidden="false" customHeight="false" outlineLevel="0" collapsed="false">
      <c r="A3725" s="4" t="s">
        <v>43</v>
      </c>
      <c r="B3725" s="4" t="s">
        <v>63</v>
      </c>
      <c r="C3725" s="19" t="s">
        <v>710</v>
      </c>
      <c r="D3725" s="19" t="s">
        <v>711</v>
      </c>
      <c r="E3725" s="19" t="s">
        <v>712</v>
      </c>
      <c r="F3725" s="19" t="s">
        <v>713</v>
      </c>
      <c r="G3725" s="19" t="s">
        <v>714</v>
      </c>
      <c r="H3725" s="19" t="s">
        <v>715</v>
      </c>
      <c r="I3725" s="19" t="s">
        <v>716</v>
      </c>
      <c r="J3725" s="19" t="s">
        <v>717</v>
      </c>
      <c r="K3725" s="19" t="s">
        <v>718</v>
      </c>
      <c r="L3725" s="4" t="s">
        <v>47</v>
      </c>
    </row>
    <row r="3726" customFormat="false" ht="17.15" hidden="false" customHeight="false" outlineLevel="0" collapsed="false">
      <c r="A3726" s="1" t="s">
        <v>719</v>
      </c>
      <c r="B3726" s="0" t="s">
        <v>340</v>
      </c>
      <c r="C3726" s="27" t="n">
        <f aca="false">mw_ext_24</f>
        <v>640</v>
      </c>
      <c r="D3726" s="27" t="n">
        <f aca="false">mw_ext_25</f>
        <v>1630</v>
      </c>
      <c r="E3726" s="27" t="n">
        <f aca="false">mw_ext_26</f>
        <v>3250</v>
      </c>
      <c r="F3726" s="27" t="n">
        <f aca="false">MIN(1000000000,Sens!E3726+pace)</f>
        <v>5777.2</v>
      </c>
      <c r="G3726" s="27" t="n">
        <f aca="false">MIN(1000000000,Sens!F3726+pace)</f>
        <v>8304.4</v>
      </c>
      <c r="H3726" s="27" t="n">
        <f aca="false">MIN(1000000000,Sens!G3726+pace)</f>
        <v>10831.6</v>
      </c>
      <c r="I3726" s="27" t="n">
        <f aca="false">MIN(1000000000,Sens!H3726+pace)</f>
        <v>13358.8</v>
      </c>
      <c r="J3726" s="27" t="n">
        <f aca="false">MIN(1000000000,Sens!I3726+pace)</f>
        <v>15886</v>
      </c>
      <c r="K3726" s="27" t="n">
        <f aca="false">MIN(1000000000,Sens!J3726+pace)</f>
        <v>18413.2</v>
      </c>
      <c r="L3726" s="11" t="s">
        <v>720</v>
      </c>
    </row>
    <row r="3727" customFormat="false" ht="17.15" hidden="false" customHeight="false" outlineLevel="0" collapsed="false">
      <c r="A3727" s="1" t="s">
        <v>721</v>
      </c>
      <c r="B3727" s="0" t="s">
        <v>340</v>
      </c>
      <c r="C3727" s="27" t="n">
        <f aca="false">rent_ext_24</f>
        <v>150</v>
      </c>
      <c r="D3727" s="27" t="n">
        <f aca="false">rent_ext_25</f>
        <v>400</v>
      </c>
      <c r="E3727" s="27" t="n">
        <f aca="false">rent_ext_26</f>
        <v>550</v>
      </c>
      <c r="F3727" s="27" t="n">
        <f aca="false">rent_ext_f</f>
        <v>756</v>
      </c>
      <c r="G3727" s="27" t="n">
        <f aca="false">rent_ext_f</f>
        <v>756</v>
      </c>
      <c r="H3727" s="27" t="n">
        <f aca="false">rent_ext_f</f>
        <v>756</v>
      </c>
      <c r="I3727" s="27" t="n">
        <f aca="false">rent_ext_f</f>
        <v>756</v>
      </c>
      <c r="J3727" s="27" t="n">
        <f aca="false">rent_ext_f</f>
        <v>756</v>
      </c>
      <c r="K3727" s="27" t="n">
        <f aca="false">rent_ext_f</f>
        <v>756</v>
      </c>
      <c r="L3727" s="1" t="s">
        <v>722</v>
      </c>
    </row>
    <row r="3728" customFormat="false" ht="17.15" hidden="false" customHeight="false" outlineLevel="0" collapsed="false">
      <c r="A3728" s="1" t="s">
        <v>723</v>
      </c>
      <c r="B3728" s="0" t="s">
        <v>340</v>
      </c>
      <c r="C3728" s="27" t="n">
        <f aca="false">Sens!C3726-Sens!C3727</f>
        <v>490</v>
      </c>
      <c r="D3728" s="27" t="n">
        <f aca="false">Sens!D3726-Sens!D3727</f>
        <v>1230</v>
      </c>
      <c r="E3728" s="27" t="n">
        <f aca="false">Sens!E3726-Sens!E3727</f>
        <v>2700</v>
      </c>
      <c r="F3728" s="27" t="n">
        <f aca="false">Sens!F3726-Sens!F3727</f>
        <v>5021.2</v>
      </c>
      <c r="G3728" s="27" t="n">
        <f aca="false">Sens!G3726-Sens!G3727</f>
        <v>7548.4</v>
      </c>
      <c r="H3728" s="27" t="n">
        <f aca="false">Sens!H3726-Sens!H3727</f>
        <v>10075.6</v>
      </c>
      <c r="I3728" s="27" t="n">
        <f aca="false">Sens!I3726-Sens!I3727</f>
        <v>12602.8</v>
      </c>
      <c r="J3728" s="27" t="n">
        <f aca="false">Sens!J3726-Sens!J3727</f>
        <v>15130</v>
      </c>
      <c r="K3728" s="27" t="n">
        <f aca="false">Sens!K3726-Sens!K3727</f>
        <v>17657.2</v>
      </c>
    </row>
    <row r="3729" customFormat="false" ht="17.15" hidden="false" customHeight="false" outlineLevel="0" collapsed="false">
      <c r="A3729" s="1" t="s">
        <v>724</v>
      </c>
      <c r="B3729" s="0" t="s">
        <v>340</v>
      </c>
      <c r="C3729" s="27" t="n">
        <f aca="false">Sens!C3728/ext_sh</f>
        <v>816.666666666667</v>
      </c>
      <c r="D3729" s="27" t="n">
        <f aca="false">Sens!D3728/ext_sh</f>
        <v>2050</v>
      </c>
      <c r="E3729" s="27" t="n">
        <f aca="false">Sens!E3728/ext_sh</f>
        <v>4500</v>
      </c>
      <c r="F3729" s="27" t="n">
        <f aca="false">Sens!F3728/ext_sh</f>
        <v>8368.66666666667</v>
      </c>
      <c r="G3729" s="27" t="n">
        <f aca="false">Sens!G3728/ext_sh</f>
        <v>12580.6666666667</v>
      </c>
      <c r="H3729" s="27" t="n">
        <f aca="false">Sens!H3728/ext_sh</f>
        <v>16792.6666666667</v>
      </c>
      <c r="I3729" s="27" t="n">
        <f aca="false">Sens!I3728/ext_sh</f>
        <v>21004.6666666667</v>
      </c>
      <c r="J3729" s="27" t="n">
        <f aca="false">Sens!J3728/ext_sh</f>
        <v>25216.6666666667</v>
      </c>
      <c r="K3729" s="27" t="n">
        <f aca="false">Sens!K3728/ext_sh</f>
        <v>29428.6666666667</v>
      </c>
      <c r="L3729" s="1" t="s">
        <v>725</v>
      </c>
    </row>
    <row r="3730" customFormat="false" ht="17.15" hidden="false" customHeight="false" outlineLevel="0" collapsed="false">
      <c r="A3730" s="1" t="s">
        <v>726</v>
      </c>
      <c r="B3730" s="0" t="s">
        <v>340</v>
      </c>
      <c r="C3730" s="27" t="n">
        <f aca="false">Sens!C3729-Sens!C3728</f>
        <v>326.666666666667</v>
      </c>
      <c r="D3730" s="27" t="n">
        <f aca="false">Sens!D3729-Sens!D3728</f>
        <v>820</v>
      </c>
      <c r="E3730" s="27" t="n">
        <f aca="false">Sens!E3729-Sens!E3728</f>
        <v>1800</v>
      </c>
      <c r="F3730" s="27" t="n">
        <f aca="false">Sens!F3729-Sens!F3728</f>
        <v>3347.46666666667</v>
      </c>
      <c r="G3730" s="27" t="n">
        <f aca="false">Sens!G3729-Sens!G3728</f>
        <v>5032.26666666667</v>
      </c>
      <c r="H3730" s="27" t="n">
        <f aca="false">Sens!H3729-Sens!H3728</f>
        <v>6717.06666666667</v>
      </c>
      <c r="I3730" s="27" t="n">
        <f aca="false">Sens!I3729-Sens!I3728</f>
        <v>8401.86666666667</v>
      </c>
      <c r="J3730" s="27" t="n">
        <f aca="false">Sens!J3729-Sens!J3728</f>
        <v>10086.6666666667</v>
      </c>
      <c r="K3730" s="27" t="n">
        <f aca="false">Sens!K3729-Sens!K3728</f>
        <v>11771.4666666667</v>
      </c>
    </row>
    <row r="3731" customFormat="false" ht="17.15" hidden="false" customHeight="false" outlineLevel="0" collapsed="false">
      <c r="A3731" s="1" t="s">
        <v>727</v>
      </c>
      <c r="B3731" s="0" t="s">
        <v>340</v>
      </c>
      <c r="C3731" s="27" t="n">
        <f aca="false">Sens!C3729</f>
        <v>816.666666666667</v>
      </c>
      <c r="D3731" s="27" t="n">
        <f aca="false">Sens!D3729-Sens!C3729</f>
        <v>1233.33333333333</v>
      </c>
      <c r="E3731" s="27" t="n">
        <f aca="false">Sens!E3729-Sens!D3729</f>
        <v>2450</v>
      </c>
      <c r="F3731" s="27" t="n">
        <f aca="false">Sens!F3729-Sens!E3729</f>
        <v>3868.66666666667</v>
      </c>
      <c r="G3731" s="27" t="n">
        <f aca="false">Sens!G3729-Sens!F3729</f>
        <v>4212</v>
      </c>
      <c r="H3731" s="27" t="n">
        <f aca="false">Sens!H3729-Sens!G3729</f>
        <v>4212</v>
      </c>
      <c r="I3731" s="27" t="n">
        <f aca="false">Sens!I3729-Sens!H3729</f>
        <v>4212</v>
      </c>
      <c r="J3731" s="27" t="n">
        <f aca="false">Sens!J3729-Sens!I3729</f>
        <v>4212</v>
      </c>
      <c r="K3731" s="27" t="n">
        <f aca="false">Sens!K3729-Sens!J3729</f>
        <v>4212</v>
      </c>
    </row>
    <row r="3732" customFormat="false" ht="17.15" hidden="false" customHeight="false" outlineLevel="0" collapsed="false">
      <c r="A3732" s="1" t="s">
        <v>728</v>
      </c>
      <c r="B3732" s="0" t="s">
        <v>340</v>
      </c>
      <c r="D3732" s="27" t="n">
        <f aca="false">Sens!D3726-Sens!C3726</f>
        <v>990</v>
      </c>
      <c r="E3732" s="27" t="n">
        <f aca="false">Sens!E3726-Sens!D3726</f>
        <v>1620</v>
      </c>
      <c r="F3732" s="27" t="n">
        <f aca="false">Sens!F3726-Sens!E3726</f>
        <v>2527.2</v>
      </c>
      <c r="G3732" s="27" t="n">
        <f aca="false">Sens!G3726-Sens!F3726</f>
        <v>2527.2</v>
      </c>
      <c r="H3732" s="27" t="n">
        <f aca="false">Sens!H3726-Sens!G3726</f>
        <v>2527.2</v>
      </c>
      <c r="I3732" s="27" t="n">
        <f aca="false">Sens!I3726-Sens!H3726</f>
        <v>2527.2</v>
      </c>
      <c r="J3732" s="27" t="n">
        <f aca="false">Sens!J3726-Sens!I3726</f>
        <v>2527.2</v>
      </c>
      <c r="K3732" s="27" t="n">
        <f aca="false">Sens!K3726-Sens!J3726</f>
        <v>2527.2</v>
      </c>
    </row>
    <row r="3733" customFormat="false" ht="17.15" hidden="false" customHeight="false" outlineLevel="0" collapsed="false">
      <c r="A3733" s="1" t="s">
        <v>729</v>
      </c>
      <c r="B3733" s="0" t="s">
        <v>340</v>
      </c>
      <c r="C3733" s="27" t="n">
        <f aca="false">mix_h*Sens!C3726</f>
        <v>128</v>
      </c>
      <c r="D3733" s="27" t="n">
        <f aca="false">mix_h*Sens!D3726</f>
        <v>326</v>
      </c>
      <c r="E3733" s="27" t="n">
        <f aca="false">mix_h*Sens!E3726</f>
        <v>650</v>
      </c>
      <c r="F3733" s="27" t="n">
        <f aca="false">Sens!E3733</f>
        <v>650</v>
      </c>
      <c r="G3733" s="27" t="n">
        <f aca="false">Sens!F3733</f>
        <v>650</v>
      </c>
      <c r="H3733" s="27" t="n">
        <f aca="false">Sens!G3733</f>
        <v>650</v>
      </c>
      <c r="I3733" s="27" t="n">
        <f aca="false">Sens!H3733</f>
        <v>650</v>
      </c>
      <c r="J3733" s="27" t="n">
        <f aca="false">Sens!I3733</f>
        <v>650</v>
      </c>
      <c r="K3733" s="27" t="n">
        <f aca="false">Sens!J3733</f>
        <v>650</v>
      </c>
    </row>
    <row r="3734" customFormat="false" ht="17.15" hidden="false" customHeight="false" outlineLevel="0" collapsed="false">
      <c r="A3734" s="1" t="s">
        <v>730</v>
      </c>
      <c r="B3734" s="0" t="s">
        <v>340</v>
      </c>
      <c r="C3734" s="27" t="n">
        <f aca="false">mix_g2*Sens!C3726</f>
        <v>288</v>
      </c>
      <c r="D3734" s="27" t="n">
        <f aca="false">mix_g2*Sens!D3726</f>
        <v>733.5</v>
      </c>
      <c r="E3734" s="27" t="n">
        <f aca="false">mix_g2*Sens!E3726</f>
        <v>1462.5</v>
      </c>
      <c r="F3734" s="27" t="n">
        <f aca="false">Sens!E3734</f>
        <v>1462.5</v>
      </c>
      <c r="G3734" s="27" t="n">
        <f aca="false">Sens!F3734</f>
        <v>1462.5</v>
      </c>
      <c r="H3734" s="27" t="n">
        <f aca="false">Sens!G3734</f>
        <v>1462.5</v>
      </c>
      <c r="I3734" s="27" t="n">
        <f aca="false">Sens!H3734</f>
        <v>1462.5</v>
      </c>
      <c r="J3734" s="27" t="n">
        <f aca="false">Sens!I3734</f>
        <v>1462.5</v>
      </c>
      <c r="K3734" s="27" t="n">
        <f aca="false">Sens!J3734</f>
        <v>1462.5</v>
      </c>
    </row>
    <row r="3735" customFormat="false" ht="17.15" hidden="false" customHeight="false" outlineLevel="0" collapsed="false">
      <c r="A3735" s="1" t="s">
        <v>731</v>
      </c>
      <c r="B3735" s="0" t="s">
        <v>340</v>
      </c>
      <c r="C3735" s="27" t="n">
        <f aca="false">mix_g3*Sens!C3726</f>
        <v>224</v>
      </c>
      <c r="D3735" s="27" t="n">
        <f aca="false">mix_g3*Sens!D3726</f>
        <v>570.5</v>
      </c>
      <c r="E3735" s="27" t="n">
        <f aca="false">mix_g3*Sens!E3726</f>
        <v>1137.5</v>
      </c>
      <c r="F3735" s="27" t="n">
        <f aca="false">Sens!E3735+Sens!F3732*a_g3_27</f>
        <v>2906.54</v>
      </c>
      <c r="G3735" s="27" t="n">
        <f aca="false">Sens!F3735+Sens!G3732*a_g3_28</f>
        <v>3664.7</v>
      </c>
      <c r="H3735" s="27" t="n">
        <f aca="false">Sens!G3735+Sens!H3732*a_g3_29</f>
        <v>3917.42</v>
      </c>
      <c r="I3735" s="27" t="n">
        <f aca="false">Sens!H3735+Sens!I3732*a_g3_29</f>
        <v>4170.14</v>
      </c>
      <c r="J3735" s="27" t="n">
        <f aca="false">Sens!I3735+Sens!J3732*a_g3_29</f>
        <v>4422.86</v>
      </c>
      <c r="K3735" s="27" t="n">
        <f aca="false">Sens!J3735+Sens!K3732*a_g3_29</f>
        <v>4675.58</v>
      </c>
    </row>
    <row r="3736" customFormat="false" ht="17.15" hidden="false" customHeight="false" outlineLevel="0" collapsed="false">
      <c r="A3736" s="1" t="s">
        <v>732</v>
      </c>
      <c r="B3736" s="0" t="s">
        <v>340</v>
      </c>
      <c r="C3736" s="27" t="n">
        <f aca="false">0</f>
        <v>0</v>
      </c>
      <c r="D3736" s="27" t="n">
        <f aca="false">0</f>
        <v>0</v>
      </c>
      <c r="E3736" s="27" t="n">
        <f aca="false">0</f>
        <v>0</v>
      </c>
      <c r="F3736" s="27" t="n">
        <f aca="false">Sens!E3736+Sens!F3732*(1-a_g3_27)</f>
        <v>758.16</v>
      </c>
      <c r="G3736" s="27" t="n">
        <f aca="false">Sens!F3736+Sens!G3732*(1-a_g3_28)</f>
        <v>2527.2</v>
      </c>
      <c r="H3736" s="27" t="n">
        <f aca="false">Sens!G3736+Sens!H3732*(1-a_g3_29)</f>
        <v>4801.68</v>
      </c>
      <c r="I3736" s="27" t="n">
        <f aca="false">Sens!H3736+Sens!I3732*(1-a_g3_29)</f>
        <v>7076.16</v>
      </c>
      <c r="J3736" s="27" t="n">
        <f aca="false">Sens!I3736+Sens!J3732*(1-a_g3_29)</f>
        <v>9350.64</v>
      </c>
      <c r="K3736" s="27" t="n">
        <f aca="false">Sens!J3736+Sens!K3732*(1-a_g3_29)</f>
        <v>11625.12</v>
      </c>
    </row>
    <row r="3737" customFormat="false" ht="17.15" hidden="false" customHeight="false" outlineLevel="0" collapsed="false">
      <c r="A3737" s="1" t="s">
        <v>733</v>
      </c>
      <c r="B3737" s="0" t="s">
        <v>291</v>
      </c>
      <c r="C3737" s="18" t="n">
        <f aca="false">(Sens!C3733*tk_hold_h100+Sens!C3734*tk_hold_gb200+Sens!C3735*tk_hold_gb300+Sens!C3736*tk_hold_vr200)/Sens!C3726</f>
        <v>9.7235358126469</v>
      </c>
      <c r="D3737" s="18" t="n">
        <f aca="false">(Sens!D3733*tk_hold_h100+Sens!D3734*tk_hold_gb200+Sens!D3735*tk_hold_gb300+Sens!D3736*tk_hold_vr200)/Sens!D3726</f>
        <v>9.7235358126469</v>
      </c>
      <c r="E3737" s="18" t="n">
        <f aca="false">(Sens!E3733*tk_hold_h100+Sens!E3734*tk_hold_gb200+Sens!E3735*tk_hold_gb300+Sens!E3736*tk_hold_vr200)/Sens!E3726</f>
        <v>9.7235358126469</v>
      </c>
      <c r="F3737" s="18" t="n">
        <f aca="false">(Sens!F3733*tk_hold_h100+Sens!F3734*tk_hold_gb200+Sens!F3735*tk_hold_gb300+Sens!F3736*tk_hold_vr200)/Sens!F3726</f>
        <v>10.4079573161931</v>
      </c>
      <c r="G3737" s="18" t="n">
        <f aca="false">(Sens!G3733*tk_hold_h100+Sens!G3734*tk_hold_gb200+Sens!G3735*tk_hold_gb300+Sens!G3736*tk_hold_vr200)/Sens!G3726</f>
        <v>10.8388131109316</v>
      </c>
      <c r="H3737" s="18" t="n">
        <f aca="false">(Sens!H3733*tk_hold_h100+Sens!H3734*tk_hold_gb200+Sens!H3735*tk_hold_gb300+Sens!H3736*tk_hold_vr200)/Sens!H3726</f>
        <v>11.1311018388216</v>
      </c>
      <c r="I3737" s="18" t="n">
        <f aca="false">(Sens!I3733*tk_hold_h100+Sens!I3734*tk_hold_gb200+Sens!I3735*tk_hold_gb300+Sens!I3736*tk_hold_vr200)/Sens!I3726</f>
        <v>11.3128009818501</v>
      </c>
      <c r="J3737" s="18" t="n">
        <f aca="false">(Sens!J3733*tk_hold_h100+Sens!J3734*tk_hold_gb200+Sens!J3735*tk_hold_gb300+Sens!J3736*tk_hold_vr200)/Sens!J3726</f>
        <v>11.4366894646418</v>
      </c>
      <c r="K3737" s="18" t="n">
        <f aca="false">(Sens!K3733*tk_hold_h100+Sens!K3734*tk_hold_gb200+Sens!K3735*tk_hold_gb300+Sens!K3736*tk_hold_vr200)/Sens!K3726</f>
        <v>11.526570716348</v>
      </c>
    </row>
    <row r="3738" customFormat="false" ht="17.15" hidden="false" customHeight="false" outlineLevel="0" collapsed="false">
      <c r="A3738" s="0" t="s">
        <v>734</v>
      </c>
      <c r="B3738" s="0" t="s">
        <v>182</v>
      </c>
      <c r="C3738" s="18" t="n">
        <f aca="false">k_B</f>
        <v>1.17213932619116</v>
      </c>
      <c r="D3738" s="18" t="n">
        <f aca="false">k_B</f>
        <v>1.17213932619116</v>
      </c>
      <c r="E3738" s="18" t="n">
        <f aca="false">k_B</f>
        <v>1.17213932619116</v>
      </c>
      <c r="F3738" s="18" t="n">
        <f aca="false">(k_B+((ls_A*k_long+(1-ls_A)*k_spot)-k_B)*MIN(1,1/3))*1</f>
        <v>1.25022828131298</v>
      </c>
      <c r="G3738" s="18" t="n">
        <f aca="false">(k_B+((ls_A*k_long+(1-ls_A)*k_spot)-k_B)*MIN(1,2/3))*1</f>
        <v>1.3283172364348</v>
      </c>
      <c r="H3738" s="18" t="n">
        <f aca="false">(k_B+((ls_A*k_long+(1-ls_A)*k_spot)-k_B)*MIN(1,3/3))*1</f>
        <v>1.40640619155662</v>
      </c>
      <c r="I3738" s="18" t="n">
        <f aca="false">(k_B+((ls_A*k_long+(1-ls_A)*k_spot)-k_B)*MIN(1,4/3))*1</f>
        <v>1.40640619155662</v>
      </c>
      <c r="J3738" s="18" t="n">
        <f aca="false">(k_B+((ls_A*k_long+(1-ls_A)*k_spot)-k_B)*MIN(1,5/3))*1</f>
        <v>1.40640619155662</v>
      </c>
      <c r="K3738" s="18" t="n">
        <f aca="false">(k_B+((ls_A*k_long+(1-ls_A)*k_spot)-k_B)*MIN(1,6/3))*1</f>
        <v>1.40640619155662</v>
      </c>
      <c r="L3738" s="1" t="s">
        <v>735</v>
      </c>
    </row>
    <row r="3739" customFormat="false" ht="17.15" hidden="false" customHeight="false" outlineLevel="0" collapsed="false">
      <c r="A3739" s="1" t="s">
        <v>736</v>
      </c>
      <c r="B3739" s="0" t="s">
        <v>291</v>
      </c>
      <c r="C3739" s="18" t="n">
        <f aca="false">Sens!C3737*Sens!C3738*chip_f</f>
        <v>11.3973387156315</v>
      </c>
      <c r="D3739" s="18" t="n">
        <f aca="false">Sens!D3737*Sens!D3738*chip_f</f>
        <v>11.3973387156315</v>
      </c>
      <c r="E3739" s="18" t="n">
        <f aca="false">Sens!E3737*Sens!E3738*chip_f</f>
        <v>11.3973387156315</v>
      </c>
      <c r="F3739" s="18" t="n">
        <f aca="false">Sens!F3737*Sens!F3738*chip_f</f>
        <v>13.0123225874029</v>
      </c>
      <c r="G3739" s="18" t="n">
        <f aca="false">Sens!G3737*Sens!G3738*chip_f</f>
        <v>14.3973822777458</v>
      </c>
      <c r="H3739" s="18" t="n">
        <f aca="false">Sens!H3737*Sens!H3738*chip_f</f>
        <v>15.6548505449659</v>
      </c>
      <c r="I3739" s="18" t="n">
        <f aca="false">Sens!I3737*Sens!I3738*chip_f</f>
        <v>15.9103933447218</v>
      </c>
      <c r="J3739" s="18" t="n">
        <f aca="false">Sens!J3737*Sens!J3738*chip_f</f>
        <v>16.0846308739825</v>
      </c>
      <c r="K3739" s="18" t="n">
        <f aca="false">Sens!K3737*Sens!K3738*chip_f</f>
        <v>16.211040422887</v>
      </c>
      <c r="L3739" s="1" t="s">
        <v>737</v>
      </c>
    </row>
    <row r="3740" customFormat="false" ht="17.15" hidden="false" customHeight="false" outlineLevel="0" collapsed="false">
      <c r="A3740" s="0" t="s">
        <v>738</v>
      </c>
      <c r="B3740" s="0" t="s">
        <v>95</v>
      </c>
      <c r="D3740" s="6" t="n">
        <f aca="false">(Sens!C3726+Sens!D3726)/2*Sens!D3739/1000</f>
        <v>12.9359794422418</v>
      </c>
      <c r="E3740" s="6" t="n">
        <f aca="false">(Sens!D3726+Sens!E3726)/2*Sens!E3739/1000</f>
        <v>27.8095064661409</v>
      </c>
      <c r="F3740" s="6" t="n">
        <f aca="false">(Sens!E3726+Sens!F3726)/2*Sens!F3739/1000</f>
        <v>58.7324192305018</v>
      </c>
      <c r="G3740" s="6" t="n">
        <f aca="false">(Sens!F3726+Sens!G3726)/2*Sens!G3739/1000</f>
        <v>101.369089141153</v>
      </c>
      <c r="H3740" s="6" t="n">
        <f aca="false">(Sens!G3726+Sens!H3726)/2*Sens!H3739/1000</f>
        <v>149.785610014234</v>
      </c>
      <c r="I3740" s="6" t="n">
        <f aca="false">(Sens!H3726+Sens!I3726)/2*Sens!I3739/1000</f>
        <v>192.439389583079</v>
      </c>
      <c r="J3740" s="6" t="n">
        <f aca="false">(Sens!I3726+Sens!J3726)/2*Sens!J3739/1000</f>
        <v>235.195906491722</v>
      </c>
      <c r="K3740" s="6" t="n">
        <f aca="false">(Sens!J3726+Sens!K3726)/2*Sens!K3739/1000</f>
        <v>278.012858836343</v>
      </c>
      <c r="L3740" s="11" t="s">
        <v>739</v>
      </c>
    </row>
    <row r="3741" customFormat="false" ht="17.15" hidden="false" customHeight="false" outlineLevel="0" collapsed="false">
      <c r="A3741" s="1" t="s">
        <v>740</v>
      </c>
      <c r="B3741" s="0" t="s">
        <v>291</v>
      </c>
      <c r="C3741" s="18" t="n">
        <f aca="false">(Sens!C3733*tk_opex_h100+Sens!C3734*tk_opex_gb200+Sens!C3735*tk_opex_gb300+Sens!C3736*tk_opex_vr200)/Sens!C3726</f>
        <v>1.88636041306092</v>
      </c>
      <c r="D3741" s="18" t="n">
        <f aca="false">(Sens!D3733*tk_opex_h100+Sens!D3734*tk_opex_gb200+Sens!D3735*tk_opex_gb300+Sens!D3736*tk_opex_vr200)/Sens!D3726</f>
        <v>1.88636041306092</v>
      </c>
      <c r="E3741" s="18" t="n">
        <f aca="false">(Sens!E3733*tk_opex_h100+Sens!E3734*tk_opex_gb200+Sens!E3735*tk_opex_gb300+Sens!E3736*tk_opex_vr200)/Sens!E3726</f>
        <v>1.88636041306092</v>
      </c>
      <c r="F3741" s="18" t="n">
        <f aca="false">(Sens!F3733*tk_opex_h100+Sens!F3734*tk_opex_gb200+Sens!F3735*tk_opex_gb300+Sens!F3736*tk_opex_vr200)/Sens!F3726</f>
        <v>1.9430236476499</v>
      </c>
      <c r="G3741" s="18" t="n">
        <f aca="false">(Sens!G3733*tk_opex_h100+Sens!G3734*tk_opex_gb200+Sens!G3735*tk_opex_gb300+Sens!G3736*tk_opex_vr200)/Sens!G3726</f>
        <v>1.9786941852423</v>
      </c>
      <c r="H3741" s="18" t="n">
        <f aca="false">(Sens!H3733*tk_opex_h100+Sens!H3734*tk_opex_gb200+Sens!H3735*tk_opex_gb300+Sens!H3736*tk_opex_vr200)/Sens!H3726</f>
        <v>2.00289275976156</v>
      </c>
      <c r="I3741" s="18" t="n">
        <f aca="false">(Sens!I3733*tk_opex_h100+Sens!I3734*tk_opex_gb200+Sens!I3735*tk_opex_gb300+Sens!I3736*tk_opex_vr200)/Sens!I3726</f>
        <v>2.01793562605478</v>
      </c>
      <c r="J3741" s="18" t="n">
        <f aca="false">(Sens!J3733*tk_opex_h100+Sens!J3734*tk_opex_gb200+Sens!J3735*tk_opex_gb300+Sens!J3736*tk_opex_vr200)/Sens!J3726</f>
        <v>2.02819234961902</v>
      </c>
      <c r="K3741" s="18" t="n">
        <f aca="false">(Sens!K3733*tk_opex_h100+Sens!K3734*tk_opex_gb200+Sens!K3735*tk_opex_gb300+Sens!K3736*tk_opex_vr200)/Sens!K3726</f>
        <v>2.0356336155994</v>
      </c>
    </row>
    <row r="3742" customFormat="false" ht="17.15" hidden="false" customHeight="false" outlineLevel="0" collapsed="false">
      <c r="A3742" s="0" t="s">
        <v>741</v>
      </c>
      <c r="B3742" s="0" t="s">
        <v>95</v>
      </c>
      <c r="D3742" s="6" t="n">
        <f aca="false">(Sens!C3729+Sens!D3729)/2*Sens!D3741/1000</f>
        <v>2.70378325872065</v>
      </c>
      <c r="E3742" s="6" t="n">
        <f aca="false">(Sens!D3729+Sens!E3729)/2*Sens!E3741/1000</f>
        <v>6.17783035277451</v>
      </c>
      <c r="F3742" s="6" t="n">
        <f aca="false">(Sens!E3729+Sens!F3729)/2*Sens!F3741/1000</f>
        <v>12.5020618235287</v>
      </c>
      <c r="G3742" s="6" t="n">
        <f aca="false">(Sens!F3729+Sens!G3729)/2*Sens!G3741/1000</f>
        <v>20.7261620256847</v>
      </c>
      <c r="H3742" s="6" t="n">
        <f aca="false">(Sens!G3729+Sens!H3729)/2*Sens!H3741/1000</f>
        <v>29.4158183316982</v>
      </c>
      <c r="I3742" s="6" t="n">
        <f aca="false">(Sens!H3729+Sens!I3729)/2*Sens!I3741/1000</f>
        <v>38.1362927516005</v>
      </c>
      <c r="J3742" s="6" t="n">
        <f aca="false">(Sens!I3729+Sens!J3729)/2*Sens!J3741/1000</f>
        <v>46.8728773279286</v>
      </c>
      <c r="K3742" s="6" t="n">
        <f aca="false">(Sens!J3729+Sens!K3729)/2*Sens!K3741/1000</f>
        <v>55.618938734484</v>
      </c>
    </row>
    <row r="3743" customFormat="false" ht="17.15" hidden="false" customHeight="false" outlineLevel="0" collapsed="false">
      <c r="A3743" s="0" t="s">
        <v>742</v>
      </c>
      <c r="B3743" s="0" t="s">
        <v>95</v>
      </c>
      <c r="D3743" s="6" t="n">
        <f aca="false">(Sens!C3727+Sens!D3727)/2*rent_mw/1000</f>
        <v>2.44475</v>
      </c>
      <c r="E3743" s="6" t="n">
        <f aca="false">(Sens!D3727+Sens!E3727)/2*rent_mw/1000</f>
        <v>4.22275</v>
      </c>
      <c r="F3743" s="6" t="n">
        <f aca="false">(Sens!E3727+Sens!F3727)/2*rent_mw/1000</f>
        <v>5.80517</v>
      </c>
      <c r="G3743" s="6" t="n">
        <f aca="false">(Sens!F3727+Sens!G3727)/2*rent_mw/1000</f>
        <v>6.72084</v>
      </c>
      <c r="H3743" s="6" t="n">
        <f aca="false">(Sens!G3727+Sens!H3727)/2*rent_mw/1000</f>
        <v>6.72084</v>
      </c>
      <c r="I3743" s="6" t="n">
        <f aca="false">(Sens!H3727+Sens!I3727)/2*rent_mw/1000</f>
        <v>6.72084</v>
      </c>
      <c r="J3743" s="6" t="n">
        <f aca="false">(Sens!I3727+Sens!J3727)/2*rent_mw/1000</f>
        <v>6.72084</v>
      </c>
      <c r="K3743" s="6" t="n">
        <f aca="false">(Sens!J3727+Sens!K3727)/2*rent_mw/1000</f>
        <v>6.72084</v>
      </c>
    </row>
    <row r="3744" customFormat="false" ht="17.15" hidden="false" customHeight="false" outlineLevel="0" collapsed="false">
      <c r="A3744" s="0" t="s">
        <v>743</v>
      </c>
      <c r="B3744" s="0" t="s">
        <v>95</v>
      </c>
      <c r="D3744" s="6" t="n">
        <f aca="false">(Sens!C3729+Sens!D3729)/2*(1-self_build)*fac_rent/1000</f>
        <v>0.853242375631075</v>
      </c>
      <c r="E3744" s="6" t="n">
        <f aca="false">(Sens!D3729+Sens!E3729)/2*(1-self_build)*fac_rent/1000</f>
        <v>1.94955961408728</v>
      </c>
      <c r="F3744" s="6" t="n">
        <f aca="false">(Sens!E3729+Sens!F3729)/2*(1-self_build)*fac_rent/1000</f>
        <v>3.83026455274573</v>
      </c>
      <c r="G3744" s="6" t="n">
        <f aca="false">(Sens!F3729+Sens!G3729)/2*(1-self_build)*fac_rent/1000</f>
        <v>6.23541590972812</v>
      </c>
      <c r="H3744" s="6" t="n">
        <f aca="false">(Sens!G3729+Sens!H3729)/2*(1-self_build)*fac_rent/1000</f>
        <v>8.74275792332679</v>
      </c>
      <c r="I3744" s="6" t="n">
        <f aca="false">(Sens!H3729+Sens!I3729)/2*(1-self_build)*fac_rent/1000</f>
        <v>11.2500999369255</v>
      </c>
      <c r="J3744" s="6" t="n">
        <f aca="false">(Sens!I3729+Sens!J3729)/2*(1-self_build)*fac_rent/1000</f>
        <v>13.7574419505241</v>
      </c>
      <c r="K3744" s="6" t="n">
        <f aca="false">(Sens!J3729+Sens!K3729)/2*(1-self_build)*fac_rent/1000</f>
        <v>16.2647839641228</v>
      </c>
      <c r="L3744" s="11" t="s">
        <v>744</v>
      </c>
    </row>
    <row r="3745" customFormat="false" ht="17.15" hidden="false" customHeight="false" outlineLevel="0" collapsed="false">
      <c r="A3745" s="1" t="s">
        <v>745</v>
      </c>
      <c r="B3745" s="0" t="s">
        <v>126</v>
      </c>
      <c r="D3745" s="7" t="n">
        <f aca="false">(Sens!C3728+Sens!D3728)/(Sens!C3729+Sens!D3729)</f>
        <v>0.6</v>
      </c>
      <c r="E3745" s="7" t="n">
        <f aca="false">(Sens!D3728+Sens!E3728)/(Sens!D3729+Sens!E3729)</f>
        <v>0.6</v>
      </c>
      <c r="F3745" s="7" t="n">
        <f aca="false">(Sens!E3728+Sens!F3728)/(Sens!E3729+Sens!F3729)</f>
        <v>0.6</v>
      </c>
      <c r="G3745" s="7" t="n">
        <f aca="false">(Sens!F3728+Sens!G3728)/(Sens!F3729+Sens!G3729)</f>
        <v>0.6</v>
      </c>
      <c r="H3745" s="7" t="n">
        <f aca="false">(Sens!G3728+Sens!H3728)/(Sens!G3729+Sens!H3729)</f>
        <v>0.6</v>
      </c>
      <c r="I3745" s="7" t="n">
        <f aca="false">(Sens!H3728+Sens!I3728)/(Sens!H3729+Sens!I3729)</f>
        <v>0.6</v>
      </c>
      <c r="J3745" s="7" t="n">
        <f aca="false">(Sens!I3728+Sens!J3728)/(Sens!I3729+Sens!J3729)</f>
        <v>0.6</v>
      </c>
      <c r="K3745" s="7" t="n">
        <f aca="false">(Sens!J3728+Sens!K3728)/(Sens!J3729+Sens!K3729)</f>
        <v>0.6</v>
      </c>
    </row>
    <row r="3746" customFormat="false" ht="17.15" hidden="false" customHeight="false" outlineLevel="0" collapsed="false">
      <c r="A3746" s="0" t="s">
        <v>746</v>
      </c>
      <c r="B3746" s="0" t="s">
        <v>95</v>
      </c>
      <c r="D3746" s="6" t="n">
        <f aca="false">Sens!D3740-Sens!D3745*(Sens!D3742+Sens!D3744)-Sens!D3743</f>
        <v>8.35701406163072</v>
      </c>
      <c r="E3746" s="6" t="n">
        <f aca="false">Sens!E3740-Sens!E3745*(Sens!E3742+Sens!E3744)-Sens!E3743</f>
        <v>18.7103224860238</v>
      </c>
      <c r="F3746" s="6" t="n">
        <f aca="false">Sens!F3740-Sens!F3745*(Sens!F3742+Sens!F3744)-Sens!F3743</f>
        <v>43.1278534047371</v>
      </c>
      <c r="G3746" s="6" t="n">
        <f aca="false">Sens!G3740-Sens!G3745*(Sens!G3742+Sens!G3744)-Sens!G3743</f>
        <v>78.4713023799053</v>
      </c>
      <c r="H3746" s="6" t="n">
        <f aca="false">Sens!H3740-Sens!H3745*(Sens!H3742+Sens!H3744)-Sens!H3743</f>
        <v>120.169624261219</v>
      </c>
      <c r="I3746" s="6" t="n">
        <f aca="false">Sens!I3740-Sens!I3745*(Sens!I3742+Sens!I3744)-Sens!I3743</f>
        <v>156.086713969963</v>
      </c>
      <c r="J3746" s="6" t="n">
        <f aca="false">Sens!J3740-Sens!J3745*(Sens!J3742+Sens!J3744)-Sens!J3743</f>
        <v>192.09687492465</v>
      </c>
      <c r="K3746" s="6" t="n">
        <f aca="false">Sens!K3740-Sens!K3745*(Sens!K3742+Sens!K3744)-Sens!K3743</f>
        <v>228.161785217179</v>
      </c>
    </row>
    <row r="3747" customFormat="false" ht="17.15" hidden="false" customHeight="false" outlineLevel="0" collapsed="false">
      <c r="A3747" s="1" t="s">
        <v>747</v>
      </c>
      <c r="B3747" s="0" t="s">
        <v>95</v>
      </c>
      <c r="D3747" s="6" t="n">
        <f aca="false">(1-Sens!D3745)*(Sens!D3742+Sens!D3744)</f>
        <v>1.42281025374069</v>
      </c>
      <c r="E3747" s="6" t="n">
        <f aca="false">(1-Sens!E3745)*(Sens!E3742+Sens!E3744)</f>
        <v>3.25095598674472</v>
      </c>
      <c r="F3747" s="6" t="n">
        <f aca="false">(1-Sens!F3745)*(Sens!F3742+Sens!F3744)</f>
        <v>6.53293055050977</v>
      </c>
      <c r="G3747" s="6" t="n">
        <f aca="false">(1-Sens!G3745)*(Sens!G3742+Sens!G3744)</f>
        <v>10.7846311741651</v>
      </c>
      <c r="H3747" s="6" t="n">
        <f aca="false">(1-Sens!H3745)*(Sens!H3742+Sens!H3744)</f>
        <v>15.26343050201</v>
      </c>
      <c r="I3747" s="6" t="n">
        <f aca="false">(1-Sens!I3745)*(Sens!I3742+Sens!I3744)</f>
        <v>19.7545570754104</v>
      </c>
      <c r="J3747" s="6" t="n">
        <f aca="false">(1-Sens!J3745)*(Sens!J3742+Sens!J3744)</f>
        <v>24.2521277113811</v>
      </c>
      <c r="K3747" s="6" t="n">
        <f aca="false">(1-Sens!K3745)*(Sens!K3742+Sens!K3744)</f>
        <v>28.7534890794427</v>
      </c>
    </row>
    <row r="3748" customFormat="false" ht="17.15" hidden="false" customHeight="false" outlineLevel="0" collapsed="false">
      <c r="A3748" s="1" t="s">
        <v>748</v>
      </c>
      <c r="B3748" s="0" t="s">
        <v>302</v>
      </c>
      <c r="C3748" s="8" t="n">
        <f aca="false">cxit_open</f>
        <v>27.5918995</v>
      </c>
      <c r="D3748" s="8" t="n">
        <f aca="false">cxit_open</f>
        <v>27.5918995</v>
      </c>
      <c r="E3748" s="8" t="n">
        <f aca="false">cxit_open</f>
        <v>27.5918995</v>
      </c>
      <c r="F3748" s="8" t="n">
        <f aca="false">(a_g3_27*tk_cxit_gb300+(1-a_g3_27)*tk_cxit_vr200)</f>
        <v>33.8419624</v>
      </c>
      <c r="G3748" s="8" t="n">
        <f aca="false">(a_g3_28*tk_cxit_gb300+(1-a_g3_28)*tk_cxit_vr200)</f>
        <v>35.9816136</v>
      </c>
      <c r="H3748" s="8" t="n">
        <f aca="false">(a_g3_29*tk_cxit_gb300+(1-a_g3_29)*tk_cxit_vr200)</f>
        <v>37.0514392</v>
      </c>
      <c r="I3748" s="8" t="n">
        <f aca="false">(a_g3_29*tk_cxit_gb300+(1-a_g3_29)*tk_cxit_vr200)</f>
        <v>37.0514392</v>
      </c>
      <c r="J3748" s="8" t="n">
        <f aca="false">(a_g3_29*tk_cxit_gb300+(1-a_g3_29)*tk_cxit_vr200)</f>
        <v>37.0514392</v>
      </c>
      <c r="K3748" s="8" t="n">
        <f aca="false">(a_g3_29*tk_cxit_gb300+(1-a_g3_29)*tk_cxit_vr200)</f>
        <v>37.0514392</v>
      </c>
      <c r="L3748" s="11" t="s">
        <v>749</v>
      </c>
    </row>
    <row r="3749" customFormat="false" ht="17.15" hidden="false" customHeight="false" outlineLevel="0" collapsed="false">
      <c r="A3749" s="0" t="s">
        <v>750</v>
      </c>
      <c r="B3749" s="0" t="s">
        <v>340</v>
      </c>
      <c r="F3749" s="27" t="n">
        <f aca="false">Sens!C3731*IF(3=life_it_hi,1,0)+Sens!D3731*IF(2=life_it_hi,1,0)+Sens!E3731*IF(1=life_it_hi,1,0)</f>
        <v>0</v>
      </c>
      <c r="G3749" s="27" t="n">
        <f aca="false">Sens!C3731*IF(4=life_it_hi,1,0)+Sens!D3731*IF(3=life_it_hi,1,0)+Sens!E3731*IF(2=life_it_hi,1,0)+Sens!F3731*IF(1=life_it_hi,1,0)</f>
        <v>0</v>
      </c>
      <c r="H3749" s="27" t="n">
        <f aca="false">Sens!C3731*IF(5=life_it_hi,1,0)+Sens!D3731*IF(4=life_it_hi,1,0)+Sens!E3731*IF(3=life_it_hi,1,0)+Sens!F3731*IF(2=life_it_hi,1,0)+Sens!G3731*IF(1=life_it_hi,1,0)</f>
        <v>0</v>
      </c>
      <c r="I3749" s="27" t="n">
        <f aca="false">Sens!C3731*IF(6=life_it_hi,1,0)+Sens!D3731*IF(5=life_it_hi,1,0)+Sens!E3731*IF(4=life_it_hi,1,0)+Sens!F3731*IF(3=life_it_hi,1,0)+Sens!G3731*IF(2=life_it_hi,1,0)+Sens!H3731*IF(1=life_it_hi,1,0)</f>
        <v>0</v>
      </c>
      <c r="J3749" s="27" t="n">
        <f aca="false">Sens!C3731*IF(7=life_it_hi,1,0)+Sens!D3731*IF(6=life_it_hi,1,0)+Sens!E3731*IF(5=life_it_hi,1,0)+Sens!F3731*IF(4=life_it_hi,1,0)+Sens!G3731*IF(3=life_it_hi,1,0)+Sens!H3731*IF(2=life_it_hi,1,0)+Sens!I3731*IF(1=life_it_hi,1,0)</f>
        <v>816.666666666667</v>
      </c>
      <c r="K3749" s="27" t="n">
        <f aca="false">Sens!C3731*IF(8=life_it_hi,1,0)+Sens!D3731*IF(7=life_it_hi,1,0)+Sens!E3731*IF(6=life_it_hi,1,0)+Sens!F3731*IF(5=life_it_hi,1,0)+Sens!G3731*IF(4=life_it_hi,1,0)+Sens!H3731*IF(3=life_it_hi,1,0)+Sens!I3731*IF(2=life_it_hi,1,0)+Sens!J3731*IF(1=life_it_hi,1,0)</f>
        <v>1233.33333333333</v>
      </c>
      <c r="L3749" s="1" t="s">
        <v>751</v>
      </c>
    </row>
    <row r="3750" customFormat="false" ht="17.15" hidden="false" customHeight="false" outlineLevel="0" collapsed="false">
      <c r="A3750" s="0" t="s">
        <v>752</v>
      </c>
      <c r="B3750" s="0" t="s">
        <v>95</v>
      </c>
      <c r="C3750" s="6" t="n">
        <f aca="false">Sens!C3731*Sens!C3748/1000</f>
        <v>22.5333845916667</v>
      </c>
      <c r="D3750" s="6" t="n">
        <f aca="false">Sens!D3731*Sens!D3748/1000</f>
        <v>34.0300093833333</v>
      </c>
      <c r="E3750" s="6" t="n">
        <f aca="false">Sens!E3731*Sens!E3748/1000</f>
        <v>67.600153775</v>
      </c>
      <c r="F3750" s="6" t="n">
        <f aca="false">(Sens!F3731+Sens!F3749)*Sens!F3748/1000</f>
        <v>130.923271871467</v>
      </c>
      <c r="G3750" s="6" t="n">
        <f aca="false">(Sens!G3731+Sens!G3749)*Sens!G3748/1000</f>
        <v>151.5545564832</v>
      </c>
      <c r="H3750" s="6" t="n">
        <f aca="false">(Sens!H3731+Sens!H3749)*Sens!H3748/1000</f>
        <v>156.0606619104</v>
      </c>
      <c r="I3750" s="6" t="n">
        <f aca="false">(Sens!I3731+Sens!I3749)*Sens!I3748/1000</f>
        <v>156.0606619104</v>
      </c>
      <c r="J3750" s="6" t="n">
        <f aca="false">(Sens!J3731+Sens!J3749)*Sens!J3748/1000</f>
        <v>186.319337257067</v>
      </c>
      <c r="K3750" s="6" t="n">
        <f aca="false">(Sens!K3731+Sens!K3749)*Sens!K3748/1000</f>
        <v>201.757436923733</v>
      </c>
    </row>
    <row r="3751" customFormat="false" ht="17.15" hidden="false" customHeight="false" outlineLevel="0" collapsed="false">
      <c r="A3751" s="0" t="s">
        <v>753</v>
      </c>
      <c r="B3751" s="0" t="s">
        <v>95</v>
      </c>
      <c r="C3751" s="6" t="n">
        <f aca="false">Sens!C3731*self_build*tk_cxfac/1000</f>
        <v>6.2083</v>
      </c>
      <c r="D3751" s="6" t="n">
        <f aca="false">Sens!D3731*self_build*tk_cxfac/1000</f>
        <v>9.3758</v>
      </c>
      <c r="E3751" s="6" t="n">
        <f aca="false">Sens!E3731*self_build*tk_cxfac/1000</f>
        <v>18.6249</v>
      </c>
      <c r="F3751" s="6" t="n">
        <f aca="false">Sens!F3731*self_build*tk_cxfac/1000</f>
        <v>29.409604</v>
      </c>
      <c r="G3751" s="6" t="n">
        <f aca="false">Sens!G3731*self_build*tk_cxfac/1000</f>
        <v>32.019624</v>
      </c>
      <c r="H3751" s="6" t="n">
        <f aca="false">Sens!H3731*self_build*tk_cxfac/1000</f>
        <v>32.019624</v>
      </c>
      <c r="I3751" s="6" t="n">
        <f aca="false">Sens!I3731*self_build*tk_cxfac/1000</f>
        <v>32.019624</v>
      </c>
      <c r="J3751" s="6" t="n">
        <f aca="false">Sens!J3731*self_build*tk_cxfac/1000</f>
        <v>32.019624</v>
      </c>
      <c r="K3751" s="6" t="n">
        <f aca="false">Sens!K3731*self_build*tk_cxfac/1000</f>
        <v>32.019624</v>
      </c>
    </row>
    <row r="3752" customFormat="false" ht="17.15" hidden="false" customHeight="false" outlineLevel="0" collapsed="false">
      <c r="A3752" s="0" t="s">
        <v>754</v>
      </c>
      <c r="B3752" s="0" t="s">
        <v>95</v>
      </c>
      <c r="F3752" s="6" t="n">
        <f aca="false">MAX(0,capex_floor27-Sens!F3750-Sens!F3751-Sens!F3839)</f>
        <v>8.13777689897088</v>
      </c>
      <c r="G3752" s="6" t="n">
        <f aca="false">0</f>
        <v>0</v>
      </c>
      <c r="H3752" s="6" t="n">
        <f aca="false">0</f>
        <v>0</v>
      </c>
      <c r="I3752" s="6" t="n">
        <f aca="false">0</f>
        <v>0</v>
      </c>
      <c r="J3752" s="6" t="n">
        <f aca="false">0</f>
        <v>0</v>
      </c>
      <c r="K3752" s="6" t="n">
        <f aca="false">0</f>
        <v>0</v>
      </c>
      <c r="L3752" s="1" t="s">
        <v>755</v>
      </c>
    </row>
    <row r="3753" customFormat="false" ht="17.15" hidden="false" customHeight="false" outlineLevel="0" collapsed="false">
      <c r="A3753" s="0" t="s">
        <v>756</v>
      </c>
      <c r="B3753" s="0" t="s">
        <v>95</v>
      </c>
      <c r="C3753" s="6" t="n">
        <f aca="false">Sens!C3750</f>
        <v>22.5333845916667</v>
      </c>
      <c r="D3753" s="6" t="n">
        <f aca="false">Sens!D3750</f>
        <v>34.0300093833333</v>
      </c>
      <c r="E3753" s="6" t="n">
        <f aca="false">Sens!E3750</f>
        <v>67.600153775</v>
      </c>
      <c r="F3753" s="6" t="n">
        <f aca="false">Sens!F3750+Sens!F3752</f>
        <v>139.061048770438</v>
      </c>
      <c r="G3753" s="6" t="n">
        <f aca="false">Sens!G3750+Sens!G3752</f>
        <v>151.5545564832</v>
      </c>
      <c r="H3753" s="6" t="n">
        <f aca="false">Sens!H3750+Sens!H3752</f>
        <v>156.0606619104</v>
      </c>
      <c r="I3753" s="6" t="n">
        <f aca="false">Sens!I3750+Sens!I3752</f>
        <v>156.0606619104</v>
      </c>
      <c r="J3753" s="6" t="n">
        <f aca="false">Sens!J3750+Sens!J3752</f>
        <v>186.319337257067</v>
      </c>
      <c r="K3753" s="6" t="n">
        <f aca="false">Sens!K3750+Sens!K3752</f>
        <v>201.757436923733</v>
      </c>
    </row>
    <row r="3754" customFormat="false" ht="17.15" hidden="false" customHeight="false" outlineLevel="0" collapsed="false">
      <c r="A3754" s="0" t="s">
        <v>757</v>
      </c>
      <c r="B3754" s="0" t="s">
        <v>95</v>
      </c>
      <c r="C3754" s="6" t="n">
        <f aca="false">Sens!C3753+Sens!C3751</f>
        <v>28.7416845916667</v>
      </c>
      <c r="D3754" s="6" t="n">
        <f aca="false">Sens!D3753+Sens!D3751</f>
        <v>43.4058093833333</v>
      </c>
      <c r="E3754" s="6" t="n">
        <f aca="false">Sens!E3753+Sens!E3751</f>
        <v>86.225053775</v>
      </c>
      <c r="F3754" s="6" t="n">
        <f aca="false">Sens!F3753+Sens!F3751</f>
        <v>168.470652770438</v>
      </c>
      <c r="G3754" s="6" t="n">
        <f aca="false">Sens!G3753+Sens!G3751</f>
        <v>183.5741804832</v>
      </c>
      <c r="H3754" s="6" t="n">
        <f aca="false">Sens!H3753+Sens!H3751</f>
        <v>188.0802859104</v>
      </c>
      <c r="I3754" s="6" t="n">
        <f aca="false">Sens!I3753+Sens!I3751</f>
        <v>188.0802859104</v>
      </c>
      <c r="J3754" s="6" t="n">
        <f aca="false">Sens!J3753+Sens!J3751</f>
        <v>218.338961257067</v>
      </c>
      <c r="K3754" s="6" t="n">
        <f aca="false">Sens!K3753+Sens!K3751</f>
        <v>233.777060923733</v>
      </c>
      <c r="L3754" s="11" t="s">
        <v>758</v>
      </c>
    </row>
    <row r="3755" customFormat="false" ht="17.15" hidden="false" customHeight="false" outlineLevel="0" collapsed="false">
      <c r="A3755" s="0" t="s">
        <v>759</v>
      </c>
      <c r="B3755" s="0" t="s">
        <v>95</v>
      </c>
      <c r="E3755" s="6" t="n">
        <f aca="false">(Sens!C3753*IF(2&lt;life_it_hi,1,IF(2=life_it_hi,0.5,0))+Sens!D3753*IF(1&lt;life_it_hi,1,IF(1=life_it_hi,0.5,0))+Sens!E3753*0.5)/life_it_hi</f>
        <v>12.9090672660714</v>
      </c>
      <c r="F3755" s="6" t="n">
        <f aca="false">(Sens!C3753*IF(3&lt;life_it_hi,1,IF(3=life_it_hi,0.5,0))+Sens!D3753*IF(2&lt;life_it_hi,1,IF(2=life_it_hi,0.5,0))+Sens!E3753*IF(1&lt;life_it_hi,1,IF(1=life_it_hi,0.5,0))+Sens!F3753*0.5)/life_it_hi</f>
        <v>27.6705817336027</v>
      </c>
      <c r="G3755" s="6" t="n">
        <f aca="false">(Sens!C3753*IF(4&lt;life_it_hi,1,IF(4=life_it_hi,0.5,0))+Sens!D3753*IF(3&lt;life_it_hi,1,IF(3=life_it_hi,0.5,0))+Sens!E3753*IF(2&lt;life_it_hi,1,IF(2=life_it_hi,0.5,0))+Sens!F3753*IF(1&lt;life_it_hi,1,IF(1=life_it_hi,0.5,0))+Sens!G3753*0.5)/life_it_hi</f>
        <v>48.4288392517197</v>
      </c>
      <c r="H3755" s="6" t="n">
        <f aca="false">(Sens!C3753*IF(5&lt;life_it_hi,1,IF(5=life_it_hi,0.5,0))+Sens!D3753*IF(4&lt;life_it_hi,1,IF(4=life_it_hi,0.5,0))+Sens!E3753*IF(3&lt;life_it_hi,1,IF(3=life_it_hi,0.5,0))+Sens!F3753*IF(2&lt;life_it_hi,1,IF(2=life_it_hi,0.5,0))+Sens!G3753*IF(1&lt;life_it_hi,1,IF(1=life_it_hi,0.5,0))+Sens!H3753*0.5)/life_it_hi</f>
        <v>70.4013548512625</v>
      </c>
      <c r="I3755" s="6" t="n">
        <f aca="false">(Sens!C3753*IF(6&lt;life_it_hi,1,IF(6=life_it_hi,0.5,0))+Sens!D3753*IF(5&lt;life_it_hi,1,IF(5=life_it_hi,0.5,0))+Sens!E3753*IF(4&lt;life_it_hi,1,IF(4=life_it_hi,0.5,0))+Sens!F3753*IF(3&lt;life_it_hi,1,IF(3=life_it_hi,0.5,0))+Sens!G3753*IF(2&lt;life_it_hi,1,IF(2=life_it_hi,0.5,0))+Sens!H3753*IF(1&lt;life_it_hi,1,IF(1=life_it_hi,0.5,0))+Sens!I3753*0.5)/life_it_hi</f>
        <v>92.6957351241768</v>
      </c>
      <c r="J3755" s="6" t="n">
        <f aca="false">(Sens!C3753*IF(7&lt;life_it_hi,1,IF(7=life_it_hi,0.5,0))+Sens!D3753*IF(6&lt;life_it_hi,1,IF(6=life_it_hi,0.5,0))+Sens!E3753*IF(5&lt;life_it_hi,1,IF(5=life_it_hi,0.5,0))+Sens!F3753*IF(4&lt;life_it_hi,1,IF(4=life_it_hi,0.5,0))+Sens!G3753*IF(3&lt;life_it_hi,1,IF(3=life_it_hi,0.5,0))+Sens!H3753*IF(2&lt;life_it_hi,1,IF(2=life_it_hi,0.5,0))+Sens!I3753*IF(1&lt;life_it_hi,1,IF(1=life_it_hi,0.5,0))+Sens!J3753*0.5)/life_it_hi</f>
        <v>115.541921879591</v>
      </c>
      <c r="K3755" s="6" t="n">
        <f aca="false">(Sens!C3753*IF(8&lt;life_it_hi,1,IF(8=life_it_hi,0.5,0))+Sens!D3753*IF(7&lt;life_it_hi,1,IF(7=life_it_hi,0.5,0))+Sens!E3753*IF(6&lt;life_it_hi,1,IF(6=life_it_hi,0.5,0))+Sens!F3753*IF(5&lt;life_it_hi,1,IF(5=life_it_hi,0.5,0))+Sens!G3753*IF(4&lt;life_it_hi,1,IF(4=life_it_hi,0.5,0))+Sens!H3753*IF(3&lt;life_it_hi,1,IF(3=life_it_hi,0.5,0))+Sens!I3753*IF(2&lt;life_it_hi,1,IF(2=life_it_hi,0.5,0))+Sens!J3753*IF(1&lt;life_it_hi,1,IF(1=life_it_hi,0.5,0))+Sens!K3753*0.5)/life_it_hi</f>
        <v>139.221449037148</v>
      </c>
    </row>
    <row r="3756" customFormat="false" ht="17.15" hidden="false" customHeight="false" outlineLevel="0" collapsed="false">
      <c r="A3756" s="0" t="s">
        <v>760</v>
      </c>
      <c r="B3756" s="0" t="s">
        <v>95</v>
      </c>
      <c r="E3756" s="6" t="n">
        <f aca="false">(Sens!C3751*IF(2&lt;life_fac,1,IF(2=life_fac,0.5,0))+Sens!D3751*IF(1&lt;life_fac,1,IF(1=life_fac,0.5,0))+Sens!E3751*0.5)/life_fac</f>
        <v>1.2448275</v>
      </c>
      <c r="F3756" s="6" t="n">
        <f aca="false">(Sens!C3751*IF(3&lt;life_fac,1,IF(3=life_fac,0.5,0))+Sens!D3751*IF(2&lt;life_fac,1,IF(2=life_fac,0.5,0))+Sens!E3751*IF(1&lt;life_fac,1,IF(1=life_fac,0.5,0))+Sens!F3751*0.5)/life_fac</f>
        <v>2.4456901</v>
      </c>
      <c r="G3756" s="6" t="n">
        <f aca="false">(Sens!C3751*IF(4&lt;life_fac,1,IF(4=life_fac,0.5,0))+Sens!D3751*IF(3&lt;life_fac,1,IF(3=life_fac,0.5,0))+Sens!E3751*IF(2&lt;life_fac,1,IF(2=life_fac,0.5,0))+Sens!F3751*IF(1&lt;life_fac,1,IF(1=life_fac,0.5,0))+Sens!G3751*0.5)/life_fac</f>
        <v>3.9814208</v>
      </c>
      <c r="H3756" s="6" t="n">
        <f aca="false">(Sens!C3751*IF(5&lt;life_fac,1,IF(5=life_fac,0.5,0))+Sens!D3751*IF(4&lt;life_fac,1,IF(4=life_fac,0.5,0))+Sens!E3751*IF(3&lt;life_fac,1,IF(3=life_fac,0.5,0))+Sens!F3751*IF(2&lt;life_fac,1,IF(2=life_fac,0.5,0))+Sens!G3751*IF(1&lt;life_fac,1,IF(1=life_fac,0.5,0))+Sens!H3751*0.5)/life_fac</f>
        <v>5.582402</v>
      </c>
      <c r="I3756" s="6" t="n">
        <f aca="false">(Sens!C3751*IF(6&lt;life_fac,1,IF(6=life_fac,0.5,0))+Sens!D3751*IF(5&lt;life_fac,1,IF(5=life_fac,0.5,0))+Sens!E3751*IF(4&lt;life_fac,1,IF(4=life_fac,0.5,0))+Sens!F3751*IF(3&lt;life_fac,1,IF(3=life_fac,0.5,0))+Sens!G3751*IF(2&lt;life_fac,1,IF(2=life_fac,0.5,0))+Sens!H3751*IF(1&lt;life_fac,1,IF(1=life_fac,0.5,0))+Sens!I3751*0.5)/life_fac</f>
        <v>7.1833832</v>
      </c>
      <c r="J3756" s="6" t="n">
        <f aca="false">(Sens!C3751*IF(7&lt;life_fac,1,IF(7=life_fac,0.5,0))+Sens!D3751*IF(6&lt;life_fac,1,IF(6=life_fac,0.5,0))+Sens!E3751*IF(5&lt;life_fac,1,IF(5=life_fac,0.5,0))+Sens!F3751*IF(4&lt;life_fac,1,IF(4=life_fac,0.5,0))+Sens!G3751*IF(3&lt;life_fac,1,IF(3=life_fac,0.5,0))+Sens!H3751*IF(2&lt;life_fac,1,IF(2=life_fac,0.5,0))+Sens!I3751*IF(1&lt;life_fac,1,IF(1=life_fac,0.5,0))+Sens!J3751*0.5)/life_fac</f>
        <v>8.7843644</v>
      </c>
      <c r="K3756" s="6" t="n">
        <f aca="false">(Sens!C3751*IF(8&lt;life_fac,1,IF(8=life_fac,0.5,0))+Sens!D3751*IF(7&lt;life_fac,1,IF(7=life_fac,0.5,0))+Sens!E3751*IF(6&lt;life_fac,1,IF(6=life_fac,0.5,0))+Sens!F3751*IF(5&lt;life_fac,1,IF(5=life_fac,0.5,0))+Sens!G3751*IF(4&lt;life_fac,1,IF(4=life_fac,0.5,0))+Sens!H3751*IF(3&lt;life_fac,1,IF(3=life_fac,0.5,0))+Sens!I3751*IF(2&lt;life_fac,1,IF(2=life_fac,0.5,0))+Sens!J3751*IF(1&lt;life_fac,1,IF(1=life_fac,0.5,0))+Sens!K3751*0.5)/life_fac</f>
        <v>10.3853456</v>
      </c>
    </row>
    <row r="3757" customFormat="false" ht="17.15" hidden="false" customHeight="false" outlineLevel="0" collapsed="false">
      <c r="A3757" s="0" t="s">
        <v>761</v>
      </c>
      <c r="B3757" s="0" t="s">
        <v>95</v>
      </c>
      <c r="E3757" s="6" t="n">
        <f aca="false">Sens!E3755+Sens!E3756</f>
        <v>14.1538947660714</v>
      </c>
      <c r="F3757" s="6" t="n">
        <f aca="false">Sens!F3755+Sens!F3756</f>
        <v>30.1162718336027</v>
      </c>
      <c r="G3757" s="6" t="n">
        <f aca="false">Sens!G3755+Sens!G3756</f>
        <v>52.4102600517197</v>
      </c>
      <c r="H3757" s="6" t="n">
        <f aca="false">Sens!H3755+Sens!H3756</f>
        <v>75.9837568512625</v>
      </c>
      <c r="I3757" s="6" t="n">
        <f aca="false">Sens!I3755+Sens!I3756</f>
        <v>99.8791183241768</v>
      </c>
      <c r="J3757" s="6" t="n">
        <f aca="false">Sens!J3755+Sens!J3756</f>
        <v>124.326286279591</v>
      </c>
      <c r="K3757" s="6" t="n">
        <f aca="false">Sens!K3755+Sens!K3756</f>
        <v>149.606794637148</v>
      </c>
    </row>
    <row r="3758" customFormat="false" ht="17.15" hidden="false" customHeight="false" outlineLevel="0" collapsed="false">
      <c r="A3758" s="0" t="s">
        <v>762</v>
      </c>
      <c r="B3758" s="0" t="s">
        <v>95</v>
      </c>
      <c r="E3758" s="6" t="n">
        <f aca="false">Sens!E3746-Sens!E3745*Sens!E3757</f>
        <v>10.2179856263809</v>
      </c>
      <c r="F3758" s="6" t="n">
        <f aca="false">Sens!F3746-Sens!F3745*Sens!F3757</f>
        <v>25.0580903045755</v>
      </c>
      <c r="G3758" s="6" t="n">
        <f aca="false">Sens!G3746-Sens!G3745*Sens!G3757</f>
        <v>47.0251463488735</v>
      </c>
      <c r="H3758" s="6" t="n">
        <f aca="false">Sens!H3746-Sens!H3745*Sens!H3757</f>
        <v>74.5793701504614</v>
      </c>
      <c r="I3758" s="6" t="n">
        <f aca="false">Sens!I3746-Sens!I3745*Sens!I3757</f>
        <v>96.1592429754574</v>
      </c>
      <c r="J3758" s="6" t="n">
        <f aca="false">Sens!J3746-Sens!J3745*Sens!J3757</f>
        <v>117.501103156896</v>
      </c>
      <c r="K3758" s="6" t="n">
        <f aca="false">Sens!K3746-Sens!K3745*Sens!K3757</f>
        <v>138.39770843489</v>
      </c>
    </row>
    <row r="3759" customFormat="false" ht="17.15" hidden="false" customHeight="false" outlineLevel="0" collapsed="false">
      <c r="A3759" s="3" t="s">
        <v>1220</v>
      </c>
    </row>
    <row r="3760" customFormat="false" ht="15" hidden="false" customHeight="false" outlineLevel="0" collapsed="false">
      <c r="A3760" s="4" t="s">
        <v>43</v>
      </c>
      <c r="B3760" s="4" t="s">
        <v>63</v>
      </c>
      <c r="C3760" s="19" t="s">
        <v>710</v>
      </c>
      <c r="D3760" s="19" t="s">
        <v>711</v>
      </c>
      <c r="E3760" s="19" t="s">
        <v>712</v>
      </c>
      <c r="F3760" s="19" t="s">
        <v>713</v>
      </c>
      <c r="G3760" s="19" t="s">
        <v>714</v>
      </c>
      <c r="H3760" s="19" t="s">
        <v>715</v>
      </c>
      <c r="I3760" s="19" t="s">
        <v>716</v>
      </c>
      <c r="J3760" s="19" t="s">
        <v>717</v>
      </c>
      <c r="K3760" s="19" t="s">
        <v>718</v>
      </c>
      <c r="L3760" s="4" t="s">
        <v>47</v>
      </c>
    </row>
    <row r="3761" customFormat="false" ht="17.15" hidden="false" customHeight="false" outlineLevel="0" collapsed="false">
      <c r="A3761" s="0" t="s">
        <v>780</v>
      </c>
      <c r="B3761" s="0" t="s">
        <v>95</v>
      </c>
      <c r="D3761" s="6" t="n">
        <f aca="false">Sens!D3740</f>
        <v>12.9359794422418</v>
      </c>
      <c r="E3761" s="6" t="n">
        <f aca="false">Sens!E3740</f>
        <v>27.8095064661409</v>
      </c>
      <c r="F3761" s="6" t="n">
        <f aca="false">Sens!F3740</f>
        <v>58.7324192305018</v>
      </c>
      <c r="G3761" s="6" t="n">
        <f aca="false">Sens!G3740</f>
        <v>101.369089141153</v>
      </c>
      <c r="H3761" s="6" t="n">
        <f aca="false">Sens!H3740</f>
        <v>149.785610014234</v>
      </c>
      <c r="I3761" s="6" t="n">
        <f aca="false">Sens!I3740</f>
        <v>192.439389583079</v>
      </c>
      <c r="J3761" s="6" t="n">
        <f aca="false">Sens!J3740</f>
        <v>235.195906491722</v>
      </c>
      <c r="K3761" s="6" t="n">
        <f aca="false">Sens!K3740</f>
        <v>278.012858836343</v>
      </c>
    </row>
    <row r="3762" customFormat="false" ht="17.15" hidden="false" customHeight="false" outlineLevel="0" collapsed="false">
      <c r="A3762" s="0" t="s">
        <v>781</v>
      </c>
      <c r="B3762" s="0" t="s">
        <v>95</v>
      </c>
      <c r="D3762" s="6" t="n">
        <f aca="false">Q!L6-Sens!D3761</f>
        <v>59.6740205577583</v>
      </c>
      <c r="E3762" s="6" t="n">
        <f aca="false">Q!M6-Sens!E3761</f>
        <v>74.1284935338591</v>
      </c>
      <c r="F3762" s="6" t="n">
        <f aca="false">Sens!E3762*(1+Sens!F3763)</f>
        <v>90.0799497373663</v>
      </c>
      <c r="G3762" s="6" t="n">
        <f aca="false">Sens!F3762*(1+Sens!G3763)</f>
        <v>107.02842520331</v>
      </c>
      <c r="H3762" s="6" t="n">
        <f aca="false">Sens!G3762*(1+Sens!H3763)</f>
        <v>124.271982585636</v>
      </c>
      <c r="I3762" s="6" t="n">
        <f aca="false">Sens!H3762*(1+Sens!I3763)</f>
        <v>140.933702381855</v>
      </c>
      <c r="J3762" s="6" t="n">
        <f aca="false">Sens!I3762*(1+Sens!J3763)</f>
        <v>156.018867314332</v>
      </c>
      <c r="K3762" s="6" t="n">
        <f aca="false">Sens!J3762*(1+Sens!K3763)</f>
        <v>168.500376699478</v>
      </c>
    </row>
    <row r="3763" customFormat="false" ht="15" hidden="false" customHeight="false" outlineLevel="0" collapsed="false">
      <c r="A3763" s="1" t="s">
        <v>782</v>
      </c>
      <c r="B3763" s="0" t="s">
        <v>126</v>
      </c>
      <c r="E3763" s="7" t="n">
        <f aca="false">Sens!E3762/Sens!D3762-1</f>
        <v>0.242223883039864</v>
      </c>
      <c r="F3763" s="7" t="n">
        <f aca="false">Sens!$E$3763+(glt_azo-Sens!$E$3763)*MIN(1,1/n_conv)</f>
        <v>0.215186569199887</v>
      </c>
      <c r="G3763" s="7" t="n">
        <f aca="false">Sens!$E$3763+(glt_azo-Sens!$E$3763)*MIN(1,2/n_conv)</f>
        <v>0.18814925535991</v>
      </c>
      <c r="H3763" s="7" t="n">
        <f aca="false">Sens!$E$3763+(glt_azo-Sens!$E$3763)*MIN(1,3/n_conv)</f>
        <v>0.161111941519932</v>
      </c>
      <c r="I3763" s="7" t="n">
        <f aca="false">Sens!$E$3763+(glt_azo-Sens!$E$3763)*MIN(1,4/n_conv)</f>
        <v>0.134074627679955</v>
      </c>
      <c r="J3763" s="7" t="n">
        <f aca="false">Sens!$E$3763+(glt_azo-Sens!$E$3763)*MIN(1,5/n_conv)</f>
        <v>0.107037313839977</v>
      </c>
      <c r="K3763" s="7" t="n">
        <f aca="false">Sens!$E$3763+(glt_azo-Sens!$E$3763)*MIN(1,6/n_conv)</f>
        <v>0.08</v>
      </c>
    </row>
    <row r="3764" customFormat="false" ht="15" hidden="false" customHeight="false" outlineLevel="0" collapsed="false">
      <c r="A3764" s="0" t="s">
        <v>783</v>
      </c>
      <c r="B3764" s="0" t="s">
        <v>95</v>
      </c>
      <c r="D3764" s="6" t="n">
        <f aca="false">Sens!D3761+Sens!D3762</f>
        <v>72.61</v>
      </c>
      <c r="E3764" s="6" t="n">
        <f aca="false">Sens!E3761+Sens!E3762</f>
        <v>101.938</v>
      </c>
      <c r="F3764" s="6" t="n">
        <f aca="false">Sens!F3761+Sens!F3762</f>
        <v>148.812368967868</v>
      </c>
      <c r="G3764" s="6" t="n">
        <f aca="false">Sens!G3761+Sens!G3762</f>
        <v>208.397514344463</v>
      </c>
      <c r="H3764" s="6" t="n">
        <f aca="false">Sens!H3761+Sens!H3762</f>
        <v>274.05759259987</v>
      </c>
      <c r="I3764" s="6" t="n">
        <f aca="false">Sens!I3761+Sens!I3762</f>
        <v>333.373091964934</v>
      </c>
      <c r="J3764" s="6" t="n">
        <f aca="false">Sens!J3761+Sens!J3762</f>
        <v>391.214773806054</v>
      </c>
      <c r="K3764" s="6" t="n">
        <f aca="false">Sens!K3761+Sens!K3762</f>
        <v>446.513235535821</v>
      </c>
    </row>
    <row r="3765" customFormat="false" ht="17.15" hidden="false" customHeight="false" outlineLevel="0" collapsed="false">
      <c r="A3765" s="0" t="s">
        <v>784</v>
      </c>
      <c r="B3765" s="1" t="s">
        <v>451</v>
      </c>
      <c r="C3765" s="27" t="n">
        <f aca="false">cop_s24</f>
        <v>1</v>
      </c>
      <c r="D3765" s="27" t="n">
        <f aca="false">cop_s25</f>
        <v>5</v>
      </c>
      <c r="E3765" s="27" t="n">
        <f aca="false">cop_s26</f>
        <v>30</v>
      </c>
      <c r="F3765" s="27" t="n">
        <f aca="false">Sens!E3765+IF(2027&lt;=2029,cop_add_A,cop_add_A*cop_tail)</f>
        <v>60</v>
      </c>
      <c r="G3765" s="27" t="n">
        <f aca="false">Sens!F3765+IF(2028&lt;=2029,cop_add_A,cop_add_A*cop_tail)</f>
        <v>90</v>
      </c>
      <c r="H3765" s="27" t="n">
        <f aca="false">Sens!G3765+IF(2029&lt;=2029,cop_add_A,cop_add_A*cop_tail)</f>
        <v>120</v>
      </c>
      <c r="I3765" s="27" t="n">
        <f aca="false">Sens!H3765+IF(2030&lt;=2029,cop_add_A,cop_add_A*cop_tail)</f>
        <v>135</v>
      </c>
      <c r="J3765" s="27" t="n">
        <f aca="false">Sens!I3765+IF(2031&lt;=2029,cop_add_A,cop_add_A*cop_tail)</f>
        <v>150</v>
      </c>
      <c r="K3765" s="27" t="n">
        <f aca="false">Sens!J3765+IF(2032&lt;=2029,cop_add_A,cop_add_A*cop_tail)</f>
        <v>165</v>
      </c>
    </row>
    <row r="3766" customFormat="false" ht="17.15" hidden="false" customHeight="false" outlineLevel="0" collapsed="false">
      <c r="A3766" s="0" t="s">
        <v>785</v>
      </c>
      <c r="B3766" s="0" t="s">
        <v>95</v>
      </c>
      <c r="D3766" s="6" t="n">
        <f aca="false">(Sens!C3765+Sens!D3765)/2*cop_px*12/1000</f>
        <v>0.9</v>
      </c>
      <c r="E3766" s="6" t="n">
        <f aca="false">(Sens!D3765+Sens!E3765)/2*cop_px*12/1000</f>
        <v>5.25</v>
      </c>
      <c r="F3766" s="6" t="n">
        <f aca="false">(Sens!E3765+Sens!F3765)/2*cop_px*12/1000</f>
        <v>13.5</v>
      </c>
      <c r="G3766" s="6" t="n">
        <f aca="false">(Sens!F3765+Sens!G3765)/2*cop_px*12/1000</f>
        <v>22.5</v>
      </c>
      <c r="H3766" s="6" t="n">
        <f aca="false">(Sens!G3765+Sens!H3765)/2*cop_px*12/1000</f>
        <v>31.5</v>
      </c>
      <c r="I3766" s="6" t="n">
        <f aca="false">(Sens!H3765+Sens!I3765)/2*cop_px*12/1000</f>
        <v>38.25</v>
      </c>
      <c r="J3766" s="6" t="n">
        <f aca="false">(Sens!I3765+Sens!J3765)/2*cop_px*12/1000</f>
        <v>42.75</v>
      </c>
      <c r="K3766" s="6" t="n">
        <f aca="false">(Sens!J3765+Sens!K3765)/2*cop_px*12/1000</f>
        <v>47.25</v>
      </c>
      <c r="L3766" s="1" t="s">
        <v>786</v>
      </c>
    </row>
    <row r="3767" customFormat="false" ht="17.15" hidden="false" customHeight="false" outlineLevel="0" collapsed="false">
      <c r="A3767" s="0" t="s">
        <v>787</v>
      </c>
      <c r="B3767" s="0" t="s">
        <v>95</v>
      </c>
      <c r="D3767" s="6" t="n">
        <f aca="false">Q!L7-Sens!D3766</f>
        <v>83.705</v>
      </c>
      <c r="E3767" s="6" t="n">
        <f aca="false">Q!M7-Sens!E3766</f>
        <v>95.049</v>
      </c>
      <c r="F3767" s="6" t="n">
        <f aca="false">Sens!E3767*(1+Sens!F3768)</f>
        <v>106.89238776686</v>
      </c>
      <c r="G3767" s="6" t="n">
        <f aca="false">Sens!F3767*(1+Sens!G3768)</f>
        <v>119.044168448684</v>
      </c>
      <c r="H3767" s="6" t="n">
        <f aca="false">Sens!G3767*(1+Sens!H3768)</f>
        <v>131.277359388781</v>
      </c>
      <c r="I3767" s="6" t="n">
        <f aca="false">Sens!H3767*(1+Sens!I3768)</f>
        <v>143.334028071957</v>
      </c>
      <c r="J3767" s="6" t="n">
        <f aca="false">Sens!I3767*(1+Sens!J3768)</f>
        <v>154.932702785465</v>
      </c>
      <c r="K3767" s="6" t="n">
        <f aca="false">Sens!J3767*(1+Sens!K3768)</f>
        <v>165.777991980448</v>
      </c>
    </row>
    <row r="3768" customFormat="false" ht="15" hidden="false" customHeight="false" outlineLevel="0" collapsed="false">
      <c r="A3768" s="1" t="s">
        <v>782</v>
      </c>
      <c r="B3768" s="0" t="s">
        <v>126</v>
      </c>
      <c r="E3768" s="7" t="n">
        <f aca="false">Sens!E3767/Sens!D3767-1</f>
        <v>0.135523564900544</v>
      </c>
      <c r="F3768" s="7" t="n">
        <f aca="false">Sens!$E$3768+(glt_m365b-Sens!$E$3768)*MIN(1,1/n_conv)</f>
        <v>0.124602970750453</v>
      </c>
      <c r="G3768" s="7" t="n">
        <f aca="false">Sens!$E$3768+(glt_m365b-Sens!$E$3768)*MIN(1,2/n_conv)</f>
        <v>0.113682376600363</v>
      </c>
      <c r="H3768" s="7" t="n">
        <f aca="false">Sens!$E$3768+(glt_m365b-Sens!$E$3768)*MIN(1,3/n_conv)</f>
        <v>0.102761782450272</v>
      </c>
      <c r="I3768" s="7" t="n">
        <f aca="false">Sens!$E$3768+(glt_m365b-Sens!$E$3768)*MIN(1,4/n_conv)</f>
        <v>0.0918411883001813</v>
      </c>
      <c r="J3768" s="7" t="n">
        <f aca="false">Sens!$E$3768+(glt_m365b-Sens!$E$3768)*MIN(1,5/n_conv)</f>
        <v>0.0809205941500906</v>
      </c>
      <c r="K3768" s="7" t="n">
        <f aca="false">Sens!$E$3768+(glt_m365b-Sens!$E$3768)*MIN(1,6/n_conv)</f>
        <v>0.07</v>
      </c>
    </row>
    <row r="3769" customFormat="false" ht="15" hidden="false" customHeight="false" outlineLevel="0" collapsed="false">
      <c r="A3769" s="0" t="s">
        <v>788</v>
      </c>
      <c r="B3769" s="0" t="s">
        <v>95</v>
      </c>
      <c r="D3769" s="6" t="n">
        <f aca="false">Sens!D3767+Sens!D3766</f>
        <v>84.605</v>
      </c>
      <c r="E3769" s="6" t="n">
        <f aca="false">Sens!E3767+Sens!E3766</f>
        <v>100.299</v>
      </c>
      <c r="F3769" s="6" t="n">
        <f aca="false">Sens!F3767+Sens!F3766</f>
        <v>120.39238776686</v>
      </c>
      <c r="G3769" s="6" t="n">
        <f aca="false">Sens!G3767+Sens!G3766</f>
        <v>141.544168448684</v>
      </c>
      <c r="H3769" s="6" t="n">
        <f aca="false">Sens!H3767+Sens!H3766</f>
        <v>162.777359388781</v>
      </c>
      <c r="I3769" s="6" t="n">
        <f aca="false">Sens!I3767+Sens!I3766</f>
        <v>181.584028071957</v>
      </c>
      <c r="J3769" s="6" t="n">
        <f aca="false">Sens!J3767+Sens!J3766</f>
        <v>197.682702785465</v>
      </c>
      <c r="K3769" s="6" t="n">
        <f aca="false">Sens!K3767+Sens!K3766</f>
        <v>213.027991980448</v>
      </c>
    </row>
    <row r="3770" customFormat="false" ht="15" hidden="false" customHeight="false" outlineLevel="0" collapsed="false">
      <c r="A3770" s="0" t="s">
        <v>789</v>
      </c>
      <c r="B3770" s="0" t="s">
        <v>95</v>
      </c>
      <c r="D3770" s="6" t="n">
        <f aca="false">Q!L8</f>
        <v>35.391</v>
      </c>
      <c r="E3770" s="6" t="n">
        <f aca="false">Q!M8</f>
        <v>37.285</v>
      </c>
      <c r="F3770" s="6" t="n">
        <f aca="false">Sens!E3770*(1+Sens!F3771)</f>
        <v>39.0720834331704</v>
      </c>
      <c r="G3770" s="6" t="n">
        <f aca="false">Sens!F3770*(1+Sens!G3771)</f>
        <v>40.726562953769</v>
      </c>
      <c r="H3770" s="6" t="n">
        <f aca="false">Sens!G3770*(1+Sens!H3771)</f>
        <v>42.2235987259198</v>
      </c>
      <c r="I3770" s="6" t="n">
        <f aca="false">Sens!H3770*(1+Sens!I3771)</f>
        <v>43.5397988077414</v>
      </c>
      <c r="J3770" s="6" t="n">
        <f aca="false">Sens!I3770*(1+Sens!J3771)</f>
        <v>44.653811225693</v>
      </c>
      <c r="K3770" s="6" t="n">
        <f aca="false">Sens!J3770*(1+Sens!K3771)</f>
        <v>45.5468874502068</v>
      </c>
    </row>
    <row r="3771" customFormat="false" ht="15" hidden="false" customHeight="false" outlineLevel="0" collapsed="false">
      <c r="A3771" s="1" t="s">
        <v>782</v>
      </c>
      <c r="B3771" s="0" t="s">
        <v>126</v>
      </c>
      <c r="E3771" s="7" t="n">
        <f aca="false">Sens!E3770/Sens!D3770-1</f>
        <v>0.0535164307309768</v>
      </c>
      <c r="F3771" s="7" t="n">
        <f aca="false">Sens!$E$3771+(glt_lic-Sens!$E$3771)*MIN(1,1/n_conv)</f>
        <v>0.0479303589424807</v>
      </c>
      <c r="G3771" s="7" t="n">
        <f aca="false">Sens!$E$3771+(glt_lic-Sens!$E$3771)*MIN(1,2/n_conv)</f>
        <v>0.0423442871539845</v>
      </c>
      <c r="H3771" s="7" t="n">
        <f aca="false">Sens!$E$3771+(glt_lic-Sens!$E$3771)*MIN(1,3/n_conv)</f>
        <v>0.0367582153654884</v>
      </c>
      <c r="I3771" s="7" t="n">
        <f aca="false">Sens!$E$3771+(glt_lic-Sens!$E$3771)*MIN(1,4/n_conv)</f>
        <v>0.0311721435769923</v>
      </c>
      <c r="J3771" s="7" t="n">
        <f aca="false">Sens!$E$3771+(glt_lic-Sens!$E$3771)*MIN(1,5/n_conv)</f>
        <v>0.0255860717884961</v>
      </c>
      <c r="K3771" s="7" t="n">
        <f aca="false">Sens!$E$3771+(glt_lic-Sens!$E$3771)*MIN(1,6/n_conv)</f>
        <v>0.02</v>
      </c>
    </row>
    <row r="3772" customFormat="false" ht="15" hidden="false" customHeight="false" outlineLevel="0" collapsed="false">
      <c r="A3772" s="0" t="s">
        <v>790</v>
      </c>
      <c r="B3772" s="0" t="s">
        <v>95</v>
      </c>
      <c r="D3772" s="6" t="n">
        <f aca="false">Q!L9</f>
        <v>18.417</v>
      </c>
      <c r="E3772" s="6" t="n">
        <f aca="false">Q!M9</f>
        <v>20.345</v>
      </c>
      <c r="F3772" s="6" t="n">
        <f aca="false">Sens!E3772*(1+Sens!F3773)</f>
        <v>22.3572203267814</v>
      </c>
      <c r="G3772" s="6" t="n">
        <f aca="false">Sens!F3772*(1+Sens!G3773)</f>
        <v>24.4392124437232</v>
      </c>
      <c r="H3772" s="6" t="n">
        <f aca="false">Sens!G3772*(1+Sens!H3773)</f>
        <v>26.5738052080665</v>
      </c>
      <c r="I3772" s="6" t="n">
        <f aca="false">Sens!H3772*(1+Sens!I3773)</f>
        <v>28.7412169166967</v>
      </c>
      <c r="J3772" s="6" t="n">
        <f aca="false">Sens!I3772*(1+Sens!J3773)</f>
        <v>30.9192545395413</v>
      </c>
      <c r="K3772" s="6" t="n">
        <f aca="false">Sens!J3772*(1+Sens!K3773)</f>
        <v>33.0836023573092</v>
      </c>
    </row>
    <row r="3773" customFormat="false" ht="15" hidden="false" customHeight="false" outlineLevel="0" collapsed="false">
      <c r="A3773" s="1" t="s">
        <v>782</v>
      </c>
      <c r="B3773" s="0" t="s">
        <v>126</v>
      </c>
      <c r="E3773" s="7" t="n">
        <f aca="false">Sens!E3772/Sens!D3772-1</f>
        <v>0.104685888038225</v>
      </c>
      <c r="F3773" s="7" t="n">
        <f aca="false">Sens!$E$3773+(glt_ind-Sens!$E$3773)*MIN(1,1/n_conv)</f>
        <v>0.0989049066985211</v>
      </c>
      <c r="G3773" s="7" t="n">
        <f aca="false">Sens!$E$3773+(glt_ind-Sens!$E$3773)*MIN(1,2/n_conv)</f>
        <v>0.0931239253588169</v>
      </c>
      <c r="H3773" s="7" t="n">
        <f aca="false">Sens!$E$3773+(glt_ind-Sens!$E$3773)*MIN(1,3/n_conv)</f>
        <v>0.0873429440191127</v>
      </c>
      <c r="I3773" s="7" t="n">
        <f aca="false">Sens!$E$3773+(glt_ind-Sens!$E$3773)*MIN(1,4/n_conv)</f>
        <v>0.0815619626794085</v>
      </c>
      <c r="J3773" s="7" t="n">
        <f aca="false">Sens!$E$3773+(glt_ind-Sens!$E$3773)*MIN(1,5/n_conv)</f>
        <v>0.0757809813397042</v>
      </c>
      <c r="K3773" s="7" t="n">
        <f aca="false">Sens!$E$3773+(glt_ind-Sens!$E$3773)*MIN(1,6/n_conv)</f>
        <v>0.07</v>
      </c>
    </row>
    <row r="3774" customFormat="false" ht="15" hidden="false" customHeight="false" outlineLevel="0" collapsed="false">
      <c r="A3774" s="0" t="s">
        <v>791</v>
      </c>
      <c r="B3774" s="0" t="s">
        <v>95</v>
      </c>
      <c r="D3774" s="6" t="n">
        <f aca="false">Q!L10</f>
        <v>7.76</v>
      </c>
      <c r="E3774" s="6" t="n">
        <f aca="false">Q!M10</f>
        <v>8.26</v>
      </c>
      <c r="F3774" s="6" t="n">
        <f aca="false">Sens!E3774*(1+Sens!F3775)</f>
        <v>8.79988041237113</v>
      </c>
      <c r="G3774" s="6" t="n">
        <f aca="false">Sens!F3774*(1+Sens!G3775)</f>
        <v>9.38321269125306</v>
      </c>
      <c r="H3774" s="6" t="n">
        <f aca="false">Sens!G3774*(1+Sens!H3775)</f>
        <v>10.0139193587476</v>
      </c>
      <c r="I3774" s="6" t="n">
        <f aca="false">Sens!H3774*(1+Sens!I3775)</f>
        <v>10.6963111830911</v>
      </c>
      <c r="J3774" s="6" t="n">
        <f aca="false">Sens!I3774*(1+Sens!J3775)</f>
        <v>11.4351285534696</v>
      </c>
      <c r="K3774" s="6" t="n">
        <f aca="false">Sens!J3774*(1+Sens!K3775)</f>
        <v>12.2355875522124</v>
      </c>
    </row>
    <row r="3775" customFormat="false" ht="15" hidden="false" customHeight="false" outlineLevel="0" collapsed="false">
      <c r="A3775" s="1" t="s">
        <v>782</v>
      </c>
      <c r="B3775" s="0" t="s">
        <v>126</v>
      </c>
      <c r="E3775" s="7" t="n">
        <f aca="false">Sens!E3774/Sens!D3774-1</f>
        <v>0.0644329896907216</v>
      </c>
      <c r="F3775" s="7" t="n">
        <f aca="false">Sens!$E$3775+(glt_fro-Sens!$E$3775)*MIN(1,1/n_conv)</f>
        <v>0.065360824742268</v>
      </c>
      <c r="G3775" s="7" t="n">
        <f aca="false">Sens!$E$3775+(glt_fro-Sens!$E$3775)*MIN(1,2/n_conv)</f>
        <v>0.0662886597938144</v>
      </c>
      <c r="H3775" s="7" t="n">
        <f aca="false">Sens!$E$3775+(glt_fro-Sens!$E$3775)*MIN(1,3/n_conv)</f>
        <v>0.0672164948453608</v>
      </c>
      <c r="I3775" s="7" t="n">
        <f aca="false">Sens!$E$3775+(glt_fro-Sens!$E$3775)*MIN(1,4/n_conv)</f>
        <v>0.0681443298969072</v>
      </c>
      <c r="J3775" s="7" t="n">
        <f aca="false">Sens!$E$3775+(glt_fro-Sens!$E$3775)*MIN(1,5/n_conv)</f>
        <v>0.0690721649484536</v>
      </c>
      <c r="K3775" s="7" t="n">
        <f aca="false">Sens!$E$3775+(glt_fro-Sens!$E$3775)*MIN(1,6/n_conv)</f>
        <v>0.07</v>
      </c>
    </row>
    <row r="3776" customFormat="false" ht="15" hidden="false" customHeight="false" outlineLevel="0" collapsed="false">
      <c r="A3776" s="0" t="s">
        <v>626</v>
      </c>
      <c r="B3776" s="0" t="s">
        <v>95</v>
      </c>
      <c r="D3776" s="6" t="n">
        <f aca="false">Sens!D3764+Sens!D3769+Sens!D3770+Sens!D3772+Sens!D3774</f>
        <v>218.783</v>
      </c>
      <c r="E3776" s="6" t="n">
        <f aca="false">Sens!E3764+Sens!E3769+Sens!E3770+Sens!E3772+Sens!E3774</f>
        <v>268.127</v>
      </c>
      <c r="F3776" s="6" t="n">
        <f aca="false">Sens!F3764+Sens!F3769+Sens!F3770+Sens!F3772+Sens!F3774</f>
        <v>339.433940907051</v>
      </c>
      <c r="G3776" s="6" t="n">
        <f aca="false">Sens!G3764+Sens!G3769+Sens!G3770+Sens!G3772+Sens!G3774</f>
        <v>424.490670881892</v>
      </c>
      <c r="H3776" s="6" t="n">
        <f aca="false">Sens!H3764+Sens!H3769+Sens!H3770+Sens!H3772+Sens!H3774</f>
        <v>515.646275281385</v>
      </c>
      <c r="I3776" s="6" t="n">
        <f aca="false">Sens!I3764+Sens!I3769+Sens!I3770+Sens!I3772+Sens!I3774</f>
        <v>597.93444694442</v>
      </c>
      <c r="J3776" s="6" t="n">
        <f aca="false">Sens!J3764+Sens!J3769+Sens!J3770+Sens!J3772+Sens!J3774</f>
        <v>675.905670910223</v>
      </c>
      <c r="K3776" s="6" t="n">
        <f aca="false">Sens!K3764+Sens!K3769+Sens!K3770+Sens!K3772+Sens!K3774</f>
        <v>750.407304875998</v>
      </c>
    </row>
    <row r="3777" customFormat="false" ht="15" hidden="false" customHeight="false" outlineLevel="0" collapsed="false">
      <c r="A3777" s="0" t="s">
        <v>792</v>
      </c>
      <c r="B3777" s="0" t="s">
        <v>95</v>
      </c>
      <c r="D3777" s="6" t="n">
        <f aca="false">Q!L13</f>
        <v>22.171</v>
      </c>
      <c r="E3777" s="6" t="n">
        <f aca="false">Q!M13</f>
        <v>24.835</v>
      </c>
      <c r="F3777" s="6" t="n">
        <f aca="false">Sens!E3777*(1+Sens!F3778)</f>
        <v>27.6114901218559</v>
      </c>
      <c r="G3777" s="6" t="n">
        <f aca="false">Sens!F3777*(1+Sens!G3778)</f>
        <v>30.4675667338515</v>
      </c>
      <c r="H3777" s="6" t="n">
        <f aca="false">Sens!G3777*(1+Sens!H3778)</f>
        <v>33.3643766955789</v>
      </c>
      <c r="I3777" s="6" t="n">
        <f aca="false">Sens!H3777*(1+Sens!I3778)</f>
        <v>36.2577016533691</v>
      </c>
      <c r="J3777" s="6" t="n">
        <f aca="false">Sens!I3777*(1+Sens!J3778)</f>
        <v>39.0988367952171</v>
      </c>
      <c r="K3777" s="6" t="n">
        <f aca="false">Sens!J3777*(1+Sens!K3778)</f>
        <v>41.8357553708823</v>
      </c>
    </row>
    <row r="3778" customFormat="false" ht="15" hidden="false" customHeight="false" outlineLevel="0" collapsed="false">
      <c r="A3778" s="1" t="s">
        <v>782</v>
      </c>
      <c r="B3778" s="0" t="s">
        <v>126</v>
      </c>
      <c r="E3778" s="7" t="n">
        <f aca="false">Sens!E3777/Sens!D3777-1</f>
        <v>0.120156961796942</v>
      </c>
      <c r="F3778" s="7" t="n">
        <f aca="false">Sens!$E$3778+(glt_srch-Sens!$E$3778)*MIN(1,1/n_conv)</f>
        <v>0.111797468164118</v>
      </c>
      <c r="G3778" s="7" t="n">
        <f aca="false">Sens!$E$3778+(glt_srch-Sens!$E$3778)*MIN(1,2/n_conv)</f>
        <v>0.103437974531295</v>
      </c>
      <c r="H3778" s="7" t="n">
        <f aca="false">Sens!$E$3778+(glt_srch-Sens!$E$3778)*MIN(1,3/n_conv)</f>
        <v>0.095078480898471</v>
      </c>
      <c r="I3778" s="7" t="n">
        <f aca="false">Sens!$E$3778+(glt_srch-Sens!$E$3778)*MIN(1,4/n_conv)</f>
        <v>0.0867189872656474</v>
      </c>
      <c r="J3778" s="7" t="n">
        <f aca="false">Sens!$E$3778+(glt_srch-Sens!$E$3778)*MIN(1,5/n_conv)</f>
        <v>0.0783594936328237</v>
      </c>
      <c r="K3778" s="7" t="n">
        <f aca="false">Sens!$E$3778+(glt_srch-Sens!$E$3778)*MIN(1,6/n_conv)</f>
        <v>0.07</v>
      </c>
    </row>
    <row r="3779" customFormat="false" ht="15" hidden="false" customHeight="false" outlineLevel="0" collapsed="false">
      <c r="A3779" s="0" t="s">
        <v>793</v>
      </c>
      <c r="B3779" s="0" t="s">
        <v>95</v>
      </c>
      <c r="D3779" s="6" t="n">
        <f aca="false">Q!L14</f>
        <v>23.455</v>
      </c>
      <c r="E3779" s="6" t="n">
        <f aca="false">Q!M14</f>
        <v>21.79</v>
      </c>
      <c r="F3779" s="6" t="n">
        <f aca="false">Sens!E3779*(1+Sens!F3780)</f>
        <v>20.5736277908051</v>
      </c>
      <c r="G3779" s="6" t="n">
        <f aca="false">Sens!F3779*(1+Sens!G3780)</f>
        <v>19.7371452817919</v>
      </c>
      <c r="H3779" s="6" t="n">
        <f aca="false">Sens!G3779*(1+Sens!H3780)</f>
        <v>19.2339764043138</v>
      </c>
      <c r="I3779" s="6" t="n">
        <f aca="false">Sens!H3779*(1+Sens!I3780)</f>
        <v>19.0353086852681</v>
      </c>
      <c r="J3779" s="6" t="n">
        <f aca="false">Sens!I3779*(1+Sens!J3780)</f>
        <v>19.1273539319129</v>
      </c>
      <c r="K3779" s="6" t="n">
        <f aca="false">Sens!J3779*(1+Sens!K3780)</f>
        <v>19.5099010105511</v>
      </c>
    </row>
    <row r="3780" customFormat="false" ht="15" hidden="false" customHeight="false" outlineLevel="0" collapsed="false">
      <c r="A3780" s="1" t="s">
        <v>782</v>
      </c>
      <c r="B3780" s="0" t="s">
        <v>126</v>
      </c>
      <c r="E3780" s="7" t="n">
        <f aca="false">Sens!E3779/Sens!D3779-1</f>
        <v>-0.0709869963760392</v>
      </c>
      <c r="F3780" s="7" t="n">
        <f aca="false">Sens!$E$3780+(glt_xbox-Sens!$E$3780)*MIN(1,1/n_conv)</f>
        <v>-0.0558224969800327</v>
      </c>
      <c r="G3780" s="7" t="n">
        <f aca="false">Sens!$E$3780+(glt_xbox-Sens!$E$3780)*MIN(1,2/n_conv)</f>
        <v>-0.0406579975840262</v>
      </c>
      <c r="H3780" s="7" t="n">
        <f aca="false">Sens!$E$3780+(glt_xbox-Sens!$E$3780)*MIN(1,3/n_conv)</f>
        <v>-0.0254934981880196</v>
      </c>
      <c r="I3780" s="7" t="n">
        <f aca="false">Sens!$E$3780+(glt_xbox-Sens!$E$3780)*MIN(1,4/n_conv)</f>
        <v>-0.0103289987920131</v>
      </c>
      <c r="J3780" s="7" t="n">
        <f aca="false">Sens!$E$3780+(glt_xbox-Sens!$E$3780)*MIN(1,5/n_conv)</f>
        <v>0.00483550060399347</v>
      </c>
      <c r="K3780" s="7" t="n">
        <f aca="false">Sens!$E$3780+(glt_xbox-Sens!$E$3780)*MIN(1,6/n_conv)</f>
        <v>0.02</v>
      </c>
    </row>
    <row r="3781" customFormat="false" ht="15" hidden="false" customHeight="false" outlineLevel="0" collapsed="false">
      <c r="A3781" s="0" t="s">
        <v>794</v>
      </c>
      <c r="B3781" s="0" t="s">
        <v>95</v>
      </c>
      <c r="D3781" s="6" t="n">
        <f aca="false">Q!L15</f>
        <v>17.315</v>
      </c>
      <c r="E3781" s="6" t="n">
        <f aca="false">Q!M15</f>
        <v>17.087</v>
      </c>
      <c r="F3781" s="6" t="n">
        <f aca="false">Sens!E3781*(1+Sens!F3782)</f>
        <v>16.9564585436519</v>
      </c>
      <c r="G3781" s="6" t="n">
        <f aca="false">Sens!F3781*(1+Sens!G3782)</f>
        <v>16.9206490624268</v>
      </c>
      <c r="H3781" s="6" t="n">
        <f aca="false">Sens!G3781*(1+Sens!H3782)</f>
        <v>16.9784519149849</v>
      </c>
      <c r="I3781" s="6" t="n">
        <f aca="false">Sens!H3781*(1+Sens!I3782)</f>
        <v>17.1303084701817</v>
      </c>
      <c r="J3781" s="6" t="n">
        <f aca="false">Sens!I3781*(1+Sens!J3782)</f>
        <v>17.3782189407267</v>
      </c>
      <c r="K3781" s="6" t="n">
        <f aca="false">Sens!J3781*(1+Sens!K3782)</f>
        <v>17.7257833195413</v>
      </c>
    </row>
    <row r="3782" customFormat="false" ht="15" hidden="false" customHeight="false" outlineLevel="0" collapsed="false">
      <c r="A3782" s="1" t="s">
        <v>782</v>
      </c>
      <c r="B3782" s="0" t="s">
        <v>126</v>
      </c>
      <c r="E3782" s="7" t="n">
        <f aca="false">Sens!E3781/Sens!D3781-1</f>
        <v>-0.0131677736066995</v>
      </c>
      <c r="F3782" s="7" t="n">
        <f aca="false">Sens!$E$3782+(glt_win-Sens!$E$3782)*MIN(1,1/n_conv)</f>
        <v>-0.00763981133891627</v>
      </c>
      <c r="G3782" s="7" t="n">
        <f aca="false">Sens!$E$3782+(glt_win-Sens!$E$3782)*MIN(1,2/n_conv)</f>
        <v>-0.00211184907113301</v>
      </c>
      <c r="H3782" s="7" t="n">
        <f aca="false">Sens!$E$3782+(glt_win-Sens!$E$3782)*MIN(1,3/n_conv)</f>
        <v>0.00341611319665024</v>
      </c>
      <c r="I3782" s="7" t="n">
        <f aca="false">Sens!$E$3782+(glt_win-Sens!$E$3782)*MIN(1,4/n_conv)</f>
        <v>0.00894407546443349</v>
      </c>
      <c r="J3782" s="7" t="n">
        <f aca="false">Sens!$E$3782+(glt_win-Sens!$E$3782)*MIN(1,5/n_conv)</f>
        <v>0.0144720377322168</v>
      </c>
      <c r="K3782" s="7" t="n">
        <f aca="false">Sens!$E$3782+(glt_win-Sens!$E$3782)*MIN(1,6/n_conv)</f>
        <v>0.02</v>
      </c>
    </row>
    <row r="3783" customFormat="false" ht="15" hidden="false" customHeight="false" outlineLevel="0" collapsed="false">
      <c r="A3783" s="0" t="s">
        <v>640</v>
      </c>
      <c r="B3783" s="0" t="s">
        <v>95</v>
      </c>
      <c r="D3783" s="6" t="n">
        <f aca="false">Sens!D3777+Sens!D3779+Sens!D3781</f>
        <v>62.941</v>
      </c>
      <c r="E3783" s="6" t="n">
        <f aca="false">Sens!E3777+Sens!E3779+Sens!E3781</f>
        <v>63.712</v>
      </c>
      <c r="F3783" s="6" t="n">
        <f aca="false">Sens!F3777+Sens!F3779+Sens!F3781</f>
        <v>65.1415764563129</v>
      </c>
      <c r="G3783" s="6" t="n">
        <f aca="false">Sens!G3777+Sens!G3779+Sens!G3781</f>
        <v>67.1253610780702</v>
      </c>
      <c r="H3783" s="6" t="n">
        <f aca="false">Sens!H3777+Sens!H3779+Sens!H3781</f>
        <v>69.5768050148776</v>
      </c>
      <c r="I3783" s="6" t="n">
        <f aca="false">Sens!I3777+Sens!I3779+Sens!I3781</f>
        <v>72.4233188088189</v>
      </c>
      <c r="J3783" s="6" t="n">
        <f aca="false">Sens!J3777+Sens!J3779+Sens!J3781</f>
        <v>75.6044096678567</v>
      </c>
      <c r="K3783" s="6" t="n">
        <f aca="false">Sens!K3777+Sens!K3779+Sens!K3781</f>
        <v>79.0714397009747</v>
      </c>
    </row>
    <row r="3784" customFormat="false" ht="15" hidden="false" customHeight="false" outlineLevel="0" collapsed="false">
      <c r="A3784" s="1" t="s">
        <v>795</v>
      </c>
      <c r="B3784" s="0" t="s">
        <v>95</v>
      </c>
      <c r="D3784" s="6" t="n">
        <f aca="false">Sens!D3776+Sens!D3783</f>
        <v>281.724</v>
      </c>
      <c r="E3784" s="6" t="n">
        <f aca="false">Sens!E3776+Sens!E3783</f>
        <v>331.839</v>
      </c>
      <c r="F3784" s="6" t="n">
        <f aca="false">Sens!F3776+Sens!F3783</f>
        <v>404.575517363364</v>
      </c>
      <c r="G3784" s="6" t="n">
        <f aca="false">Sens!G3776+Sens!G3783</f>
        <v>491.616031959962</v>
      </c>
      <c r="H3784" s="6" t="n">
        <f aca="false">Sens!H3776+Sens!H3783</f>
        <v>585.223080296262</v>
      </c>
      <c r="I3784" s="6" t="n">
        <f aca="false">Sens!I3776+Sens!I3783</f>
        <v>670.357765753239</v>
      </c>
      <c r="J3784" s="6" t="n">
        <f aca="false">Sens!J3776+Sens!J3783</f>
        <v>751.510080578079</v>
      </c>
      <c r="K3784" s="6" t="n">
        <f aca="false">Sens!K3776+Sens!K3783</f>
        <v>829.478744576972</v>
      </c>
    </row>
    <row r="3785" customFormat="false" ht="15" hidden="false" customHeight="false" outlineLevel="0" collapsed="false">
      <c r="A3785" s="22" t="s">
        <v>796</v>
      </c>
      <c r="B3785" s="28" t="s">
        <v>95</v>
      </c>
      <c r="C3785" s="28"/>
      <c r="D3785" s="23" t="n">
        <f aca="false">(Sens!D3764+Sens!D3769+Sens!D3770+Sens!D3772+Sens!D3774-Sens!D3776)+(Sens!D3777+Sens!D3779+Sens!D3781-Sens!D3783)+(Sens!D3776-Q!L5)+(Sens!D3783-Q!L12)+(Sens!D3764-Q!L6)+(Sens!D3769-Q!L7)</f>
        <v>0</v>
      </c>
      <c r="E3785" s="23" t="n">
        <f aca="false">(Sens!E3764+Sens!E3769+Sens!E3770+Sens!E3772+Sens!E3774-Sens!E3776)+(Sens!E3777+Sens!E3779+Sens!E3781-Sens!E3783)+(Sens!E3776-Q!M5)+(Sens!E3783-Q!M12)+(Sens!E3764-Q!M6)+(Sens!E3769-Q!M7)</f>
        <v>0</v>
      </c>
      <c r="F3785" s="23" t="n">
        <f aca="false">(Sens!F3764+Sens!F3769+Sens!F3770+Sens!F3772+Sens!F3774-Sens!F3776)+(Sens!F3777+Sens!F3779+Sens!F3781-Sens!F3783)</f>
        <v>0</v>
      </c>
      <c r="G3785" s="23" t="n">
        <f aca="false">(Sens!G3764+Sens!G3769+Sens!G3770+Sens!G3772+Sens!G3774-Sens!G3776)+(Sens!G3777+Sens!G3779+Sens!G3781-Sens!G3783)</f>
        <v>0</v>
      </c>
      <c r="H3785" s="23" t="n">
        <f aca="false">(Sens!H3764+Sens!H3769+Sens!H3770+Sens!H3772+Sens!H3774-Sens!H3776)+(Sens!H3777+Sens!H3779+Sens!H3781-Sens!H3783)</f>
        <v>0</v>
      </c>
      <c r="I3785" s="23" t="n">
        <f aca="false">(Sens!I3764+Sens!I3769+Sens!I3770+Sens!I3772+Sens!I3774-Sens!I3776)+(Sens!I3777+Sens!I3779+Sens!I3781-Sens!I3783)</f>
        <v>0</v>
      </c>
      <c r="J3785" s="23" t="n">
        <f aca="false">(Sens!J3764+Sens!J3769+Sens!J3770+Sens!J3772+Sens!J3774-Sens!J3776)+(Sens!J3777+Sens!J3779+Sens!J3781-Sens!J3783)</f>
        <v>0</v>
      </c>
      <c r="K3785" s="23" t="n">
        <f aca="false">(Sens!K3764+Sens!K3769+Sens!K3770+Sens!K3772+Sens!K3774-Sens!K3776)+(Sens!K3777+Sens!K3779+Sens!K3781-Sens!K3783)</f>
        <v>0</v>
      </c>
    </row>
    <row r="3786" customFormat="false" ht="17.15" hidden="false" customHeight="false" outlineLevel="0" collapsed="false">
      <c r="A3786" s="3" t="s">
        <v>1221</v>
      </c>
    </row>
    <row r="3787" customFormat="false" ht="15" hidden="false" customHeight="false" outlineLevel="0" collapsed="false">
      <c r="A3787" s="4" t="s">
        <v>43</v>
      </c>
      <c r="B3787" s="4" t="s">
        <v>63</v>
      </c>
      <c r="C3787" s="19" t="s">
        <v>710</v>
      </c>
      <c r="D3787" s="19" t="s">
        <v>711</v>
      </c>
      <c r="E3787" s="19" t="s">
        <v>712</v>
      </c>
      <c r="F3787" s="19" t="s">
        <v>713</v>
      </c>
      <c r="G3787" s="19" t="s">
        <v>714</v>
      </c>
      <c r="H3787" s="19" t="s">
        <v>715</v>
      </c>
      <c r="I3787" s="19" t="s">
        <v>716</v>
      </c>
      <c r="J3787" s="19" t="s">
        <v>717</v>
      </c>
      <c r="K3787" s="19" t="s">
        <v>718</v>
      </c>
      <c r="L3787" s="4" t="s">
        <v>47</v>
      </c>
    </row>
    <row r="3788" customFormat="false" ht="15" hidden="false" customHeight="false" outlineLevel="0" collapsed="false">
      <c r="A3788" s="0" t="s">
        <v>783</v>
      </c>
      <c r="B3788" s="0" t="s">
        <v>95</v>
      </c>
      <c r="D3788" s="6" t="n">
        <f aca="false">Sens!D3764</f>
        <v>72.61</v>
      </c>
      <c r="E3788" s="6" t="n">
        <f aca="false">Sens!E3764</f>
        <v>101.938</v>
      </c>
      <c r="F3788" s="6" t="n">
        <f aca="false">Sens!F3764</f>
        <v>148.812368967868</v>
      </c>
      <c r="G3788" s="6" t="n">
        <f aca="false">Sens!G3764</f>
        <v>208.397514344463</v>
      </c>
      <c r="H3788" s="6" t="n">
        <f aca="false">Sens!H3764</f>
        <v>274.05759259987</v>
      </c>
      <c r="I3788" s="6" t="n">
        <f aca="false">Sens!I3764</f>
        <v>333.373091964934</v>
      </c>
      <c r="J3788" s="6" t="n">
        <f aca="false">Sens!J3764</f>
        <v>391.214773806054</v>
      </c>
      <c r="K3788" s="6" t="n">
        <f aca="false">Sens!K3764</f>
        <v>446.513235535821</v>
      </c>
    </row>
    <row r="3789" customFormat="false" ht="17.15" hidden="false" customHeight="false" outlineLevel="0" collapsed="false">
      <c r="A3789" s="0" t="s">
        <v>780</v>
      </c>
      <c r="B3789" s="0" t="s">
        <v>95</v>
      </c>
      <c r="D3789" s="6" t="n">
        <f aca="false">Sens!D3761</f>
        <v>12.9359794422418</v>
      </c>
      <c r="E3789" s="6" t="n">
        <f aca="false">Sens!E3761</f>
        <v>27.8095064661409</v>
      </c>
      <c r="F3789" s="6" t="n">
        <f aca="false">Sens!F3761</f>
        <v>58.7324192305018</v>
      </c>
      <c r="G3789" s="6" t="n">
        <f aca="false">Sens!G3761</f>
        <v>101.369089141153</v>
      </c>
      <c r="H3789" s="6" t="n">
        <f aca="false">Sens!H3761</f>
        <v>149.785610014234</v>
      </c>
      <c r="I3789" s="6" t="n">
        <f aca="false">Sens!I3761</f>
        <v>192.439389583079</v>
      </c>
      <c r="J3789" s="6" t="n">
        <f aca="false">Sens!J3761</f>
        <v>235.195906491722</v>
      </c>
      <c r="K3789" s="6" t="n">
        <f aca="false">Sens!K3761</f>
        <v>278.012858836343</v>
      </c>
    </row>
    <row r="3790" customFormat="false" ht="17.15" hidden="false" customHeight="false" outlineLevel="0" collapsed="false">
      <c r="A3790" s="0" t="s">
        <v>807</v>
      </c>
      <c r="B3790" s="0" t="s">
        <v>95</v>
      </c>
      <c r="D3790" s="6" t="n">
        <f aca="false">Sens!D3762</f>
        <v>59.6740205577583</v>
      </c>
      <c r="E3790" s="6" t="n">
        <f aca="false">Sens!E3762</f>
        <v>74.1284935338591</v>
      </c>
      <c r="F3790" s="6" t="n">
        <f aca="false">Sens!F3762</f>
        <v>90.0799497373663</v>
      </c>
      <c r="G3790" s="6" t="n">
        <f aca="false">Sens!G3762</f>
        <v>107.02842520331</v>
      </c>
      <c r="H3790" s="6" t="n">
        <f aca="false">Sens!H3762</f>
        <v>124.271982585636</v>
      </c>
      <c r="I3790" s="6" t="n">
        <f aca="false">Sens!I3762</f>
        <v>140.933702381855</v>
      </c>
      <c r="J3790" s="6" t="n">
        <f aca="false">Sens!J3762</f>
        <v>156.018867314332</v>
      </c>
      <c r="K3790" s="6" t="n">
        <f aca="false">Sens!K3762</f>
        <v>168.500376699478</v>
      </c>
    </row>
    <row r="3791" customFormat="false" ht="15" hidden="false" customHeight="false" outlineLevel="0" collapsed="false">
      <c r="A3791" s="0" t="s">
        <v>788</v>
      </c>
      <c r="B3791" s="0" t="s">
        <v>95</v>
      </c>
      <c r="D3791" s="6" t="n">
        <f aca="false">Sens!D3769</f>
        <v>84.605</v>
      </c>
      <c r="E3791" s="6" t="n">
        <f aca="false">Sens!E3769</f>
        <v>100.299</v>
      </c>
      <c r="F3791" s="6" t="n">
        <f aca="false">Sens!F3769</f>
        <v>120.39238776686</v>
      </c>
      <c r="G3791" s="6" t="n">
        <f aca="false">Sens!G3769</f>
        <v>141.544168448684</v>
      </c>
      <c r="H3791" s="6" t="n">
        <f aca="false">Sens!H3769</f>
        <v>162.777359388781</v>
      </c>
      <c r="I3791" s="6" t="n">
        <f aca="false">Sens!I3769</f>
        <v>181.584028071957</v>
      </c>
      <c r="J3791" s="6" t="n">
        <f aca="false">Sens!J3769</f>
        <v>197.682702785465</v>
      </c>
      <c r="K3791" s="6" t="n">
        <f aca="false">Sens!K3769</f>
        <v>213.027991980448</v>
      </c>
    </row>
    <row r="3792" customFormat="false" ht="17.15" hidden="false" customHeight="false" outlineLevel="0" collapsed="false">
      <c r="A3792" s="0" t="s">
        <v>808</v>
      </c>
      <c r="B3792" s="0" t="s">
        <v>95</v>
      </c>
      <c r="D3792" s="6" t="n">
        <f aca="false">Sens!D3767</f>
        <v>83.705</v>
      </c>
      <c r="E3792" s="6" t="n">
        <f aca="false">Sens!E3767</f>
        <v>95.049</v>
      </c>
      <c r="F3792" s="6" t="n">
        <f aca="false">Sens!F3767</f>
        <v>106.89238776686</v>
      </c>
      <c r="G3792" s="6" t="n">
        <f aca="false">Sens!G3767</f>
        <v>119.044168448684</v>
      </c>
      <c r="H3792" s="6" t="n">
        <f aca="false">Sens!H3767</f>
        <v>131.277359388781</v>
      </c>
      <c r="I3792" s="6" t="n">
        <f aca="false">Sens!I3767</f>
        <v>143.334028071957</v>
      </c>
      <c r="J3792" s="6" t="n">
        <f aca="false">Sens!J3767</f>
        <v>154.932702785465</v>
      </c>
      <c r="K3792" s="6" t="n">
        <f aca="false">Sens!K3767</f>
        <v>165.777991980448</v>
      </c>
    </row>
    <row r="3793" customFormat="false" ht="17.15" hidden="false" customHeight="false" outlineLevel="0" collapsed="false">
      <c r="A3793" s="0" t="s">
        <v>809</v>
      </c>
      <c r="B3793" s="0" t="s">
        <v>95</v>
      </c>
      <c r="D3793" s="6" t="n">
        <f aca="false">Sens!D3766</f>
        <v>0.9</v>
      </c>
      <c r="E3793" s="6" t="n">
        <f aca="false">Sens!E3766</f>
        <v>5.25</v>
      </c>
      <c r="F3793" s="6" t="n">
        <f aca="false">Sens!F3766</f>
        <v>13.5</v>
      </c>
      <c r="G3793" s="6" t="n">
        <f aca="false">Sens!G3766</f>
        <v>22.5</v>
      </c>
      <c r="H3793" s="6" t="n">
        <f aca="false">Sens!H3766</f>
        <v>31.5</v>
      </c>
      <c r="I3793" s="6" t="n">
        <f aca="false">Sens!I3766</f>
        <v>38.25</v>
      </c>
      <c r="J3793" s="6" t="n">
        <f aca="false">Sens!J3766</f>
        <v>42.75</v>
      </c>
      <c r="K3793" s="6" t="n">
        <f aca="false">Sens!K3766</f>
        <v>47.25</v>
      </c>
    </row>
    <row r="3794" customFormat="false" ht="15" hidden="false" customHeight="false" outlineLevel="0" collapsed="false">
      <c r="A3794" s="0" t="s">
        <v>789</v>
      </c>
      <c r="B3794" s="0" t="s">
        <v>95</v>
      </c>
      <c r="D3794" s="6" t="n">
        <f aca="false">Sens!D3770</f>
        <v>35.391</v>
      </c>
      <c r="E3794" s="6" t="n">
        <f aca="false">Sens!E3770</f>
        <v>37.285</v>
      </c>
      <c r="F3794" s="6" t="n">
        <f aca="false">Sens!F3770</f>
        <v>39.0720834331704</v>
      </c>
      <c r="G3794" s="6" t="n">
        <f aca="false">Sens!G3770</f>
        <v>40.726562953769</v>
      </c>
      <c r="H3794" s="6" t="n">
        <f aca="false">Sens!H3770</f>
        <v>42.2235987259198</v>
      </c>
      <c r="I3794" s="6" t="n">
        <f aca="false">Sens!I3770</f>
        <v>43.5397988077414</v>
      </c>
      <c r="J3794" s="6" t="n">
        <f aca="false">Sens!J3770</f>
        <v>44.653811225693</v>
      </c>
      <c r="K3794" s="6" t="n">
        <f aca="false">Sens!K3770</f>
        <v>45.5468874502068</v>
      </c>
    </row>
    <row r="3795" customFormat="false" ht="15" hidden="false" customHeight="false" outlineLevel="0" collapsed="false">
      <c r="A3795" s="0" t="s">
        <v>790</v>
      </c>
      <c r="B3795" s="0" t="s">
        <v>95</v>
      </c>
      <c r="D3795" s="6" t="n">
        <f aca="false">Sens!D3772</f>
        <v>18.417</v>
      </c>
      <c r="E3795" s="6" t="n">
        <f aca="false">Sens!E3772</f>
        <v>20.345</v>
      </c>
      <c r="F3795" s="6" t="n">
        <f aca="false">Sens!F3772</f>
        <v>22.3572203267814</v>
      </c>
      <c r="G3795" s="6" t="n">
        <f aca="false">Sens!G3772</f>
        <v>24.4392124437232</v>
      </c>
      <c r="H3795" s="6" t="n">
        <f aca="false">Sens!H3772</f>
        <v>26.5738052080665</v>
      </c>
      <c r="I3795" s="6" t="n">
        <f aca="false">Sens!I3772</f>
        <v>28.7412169166967</v>
      </c>
      <c r="J3795" s="6" t="n">
        <f aca="false">Sens!J3772</f>
        <v>30.9192545395413</v>
      </c>
      <c r="K3795" s="6" t="n">
        <f aca="false">Sens!K3772</f>
        <v>33.0836023573092</v>
      </c>
    </row>
    <row r="3796" customFormat="false" ht="15" hidden="false" customHeight="false" outlineLevel="0" collapsed="false">
      <c r="A3796" s="0" t="s">
        <v>791</v>
      </c>
      <c r="B3796" s="0" t="s">
        <v>95</v>
      </c>
      <c r="D3796" s="6" t="n">
        <f aca="false">Sens!D3774</f>
        <v>7.76</v>
      </c>
      <c r="E3796" s="6" t="n">
        <f aca="false">Sens!E3774</f>
        <v>8.26</v>
      </c>
      <c r="F3796" s="6" t="n">
        <f aca="false">Sens!F3774</f>
        <v>8.79988041237113</v>
      </c>
      <c r="G3796" s="6" t="n">
        <f aca="false">Sens!G3774</f>
        <v>9.38321269125306</v>
      </c>
      <c r="H3796" s="6" t="n">
        <f aca="false">Sens!H3774</f>
        <v>10.0139193587476</v>
      </c>
      <c r="I3796" s="6" t="n">
        <f aca="false">Sens!I3774</f>
        <v>10.6963111830911</v>
      </c>
      <c r="J3796" s="6" t="n">
        <f aca="false">Sens!J3774</f>
        <v>11.4351285534696</v>
      </c>
      <c r="K3796" s="6" t="n">
        <f aca="false">Sens!K3774</f>
        <v>12.2355875522124</v>
      </c>
    </row>
    <row r="3797" customFormat="false" ht="15" hidden="false" customHeight="false" outlineLevel="0" collapsed="false">
      <c r="A3797" s="0" t="s">
        <v>626</v>
      </c>
      <c r="B3797" s="0" t="s">
        <v>95</v>
      </c>
      <c r="D3797" s="6" t="n">
        <f aca="false">Sens!D3776</f>
        <v>218.783</v>
      </c>
      <c r="E3797" s="6" t="n">
        <f aca="false">Sens!E3776</f>
        <v>268.127</v>
      </c>
      <c r="F3797" s="6" t="n">
        <f aca="false">Sens!F3776</f>
        <v>339.433940907051</v>
      </c>
      <c r="G3797" s="6" t="n">
        <f aca="false">Sens!G3776</f>
        <v>424.490670881892</v>
      </c>
      <c r="H3797" s="6" t="n">
        <f aca="false">Sens!H3776</f>
        <v>515.646275281385</v>
      </c>
      <c r="I3797" s="6" t="n">
        <f aca="false">Sens!I3776</f>
        <v>597.93444694442</v>
      </c>
      <c r="J3797" s="6" t="n">
        <f aca="false">Sens!J3776</f>
        <v>675.905670910223</v>
      </c>
      <c r="K3797" s="6" t="n">
        <f aca="false">Sens!K3776</f>
        <v>750.407304875998</v>
      </c>
    </row>
    <row r="3798" customFormat="false" ht="15" hidden="false" customHeight="false" outlineLevel="0" collapsed="false">
      <c r="A3798" s="0" t="s">
        <v>792</v>
      </c>
      <c r="B3798" s="0" t="s">
        <v>95</v>
      </c>
      <c r="D3798" s="6" t="n">
        <f aca="false">Sens!D3777</f>
        <v>22.171</v>
      </c>
      <c r="E3798" s="6" t="n">
        <f aca="false">Sens!E3777</f>
        <v>24.835</v>
      </c>
      <c r="F3798" s="6" t="n">
        <f aca="false">Sens!F3777</f>
        <v>27.6114901218559</v>
      </c>
      <c r="G3798" s="6" t="n">
        <f aca="false">Sens!G3777</f>
        <v>30.4675667338515</v>
      </c>
      <c r="H3798" s="6" t="n">
        <f aca="false">Sens!H3777</f>
        <v>33.3643766955789</v>
      </c>
      <c r="I3798" s="6" t="n">
        <f aca="false">Sens!I3777</f>
        <v>36.2577016533691</v>
      </c>
      <c r="J3798" s="6" t="n">
        <f aca="false">Sens!J3777</f>
        <v>39.0988367952171</v>
      </c>
      <c r="K3798" s="6" t="n">
        <f aca="false">Sens!K3777</f>
        <v>41.8357553708823</v>
      </c>
    </row>
    <row r="3799" customFormat="false" ht="15" hidden="false" customHeight="false" outlineLevel="0" collapsed="false">
      <c r="A3799" s="0" t="s">
        <v>793</v>
      </c>
      <c r="B3799" s="0" t="s">
        <v>95</v>
      </c>
      <c r="D3799" s="6" t="n">
        <f aca="false">Sens!D3779</f>
        <v>23.455</v>
      </c>
      <c r="E3799" s="6" t="n">
        <f aca="false">Sens!E3779</f>
        <v>21.79</v>
      </c>
      <c r="F3799" s="6" t="n">
        <f aca="false">Sens!F3779</f>
        <v>20.5736277908051</v>
      </c>
      <c r="G3799" s="6" t="n">
        <f aca="false">Sens!G3779</f>
        <v>19.7371452817919</v>
      </c>
      <c r="H3799" s="6" t="n">
        <f aca="false">Sens!H3779</f>
        <v>19.2339764043138</v>
      </c>
      <c r="I3799" s="6" t="n">
        <f aca="false">Sens!I3779</f>
        <v>19.0353086852681</v>
      </c>
      <c r="J3799" s="6" t="n">
        <f aca="false">Sens!J3779</f>
        <v>19.1273539319129</v>
      </c>
      <c r="K3799" s="6" t="n">
        <f aca="false">Sens!K3779</f>
        <v>19.5099010105511</v>
      </c>
    </row>
    <row r="3800" customFormat="false" ht="15" hidden="false" customHeight="false" outlineLevel="0" collapsed="false">
      <c r="A3800" s="0" t="s">
        <v>794</v>
      </c>
      <c r="B3800" s="0" t="s">
        <v>95</v>
      </c>
      <c r="D3800" s="6" t="n">
        <f aca="false">Sens!D3781</f>
        <v>17.315</v>
      </c>
      <c r="E3800" s="6" t="n">
        <f aca="false">Sens!E3781</f>
        <v>17.087</v>
      </c>
      <c r="F3800" s="6" t="n">
        <f aca="false">Sens!F3781</f>
        <v>16.9564585436519</v>
      </c>
      <c r="G3800" s="6" t="n">
        <f aca="false">Sens!G3781</f>
        <v>16.9206490624268</v>
      </c>
      <c r="H3800" s="6" t="n">
        <f aca="false">Sens!H3781</f>
        <v>16.9784519149849</v>
      </c>
      <c r="I3800" s="6" t="n">
        <f aca="false">Sens!I3781</f>
        <v>17.1303084701817</v>
      </c>
      <c r="J3800" s="6" t="n">
        <f aca="false">Sens!J3781</f>
        <v>17.3782189407267</v>
      </c>
      <c r="K3800" s="6" t="n">
        <f aca="false">Sens!K3781</f>
        <v>17.7257833195413</v>
      </c>
    </row>
    <row r="3801" customFormat="false" ht="15" hidden="false" customHeight="false" outlineLevel="0" collapsed="false">
      <c r="A3801" s="0" t="s">
        <v>640</v>
      </c>
      <c r="B3801" s="0" t="s">
        <v>95</v>
      </c>
      <c r="D3801" s="6" t="n">
        <f aca="false">Sens!D3783</f>
        <v>62.941</v>
      </c>
      <c r="E3801" s="6" t="n">
        <f aca="false">Sens!E3783</f>
        <v>63.712</v>
      </c>
      <c r="F3801" s="6" t="n">
        <f aca="false">Sens!F3783</f>
        <v>65.1415764563129</v>
      </c>
      <c r="G3801" s="6" t="n">
        <f aca="false">Sens!G3783</f>
        <v>67.1253610780702</v>
      </c>
      <c r="H3801" s="6" t="n">
        <f aca="false">Sens!H3783</f>
        <v>69.5768050148776</v>
      </c>
      <c r="I3801" s="6" t="n">
        <f aca="false">Sens!I3783</f>
        <v>72.4233188088189</v>
      </c>
      <c r="J3801" s="6" t="n">
        <f aca="false">Sens!J3783</f>
        <v>75.6044096678567</v>
      </c>
      <c r="K3801" s="6" t="n">
        <f aca="false">Sens!K3783</f>
        <v>79.0714397009747</v>
      </c>
    </row>
    <row r="3802" customFormat="false" ht="15" hidden="false" customHeight="false" outlineLevel="0" collapsed="false">
      <c r="A3802" s="1" t="s">
        <v>810</v>
      </c>
      <c r="B3802" s="0" t="s">
        <v>95</v>
      </c>
      <c r="D3802" s="6" t="n">
        <f aca="false">Sens!D3784</f>
        <v>281.724</v>
      </c>
      <c r="E3802" s="6" t="n">
        <f aca="false">Sens!E3784</f>
        <v>331.839</v>
      </c>
      <c r="F3802" s="6" t="n">
        <f aca="false">Sens!F3784</f>
        <v>404.575517363364</v>
      </c>
      <c r="G3802" s="6" t="n">
        <f aca="false">Sens!G3784</f>
        <v>491.616031959962</v>
      </c>
      <c r="H3802" s="6" t="n">
        <f aca="false">Sens!H3784</f>
        <v>585.223080296262</v>
      </c>
      <c r="I3802" s="6" t="n">
        <f aca="false">Sens!I3784</f>
        <v>670.357765753239</v>
      </c>
      <c r="J3802" s="6" t="n">
        <f aca="false">Sens!J3784</f>
        <v>751.510080578079</v>
      </c>
      <c r="K3802" s="6" t="n">
        <f aca="false">Sens!K3784</f>
        <v>829.478744576972</v>
      </c>
    </row>
    <row r="3803" customFormat="false" ht="15" hidden="false" customHeight="false" outlineLevel="0" collapsed="false">
      <c r="A3803" s="1" t="s">
        <v>811</v>
      </c>
      <c r="B3803" s="0" t="s">
        <v>126</v>
      </c>
      <c r="E3803" s="7" t="n">
        <f aca="false">Sens!E3802/Sens!D3802-1</f>
        <v>0.177886867998467</v>
      </c>
      <c r="F3803" s="7" t="n">
        <f aca="false">Sens!F3802/Sens!E3802-1</f>
        <v>0.219192190680914</v>
      </c>
      <c r="G3803" s="7" t="n">
        <f aca="false">Sens!G3802/Sens!F3802-1</f>
        <v>0.215140340581766</v>
      </c>
      <c r="H3803" s="7" t="n">
        <f aca="false">Sens!H3802/Sens!G3802-1</f>
        <v>0.19040682616291</v>
      </c>
      <c r="I3803" s="7" t="n">
        <f aca="false">Sens!I3802/Sens!H3802-1</f>
        <v>0.14547390272762</v>
      </c>
      <c r="J3803" s="7" t="n">
        <f aca="false">Sens!J3802/Sens!I3802-1</f>
        <v>0.121058215434641</v>
      </c>
      <c r="K3803" s="7" t="n">
        <f aca="false">Sens!K3802/Sens!J3802-1</f>
        <v>0.103749325543202</v>
      </c>
    </row>
    <row r="3804" customFormat="false" ht="17.15" hidden="false" customHeight="false" outlineLevel="0" collapsed="false">
      <c r="A3804" s="22" t="s">
        <v>812</v>
      </c>
      <c r="B3804" s="28" t="s">
        <v>95</v>
      </c>
      <c r="C3804" s="28"/>
      <c r="D3804" s="23" t="n">
        <f aca="false">(Sens!D3797+Sens!D3801-Sens!D3802)+(Sens!D3789+Sens!D3790-Sens!D3788)+(Sens!D3792+Sens!D3793-Sens!D3791)+(Sens!D3802-Q!L18)</f>
        <v>0</v>
      </c>
      <c r="E3804" s="23" t="n">
        <f aca="false">(Sens!E3797+Sens!E3801-Sens!E3802)+(Sens!E3789+Sens!E3790-Sens!E3788)+(Sens!E3792+Sens!E3793-Sens!E3791)+(Sens!E3802-Q!M18)</f>
        <v>0</v>
      </c>
      <c r="F3804" s="23" t="n">
        <f aca="false">(Sens!F3797+Sens!F3801-Sens!F3802)+(Sens!F3789+Sens!F3790-Sens!F3788)+(Sens!F3792+Sens!F3793-Sens!F3791)</f>
        <v>0</v>
      </c>
      <c r="G3804" s="23" t="n">
        <f aca="false">(Sens!G3797+Sens!G3801-Sens!G3802)+(Sens!G3789+Sens!G3790-Sens!G3788)+(Sens!G3792+Sens!G3793-Sens!G3791)</f>
        <v>0</v>
      </c>
      <c r="H3804" s="23" t="n">
        <f aca="false">(Sens!H3797+Sens!H3801-Sens!H3802)+(Sens!H3789+Sens!H3790-Sens!H3788)+(Sens!H3792+Sens!H3793-Sens!H3791)</f>
        <v>0</v>
      </c>
      <c r="I3804" s="23" t="n">
        <f aca="false">(Sens!I3797+Sens!I3801-Sens!I3802)+(Sens!I3789+Sens!I3790-Sens!I3788)+(Sens!I3792+Sens!I3793-Sens!I3791)</f>
        <v>0</v>
      </c>
      <c r="J3804" s="23" t="n">
        <f aca="false">(Sens!J3797+Sens!J3801-Sens!J3802)+(Sens!J3789+Sens!J3790-Sens!J3788)+(Sens!J3792+Sens!J3793-Sens!J3791)</f>
        <v>0</v>
      </c>
      <c r="K3804" s="23" t="n">
        <f aca="false">(Sens!K3797+Sens!K3801-Sens!K3802)+(Sens!K3789+Sens!K3790-Sens!K3788)+(Sens!K3792+Sens!K3793-Sens!K3791)</f>
        <v>0</v>
      </c>
    </row>
    <row r="3805" customFormat="false" ht="17.15" hidden="false" customHeight="false" outlineLevel="0" collapsed="false">
      <c r="A3805" s="0" t="s">
        <v>813</v>
      </c>
      <c r="B3805" s="0" t="s">
        <v>126</v>
      </c>
      <c r="E3805" s="7" t="n">
        <f aca="false">(Q!M21+Sens!E3742+Sens!E3743+Sens!E3744+Sens!E3757-Sens!E3740)/(Q!M5-Sens!E3740)</f>
        <v>0.562004564381674</v>
      </c>
      <c r="F3805" s="7" t="n">
        <f aca="false">Sens!$E$3805+dm_seg</f>
        <v>0.562004564381674</v>
      </c>
      <c r="G3805" s="7" t="n">
        <f aca="false">Sens!$E$3805+dm_seg</f>
        <v>0.562004564381674</v>
      </c>
      <c r="H3805" s="7" t="n">
        <f aca="false">Sens!$E$3805+dm_seg</f>
        <v>0.562004564381674</v>
      </c>
      <c r="I3805" s="7" t="n">
        <f aca="false">Sens!$E$3805+dm_seg</f>
        <v>0.562004564381674</v>
      </c>
      <c r="J3805" s="7" t="n">
        <f aca="false">Sens!$E$3805+dm_seg</f>
        <v>0.562004564381674</v>
      </c>
      <c r="K3805" s="7" t="n">
        <f aca="false">Sens!$E$3805+dm_seg</f>
        <v>0.562004564381674</v>
      </c>
      <c r="L3805" s="11" t="s">
        <v>814</v>
      </c>
    </row>
    <row r="3806" customFormat="false" ht="17.15" hidden="false" customHeight="false" outlineLevel="0" collapsed="false">
      <c r="A3806" s="0" t="s">
        <v>654</v>
      </c>
      <c r="B3806" s="0" t="s">
        <v>95</v>
      </c>
      <c r="D3806" s="6" t="n">
        <f aca="false">Q!L21</f>
        <v>110.814</v>
      </c>
      <c r="E3806" s="6" t="n">
        <f aca="false">Q!M21</f>
        <v>136.365</v>
      </c>
      <c r="F3806" s="6" t="n">
        <f aca="false">Sens!F3805*(Sens!F3776-Sens!F3740)+Sens!F3740-(Sens!F3742+Sens!F3743+Sens!F3744)-Sens!F3757</f>
        <v>164.234187431727</v>
      </c>
      <c r="G3806" s="6" t="n">
        <f aca="false">Sens!G3805*(Sens!G3776-Sens!G3740)+Sens!G3740-(Sens!G3742+Sens!G3743+Sens!G3744)-Sens!G3757</f>
        <v>196.872214942542</v>
      </c>
      <c r="H3806" s="6" t="n">
        <f aca="false">Sens!H3805*(Sens!H3776-Sens!H3740)+Sens!H3740-(Sens!H3742+Sens!H3743+Sens!H3744)-Sens!H3757</f>
        <v>234.537800715801</v>
      </c>
      <c r="I3806" s="6" t="n">
        <f aca="false">Sens!I3805*(Sens!I3776-Sens!I3740)+Sens!I3740-(Sens!I3742+Sens!I3743+Sens!I3744)-Sens!I3757</f>
        <v>264.343111641659</v>
      </c>
      <c r="J3806" s="6" t="n">
        <f aca="false">Sens!J3805*(Sens!J3776-Sens!J3740)+Sens!J3740-(Sens!J3742+Sens!J3743+Sens!J3744)-Sens!J3757</f>
        <v>291.199360104448</v>
      </c>
      <c r="K3806" s="6" t="n">
        <f aca="false">Sens!K3805*(Sens!K3776-Sens!K3740)+Sens!K3740-(Sens!K3742+Sens!K3743+Sens!K3744)-Sens!K3757</f>
        <v>315.289336363427</v>
      </c>
      <c r="L3806" s="1" t="s">
        <v>815</v>
      </c>
    </row>
    <row r="3807" customFormat="false" ht="17.15" hidden="false" customHeight="false" outlineLevel="0" collapsed="false">
      <c r="A3807" s="0" t="s">
        <v>816</v>
      </c>
      <c r="B3807" s="0" t="s">
        <v>126</v>
      </c>
      <c r="E3807" s="7" t="n">
        <f aca="false">Q!M22/Q!M12</f>
        <v>0.296207935710698</v>
      </c>
      <c r="F3807" s="7" t="n">
        <f aca="false">Sens!$E$3807+dm_seg</f>
        <v>0.296207935710698</v>
      </c>
      <c r="G3807" s="7" t="n">
        <f aca="false">Sens!$E$3807+dm_seg</f>
        <v>0.296207935710698</v>
      </c>
      <c r="H3807" s="7" t="n">
        <f aca="false">Sens!$E$3807+dm_seg</f>
        <v>0.296207935710698</v>
      </c>
      <c r="I3807" s="7" t="n">
        <f aca="false">Sens!$E$3807+dm_seg</f>
        <v>0.296207935710698</v>
      </c>
      <c r="J3807" s="7" t="n">
        <f aca="false">Sens!$E$3807+dm_seg</f>
        <v>0.296207935710698</v>
      </c>
      <c r="K3807" s="7" t="n">
        <f aca="false">Sens!$E$3807+dm_seg</f>
        <v>0.296207935710698</v>
      </c>
      <c r="L3807" s="11" t="s">
        <v>817</v>
      </c>
    </row>
    <row r="3808" customFormat="false" ht="17.15" hidden="false" customHeight="false" outlineLevel="0" collapsed="false">
      <c r="A3808" s="0" t="s">
        <v>656</v>
      </c>
      <c r="B3808" s="0" t="s">
        <v>95</v>
      </c>
      <c r="D3808" s="6" t="n">
        <f aca="false">Q!L22</f>
        <v>17.714</v>
      </c>
      <c r="E3808" s="6" t="n">
        <f aca="false">Q!M22</f>
        <v>18.872</v>
      </c>
      <c r="F3808" s="6" t="n">
        <f aca="false">Sens!F3783*Sens!F3807</f>
        <v>19.2954518910651</v>
      </c>
      <c r="G3808" s="6" t="n">
        <f aca="false">Sens!G3783*Sens!G3807</f>
        <v>19.8830646387704</v>
      </c>
      <c r="H3808" s="6" t="n">
        <f aca="false">Sens!H3783*Sens!H3807</f>
        <v>20.6092017868026</v>
      </c>
      <c r="I3808" s="6" t="n">
        <f aca="false">Sens!I3783*Sens!I3807</f>
        <v>21.452361761678</v>
      </c>
      <c r="J3808" s="6" t="n">
        <f aca="false">Sens!J3783*Sens!J3807</f>
        <v>22.3946261183418</v>
      </c>
      <c r="K3808" s="6" t="n">
        <f aca="false">Sens!K3783*Sens!K3807</f>
        <v>23.4215879274986</v>
      </c>
    </row>
    <row r="3809" customFormat="false" ht="15" hidden="false" customHeight="false" outlineLevel="0" collapsed="false">
      <c r="A3809" s="1" t="s">
        <v>818</v>
      </c>
      <c r="B3809" s="0" t="s">
        <v>95</v>
      </c>
      <c r="D3809" s="6" t="n">
        <f aca="false">Sens!D3806+Sens!D3808</f>
        <v>128.528</v>
      </c>
      <c r="E3809" s="6" t="n">
        <f aca="false">Sens!E3806+Sens!E3808</f>
        <v>155.237</v>
      </c>
      <c r="F3809" s="6" t="n">
        <f aca="false">Sens!F3806+Sens!F3808</f>
        <v>183.529639322792</v>
      </c>
      <c r="G3809" s="6" t="n">
        <f aca="false">Sens!G3806+Sens!G3808</f>
        <v>216.755279581313</v>
      </c>
      <c r="H3809" s="6" t="n">
        <f aca="false">Sens!H3806+Sens!H3808</f>
        <v>255.147002502604</v>
      </c>
      <c r="I3809" s="6" t="n">
        <f aca="false">Sens!I3806+Sens!I3808</f>
        <v>285.795473403337</v>
      </c>
      <c r="J3809" s="6" t="n">
        <f aca="false">Sens!J3806+Sens!J3808</f>
        <v>313.59398622279</v>
      </c>
      <c r="K3809" s="6" t="n">
        <f aca="false">Sens!K3806+Sens!K3808</f>
        <v>338.710924290925</v>
      </c>
    </row>
    <row r="3810" customFormat="false" ht="15" hidden="false" customHeight="false" outlineLevel="0" collapsed="false">
      <c r="A3810" s="22" t="s">
        <v>819</v>
      </c>
      <c r="B3810" s="28" t="s">
        <v>95</v>
      </c>
      <c r="C3810" s="28"/>
      <c r="D3810" s="23" t="n">
        <f aca="false">Sens!D3809-Q!L23</f>
        <v>0</v>
      </c>
      <c r="E3810" s="23" t="n">
        <f aca="false">Sens!E3809-Q!M23</f>
        <v>0</v>
      </c>
      <c r="F3810" s="28"/>
      <c r="G3810" s="28"/>
      <c r="H3810" s="28"/>
      <c r="I3810" s="28"/>
      <c r="J3810" s="28"/>
      <c r="K3810" s="28"/>
    </row>
    <row r="3811" customFormat="false" ht="15" hidden="false" customHeight="false" outlineLevel="0" collapsed="false">
      <c r="A3811" s="1" t="s">
        <v>820</v>
      </c>
      <c r="B3811" s="0" t="s">
        <v>126</v>
      </c>
      <c r="D3811" s="7" t="n">
        <f aca="false">Sens!D3809/Sens!D3802</f>
        <v>0.456219562408598</v>
      </c>
      <c r="E3811" s="7" t="n">
        <f aca="false">Sens!E3809/Sens!E3802</f>
        <v>0.467808184089272</v>
      </c>
      <c r="F3811" s="7" t="n">
        <f aca="false">Sens!F3809/Sens!F3802</f>
        <v>0.45363506056635</v>
      </c>
      <c r="G3811" s="7" t="n">
        <f aca="false">Sens!G3809/Sens!G3802</f>
        <v>0.440903602588301</v>
      </c>
      <c r="H3811" s="7" t="n">
        <f aca="false">Sens!H3809/Sens!H3802</f>
        <v>0.435982467358325</v>
      </c>
      <c r="I3811" s="7" t="n">
        <f aca="false">Sens!I3809/Sens!I3802</f>
        <v>0.426332755438742</v>
      </c>
      <c r="J3811" s="7" t="n">
        <f aca="false">Sens!J3809/Sens!J3802</f>
        <v>0.417285136057744</v>
      </c>
      <c r="K3811" s="7" t="n">
        <f aca="false">Sens!K3809/Sens!K3802</f>
        <v>0.40834189725219</v>
      </c>
    </row>
    <row r="3812" customFormat="false" ht="17.15" hidden="false" customHeight="false" outlineLevel="0" collapsed="false">
      <c r="A3812" s="1" t="s">
        <v>821</v>
      </c>
      <c r="B3812" s="0" t="s">
        <v>95</v>
      </c>
      <c r="E3812" s="6" t="n">
        <f aca="false">Sens!E3757</f>
        <v>14.1538947660714</v>
      </c>
      <c r="F3812" s="6" t="n">
        <f aca="false">Sens!F3757</f>
        <v>30.1162718336027</v>
      </c>
      <c r="G3812" s="6" t="n">
        <f aca="false">Sens!G3757</f>
        <v>52.4102600517197</v>
      </c>
      <c r="H3812" s="6" t="n">
        <f aca="false">Sens!H3757</f>
        <v>75.9837568512625</v>
      </c>
      <c r="I3812" s="6" t="n">
        <f aca="false">Sens!I3757</f>
        <v>99.8791183241768</v>
      </c>
      <c r="J3812" s="6" t="n">
        <f aca="false">Sens!J3757</f>
        <v>124.326286279591</v>
      </c>
      <c r="K3812" s="6" t="n">
        <f aca="false">Sens!K3757</f>
        <v>149.606794637148</v>
      </c>
    </row>
    <row r="3813" customFormat="false" ht="17.15" hidden="false" customHeight="false" outlineLevel="0" collapsed="false">
      <c r="A3813" s="1" t="s">
        <v>822</v>
      </c>
      <c r="B3813" s="0" t="s">
        <v>95</v>
      </c>
      <c r="E3813" s="6" t="n">
        <f aca="false">Sens!E3833</f>
        <v>24.3801052339286</v>
      </c>
      <c r="F3813" s="6" t="n">
        <f aca="false">Sens!F3833</f>
        <v>25.515029433492</v>
      </c>
      <c r="G3813" s="6" t="n">
        <f aca="false">Sens!G3833</f>
        <v>27.1238158471817</v>
      </c>
      <c r="H3813" s="6" t="n">
        <f aca="false">Sens!H3833</f>
        <v>29.1675856268725</v>
      </c>
      <c r="I3813" s="6" t="n">
        <f aca="false">Sens!I3833</f>
        <v>31.5681670953496</v>
      </c>
      <c r="J3813" s="6" t="n">
        <f aca="false">Sens!J3833</f>
        <v>34.2319417108521</v>
      </c>
      <c r="K3813" s="6" t="n">
        <f aca="false">Sens!K3833</f>
        <v>37.0731178139662</v>
      </c>
    </row>
    <row r="3814" customFormat="false" ht="17.15" hidden="false" customHeight="false" outlineLevel="0" collapsed="false">
      <c r="A3814" s="1" t="s">
        <v>823</v>
      </c>
      <c r="B3814" s="0" t="s">
        <v>95</v>
      </c>
      <c r="D3814" s="6" t="n">
        <f aca="false">Q!L27</f>
        <v>-4.901</v>
      </c>
      <c r="E3814" s="6" t="n">
        <f aca="false">Q!M27</f>
        <v>10.697</v>
      </c>
      <c r="F3814" s="6" t="n">
        <f aca="false">oie_f</f>
        <v>-0.4</v>
      </c>
      <c r="G3814" s="6" t="n">
        <f aca="false">oie_f</f>
        <v>-0.4</v>
      </c>
      <c r="H3814" s="6" t="n">
        <f aca="false">oie_f</f>
        <v>-0.4</v>
      </c>
      <c r="I3814" s="6" t="n">
        <f aca="false">oie_f</f>
        <v>-0.4</v>
      </c>
      <c r="J3814" s="6" t="n">
        <f aca="false">oie_f</f>
        <v>-0.4</v>
      </c>
      <c r="K3814" s="6" t="n">
        <f aca="false">oie_f</f>
        <v>-0.4</v>
      </c>
      <c r="L3814" s="11" t="s">
        <v>824</v>
      </c>
    </row>
    <row r="3815" customFormat="false" ht="15" hidden="false" customHeight="false" outlineLevel="0" collapsed="false">
      <c r="A3815" s="1" t="s">
        <v>666</v>
      </c>
      <c r="B3815" s="0" t="s">
        <v>95</v>
      </c>
      <c r="D3815" s="6" t="n">
        <f aca="false">Sens!D3809+Sens!D3814</f>
        <v>123.627</v>
      </c>
      <c r="E3815" s="6" t="n">
        <f aca="false">Sens!E3809+Sens!E3814</f>
        <v>165.934</v>
      </c>
      <c r="F3815" s="6" t="n">
        <f aca="false">Sens!F3809+Sens!F3814</f>
        <v>183.129639322792</v>
      </c>
      <c r="G3815" s="6" t="n">
        <f aca="false">Sens!G3809+Sens!G3814</f>
        <v>216.355279581313</v>
      </c>
      <c r="H3815" s="6" t="n">
        <f aca="false">Sens!H3809+Sens!H3814</f>
        <v>254.747002502604</v>
      </c>
      <c r="I3815" s="6" t="n">
        <f aca="false">Sens!I3809+Sens!I3814</f>
        <v>285.395473403337</v>
      </c>
      <c r="J3815" s="6" t="n">
        <f aca="false">Sens!J3809+Sens!J3814</f>
        <v>313.19398622279</v>
      </c>
      <c r="K3815" s="6" t="n">
        <f aca="false">Sens!K3809+Sens!K3814</f>
        <v>338.310924290925</v>
      </c>
    </row>
    <row r="3816" customFormat="false" ht="15" hidden="false" customHeight="false" outlineLevel="0" collapsed="false">
      <c r="A3816" s="1" t="s">
        <v>668</v>
      </c>
      <c r="B3816" s="0" t="s">
        <v>95</v>
      </c>
      <c r="D3816" s="6" t="n">
        <f aca="false">Q!L29</f>
        <v>21.795</v>
      </c>
      <c r="E3816" s="6" t="n">
        <f aca="false">Q!M29</f>
        <v>32.185</v>
      </c>
      <c r="F3816" s="6" t="n">
        <f aca="false">Sens!F3815*tax_f</f>
        <v>36.6259278645584</v>
      </c>
      <c r="G3816" s="6" t="n">
        <f aca="false">Sens!G3815*tax_f</f>
        <v>43.2710559162625</v>
      </c>
      <c r="H3816" s="6" t="n">
        <f aca="false">Sens!H3815*tax_f</f>
        <v>50.9494005005208</v>
      </c>
      <c r="I3816" s="6" t="n">
        <f aca="false">Sens!I3815*tax_f</f>
        <v>57.0790946806674</v>
      </c>
      <c r="J3816" s="6" t="n">
        <f aca="false">Sens!J3815*tax_f</f>
        <v>62.638797244558</v>
      </c>
      <c r="K3816" s="6" t="n">
        <f aca="false">Sens!K3815*tax_f</f>
        <v>67.662184858185</v>
      </c>
    </row>
    <row r="3817" customFormat="false" ht="15" hidden="false" customHeight="false" outlineLevel="0" collapsed="false">
      <c r="A3817" s="1" t="s">
        <v>825</v>
      </c>
      <c r="B3817" s="0" t="s">
        <v>95</v>
      </c>
      <c r="D3817" s="6" t="n">
        <f aca="false">Sens!D3815-Sens!D3816</f>
        <v>101.832</v>
      </c>
      <c r="E3817" s="6" t="n">
        <f aca="false">Sens!E3815-Sens!E3816</f>
        <v>133.749</v>
      </c>
      <c r="F3817" s="6" t="n">
        <f aca="false">Sens!F3815-Sens!F3816</f>
        <v>146.503711458233</v>
      </c>
      <c r="G3817" s="6" t="n">
        <f aca="false">Sens!G3815-Sens!G3816</f>
        <v>173.08422366505</v>
      </c>
      <c r="H3817" s="6" t="n">
        <f aca="false">Sens!H3815-Sens!H3816</f>
        <v>203.797602002083</v>
      </c>
      <c r="I3817" s="6" t="n">
        <f aca="false">Sens!I3815-Sens!I3816</f>
        <v>228.316378722669</v>
      </c>
      <c r="J3817" s="6" t="n">
        <f aca="false">Sens!J3815-Sens!J3816</f>
        <v>250.555188978232</v>
      </c>
      <c r="K3817" s="6" t="n">
        <f aca="false">Sens!K3815-Sens!K3816</f>
        <v>270.64873943274</v>
      </c>
    </row>
    <row r="3818" customFormat="false" ht="17.15" hidden="false" customHeight="false" outlineLevel="0" collapsed="false">
      <c r="A3818" s="1" t="s">
        <v>826</v>
      </c>
      <c r="B3818" s="1" t="s">
        <v>79</v>
      </c>
      <c r="D3818" s="18" t="n">
        <f aca="false">Q!L31</f>
        <v>7.465</v>
      </c>
      <c r="E3818" s="18" t="n">
        <f aca="false">Q!M31</f>
        <v>7.453</v>
      </c>
      <c r="F3818" s="18" t="n">
        <f aca="false">Sens!F3855</f>
        <v>7.4735</v>
      </c>
      <c r="G3818" s="18" t="n">
        <f aca="false">Sens!G3855</f>
        <v>7.50991174476527</v>
      </c>
      <c r="H3818" s="18" t="n">
        <f aca="false">Sens!H3855</f>
        <v>7.52907507538049</v>
      </c>
      <c r="I3818" s="18" t="n">
        <f aca="false">Sens!I3855</f>
        <v>7.5408559073878</v>
      </c>
      <c r="J3818" s="18" t="n">
        <f aca="false">Sens!J3855</f>
        <v>7.55509741850569</v>
      </c>
      <c r="K3818" s="18" t="n">
        <f aca="false">Sens!K3855</f>
        <v>7.57161733620743</v>
      </c>
    </row>
    <row r="3819" customFormat="false" ht="17.15" hidden="false" customHeight="false" outlineLevel="0" collapsed="false">
      <c r="A3819" s="0" t="s">
        <v>827</v>
      </c>
      <c r="B3819" s="0" t="s">
        <v>73</v>
      </c>
      <c r="D3819" s="8" t="n">
        <f aca="false">Sens!D3817/Sens!D3818</f>
        <v>13.641259209645</v>
      </c>
      <c r="E3819" s="8" t="n">
        <f aca="false">Sens!E3817/Sens!E3818</f>
        <v>17.9456594659869</v>
      </c>
      <c r="F3819" s="8" t="n">
        <f aca="false">Sens!F3817/Sens!F3818</f>
        <v>19.6030924544368</v>
      </c>
      <c r="G3819" s="8" t="n">
        <f aca="false">Sens!G3817/Sens!G3818</f>
        <v>23.0474377792385</v>
      </c>
      <c r="H3819" s="8" t="n">
        <f aca="false">Sens!H3817/Sens!H3818</f>
        <v>27.0680794070557</v>
      </c>
      <c r="I3819" s="8" t="n">
        <f aca="false">Sens!I3817/Sens!I3818</f>
        <v>30.2772498940057</v>
      </c>
      <c r="J3819" s="8" t="n">
        <f aca="false">Sens!J3817/Sens!J3818</f>
        <v>33.163727096955</v>
      </c>
      <c r="K3819" s="8" t="n">
        <f aca="false">Sens!K3817/Sens!K3818</f>
        <v>35.7451687552274</v>
      </c>
      <c r="L3819" s="1" t="s">
        <v>828</v>
      </c>
    </row>
    <row r="3820" customFormat="false" ht="17.15" hidden="false" customHeight="false" outlineLevel="0" collapsed="false">
      <c r="A3820" s="0" t="s">
        <v>829</v>
      </c>
      <c r="B3820" s="0" t="s">
        <v>126</v>
      </c>
      <c r="E3820" s="7" t="n">
        <f aca="false">Sens!E3819/Sens!D3819-1</f>
        <v>0.315542736208578</v>
      </c>
      <c r="F3820" s="7" t="n">
        <f aca="false">Sens!F3819/Sens!E3819-1</f>
        <v>0.0923584330568266</v>
      </c>
      <c r="G3820" s="7" t="n">
        <f aca="false">Sens!G3819/Sens!F3819-1</f>
        <v>0.175704182021655</v>
      </c>
      <c r="H3820" s="7" t="n">
        <f aca="false">Sens!H3819/Sens!G3819-1</f>
        <v>0.174450698872872</v>
      </c>
      <c r="I3820" s="7" t="n">
        <f aca="false">Sens!I3819/Sens!H3819-1</f>
        <v>0.118559223899478</v>
      </c>
      <c r="J3820" s="7" t="n">
        <f aca="false">Sens!J3819/Sens!I3819-1</f>
        <v>0.0953348541579664</v>
      </c>
      <c r="K3820" s="7" t="n">
        <f aca="false">Sens!K3819/Sens!J3819-1</f>
        <v>0.0778393107241995</v>
      </c>
    </row>
    <row r="3821" customFormat="false" ht="17.15" hidden="false" customHeight="false" outlineLevel="0" collapsed="false">
      <c r="A3821" s="0" t="s">
        <v>763</v>
      </c>
      <c r="B3821" s="0" t="s">
        <v>95</v>
      </c>
      <c r="E3821" s="6" t="n">
        <f aca="false">Sens!E3766</f>
        <v>5.25</v>
      </c>
      <c r="F3821" s="6" t="n">
        <f aca="false">Sens!F3766</f>
        <v>13.5</v>
      </c>
      <c r="G3821" s="6" t="n">
        <f aca="false">Sens!G3766</f>
        <v>22.5</v>
      </c>
      <c r="H3821" s="6" t="n">
        <f aca="false">Sens!H3766</f>
        <v>31.5</v>
      </c>
      <c r="I3821" s="6" t="n">
        <f aca="false">Sens!I3766</f>
        <v>38.25</v>
      </c>
      <c r="J3821" s="6" t="n">
        <f aca="false">Sens!J3766</f>
        <v>42.75</v>
      </c>
      <c r="K3821" s="6" t="n">
        <f aca="false">Sens!K3766</f>
        <v>47.25</v>
      </c>
    </row>
    <row r="3822" customFormat="false" ht="17.15" hidden="false" customHeight="false" outlineLevel="0" collapsed="false">
      <c r="A3822" s="0" t="s">
        <v>764</v>
      </c>
      <c r="B3822" s="0" t="s">
        <v>95</v>
      </c>
      <c r="E3822" s="6" t="n">
        <f aca="false">Sens!E3746+Sens!E3821*Sens!E3805-Sens!E3747-Sens!E3757</f>
        <v>4.25599569621144</v>
      </c>
      <c r="F3822" s="6" t="n">
        <f aca="false">Sens!F3746+Sens!F3821*Sens!F3805-Sens!F3747-Sens!F3757</f>
        <v>14.0657126397773</v>
      </c>
      <c r="G3822" s="6" t="n">
        <f aca="false">Sens!G3746+Sens!G3821*Sens!G3805-Sens!G3747-Sens!G3757</f>
        <v>27.9215138526082</v>
      </c>
      <c r="H3822" s="6" t="n">
        <f aca="false">Sens!H3746+Sens!H3821*Sens!H3805-Sens!H3747-Sens!H3757</f>
        <v>46.6255806859691</v>
      </c>
      <c r="I3822" s="6" t="n">
        <f aca="false">Sens!I3746+Sens!I3821*Sens!I3805-Sens!I3747-Sens!I3757</f>
        <v>57.9497131579753</v>
      </c>
      <c r="J3822" s="6" t="n">
        <f aca="false">Sens!J3746+Sens!J3821*Sens!J3805-Sens!J3747-Sens!J3757</f>
        <v>67.5441560609949</v>
      </c>
      <c r="K3822" s="6" t="n">
        <f aca="false">Sens!K3746+Sens!K3821*Sens!K3805-Sens!K3747-Sens!K3757</f>
        <v>76.3562171676224</v>
      </c>
    </row>
    <row r="3823" customFormat="false" ht="17.15" hidden="false" customHeight="false" outlineLevel="0" collapsed="false">
      <c r="A3823" s="0" t="s">
        <v>765</v>
      </c>
      <c r="B3823" s="0" t="s">
        <v>95</v>
      </c>
      <c r="E3823" s="6" t="n">
        <f aca="false">Sens!E3729*(cxit_open+self_build*tk_cxfac)/1000*ai_net_open</f>
        <v>126.6980382</v>
      </c>
      <c r="F3823" s="6" t="n">
        <f aca="false">Sens!E3823+Sens!F3754-Sens!F3757</f>
        <v>265.052419136835</v>
      </c>
      <c r="G3823" s="6" t="n">
        <f aca="false">Sens!F3823+Sens!G3754-Sens!G3757</f>
        <v>396.216339568315</v>
      </c>
      <c r="H3823" s="6" t="n">
        <f aca="false">Sens!G3823+Sens!H3754-Sens!H3757</f>
        <v>508.312868627453</v>
      </c>
      <c r="I3823" s="6" t="n">
        <f aca="false">Sens!H3823+Sens!I3754-Sens!I3757</f>
        <v>596.514036213676</v>
      </c>
      <c r="J3823" s="6" t="n">
        <f aca="false">Sens!I3823+Sens!J3754-Sens!J3757</f>
        <v>690.526711191152</v>
      </c>
      <c r="K3823" s="6" t="n">
        <f aca="false">Sens!J3823+Sens!K3754-Sens!K3757</f>
        <v>774.696977477737</v>
      </c>
      <c r="L3823" s="1" t="s">
        <v>766</v>
      </c>
    </row>
    <row r="3824" customFormat="false" ht="17.15" hidden="false" customHeight="false" outlineLevel="0" collapsed="false">
      <c r="A3824" s="0" t="s">
        <v>767</v>
      </c>
      <c r="B3824" s="0" t="s">
        <v>126</v>
      </c>
      <c r="F3824" s="7" t="n">
        <f aca="false">Sens!F3822*(1-tax_f)/((Sens!E3823+Sens!F3823)/2)</f>
        <v>0.0574476425034349</v>
      </c>
      <c r="G3824" s="7" t="n">
        <f aca="false">Sens!G3822*(1-tax_f)/((Sens!F3823+Sens!G3823)/2)</f>
        <v>0.0675586462781811</v>
      </c>
      <c r="H3824" s="7" t="n">
        <f aca="false">Sens!H3822*(1-tax_f)/((Sens!G3823+Sens!H3823)/2)</f>
        <v>0.0824748702657756</v>
      </c>
      <c r="I3824" s="7" t="n">
        <f aca="false">Sens!I3822*(1-tax_f)/((Sens!H3823+Sens!I3823)/2)</f>
        <v>0.0839222331086275</v>
      </c>
      <c r="J3824" s="7" t="n">
        <f aca="false">Sens!J3822*(1-tax_f)/((Sens!I3823+Sens!J3823)/2)</f>
        <v>0.0839683202847338</v>
      </c>
      <c r="K3824" s="7" t="n">
        <f aca="false">Sens!K3822*(1-tax_f)/((Sens!J3823+Sens!K3823)/2)</f>
        <v>0.0833797244836954</v>
      </c>
    </row>
    <row r="3825" customFormat="false" ht="17.15" hidden="false" customHeight="false" outlineLevel="0" collapsed="false">
      <c r="A3825" s="1" t="s">
        <v>768</v>
      </c>
      <c r="B3825" s="0" t="s">
        <v>126</v>
      </c>
      <c r="F3825" s="7" t="n">
        <f aca="false">Sens!F3758*(1-tax_f)/(Sens!F3745*(Sens!E3823+Sens!F3823)/2)</f>
        <v>0.170571783374027</v>
      </c>
      <c r="G3825" s="7" t="n">
        <f aca="false">Sens!G3758*(1-tax_f)/(Sens!G3745*(Sens!F3823+Sens!G3823)/2)</f>
        <v>0.189636042248862</v>
      </c>
      <c r="H3825" s="7" t="n">
        <f aca="false">Sens!H3758*(1-tax_f)/(Sens!H3745*(Sens!G3823+Sens!H3823)/2)</f>
        <v>0.219869428868887</v>
      </c>
      <c r="I3825" s="7" t="n">
        <f aca="false">Sens!I3758*(1-tax_f)/(Sens!I3745*(Sens!H3823+Sens!I3823)/2)</f>
        <v>0.232094861929006</v>
      </c>
      <c r="J3825" s="7" t="n">
        <f aca="false">Sens!J3758*(1-tax_f)/(Sens!J3745*(Sens!I3823+Sens!J3823)/2)</f>
        <v>0.243454821237683</v>
      </c>
      <c r="K3825" s="7" t="n">
        <f aca="false">Sens!K3758*(1-tax_f)/(Sens!K3745*(Sens!J3823+Sens!K3823)/2)</f>
        <v>0.251880008957304</v>
      </c>
    </row>
    <row r="3826" customFormat="false" ht="17.15" hidden="false" customHeight="false" outlineLevel="0" collapsed="false">
      <c r="A3826" s="0" t="s">
        <v>769</v>
      </c>
      <c r="B3826" s="0" t="s">
        <v>208</v>
      </c>
      <c r="F3826" s="7" t="n">
        <f aca="false">Sens!F3824-wacc</f>
        <v>-0.051515578646819</v>
      </c>
      <c r="G3826" s="7" t="n">
        <f aca="false">Sens!G3824-wacc</f>
        <v>-0.0414045748720729</v>
      </c>
      <c r="H3826" s="7" t="n">
        <f aca="false">Sens!H3824-wacc</f>
        <v>-0.0264883508844784</v>
      </c>
      <c r="I3826" s="7" t="n">
        <f aca="false">Sens!I3824-wacc</f>
        <v>-0.0250409880416265</v>
      </c>
      <c r="J3826" s="7" t="n">
        <f aca="false">Sens!J3824-wacc</f>
        <v>-0.0249949008655201</v>
      </c>
      <c r="K3826" s="7" t="n">
        <f aca="false">Sens!K3824-wacc</f>
        <v>-0.0255834966665586</v>
      </c>
    </row>
    <row r="3827" customFormat="false" ht="17.15" hidden="false" customHeight="false" outlineLevel="0" collapsed="false">
      <c r="A3827" s="0" t="s">
        <v>770</v>
      </c>
      <c r="B3827" s="0" t="s">
        <v>95</v>
      </c>
      <c r="F3827" s="6" t="n">
        <f aca="false">Sens!F3822*(1-tax_f)-wacc*(Sens!E3823+Sens!F3823)/2</f>
        <v>-10.0906257474315</v>
      </c>
      <c r="G3827" s="6" t="n">
        <f aca="false">Sens!G3822*(1-tax_f)-wacc*(Sens!F3823+Sens!G3823)/2</f>
        <v>-13.6897759151851</v>
      </c>
      <c r="H3827" s="6" t="n">
        <f aca="false">Sens!H3822*(1-tax_f)-wacc*(Sens!G3823+Sens!H3823)/2</f>
        <v>-11.9797435259745</v>
      </c>
      <c r="I3827" s="6" t="n">
        <f aca="false">Sens!I3822*(1-tax_f)-wacc*(Sens!H3823+Sens!I3823)/2</f>
        <v>-13.832978656097</v>
      </c>
      <c r="J3827" s="6" t="n">
        <f aca="false">Sens!J3822*(1-tax_f)-wacc*(Sens!I3823+Sens!J3823)/2</f>
        <v>-16.0847279456343</v>
      </c>
      <c r="K3827" s="6" t="n">
        <f aca="false">Sens!K3822*(1-tax_f)-wacc*(Sens!J3823+Sens!K3823)/2</f>
        <v>-18.7427726774116</v>
      </c>
    </row>
    <row r="3828" customFormat="false" ht="17.15" hidden="false" customHeight="false" outlineLevel="0" collapsed="false">
      <c r="A3828" s="1" t="s">
        <v>771</v>
      </c>
      <c r="B3828" s="0" t="s">
        <v>95</v>
      </c>
      <c r="F3828" s="6" t="n">
        <f aca="false">(Sens!E3730+Sens!F3730)/2*Sens!F3737/1000</f>
        <v>26.7873066765967</v>
      </c>
      <c r="G3828" s="6" t="n">
        <f aca="false">(Sens!F3730+Sens!G3730)/2*Sens!G3737/1000</f>
        <v>45.4131817597218</v>
      </c>
      <c r="H3828" s="6" t="n">
        <f aca="false">(Sens!G3730+Sens!H3730)/2*Sens!H3737/1000</f>
        <v>65.3915129357971</v>
      </c>
      <c r="I3828" s="6" t="n">
        <f aca="false">(Sens!H3730+Sens!I3730)/2*Sens!I3737/1000</f>
        <v>85.5187419289299</v>
      </c>
      <c r="J3828" s="6" t="n">
        <f aca="false">(Sens!I3730+Sens!J3730)/2*Sens!J3737/1000</f>
        <v>105.723807195006</v>
      </c>
      <c r="K3828" s="6" t="n">
        <f aca="false">(Sens!J3730+Sens!K3730)/2*Sens!K3737/1000</f>
        <v>125.974659797015</v>
      </c>
      <c r="L3828" s="1" t="s">
        <v>772</v>
      </c>
    </row>
    <row r="3829" customFormat="false" ht="17.15" hidden="false" customHeight="false" outlineLevel="0" collapsed="false">
      <c r="A3829" s="1" t="s">
        <v>773</v>
      </c>
      <c r="B3829" s="0" t="s">
        <v>126</v>
      </c>
      <c r="F3829" s="7" t="n">
        <f aca="false">(Sens!F3746+Sens!F3828-Sens!F3747-Sens!F3757)*(1-tax_f)/((Sens!E3823+Sens!F3823)/2)</f>
        <v>0.135865909838083</v>
      </c>
      <c r="G3829" s="7" t="n">
        <f aca="false">(Sens!G3746+Sens!G3828-Sens!G3747-Sens!G3757)*(1-tax_f)/((Sens!F3823+Sens!G3823)/2)</f>
        <v>0.146843998576507</v>
      </c>
      <c r="H3829" s="7" t="n">
        <f aca="false">(Sens!H3746+Sens!H3828-Sens!H3747-Sens!H3757)*(1-tax_f)/((Sens!G3823+Sens!H3823)/2)</f>
        <v>0.166829681543384</v>
      </c>
      <c r="I3829" s="7" t="n">
        <f aca="false">(Sens!I3746+Sens!I3828-Sens!I3747-Sens!I3757)*(1-tax_f)/((Sens!H3823+Sens!I3823)/2)</f>
        <v>0.176638392805027</v>
      </c>
      <c r="J3829" s="7" t="n">
        <f aca="false">(Sens!J3746+Sens!J3828-Sens!J3747-Sens!J3757)*(1-tax_f)/((Sens!I3823+Sens!J3823)/2)</f>
        <v>0.18553229918119</v>
      </c>
      <c r="K3829" s="7" t="n">
        <f aca="false">(Sens!K3746+Sens!K3828-Sens!K3747-Sens!K3757)*(1-tax_f)/((Sens!J3823+Sens!K3823)/2)</f>
        <v>0.19194465681323</v>
      </c>
      <c r="L3829" s="1" t="s">
        <v>774</v>
      </c>
    </row>
    <row r="3830" customFormat="false" ht="17.15" hidden="false" customHeight="false" outlineLevel="0" collapsed="false">
      <c r="A3830" s="3" t="s">
        <v>1222</v>
      </c>
    </row>
    <row r="3831" customFormat="false" ht="15" hidden="false" customHeight="false" outlineLevel="0" collapsed="false">
      <c r="A3831" s="4" t="s">
        <v>43</v>
      </c>
      <c r="B3831" s="4" t="s">
        <v>63</v>
      </c>
      <c r="C3831" s="19" t="s">
        <v>710</v>
      </c>
      <c r="D3831" s="19" t="s">
        <v>711</v>
      </c>
      <c r="E3831" s="19" t="s">
        <v>712</v>
      </c>
      <c r="F3831" s="19" t="s">
        <v>713</v>
      </c>
      <c r="G3831" s="19" t="s">
        <v>714</v>
      </c>
      <c r="H3831" s="19" t="s">
        <v>715</v>
      </c>
      <c r="I3831" s="19" t="s">
        <v>716</v>
      </c>
      <c r="J3831" s="19" t="s">
        <v>717</v>
      </c>
      <c r="K3831" s="19" t="s">
        <v>718</v>
      </c>
      <c r="L3831" s="4" t="s">
        <v>47</v>
      </c>
    </row>
    <row r="3832" customFormat="false" ht="15" hidden="false" customHeight="false" outlineLevel="0" collapsed="false">
      <c r="A3832" s="1" t="s">
        <v>825</v>
      </c>
      <c r="B3832" s="0" t="s">
        <v>95</v>
      </c>
      <c r="F3832" s="6" t="n">
        <f aca="false">Sens!F3817</f>
        <v>146.503711458233</v>
      </c>
      <c r="G3832" s="6" t="n">
        <f aca="false">Sens!G3817</f>
        <v>173.08422366505</v>
      </c>
      <c r="H3832" s="6" t="n">
        <f aca="false">Sens!H3817</f>
        <v>203.797602002083</v>
      </c>
      <c r="I3832" s="6" t="n">
        <f aca="false">Sens!I3817</f>
        <v>228.316378722669</v>
      </c>
      <c r="J3832" s="6" t="n">
        <f aca="false">Sens!J3817</f>
        <v>250.555188978232</v>
      </c>
      <c r="K3832" s="6" t="n">
        <f aca="false">Sens!K3817</f>
        <v>270.64873943274</v>
      </c>
    </row>
    <row r="3833" customFormat="false" ht="17.15" hidden="false" customHeight="false" outlineLevel="0" collapsed="false">
      <c r="A3833" s="1" t="s">
        <v>843</v>
      </c>
      <c r="B3833" s="0" t="s">
        <v>95</v>
      </c>
      <c r="E3833" s="6" t="n">
        <f aca="false">Q!M38-Sens!E3757</f>
        <v>24.3801052339286</v>
      </c>
      <c r="F3833" s="6" t="n">
        <f aca="false">Sens!E3833*(1-1/life_nonai)+Sens!F3839/life_nonai</f>
        <v>25.515029433492</v>
      </c>
      <c r="G3833" s="6" t="n">
        <f aca="false">Sens!F3833*(1-1/life_nonai)+Sens!G3839/life_nonai</f>
        <v>27.1238158471817</v>
      </c>
      <c r="H3833" s="6" t="n">
        <f aca="false">Sens!G3833*(1-1/life_nonai)+Sens!H3839/life_nonai</f>
        <v>29.1675856268725</v>
      </c>
      <c r="I3833" s="6" t="n">
        <f aca="false">Sens!H3833*(1-1/life_nonai)+Sens!I3839/life_nonai</f>
        <v>31.5681670953496</v>
      </c>
      <c r="J3833" s="6" t="n">
        <f aca="false">Sens!I3833*(1-1/life_nonai)+Sens!J3839/life_nonai</f>
        <v>34.2319417108521</v>
      </c>
      <c r="K3833" s="6" t="n">
        <f aca="false">Sens!J3833*(1-1/life_nonai)+Sens!K3839/life_nonai</f>
        <v>37.0731178139662</v>
      </c>
      <c r="L3833" s="11" t="s">
        <v>844</v>
      </c>
    </row>
    <row r="3834" customFormat="false" ht="17.15" hidden="false" customHeight="false" outlineLevel="0" collapsed="false">
      <c r="A3834" s="1" t="s">
        <v>845</v>
      </c>
      <c r="B3834" s="0" t="s">
        <v>95</v>
      </c>
      <c r="E3834" s="6" t="n">
        <f aca="false">Sens!E3757+Sens!E3833</f>
        <v>38.534</v>
      </c>
      <c r="F3834" s="6" t="n">
        <f aca="false">Sens!F3757+Sens!F3833</f>
        <v>55.6313012670946</v>
      </c>
      <c r="G3834" s="6" t="n">
        <f aca="false">Sens!G3757+Sens!G3833</f>
        <v>79.5340758989013</v>
      </c>
      <c r="H3834" s="6" t="n">
        <f aca="false">Sens!H3757+Sens!H3833</f>
        <v>105.151342478135</v>
      </c>
      <c r="I3834" s="6" t="n">
        <f aca="false">Sens!I3757+Sens!I3833</f>
        <v>131.447285419526</v>
      </c>
      <c r="J3834" s="6" t="n">
        <f aca="false">Sens!J3757+Sens!J3833</f>
        <v>158.558227990443</v>
      </c>
      <c r="K3834" s="6" t="n">
        <f aca="false">Sens!K3757+Sens!K3833</f>
        <v>186.679912451114</v>
      </c>
    </row>
    <row r="3835" customFormat="false" ht="15" hidden="false" customHeight="false" outlineLevel="0" collapsed="false">
      <c r="A3835" s="1" t="s">
        <v>685</v>
      </c>
      <c r="B3835" s="0" t="s">
        <v>95</v>
      </c>
      <c r="F3835" s="6" t="n">
        <f aca="false">Sens!F3784*sbc_r</f>
        <v>15.1240791253967</v>
      </c>
      <c r="G3835" s="6" t="n">
        <f aca="false">Sens!G3784*sbc_r</f>
        <v>18.3778786594202</v>
      </c>
      <c r="H3835" s="6" t="n">
        <f aca="false">Sens!H3784*sbc_r</f>
        <v>21.8771522065674</v>
      </c>
      <c r="I3835" s="6" t="n">
        <f aca="false">Sens!I3784*sbc_r</f>
        <v>25.059706918623</v>
      </c>
      <c r="J3835" s="6" t="n">
        <f aca="false">Sens!J3784*sbc_r</f>
        <v>28.0933903175066</v>
      </c>
      <c r="K3835" s="6" t="n">
        <f aca="false">Sens!K3784*sbc_r</f>
        <v>31.0080606151698</v>
      </c>
    </row>
    <row r="3836" customFormat="false" ht="17.15" hidden="false" customHeight="false" outlineLevel="0" collapsed="false">
      <c r="A3836" s="1" t="s">
        <v>846</v>
      </c>
      <c r="B3836" s="0" t="s">
        <v>95</v>
      </c>
      <c r="F3836" s="6" t="n">
        <f aca="false">wc27</f>
        <v>-4.895</v>
      </c>
      <c r="G3836" s="6" t="n">
        <f aca="false">0</f>
        <v>0</v>
      </c>
      <c r="H3836" s="6" t="n">
        <f aca="false">0</f>
        <v>0</v>
      </c>
      <c r="I3836" s="6" t="n">
        <f aca="false">0</f>
        <v>0</v>
      </c>
      <c r="J3836" s="6" t="n">
        <f aca="false">0</f>
        <v>0</v>
      </c>
      <c r="K3836" s="6" t="n">
        <f aca="false">0</f>
        <v>0</v>
      </c>
      <c r="L3836" s="11" t="s">
        <v>847</v>
      </c>
    </row>
    <row r="3837" customFormat="false" ht="15" hidden="false" customHeight="false" outlineLevel="0" collapsed="false">
      <c r="A3837" s="1" t="s">
        <v>678</v>
      </c>
      <c r="B3837" s="0" t="s">
        <v>95</v>
      </c>
      <c r="E3837" s="6" t="n">
        <f aca="false">Q!M35</f>
        <v>182.935</v>
      </c>
      <c r="F3837" s="6" t="n">
        <f aca="false">Sens!F3832+Sens!F3834+Sens!F3835+Sens!F3836</f>
        <v>212.364091850725</v>
      </c>
      <c r="G3837" s="6" t="n">
        <f aca="false">Sens!G3832+Sens!G3834+Sens!G3835+Sens!G3836</f>
        <v>270.996178223372</v>
      </c>
      <c r="H3837" s="6" t="n">
        <f aca="false">Sens!H3832+Sens!H3834+Sens!H3835+Sens!H3836</f>
        <v>330.826096686785</v>
      </c>
      <c r="I3837" s="6" t="n">
        <f aca="false">Sens!I3832+Sens!I3834+Sens!I3835+Sens!I3836</f>
        <v>384.823371060819</v>
      </c>
      <c r="J3837" s="6" t="n">
        <f aca="false">Sens!J3832+Sens!J3834+Sens!J3835+Sens!J3836</f>
        <v>437.206807286182</v>
      </c>
      <c r="K3837" s="6" t="n">
        <f aca="false">Sens!K3832+Sens!K3834+Sens!K3835+Sens!K3836</f>
        <v>488.336712499024</v>
      </c>
    </row>
    <row r="3838" customFormat="false" ht="17.15" hidden="false" customHeight="false" outlineLevel="0" collapsed="false">
      <c r="A3838" s="0" t="s">
        <v>848</v>
      </c>
      <c r="B3838" s="0" t="s">
        <v>95</v>
      </c>
      <c r="F3838" s="6" t="n">
        <f aca="false">Sens!F3754</f>
        <v>168.470652770438</v>
      </c>
      <c r="G3838" s="6" t="n">
        <f aca="false">Sens!G3754</f>
        <v>183.5741804832</v>
      </c>
      <c r="H3838" s="6" t="n">
        <f aca="false">Sens!H3754</f>
        <v>188.0802859104</v>
      </c>
      <c r="I3838" s="6" t="n">
        <f aca="false">Sens!I3754</f>
        <v>188.0802859104</v>
      </c>
      <c r="J3838" s="6" t="n">
        <f aca="false">Sens!J3754</f>
        <v>218.338961257067</v>
      </c>
      <c r="K3838" s="6" t="n">
        <f aca="false">Sens!K3754</f>
        <v>233.777060923733</v>
      </c>
    </row>
    <row r="3839" customFormat="false" ht="17.15" hidden="false" customHeight="false" outlineLevel="0" collapsed="false">
      <c r="A3839" s="1" t="s">
        <v>849</v>
      </c>
      <c r="B3839" s="0" t="s">
        <v>95</v>
      </c>
      <c r="E3839" s="6" t="n">
        <f aca="false">Sens!E3762*cx_azo+Sens!E3769*cx_m365+Sens!E3770*cx_lic+(Sens!E3772+Sens!E3774)*cx_ind+Sens!E3777*cx_srch+(Sens!E3779+Sens!E3781)*cx_dev</f>
        <v>30.1846587067718</v>
      </c>
      <c r="F3839" s="6" t="n">
        <f aca="false">Sens!F3762*cx_azo+Sens!F3769*cx_m365+Sens!F3770*cx_lic+(Sens!F3772+Sens!F3774)*cx_ind+Sens!F3777*cx_srch+(Sens!F3779+Sens!F3781)*cx_dev</f>
        <v>35.7293472295625</v>
      </c>
      <c r="G3839" s="6" t="n">
        <f aca="false">Sens!G3762*cx_azo+Sens!G3769*cx_m365+Sens!G3770*cx_lic+(Sens!G3772+Sens!G3774)*cx_ind+Sens!G3777*cx_srch+(Sens!G3779+Sens!G3781)*cx_dev</f>
        <v>41.6028935703892</v>
      </c>
      <c r="H3839" s="6" t="n">
        <f aca="false">Sens!H3762*cx_azo+Sens!H3769*cx_m365+Sens!H3770*cx_lic+(Sens!H3772+Sens!H3774)*cx_ind+Sens!H3777*cx_srch+(Sens!H3779+Sens!H3781)*cx_dev</f>
        <v>47.5615136440897</v>
      </c>
      <c r="I3839" s="6" t="n">
        <f aca="false">Sens!I3762*cx_azo+Sens!I3769*cx_m365+Sens!I3770*cx_lic+(Sens!I3772+Sens!I3774)*cx_ind+Sens!I3777*cx_srch+(Sens!I3779+Sens!I3781)*cx_dev</f>
        <v>53.1734003116439</v>
      </c>
      <c r="J3839" s="6" t="n">
        <f aca="false">Sens!J3762*cx_azo+Sens!J3769*cx_m365+Sens!J3770*cx_lic+(Sens!J3772+Sens!J3774)*cx_ind+Sens!J3777*cx_srch+(Sens!J3779+Sens!J3781)*cx_dev</f>
        <v>58.2059132503738</v>
      </c>
      <c r="K3839" s="6" t="n">
        <f aca="false">Sens!K3762*cx_azo+Sens!K3769*cx_m365+Sens!K3770*cx_lic+(Sens!K3772+Sens!K3774)*cx_ind+Sens!K3777*cx_srch+(Sens!K3779+Sens!K3781)*cx_dev</f>
        <v>62.643702741994</v>
      </c>
    </row>
    <row r="3840" customFormat="false" ht="17.15" hidden="false" customHeight="false" outlineLevel="0" collapsed="false">
      <c r="A3840" s="1" t="s">
        <v>850</v>
      </c>
      <c r="B3840" s="0" t="s">
        <v>95</v>
      </c>
      <c r="E3840" s="6" t="n">
        <f aca="false">Q!M42</f>
        <v>145.3</v>
      </c>
      <c r="F3840" s="6" t="n">
        <f aca="false">Sens!F3838+Sens!F3839</f>
        <v>204.2</v>
      </c>
      <c r="G3840" s="6" t="n">
        <f aca="false">Sens!G3838+Sens!G3839</f>
        <v>225.177074053589</v>
      </c>
      <c r="H3840" s="6" t="n">
        <f aca="false">Sens!H3838+Sens!H3839</f>
        <v>235.64179955449</v>
      </c>
      <c r="I3840" s="6" t="n">
        <f aca="false">Sens!I3838+Sens!I3839</f>
        <v>241.253686222044</v>
      </c>
      <c r="J3840" s="6" t="n">
        <f aca="false">Sens!J3838+Sens!J3839</f>
        <v>276.54487450744</v>
      </c>
      <c r="K3840" s="6" t="n">
        <f aca="false">Sens!K3838+Sens!K3839</f>
        <v>296.420763665727</v>
      </c>
      <c r="L3840" s="1" t="s">
        <v>851</v>
      </c>
    </row>
    <row r="3841" customFormat="false" ht="15" hidden="false" customHeight="false" outlineLevel="0" collapsed="false">
      <c r="A3841" s="1" t="s">
        <v>852</v>
      </c>
      <c r="B3841" s="0" t="s">
        <v>95</v>
      </c>
      <c r="E3841" s="6" t="n">
        <f aca="false">fl_liab</f>
        <v>66.594</v>
      </c>
      <c r="F3841" s="6" t="n">
        <f aca="false">Sens!E3841-Sens!F3842</f>
        <v>62.46973</v>
      </c>
      <c r="G3841" s="6" t="n">
        <f aca="false">Sens!F3841-Sens!G3842</f>
        <v>57.98686785</v>
      </c>
      <c r="H3841" s="6" t="n">
        <f aca="false">Sens!G3841-Sens!H3842</f>
        <v>53.92827690325</v>
      </c>
      <c r="I3841" s="6" t="n">
        <f aca="false">Sens!H3841-Sens!I3842</f>
        <v>49.7850493638962</v>
      </c>
      <c r="J3841" s="6" t="n">
        <f aca="false">Sens!I3841-Sens!J3842</f>
        <v>45.4823765852716</v>
      </c>
      <c r="K3841" s="6" t="n">
        <f aca="false">Sens!J3841-Sens!K3842</f>
        <v>40.9860835316088</v>
      </c>
    </row>
    <row r="3842" customFormat="false" ht="15" hidden="false" customHeight="false" outlineLevel="0" collapsed="false">
      <c r="A3842" s="1" t="s">
        <v>853</v>
      </c>
      <c r="B3842" s="0" t="s">
        <v>95</v>
      </c>
      <c r="F3842" s="6" t="n">
        <f aca="false">fl_pay_27-Sens!E3841*fl_rate</f>
        <v>4.12427</v>
      </c>
      <c r="G3842" s="6" t="n">
        <f aca="false">fl_pay_28-Sens!F3841*fl_rate</f>
        <v>4.48286215</v>
      </c>
      <c r="H3842" s="6" t="n">
        <f aca="false">fl_pay_29-Sens!G3841*fl_rate</f>
        <v>4.05859094675</v>
      </c>
      <c r="I3842" s="6" t="n">
        <f aca="false">fl_pay_30-Sens!H3841*fl_rate</f>
        <v>4.14322753935375</v>
      </c>
      <c r="J3842" s="6" t="n">
        <f aca="false">fl_pay_31-Sens!I3841*fl_rate</f>
        <v>4.30267277862467</v>
      </c>
      <c r="K3842" s="6" t="n">
        <f aca="false">fl_pay_32-Sens!J3841*fl_rate</f>
        <v>4.49629305366278</v>
      </c>
    </row>
    <row r="3843" customFormat="false" ht="17.15" hidden="false" customHeight="false" outlineLevel="0" collapsed="false">
      <c r="A3843" s="1" t="s">
        <v>854</v>
      </c>
      <c r="B3843" s="0" t="s">
        <v>95</v>
      </c>
      <c r="E3843" s="6" t="n">
        <f aca="false">Q!M35-Q!M36-Q!M43</f>
        <v>63.886</v>
      </c>
      <c r="F3843" s="6" t="n">
        <f aca="false">Sens!F3837-Sens!F3840-Sens!F3842</f>
        <v>4.03982185072482</v>
      </c>
      <c r="G3843" s="6" t="n">
        <f aca="false">Sens!G3837-Sens!G3840-Sens!G3842</f>
        <v>41.3362420197822</v>
      </c>
      <c r="H3843" s="6" t="n">
        <f aca="false">Sens!H3837-Sens!H3840-Sens!H3842</f>
        <v>91.1257061855458</v>
      </c>
      <c r="I3843" s="6" t="n">
        <f aca="false">Sens!I3837-Sens!I3840-Sens!I3842</f>
        <v>139.426457299421</v>
      </c>
      <c r="J3843" s="6" t="n">
        <f aca="false">Sens!J3837-Sens!J3840-Sens!J3842</f>
        <v>156.359260000117</v>
      </c>
      <c r="K3843" s="6" t="n">
        <f aca="false">Sens!K3837-Sens!K3840-Sens!K3842</f>
        <v>187.419655779634</v>
      </c>
      <c r="L3843" s="11" t="s">
        <v>855</v>
      </c>
    </row>
    <row r="3844" customFormat="false" ht="15" hidden="false" customHeight="false" outlineLevel="0" collapsed="false">
      <c r="A3844" s="1" t="s">
        <v>856</v>
      </c>
      <c r="B3844" s="0" t="s">
        <v>73</v>
      </c>
      <c r="F3844" s="8" t="n">
        <f aca="false">dps_27</f>
        <v>3.85</v>
      </c>
      <c r="G3844" s="8" t="n">
        <f aca="false">Sens!F3844*(1+dps_g)</f>
        <v>4.158</v>
      </c>
      <c r="H3844" s="8" t="n">
        <f aca="false">Sens!G3844*(1+dps_g)</f>
        <v>4.49064</v>
      </c>
      <c r="I3844" s="8" t="n">
        <f aca="false">Sens!H3844*(1+dps_g)</f>
        <v>4.8498912</v>
      </c>
      <c r="J3844" s="8" t="n">
        <f aca="false">Sens!I3844*(1+dps_g)</f>
        <v>5.237882496</v>
      </c>
      <c r="K3844" s="8" t="n">
        <f aca="false">Sens!J3844*(1+dps_g)</f>
        <v>5.65691309568</v>
      </c>
    </row>
    <row r="3845" customFormat="false" ht="17.15" hidden="false" customHeight="false" outlineLevel="0" collapsed="false">
      <c r="A3845" s="1" t="s">
        <v>857</v>
      </c>
      <c r="B3845" s="0" t="s">
        <v>95</v>
      </c>
      <c r="E3845" s="6" t="n">
        <f aca="false">Q!M41</f>
        <v>26.445</v>
      </c>
      <c r="F3845" s="6" t="n">
        <f aca="false">Sens!F3844*Sens!E3854</f>
        <v>28.59395</v>
      </c>
      <c r="G3845" s="6" t="n">
        <f aca="false">Sens!G3844*Sens!F3854</f>
        <v>31.068576</v>
      </c>
      <c r="H3845" s="6" t="n">
        <f aca="false">Sens!H3844*Sens!G3854</f>
        <v>33.6790073550254</v>
      </c>
      <c r="I3845" s="6" t="n">
        <f aca="false">Sens!I3844*Sens!H3854</f>
        <v>36.4242671834269</v>
      </c>
      <c r="J3845" s="6" t="n">
        <f aca="false">Sens!J3844*Sens!I3854</f>
        <v>39.4066074064205</v>
      </c>
      <c r="K3845" s="6" t="n">
        <f aca="false">Sens!K3844*Sens!J3854</f>
        <v>42.6463912242392</v>
      </c>
      <c r="L3845" s="1" t="s">
        <v>858</v>
      </c>
    </row>
    <row r="3846" customFormat="false" ht="15" hidden="false" customHeight="false" outlineLevel="0" collapsed="false">
      <c r="A3846" s="1" t="s">
        <v>859</v>
      </c>
      <c r="B3846" s="0" t="s">
        <v>95</v>
      </c>
      <c r="E3846" s="6" t="n">
        <f aca="false">Sens!E3843-Sens!E3845</f>
        <v>37.441</v>
      </c>
      <c r="F3846" s="6" t="n">
        <f aca="false">Sens!F3843-Sens!F3845</f>
        <v>-24.5541281492752</v>
      </c>
      <c r="G3846" s="6" t="n">
        <f aca="false">Sens!G3843-Sens!G3845</f>
        <v>10.2676660197822</v>
      </c>
      <c r="H3846" s="6" t="n">
        <f aca="false">Sens!H3843-Sens!H3845</f>
        <v>57.4466988305204</v>
      </c>
      <c r="I3846" s="6" t="n">
        <f aca="false">Sens!I3843-Sens!I3845</f>
        <v>103.002190115994</v>
      </c>
      <c r="J3846" s="6" t="n">
        <f aca="false">Sens!J3843-Sens!J3845</f>
        <v>116.952652593696</v>
      </c>
      <c r="K3846" s="6" t="n">
        <f aca="false">Sens!K3843-Sens!K3845</f>
        <v>144.773264555395</v>
      </c>
    </row>
    <row r="3847" customFormat="false" ht="15" hidden="false" customHeight="false" outlineLevel="0" collapsed="false">
      <c r="A3847" s="1" t="s">
        <v>860</v>
      </c>
      <c r="B3847" s="0" t="s">
        <v>95</v>
      </c>
      <c r="F3847" s="6" t="n">
        <f aca="false">debt_mat_27</f>
        <v>9.25</v>
      </c>
      <c r="G3847" s="6" t="n">
        <f aca="false">debt_mat_28</f>
        <v>0</v>
      </c>
      <c r="H3847" s="6" t="n">
        <f aca="false">debt_mat_29</f>
        <v>2.001</v>
      </c>
      <c r="I3847" s="6" t="n">
        <f aca="false">debt_mat_30</f>
        <v>0</v>
      </c>
      <c r="J3847" s="6" t="n">
        <f aca="false">debt_mat_31</f>
        <v>0.5</v>
      </c>
      <c r="K3847" s="6" t="n">
        <f aca="false">debt_mat_32</f>
        <v>0</v>
      </c>
    </row>
    <row r="3848" customFormat="false" ht="15" hidden="false" customHeight="false" outlineLevel="0" collapsed="false">
      <c r="A3848" s="1" t="s">
        <v>861</v>
      </c>
      <c r="B3848" s="0" t="s">
        <v>95</v>
      </c>
      <c r="E3848" s="6" t="n">
        <f aca="false">Q!M40</f>
        <v>22.271</v>
      </c>
      <c r="F3848" s="6" t="n">
        <f aca="false">MAX(0,MIN(bb_target,Sens!E3850+Sens!F3846-Sens!F3847-min_cash))</f>
        <v>0</v>
      </c>
      <c r="G3848" s="6" t="n">
        <f aca="false">MAX(0,MIN(bb_target,Sens!F3850+Sens!G3846-Sens!G3847-min_cash))</f>
        <v>10.2676660197822</v>
      </c>
      <c r="H3848" s="6" t="n">
        <f aca="false">MAX(0,MIN(bb_target,Sens!G3850+Sens!H3846-Sens!H3847-min_cash))</f>
        <v>22.271</v>
      </c>
      <c r="I3848" s="6" t="n">
        <f aca="false">MAX(0,MIN(bb_target,Sens!H3850+Sens!I3846-Sens!I3847-min_cash))</f>
        <v>22.271</v>
      </c>
      <c r="J3848" s="6" t="n">
        <f aca="false">MAX(0,MIN(bb_target,Sens!I3850+Sens!J3846-Sens!J3847-min_cash))</f>
        <v>22.271</v>
      </c>
      <c r="K3848" s="6" t="n">
        <f aca="false">MAX(0,MIN(bb_target,Sens!J3850+Sens!K3846-Sens!K3847-min_cash))</f>
        <v>22.271</v>
      </c>
    </row>
    <row r="3849" customFormat="false" ht="15" hidden="false" customHeight="false" outlineLevel="0" collapsed="false">
      <c r="A3849" s="1" t="s">
        <v>862</v>
      </c>
      <c r="B3849" s="0" t="s">
        <v>95</v>
      </c>
      <c r="F3849" s="6" t="n">
        <f aca="false">MAX(0,min_cash-(Sens!E3850+Sens!F3846-Sens!F3847-Sens!F3848))</f>
        <v>6.96112814927518</v>
      </c>
      <c r="G3849" s="6" t="n">
        <f aca="false">MAX(0,min_cash-(Sens!F3850+Sens!G3846-Sens!G3847-Sens!G3848))</f>
        <v>0</v>
      </c>
      <c r="H3849" s="6" t="n">
        <f aca="false">MAX(0,min_cash-(Sens!G3850+Sens!H3846-Sens!H3847-Sens!H3848))</f>
        <v>0</v>
      </c>
      <c r="I3849" s="6" t="n">
        <f aca="false">MAX(0,min_cash-(Sens!H3850+Sens!I3846-Sens!I3847-Sens!I3848))</f>
        <v>0</v>
      </c>
      <c r="J3849" s="6" t="n">
        <f aca="false">MAX(0,min_cash-(Sens!I3850+Sens!J3846-Sens!J3847-Sens!J3848))</f>
        <v>0</v>
      </c>
      <c r="K3849" s="6" t="n">
        <f aca="false">MAX(0,min_cash-(Sens!J3850+Sens!K3846-Sens!K3847-Sens!K3848))</f>
        <v>0</v>
      </c>
    </row>
    <row r="3850" customFormat="false" ht="15" hidden="false" customHeight="false" outlineLevel="0" collapsed="false">
      <c r="A3850" s="1" t="s">
        <v>863</v>
      </c>
      <c r="B3850" s="0" t="s">
        <v>95</v>
      </c>
      <c r="E3850" s="6" t="n">
        <f aca="false">cash_open</f>
        <v>76.843</v>
      </c>
      <c r="F3850" s="6" t="n">
        <f aca="false">Sens!E3850+Sens!F3846-Sens!F3847-Sens!F3848+Sens!F3849</f>
        <v>50</v>
      </c>
      <c r="G3850" s="6" t="n">
        <f aca="false">Sens!F3850+Sens!G3846-Sens!G3847-Sens!G3848+Sens!G3849</f>
        <v>50</v>
      </c>
      <c r="H3850" s="6" t="n">
        <f aca="false">Sens!G3850+Sens!H3846-Sens!H3847-Sens!H3848+Sens!H3849</f>
        <v>83.1746988305204</v>
      </c>
      <c r="I3850" s="6" t="n">
        <f aca="false">Sens!H3850+Sens!I3846-Sens!I3847-Sens!I3848+Sens!I3849</f>
        <v>163.905888946514</v>
      </c>
      <c r="J3850" s="6" t="n">
        <f aca="false">Sens!I3850+Sens!J3846-Sens!J3847-Sens!J3848+Sens!J3849</f>
        <v>258.08754154021</v>
      </c>
      <c r="K3850" s="6" t="n">
        <f aca="false">Sens!J3850+Sens!K3846-Sens!K3847-Sens!K3848+Sens!K3849</f>
        <v>380.589806095606</v>
      </c>
    </row>
    <row r="3851" customFormat="false" ht="15" hidden="false" customHeight="false" outlineLevel="0" collapsed="false">
      <c r="A3851" s="1" t="s">
        <v>864</v>
      </c>
      <c r="B3851" s="0" t="s">
        <v>95</v>
      </c>
      <c r="E3851" s="6" t="n">
        <f aca="false">debt_face</f>
        <v>46.136</v>
      </c>
      <c r="F3851" s="6" t="n">
        <f aca="false">Sens!E3851-Sens!F3847+Sens!F3849</f>
        <v>43.8471281492752</v>
      </c>
      <c r="G3851" s="6" t="n">
        <f aca="false">Sens!F3851-Sens!G3847+Sens!G3849</f>
        <v>43.8471281492752</v>
      </c>
      <c r="H3851" s="6" t="n">
        <f aca="false">Sens!G3851-Sens!H3847+Sens!H3849</f>
        <v>41.8461281492752</v>
      </c>
      <c r="I3851" s="6" t="n">
        <f aca="false">Sens!H3851-Sens!I3847+Sens!I3849</f>
        <v>41.8461281492752</v>
      </c>
      <c r="J3851" s="6" t="n">
        <f aca="false">Sens!I3851-Sens!J3847+Sens!J3849</f>
        <v>41.3461281492752</v>
      </c>
      <c r="K3851" s="6" t="n">
        <f aca="false">Sens!J3851-Sens!K3847+Sens!K3849</f>
        <v>41.3461281492752</v>
      </c>
    </row>
    <row r="3852" customFormat="false" ht="15" hidden="false" customHeight="false" outlineLevel="0" collapsed="false">
      <c r="A3852" s="1" t="s">
        <v>865</v>
      </c>
      <c r="B3852" s="0" t="s">
        <v>95</v>
      </c>
      <c r="E3852" s="6" t="n">
        <f aca="false">Sens!E3850-Sens!E3851</f>
        <v>30.707</v>
      </c>
      <c r="F3852" s="6" t="n">
        <f aca="false">Sens!F3850-Sens!F3851</f>
        <v>6.15287185072481</v>
      </c>
      <c r="G3852" s="6" t="n">
        <f aca="false">Sens!G3850-Sens!G3851</f>
        <v>6.15287185072481</v>
      </c>
      <c r="H3852" s="6" t="n">
        <f aca="false">Sens!H3850-Sens!H3851</f>
        <v>41.3285706812452</v>
      </c>
      <c r="I3852" s="6" t="n">
        <f aca="false">Sens!I3850-Sens!I3851</f>
        <v>122.059760797239</v>
      </c>
      <c r="J3852" s="6" t="n">
        <f aca="false">Sens!J3850-Sens!J3851</f>
        <v>216.741413390935</v>
      </c>
      <c r="K3852" s="6" t="n">
        <f aca="false">Sens!K3850-Sens!K3851</f>
        <v>339.24367794633</v>
      </c>
    </row>
    <row r="3853" customFormat="false" ht="15" hidden="false" customHeight="false" outlineLevel="0" collapsed="false">
      <c r="A3853" s="1" t="s">
        <v>866</v>
      </c>
      <c r="B3853" s="0" t="s">
        <v>73</v>
      </c>
      <c r="F3853" s="27" t="n">
        <f aca="false">px*(1+bb_g)^(1-0.5)</f>
        <v>553.494156066711</v>
      </c>
      <c r="G3853" s="27" t="n">
        <f aca="false">px*(1+bb_g)^(2-0.5)</f>
        <v>597.773688552047</v>
      </c>
      <c r="H3853" s="27" t="n">
        <f aca="false">px*(1+bb_g)^(3-0.5)</f>
        <v>645.595583636211</v>
      </c>
      <c r="I3853" s="27" t="n">
        <f aca="false">px*(1+bb_g)^(4-0.5)</f>
        <v>697.243230327108</v>
      </c>
      <c r="J3853" s="27" t="n">
        <f aca="false">px*(1+bb_g)^(5-0.5)</f>
        <v>753.022688753277</v>
      </c>
      <c r="K3853" s="27" t="n">
        <f aca="false">px*(1+bb_g)^(6-0.5)</f>
        <v>813.264503853539</v>
      </c>
    </row>
    <row r="3854" customFormat="false" ht="15" hidden="false" customHeight="false" outlineLevel="0" collapsed="false">
      <c r="A3854" s="1" t="s">
        <v>867</v>
      </c>
      <c r="B3854" s="1" t="s">
        <v>79</v>
      </c>
      <c r="E3854" s="18" t="n">
        <f aca="false">sh_out26</f>
        <v>7.427</v>
      </c>
      <c r="F3854" s="18" t="n">
        <f aca="false">Sens!E3854+sh_iss-Sens!F3848/Sens!F3853</f>
        <v>7.472</v>
      </c>
      <c r="G3854" s="18" t="n">
        <f aca="false">Sens!F3854+sh_iss-Sens!G3848/Sens!G3853</f>
        <v>7.49982348953054</v>
      </c>
      <c r="H3854" s="18" t="n">
        <f aca="false">Sens!G3854+sh_iss-Sens!H3848/Sens!H3853</f>
        <v>7.51032666123044</v>
      </c>
      <c r="I3854" s="18" t="n">
        <f aca="false">Sens!H3854+sh_iss-Sens!I3848/Sens!I3853</f>
        <v>7.52338515354517</v>
      </c>
      <c r="J3854" s="18" t="n">
        <f aca="false">Sens!I3854+sh_iss-Sens!J3848/Sens!J3853</f>
        <v>7.53880968346621</v>
      </c>
      <c r="K3854" s="18" t="n">
        <f aca="false">Sens!J3854+sh_iss-Sens!K3848/Sens!K3853</f>
        <v>7.55642498894865</v>
      </c>
    </row>
    <row r="3855" customFormat="false" ht="15" hidden="false" customHeight="false" outlineLevel="0" collapsed="false">
      <c r="A3855" s="1" t="s">
        <v>868</v>
      </c>
      <c r="B3855" s="1" t="s">
        <v>79</v>
      </c>
      <c r="E3855" s="18" t="n">
        <f aca="false">sh_dil26</f>
        <v>7.453</v>
      </c>
      <c r="F3855" s="18" t="n">
        <f aca="false">(Sens!E3854+Sens!F3854)/2+dil_gap</f>
        <v>7.4735</v>
      </c>
      <c r="G3855" s="18" t="n">
        <f aca="false">(Sens!F3854+Sens!G3854)/2+dil_gap</f>
        <v>7.50991174476527</v>
      </c>
      <c r="H3855" s="18" t="n">
        <f aca="false">(Sens!G3854+Sens!H3854)/2+dil_gap</f>
        <v>7.52907507538049</v>
      </c>
      <c r="I3855" s="18" t="n">
        <f aca="false">(Sens!H3854+Sens!I3854)/2+dil_gap</f>
        <v>7.5408559073878</v>
      </c>
      <c r="J3855" s="18" t="n">
        <f aca="false">(Sens!I3854+Sens!J3854)/2+dil_gap</f>
        <v>7.55509741850569</v>
      </c>
      <c r="K3855" s="18" t="n">
        <f aca="false">(Sens!J3854+Sens!K3854)/2+dil_gap</f>
        <v>7.57161733620743</v>
      </c>
    </row>
    <row r="3856" customFormat="false" ht="17.15" hidden="false" customHeight="false" outlineLevel="0" collapsed="false">
      <c r="A3856" s="1" t="s">
        <v>869</v>
      </c>
      <c r="B3856" s="0" t="s">
        <v>95</v>
      </c>
      <c r="C3856" s="6" t="n">
        <f aca="false">SUM(Sens!F3846:J3846)</f>
        <v>263.115079410718</v>
      </c>
    </row>
    <row r="3857" customFormat="false" ht="17.15" hidden="false" customHeight="false" outlineLevel="0" collapsed="false">
      <c r="A3857" s="1" t="s">
        <v>836</v>
      </c>
      <c r="B3857" s="1" t="s">
        <v>870</v>
      </c>
      <c r="C3857" s="30" t="str">
        <f aca="false">IF(SUM(Sens!F3849:J3849)&gt;0.05,"需要舉債 "&amp;TEXT(SUM(Sens!F3849:J3849),"0.0")&amp;" 十億美元","不需舉債")&amp;"；"&amp;IF(SUM(Sens!F3848:J3848)&lt;5*bb_target-0.05,"回購較每年 "&amp;TEXT(bb_target,"0.0")&amp;" 的目標少 "&amp;TEXT(5*bb_target-SUM(Sens!F3848:J3848),"0.0")&amp;" 十億美元（"&amp;TEXT(COUNTIF(Sens!F3848:J3848,"&lt;"&amp;(bb_target-0.05)),"0")&amp;" 年減少）","回購不減")</f>
        <v>需要舉債 7.0 十億美元；回購較每年 22.3 的目標少 34.3 十億美元（2 年減少）</v>
      </c>
    </row>
    <row r="3858" customFormat="false" ht="17.15" hidden="false" customHeight="false" outlineLevel="0" collapsed="false">
      <c r="A3858" s="3" t="s">
        <v>1223</v>
      </c>
    </row>
    <row r="3859" customFormat="false" ht="15" hidden="false" customHeight="false" outlineLevel="0" collapsed="false">
      <c r="A3859" s="4" t="s">
        <v>43</v>
      </c>
      <c r="B3859" s="4" t="s">
        <v>63</v>
      </c>
      <c r="C3859" s="19" t="s">
        <v>710</v>
      </c>
      <c r="D3859" s="19" t="s">
        <v>711</v>
      </c>
      <c r="E3859" s="19" t="s">
        <v>712</v>
      </c>
      <c r="F3859" s="19" t="s">
        <v>713</v>
      </c>
      <c r="G3859" s="19" t="s">
        <v>714</v>
      </c>
      <c r="H3859" s="19" t="s">
        <v>715</v>
      </c>
      <c r="I3859" s="19" t="s">
        <v>716</v>
      </c>
      <c r="J3859" s="19" t="s">
        <v>717</v>
      </c>
      <c r="K3859" s="19" t="s">
        <v>718</v>
      </c>
      <c r="L3859" s="4" t="s">
        <v>47</v>
      </c>
    </row>
    <row r="3860" customFormat="false" ht="17.15" hidden="false" customHeight="false" outlineLevel="0" collapsed="false">
      <c r="A3860" s="1" t="s">
        <v>938</v>
      </c>
      <c r="B3860" s="1" t="s">
        <v>213</v>
      </c>
      <c r="F3860" s="34" t="n">
        <f aca="false">1-0.5</f>
        <v>0.5</v>
      </c>
      <c r="G3860" s="34" t="n">
        <f aca="false">2-0.5</f>
        <v>1.5</v>
      </c>
      <c r="H3860" s="34" t="n">
        <f aca="false">3-0.5</f>
        <v>2.5</v>
      </c>
      <c r="I3860" s="34" t="n">
        <f aca="false">4-0.5</f>
        <v>3.5</v>
      </c>
      <c r="J3860" s="34" t="n">
        <f aca="false">5-0.5</f>
        <v>4.5</v>
      </c>
      <c r="K3860" s="34" t="n">
        <f aca="false">6-0.5</f>
        <v>5.5</v>
      </c>
    </row>
    <row r="3861" customFormat="false" ht="15" hidden="false" customHeight="false" outlineLevel="0" collapsed="false">
      <c r="A3861" s="1" t="s">
        <v>939</v>
      </c>
      <c r="B3861" s="0" t="s">
        <v>182</v>
      </c>
      <c r="F3861" s="18" t="n">
        <f aca="false">1/(1+wacc)^Sens!F3860</f>
        <v>0.949601579913219</v>
      </c>
      <c r="G3861" s="18" t="n">
        <f aca="false">1/(1+wacc)^Sens!G3860</f>
        <v>0.856296729956707</v>
      </c>
      <c r="H3861" s="18" t="n">
        <f aca="false">1/(1+wacc)^Sens!H3860</f>
        <v>0.772159719660069</v>
      </c>
      <c r="I3861" s="18" t="n">
        <f aca="false">1/(1+wacc)^Sens!I3860</f>
        <v>0.696289746073958</v>
      </c>
      <c r="J3861" s="18" t="n">
        <f aca="false">1/(1+wacc)^Sens!J3860</f>
        <v>0.627874516299776</v>
      </c>
      <c r="K3861" s="18" t="n">
        <f aca="false">1/(1+wacc)^Sens!K3860</f>
        <v>0.566181550771831</v>
      </c>
    </row>
    <row r="3862" customFormat="false" ht="15" hidden="false" customHeight="false" outlineLevel="0" collapsed="false">
      <c r="A3862" s="1" t="s">
        <v>940</v>
      </c>
      <c r="B3862" s="0" t="s">
        <v>95</v>
      </c>
      <c r="F3862" s="6" t="n">
        <f aca="false">Sens!F3843*Sens!F3861</f>
        <v>3.83622121201623</v>
      </c>
      <c r="G3862" s="6" t="n">
        <f aca="false">Sens!G3843*Sens!G3861</f>
        <v>35.3960888702385</v>
      </c>
      <c r="H3862" s="6" t="n">
        <f aca="false">Sens!H3843*Sens!H3861</f>
        <v>70.3635997420568</v>
      </c>
      <c r="I3862" s="6" t="n">
        <f aca="false">Sens!I3843*Sens!I3861</f>
        <v>97.0812125490053</v>
      </c>
      <c r="J3862" s="6" t="n">
        <f aca="false">Sens!J3843*Sens!J3861</f>
        <v>98.1739947415641</v>
      </c>
      <c r="K3862" s="6" t="n">
        <f aca="false">Sens!K3843*Sens!K3861</f>
        <v>106.113551354436</v>
      </c>
    </row>
    <row r="3863" customFormat="false" ht="17.15" hidden="false" customHeight="false" outlineLevel="0" collapsed="false">
      <c r="A3863" s="1" t="s">
        <v>941</v>
      </c>
      <c r="B3863" s="0" t="s">
        <v>95</v>
      </c>
      <c r="C3863" s="6" t="n">
        <f aca="false">SUM(Sens!F3862:K3862)</f>
        <v>410.964668469317</v>
      </c>
    </row>
    <row r="3864" customFormat="false" ht="17.15" hidden="false" customHeight="false" outlineLevel="0" collapsed="false">
      <c r="A3864" s="1" t="s">
        <v>942</v>
      </c>
      <c r="B3864" s="0" t="s">
        <v>95</v>
      </c>
      <c r="C3864" s="6" t="n">
        <f aca="false">Sens!K3809*(1+g_tv)*(1-tax_f)</f>
        <v>279.097801615722</v>
      </c>
    </row>
    <row r="3865" customFormat="false" ht="17.15" hidden="false" customHeight="false" outlineLevel="0" collapsed="false">
      <c r="A3865" s="1" t="s">
        <v>943</v>
      </c>
      <c r="B3865" s="0" t="s">
        <v>95</v>
      </c>
      <c r="C3865" s="6" t="n">
        <f aca="false">Sens!$C$3864*(1-g_tv/(wacc+ronic_prem))</f>
        <v>202.255964892431</v>
      </c>
    </row>
    <row r="3866" customFormat="false" ht="17.15" hidden="false" customHeight="false" outlineLevel="0" collapsed="false">
      <c r="A3866" s="1" t="s">
        <v>944</v>
      </c>
      <c r="B3866" s="0" t="s">
        <v>95</v>
      </c>
      <c r="C3866" s="6" t="n">
        <f aca="false">Sens!$C$3865/(wacc-g_tv)</f>
        <v>2561.39455744304</v>
      </c>
    </row>
    <row r="3867" customFormat="false" ht="15" hidden="false" customHeight="false" outlineLevel="0" collapsed="false">
      <c r="A3867" s="1" t="s">
        <v>945</v>
      </c>
      <c r="B3867" s="0" t="s">
        <v>95</v>
      </c>
      <c r="C3867" s="6" t="n">
        <f aca="false">Sens!$C$3866/(1+wacc)^6</f>
        <v>1377.12583101379</v>
      </c>
    </row>
    <row r="3868" customFormat="false" ht="17.15" hidden="false" customHeight="false" outlineLevel="0" collapsed="false">
      <c r="A3868" s="0" t="s">
        <v>877</v>
      </c>
      <c r="B3868" s="0" t="s">
        <v>95</v>
      </c>
      <c r="C3868" s="6" t="n">
        <f aca="false">Sens!$C$3863+Sens!$C$3867</f>
        <v>1788.0904994831</v>
      </c>
    </row>
    <row r="3869" customFormat="false" ht="15" hidden="false" customHeight="false" outlineLevel="0" collapsed="false">
      <c r="A3869" s="1" t="s">
        <v>878</v>
      </c>
      <c r="B3869" s="0" t="s">
        <v>126</v>
      </c>
      <c r="C3869" s="7" t="n">
        <f aca="false">Sens!$C$3867/Sens!$C$3868</f>
        <v>0.770165621601302</v>
      </c>
    </row>
    <row r="3870" customFormat="false" ht="17.15" hidden="false" customHeight="false" outlineLevel="0" collapsed="false">
      <c r="A3870" s="1" t="s">
        <v>946</v>
      </c>
      <c r="B3870" s="0" t="s">
        <v>95</v>
      </c>
      <c r="C3870" s="6" t="n">
        <f aca="false">Sens!$C$3868+Sens!E3852+oai_v</f>
        <v>1989.1974994831</v>
      </c>
    </row>
    <row r="3871" customFormat="false" ht="17.15" hidden="false" customHeight="false" outlineLevel="0" collapsed="false">
      <c r="A3871" s="0" t="s">
        <v>883</v>
      </c>
      <c r="B3871" s="0" t="s">
        <v>73</v>
      </c>
      <c r="C3871" s="5" t="n">
        <f aca="false">Sens!$C$3870/sh_dil26</f>
        <v>266.89889970255</v>
      </c>
    </row>
    <row r="3872" customFormat="false" ht="17.15" hidden="false" customHeight="false" outlineLevel="0" collapsed="false">
      <c r="A3872" s="0" t="s">
        <v>947</v>
      </c>
      <c r="B3872" s="0" t="s">
        <v>73</v>
      </c>
      <c r="C3872" s="5" t="n">
        <f aca="false">Sens!$C$3871*(1+wacc)^t_roll</f>
        <v>306.131588901037</v>
      </c>
    </row>
    <row r="3873" customFormat="false" ht="17.15" hidden="false" customHeight="false" outlineLevel="0" collapsed="false">
      <c r="A3873" s="1" t="s">
        <v>948</v>
      </c>
      <c r="B3873" s="0" t="s">
        <v>126</v>
      </c>
      <c r="F3873" s="7" t="n">
        <f aca="false">Sens!F3833/(Sens!F3784-Sens!F3740)</f>
        <v>0.0737763152459671</v>
      </c>
      <c r="G3873" s="7" t="n">
        <f aca="false">Sens!G3833/(Sens!G3784-Sens!G3740)</f>
        <v>0.0695042366027585</v>
      </c>
      <c r="H3873" s="7" t="n">
        <f aca="false">Sens!H3833/(Sens!H3784-Sens!H3740)</f>
        <v>0.0669845560327662</v>
      </c>
      <c r="I3873" s="7" t="n">
        <f aca="false">Sens!I3833/(Sens!I3784-Sens!I3740)</f>
        <v>0.0660534699425535</v>
      </c>
      <c r="J3873" s="7" t="n">
        <f aca="false">Sens!J3833/(Sens!J3784-Sens!J3740)</f>
        <v>0.066300604223053</v>
      </c>
      <c r="K3873" s="7" t="n">
        <f aca="false">Sens!K3833/(Sens!K3784-Sens!K3740)</f>
        <v>0.0672264935557643</v>
      </c>
    </row>
    <row r="3874" customFormat="false" ht="17.15" hidden="false" customHeight="false" outlineLevel="0" collapsed="false">
      <c r="A3874" s="0" t="s">
        <v>949</v>
      </c>
      <c r="B3874" s="0" t="s">
        <v>95</v>
      </c>
      <c r="F3874" s="6" t="n">
        <f aca="false">Sens!F3769*(al_m365+Sens!F3873)</f>
        <v>81.1175394132184</v>
      </c>
      <c r="G3874" s="6" t="n">
        <f aca="false">Sens!G3769*(al_m365+Sens!G3873)</f>
        <v>94.7644204428084</v>
      </c>
      <c r="H3874" s="6" t="n">
        <f aca="false">Sens!H3769*(al_m365+Sens!H3873)</f>
        <v>108.569984784112</v>
      </c>
      <c r="I3874" s="6" t="n">
        <f aca="false">Sens!I3769*(al_m365+Sens!I3873)</f>
        <v>120.944671983473</v>
      </c>
      <c r="J3874" s="6" t="n">
        <f aca="false">Sens!J3769*(al_m365+Sens!J3873)</f>
        <v>131.716104310402</v>
      </c>
      <c r="K3874" s="6" t="n">
        <f aca="false">Sens!K3769*(al_m365+Sens!K3873)</f>
        <v>142.13792011834</v>
      </c>
    </row>
    <row r="3875" customFormat="false" ht="17.15" hidden="false" customHeight="false" outlineLevel="0" collapsed="false">
      <c r="A3875" s="0" t="s">
        <v>950</v>
      </c>
      <c r="B3875" s="0" t="s">
        <v>95</v>
      </c>
      <c r="F3875" s="6" t="n">
        <f aca="false">Sens!F3770*(al_lic+Sens!F3873)</f>
        <v>32.1866569195601</v>
      </c>
      <c r="G3875" s="6" t="n">
        <f aca="false">Sens!G3770*(al_lic+Sens!G3873)</f>
        <v>33.3755908828826</v>
      </c>
      <c r="H3875" s="6" t="n">
        <f aca="false">Sens!H3770*(al_lic+Sens!H3873)</f>
        <v>34.4960280592012</v>
      </c>
      <c r="I3875" s="6" t="n">
        <f aca="false">Sens!I3770*(al_lic+Sens!I3873)</f>
        <v>35.530803897658</v>
      </c>
      <c r="J3875" s="6" t="n">
        <f aca="false">Sens!J3770*(al_lic+Sens!J3873)</f>
        <v>36.4509330843953</v>
      </c>
      <c r="K3875" s="6" t="n">
        <f aca="false">Sens!K3770*(al_lic+Sens!K3873)</f>
        <v>37.2221231233116</v>
      </c>
    </row>
    <row r="3876" customFormat="false" ht="17.15" hidden="false" customHeight="false" outlineLevel="0" collapsed="false">
      <c r="A3876" s="0" t="s">
        <v>951</v>
      </c>
      <c r="B3876" s="0" t="s">
        <v>95</v>
      </c>
      <c r="F3876" s="6" t="n">
        <f aca="false">Sens!F3772*(al_ind+Sens!F3873)</f>
        <v>8.35659943288659</v>
      </c>
      <c r="G3876" s="6" t="n">
        <f aca="false">Sens!G3772*(al_ind+Sens!G3873)</f>
        <v>9.03039253719059</v>
      </c>
      <c r="H3876" s="6" t="n">
        <f aca="false">Sens!H3772*(al_ind+Sens!H3873)</f>
        <v>9.75217610638351</v>
      </c>
      <c r="I3876" s="6" t="n">
        <f aca="false">Sens!I3772*(al_ind+Sens!I3873)</f>
        <v>10.5208221827285</v>
      </c>
      <c r="J3876" s="6" t="n">
        <f aca="false">Sens!J3772*(al_ind+Sens!J3873)</f>
        <v>11.3257416199604</v>
      </c>
      <c r="K3876" s="6" t="n">
        <f aca="false">Sens!K3772*(al_ind+Sens!K3873)</f>
        <v>12.1491752878679</v>
      </c>
    </row>
    <row r="3877" customFormat="false" ht="17.15" hidden="false" customHeight="false" outlineLevel="0" collapsed="false">
      <c r="A3877" s="0" t="s">
        <v>952</v>
      </c>
      <c r="B3877" s="0" t="s">
        <v>95</v>
      </c>
      <c r="F3877" s="6" t="n">
        <f aca="false">Sens!F3774*(al_fro+Sens!F3873)</f>
        <v>3.28918687514124</v>
      </c>
      <c r="G3877" s="6" t="n">
        <f aca="false">Sens!G3774*(al_fro+Sens!G3873)</f>
        <v>3.46713684236278</v>
      </c>
      <c r="H3877" s="6" t="n">
        <f aca="false">Sens!H3774*(al_fro+Sens!H3873)</f>
        <v>3.67495375001791</v>
      </c>
      <c r="I3877" s="6" t="n">
        <f aca="false">Sens!I3774*(al_fro+Sens!I3873)</f>
        <v>3.91542182415584</v>
      </c>
      <c r="J3877" s="6" t="n">
        <f aca="false">Sens!J3774*(al_fro+Sens!J3873)</f>
        <v>4.18869449850419</v>
      </c>
      <c r="K3877" s="6" t="n">
        <f aca="false">Sens!K3774*(al_fro+Sens!K3873)</f>
        <v>4.49323191339353</v>
      </c>
    </row>
    <row r="3878" customFormat="false" ht="17.15" hidden="false" customHeight="false" outlineLevel="0" collapsed="false">
      <c r="A3878" s="0" t="s">
        <v>953</v>
      </c>
      <c r="B3878" s="0" t="s">
        <v>95</v>
      </c>
      <c r="F3878" s="6" t="n">
        <f aca="false">Sens!F3777*(al_srch+Sens!F3873)</f>
        <v>10.3205210361977</v>
      </c>
      <c r="G3878" s="6" t="n">
        <f aca="false">Sens!G3777*(al_srch+Sens!G3873)</f>
        <v>11.2578949871354</v>
      </c>
      <c r="H3878" s="6" t="n">
        <f aca="false">Sens!H3777*(al_srch+Sens!H3873)</f>
        <v>12.244210968937</v>
      </c>
      <c r="I3878" s="6" t="n">
        <f aca="false">Sens!I3777*(al_srch+Sens!I3873)</f>
        <v>13.2722575023576</v>
      </c>
      <c r="J3878" s="6" t="n">
        <f aca="false">Sens!J3777*(al_srch+Sens!J3873)</f>
        <v>14.3219275425065</v>
      </c>
      <c r="K3878" s="6" t="n">
        <f aca="false">Sens!K3777*(al_srch+Sens!K3873)</f>
        <v>15.3631977501058</v>
      </c>
    </row>
    <row r="3879" customFormat="false" ht="17.15" hidden="false" customHeight="false" outlineLevel="0" collapsed="false">
      <c r="A3879" s="0" t="s">
        <v>954</v>
      </c>
      <c r="B3879" s="0" t="s">
        <v>95</v>
      </c>
      <c r="F3879" s="6" t="n">
        <f aca="false">Sens!F3746</f>
        <v>43.1278534047371</v>
      </c>
      <c r="G3879" s="6" t="n">
        <f aca="false">Sens!G3746</f>
        <v>78.4713023799053</v>
      </c>
      <c r="H3879" s="6" t="n">
        <f aca="false">Sens!H3746</f>
        <v>120.169624261219</v>
      </c>
      <c r="I3879" s="6" t="n">
        <f aca="false">Sens!I3746</f>
        <v>156.086713969963</v>
      </c>
      <c r="J3879" s="6" t="n">
        <f aca="false">Sens!J3746</f>
        <v>192.09687492465</v>
      </c>
      <c r="K3879" s="6" t="n">
        <f aca="false">Sens!K3746</f>
        <v>228.161785217179</v>
      </c>
    </row>
    <row r="3880" customFormat="false" ht="17.15" hidden="false" customHeight="false" outlineLevel="0" collapsed="false">
      <c r="A3880" s="0" t="s">
        <v>955</v>
      </c>
      <c r="B3880" s="0" t="s">
        <v>95</v>
      </c>
      <c r="F3880" s="6" t="n">
        <f aca="false">Sens!F3806+Sens!F3757+Sens!F3873*(Sens!F3776-Sens!F3740)</f>
        <v>215.059583218561</v>
      </c>
      <c r="G3880" s="6" t="n">
        <f aca="false">Sens!G3806+Sens!G3757+Sens!G3873*(Sens!G3776-Sens!G3740)</f>
        <v>271.740793863028</v>
      </c>
      <c r="H3880" s="6" t="n">
        <f aca="false">Sens!H3806+Sens!H3757+Sens!H3873*(Sens!H3776-Sens!H3740)</f>
        <v>335.028571799836</v>
      </c>
      <c r="I3880" s="6" t="n">
        <f aca="false">Sens!I3806+Sens!I3757+Sens!I3873*(Sens!I3776-Sens!I3740)</f>
        <v>391.006585549107</v>
      </c>
      <c r="J3880" s="6" t="n">
        <f aca="false">Sens!J3806+Sens!J3757+Sens!J3873*(Sens!J3776-Sens!J3740)</f>
        <v>444.744970051985</v>
      </c>
      <c r="K3880" s="6" t="n">
        <f aca="false">Sens!K3806+Sens!K3757+Sens!K3873*(Sens!K3776-Sens!K3740)</f>
        <v>496.653553183038</v>
      </c>
    </row>
    <row r="3881" customFormat="false" ht="17.15" hidden="false" customHeight="false" outlineLevel="0" collapsed="false">
      <c r="A3881" s="0" t="s">
        <v>956</v>
      </c>
      <c r="B3881" s="0" t="s">
        <v>95</v>
      </c>
      <c r="F3881" s="6" t="n">
        <f aca="false">Sens!F3880-Sens!F3874-Sens!F3875-Sens!F3876-Sens!F3877-Sens!F3879</f>
        <v>46.9817471730177</v>
      </c>
      <c r="G3881" s="6" t="n">
        <f aca="false">Sens!G3880-Sens!G3874-Sens!G3875-Sens!G3876-Sens!G3877-Sens!G3879</f>
        <v>52.631950777878</v>
      </c>
      <c r="H3881" s="6" t="n">
        <f aca="false">Sens!H3880-Sens!H3874-Sens!H3875-Sens!H3876-Sens!H3877-Sens!H3879</f>
        <v>58.3658048389025</v>
      </c>
      <c r="I3881" s="6" t="n">
        <f aca="false">Sens!I3880-Sens!I3874-Sens!I3875-Sens!I3876-Sens!I3877-Sens!I3879</f>
        <v>64.0081516911283</v>
      </c>
      <c r="J3881" s="6" t="n">
        <f aca="false">Sens!J3880-Sens!J3874-Sens!J3875-Sens!J3876-Sens!J3877-Sens!J3879</f>
        <v>68.966621614073</v>
      </c>
      <c r="K3881" s="6" t="n">
        <f aca="false">Sens!K3880-Sens!K3874-Sens!K3875-Sens!K3876-Sens!K3877-Sens!K3879</f>
        <v>72.4893175229466</v>
      </c>
    </row>
    <row r="3882" customFormat="false" ht="17.15" hidden="false" customHeight="false" outlineLevel="0" collapsed="false">
      <c r="A3882" s="0" t="s">
        <v>957</v>
      </c>
      <c r="B3882" s="0" t="s">
        <v>95</v>
      </c>
      <c r="F3882" s="6" t="n">
        <f aca="false">Sens!F3808+Sens!F3873*Sens!F3783</f>
        <v>24.1013573713253</v>
      </c>
      <c r="G3882" s="6" t="n">
        <f aca="false">Sens!G3808+Sens!G3873*Sens!G3783</f>
        <v>24.5485616171862</v>
      </c>
      <c r="H3882" s="6" t="n">
        <f aca="false">Sens!H3808+Sens!H3873*Sens!H3783</f>
        <v>25.2697731809026</v>
      </c>
      <c r="I3882" s="6" t="n">
        <f aca="false">Sens!I3808+Sens!I3873*Sens!I3783</f>
        <v>26.2361732737563</v>
      </c>
      <c r="J3882" s="6" t="n">
        <f aca="false">Sens!J3808+Sens!J3873*Sens!J3783</f>
        <v>27.4072441612479</v>
      </c>
      <c r="K3882" s="6" t="n">
        <f aca="false">Sens!K3808+Sens!K3873*Sens!K3783</f>
        <v>28.7372835590012</v>
      </c>
    </row>
    <row r="3883" customFormat="false" ht="17.15" hidden="false" customHeight="false" outlineLevel="0" collapsed="false">
      <c r="A3883" s="0" t="s">
        <v>958</v>
      </c>
      <c r="B3883" s="0" t="s">
        <v>95</v>
      </c>
      <c r="F3883" s="6" t="n">
        <f aca="false">(Sens!F3882-Sens!F3878)*Sens!F3779/(Sens!F3779+Sens!F3781)</f>
        <v>7.55452025551592</v>
      </c>
      <c r="G3883" s="6" t="n">
        <f aca="false">(Sens!G3882-Sens!G3878)*Sens!G3779/(Sens!G3779+Sens!G3781)</f>
        <v>7.1559083917046</v>
      </c>
      <c r="H3883" s="6" t="n">
        <f aca="false">(Sens!H3882-Sens!H3878)*Sens!H3779/(Sens!H3779+Sens!H3781)</f>
        <v>6.91843568260102</v>
      </c>
      <c r="I3883" s="6" t="n">
        <f aca="false">(Sens!I3882-Sens!I3878)*Sens!I3779/(Sens!I3779+Sens!I3781)</f>
        <v>6.82339077521323</v>
      </c>
      <c r="J3883" s="6" t="n">
        <f aca="false">(Sens!J3882-Sens!J3878)*Sens!J3779/(Sens!J3779+Sens!J3781)</f>
        <v>6.85614448925398</v>
      </c>
      <c r="K3883" s="6" t="n">
        <f aca="false">(Sens!K3882-Sens!K3878)*Sens!K3779/(Sens!K3779+Sens!K3781)</f>
        <v>7.00744715539699</v>
      </c>
    </row>
    <row r="3884" customFormat="false" ht="17.15" hidden="false" customHeight="false" outlineLevel="0" collapsed="false">
      <c r="A3884" s="0" t="s">
        <v>959</v>
      </c>
      <c r="B3884" s="0" t="s">
        <v>95</v>
      </c>
      <c r="F3884" s="6" t="n">
        <f aca="false">Sens!F3882-Sens!F3878-Sens!F3883</f>
        <v>6.22631607961164</v>
      </c>
      <c r="G3884" s="6" t="n">
        <f aca="false">Sens!G3882-Sens!G3878-Sens!G3883</f>
        <v>6.1347582383462</v>
      </c>
      <c r="H3884" s="6" t="n">
        <f aca="false">Sens!H3882-Sens!H3878-Sens!H3883</f>
        <v>6.10712652936455</v>
      </c>
      <c r="I3884" s="6" t="n">
        <f aca="false">Sens!I3882-Sens!I3878-Sens!I3883</f>
        <v>6.14052499618547</v>
      </c>
      <c r="J3884" s="6" t="n">
        <f aca="false">Sens!J3882-Sens!J3878-Sens!J3883</f>
        <v>6.22917212948738</v>
      </c>
      <c r="K3884" s="6" t="n">
        <f aca="false">Sens!K3882-Sens!K3878-Sens!K3883</f>
        <v>6.36663865349842</v>
      </c>
    </row>
    <row r="3885" customFormat="false" ht="17.15" hidden="false" customHeight="false" outlineLevel="0" collapsed="false">
      <c r="A3885" s="1" t="s">
        <v>960</v>
      </c>
      <c r="B3885" s="0" t="s">
        <v>95</v>
      </c>
      <c r="C3885" s="6" t="n">
        <f aca="false">(w_ntm28*Sens!G3879+(1-w_ntm28)*Sens!H3879)*m_ai*1</f>
        <v>551.711134531404</v>
      </c>
    </row>
    <row r="3886" customFormat="false" ht="17.15" hidden="false" customHeight="false" outlineLevel="0" collapsed="false">
      <c r="A3886" s="1" t="s">
        <v>961</v>
      </c>
      <c r="B3886" s="0" t="s">
        <v>95</v>
      </c>
      <c r="C3886" s="6" t="n">
        <f aca="false">(w_ntm28*Sens!G3881+(1-w_ntm28)*Sens!H3881)*m_cloud*1</f>
        <v>752.991477143579</v>
      </c>
    </row>
    <row r="3887" customFormat="false" ht="17.15" hidden="false" customHeight="false" outlineLevel="0" collapsed="false">
      <c r="A3887" s="1" t="s">
        <v>962</v>
      </c>
      <c r="B3887" s="0" t="s">
        <v>95</v>
      </c>
      <c r="C3887" s="6" t="n">
        <f aca="false">(w_ntm28*Sens!G3874+(1-w_ntm28)*Sens!H3874)*m_sw*1</f>
        <v>1071.65796323865</v>
      </c>
    </row>
    <row r="3888" customFormat="false" ht="17.15" hidden="false" customHeight="false" outlineLevel="0" collapsed="false">
      <c r="A3888" s="1" t="s">
        <v>963</v>
      </c>
      <c r="B3888" s="0" t="s">
        <v>95</v>
      </c>
      <c r="C3888" s="6" t="n">
        <f aca="false">(w_ntm28*Sens!G3875+(1-w_ntm28)*Sens!H3875)*m_sw*1</f>
        <v>364.368395610476</v>
      </c>
    </row>
    <row r="3889" customFormat="false" ht="17.15" hidden="false" customHeight="false" outlineLevel="0" collapsed="false">
      <c r="A3889" s="1" t="s">
        <v>964</v>
      </c>
      <c r="B3889" s="0" t="s">
        <v>95</v>
      </c>
      <c r="C3889" s="6" t="n">
        <f aca="false">(w_ntm28*Sens!G3876+(1-w_ntm28)*Sens!H3876)*m_sw*1</f>
        <v>100.048351677219</v>
      </c>
    </row>
    <row r="3890" customFormat="false" ht="17.15" hidden="false" customHeight="false" outlineLevel="0" collapsed="false">
      <c r="A3890" s="1" t="s">
        <v>965</v>
      </c>
      <c r="B3890" s="0" t="s">
        <v>95</v>
      </c>
      <c r="C3890" s="6" t="n">
        <f aca="false">(w_ntm28*Sens!G3877+(1-w_ntm28)*Sens!H3877)*m_sw*1</f>
        <v>38.1706720539993</v>
      </c>
    </row>
    <row r="3891" customFormat="false" ht="17.15" hidden="false" customHeight="false" outlineLevel="0" collapsed="false">
      <c r="A3891" s="1" t="s">
        <v>966</v>
      </c>
      <c r="B3891" s="0" t="s">
        <v>95</v>
      </c>
      <c r="C3891" s="6" t="n">
        <f aca="false">(w_ntm28*Sens!G3878+(1-w_ntm28)*Sens!H3878)*m_ads*1</f>
        <v>105.464272522165</v>
      </c>
    </row>
    <row r="3892" customFormat="false" ht="17.15" hidden="false" customHeight="false" outlineLevel="0" collapsed="false">
      <c r="A3892" s="1" t="s">
        <v>967</v>
      </c>
      <c r="B3892" s="0" t="s">
        <v>95</v>
      </c>
      <c r="C3892" s="6" t="n">
        <f aca="false">(w_ntm28*Sens!G3883+(1-w_ntm28)*Sens!H3883)*m_game*1</f>
        <v>89.4094926385019</v>
      </c>
    </row>
    <row r="3893" customFormat="false" ht="17.15" hidden="false" customHeight="false" outlineLevel="0" collapsed="false">
      <c r="A3893" s="1" t="s">
        <v>968</v>
      </c>
      <c r="B3893" s="0" t="s">
        <v>95</v>
      </c>
      <c r="C3893" s="6" t="n">
        <f aca="false">(w_ntm28*Sens!G3884+(1-w_ntm28)*Sens!H3884)*m_pc*1</f>
        <v>88.6406913312865</v>
      </c>
    </row>
    <row r="3894" customFormat="false" ht="17.15" hidden="false" customHeight="false" outlineLevel="0" collapsed="false">
      <c r="A3894" s="1" t="s">
        <v>969</v>
      </c>
      <c r="B3894" s="0" t="s">
        <v>95</v>
      </c>
      <c r="C3894" s="6" t="n">
        <f aca="false">Sens!$C$3885+Sens!$C$3886+Sens!$C$3887+Sens!$C$3888+Sens!$C$3889+Sens!$C$3890+Sens!$C$3891+Sens!$C$3892+Sens!$C$3893</f>
        <v>3162.46245074728</v>
      </c>
    </row>
    <row r="3895" customFormat="false" ht="17.15" hidden="false" customHeight="false" outlineLevel="0" collapsed="false">
      <c r="A3895" s="1" t="s">
        <v>903</v>
      </c>
      <c r="B3895" s="0" t="s">
        <v>95</v>
      </c>
      <c r="C3895" s="6" t="n">
        <f aca="false">Sens!F3852+oai_v-Sens!F3841</f>
        <v>114.083141850725</v>
      </c>
      <c r="L3895" s="1" t="s">
        <v>970</v>
      </c>
    </row>
    <row r="3896" customFormat="false" ht="15" hidden="false" customHeight="false" outlineLevel="0" collapsed="false">
      <c r="A3896" s="1" t="s">
        <v>904</v>
      </c>
      <c r="B3896" s="0" t="s">
        <v>73</v>
      </c>
      <c r="C3896" s="5" t="n">
        <f aca="false">(Sens!$C$3894+Sens!$C$3895)/Sens!F3854</f>
        <v>438.509849116436</v>
      </c>
    </row>
    <row r="3897" customFormat="false" ht="17.15" hidden="false" customHeight="false" outlineLevel="0" collapsed="false">
      <c r="A3897" s="1" t="s">
        <v>971</v>
      </c>
      <c r="B3897" s="0" t="s">
        <v>73</v>
      </c>
      <c r="C3897" s="5" t="n">
        <f aca="false">w_dcf*Sens!$C$3872+(1-w_dcf)*Sens!$C$3896</f>
        <v>372.320719008737</v>
      </c>
    </row>
    <row r="3898" customFormat="false" ht="17.15" hidden="false" customHeight="false" outlineLevel="0" collapsed="false">
      <c r="A3898" s="3" t="s">
        <v>1224</v>
      </c>
    </row>
    <row r="3899" customFormat="false" ht="15" hidden="false" customHeight="false" outlineLevel="0" collapsed="false">
      <c r="A3899" s="4" t="s">
        <v>43</v>
      </c>
      <c r="B3899" s="4" t="s">
        <v>63</v>
      </c>
      <c r="C3899" s="19" t="s">
        <v>710</v>
      </c>
      <c r="D3899" s="19" t="s">
        <v>711</v>
      </c>
      <c r="E3899" s="19" t="s">
        <v>712</v>
      </c>
      <c r="F3899" s="19" t="s">
        <v>713</v>
      </c>
      <c r="G3899" s="19" t="s">
        <v>714</v>
      </c>
      <c r="H3899" s="19" t="s">
        <v>715</v>
      </c>
      <c r="I3899" s="19" t="s">
        <v>716</v>
      </c>
      <c r="J3899" s="19" t="s">
        <v>717</v>
      </c>
      <c r="K3899" s="19" t="s">
        <v>718</v>
      </c>
      <c r="L3899" s="4" t="s">
        <v>47</v>
      </c>
    </row>
    <row r="3900" customFormat="false" ht="17.15" hidden="false" customHeight="false" outlineLevel="0" collapsed="false">
      <c r="A3900" s="1" t="s">
        <v>719</v>
      </c>
      <c r="B3900" s="0" t="s">
        <v>340</v>
      </c>
      <c r="C3900" s="27" t="n">
        <f aca="false">mw_ext_24</f>
        <v>640</v>
      </c>
      <c r="D3900" s="27" t="n">
        <f aca="false">mw_ext_25</f>
        <v>1630</v>
      </c>
      <c r="E3900" s="27" t="n">
        <f aca="false">mw_ext_26</f>
        <v>3250</v>
      </c>
      <c r="F3900" s="27" t="n">
        <f aca="false">MIN(1000000000,Sens!E3900+pace)</f>
        <v>5777.2</v>
      </c>
      <c r="G3900" s="27" t="n">
        <f aca="false">MIN(1000000000,Sens!F3900+pace)</f>
        <v>8304.4</v>
      </c>
      <c r="H3900" s="27" t="n">
        <f aca="false">MIN(1000000000,Sens!G3900+pace)</f>
        <v>10831.6</v>
      </c>
      <c r="I3900" s="27" t="n">
        <f aca="false">MIN(1000000000,Sens!H3900+pace)</f>
        <v>13358.8</v>
      </c>
      <c r="J3900" s="27" t="n">
        <f aca="false">MIN(1000000000,Sens!I3900+pace)</f>
        <v>15886</v>
      </c>
      <c r="K3900" s="27" t="n">
        <f aca="false">MIN(1000000000,Sens!J3900+pace)</f>
        <v>18413.2</v>
      </c>
      <c r="L3900" s="11" t="s">
        <v>720</v>
      </c>
    </row>
    <row r="3901" customFormat="false" ht="17.15" hidden="false" customHeight="false" outlineLevel="0" collapsed="false">
      <c r="A3901" s="1" t="s">
        <v>721</v>
      </c>
      <c r="B3901" s="0" t="s">
        <v>340</v>
      </c>
      <c r="C3901" s="27" t="n">
        <f aca="false">rent_ext_24</f>
        <v>150</v>
      </c>
      <c r="D3901" s="27" t="n">
        <f aca="false">rent_ext_25</f>
        <v>400</v>
      </c>
      <c r="E3901" s="27" t="n">
        <f aca="false">rent_ext_26</f>
        <v>550</v>
      </c>
      <c r="F3901" s="27" t="n">
        <f aca="false">rent_ext_f</f>
        <v>756</v>
      </c>
      <c r="G3901" s="27" t="n">
        <f aca="false">rent_ext_f</f>
        <v>756</v>
      </c>
      <c r="H3901" s="27" t="n">
        <f aca="false">rent_ext_f</f>
        <v>756</v>
      </c>
      <c r="I3901" s="27" t="n">
        <f aca="false">rent_ext_f</f>
        <v>756</v>
      </c>
      <c r="J3901" s="27" t="n">
        <f aca="false">rent_ext_f</f>
        <v>756</v>
      </c>
      <c r="K3901" s="27" t="n">
        <f aca="false">rent_ext_f</f>
        <v>756</v>
      </c>
      <c r="L3901" s="1" t="s">
        <v>722</v>
      </c>
    </row>
    <row r="3902" customFormat="false" ht="17.15" hidden="false" customHeight="false" outlineLevel="0" collapsed="false">
      <c r="A3902" s="1" t="s">
        <v>723</v>
      </c>
      <c r="B3902" s="0" t="s">
        <v>340</v>
      </c>
      <c r="C3902" s="27" t="n">
        <f aca="false">Sens!C3900-Sens!C3901</f>
        <v>490</v>
      </c>
      <c r="D3902" s="27" t="n">
        <f aca="false">Sens!D3900-Sens!D3901</f>
        <v>1230</v>
      </c>
      <c r="E3902" s="27" t="n">
        <f aca="false">Sens!E3900-Sens!E3901</f>
        <v>2700</v>
      </c>
      <c r="F3902" s="27" t="n">
        <f aca="false">Sens!F3900-Sens!F3901</f>
        <v>5021.2</v>
      </c>
      <c r="G3902" s="27" t="n">
        <f aca="false">Sens!G3900-Sens!G3901</f>
        <v>7548.4</v>
      </c>
      <c r="H3902" s="27" t="n">
        <f aca="false">Sens!H3900-Sens!H3901</f>
        <v>10075.6</v>
      </c>
      <c r="I3902" s="27" t="n">
        <f aca="false">Sens!I3900-Sens!I3901</f>
        <v>12602.8</v>
      </c>
      <c r="J3902" s="27" t="n">
        <f aca="false">Sens!J3900-Sens!J3901</f>
        <v>15130</v>
      </c>
      <c r="K3902" s="27" t="n">
        <f aca="false">Sens!K3900-Sens!K3901</f>
        <v>17657.2</v>
      </c>
    </row>
    <row r="3903" customFormat="false" ht="17.15" hidden="false" customHeight="false" outlineLevel="0" collapsed="false">
      <c r="A3903" s="1" t="s">
        <v>724</v>
      </c>
      <c r="B3903" s="0" t="s">
        <v>340</v>
      </c>
      <c r="C3903" s="27" t="n">
        <f aca="false">Sens!C3902/ext_sh</f>
        <v>816.666666666667</v>
      </c>
      <c r="D3903" s="27" t="n">
        <f aca="false">Sens!D3902/ext_sh</f>
        <v>2050</v>
      </c>
      <c r="E3903" s="27" t="n">
        <f aca="false">Sens!E3902/ext_sh</f>
        <v>4500</v>
      </c>
      <c r="F3903" s="27" t="n">
        <f aca="false">Sens!F3902/ext_sh</f>
        <v>8368.66666666667</v>
      </c>
      <c r="G3903" s="27" t="n">
        <f aca="false">Sens!G3902/ext_sh</f>
        <v>12580.6666666667</v>
      </c>
      <c r="H3903" s="27" t="n">
        <f aca="false">Sens!H3902/ext_sh</f>
        <v>16792.6666666667</v>
      </c>
      <c r="I3903" s="27" t="n">
        <f aca="false">Sens!I3902/ext_sh</f>
        <v>21004.6666666667</v>
      </c>
      <c r="J3903" s="27" t="n">
        <f aca="false">Sens!J3902/ext_sh</f>
        <v>25216.6666666667</v>
      </c>
      <c r="K3903" s="27" t="n">
        <f aca="false">Sens!K3902/ext_sh</f>
        <v>29428.6666666667</v>
      </c>
      <c r="L3903" s="1" t="s">
        <v>725</v>
      </c>
    </row>
    <row r="3904" customFormat="false" ht="17.15" hidden="false" customHeight="false" outlineLevel="0" collapsed="false">
      <c r="A3904" s="1" t="s">
        <v>726</v>
      </c>
      <c r="B3904" s="0" t="s">
        <v>340</v>
      </c>
      <c r="C3904" s="27" t="n">
        <f aca="false">Sens!C3903-Sens!C3902</f>
        <v>326.666666666667</v>
      </c>
      <c r="D3904" s="27" t="n">
        <f aca="false">Sens!D3903-Sens!D3902</f>
        <v>820</v>
      </c>
      <c r="E3904" s="27" t="n">
        <f aca="false">Sens!E3903-Sens!E3902</f>
        <v>1800</v>
      </c>
      <c r="F3904" s="27" t="n">
        <f aca="false">Sens!F3903-Sens!F3902</f>
        <v>3347.46666666667</v>
      </c>
      <c r="G3904" s="27" t="n">
        <f aca="false">Sens!G3903-Sens!G3902</f>
        <v>5032.26666666667</v>
      </c>
      <c r="H3904" s="27" t="n">
        <f aca="false">Sens!H3903-Sens!H3902</f>
        <v>6717.06666666667</v>
      </c>
      <c r="I3904" s="27" t="n">
        <f aca="false">Sens!I3903-Sens!I3902</f>
        <v>8401.86666666667</v>
      </c>
      <c r="J3904" s="27" t="n">
        <f aca="false">Sens!J3903-Sens!J3902</f>
        <v>10086.6666666667</v>
      </c>
      <c r="K3904" s="27" t="n">
        <f aca="false">Sens!K3903-Sens!K3902</f>
        <v>11771.4666666667</v>
      </c>
    </row>
    <row r="3905" customFormat="false" ht="17.15" hidden="false" customHeight="false" outlineLevel="0" collapsed="false">
      <c r="A3905" s="1" t="s">
        <v>727</v>
      </c>
      <c r="B3905" s="0" t="s">
        <v>340</v>
      </c>
      <c r="C3905" s="27" t="n">
        <f aca="false">Sens!C3903</f>
        <v>816.666666666667</v>
      </c>
      <c r="D3905" s="27" t="n">
        <f aca="false">Sens!D3903-Sens!C3903</f>
        <v>1233.33333333333</v>
      </c>
      <c r="E3905" s="27" t="n">
        <f aca="false">Sens!E3903-Sens!D3903</f>
        <v>2450</v>
      </c>
      <c r="F3905" s="27" t="n">
        <f aca="false">Sens!F3903-Sens!E3903</f>
        <v>3868.66666666667</v>
      </c>
      <c r="G3905" s="27" t="n">
        <f aca="false">Sens!G3903-Sens!F3903</f>
        <v>4212</v>
      </c>
      <c r="H3905" s="27" t="n">
        <f aca="false">Sens!H3903-Sens!G3903</f>
        <v>4212</v>
      </c>
      <c r="I3905" s="27" t="n">
        <f aca="false">Sens!I3903-Sens!H3903</f>
        <v>4212</v>
      </c>
      <c r="J3905" s="27" t="n">
        <f aca="false">Sens!J3903-Sens!I3903</f>
        <v>4212</v>
      </c>
      <c r="K3905" s="27" t="n">
        <f aca="false">Sens!K3903-Sens!J3903</f>
        <v>4212</v>
      </c>
    </row>
    <row r="3906" customFormat="false" ht="17.15" hidden="false" customHeight="false" outlineLevel="0" collapsed="false">
      <c r="A3906" s="1" t="s">
        <v>728</v>
      </c>
      <c r="B3906" s="0" t="s">
        <v>340</v>
      </c>
      <c r="D3906" s="27" t="n">
        <f aca="false">Sens!D3900-Sens!C3900</f>
        <v>990</v>
      </c>
      <c r="E3906" s="27" t="n">
        <f aca="false">Sens!E3900-Sens!D3900</f>
        <v>1620</v>
      </c>
      <c r="F3906" s="27" t="n">
        <f aca="false">Sens!F3900-Sens!E3900</f>
        <v>2527.2</v>
      </c>
      <c r="G3906" s="27" t="n">
        <f aca="false">Sens!G3900-Sens!F3900</f>
        <v>2527.2</v>
      </c>
      <c r="H3906" s="27" t="n">
        <f aca="false">Sens!H3900-Sens!G3900</f>
        <v>2527.2</v>
      </c>
      <c r="I3906" s="27" t="n">
        <f aca="false">Sens!I3900-Sens!H3900</f>
        <v>2527.2</v>
      </c>
      <c r="J3906" s="27" t="n">
        <f aca="false">Sens!J3900-Sens!I3900</f>
        <v>2527.2</v>
      </c>
      <c r="K3906" s="27" t="n">
        <f aca="false">Sens!K3900-Sens!J3900</f>
        <v>2527.2</v>
      </c>
    </row>
    <row r="3907" customFormat="false" ht="17.15" hidden="false" customHeight="false" outlineLevel="0" collapsed="false">
      <c r="A3907" s="1" t="s">
        <v>729</v>
      </c>
      <c r="B3907" s="0" t="s">
        <v>340</v>
      </c>
      <c r="C3907" s="27" t="n">
        <f aca="false">mix_h*Sens!C3900</f>
        <v>128</v>
      </c>
      <c r="D3907" s="27" t="n">
        <f aca="false">mix_h*Sens!D3900</f>
        <v>326</v>
      </c>
      <c r="E3907" s="27" t="n">
        <f aca="false">mix_h*Sens!E3900</f>
        <v>650</v>
      </c>
      <c r="F3907" s="27" t="n">
        <f aca="false">Sens!E3907</f>
        <v>650</v>
      </c>
      <c r="G3907" s="27" t="n">
        <f aca="false">Sens!F3907</f>
        <v>650</v>
      </c>
      <c r="H3907" s="27" t="n">
        <f aca="false">Sens!G3907</f>
        <v>650</v>
      </c>
      <c r="I3907" s="27" t="n">
        <f aca="false">Sens!H3907</f>
        <v>650</v>
      </c>
      <c r="J3907" s="27" t="n">
        <f aca="false">Sens!I3907</f>
        <v>650</v>
      </c>
      <c r="K3907" s="27" t="n">
        <f aca="false">Sens!J3907</f>
        <v>650</v>
      </c>
    </row>
    <row r="3908" customFormat="false" ht="17.15" hidden="false" customHeight="false" outlineLevel="0" collapsed="false">
      <c r="A3908" s="1" t="s">
        <v>730</v>
      </c>
      <c r="B3908" s="0" t="s">
        <v>340</v>
      </c>
      <c r="C3908" s="27" t="n">
        <f aca="false">mix_g2*Sens!C3900</f>
        <v>288</v>
      </c>
      <c r="D3908" s="27" t="n">
        <f aca="false">mix_g2*Sens!D3900</f>
        <v>733.5</v>
      </c>
      <c r="E3908" s="27" t="n">
        <f aca="false">mix_g2*Sens!E3900</f>
        <v>1462.5</v>
      </c>
      <c r="F3908" s="27" t="n">
        <f aca="false">Sens!E3908</f>
        <v>1462.5</v>
      </c>
      <c r="G3908" s="27" t="n">
        <f aca="false">Sens!F3908</f>
        <v>1462.5</v>
      </c>
      <c r="H3908" s="27" t="n">
        <f aca="false">Sens!G3908</f>
        <v>1462.5</v>
      </c>
      <c r="I3908" s="27" t="n">
        <f aca="false">Sens!H3908</f>
        <v>1462.5</v>
      </c>
      <c r="J3908" s="27" t="n">
        <f aca="false">Sens!I3908</f>
        <v>1462.5</v>
      </c>
      <c r="K3908" s="27" t="n">
        <f aca="false">Sens!J3908</f>
        <v>1462.5</v>
      </c>
    </row>
    <row r="3909" customFormat="false" ht="17.15" hidden="false" customHeight="false" outlineLevel="0" collapsed="false">
      <c r="A3909" s="1" t="s">
        <v>731</v>
      </c>
      <c r="B3909" s="0" t="s">
        <v>340</v>
      </c>
      <c r="C3909" s="27" t="n">
        <f aca="false">mix_g3*Sens!C3900</f>
        <v>224</v>
      </c>
      <c r="D3909" s="27" t="n">
        <f aca="false">mix_g3*Sens!D3900</f>
        <v>570.5</v>
      </c>
      <c r="E3909" s="27" t="n">
        <f aca="false">mix_g3*Sens!E3900</f>
        <v>1137.5</v>
      </c>
      <c r="F3909" s="27" t="n">
        <f aca="false">Sens!E3909+Sens!F3906*a_g3_27</f>
        <v>2906.54</v>
      </c>
      <c r="G3909" s="27" t="n">
        <f aca="false">Sens!F3909+Sens!G3906*a_g3_28</f>
        <v>3664.7</v>
      </c>
      <c r="H3909" s="27" t="n">
        <f aca="false">Sens!G3909+Sens!H3906*a_g3_29</f>
        <v>3917.42</v>
      </c>
      <c r="I3909" s="27" t="n">
        <f aca="false">Sens!H3909+Sens!I3906*a_g3_29</f>
        <v>4170.14</v>
      </c>
      <c r="J3909" s="27" t="n">
        <f aca="false">Sens!I3909+Sens!J3906*a_g3_29</f>
        <v>4422.86</v>
      </c>
      <c r="K3909" s="27" t="n">
        <f aca="false">Sens!J3909+Sens!K3906*a_g3_29</f>
        <v>4675.58</v>
      </c>
    </row>
    <row r="3910" customFormat="false" ht="17.15" hidden="false" customHeight="false" outlineLevel="0" collapsed="false">
      <c r="A3910" s="1" t="s">
        <v>732</v>
      </c>
      <c r="B3910" s="0" t="s">
        <v>340</v>
      </c>
      <c r="C3910" s="27" t="n">
        <f aca="false">0</f>
        <v>0</v>
      </c>
      <c r="D3910" s="27" t="n">
        <f aca="false">0</f>
        <v>0</v>
      </c>
      <c r="E3910" s="27" t="n">
        <f aca="false">0</f>
        <v>0</v>
      </c>
      <c r="F3910" s="27" t="n">
        <f aca="false">Sens!E3910+Sens!F3906*(1-a_g3_27)</f>
        <v>758.16</v>
      </c>
      <c r="G3910" s="27" t="n">
        <f aca="false">Sens!F3910+Sens!G3906*(1-a_g3_28)</f>
        <v>2527.2</v>
      </c>
      <c r="H3910" s="27" t="n">
        <f aca="false">Sens!G3910+Sens!H3906*(1-a_g3_29)</f>
        <v>4801.68</v>
      </c>
      <c r="I3910" s="27" t="n">
        <f aca="false">Sens!H3910+Sens!I3906*(1-a_g3_29)</f>
        <v>7076.16</v>
      </c>
      <c r="J3910" s="27" t="n">
        <f aca="false">Sens!I3910+Sens!J3906*(1-a_g3_29)</f>
        <v>9350.64</v>
      </c>
      <c r="K3910" s="27" t="n">
        <f aca="false">Sens!J3910+Sens!K3906*(1-a_g3_29)</f>
        <v>11625.12</v>
      </c>
    </row>
    <row r="3911" customFormat="false" ht="17.15" hidden="false" customHeight="false" outlineLevel="0" collapsed="false">
      <c r="A3911" s="1" t="s">
        <v>733</v>
      </c>
      <c r="B3911" s="0" t="s">
        <v>291</v>
      </c>
      <c r="C3911" s="18" t="n">
        <f aca="false">(Sens!C3907*tk_hold_h100+Sens!C3908*tk_hold_gb200+Sens!C3909*tk_hold_gb300+Sens!C3910*tk_hold_vr200)/Sens!C3900</f>
        <v>9.7235358126469</v>
      </c>
      <c r="D3911" s="18" t="n">
        <f aca="false">(Sens!D3907*tk_hold_h100+Sens!D3908*tk_hold_gb200+Sens!D3909*tk_hold_gb300+Sens!D3910*tk_hold_vr200)/Sens!D3900</f>
        <v>9.7235358126469</v>
      </c>
      <c r="E3911" s="18" t="n">
        <f aca="false">(Sens!E3907*tk_hold_h100+Sens!E3908*tk_hold_gb200+Sens!E3909*tk_hold_gb300+Sens!E3910*tk_hold_vr200)/Sens!E3900</f>
        <v>9.7235358126469</v>
      </c>
      <c r="F3911" s="18" t="n">
        <f aca="false">(Sens!F3907*tk_hold_h100+Sens!F3908*tk_hold_gb200+Sens!F3909*tk_hold_gb300+Sens!F3910*tk_hold_vr200)/Sens!F3900</f>
        <v>10.4079573161931</v>
      </c>
      <c r="G3911" s="18" t="n">
        <f aca="false">(Sens!G3907*tk_hold_h100+Sens!G3908*tk_hold_gb200+Sens!G3909*tk_hold_gb300+Sens!G3910*tk_hold_vr200)/Sens!G3900</f>
        <v>10.8388131109316</v>
      </c>
      <c r="H3911" s="18" t="n">
        <f aca="false">(Sens!H3907*tk_hold_h100+Sens!H3908*tk_hold_gb200+Sens!H3909*tk_hold_gb300+Sens!H3910*tk_hold_vr200)/Sens!H3900</f>
        <v>11.1311018388216</v>
      </c>
      <c r="I3911" s="18" t="n">
        <f aca="false">(Sens!I3907*tk_hold_h100+Sens!I3908*tk_hold_gb200+Sens!I3909*tk_hold_gb300+Sens!I3910*tk_hold_vr200)/Sens!I3900</f>
        <v>11.3128009818501</v>
      </c>
      <c r="J3911" s="18" t="n">
        <f aca="false">(Sens!J3907*tk_hold_h100+Sens!J3908*tk_hold_gb200+Sens!J3909*tk_hold_gb300+Sens!J3910*tk_hold_vr200)/Sens!J3900</f>
        <v>11.4366894646418</v>
      </c>
      <c r="K3911" s="18" t="n">
        <f aca="false">(Sens!K3907*tk_hold_h100+Sens!K3908*tk_hold_gb200+Sens!K3909*tk_hold_gb300+Sens!K3910*tk_hold_vr200)/Sens!K3900</f>
        <v>11.526570716348</v>
      </c>
    </row>
    <row r="3912" customFormat="false" ht="17.15" hidden="false" customHeight="false" outlineLevel="0" collapsed="false">
      <c r="A3912" s="0" t="s">
        <v>734</v>
      </c>
      <c r="B3912" s="0" t="s">
        <v>182</v>
      </c>
      <c r="C3912" s="18" t="n">
        <f aca="false">k_B</f>
        <v>1.17213932619116</v>
      </c>
      <c r="D3912" s="18" t="n">
        <f aca="false">k_B</f>
        <v>1.17213932619116</v>
      </c>
      <c r="E3912" s="18" t="n">
        <f aca="false">k_B</f>
        <v>1.17213932619116</v>
      </c>
      <c r="F3912" s="18" t="n">
        <f aca="false">(k_B+((ls_B*k_long+(1-ls_B)*k_spot)-k_B)*MIN(1,1/3))*1</f>
        <v>1.17213932619116</v>
      </c>
      <c r="G3912" s="18" t="n">
        <f aca="false">(k_B+((ls_B*k_long+(1-ls_B)*k_spot)-k_B)*MIN(1,2/3))*1</f>
        <v>1.17213932619116</v>
      </c>
      <c r="H3912" s="18" t="n">
        <f aca="false">(k_B+((ls_B*k_long+(1-ls_B)*k_spot)-k_B)*MIN(1,3/3))*1</f>
        <v>1.17213932619116</v>
      </c>
      <c r="I3912" s="18" t="n">
        <f aca="false">(k_B+((ls_B*k_long+(1-ls_B)*k_spot)-k_B)*MIN(1,4/3))*1</f>
        <v>1.17213932619116</v>
      </c>
      <c r="J3912" s="18" t="n">
        <f aca="false">(k_B+((ls_B*k_long+(1-ls_B)*k_spot)-k_B)*MIN(1,5/3))*1</f>
        <v>1.17213932619116</v>
      </c>
      <c r="K3912" s="18" t="n">
        <f aca="false">(k_B+((ls_B*k_long+(1-ls_B)*k_spot)-k_B)*MIN(1,6/3))*1</f>
        <v>1.17213932619116</v>
      </c>
      <c r="L3912" s="1" t="s">
        <v>735</v>
      </c>
    </row>
    <row r="3913" customFormat="false" ht="17.15" hidden="false" customHeight="false" outlineLevel="0" collapsed="false">
      <c r="A3913" s="1" t="s">
        <v>736</v>
      </c>
      <c r="B3913" s="0" t="s">
        <v>291</v>
      </c>
      <c r="C3913" s="18" t="n">
        <f aca="false">Sens!C3911*Sens!C3912*chip_f</f>
        <v>11.3973387156315</v>
      </c>
      <c r="D3913" s="18" t="n">
        <f aca="false">Sens!D3911*Sens!D3912*chip_f</f>
        <v>11.3973387156315</v>
      </c>
      <c r="E3913" s="18" t="n">
        <f aca="false">Sens!E3911*Sens!E3912*chip_f</f>
        <v>11.3973387156315</v>
      </c>
      <c r="F3913" s="18" t="n">
        <f aca="false">Sens!F3911*Sens!F3912*chip_f</f>
        <v>12.1995760756289</v>
      </c>
      <c r="G3913" s="18" t="n">
        <f aca="false">Sens!G3911*Sens!G3912*chip_f</f>
        <v>12.7045990965592</v>
      </c>
      <c r="H3913" s="18" t="n">
        <f aca="false">Sens!H3911*Sens!H3912*chip_f</f>
        <v>13.0472022091214</v>
      </c>
      <c r="I3913" s="18" t="n">
        <f aca="false">Sens!I3911*Sens!I3912*chip_f</f>
        <v>13.2601789202004</v>
      </c>
      <c r="J3913" s="18" t="n">
        <f aca="false">Sens!J3911*Sens!J3912*chip_f</f>
        <v>13.4053934829427</v>
      </c>
      <c r="K3913" s="18" t="n">
        <f aca="false">Sens!K3911*Sens!K3912*chip_f</f>
        <v>13.5107468327548</v>
      </c>
      <c r="L3913" s="1" t="s">
        <v>737</v>
      </c>
    </row>
    <row r="3914" customFormat="false" ht="17.15" hidden="false" customHeight="false" outlineLevel="0" collapsed="false">
      <c r="A3914" s="0" t="s">
        <v>738</v>
      </c>
      <c r="B3914" s="0" t="s">
        <v>95</v>
      </c>
      <c r="D3914" s="6" t="n">
        <f aca="false">(Sens!C3900+Sens!D3900)/2*Sens!D3913/1000</f>
        <v>12.9359794422418</v>
      </c>
      <c r="E3914" s="6" t="n">
        <f aca="false">(Sens!D3900+Sens!E3900)/2*Sens!E3913/1000</f>
        <v>27.8095064661409</v>
      </c>
      <c r="F3914" s="6" t="n">
        <f aca="false">(Sens!E3900+Sens!F3900)/2*Sens!F3913/1000</f>
        <v>55.0640065749585</v>
      </c>
      <c r="G3914" s="6" t="n">
        <f aca="false">(Sens!F3900+Sens!G3900)/2*Sens!G3913/1000</f>
        <v>89.4505413190538</v>
      </c>
      <c r="H3914" s="6" t="n">
        <f aca="false">(Sens!G3900+Sens!H3900)/2*Sens!H3913/1000</f>
        <v>124.835630736874</v>
      </c>
      <c r="I3914" s="6" t="n">
        <f aca="false">(Sens!H3900+Sens!I3900)/2*Sens!I3913/1000</f>
        <v>160.384516075608</v>
      </c>
      <c r="J3914" s="6" t="n">
        <f aca="false">(Sens!I3900+Sens!J3900)/2*Sens!J3913/1000</f>
        <v>196.019025664981</v>
      </c>
      <c r="K3914" s="6" t="n">
        <f aca="false">(Sens!J3900+Sens!K3900)/2*Sens!K3913/1000</f>
        <v>231.703903883012</v>
      </c>
      <c r="L3914" s="11" t="s">
        <v>739</v>
      </c>
    </row>
    <row r="3915" customFormat="false" ht="17.15" hidden="false" customHeight="false" outlineLevel="0" collapsed="false">
      <c r="A3915" s="1" t="s">
        <v>740</v>
      </c>
      <c r="B3915" s="0" t="s">
        <v>291</v>
      </c>
      <c r="C3915" s="18" t="n">
        <f aca="false">(Sens!C3907*tk_opex_h100+Sens!C3908*tk_opex_gb200+Sens!C3909*tk_opex_gb300+Sens!C3910*tk_opex_vr200)/Sens!C3900</f>
        <v>1.88636041306092</v>
      </c>
      <c r="D3915" s="18" t="n">
        <f aca="false">(Sens!D3907*tk_opex_h100+Sens!D3908*tk_opex_gb200+Sens!D3909*tk_opex_gb300+Sens!D3910*tk_opex_vr200)/Sens!D3900</f>
        <v>1.88636041306092</v>
      </c>
      <c r="E3915" s="18" t="n">
        <f aca="false">(Sens!E3907*tk_opex_h100+Sens!E3908*tk_opex_gb200+Sens!E3909*tk_opex_gb300+Sens!E3910*tk_opex_vr200)/Sens!E3900</f>
        <v>1.88636041306092</v>
      </c>
      <c r="F3915" s="18" t="n">
        <f aca="false">(Sens!F3907*tk_opex_h100+Sens!F3908*tk_opex_gb200+Sens!F3909*tk_opex_gb300+Sens!F3910*tk_opex_vr200)/Sens!F3900</f>
        <v>1.9430236476499</v>
      </c>
      <c r="G3915" s="18" t="n">
        <f aca="false">(Sens!G3907*tk_opex_h100+Sens!G3908*tk_opex_gb200+Sens!G3909*tk_opex_gb300+Sens!G3910*tk_opex_vr200)/Sens!G3900</f>
        <v>1.9786941852423</v>
      </c>
      <c r="H3915" s="18" t="n">
        <f aca="false">(Sens!H3907*tk_opex_h100+Sens!H3908*tk_opex_gb200+Sens!H3909*tk_opex_gb300+Sens!H3910*tk_opex_vr200)/Sens!H3900</f>
        <v>2.00289275976156</v>
      </c>
      <c r="I3915" s="18" t="n">
        <f aca="false">(Sens!I3907*tk_opex_h100+Sens!I3908*tk_opex_gb200+Sens!I3909*tk_opex_gb300+Sens!I3910*tk_opex_vr200)/Sens!I3900</f>
        <v>2.01793562605478</v>
      </c>
      <c r="J3915" s="18" t="n">
        <f aca="false">(Sens!J3907*tk_opex_h100+Sens!J3908*tk_opex_gb200+Sens!J3909*tk_opex_gb300+Sens!J3910*tk_opex_vr200)/Sens!J3900</f>
        <v>2.02819234961902</v>
      </c>
      <c r="K3915" s="18" t="n">
        <f aca="false">(Sens!K3907*tk_opex_h100+Sens!K3908*tk_opex_gb200+Sens!K3909*tk_opex_gb300+Sens!K3910*tk_opex_vr200)/Sens!K3900</f>
        <v>2.0356336155994</v>
      </c>
    </row>
    <row r="3916" customFormat="false" ht="17.15" hidden="false" customHeight="false" outlineLevel="0" collapsed="false">
      <c r="A3916" s="0" t="s">
        <v>741</v>
      </c>
      <c r="B3916" s="0" t="s">
        <v>95</v>
      </c>
      <c r="D3916" s="6" t="n">
        <f aca="false">(Sens!C3903+Sens!D3903)/2*Sens!D3915/1000</f>
        <v>2.70378325872065</v>
      </c>
      <c r="E3916" s="6" t="n">
        <f aca="false">(Sens!D3903+Sens!E3903)/2*Sens!E3915/1000</f>
        <v>6.17783035277451</v>
      </c>
      <c r="F3916" s="6" t="n">
        <f aca="false">(Sens!E3903+Sens!F3903)/2*Sens!F3915/1000</f>
        <v>12.5020618235287</v>
      </c>
      <c r="G3916" s="6" t="n">
        <f aca="false">(Sens!F3903+Sens!G3903)/2*Sens!G3915/1000</f>
        <v>20.7261620256847</v>
      </c>
      <c r="H3916" s="6" t="n">
        <f aca="false">(Sens!G3903+Sens!H3903)/2*Sens!H3915/1000</f>
        <v>29.4158183316982</v>
      </c>
      <c r="I3916" s="6" t="n">
        <f aca="false">(Sens!H3903+Sens!I3903)/2*Sens!I3915/1000</f>
        <v>38.1362927516005</v>
      </c>
      <c r="J3916" s="6" t="n">
        <f aca="false">(Sens!I3903+Sens!J3903)/2*Sens!J3915/1000</f>
        <v>46.8728773279286</v>
      </c>
      <c r="K3916" s="6" t="n">
        <f aca="false">(Sens!J3903+Sens!K3903)/2*Sens!K3915/1000</f>
        <v>55.618938734484</v>
      </c>
    </row>
    <row r="3917" customFormat="false" ht="17.15" hidden="false" customHeight="false" outlineLevel="0" collapsed="false">
      <c r="A3917" s="0" t="s">
        <v>742</v>
      </c>
      <c r="B3917" s="0" t="s">
        <v>95</v>
      </c>
      <c r="D3917" s="6" t="n">
        <f aca="false">(Sens!C3901+Sens!D3901)/2*rent_mw/1000</f>
        <v>2.44475</v>
      </c>
      <c r="E3917" s="6" t="n">
        <f aca="false">(Sens!D3901+Sens!E3901)/2*rent_mw/1000</f>
        <v>4.22275</v>
      </c>
      <c r="F3917" s="6" t="n">
        <f aca="false">(Sens!E3901+Sens!F3901)/2*rent_mw/1000</f>
        <v>5.80517</v>
      </c>
      <c r="G3917" s="6" t="n">
        <f aca="false">(Sens!F3901+Sens!G3901)/2*rent_mw/1000</f>
        <v>6.72084</v>
      </c>
      <c r="H3917" s="6" t="n">
        <f aca="false">(Sens!G3901+Sens!H3901)/2*rent_mw/1000</f>
        <v>6.72084</v>
      </c>
      <c r="I3917" s="6" t="n">
        <f aca="false">(Sens!H3901+Sens!I3901)/2*rent_mw/1000</f>
        <v>6.72084</v>
      </c>
      <c r="J3917" s="6" t="n">
        <f aca="false">(Sens!I3901+Sens!J3901)/2*rent_mw/1000</f>
        <v>6.72084</v>
      </c>
      <c r="K3917" s="6" t="n">
        <f aca="false">(Sens!J3901+Sens!K3901)/2*rent_mw/1000</f>
        <v>6.72084</v>
      </c>
    </row>
    <row r="3918" customFormat="false" ht="17.15" hidden="false" customHeight="false" outlineLevel="0" collapsed="false">
      <c r="A3918" s="0" t="s">
        <v>743</v>
      </c>
      <c r="B3918" s="0" t="s">
        <v>95</v>
      </c>
      <c r="D3918" s="6" t="n">
        <f aca="false">(Sens!C3903+Sens!D3903)/2*(1-self_build)*fac_rent/1000</f>
        <v>0.853242375631075</v>
      </c>
      <c r="E3918" s="6" t="n">
        <f aca="false">(Sens!D3903+Sens!E3903)/2*(1-self_build)*fac_rent/1000</f>
        <v>1.94955961408728</v>
      </c>
      <c r="F3918" s="6" t="n">
        <f aca="false">(Sens!E3903+Sens!F3903)/2*(1-self_build)*fac_rent/1000</f>
        <v>3.83026455274573</v>
      </c>
      <c r="G3918" s="6" t="n">
        <f aca="false">(Sens!F3903+Sens!G3903)/2*(1-self_build)*fac_rent/1000</f>
        <v>6.23541590972812</v>
      </c>
      <c r="H3918" s="6" t="n">
        <f aca="false">(Sens!G3903+Sens!H3903)/2*(1-self_build)*fac_rent/1000</f>
        <v>8.74275792332679</v>
      </c>
      <c r="I3918" s="6" t="n">
        <f aca="false">(Sens!H3903+Sens!I3903)/2*(1-self_build)*fac_rent/1000</f>
        <v>11.2500999369255</v>
      </c>
      <c r="J3918" s="6" t="n">
        <f aca="false">(Sens!I3903+Sens!J3903)/2*(1-self_build)*fac_rent/1000</f>
        <v>13.7574419505241</v>
      </c>
      <c r="K3918" s="6" t="n">
        <f aca="false">(Sens!J3903+Sens!K3903)/2*(1-self_build)*fac_rent/1000</f>
        <v>16.2647839641228</v>
      </c>
      <c r="L3918" s="11" t="s">
        <v>744</v>
      </c>
    </row>
    <row r="3919" customFormat="false" ht="17.15" hidden="false" customHeight="false" outlineLevel="0" collapsed="false">
      <c r="A3919" s="1" t="s">
        <v>745</v>
      </c>
      <c r="B3919" s="0" t="s">
        <v>126</v>
      </c>
      <c r="D3919" s="7" t="n">
        <f aca="false">(Sens!C3902+Sens!D3902)/(Sens!C3903+Sens!D3903)</f>
        <v>0.6</v>
      </c>
      <c r="E3919" s="7" t="n">
        <f aca="false">(Sens!D3902+Sens!E3902)/(Sens!D3903+Sens!E3903)</f>
        <v>0.6</v>
      </c>
      <c r="F3919" s="7" t="n">
        <f aca="false">(Sens!E3902+Sens!F3902)/(Sens!E3903+Sens!F3903)</f>
        <v>0.6</v>
      </c>
      <c r="G3919" s="7" t="n">
        <f aca="false">(Sens!F3902+Sens!G3902)/(Sens!F3903+Sens!G3903)</f>
        <v>0.6</v>
      </c>
      <c r="H3919" s="7" t="n">
        <f aca="false">(Sens!G3902+Sens!H3902)/(Sens!G3903+Sens!H3903)</f>
        <v>0.6</v>
      </c>
      <c r="I3919" s="7" t="n">
        <f aca="false">(Sens!H3902+Sens!I3902)/(Sens!H3903+Sens!I3903)</f>
        <v>0.6</v>
      </c>
      <c r="J3919" s="7" t="n">
        <f aca="false">(Sens!I3902+Sens!J3902)/(Sens!I3903+Sens!J3903)</f>
        <v>0.6</v>
      </c>
      <c r="K3919" s="7" t="n">
        <f aca="false">(Sens!J3902+Sens!K3902)/(Sens!J3903+Sens!K3903)</f>
        <v>0.6</v>
      </c>
    </row>
    <row r="3920" customFormat="false" ht="17.15" hidden="false" customHeight="false" outlineLevel="0" collapsed="false">
      <c r="A3920" s="0" t="s">
        <v>746</v>
      </c>
      <c r="B3920" s="0" t="s">
        <v>95</v>
      </c>
      <c r="D3920" s="6" t="n">
        <f aca="false">Sens!D3914-Sens!D3919*(Sens!D3916+Sens!D3918)-Sens!D3917</f>
        <v>8.35701406163072</v>
      </c>
      <c r="E3920" s="6" t="n">
        <f aca="false">Sens!E3914-Sens!E3919*(Sens!E3916+Sens!E3918)-Sens!E3917</f>
        <v>18.7103224860238</v>
      </c>
      <c r="F3920" s="6" t="n">
        <f aca="false">Sens!F3914-Sens!F3919*(Sens!F3916+Sens!F3918)-Sens!F3917</f>
        <v>39.4594407491938</v>
      </c>
      <c r="G3920" s="6" t="n">
        <f aca="false">Sens!G3914-Sens!G3919*(Sens!G3916+Sens!G3918)-Sens!G3917</f>
        <v>66.5527545578061</v>
      </c>
      <c r="H3920" s="6" t="n">
        <f aca="false">Sens!H3914-Sens!H3919*(Sens!H3916+Sens!H3918)-Sens!H3917</f>
        <v>95.219644983859</v>
      </c>
      <c r="I3920" s="6" t="n">
        <f aca="false">Sens!I3914-Sens!I3919*(Sens!I3916+Sens!I3918)-Sens!I3917</f>
        <v>124.031840462493</v>
      </c>
      <c r="J3920" s="6" t="n">
        <f aca="false">Sens!J3914-Sens!J3919*(Sens!J3916+Sens!J3918)-Sens!J3917</f>
        <v>152.919994097909</v>
      </c>
      <c r="K3920" s="6" t="n">
        <f aca="false">Sens!K3914-Sens!K3919*(Sens!K3916+Sens!K3918)-Sens!K3917</f>
        <v>181.852830263848</v>
      </c>
    </row>
    <row r="3921" customFormat="false" ht="17.15" hidden="false" customHeight="false" outlineLevel="0" collapsed="false">
      <c r="A3921" s="1" t="s">
        <v>747</v>
      </c>
      <c r="B3921" s="0" t="s">
        <v>95</v>
      </c>
      <c r="D3921" s="6" t="n">
        <f aca="false">(1-Sens!D3919)*(Sens!D3916+Sens!D3918)</f>
        <v>1.42281025374069</v>
      </c>
      <c r="E3921" s="6" t="n">
        <f aca="false">(1-Sens!E3919)*(Sens!E3916+Sens!E3918)</f>
        <v>3.25095598674472</v>
      </c>
      <c r="F3921" s="6" t="n">
        <f aca="false">(1-Sens!F3919)*(Sens!F3916+Sens!F3918)</f>
        <v>6.53293055050977</v>
      </c>
      <c r="G3921" s="6" t="n">
        <f aca="false">(1-Sens!G3919)*(Sens!G3916+Sens!G3918)</f>
        <v>10.7846311741651</v>
      </c>
      <c r="H3921" s="6" t="n">
        <f aca="false">(1-Sens!H3919)*(Sens!H3916+Sens!H3918)</f>
        <v>15.26343050201</v>
      </c>
      <c r="I3921" s="6" t="n">
        <f aca="false">(1-Sens!I3919)*(Sens!I3916+Sens!I3918)</f>
        <v>19.7545570754104</v>
      </c>
      <c r="J3921" s="6" t="n">
        <f aca="false">(1-Sens!J3919)*(Sens!J3916+Sens!J3918)</f>
        <v>24.2521277113811</v>
      </c>
      <c r="K3921" s="6" t="n">
        <f aca="false">(1-Sens!K3919)*(Sens!K3916+Sens!K3918)</f>
        <v>28.7534890794427</v>
      </c>
    </row>
    <row r="3922" customFormat="false" ht="17.15" hidden="false" customHeight="false" outlineLevel="0" collapsed="false">
      <c r="A3922" s="1" t="s">
        <v>748</v>
      </c>
      <c r="B3922" s="0" t="s">
        <v>302</v>
      </c>
      <c r="C3922" s="8" t="n">
        <f aca="false">cxit_open</f>
        <v>27.5918995</v>
      </c>
      <c r="D3922" s="8" t="n">
        <f aca="false">cxit_open</f>
        <v>27.5918995</v>
      </c>
      <c r="E3922" s="8" t="n">
        <f aca="false">cxit_open</f>
        <v>27.5918995</v>
      </c>
      <c r="F3922" s="8" t="n">
        <f aca="false">(a_g3_27*tk_cxit_gb300+(1-a_g3_27)*tk_cxit_vr200)</f>
        <v>33.8419624</v>
      </c>
      <c r="G3922" s="8" t="n">
        <f aca="false">(a_g3_28*tk_cxit_gb300+(1-a_g3_28)*tk_cxit_vr200)</f>
        <v>35.9816136</v>
      </c>
      <c r="H3922" s="8" t="n">
        <f aca="false">(a_g3_29*tk_cxit_gb300+(1-a_g3_29)*tk_cxit_vr200)</f>
        <v>37.0514392</v>
      </c>
      <c r="I3922" s="8" t="n">
        <f aca="false">(a_g3_29*tk_cxit_gb300+(1-a_g3_29)*tk_cxit_vr200)</f>
        <v>37.0514392</v>
      </c>
      <c r="J3922" s="8" t="n">
        <f aca="false">(a_g3_29*tk_cxit_gb300+(1-a_g3_29)*tk_cxit_vr200)</f>
        <v>37.0514392</v>
      </c>
      <c r="K3922" s="8" t="n">
        <f aca="false">(a_g3_29*tk_cxit_gb300+(1-a_g3_29)*tk_cxit_vr200)</f>
        <v>37.0514392</v>
      </c>
      <c r="L3922" s="11" t="s">
        <v>749</v>
      </c>
    </row>
    <row r="3923" customFormat="false" ht="17.15" hidden="false" customHeight="false" outlineLevel="0" collapsed="false">
      <c r="A3923" s="0" t="s">
        <v>750</v>
      </c>
      <c r="B3923" s="0" t="s">
        <v>340</v>
      </c>
      <c r="F3923" s="27" t="n">
        <f aca="false">Sens!C3905*IF(3=life_it_hi,1,0)+Sens!D3905*IF(2=life_it_hi,1,0)+Sens!E3905*IF(1=life_it_hi,1,0)</f>
        <v>0</v>
      </c>
      <c r="G3923" s="27" t="n">
        <f aca="false">Sens!C3905*IF(4=life_it_hi,1,0)+Sens!D3905*IF(3=life_it_hi,1,0)+Sens!E3905*IF(2=life_it_hi,1,0)+Sens!F3905*IF(1=life_it_hi,1,0)</f>
        <v>0</v>
      </c>
      <c r="H3923" s="27" t="n">
        <f aca="false">Sens!C3905*IF(5=life_it_hi,1,0)+Sens!D3905*IF(4=life_it_hi,1,0)+Sens!E3905*IF(3=life_it_hi,1,0)+Sens!F3905*IF(2=life_it_hi,1,0)+Sens!G3905*IF(1=life_it_hi,1,0)</f>
        <v>0</v>
      </c>
      <c r="I3923" s="27" t="n">
        <f aca="false">Sens!C3905*IF(6=life_it_hi,1,0)+Sens!D3905*IF(5=life_it_hi,1,0)+Sens!E3905*IF(4=life_it_hi,1,0)+Sens!F3905*IF(3=life_it_hi,1,0)+Sens!G3905*IF(2=life_it_hi,1,0)+Sens!H3905*IF(1=life_it_hi,1,0)</f>
        <v>0</v>
      </c>
      <c r="J3923" s="27" t="n">
        <f aca="false">Sens!C3905*IF(7=life_it_hi,1,0)+Sens!D3905*IF(6=life_it_hi,1,0)+Sens!E3905*IF(5=life_it_hi,1,0)+Sens!F3905*IF(4=life_it_hi,1,0)+Sens!G3905*IF(3=life_it_hi,1,0)+Sens!H3905*IF(2=life_it_hi,1,0)+Sens!I3905*IF(1=life_it_hi,1,0)</f>
        <v>816.666666666667</v>
      </c>
      <c r="K3923" s="27" t="n">
        <f aca="false">Sens!C3905*IF(8=life_it_hi,1,0)+Sens!D3905*IF(7=life_it_hi,1,0)+Sens!E3905*IF(6=life_it_hi,1,0)+Sens!F3905*IF(5=life_it_hi,1,0)+Sens!G3905*IF(4=life_it_hi,1,0)+Sens!H3905*IF(3=life_it_hi,1,0)+Sens!I3905*IF(2=life_it_hi,1,0)+Sens!J3905*IF(1=life_it_hi,1,0)</f>
        <v>1233.33333333333</v>
      </c>
      <c r="L3923" s="1" t="s">
        <v>751</v>
      </c>
    </row>
    <row r="3924" customFormat="false" ht="17.15" hidden="false" customHeight="false" outlineLevel="0" collapsed="false">
      <c r="A3924" s="0" t="s">
        <v>752</v>
      </c>
      <c r="B3924" s="0" t="s">
        <v>95</v>
      </c>
      <c r="C3924" s="6" t="n">
        <f aca="false">Sens!C3905*Sens!C3922/1000</f>
        <v>22.5333845916667</v>
      </c>
      <c r="D3924" s="6" t="n">
        <f aca="false">Sens!D3905*Sens!D3922/1000</f>
        <v>34.0300093833333</v>
      </c>
      <c r="E3924" s="6" t="n">
        <f aca="false">Sens!E3905*Sens!E3922/1000</f>
        <v>67.600153775</v>
      </c>
      <c r="F3924" s="6" t="n">
        <f aca="false">(Sens!F3905+Sens!F3923)*Sens!F3922/1000</f>
        <v>130.923271871467</v>
      </c>
      <c r="G3924" s="6" t="n">
        <f aca="false">(Sens!G3905+Sens!G3923)*Sens!G3922/1000</f>
        <v>151.5545564832</v>
      </c>
      <c r="H3924" s="6" t="n">
        <f aca="false">(Sens!H3905+Sens!H3923)*Sens!H3922/1000</f>
        <v>156.0606619104</v>
      </c>
      <c r="I3924" s="6" t="n">
        <f aca="false">(Sens!I3905+Sens!I3923)*Sens!I3922/1000</f>
        <v>156.0606619104</v>
      </c>
      <c r="J3924" s="6" t="n">
        <f aca="false">(Sens!J3905+Sens!J3923)*Sens!J3922/1000</f>
        <v>186.319337257067</v>
      </c>
      <c r="K3924" s="6" t="n">
        <f aca="false">(Sens!K3905+Sens!K3923)*Sens!K3922/1000</f>
        <v>201.757436923733</v>
      </c>
    </row>
    <row r="3925" customFormat="false" ht="17.15" hidden="false" customHeight="false" outlineLevel="0" collapsed="false">
      <c r="A3925" s="0" t="s">
        <v>753</v>
      </c>
      <c r="B3925" s="0" t="s">
        <v>95</v>
      </c>
      <c r="C3925" s="6" t="n">
        <f aca="false">Sens!C3905*self_build*tk_cxfac/1000</f>
        <v>6.2083</v>
      </c>
      <c r="D3925" s="6" t="n">
        <f aca="false">Sens!D3905*self_build*tk_cxfac/1000</f>
        <v>9.3758</v>
      </c>
      <c r="E3925" s="6" t="n">
        <f aca="false">Sens!E3905*self_build*tk_cxfac/1000</f>
        <v>18.6249</v>
      </c>
      <c r="F3925" s="6" t="n">
        <f aca="false">Sens!F3905*self_build*tk_cxfac/1000</f>
        <v>29.409604</v>
      </c>
      <c r="G3925" s="6" t="n">
        <f aca="false">Sens!G3905*self_build*tk_cxfac/1000</f>
        <v>32.019624</v>
      </c>
      <c r="H3925" s="6" t="n">
        <f aca="false">Sens!H3905*self_build*tk_cxfac/1000</f>
        <v>32.019624</v>
      </c>
      <c r="I3925" s="6" t="n">
        <f aca="false">Sens!I3905*self_build*tk_cxfac/1000</f>
        <v>32.019624</v>
      </c>
      <c r="J3925" s="6" t="n">
        <f aca="false">Sens!J3905*self_build*tk_cxfac/1000</f>
        <v>32.019624</v>
      </c>
      <c r="K3925" s="6" t="n">
        <f aca="false">Sens!K3905*self_build*tk_cxfac/1000</f>
        <v>32.019624</v>
      </c>
    </row>
    <row r="3926" customFormat="false" ht="17.15" hidden="false" customHeight="false" outlineLevel="0" collapsed="false">
      <c r="A3926" s="0" t="s">
        <v>754</v>
      </c>
      <c r="B3926" s="0" t="s">
        <v>95</v>
      </c>
      <c r="F3926" s="6" t="n">
        <f aca="false">MAX(0,capex_floor27-Sens!F3924-Sens!F3925-Sens!F4013)</f>
        <v>8.28777689897088</v>
      </c>
      <c r="G3926" s="6" t="n">
        <f aca="false">0</f>
        <v>0</v>
      </c>
      <c r="H3926" s="6" t="n">
        <f aca="false">0</f>
        <v>0</v>
      </c>
      <c r="I3926" s="6" t="n">
        <f aca="false">0</f>
        <v>0</v>
      </c>
      <c r="J3926" s="6" t="n">
        <f aca="false">0</f>
        <v>0</v>
      </c>
      <c r="K3926" s="6" t="n">
        <f aca="false">0</f>
        <v>0</v>
      </c>
      <c r="L3926" s="1" t="s">
        <v>755</v>
      </c>
    </row>
    <row r="3927" customFormat="false" ht="17.15" hidden="false" customHeight="false" outlineLevel="0" collapsed="false">
      <c r="A3927" s="0" t="s">
        <v>756</v>
      </c>
      <c r="B3927" s="0" t="s">
        <v>95</v>
      </c>
      <c r="C3927" s="6" t="n">
        <f aca="false">Sens!C3924</f>
        <v>22.5333845916667</v>
      </c>
      <c r="D3927" s="6" t="n">
        <f aca="false">Sens!D3924</f>
        <v>34.0300093833333</v>
      </c>
      <c r="E3927" s="6" t="n">
        <f aca="false">Sens!E3924</f>
        <v>67.600153775</v>
      </c>
      <c r="F3927" s="6" t="n">
        <f aca="false">Sens!F3924+Sens!F3926</f>
        <v>139.211048770438</v>
      </c>
      <c r="G3927" s="6" t="n">
        <f aca="false">Sens!G3924+Sens!G3926</f>
        <v>151.5545564832</v>
      </c>
      <c r="H3927" s="6" t="n">
        <f aca="false">Sens!H3924+Sens!H3926</f>
        <v>156.0606619104</v>
      </c>
      <c r="I3927" s="6" t="n">
        <f aca="false">Sens!I3924+Sens!I3926</f>
        <v>156.0606619104</v>
      </c>
      <c r="J3927" s="6" t="n">
        <f aca="false">Sens!J3924+Sens!J3926</f>
        <v>186.319337257067</v>
      </c>
      <c r="K3927" s="6" t="n">
        <f aca="false">Sens!K3924+Sens!K3926</f>
        <v>201.757436923733</v>
      </c>
    </row>
    <row r="3928" customFormat="false" ht="17.15" hidden="false" customHeight="false" outlineLevel="0" collapsed="false">
      <c r="A3928" s="0" t="s">
        <v>757</v>
      </c>
      <c r="B3928" s="0" t="s">
        <v>95</v>
      </c>
      <c r="C3928" s="6" t="n">
        <f aca="false">Sens!C3927+Sens!C3925</f>
        <v>28.7416845916667</v>
      </c>
      <c r="D3928" s="6" t="n">
        <f aca="false">Sens!D3927+Sens!D3925</f>
        <v>43.4058093833333</v>
      </c>
      <c r="E3928" s="6" t="n">
        <f aca="false">Sens!E3927+Sens!E3925</f>
        <v>86.225053775</v>
      </c>
      <c r="F3928" s="6" t="n">
        <f aca="false">Sens!F3927+Sens!F3925</f>
        <v>168.620652770438</v>
      </c>
      <c r="G3928" s="6" t="n">
        <f aca="false">Sens!G3927+Sens!G3925</f>
        <v>183.5741804832</v>
      </c>
      <c r="H3928" s="6" t="n">
        <f aca="false">Sens!H3927+Sens!H3925</f>
        <v>188.0802859104</v>
      </c>
      <c r="I3928" s="6" t="n">
        <f aca="false">Sens!I3927+Sens!I3925</f>
        <v>188.0802859104</v>
      </c>
      <c r="J3928" s="6" t="n">
        <f aca="false">Sens!J3927+Sens!J3925</f>
        <v>218.338961257067</v>
      </c>
      <c r="K3928" s="6" t="n">
        <f aca="false">Sens!K3927+Sens!K3925</f>
        <v>233.777060923733</v>
      </c>
      <c r="L3928" s="11" t="s">
        <v>758</v>
      </c>
    </row>
    <row r="3929" customFormat="false" ht="17.15" hidden="false" customHeight="false" outlineLevel="0" collapsed="false">
      <c r="A3929" s="0" t="s">
        <v>759</v>
      </c>
      <c r="B3929" s="0" t="s">
        <v>95</v>
      </c>
      <c r="E3929" s="6" t="n">
        <f aca="false">(Sens!C3927*IF(2&lt;life_it_hi,1,IF(2=life_it_hi,0.5,0))+Sens!D3927*IF(1&lt;life_it_hi,1,IF(1=life_it_hi,0.5,0))+Sens!E3927*0.5)/life_it_hi</f>
        <v>12.9090672660714</v>
      </c>
      <c r="F3929" s="6" t="n">
        <f aca="false">(Sens!C3927*IF(3&lt;life_it_hi,1,IF(3=life_it_hi,0.5,0))+Sens!D3927*IF(2&lt;life_it_hi,1,IF(2=life_it_hi,0.5,0))+Sens!E3927*IF(1&lt;life_it_hi,1,IF(1=life_it_hi,0.5,0))+Sens!F3927*0.5)/life_it_hi</f>
        <v>27.681296019317</v>
      </c>
      <c r="G3929" s="6" t="n">
        <f aca="false">(Sens!C3927*IF(4&lt;life_it_hi,1,IF(4=life_it_hi,0.5,0))+Sens!D3927*IF(3&lt;life_it_hi,1,IF(3=life_it_hi,0.5,0))+Sens!E3927*IF(2&lt;life_it_hi,1,IF(2=life_it_hi,0.5,0))+Sens!F3927*IF(1&lt;life_it_hi,1,IF(1=life_it_hi,0.5,0))+Sens!G3927*0.5)/life_it_hi</f>
        <v>48.4502678231482</v>
      </c>
      <c r="H3929" s="6" t="n">
        <f aca="false">(Sens!C3927*IF(5&lt;life_it_hi,1,IF(5=life_it_hi,0.5,0))+Sens!D3927*IF(4&lt;life_it_hi,1,IF(4=life_it_hi,0.5,0))+Sens!E3927*IF(3&lt;life_it_hi,1,IF(3=life_it_hi,0.5,0))+Sens!F3927*IF(2&lt;life_it_hi,1,IF(2=life_it_hi,0.5,0))+Sens!G3927*IF(1&lt;life_it_hi,1,IF(1=life_it_hi,0.5,0))+Sens!H3927*0.5)/life_it_hi</f>
        <v>70.4227834226911</v>
      </c>
      <c r="I3929" s="6" t="n">
        <f aca="false">(Sens!C3927*IF(6&lt;life_it_hi,1,IF(6=life_it_hi,0.5,0))+Sens!D3927*IF(5&lt;life_it_hi,1,IF(5=life_it_hi,0.5,0))+Sens!E3927*IF(4&lt;life_it_hi,1,IF(4=life_it_hi,0.5,0))+Sens!F3927*IF(3&lt;life_it_hi,1,IF(3=life_it_hi,0.5,0))+Sens!G3927*IF(2&lt;life_it_hi,1,IF(2=life_it_hi,0.5,0))+Sens!H3927*IF(1&lt;life_it_hi,1,IF(1=life_it_hi,0.5,0))+Sens!I3927*0.5)/life_it_hi</f>
        <v>92.7171636956054</v>
      </c>
      <c r="J3929" s="6" t="n">
        <f aca="false">(Sens!C3927*IF(7&lt;life_it_hi,1,IF(7=life_it_hi,0.5,0))+Sens!D3927*IF(6&lt;life_it_hi,1,IF(6=life_it_hi,0.5,0))+Sens!E3927*IF(5&lt;life_it_hi,1,IF(5=life_it_hi,0.5,0))+Sens!F3927*IF(4&lt;life_it_hi,1,IF(4=life_it_hi,0.5,0))+Sens!G3927*IF(3&lt;life_it_hi,1,IF(3=life_it_hi,0.5,0))+Sens!H3927*IF(2&lt;life_it_hi,1,IF(2=life_it_hi,0.5,0))+Sens!I3927*IF(1&lt;life_it_hi,1,IF(1=life_it_hi,0.5,0))+Sens!J3927*0.5)/life_it_hi</f>
        <v>115.56335045102</v>
      </c>
      <c r="K3929" s="6" t="n">
        <f aca="false">(Sens!C3927*IF(8&lt;life_it_hi,1,IF(8=life_it_hi,0.5,0))+Sens!D3927*IF(7&lt;life_it_hi,1,IF(7=life_it_hi,0.5,0))+Sens!E3927*IF(6&lt;life_it_hi,1,IF(6=life_it_hi,0.5,0))+Sens!F3927*IF(5&lt;life_it_hi,1,IF(5=life_it_hi,0.5,0))+Sens!G3927*IF(4&lt;life_it_hi,1,IF(4=life_it_hi,0.5,0))+Sens!H3927*IF(3&lt;life_it_hi,1,IF(3=life_it_hi,0.5,0))+Sens!I3927*IF(2&lt;life_it_hi,1,IF(2=life_it_hi,0.5,0))+Sens!J3927*IF(1&lt;life_it_hi,1,IF(1=life_it_hi,0.5,0))+Sens!K3927*0.5)/life_it_hi</f>
        <v>139.242877608577</v>
      </c>
    </row>
    <row r="3930" customFormat="false" ht="17.15" hidden="false" customHeight="false" outlineLevel="0" collapsed="false">
      <c r="A3930" s="0" t="s">
        <v>760</v>
      </c>
      <c r="B3930" s="0" t="s">
        <v>95</v>
      </c>
      <c r="E3930" s="6" t="n">
        <f aca="false">(Sens!C3925*IF(2&lt;life_fac,1,IF(2=life_fac,0.5,0))+Sens!D3925*IF(1&lt;life_fac,1,IF(1=life_fac,0.5,0))+Sens!E3925*0.5)/life_fac</f>
        <v>1.2448275</v>
      </c>
      <c r="F3930" s="6" t="n">
        <f aca="false">(Sens!C3925*IF(3&lt;life_fac,1,IF(3=life_fac,0.5,0))+Sens!D3925*IF(2&lt;life_fac,1,IF(2=life_fac,0.5,0))+Sens!E3925*IF(1&lt;life_fac,1,IF(1=life_fac,0.5,0))+Sens!F3925*0.5)/life_fac</f>
        <v>2.4456901</v>
      </c>
      <c r="G3930" s="6" t="n">
        <f aca="false">(Sens!C3925*IF(4&lt;life_fac,1,IF(4=life_fac,0.5,0))+Sens!D3925*IF(3&lt;life_fac,1,IF(3=life_fac,0.5,0))+Sens!E3925*IF(2&lt;life_fac,1,IF(2=life_fac,0.5,0))+Sens!F3925*IF(1&lt;life_fac,1,IF(1=life_fac,0.5,0))+Sens!G3925*0.5)/life_fac</f>
        <v>3.9814208</v>
      </c>
      <c r="H3930" s="6" t="n">
        <f aca="false">(Sens!C3925*IF(5&lt;life_fac,1,IF(5=life_fac,0.5,0))+Sens!D3925*IF(4&lt;life_fac,1,IF(4=life_fac,0.5,0))+Sens!E3925*IF(3&lt;life_fac,1,IF(3=life_fac,0.5,0))+Sens!F3925*IF(2&lt;life_fac,1,IF(2=life_fac,0.5,0))+Sens!G3925*IF(1&lt;life_fac,1,IF(1=life_fac,0.5,0))+Sens!H3925*0.5)/life_fac</f>
        <v>5.582402</v>
      </c>
      <c r="I3930" s="6" t="n">
        <f aca="false">(Sens!C3925*IF(6&lt;life_fac,1,IF(6=life_fac,0.5,0))+Sens!D3925*IF(5&lt;life_fac,1,IF(5=life_fac,0.5,0))+Sens!E3925*IF(4&lt;life_fac,1,IF(4=life_fac,0.5,0))+Sens!F3925*IF(3&lt;life_fac,1,IF(3=life_fac,0.5,0))+Sens!G3925*IF(2&lt;life_fac,1,IF(2=life_fac,0.5,0))+Sens!H3925*IF(1&lt;life_fac,1,IF(1=life_fac,0.5,0))+Sens!I3925*0.5)/life_fac</f>
        <v>7.1833832</v>
      </c>
      <c r="J3930" s="6" t="n">
        <f aca="false">(Sens!C3925*IF(7&lt;life_fac,1,IF(7=life_fac,0.5,0))+Sens!D3925*IF(6&lt;life_fac,1,IF(6=life_fac,0.5,0))+Sens!E3925*IF(5&lt;life_fac,1,IF(5=life_fac,0.5,0))+Sens!F3925*IF(4&lt;life_fac,1,IF(4=life_fac,0.5,0))+Sens!G3925*IF(3&lt;life_fac,1,IF(3=life_fac,0.5,0))+Sens!H3925*IF(2&lt;life_fac,1,IF(2=life_fac,0.5,0))+Sens!I3925*IF(1&lt;life_fac,1,IF(1=life_fac,0.5,0))+Sens!J3925*0.5)/life_fac</f>
        <v>8.7843644</v>
      </c>
      <c r="K3930" s="6" t="n">
        <f aca="false">(Sens!C3925*IF(8&lt;life_fac,1,IF(8=life_fac,0.5,0))+Sens!D3925*IF(7&lt;life_fac,1,IF(7=life_fac,0.5,0))+Sens!E3925*IF(6&lt;life_fac,1,IF(6=life_fac,0.5,0))+Sens!F3925*IF(5&lt;life_fac,1,IF(5=life_fac,0.5,0))+Sens!G3925*IF(4&lt;life_fac,1,IF(4=life_fac,0.5,0))+Sens!H3925*IF(3&lt;life_fac,1,IF(3=life_fac,0.5,0))+Sens!I3925*IF(2&lt;life_fac,1,IF(2=life_fac,0.5,0))+Sens!J3925*IF(1&lt;life_fac,1,IF(1=life_fac,0.5,0))+Sens!K3925*0.5)/life_fac</f>
        <v>10.3853456</v>
      </c>
    </row>
    <row r="3931" customFormat="false" ht="17.15" hidden="false" customHeight="false" outlineLevel="0" collapsed="false">
      <c r="A3931" s="0" t="s">
        <v>761</v>
      </c>
      <c r="B3931" s="0" t="s">
        <v>95</v>
      </c>
      <c r="E3931" s="6" t="n">
        <f aca="false">Sens!E3929+Sens!E3930</f>
        <v>14.1538947660714</v>
      </c>
      <c r="F3931" s="6" t="n">
        <f aca="false">Sens!F3929+Sens!F3930</f>
        <v>30.126986119317</v>
      </c>
      <c r="G3931" s="6" t="n">
        <f aca="false">Sens!G3929+Sens!G3930</f>
        <v>52.4316886231482</v>
      </c>
      <c r="H3931" s="6" t="n">
        <f aca="false">Sens!H3929+Sens!H3930</f>
        <v>76.0051854226911</v>
      </c>
      <c r="I3931" s="6" t="n">
        <f aca="false">Sens!I3929+Sens!I3930</f>
        <v>99.9005468956053</v>
      </c>
      <c r="J3931" s="6" t="n">
        <f aca="false">Sens!J3929+Sens!J3930</f>
        <v>124.34771485102</v>
      </c>
      <c r="K3931" s="6" t="n">
        <f aca="false">Sens!K3929+Sens!K3930</f>
        <v>149.628223208577</v>
      </c>
    </row>
    <row r="3932" customFormat="false" ht="17.15" hidden="false" customHeight="false" outlineLevel="0" collapsed="false">
      <c r="A3932" s="0" t="s">
        <v>762</v>
      </c>
      <c r="B3932" s="0" t="s">
        <v>95</v>
      </c>
      <c r="E3932" s="6" t="n">
        <f aca="false">Sens!E3920-Sens!E3919*Sens!E3931</f>
        <v>10.2179856263809</v>
      </c>
      <c r="F3932" s="6" t="n">
        <f aca="false">Sens!F3920-Sens!F3919*Sens!F3931</f>
        <v>21.3832490776037</v>
      </c>
      <c r="G3932" s="6" t="n">
        <f aca="false">Sens!G3920-Sens!G3919*Sens!G3931</f>
        <v>35.0937413839172</v>
      </c>
      <c r="H3932" s="6" t="n">
        <f aca="false">Sens!H3920-Sens!H3919*Sens!H3931</f>
        <v>49.6165337302443</v>
      </c>
      <c r="I3932" s="6" t="n">
        <f aca="false">Sens!I3920-Sens!I3919*Sens!I3931</f>
        <v>64.0915123251296</v>
      </c>
      <c r="J3932" s="6" t="n">
        <f aca="false">Sens!J3920-Sens!J3919*Sens!J3931</f>
        <v>78.3113651872977</v>
      </c>
      <c r="K3932" s="6" t="n">
        <f aca="false">Sens!K3920-Sens!K3919*Sens!K3931</f>
        <v>92.0758963387022</v>
      </c>
    </row>
    <row r="3933" customFormat="false" ht="17.15" hidden="false" customHeight="false" outlineLevel="0" collapsed="false">
      <c r="A3933" s="3" t="s">
        <v>1225</v>
      </c>
    </row>
    <row r="3934" customFormat="false" ht="15" hidden="false" customHeight="false" outlineLevel="0" collapsed="false">
      <c r="A3934" s="4" t="s">
        <v>43</v>
      </c>
      <c r="B3934" s="4" t="s">
        <v>63</v>
      </c>
      <c r="C3934" s="19" t="s">
        <v>710</v>
      </c>
      <c r="D3934" s="19" t="s">
        <v>711</v>
      </c>
      <c r="E3934" s="19" t="s">
        <v>712</v>
      </c>
      <c r="F3934" s="19" t="s">
        <v>713</v>
      </c>
      <c r="G3934" s="19" t="s">
        <v>714</v>
      </c>
      <c r="H3934" s="19" t="s">
        <v>715</v>
      </c>
      <c r="I3934" s="19" t="s">
        <v>716</v>
      </c>
      <c r="J3934" s="19" t="s">
        <v>717</v>
      </c>
      <c r="K3934" s="19" t="s">
        <v>718</v>
      </c>
      <c r="L3934" s="4" t="s">
        <v>47</v>
      </c>
    </row>
    <row r="3935" customFormat="false" ht="17.15" hidden="false" customHeight="false" outlineLevel="0" collapsed="false">
      <c r="A3935" s="0" t="s">
        <v>780</v>
      </c>
      <c r="B3935" s="0" t="s">
        <v>95</v>
      </c>
      <c r="D3935" s="6" t="n">
        <f aca="false">Sens!D3914</f>
        <v>12.9359794422418</v>
      </c>
      <c r="E3935" s="6" t="n">
        <f aca="false">Sens!E3914</f>
        <v>27.8095064661409</v>
      </c>
      <c r="F3935" s="6" t="n">
        <f aca="false">Sens!F3914</f>
        <v>55.0640065749585</v>
      </c>
      <c r="G3935" s="6" t="n">
        <f aca="false">Sens!G3914</f>
        <v>89.4505413190538</v>
      </c>
      <c r="H3935" s="6" t="n">
        <f aca="false">Sens!H3914</f>
        <v>124.835630736874</v>
      </c>
      <c r="I3935" s="6" t="n">
        <f aca="false">Sens!I3914</f>
        <v>160.384516075608</v>
      </c>
      <c r="J3935" s="6" t="n">
        <f aca="false">Sens!J3914</f>
        <v>196.019025664981</v>
      </c>
      <c r="K3935" s="6" t="n">
        <f aca="false">Sens!K3914</f>
        <v>231.703903883012</v>
      </c>
    </row>
    <row r="3936" customFormat="false" ht="17.15" hidden="false" customHeight="false" outlineLevel="0" collapsed="false">
      <c r="A3936" s="0" t="s">
        <v>781</v>
      </c>
      <c r="B3936" s="0" t="s">
        <v>95</v>
      </c>
      <c r="D3936" s="6" t="n">
        <f aca="false">Q!L6-Sens!D3935</f>
        <v>59.6740205577583</v>
      </c>
      <c r="E3936" s="6" t="n">
        <f aca="false">Q!M6-Sens!E3935</f>
        <v>74.1284935338591</v>
      </c>
      <c r="F3936" s="6" t="n">
        <f aca="false">Sens!E3936*(1+Sens!F3937)</f>
        <v>90.0799497373663</v>
      </c>
      <c r="G3936" s="6" t="n">
        <f aca="false">Sens!F3936*(1+Sens!G3937)</f>
        <v>107.02842520331</v>
      </c>
      <c r="H3936" s="6" t="n">
        <f aca="false">Sens!G3936*(1+Sens!H3937)</f>
        <v>124.271982585636</v>
      </c>
      <c r="I3936" s="6" t="n">
        <f aca="false">Sens!H3936*(1+Sens!I3937)</f>
        <v>140.933702381855</v>
      </c>
      <c r="J3936" s="6" t="n">
        <f aca="false">Sens!I3936*(1+Sens!J3937)</f>
        <v>156.018867314332</v>
      </c>
      <c r="K3936" s="6" t="n">
        <f aca="false">Sens!J3936*(1+Sens!K3937)</f>
        <v>168.500376699478</v>
      </c>
    </row>
    <row r="3937" customFormat="false" ht="15" hidden="false" customHeight="false" outlineLevel="0" collapsed="false">
      <c r="A3937" s="1" t="s">
        <v>782</v>
      </c>
      <c r="B3937" s="0" t="s">
        <v>126</v>
      </c>
      <c r="E3937" s="7" t="n">
        <f aca="false">Sens!E3936/Sens!D3936-1</f>
        <v>0.242223883039864</v>
      </c>
      <c r="F3937" s="7" t="n">
        <f aca="false">Sens!$E$3937+(glt_azo-Sens!$E$3937)*MIN(1,1/n_conv)</f>
        <v>0.215186569199887</v>
      </c>
      <c r="G3937" s="7" t="n">
        <f aca="false">Sens!$E$3937+(glt_azo-Sens!$E$3937)*MIN(1,2/n_conv)</f>
        <v>0.18814925535991</v>
      </c>
      <c r="H3937" s="7" t="n">
        <f aca="false">Sens!$E$3937+(glt_azo-Sens!$E$3937)*MIN(1,3/n_conv)</f>
        <v>0.161111941519932</v>
      </c>
      <c r="I3937" s="7" t="n">
        <f aca="false">Sens!$E$3937+(glt_azo-Sens!$E$3937)*MIN(1,4/n_conv)</f>
        <v>0.134074627679955</v>
      </c>
      <c r="J3937" s="7" t="n">
        <f aca="false">Sens!$E$3937+(glt_azo-Sens!$E$3937)*MIN(1,5/n_conv)</f>
        <v>0.107037313839977</v>
      </c>
      <c r="K3937" s="7" t="n">
        <f aca="false">Sens!$E$3937+(glt_azo-Sens!$E$3937)*MIN(1,6/n_conv)</f>
        <v>0.08</v>
      </c>
    </row>
    <row r="3938" customFormat="false" ht="15" hidden="false" customHeight="false" outlineLevel="0" collapsed="false">
      <c r="A3938" s="0" t="s">
        <v>783</v>
      </c>
      <c r="B3938" s="0" t="s">
        <v>95</v>
      </c>
      <c r="D3938" s="6" t="n">
        <f aca="false">Sens!D3935+Sens!D3936</f>
        <v>72.61</v>
      </c>
      <c r="E3938" s="6" t="n">
        <f aca="false">Sens!E3935+Sens!E3936</f>
        <v>101.938</v>
      </c>
      <c r="F3938" s="6" t="n">
        <f aca="false">Sens!F3935+Sens!F3936</f>
        <v>145.143956312325</v>
      </c>
      <c r="G3938" s="6" t="n">
        <f aca="false">Sens!G3935+Sens!G3936</f>
        <v>196.478966522364</v>
      </c>
      <c r="H3938" s="6" t="n">
        <f aca="false">Sens!H3935+Sens!H3936</f>
        <v>249.10761332251</v>
      </c>
      <c r="I3938" s="6" t="n">
        <f aca="false">Sens!I3935+Sens!I3936</f>
        <v>301.318218457463</v>
      </c>
      <c r="J3938" s="6" t="n">
        <f aca="false">Sens!J3935+Sens!J3936</f>
        <v>352.037892979313</v>
      </c>
      <c r="K3938" s="6" t="n">
        <f aca="false">Sens!K3935+Sens!K3936</f>
        <v>400.20428058249</v>
      </c>
    </row>
    <row r="3939" customFormat="false" ht="17.15" hidden="false" customHeight="false" outlineLevel="0" collapsed="false">
      <c r="A3939" s="0" t="s">
        <v>784</v>
      </c>
      <c r="B3939" s="1" t="s">
        <v>451</v>
      </c>
      <c r="C3939" s="27" t="n">
        <f aca="false">cop_s24</f>
        <v>1</v>
      </c>
      <c r="D3939" s="27" t="n">
        <f aca="false">cop_s25</f>
        <v>5</v>
      </c>
      <c r="E3939" s="27" t="n">
        <f aca="false">cop_s26</f>
        <v>30</v>
      </c>
      <c r="F3939" s="27" t="n">
        <f aca="false">Sens!E3939+IF(2027&lt;=2029,cop_add_B,cop_add_B*cop_tail)</f>
        <v>50</v>
      </c>
      <c r="G3939" s="27" t="n">
        <f aca="false">Sens!F3939+IF(2028&lt;=2029,cop_add_B,cop_add_B*cop_tail)</f>
        <v>70</v>
      </c>
      <c r="H3939" s="27" t="n">
        <f aca="false">Sens!G3939+IF(2029&lt;=2029,cop_add_B,cop_add_B*cop_tail)</f>
        <v>90</v>
      </c>
      <c r="I3939" s="27" t="n">
        <f aca="false">Sens!H3939+IF(2030&lt;=2029,cop_add_B,cop_add_B*cop_tail)</f>
        <v>100</v>
      </c>
      <c r="J3939" s="27" t="n">
        <f aca="false">Sens!I3939+IF(2031&lt;=2029,cop_add_B,cop_add_B*cop_tail)</f>
        <v>110</v>
      </c>
      <c r="K3939" s="27" t="n">
        <f aca="false">Sens!J3939+IF(2032&lt;=2029,cop_add_B,cop_add_B*cop_tail)</f>
        <v>120</v>
      </c>
    </row>
    <row r="3940" customFormat="false" ht="17.15" hidden="false" customHeight="false" outlineLevel="0" collapsed="false">
      <c r="A3940" s="0" t="s">
        <v>785</v>
      </c>
      <c r="B3940" s="0" t="s">
        <v>95</v>
      </c>
      <c r="D3940" s="6" t="n">
        <f aca="false">(Sens!C3939+Sens!D3939)/2*cop_px*12/1000</f>
        <v>0.9</v>
      </c>
      <c r="E3940" s="6" t="n">
        <f aca="false">(Sens!D3939+Sens!E3939)/2*cop_px*12/1000</f>
        <v>5.25</v>
      </c>
      <c r="F3940" s="6" t="n">
        <f aca="false">(Sens!E3939+Sens!F3939)/2*cop_px*12/1000</f>
        <v>12</v>
      </c>
      <c r="G3940" s="6" t="n">
        <f aca="false">(Sens!F3939+Sens!G3939)/2*cop_px*12/1000</f>
        <v>18</v>
      </c>
      <c r="H3940" s="6" t="n">
        <f aca="false">(Sens!G3939+Sens!H3939)/2*cop_px*12/1000</f>
        <v>24</v>
      </c>
      <c r="I3940" s="6" t="n">
        <f aca="false">(Sens!H3939+Sens!I3939)/2*cop_px*12/1000</f>
        <v>28.5</v>
      </c>
      <c r="J3940" s="6" t="n">
        <f aca="false">(Sens!I3939+Sens!J3939)/2*cop_px*12/1000</f>
        <v>31.5</v>
      </c>
      <c r="K3940" s="6" t="n">
        <f aca="false">(Sens!J3939+Sens!K3939)/2*cop_px*12/1000</f>
        <v>34.5</v>
      </c>
      <c r="L3940" s="1" t="s">
        <v>786</v>
      </c>
    </row>
    <row r="3941" customFormat="false" ht="17.15" hidden="false" customHeight="false" outlineLevel="0" collapsed="false">
      <c r="A3941" s="0" t="s">
        <v>787</v>
      </c>
      <c r="B3941" s="0" t="s">
        <v>95</v>
      </c>
      <c r="D3941" s="6" t="n">
        <f aca="false">Q!L7-Sens!D3940</f>
        <v>83.705</v>
      </c>
      <c r="E3941" s="6" t="n">
        <f aca="false">Q!M7-Sens!E3940</f>
        <v>95.049</v>
      </c>
      <c r="F3941" s="6" t="n">
        <f aca="false">Sens!E3941*(1+Sens!F3942)</f>
        <v>106.89238776686</v>
      </c>
      <c r="G3941" s="6" t="n">
        <f aca="false">Sens!F3941*(1+Sens!G3942)</f>
        <v>119.044168448684</v>
      </c>
      <c r="H3941" s="6" t="n">
        <f aca="false">Sens!G3941*(1+Sens!H3942)</f>
        <v>131.277359388781</v>
      </c>
      <c r="I3941" s="6" t="n">
        <f aca="false">Sens!H3941*(1+Sens!I3942)</f>
        <v>143.334028071957</v>
      </c>
      <c r="J3941" s="6" t="n">
        <f aca="false">Sens!I3941*(1+Sens!J3942)</f>
        <v>154.932702785465</v>
      </c>
      <c r="K3941" s="6" t="n">
        <f aca="false">Sens!J3941*(1+Sens!K3942)</f>
        <v>165.777991980448</v>
      </c>
    </row>
    <row r="3942" customFormat="false" ht="15" hidden="false" customHeight="false" outlineLevel="0" collapsed="false">
      <c r="A3942" s="1" t="s">
        <v>782</v>
      </c>
      <c r="B3942" s="0" t="s">
        <v>126</v>
      </c>
      <c r="E3942" s="7" t="n">
        <f aca="false">Sens!E3941/Sens!D3941-1</f>
        <v>0.135523564900544</v>
      </c>
      <c r="F3942" s="7" t="n">
        <f aca="false">Sens!$E$3942+(glt_m365b-Sens!$E$3942)*MIN(1,1/n_conv)</f>
        <v>0.124602970750453</v>
      </c>
      <c r="G3942" s="7" t="n">
        <f aca="false">Sens!$E$3942+(glt_m365b-Sens!$E$3942)*MIN(1,2/n_conv)</f>
        <v>0.113682376600363</v>
      </c>
      <c r="H3942" s="7" t="n">
        <f aca="false">Sens!$E$3942+(glt_m365b-Sens!$E$3942)*MIN(1,3/n_conv)</f>
        <v>0.102761782450272</v>
      </c>
      <c r="I3942" s="7" t="n">
        <f aca="false">Sens!$E$3942+(glt_m365b-Sens!$E$3942)*MIN(1,4/n_conv)</f>
        <v>0.0918411883001813</v>
      </c>
      <c r="J3942" s="7" t="n">
        <f aca="false">Sens!$E$3942+(glt_m365b-Sens!$E$3942)*MIN(1,5/n_conv)</f>
        <v>0.0809205941500906</v>
      </c>
      <c r="K3942" s="7" t="n">
        <f aca="false">Sens!$E$3942+(glt_m365b-Sens!$E$3942)*MIN(1,6/n_conv)</f>
        <v>0.07</v>
      </c>
    </row>
    <row r="3943" customFormat="false" ht="15" hidden="false" customHeight="false" outlineLevel="0" collapsed="false">
      <c r="A3943" s="0" t="s">
        <v>788</v>
      </c>
      <c r="B3943" s="0" t="s">
        <v>95</v>
      </c>
      <c r="D3943" s="6" t="n">
        <f aca="false">Sens!D3941+Sens!D3940</f>
        <v>84.605</v>
      </c>
      <c r="E3943" s="6" t="n">
        <f aca="false">Sens!E3941+Sens!E3940</f>
        <v>100.299</v>
      </c>
      <c r="F3943" s="6" t="n">
        <f aca="false">Sens!F3941+Sens!F3940</f>
        <v>118.89238776686</v>
      </c>
      <c r="G3943" s="6" t="n">
        <f aca="false">Sens!G3941+Sens!G3940</f>
        <v>137.044168448684</v>
      </c>
      <c r="H3943" s="6" t="n">
        <f aca="false">Sens!H3941+Sens!H3940</f>
        <v>155.277359388781</v>
      </c>
      <c r="I3943" s="6" t="n">
        <f aca="false">Sens!I3941+Sens!I3940</f>
        <v>171.834028071957</v>
      </c>
      <c r="J3943" s="6" t="n">
        <f aca="false">Sens!J3941+Sens!J3940</f>
        <v>186.432702785465</v>
      </c>
      <c r="K3943" s="6" t="n">
        <f aca="false">Sens!K3941+Sens!K3940</f>
        <v>200.277991980448</v>
      </c>
    </row>
    <row r="3944" customFormat="false" ht="15" hidden="false" customHeight="false" outlineLevel="0" collapsed="false">
      <c r="A3944" s="0" t="s">
        <v>789</v>
      </c>
      <c r="B3944" s="0" t="s">
        <v>95</v>
      </c>
      <c r="D3944" s="6" t="n">
        <f aca="false">Q!L8</f>
        <v>35.391</v>
      </c>
      <c r="E3944" s="6" t="n">
        <f aca="false">Q!M8</f>
        <v>37.285</v>
      </c>
      <c r="F3944" s="6" t="n">
        <f aca="false">Sens!E3944*(1+Sens!F3945)</f>
        <v>39.0720834331704</v>
      </c>
      <c r="G3944" s="6" t="n">
        <f aca="false">Sens!F3944*(1+Sens!G3945)</f>
        <v>40.726562953769</v>
      </c>
      <c r="H3944" s="6" t="n">
        <f aca="false">Sens!G3944*(1+Sens!H3945)</f>
        <v>42.2235987259198</v>
      </c>
      <c r="I3944" s="6" t="n">
        <f aca="false">Sens!H3944*(1+Sens!I3945)</f>
        <v>43.5397988077414</v>
      </c>
      <c r="J3944" s="6" t="n">
        <f aca="false">Sens!I3944*(1+Sens!J3945)</f>
        <v>44.653811225693</v>
      </c>
      <c r="K3944" s="6" t="n">
        <f aca="false">Sens!J3944*(1+Sens!K3945)</f>
        <v>45.5468874502068</v>
      </c>
    </row>
    <row r="3945" customFormat="false" ht="15" hidden="false" customHeight="false" outlineLevel="0" collapsed="false">
      <c r="A3945" s="1" t="s">
        <v>782</v>
      </c>
      <c r="B3945" s="0" t="s">
        <v>126</v>
      </c>
      <c r="E3945" s="7" t="n">
        <f aca="false">Sens!E3944/Sens!D3944-1</f>
        <v>0.0535164307309768</v>
      </c>
      <c r="F3945" s="7" t="n">
        <f aca="false">Sens!$E$3945+(glt_lic-Sens!$E$3945)*MIN(1,1/n_conv)</f>
        <v>0.0479303589424807</v>
      </c>
      <c r="G3945" s="7" t="n">
        <f aca="false">Sens!$E$3945+(glt_lic-Sens!$E$3945)*MIN(1,2/n_conv)</f>
        <v>0.0423442871539845</v>
      </c>
      <c r="H3945" s="7" t="n">
        <f aca="false">Sens!$E$3945+(glt_lic-Sens!$E$3945)*MIN(1,3/n_conv)</f>
        <v>0.0367582153654884</v>
      </c>
      <c r="I3945" s="7" t="n">
        <f aca="false">Sens!$E$3945+(glt_lic-Sens!$E$3945)*MIN(1,4/n_conv)</f>
        <v>0.0311721435769923</v>
      </c>
      <c r="J3945" s="7" t="n">
        <f aca="false">Sens!$E$3945+(glt_lic-Sens!$E$3945)*MIN(1,5/n_conv)</f>
        <v>0.0255860717884961</v>
      </c>
      <c r="K3945" s="7" t="n">
        <f aca="false">Sens!$E$3945+(glt_lic-Sens!$E$3945)*MIN(1,6/n_conv)</f>
        <v>0.02</v>
      </c>
    </row>
    <row r="3946" customFormat="false" ht="15" hidden="false" customHeight="false" outlineLevel="0" collapsed="false">
      <c r="A3946" s="0" t="s">
        <v>790</v>
      </c>
      <c r="B3946" s="0" t="s">
        <v>95</v>
      </c>
      <c r="D3946" s="6" t="n">
        <f aca="false">Q!L9</f>
        <v>18.417</v>
      </c>
      <c r="E3946" s="6" t="n">
        <f aca="false">Q!M9</f>
        <v>20.345</v>
      </c>
      <c r="F3946" s="6" t="n">
        <f aca="false">Sens!E3946*(1+Sens!F3947)</f>
        <v>22.3572203267814</v>
      </c>
      <c r="G3946" s="6" t="n">
        <f aca="false">Sens!F3946*(1+Sens!G3947)</f>
        <v>24.4392124437232</v>
      </c>
      <c r="H3946" s="6" t="n">
        <f aca="false">Sens!G3946*(1+Sens!H3947)</f>
        <v>26.5738052080665</v>
      </c>
      <c r="I3946" s="6" t="n">
        <f aca="false">Sens!H3946*(1+Sens!I3947)</f>
        <v>28.7412169166967</v>
      </c>
      <c r="J3946" s="6" t="n">
        <f aca="false">Sens!I3946*(1+Sens!J3947)</f>
        <v>30.9192545395413</v>
      </c>
      <c r="K3946" s="6" t="n">
        <f aca="false">Sens!J3946*(1+Sens!K3947)</f>
        <v>33.0836023573092</v>
      </c>
    </row>
    <row r="3947" customFormat="false" ht="15" hidden="false" customHeight="false" outlineLevel="0" collapsed="false">
      <c r="A3947" s="1" t="s">
        <v>782</v>
      </c>
      <c r="B3947" s="0" t="s">
        <v>126</v>
      </c>
      <c r="E3947" s="7" t="n">
        <f aca="false">Sens!E3946/Sens!D3946-1</f>
        <v>0.104685888038225</v>
      </c>
      <c r="F3947" s="7" t="n">
        <f aca="false">Sens!$E$3947+(glt_ind-Sens!$E$3947)*MIN(1,1/n_conv)</f>
        <v>0.0989049066985211</v>
      </c>
      <c r="G3947" s="7" t="n">
        <f aca="false">Sens!$E$3947+(glt_ind-Sens!$E$3947)*MIN(1,2/n_conv)</f>
        <v>0.0931239253588169</v>
      </c>
      <c r="H3947" s="7" t="n">
        <f aca="false">Sens!$E$3947+(glt_ind-Sens!$E$3947)*MIN(1,3/n_conv)</f>
        <v>0.0873429440191127</v>
      </c>
      <c r="I3947" s="7" t="n">
        <f aca="false">Sens!$E$3947+(glt_ind-Sens!$E$3947)*MIN(1,4/n_conv)</f>
        <v>0.0815619626794085</v>
      </c>
      <c r="J3947" s="7" t="n">
        <f aca="false">Sens!$E$3947+(glt_ind-Sens!$E$3947)*MIN(1,5/n_conv)</f>
        <v>0.0757809813397042</v>
      </c>
      <c r="K3947" s="7" t="n">
        <f aca="false">Sens!$E$3947+(glt_ind-Sens!$E$3947)*MIN(1,6/n_conv)</f>
        <v>0.07</v>
      </c>
    </row>
    <row r="3948" customFormat="false" ht="15" hidden="false" customHeight="false" outlineLevel="0" collapsed="false">
      <c r="A3948" s="0" t="s">
        <v>791</v>
      </c>
      <c r="B3948" s="0" t="s">
        <v>95</v>
      </c>
      <c r="D3948" s="6" t="n">
        <f aca="false">Q!L10</f>
        <v>7.76</v>
      </c>
      <c r="E3948" s="6" t="n">
        <f aca="false">Q!M10</f>
        <v>8.26</v>
      </c>
      <c r="F3948" s="6" t="n">
        <f aca="false">Sens!E3948*(1+Sens!F3949)</f>
        <v>8.79988041237113</v>
      </c>
      <c r="G3948" s="6" t="n">
        <f aca="false">Sens!F3948*(1+Sens!G3949)</f>
        <v>9.38321269125306</v>
      </c>
      <c r="H3948" s="6" t="n">
        <f aca="false">Sens!G3948*(1+Sens!H3949)</f>
        <v>10.0139193587476</v>
      </c>
      <c r="I3948" s="6" t="n">
        <f aca="false">Sens!H3948*(1+Sens!I3949)</f>
        <v>10.6963111830911</v>
      </c>
      <c r="J3948" s="6" t="n">
        <f aca="false">Sens!I3948*(1+Sens!J3949)</f>
        <v>11.4351285534696</v>
      </c>
      <c r="K3948" s="6" t="n">
        <f aca="false">Sens!J3948*(1+Sens!K3949)</f>
        <v>12.2355875522124</v>
      </c>
    </row>
    <row r="3949" customFormat="false" ht="15" hidden="false" customHeight="false" outlineLevel="0" collapsed="false">
      <c r="A3949" s="1" t="s">
        <v>782</v>
      </c>
      <c r="B3949" s="0" t="s">
        <v>126</v>
      </c>
      <c r="E3949" s="7" t="n">
        <f aca="false">Sens!E3948/Sens!D3948-1</f>
        <v>0.0644329896907216</v>
      </c>
      <c r="F3949" s="7" t="n">
        <f aca="false">Sens!$E$3949+(glt_fro-Sens!$E$3949)*MIN(1,1/n_conv)</f>
        <v>0.065360824742268</v>
      </c>
      <c r="G3949" s="7" t="n">
        <f aca="false">Sens!$E$3949+(glt_fro-Sens!$E$3949)*MIN(1,2/n_conv)</f>
        <v>0.0662886597938144</v>
      </c>
      <c r="H3949" s="7" t="n">
        <f aca="false">Sens!$E$3949+(glt_fro-Sens!$E$3949)*MIN(1,3/n_conv)</f>
        <v>0.0672164948453608</v>
      </c>
      <c r="I3949" s="7" t="n">
        <f aca="false">Sens!$E$3949+(glt_fro-Sens!$E$3949)*MIN(1,4/n_conv)</f>
        <v>0.0681443298969072</v>
      </c>
      <c r="J3949" s="7" t="n">
        <f aca="false">Sens!$E$3949+(glt_fro-Sens!$E$3949)*MIN(1,5/n_conv)</f>
        <v>0.0690721649484536</v>
      </c>
      <c r="K3949" s="7" t="n">
        <f aca="false">Sens!$E$3949+(glt_fro-Sens!$E$3949)*MIN(1,6/n_conv)</f>
        <v>0.07</v>
      </c>
    </row>
    <row r="3950" customFormat="false" ht="15" hidden="false" customHeight="false" outlineLevel="0" collapsed="false">
      <c r="A3950" s="0" t="s">
        <v>626</v>
      </c>
      <c r="B3950" s="0" t="s">
        <v>95</v>
      </c>
      <c r="D3950" s="6" t="n">
        <f aca="false">Sens!D3938+Sens!D3943+Sens!D3944+Sens!D3946+Sens!D3948</f>
        <v>218.783</v>
      </c>
      <c r="E3950" s="6" t="n">
        <f aca="false">Sens!E3938+Sens!E3943+Sens!E3944+Sens!E3946+Sens!E3948</f>
        <v>268.127</v>
      </c>
      <c r="F3950" s="6" t="n">
        <f aca="false">Sens!F3938+Sens!F3943+Sens!F3944+Sens!F3946+Sens!F3948</f>
        <v>334.265528251508</v>
      </c>
      <c r="G3950" s="6" t="n">
        <f aca="false">Sens!G3938+Sens!G3943+Sens!G3944+Sens!G3946+Sens!G3948</f>
        <v>408.072123059793</v>
      </c>
      <c r="H3950" s="6" t="n">
        <f aca="false">Sens!H3938+Sens!H3943+Sens!H3944+Sens!H3946+Sens!H3948</f>
        <v>483.196296004025</v>
      </c>
      <c r="I3950" s="6" t="n">
        <f aca="false">Sens!I3938+Sens!I3943+Sens!I3944+Sens!I3946+Sens!I3948</f>
        <v>556.129573436949</v>
      </c>
      <c r="J3950" s="6" t="n">
        <f aca="false">Sens!J3938+Sens!J3943+Sens!J3944+Sens!J3946+Sens!J3948</f>
        <v>625.478790083482</v>
      </c>
      <c r="K3950" s="6" t="n">
        <f aca="false">Sens!K3938+Sens!K3943+Sens!K3944+Sens!K3946+Sens!K3948</f>
        <v>691.348349922667</v>
      </c>
    </row>
    <row r="3951" customFormat="false" ht="15" hidden="false" customHeight="false" outlineLevel="0" collapsed="false">
      <c r="A3951" s="0" t="s">
        <v>792</v>
      </c>
      <c r="B3951" s="0" t="s">
        <v>95</v>
      </c>
      <c r="D3951" s="6" t="n">
        <f aca="false">Q!L13</f>
        <v>22.171</v>
      </c>
      <c r="E3951" s="6" t="n">
        <f aca="false">Q!M13</f>
        <v>24.835</v>
      </c>
      <c r="F3951" s="6" t="n">
        <f aca="false">Sens!E3951*(1+Sens!F3952)</f>
        <v>27.6114901218559</v>
      </c>
      <c r="G3951" s="6" t="n">
        <f aca="false">Sens!F3951*(1+Sens!G3952)</f>
        <v>30.4675667338515</v>
      </c>
      <c r="H3951" s="6" t="n">
        <f aca="false">Sens!G3951*(1+Sens!H3952)</f>
        <v>33.3643766955789</v>
      </c>
      <c r="I3951" s="6" t="n">
        <f aca="false">Sens!H3951*(1+Sens!I3952)</f>
        <v>36.2577016533691</v>
      </c>
      <c r="J3951" s="6" t="n">
        <f aca="false">Sens!I3951*(1+Sens!J3952)</f>
        <v>39.0988367952171</v>
      </c>
      <c r="K3951" s="6" t="n">
        <f aca="false">Sens!J3951*(1+Sens!K3952)</f>
        <v>41.8357553708823</v>
      </c>
    </row>
    <row r="3952" customFormat="false" ht="15" hidden="false" customHeight="false" outlineLevel="0" collapsed="false">
      <c r="A3952" s="1" t="s">
        <v>782</v>
      </c>
      <c r="B3952" s="0" t="s">
        <v>126</v>
      </c>
      <c r="E3952" s="7" t="n">
        <f aca="false">Sens!E3951/Sens!D3951-1</f>
        <v>0.120156961796942</v>
      </c>
      <c r="F3952" s="7" t="n">
        <f aca="false">Sens!$E$3952+(glt_srch-Sens!$E$3952)*MIN(1,1/n_conv)</f>
        <v>0.111797468164118</v>
      </c>
      <c r="G3952" s="7" t="n">
        <f aca="false">Sens!$E$3952+(glt_srch-Sens!$E$3952)*MIN(1,2/n_conv)</f>
        <v>0.103437974531295</v>
      </c>
      <c r="H3952" s="7" t="n">
        <f aca="false">Sens!$E$3952+(glt_srch-Sens!$E$3952)*MIN(1,3/n_conv)</f>
        <v>0.095078480898471</v>
      </c>
      <c r="I3952" s="7" t="n">
        <f aca="false">Sens!$E$3952+(glt_srch-Sens!$E$3952)*MIN(1,4/n_conv)</f>
        <v>0.0867189872656474</v>
      </c>
      <c r="J3952" s="7" t="n">
        <f aca="false">Sens!$E$3952+(glt_srch-Sens!$E$3952)*MIN(1,5/n_conv)</f>
        <v>0.0783594936328237</v>
      </c>
      <c r="K3952" s="7" t="n">
        <f aca="false">Sens!$E$3952+(glt_srch-Sens!$E$3952)*MIN(1,6/n_conv)</f>
        <v>0.07</v>
      </c>
    </row>
    <row r="3953" customFormat="false" ht="15" hidden="false" customHeight="false" outlineLevel="0" collapsed="false">
      <c r="A3953" s="0" t="s">
        <v>793</v>
      </c>
      <c r="B3953" s="0" t="s">
        <v>95</v>
      </c>
      <c r="D3953" s="6" t="n">
        <f aca="false">Q!L14</f>
        <v>23.455</v>
      </c>
      <c r="E3953" s="6" t="n">
        <f aca="false">Q!M14</f>
        <v>21.79</v>
      </c>
      <c r="F3953" s="6" t="n">
        <f aca="false">Sens!E3953*(1+Sens!F3954)</f>
        <v>20.5736277908051</v>
      </c>
      <c r="G3953" s="6" t="n">
        <f aca="false">Sens!F3953*(1+Sens!G3954)</f>
        <v>19.7371452817919</v>
      </c>
      <c r="H3953" s="6" t="n">
        <f aca="false">Sens!G3953*(1+Sens!H3954)</f>
        <v>19.2339764043138</v>
      </c>
      <c r="I3953" s="6" t="n">
        <f aca="false">Sens!H3953*(1+Sens!I3954)</f>
        <v>19.0353086852681</v>
      </c>
      <c r="J3953" s="6" t="n">
        <f aca="false">Sens!I3953*(1+Sens!J3954)</f>
        <v>19.1273539319129</v>
      </c>
      <c r="K3953" s="6" t="n">
        <f aca="false">Sens!J3953*(1+Sens!K3954)</f>
        <v>19.5099010105511</v>
      </c>
    </row>
    <row r="3954" customFormat="false" ht="15" hidden="false" customHeight="false" outlineLevel="0" collapsed="false">
      <c r="A3954" s="1" t="s">
        <v>782</v>
      </c>
      <c r="B3954" s="0" t="s">
        <v>126</v>
      </c>
      <c r="E3954" s="7" t="n">
        <f aca="false">Sens!E3953/Sens!D3953-1</f>
        <v>-0.0709869963760392</v>
      </c>
      <c r="F3954" s="7" t="n">
        <f aca="false">Sens!$E$3954+(glt_xbox-Sens!$E$3954)*MIN(1,1/n_conv)</f>
        <v>-0.0558224969800327</v>
      </c>
      <c r="G3954" s="7" t="n">
        <f aca="false">Sens!$E$3954+(glt_xbox-Sens!$E$3954)*MIN(1,2/n_conv)</f>
        <v>-0.0406579975840262</v>
      </c>
      <c r="H3954" s="7" t="n">
        <f aca="false">Sens!$E$3954+(glt_xbox-Sens!$E$3954)*MIN(1,3/n_conv)</f>
        <v>-0.0254934981880196</v>
      </c>
      <c r="I3954" s="7" t="n">
        <f aca="false">Sens!$E$3954+(glt_xbox-Sens!$E$3954)*MIN(1,4/n_conv)</f>
        <v>-0.0103289987920131</v>
      </c>
      <c r="J3954" s="7" t="n">
        <f aca="false">Sens!$E$3954+(glt_xbox-Sens!$E$3954)*MIN(1,5/n_conv)</f>
        <v>0.00483550060399347</v>
      </c>
      <c r="K3954" s="7" t="n">
        <f aca="false">Sens!$E$3954+(glt_xbox-Sens!$E$3954)*MIN(1,6/n_conv)</f>
        <v>0.02</v>
      </c>
    </row>
    <row r="3955" customFormat="false" ht="15" hidden="false" customHeight="false" outlineLevel="0" collapsed="false">
      <c r="A3955" s="0" t="s">
        <v>794</v>
      </c>
      <c r="B3955" s="0" t="s">
        <v>95</v>
      </c>
      <c r="D3955" s="6" t="n">
        <f aca="false">Q!L15</f>
        <v>17.315</v>
      </c>
      <c r="E3955" s="6" t="n">
        <f aca="false">Q!M15</f>
        <v>17.087</v>
      </c>
      <c r="F3955" s="6" t="n">
        <f aca="false">Sens!E3955*(1+Sens!F3956)</f>
        <v>16.9564585436519</v>
      </c>
      <c r="G3955" s="6" t="n">
        <f aca="false">Sens!F3955*(1+Sens!G3956)</f>
        <v>16.9206490624268</v>
      </c>
      <c r="H3955" s="6" t="n">
        <f aca="false">Sens!G3955*(1+Sens!H3956)</f>
        <v>16.9784519149849</v>
      </c>
      <c r="I3955" s="6" t="n">
        <f aca="false">Sens!H3955*(1+Sens!I3956)</f>
        <v>17.1303084701817</v>
      </c>
      <c r="J3955" s="6" t="n">
        <f aca="false">Sens!I3955*(1+Sens!J3956)</f>
        <v>17.3782189407267</v>
      </c>
      <c r="K3955" s="6" t="n">
        <f aca="false">Sens!J3955*(1+Sens!K3956)</f>
        <v>17.7257833195413</v>
      </c>
    </row>
    <row r="3956" customFormat="false" ht="15" hidden="false" customHeight="false" outlineLevel="0" collapsed="false">
      <c r="A3956" s="1" t="s">
        <v>782</v>
      </c>
      <c r="B3956" s="0" t="s">
        <v>126</v>
      </c>
      <c r="E3956" s="7" t="n">
        <f aca="false">Sens!E3955/Sens!D3955-1</f>
        <v>-0.0131677736066995</v>
      </c>
      <c r="F3956" s="7" t="n">
        <f aca="false">Sens!$E$3956+(glt_win-Sens!$E$3956)*MIN(1,1/n_conv)</f>
        <v>-0.00763981133891627</v>
      </c>
      <c r="G3956" s="7" t="n">
        <f aca="false">Sens!$E$3956+(glt_win-Sens!$E$3956)*MIN(1,2/n_conv)</f>
        <v>-0.00211184907113301</v>
      </c>
      <c r="H3956" s="7" t="n">
        <f aca="false">Sens!$E$3956+(glt_win-Sens!$E$3956)*MIN(1,3/n_conv)</f>
        <v>0.00341611319665024</v>
      </c>
      <c r="I3956" s="7" t="n">
        <f aca="false">Sens!$E$3956+(glt_win-Sens!$E$3956)*MIN(1,4/n_conv)</f>
        <v>0.00894407546443349</v>
      </c>
      <c r="J3956" s="7" t="n">
        <f aca="false">Sens!$E$3956+(glt_win-Sens!$E$3956)*MIN(1,5/n_conv)</f>
        <v>0.0144720377322168</v>
      </c>
      <c r="K3956" s="7" t="n">
        <f aca="false">Sens!$E$3956+(glt_win-Sens!$E$3956)*MIN(1,6/n_conv)</f>
        <v>0.02</v>
      </c>
    </row>
    <row r="3957" customFormat="false" ht="15" hidden="false" customHeight="false" outlineLevel="0" collapsed="false">
      <c r="A3957" s="0" t="s">
        <v>640</v>
      </c>
      <c r="B3957" s="0" t="s">
        <v>95</v>
      </c>
      <c r="D3957" s="6" t="n">
        <f aca="false">Sens!D3951+Sens!D3953+Sens!D3955</f>
        <v>62.941</v>
      </c>
      <c r="E3957" s="6" t="n">
        <f aca="false">Sens!E3951+Sens!E3953+Sens!E3955</f>
        <v>63.712</v>
      </c>
      <c r="F3957" s="6" t="n">
        <f aca="false">Sens!F3951+Sens!F3953+Sens!F3955</f>
        <v>65.1415764563129</v>
      </c>
      <c r="G3957" s="6" t="n">
        <f aca="false">Sens!G3951+Sens!G3953+Sens!G3955</f>
        <v>67.1253610780702</v>
      </c>
      <c r="H3957" s="6" t="n">
        <f aca="false">Sens!H3951+Sens!H3953+Sens!H3955</f>
        <v>69.5768050148776</v>
      </c>
      <c r="I3957" s="6" t="n">
        <f aca="false">Sens!I3951+Sens!I3953+Sens!I3955</f>
        <v>72.4233188088189</v>
      </c>
      <c r="J3957" s="6" t="n">
        <f aca="false">Sens!J3951+Sens!J3953+Sens!J3955</f>
        <v>75.6044096678567</v>
      </c>
      <c r="K3957" s="6" t="n">
        <f aca="false">Sens!K3951+Sens!K3953+Sens!K3955</f>
        <v>79.0714397009747</v>
      </c>
    </row>
    <row r="3958" customFormat="false" ht="15" hidden="false" customHeight="false" outlineLevel="0" collapsed="false">
      <c r="A3958" s="1" t="s">
        <v>795</v>
      </c>
      <c r="B3958" s="0" t="s">
        <v>95</v>
      </c>
      <c r="D3958" s="6" t="n">
        <f aca="false">Sens!D3950+Sens!D3957</f>
        <v>281.724</v>
      </c>
      <c r="E3958" s="6" t="n">
        <f aca="false">Sens!E3950+Sens!E3957</f>
        <v>331.839</v>
      </c>
      <c r="F3958" s="6" t="n">
        <f aca="false">Sens!F3950+Sens!F3957</f>
        <v>399.407104707821</v>
      </c>
      <c r="G3958" s="6" t="n">
        <f aca="false">Sens!G3950+Sens!G3957</f>
        <v>475.197484137863</v>
      </c>
      <c r="H3958" s="6" t="n">
        <f aca="false">Sens!H3950+Sens!H3957</f>
        <v>552.773101018903</v>
      </c>
      <c r="I3958" s="6" t="n">
        <f aca="false">Sens!I3950+Sens!I3957</f>
        <v>628.552892245768</v>
      </c>
      <c r="J3958" s="6" t="n">
        <f aca="false">Sens!J3950+Sens!J3957</f>
        <v>701.083199751338</v>
      </c>
      <c r="K3958" s="6" t="n">
        <f aca="false">Sens!K3950+Sens!K3957</f>
        <v>770.419789623641</v>
      </c>
    </row>
    <row r="3959" customFormat="false" ht="15" hidden="false" customHeight="false" outlineLevel="0" collapsed="false">
      <c r="A3959" s="22" t="s">
        <v>796</v>
      </c>
      <c r="B3959" s="28" t="s">
        <v>95</v>
      </c>
      <c r="C3959" s="28"/>
      <c r="D3959" s="23" t="n">
        <f aca="false">(Sens!D3938+Sens!D3943+Sens!D3944+Sens!D3946+Sens!D3948-Sens!D3950)+(Sens!D3951+Sens!D3953+Sens!D3955-Sens!D3957)+(Sens!D3950-Q!L5)+(Sens!D3957-Q!L12)+(Sens!D3938-Q!L6)+(Sens!D3943-Q!L7)</f>
        <v>0</v>
      </c>
      <c r="E3959" s="23" t="n">
        <f aca="false">(Sens!E3938+Sens!E3943+Sens!E3944+Sens!E3946+Sens!E3948-Sens!E3950)+(Sens!E3951+Sens!E3953+Sens!E3955-Sens!E3957)+(Sens!E3950-Q!M5)+(Sens!E3957-Q!M12)+(Sens!E3938-Q!M6)+(Sens!E3943-Q!M7)</f>
        <v>0</v>
      </c>
      <c r="F3959" s="23" t="n">
        <f aca="false">(Sens!F3938+Sens!F3943+Sens!F3944+Sens!F3946+Sens!F3948-Sens!F3950)+(Sens!F3951+Sens!F3953+Sens!F3955-Sens!F3957)</f>
        <v>0</v>
      </c>
      <c r="G3959" s="23" t="n">
        <f aca="false">(Sens!G3938+Sens!G3943+Sens!G3944+Sens!G3946+Sens!G3948-Sens!G3950)+(Sens!G3951+Sens!G3953+Sens!G3955-Sens!G3957)</f>
        <v>0</v>
      </c>
      <c r="H3959" s="23" t="n">
        <f aca="false">(Sens!H3938+Sens!H3943+Sens!H3944+Sens!H3946+Sens!H3948-Sens!H3950)+(Sens!H3951+Sens!H3953+Sens!H3955-Sens!H3957)</f>
        <v>0</v>
      </c>
      <c r="I3959" s="23" t="n">
        <f aca="false">(Sens!I3938+Sens!I3943+Sens!I3944+Sens!I3946+Sens!I3948-Sens!I3950)+(Sens!I3951+Sens!I3953+Sens!I3955-Sens!I3957)</f>
        <v>0</v>
      </c>
      <c r="J3959" s="23" t="n">
        <f aca="false">(Sens!J3938+Sens!J3943+Sens!J3944+Sens!J3946+Sens!J3948-Sens!J3950)+(Sens!J3951+Sens!J3953+Sens!J3955-Sens!J3957)</f>
        <v>0</v>
      </c>
      <c r="K3959" s="23" t="n">
        <f aca="false">(Sens!K3938+Sens!K3943+Sens!K3944+Sens!K3946+Sens!K3948-Sens!K3950)+(Sens!K3951+Sens!K3953+Sens!K3955-Sens!K3957)</f>
        <v>0</v>
      </c>
    </row>
    <row r="3960" customFormat="false" ht="17.15" hidden="false" customHeight="false" outlineLevel="0" collapsed="false">
      <c r="A3960" s="3" t="s">
        <v>1226</v>
      </c>
    </row>
    <row r="3961" customFormat="false" ht="15" hidden="false" customHeight="false" outlineLevel="0" collapsed="false">
      <c r="A3961" s="4" t="s">
        <v>43</v>
      </c>
      <c r="B3961" s="4" t="s">
        <v>63</v>
      </c>
      <c r="C3961" s="19" t="s">
        <v>710</v>
      </c>
      <c r="D3961" s="19" t="s">
        <v>711</v>
      </c>
      <c r="E3961" s="19" t="s">
        <v>712</v>
      </c>
      <c r="F3961" s="19" t="s">
        <v>713</v>
      </c>
      <c r="G3961" s="19" t="s">
        <v>714</v>
      </c>
      <c r="H3961" s="19" t="s">
        <v>715</v>
      </c>
      <c r="I3961" s="19" t="s">
        <v>716</v>
      </c>
      <c r="J3961" s="19" t="s">
        <v>717</v>
      </c>
      <c r="K3961" s="19" t="s">
        <v>718</v>
      </c>
      <c r="L3961" s="4" t="s">
        <v>47</v>
      </c>
    </row>
    <row r="3962" customFormat="false" ht="15" hidden="false" customHeight="false" outlineLevel="0" collapsed="false">
      <c r="A3962" s="0" t="s">
        <v>783</v>
      </c>
      <c r="B3962" s="0" t="s">
        <v>95</v>
      </c>
      <c r="D3962" s="6" t="n">
        <f aca="false">Sens!D3938</f>
        <v>72.61</v>
      </c>
      <c r="E3962" s="6" t="n">
        <f aca="false">Sens!E3938</f>
        <v>101.938</v>
      </c>
      <c r="F3962" s="6" t="n">
        <f aca="false">Sens!F3938</f>
        <v>145.143956312325</v>
      </c>
      <c r="G3962" s="6" t="n">
        <f aca="false">Sens!G3938</f>
        <v>196.478966522364</v>
      </c>
      <c r="H3962" s="6" t="n">
        <f aca="false">Sens!H3938</f>
        <v>249.10761332251</v>
      </c>
      <c r="I3962" s="6" t="n">
        <f aca="false">Sens!I3938</f>
        <v>301.318218457463</v>
      </c>
      <c r="J3962" s="6" t="n">
        <f aca="false">Sens!J3938</f>
        <v>352.037892979313</v>
      </c>
      <c r="K3962" s="6" t="n">
        <f aca="false">Sens!K3938</f>
        <v>400.20428058249</v>
      </c>
    </row>
    <row r="3963" customFormat="false" ht="17.15" hidden="false" customHeight="false" outlineLevel="0" collapsed="false">
      <c r="A3963" s="0" t="s">
        <v>780</v>
      </c>
      <c r="B3963" s="0" t="s">
        <v>95</v>
      </c>
      <c r="D3963" s="6" t="n">
        <f aca="false">Sens!D3935</f>
        <v>12.9359794422418</v>
      </c>
      <c r="E3963" s="6" t="n">
        <f aca="false">Sens!E3935</f>
        <v>27.8095064661409</v>
      </c>
      <c r="F3963" s="6" t="n">
        <f aca="false">Sens!F3935</f>
        <v>55.0640065749585</v>
      </c>
      <c r="G3963" s="6" t="n">
        <f aca="false">Sens!G3935</f>
        <v>89.4505413190538</v>
      </c>
      <c r="H3963" s="6" t="n">
        <f aca="false">Sens!H3935</f>
        <v>124.835630736874</v>
      </c>
      <c r="I3963" s="6" t="n">
        <f aca="false">Sens!I3935</f>
        <v>160.384516075608</v>
      </c>
      <c r="J3963" s="6" t="n">
        <f aca="false">Sens!J3935</f>
        <v>196.019025664981</v>
      </c>
      <c r="K3963" s="6" t="n">
        <f aca="false">Sens!K3935</f>
        <v>231.703903883012</v>
      </c>
    </row>
    <row r="3964" customFormat="false" ht="17.15" hidden="false" customHeight="false" outlineLevel="0" collapsed="false">
      <c r="A3964" s="0" t="s">
        <v>807</v>
      </c>
      <c r="B3964" s="0" t="s">
        <v>95</v>
      </c>
      <c r="D3964" s="6" t="n">
        <f aca="false">Sens!D3936</f>
        <v>59.6740205577583</v>
      </c>
      <c r="E3964" s="6" t="n">
        <f aca="false">Sens!E3936</f>
        <v>74.1284935338591</v>
      </c>
      <c r="F3964" s="6" t="n">
        <f aca="false">Sens!F3936</f>
        <v>90.0799497373663</v>
      </c>
      <c r="G3964" s="6" t="n">
        <f aca="false">Sens!G3936</f>
        <v>107.02842520331</v>
      </c>
      <c r="H3964" s="6" t="n">
        <f aca="false">Sens!H3936</f>
        <v>124.271982585636</v>
      </c>
      <c r="I3964" s="6" t="n">
        <f aca="false">Sens!I3936</f>
        <v>140.933702381855</v>
      </c>
      <c r="J3964" s="6" t="n">
        <f aca="false">Sens!J3936</f>
        <v>156.018867314332</v>
      </c>
      <c r="K3964" s="6" t="n">
        <f aca="false">Sens!K3936</f>
        <v>168.500376699478</v>
      </c>
    </row>
    <row r="3965" customFormat="false" ht="15" hidden="false" customHeight="false" outlineLevel="0" collapsed="false">
      <c r="A3965" s="0" t="s">
        <v>788</v>
      </c>
      <c r="B3965" s="0" t="s">
        <v>95</v>
      </c>
      <c r="D3965" s="6" t="n">
        <f aca="false">Sens!D3943</f>
        <v>84.605</v>
      </c>
      <c r="E3965" s="6" t="n">
        <f aca="false">Sens!E3943</f>
        <v>100.299</v>
      </c>
      <c r="F3965" s="6" t="n">
        <f aca="false">Sens!F3943</f>
        <v>118.89238776686</v>
      </c>
      <c r="G3965" s="6" t="n">
        <f aca="false">Sens!G3943</f>
        <v>137.044168448684</v>
      </c>
      <c r="H3965" s="6" t="n">
        <f aca="false">Sens!H3943</f>
        <v>155.277359388781</v>
      </c>
      <c r="I3965" s="6" t="n">
        <f aca="false">Sens!I3943</f>
        <v>171.834028071957</v>
      </c>
      <c r="J3965" s="6" t="n">
        <f aca="false">Sens!J3943</f>
        <v>186.432702785465</v>
      </c>
      <c r="K3965" s="6" t="n">
        <f aca="false">Sens!K3943</f>
        <v>200.277991980448</v>
      </c>
    </row>
    <row r="3966" customFormat="false" ht="17.15" hidden="false" customHeight="false" outlineLevel="0" collapsed="false">
      <c r="A3966" s="0" t="s">
        <v>808</v>
      </c>
      <c r="B3966" s="0" t="s">
        <v>95</v>
      </c>
      <c r="D3966" s="6" t="n">
        <f aca="false">Sens!D3941</f>
        <v>83.705</v>
      </c>
      <c r="E3966" s="6" t="n">
        <f aca="false">Sens!E3941</f>
        <v>95.049</v>
      </c>
      <c r="F3966" s="6" t="n">
        <f aca="false">Sens!F3941</f>
        <v>106.89238776686</v>
      </c>
      <c r="G3966" s="6" t="n">
        <f aca="false">Sens!G3941</f>
        <v>119.044168448684</v>
      </c>
      <c r="H3966" s="6" t="n">
        <f aca="false">Sens!H3941</f>
        <v>131.277359388781</v>
      </c>
      <c r="I3966" s="6" t="n">
        <f aca="false">Sens!I3941</f>
        <v>143.334028071957</v>
      </c>
      <c r="J3966" s="6" t="n">
        <f aca="false">Sens!J3941</f>
        <v>154.932702785465</v>
      </c>
      <c r="K3966" s="6" t="n">
        <f aca="false">Sens!K3941</f>
        <v>165.777991980448</v>
      </c>
    </row>
    <row r="3967" customFormat="false" ht="17.15" hidden="false" customHeight="false" outlineLevel="0" collapsed="false">
      <c r="A3967" s="0" t="s">
        <v>809</v>
      </c>
      <c r="B3967" s="0" t="s">
        <v>95</v>
      </c>
      <c r="D3967" s="6" t="n">
        <f aca="false">Sens!D3940</f>
        <v>0.9</v>
      </c>
      <c r="E3967" s="6" t="n">
        <f aca="false">Sens!E3940</f>
        <v>5.25</v>
      </c>
      <c r="F3967" s="6" t="n">
        <f aca="false">Sens!F3940</f>
        <v>12</v>
      </c>
      <c r="G3967" s="6" t="n">
        <f aca="false">Sens!G3940</f>
        <v>18</v>
      </c>
      <c r="H3967" s="6" t="n">
        <f aca="false">Sens!H3940</f>
        <v>24</v>
      </c>
      <c r="I3967" s="6" t="n">
        <f aca="false">Sens!I3940</f>
        <v>28.5</v>
      </c>
      <c r="J3967" s="6" t="n">
        <f aca="false">Sens!J3940</f>
        <v>31.5</v>
      </c>
      <c r="K3967" s="6" t="n">
        <f aca="false">Sens!K3940</f>
        <v>34.5</v>
      </c>
    </row>
    <row r="3968" customFormat="false" ht="15" hidden="false" customHeight="false" outlineLevel="0" collapsed="false">
      <c r="A3968" s="0" t="s">
        <v>789</v>
      </c>
      <c r="B3968" s="0" t="s">
        <v>95</v>
      </c>
      <c r="D3968" s="6" t="n">
        <f aca="false">Sens!D3944</f>
        <v>35.391</v>
      </c>
      <c r="E3968" s="6" t="n">
        <f aca="false">Sens!E3944</f>
        <v>37.285</v>
      </c>
      <c r="F3968" s="6" t="n">
        <f aca="false">Sens!F3944</f>
        <v>39.0720834331704</v>
      </c>
      <c r="G3968" s="6" t="n">
        <f aca="false">Sens!G3944</f>
        <v>40.726562953769</v>
      </c>
      <c r="H3968" s="6" t="n">
        <f aca="false">Sens!H3944</f>
        <v>42.2235987259198</v>
      </c>
      <c r="I3968" s="6" t="n">
        <f aca="false">Sens!I3944</f>
        <v>43.5397988077414</v>
      </c>
      <c r="J3968" s="6" t="n">
        <f aca="false">Sens!J3944</f>
        <v>44.653811225693</v>
      </c>
      <c r="K3968" s="6" t="n">
        <f aca="false">Sens!K3944</f>
        <v>45.5468874502068</v>
      </c>
    </row>
    <row r="3969" customFormat="false" ht="15" hidden="false" customHeight="false" outlineLevel="0" collapsed="false">
      <c r="A3969" s="0" t="s">
        <v>790</v>
      </c>
      <c r="B3969" s="0" t="s">
        <v>95</v>
      </c>
      <c r="D3969" s="6" t="n">
        <f aca="false">Sens!D3946</f>
        <v>18.417</v>
      </c>
      <c r="E3969" s="6" t="n">
        <f aca="false">Sens!E3946</f>
        <v>20.345</v>
      </c>
      <c r="F3969" s="6" t="n">
        <f aca="false">Sens!F3946</f>
        <v>22.3572203267814</v>
      </c>
      <c r="G3969" s="6" t="n">
        <f aca="false">Sens!G3946</f>
        <v>24.4392124437232</v>
      </c>
      <c r="H3969" s="6" t="n">
        <f aca="false">Sens!H3946</f>
        <v>26.5738052080665</v>
      </c>
      <c r="I3969" s="6" t="n">
        <f aca="false">Sens!I3946</f>
        <v>28.7412169166967</v>
      </c>
      <c r="J3969" s="6" t="n">
        <f aca="false">Sens!J3946</f>
        <v>30.9192545395413</v>
      </c>
      <c r="K3969" s="6" t="n">
        <f aca="false">Sens!K3946</f>
        <v>33.0836023573092</v>
      </c>
    </row>
    <row r="3970" customFormat="false" ht="15" hidden="false" customHeight="false" outlineLevel="0" collapsed="false">
      <c r="A3970" s="0" t="s">
        <v>791</v>
      </c>
      <c r="B3970" s="0" t="s">
        <v>95</v>
      </c>
      <c r="D3970" s="6" t="n">
        <f aca="false">Sens!D3948</f>
        <v>7.76</v>
      </c>
      <c r="E3970" s="6" t="n">
        <f aca="false">Sens!E3948</f>
        <v>8.26</v>
      </c>
      <c r="F3970" s="6" t="n">
        <f aca="false">Sens!F3948</f>
        <v>8.79988041237113</v>
      </c>
      <c r="G3970" s="6" t="n">
        <f aca="false">Sens!G3948</f>
        <v>9.38321269125306</v>
      </c>
      <c r="H3970" s="6" t="n">
        <f aca="false">Sens!H3948</f>
        <v>10.0139193587476</v>
      </c>
      <c r="I3970" s="6" t="n">
        <f aca="false">Sens!I3948</f>
        <v>10.6963111830911</v>
      </c>
      <c r="J3970" s="6" t="n">
        <f aca="false">Sens!J3948</f>
        <v>11.4351285534696</v>
      </c>
      <c r="K3970" s="6" t="n">
        <f aca="false">Sens!K3948</f>
        <v>12.2355875522124</v>
      </c>
    </row>
    <row r="3971" customFormat="false" ht="15" hidden="false" customHeight="false" outlineLevel="0" collapsed="false">
      <c r="A3971" s="0" t="s">
        <v>626</v>
      </c>
      <c r="B3971" s="0" t="s">
        <v>95</v>
      </c>
      <c r="D3971" s="6" t="n">
        <f aca="false">Sens!D3950</f>
        <v>218.783</v>
      </c>
      <c r="E3971" s="6" t="n">
        <f aca="false">Sens!E3950</f>
        <v>268.127</v>
      </c>
      <c r="F3971" s="6" t="n">
        <f aca="false">Sens!F3950</f>
        <v>334.265528251508</v>
      </c>
      <c r="G3971" s="6" t="n">
        <f aca="false">Sens!G3950</f>
        <v>408.072123059793</v>
      </c>
      <c r="H3971" s="6" t="n">
        <f aca="false">Sens!H3950</f>
        <v>483.196296004025</v>
      </c>
      <c r="I3971" s="6" t="n">
        <f aca="false">Sens!I3950</f>
        <v>556.129573436949</v>
      </c>
      <c r="J3971" s="6" t="n">
        <f aca="false">Sens!J3950</f>
        <v>625.478790083482</v>
      </c>
      <c r="K3971" s="6" t="n">
        <f aca="false">Sens!K3950</f>
        <v>691.348349922667</v>
      </c>
    </row>
    <row r="3972" customFormat="false" ht="15" hidden="false" customHeight="false" outlineLevel="0" collapsed="false">
      <c r="A3972" s="0" t="s">
        <v>792</v>
      </c>
      <c r="B3972" s="0" t="s">
        <v>95</v>
      </c>
      <c r="D3972" s="6" t="n">
        <f aca="false">Sens!D3951</f>
        <v>22.171</v>
      </c>
      <c r="E3972" s="6" t="n">
        <f aca="false">Sens!E3951</f>
        <v>24.835</v>
      </c>
      <c r="F3972" s="6" t="n">
        <f aca="false">Sens!F3951</f>
        <v>27.6114901218559</v>
      </c>
      <c r="G3972" s="6" t="n">
        <f aca="false">Sens!G3951</f>
        <v>30.4675667338515</v>
      </c>
      <c r="H3972" s="6" t="n">
        <f aca="false">Sens!H3951</f>
        <v>33.3643766955789</v>
      </c>
      <c r="I3972" s="6" t="n">
        <f aca="false">Sens!I3951</f>
        <v>36.2577016533691</v>
      </c>
      <c r="J3972" s="6" t="n">
        <f aca="false">Sens!J3951</f>
        <v>39.0988367952171</v>
      </c>
      <c r="K3972" s="6" t="n">
        <f aca="false">Sens!K3951</f>
        <v>41.8357553708823</v>
      </c>
    </row>
    <row r="3973" customFormat="false" ht="15" hidden="false" customHeight="false" outlineLevel="0" collapsed="false">
      <c r="A3973" s="0" t="s">
        <v>793</v>
      </c>
      <c r="B3973" s="0" t="s">
        <v>95</v>
      </c>
      <c r="D3973" s="6" t="n">
        <f aca="false">Sens!D3953</f>
        <v>23.455</v>
      </c>
      <c r="E3973" s="6" t="n">
        <f aca="false">Sens!E3953</f>
        <v>21.79</v>
      </c>
      <c r="F3973" s="6" t="n">
        <f aca="false">Sens!F3953</f>
        <v>20.5736277908051</v>
      </c>
      <c r="G3973" s="6" t="n">
        <f aca="false">Sens!G3953</f>
        <v>19.7371452817919</v>
      </c>
      <c r="H3973" s="6" t="n">
        <f aca="false">Sens!H3953</f>
        <v>19.2339764043138</v>
      </c>
      <c r="I3973" s="6" t="n">
        <f aca="false">Sens!I3953</f>
        <v>19.0353086852681</v>
      </c>
      <c r="J3973" s="6" t="n">
        <f aca="false">Sens!J3953</f>
        <v>19.1273539319129</v>
      </c>
      <c r="K3973" s="6" t="n">
        <f aca="false">Sens!K3953</f>
        <v>19.5099010105511</v>
      </c>
    </row>
    <row r="3974" customFormat="false" ht="15" hidden="false" customHeight="false" outlineLevel="0" collapsed="false">
      <c r="A3974" s="0" t="s">
        <v>794</v>
      </c>
      <c r="B3974" s="0" t="s">
        <v>95</v>
      </c>
      <c r="D3974" s="6" t="n">
        <f aca="false">Sens!D3955</f>
        <v>17.315</v>
      </c>
      <c r="E3974" s="6" t="n">
        <f aca="false">Sens!E3955</f>
        <v>17.087</v>
      </c>
      <c r="F3974" s="6" t="n">
        <f aca="false">Sens!F3955</f>
        <v>16.9564585436519</v>
      </c>
      <c r="G3974" s="6" t="n">
        <f aca="false">Sens!G3955</f>
        <v>16.9206490624268</v>
      </c>
      <c r="H3974" s="6" t="n">
        <f aca="false">Sens!H3955</f>
        <v>16.9784519149849</v>
      </c>
      <c r="I3974" s="6" t="n">
        <f aca="false">Sens!I3955</f>
        <v>17.1303084701817</v>
      </c>
      <c r="J3974" s="6" t="n">
        <f aca="false">Sens!J3955</f>
        <v>17.3782189407267</v>
      </c>
      <c r="K3974" s="6" t="n">
        <f aca="false">Sens!K3955</f>
        <v>17.7257833195413</v>
      </c>
    </row>
    <row r="3975" customFormat="false" ht="15" hidden="false" customHeight="false" outlineLevel="0" collapsed="false">
      <c r="A3975" s="0" t="s">
        <v>640</v>
      </c>
      <c r="B3975" s="0" t="s">
        <v>95</v>
      </c>
      <c r="D3975" s="6" t="n">
        <f aca="false">Sens!D3957</f>
        <v>62.941</v>
      </c>
      <c r="E3975" s="6" t="n">
        <f aca="false">Sens!E3957</f>
        <v>63.712</v>
      </c>
      <c r="F3975" s="6" t="n">
        <f aca="false">Sens!F3957</f>
        <v>65.1415764563129</v>
      </c>
      <c r="G3975" s="6" t="n">
        <f aca="false">Sens!G3957</f>
        <v>67.1253610780702</v>
      </c>
      <c r="H3975" s="6" t="n">
        <f aca="false">Sens!H3957</f>
        <v>69.5768050148776</v>
      </c>
      <c r="I3975" s="6" t="n">
        <f aca="false">Sens!I3957</f>
        <v>72.4233188088189</v>
      </c>
      <c r="J3975" s="6" t="n">
        <f aca="false">Sens!J3957</f>
        <v>75.6044096678567</v>
      </c>
      <c r="K3975" s="6" t="n">
        <f aca="false">Sens!K3957</f>
        <v>79.0714397009747</v>
      </c>
    </row>
    <row r="3976" customFormat="false" ht="15" hidden="false" customHeight="false" outlineLevel="0" collapsed="false">
      <c r="A3976" s="1" t="s">
        <v>810</v>
      </c>
      <c r="B3976" s="0" t="s">
        <v>95</v>
      </c>
      <c r="D3976" s="6" t="n">
        <f aca="false">Sens!D3958</f>
        <v>281.724</v>
      </c>
      <c r="E3976" s="6" t="n">
        <f aca="false">Sens!E3958</f>
        <v>331.839</v>
      </c>
      <c r="F3976" s="6" t="n">
        <f aca="false">Sens!F3958</f>
        <v>399.407104707821</v>
      </c>
      <c r="G3976" s="6" t="n">
        <f aca="false">Sens!G3958</f>
        <v>475.197484137863</v>
      </c>
      <c r="H3976" s="6" t="n">
        <f aca="false">Sens!H3958</f>
        <v>552.773101018903</v>
      </c>
      <c r="I3976" s="6" t="n">
        <f aca="false">Sens!I3958</f>
        <v>628.552892245768</v>
      </c>
      <c r="J3976" s="6" t="n">
        <f aca="false">Sens!J3958</f>
        <v>701.083199751338</v>
      </c>
      <c r="K3976" s="6" t="n">
        <f aca="false">Sens!K3958</f>
        <v>770.419789623641</v>
      </c>
    </row>
    <row r="3977" customFormat="false" ht="15" hidden="false" customHeight="false" outlineLevel="0" collapsed="false">
      <c r="A3977" s="1" t="s">
        <v>811</v>
      </c>
      <c r="B3977" s="0" t="s">
        <v>126</v>
      </c>
      <c r="E3977" s="7" t="n">
        <f aca="false">Sens!E3976/Sens!D3976-1</f>
        <v>0.177886867998467</v>
      </c>
      <c r="F3977" s="7" t="n">
        <f aca="false">Sens!F3976/Sens!E3976-1</f>
        <v>0.203617129715978</v>
      </c>
      <c r="G3977" s="7" t="n">
        <f aca="false">Sens!G3976/Sens!F3976-1</f>
        <v>0.189757213972159</v>
      </c>
      <c r="H3977" s="7" t="n">
        <f aca="false">Sens!H3976/Sens!G3976-1</f>
        <v>0.163249216316418</v>
      </c>
      <c r="I3977" s="7" t="n">
        <f aca="false">Sens!I3976/Sens!H3976-1</f>
        <v>0.137090229403682</v>
      </c>
      <c r="J3977" s="7" t="n">
        <f aca="false">Sens!J3976/Sens!I3976-1</f>
        <v>0.11539252845759</v>
      </c>
      <c r="K3977" s="7" t="n">
        <f aca="false">Sens!K3976/Sens!J3976-1</f>
        <v>0.098899231784324</v>
      </c>
    </row>
    <row r="3978" customFormat="false" ht="17.15" hidden="false" customHeight="false" outlineLevel="0" collapsed="false">
      <c r="A3978" s="22" t="s">
        <v>812</v>
      </c>
      <c r="B3978" s="28" t="s">
        <v>95</v>
      </c>
      <c r="C3978" s="28"/>
      <c r="D3978" s="23" t="n">
        <f aca="false">(Sens!D3971+Sens!D3975-Sens!D3976)+(Sens!D3963+Sens!D3964-Sens!D3962)+(Sens!D3966+Sens!D3967-Sens!D3965)+(Sens!D3976-Q!L18)</f>
        <v>0</v>
      </c>
      <c r="E3978" s="23" t="n">
        <f aca="false">(Sens!E3971+Sens!E3975-Sens!E3976)+(Sens!E3963+Sens!E3964-Sens!E3962)+(Sens!E3966+Sens!E3967-Sens!E3965)+(Sens!E3976-Q!M18)</f>
        <v>0</v>
      </c>
      <c r="F3978" s="23" t="n">
        <f aca="false">(Sens!F3971+Sens!F3975-Sens!F3976)+(Sens!F3963+Sens!F3964-Sens!F3962)+(Sens!F3966+Sens!F3967-Sens!F3965)</f>
        <v>0</v>
      </c>
      <c r="G3978" s="23" t="n">
        <f aca="false">(Sens!G3971+Sens!G3975-Sens!G3976)+(Sens!G3963+Sens!G3964-Sens!G3962)+(Sens!G3966+Sens!G3967-Sens!G3965)</f>
        <v>0</v>
      </c>
      <c r="H3978" s="23" t="n">
        <f aca="false">(Sens!H3971+Sens!H3975-Sens!H3976)+(Sens!H3963+Sens!H3964-Sens!H3962)+(Sens!H3966+Sens!H3967-Sens!H3965)</f>
        <v>0</v>
      </c>
      <c r="I3978" s="23" t="n">
        <f aca="false">(Sens!I3971+Sens!I3975-Sens!I3976)+(Sens!I3963+Sens!I3964-Sens!I3962)+(Sens!I3966+Sens!I3967-Sens!I3965)</f>
        <v>0</v>
      </c>
      <c r="J3978" s="23" t="n">
        <f aca="false">(Sens!J3971+Sens!J3975-Sens!J3976)+(Sens!J3963+Sens!J3964-Sens!J3962)+(Sens!J3966+Sens!J3967-Sens!J3965)</f>
        <v>0</v>
      </c>
      <c r="K3978" s="23" t="n">
        <f aca="false">(Sens!K3971+Sens!K3975-Sens!K3976)+(Sens!K3963+Sens!K3964-Sens!K3962)+(Sens!K3966+Sens!K3967-Sens!K3965)</f>
        <v>0</v>
      </c>
    </row>
    <row r="3979" customFormat="false" ht="17.15" hidden="false" customHeight="false" outlineLevel="0" collapsed="false">
      <c r="A3979" s="0" t="s">
        <v>813</v>
      </c>
      <c r="B3979" s="0" t="s">
        <v>126</v>
      </c>
      <c r="E3979" s="7" t="n">
        <f aca="false">(Q!M21+Sens!E3916+Sens!E3917+Sens!E3918+Sens!E3931-Sens!E3914)/(Q!M5-Sens!E3914)</f>
        <v>0.562004564381674</v>
      </c>
      <c r="F3979" s="7" t="n">
        <f aca="false">Sens!$E$3979+dm_seg</f>
        <v>0.562004564381674</v>
      </c>
      <c r="G3979" s="7" t="n">
        <f aca="false">Sens!$E$3979+dm_seg</f>
        <v>0.562004564381674</v>
      </c>
      <c r="H3979" s="7" t="n">
        <f aca="false">Sens!$E$3979+dm_seg</f>
        <v>0.562004564381674</v>
      </c>
      <c r="I3979" s="7" t="n">
        <f aca="false">Sens!$E$3979+dm_seg</f>
        <v>0.562004564381674</v>
      </c>
      <c r="J3979" s="7" t="n">
        <f aca="false">Sens!$E$3979+dm_seg</f>
        <v>0.562004564381674</v>
      </c>
      <c r="K3979" s="7" t="n">
        <f aca="false">Sens!$E$3979+dm_seg</f>
        <v>0.562004564381674</v>
      </c>
      <c r="L3979" s="11" t="s">
        <v>814</v>
      </c>
    </row>
    <row r="3980" customFormat="false" ht="17.15" hidden="false" customHeight="false" outlineLevel="0" collapsed="false">
      <c r="A3980" s="0" t="s">
        <v>654</v>
      </c>
      <c r="B3980" s="0" t="s">
        <v>95</v>
      </c>
      <c r="D3980" s="6" t="n">
        <f aca="false">Q!L21</f>
        <v>110.814</v>
      </c>
      <c r="E3980" s="6" t="n">
        <f aca="false">Q!M21</f>
        <v>136.365</v>
      </c>
      <c r="F3980" s="6" t="n">
        <f aca="false">Sens!F3979*(Sens!F3950-Sens!F3914)+Sens!F3914-(Sens!F3916+Sens!F3917+Sens!F3918)-Sens!F3931</f>
        <v>159.712053643897</v>
      </c>
      <c r="G3980" s="6" t="n">
        <f aca="false">Sens!G3979*(Sens!G3950-Sens!G3914)+Sens!G3914-(Sens!G3916+Sens!G3917+Sens!G3918)-Sens!G3931</f>
        <v>182.403218009297</v>
      </c>
      <c r="H3980" s="6" t="n">
        <f aca="false">Sens!H3979*(Sens!H3950-Sens!H3914)+Sens!H3914-(Sens!H3916+Sens!H3917+Sens!H3918)-Sens!H3931</f>
        <v>205.35135863415</v>
      </c>
      <c r="I3980" s="6" t="n">
        <f aca="false">Sens!I3979*(Sens!I3950-Sens!I3914)+Sens!I3914-(Sens!I3916+Sens!I3917+Sens!I3918)-Sens!I3931</f>
        <v>226.787265060038</v>
      </c>
      <c r="J3980" s="6" t="n">
        <f aca="false">Sens!J3979*(Sens!J3950-Sens!J3914)+Sens!J3914-(Sens!J3916+Sens!J3917+Sens!J3918)-Sens!J3931</f>
        <v>245.678499356985</v>
      </c>
      <c r="K3980" s="6" t="n">
        <f aca="false">Sens!K3979*(Sens!K3950-Sens!K3914)+Sens!K3914-(Sens!K3916+Sens!K3917+Sens!K3918)-Sens!K3931</f>
        <v>261.793394642801</v>
      </c>
      <c r="L3980" s="1" t="s">
        <v>815</v>
      </c>
    </row>
    <row r="3981" customFormat="false" ht="17.15" hidden="false" customHeight="false" outlineLevel="0" collapsed="false">
      <c r="A3981" s="0" t="s">
        <v>816</v>
      </c>
      <c r="B3981" s="0" t="s">
        <v>126</v>
      </c>
      <c r="E3981" s="7" t="n">
        <f aca="false">Q!M22/Q!M12</f>
        <v>0.296207935710698</v>
      </c>
      <c r="F3981" s="7" t="n">
        <f aca="false">Sens!$E$3981+dm_seg</f>
        <v>0.296207935710698</v>
      </c>
      <c r="G3981" s="7" t="n">
        <f aca="false">Sens!$E$3981+dm_seg</f>
        <v>0.296207935710698</v>
      </c>
      <c r="H3981" s="7" t="n">
        <f aca="false">Sens!$E$3981+dm_seg</f>
        <v>0.296207935710698</v>
      </c>
      <c r="I3981" s="7" t="n">
        <f aca="false">Sens!$E$3981+dm_seg</f>
        <v>0.296207935710698</v>
      </c>
      <c r="J3981" s="7" t="n">
        <f aca="false">Sens!$E$3981+dm_seg</f>
        <v>0.296207935710698</v>
      </c>
      <c r="K3981" s="7" t="n">
        <f aca="false">Sens!$E$3981+dm_seg</f>
        <v>0.296207935710698</v>
      </c>
      <c r="L3981" s="11" t="s">
        <v>817</v>
      </c>
    </row>
    <row r="3982" customFormat="false" ht="17.15" hidden="false" customHeight="false" outlineLevel="0" collapsed="false">
      <c r="A3982" s="0" t="s">
        <v>656</v>
      </c>
      <c r="B3982" s="0" t="s">
        <v>95</v>
      </c>
      <c r="D3982" s="6" t="n">
        <f aca="false">Q!L22</f>
        <v>17.714</v>
      </c>
      <c r="E3982" s="6" t="n">
        <f aca="false">Q!M22</f>
        <v>18.872</v>
      </c>
      <c r="F3982" s="6" t="n">
        <f aca="false">Sens!F3957*Sens!F3981</f>
        <v>19.2954518910651</v>
      </c>
      <c r="G3982" s="6" t="n">
        <f aca="false">Sens!G3957*Sens!G3981</f>
        <v>19.8830646387704</v>
      </c>
      <c r="H3982" s="6" t="n">
        <f aca="false">Sens!H3957*Sens!H3981</f>
        <v>20.6092017868026</v>
      </c>
      <c r="I3982" s="6" t="n">
        <f aca="false">Sens!I3957*Sens!I3981</f>
        <v>21.452361761678</v>
      </c>
      <c r="J3982" s="6" t="n">
        <f aca="false">Sens!J3957*Sens!J3981</f>
        <v>22.3946261183418</v>
      </c>
      <c r="K3982" s="6" t="n">
        <f aca="false">Sens!K3957*Sens!K3981</f>
        <v>23.4215879274986</v>
      </c>
    </row>
    <row r="3983" customFormat="false" ht="15" hidden="false" customHeight="false" outlineLevel="0" collapsed="false">
      <c r="A3983" s="1" t="s">
        <v>818</v>
      </c>
      <c r="B3983" s="0" t="s">
        <v>95</v>
      </c>
      <c r="D3983" s="6" t="n">
        <f aca="false">Sens!D3980+Sens!D3982</f>
        <v>128.528</v>
      </c>
      <c r="E3983" s="6" t="n">
        <f aca="false">Sens!E3980+Sens!E3982</f>
        <v>155.237</v>
      </c>
      <c r="F3983" s="6" t="n">
        <f aca="false">Sens!F3980+Sens!F3982</f>
        <v>179.007505534962</v>
      </c>
      <c r="G3983" s="6" t="n">
        <f aca="false">Sens!G3980+Sens!G3982</f>
        <v>202.286282648067</v>
      </c>
      <c r="H3983" s="6" t="n">
        <f aca="false">Sens!H3980+Sens!H3982</f>
        <v>225.960560420953</v>
      </c>
      <c r="I3983" s="6" t="n">
        <f aca="false">Sens!I3980+Sens!I3982</f>
        <v>248.239626821716</v>
      </c>
      <c r="J3983" s="6" t="n">
        <f aca="false">Sens!J3980+Sens!J3982</f>
        <v>268.073125475326</v>
      </c>
      <c r="K3983" s="6" t="n">
        <f aca="false">Sens!K3980+Sens!K3982</f>
        <v>285.214982570299</v>
      </c>
    </row>
    <row r="3984" customFormat="false" ht="15" hidden="false" customHeight="false" outlineLevel="0" collapsed="false">
      <c r="A3984" s="22" t="s">
        <v>819</v>
      </c>
      <c r="B3984" s="28" t="s">
        <v>95</v>
      </c>
      <c r="C3984" s="28"/>
      <c r="D3984" s="23" t="n">
        <f aca="false">Sens!D3983-Q!L23</f>
        <v>0</v>
      </c>
      <c r="E3984" s="23" t="n">
        <f aca="false">Sens!E3983-Q!M23</f>
        <v>0</v>
      </c>
      <c r="F3984" s="28"/>
      <c r="G3984" s="28"/>
      <c r="H3984" s="28"/>
      <c r="I3984" s="28"/>
      <c r="J3984" s="28"/>
      <c r="K3984" s="28"/>
    </row>
    <row r="3985" customFormat="false" ht="15" hidden="false" customHeight="false" outlineLevel="0" collapsed="false">
      <c r="A3985" s="1" t="s">
        <v>820</v>
      </c>
      <c r="B3985" s="0" t="s">
        <v>126</v>
      </c>
      <c r="D3985" s="7" t="n">
        <f aca="false">Sens!D3983/Sens!D3976</f>
        <v>0.456219562408598</v>
      </c>
      <c r="E3985" s="7" t="n">
        <f aca="false">Sens!E3983/Sens!E3976</f>
        <v>0.467808184089272</v>
      </c>
      <c r="F3985" s="7" t="n">
        <f aca="false">Sens!F3983/Sens!F3976</f>
        <v>0.448183077929752</v>
      </c>
      <c r="G3985" s="7" t="n">
        <f aca="false">Sens!G3983/Sens!G3976</f>
        <v>0.425688875468416</v>
      </c>
      <c r="H3985" s="7" t="n">
        <f aca="false">Sens!H3983/Sens!H3976</f>
        <v>0.408776331562534</v>
      </c>
      <c r="I3985" s="7" t="n">
        <f aca="false">Sens!I3983/Sens!I3976</f>
        <v>0.394938325611352</v>
      </c>
      <c r="J3985" s="7" t="n">
        <f aca="false">Sens!J3983/Sens!J3976</f>
        <v>0.382369917822032</v>
      </c>
      <c r="K3985" s="7" t="n">
        <f aca="false">Sens!K3983/Sens!K3976</f>
        <v>0.37020723819884</v>
      </c>
    </row>
    <row r="3986" customFormat="false" ht="17.15" hidden="false" customHeight="false" outlineLevel="0" collapsed="false">
      <c r="A3986" s="1" t="s">
        <v>821</v>
      </c>
      <c r="B3986" s="0" t="s">
        <v>95</v>
      </c>
      <c r="E3986" s="6" t="n">
        <f aca="false">Sens!E3931</f>
        <v>14.1538947660714</v>
      </c>
      <c r="F3986" s="6" t="n">
        <f aca="false">Sens!F3931</f>
        <v>30.126986119317</v>
      </c>
      <c r="G3986" s="6" t="n">
        <f aca="false">Sens!G3931</f>
        <v>52.4316886231482</v>
      </c>
      <c r="H3986" s="6" t="n">
        <f aca="false">Sens!H3931</f>
        <v>76.0051854226911</v>
      </c>
      <c r="I3986" s="6" t="n">
        <f aca="false">Sens!I3931</f>
        <v>99.9005468956053</v>
      </c>
      <c r="J3986" s="6" t="n">
        <f aca="false">Sens!J3931</f>
        <v>124.34771485102</v>
      </c>
      <c r="K3986" s="6" t="n">
        <f aca="false">Sens!K3931</f>
        <v>149.628223208577</v>
      </c>
    </row>
    <row r="3987" customFormat="false" ht="17.15" hidden="false" customHeight="false" outlineLevel="0" collapsed="false">
      <c r="A3987" s="1" t="s">
        <v>822</v>
      </c>
      <c r="B3987" s="0" t="s">
        <v>95</v>
      </c>
      <c r="E3987" s="6" t="n">
        <f aca="false">Sens!E4007</f>
        <v>24.3801052339286</v>
      </c>
      <c r="F3987" s="6" t="n">
        <f aca="false">Sens!F4007</f>
        <v>25.500029433492</v>
      </c>
      <c r="G3987" s="6" t="n">
        <f aca="false">Sens!G4007</f>
        <v>27.0653158471817</v>
      </c>
      <c r="H3987" s="6" t="n">
        <f aca="false">Sens!H4007</f>
        <v>29.0399356268725</v>
      </c>
      <c r="I3987" s="6" t="n">
        <f aca="false">Sens!I4007</f>
        <v>31.3557820953496</v>
      </c>
      <c r="J3987" s="6" t="n">
        <f aca="false">Sens!J4007</f>
        <v>33.9282952108521</v>
      </c>
      <c r="K3987" s="6" t="n">
        <f aca="false">Sens!K4007</f>
        <v>36.6723359639662</v>
      </c>
    </row>
    <row r="3988" customFormat="false" ht="17.15" hidden="false" customHeight="false" outlineLevel="0" collapsed="false">
      <c r="A3988" s="1" t="s">
        <v>823</v>
      </c>
      <c r="B3988" s="0" t="s">
        <v>95</v>
      </c>
      <c r="D3988" s="6" t="n">
        <f aca="false">Q!L27</f>
        <v>-4.901</v>
      </c>
      <c r="E3988" s="6" t="n">
        <f aca="false">Q!M27</f>
        <v>10.697</v>
      </c>
      <c r="F3988" s="6" t="n">
        <f aca="false">oie_f</f>
        <v>-0.4</v>
      </c>
      <c r="G3988" s="6" t="n">
        <f aca="false">oie_f</f>
        <v>-0.4</v>
      </c>
      <c r="H3988" s="6" t="n">
        <f aca="false">oie_f</f>
        <v>-0.4</v>
      </c>
      <c r="I3988" s="6" t="n">
        <f aca="false">oie_f</f>
        <v>-0.4</v>
      </c>
      <c r="J3988" s="6" t="n">
        <f aca="false">oie_f</f>
        <v>-0.4</v>
      </c>
      <c r="K3988" s="6" t="n">
        <f aca="false">oie_f</f>
        <v>-0.4</v>
      </c>
      <c r="L3988" s="11" t="s">
        <v>824</v>
      </c>
    </row>
    <row r="3989" customFormat="false" ht="15" hidden="false" customHeight="false" outlineLevel="0" collapsed="false">
      <c r="A3989" s="1" t="s">
        <v>666</v>
      </c>
      <c r="B3989" s="0" t="s">
        <v>95</v>
      </c>
      <c r="D3989" s="6" t="n">
        <f aca="false">Sens!D3983+Sens!D3988</f>
        <v>123.627</v>
      </c>
      <c r="E3989" s="6" t="n">
        <f aca="false">Sens!E3983+Sens!E3988</f>
        <v>165.934</v>
      </c>
      <c r="F3989" s="6" t="n">
        <f aca="false">Sens!F3983+Sens!F3988</f>
        <v>178.607505534962</v>
      </c>
      <c r="G3989" s="6" t="n">
        <f aca="false">Sens!G3983+Sens!G3988</f>
        <v>201.886282648067</v>
      </c>
      <c r="H3989" s="6" t="n">
        <f aca="false">Sens!H3983+Sens!H3988</f>
        <v>225.560560420953</v>
      </c>
      <c r="I3989" s="6" t="n">
        <f aca="false">Sens!I3983+Sens!I3988</f>
        <v>247.839626821716</v>
      </c>
      <c r="J3989" s="6" t="n">
        <f aca="false">Sens!J3983+Sens!J3988</f>
        <v>267.673125475326</v>
      </c>
      <c r="K3989" s="6" t="n">
        <f aca="false">Sens!K3983+Sens!K3988</f>
        <v>284.814982570299</v>
      </c>
    </row>
    <row r="3990" customFormat="false" ht="15" hidden="false" customHeight="false" outlineLevel="0" collapsed="false">
      <c r="A3990" s="1" t="s">
        <v>668</v>
      </c>
      <c r="B3990" s="0" t="s">
        <v>95</v>
      </c>
      <c r="D3990" s="6" t="n">
        <f aca="false">Q!L29</f>
        <v>21.795</v>
      </c>
      <c r="E3990" s="6" t="n">
        <f aca="false">Q!M29</f>
        <v>32.185</v>
      </c>
      <c r="F3990" s="6" t="n">
        <f aca="false">Sens!F3989*tax_f</f>
        <v>35.7215011069924</v>
      </c>
      <c r="G3990" s="6" t="n">
        <f aca="false">Sens!G3989*tax_f</f>
        <v>40.3772565296135</v>
      </c>
      <c r="H3990" s="6" t="n">
        <f aca="false">Sens!H3989*tax_f</f>
        <v>45.1121120841906</v>
      </c>
      <c r="I3990" s="6" t="n">
        <f aca="false">Sens!I3989*tax_f</f>
        <v>49.5679253643432</v>
      </c>
      <c r="J3990" s="6" t="n">
        <f aca="false">Sens!J3989*tax_f</f>
        <v>53.5346250950653</v>
      </c>
      <c r="K3990" s="6" t="n">
        <f aca="false">Sens!K3989*tax_f</f>
        <v>56.9629965140599</v>
      </c>
    </row>
    <row r="3991" customFormat="false" ht="15" hidden="false" customHeight="false" outlineLevel="0" collapsed="false">
      <c r="A3991" s="1" t="s">
        <v>825</v>
      </c>
      <c r="B3991" s="0" t="s">
        <v>95</v>
      </c>
      <c r="D3991" s="6" t="n">
        <f aca="false">Sens!D3989-Sens!D3990</f>
        <v>101.832</v>
      </c>
      <c r="E3991" s="6" t="n">
        <f aca="false">Sens!E3989-Sens!E3990</f>
        <v>133.749</v>
      </c>
      <c r="F3991" s="6" t="n">
        <f aca="false">Sens!F3989-Sens!F3990</f>
        <v>142.886004427969</v>
      </c>
      <c r="G3991" s="6" t="n">
        <f aca="false">Sens!G3989-Sens!G3990</f>
        <v>161.509026118454</v>
      </c>
      <c r="H3991" s="6" t="n">
        <f aca="false">Sens!H3989-Sens!H3990</f>
        <v>180.448448336762</v>
      </c>
      <c r="I3991" s="6" t="n">
        <f aca="false">Sens!I3989-Sens!I3990</f>
        <v>198.271701457373</v>
      </c>
      <c r="J3991" s="6" t="n">
        <f aca="false">Sens!J3989-Sens!J3990</f>
        <v>214.138500380261</v>
      </c>
      <c r="K3991" s="6" t="n">
        <f aca="false">Sens!K3989-Sens!K3990</f>
        <v>227.85198605624</v>
      </c>
    </row>
    <row r="3992" customFormat="false" ht="17.15" hidden="false" customHeight="false" outlineLevel="0" collapsed="false">
      <c r="A3992" s="1" t="s">
        <v>826</v>
      </c>
      <c r="B3992" s="1" t="s">
        <v>79</v>
      </c>
      <c r="D3992" s="18" t="n">
        <f aca="false">Q!L31</f>
        <v>7.465</v>
      </c>
      <c r="E3992" s="18" t="n">
        <f aca="false">Q!M31</f>
        <v>7.453</v>
      </c>
      <c r="F3992" s="18" t="n">
        <f aca="false">Sens!F4029</f>
        <v>7.4735</v>
      </c>
      <c r="G3992" s="18" t="n">
        <f aca="false">Sens!G4029</f>
        <v>7.5185</v>
      </c>
      <c r="H3992" s="18" t="n">
        <f aca="false">Sens!H4029</f>
        <v>7.54625158584995</v>
      </c>
      <c r="I3992" s="18" t="n">
        <f aca="false">Sens!I4029</f>
        <v>7.55803241785726</v>
      </c>
      <c r="J3992" s="18" t="n">
        <f aca="false">Sens!J4029</f>
        <v>7.57227392897515</v>
      </c>
      <c r="K3992" s="18" t="n">
        <f aca="false">Sens!K4029</f>
        <v>7.58879384667689</v>
      </c>
    </row>
    <row r="3993" customFormat="false" ht="17.15" hidden="false" customHeight="false" outlineLevel="0" collapsed="false">
      <c r="A3993" s="0" t="s">
        <v>827</v>
      </c>
      <c r="B3993" s="0" t="s">
        <v>73</v>
      </c>
      <c r="D3993" s="8" t="n">
        <f aca="false">Sens!D3991/Sens!D3992</f>
        <v>13.641259209645</v>
      </c>
      <c r="E3993" s="8" t="n">
        <f aca="false">Sens!E3991/Sens!E3992</f>
        <v>17.9456594659869</v>
      </c>
      <c r="F3993" s="8" t="n">
        <f aca="false">Sens!F3991/Sens!F3992</f>
        <v>19.119021131728</v>
      </c>
      <c r="G3993" s="8" t="n">
        <f aca="false">Sens!G3991/Sens!G3992</f>
        <v>21.4815489949397</v>
      </c>
      <c r="H3993" s="8" t="n">
        <f aca="false">Sens!H3991/Sens!H3992</f>
        <v>23.9123286950998</v>
      </c>
      <c r="I3993" s="8" t="n">
        <f aca="false">Sens!I3991/Sens!I3992</f>
        <v>26.2332430579312</v>
      </c>
      <c r="J3993" s="8" t="n">
        <f aca="false">Sens!J3991/Sens!J3992</f>
        <v>28.2792860359772</v>
      </c>
      <c r="K3993" s="8" t="n">
        <f aca="false">Sens!K3991/Sens!K3992</f>
        <v>30.0247958581739</v>
      </c>
      <c r="L3993" s="1" t="s">
        <v>828</v>
      </c>
    </row>
    <row r="3994" customFormat="false" ht="17.15" hidden="false" customHeight="false" outlineLevel="0" collapsed="false">
      <c r="A3994" s="0" t="s">
        <v>829</v>
      </c>
      <c r="B3994" s="0" t="s">
        <v>126</v>
      </c>
      <c r="E3994" s="7" t="n">
        <f aca="false">Sens!E3993/Sens!D3993-1</f>
        <v>0.315542736208578</v>
      </c>
      <c r="F3994" s="7" t="n">
        <f aca="false">Sens!F3993/Sens!E3993-1</f>
        <v>0.0653841486274212</v>
      </c>
      <c r="G3994" s="7" t="n">
        <f aca="false">Sens!G3993/Sens!F3993-1</f>
        <v>0.123569499031047</v>
      </c>
      <c r="H3994" s="7" t="n">
        <f aca="false">Sens!H3993/Sens!G3993-1</f>
        <v>0.113156630405599</v>
      </c>
      <c r="I3994" s="7" t="n">
        <f aca="false">Sens!I3993/Sens!H3993-1</f>
        <v>0.0970593200028656</v>
      </c>
      <c r="J3994" s="7" t="n">
        <f aca="false">Sens!J3993/Sens!I3993-1</f>
        <v>0.0779942828085616</v>
      </c>
      <c r="K3994" s="7" t="n">
        <f aca="false">Sens!K3993/Sens!J3993-1</f>
        <v>0.0617239706821449</v>
      </c>
    </row>
    <row r="3995" customFormat="false" ht="17.15" hidden="false" customHeight="false" outlineLevel="0" collapsed="false">
      <c r="A3995" s="0" t="s">
        <v>763</v>
      </c>
      <c r="B3995" s="0" t="s">
        <v>95</v>
      </c>
      <c r="E3995" s="6" t="n">
        <f aca="false">Sens!E3940</f>
        <v>5.25</v>
      </c>
      <c r="F3995" s="6" t="n">
        <f aca="false">Sens!F3940</f>
        <v>12</v>
      </c>
      <c r="G3995" s="6" t="n">
        <f aca="false">Sens!G3940</f>
        <v>18</v>
      </c>
      <c r="H3995" s="6" t="n">
        <f aca="false">Sens!H3940</f>
        <v>24</v>
      </c>
      <c r="I3995" s="6" t="n">
        <f aca="false">Sens!I3940</f>
        <v>28.5</v>
      </c>
      <c r="J3995" s="6" t="n">
        <f aca="false">Sens!J3940</f>
        <v>31.5</v>
      </c>
      <c r="K3995" s="6" t="n">
        <f aca="false">Sens!K3940</f>
        <v>34.5</v>
      </c>
    </row>
    <row r="3996" customFormat="false" ht="17.15" hidden="false" customHeight="false" outlineLevel="0" collapsed="false">
      <c r="A3996" s="0" t="s">
        <v>764</v>
      </c>
      <c r="B3996" s="0" t="s">
        <v>95</v>
      </c>
      <c r="E3996" s="6" t="n">
        <f aca="false">Sens!E3920+Sens!E3995*Sens!E3979-Sens!E3921-Sens!E3931</f>
        <v>4.25599569621144</v>
      </c>
      <c r="F3996" s="6" t="n">
        <f aca="false">Sens!F3920+Sens!F3995*Sens!F3979-Sens!F3921-Sens!F3931</f>
        <v>9.5435788519472</v>
      </c>
      <c r="G3996" s="6" t="n">
        <f aca="false">Sens!G3920+Sens!G3995*Sens!G3979-Sens!G3921-Sens!G3931</f>
        <v>13.4525169193629</v>
      </c>
      <c r="H3996" s="6" t="n">
        <f aca="false">Sens!H3920+Sens!H3995*Sens!H3979-Sens!H3921-Sens!H3931</f>
        <v>17.4391386043181</v>
      </c>
      <c r="I3996" s="6" t="n">
        <f aca="false">Sens!I3920+Sens!I3995*Sens!I3979-Sens!I3921-Sens!I3931</f>
        <v>20.3938665763548</v>
      </c>
      <c r="J3996" s="6" t="n">
        <f aca="false">Sens!J3920+Sens!J3995*Sens!J3979-Sens!J3921-Sens!J3931</f>
        <v>22.0232953135315</v>
      </c>
      <c r="K3996" s="6" t="n">
        <f aca="false">Sens!K3920+Sens!K3995*Sens!K3979-Sens!K3921-Sens!K3931</f>
        <v>22.8602754469966</v>
      </c>
    </row>
    <row r="3997" customFormat="false" ht="17.15" hidden="false" customHeight="false" outlineLevel="0" collapsed="false">
      <c r="A3997" s="0" t="s">
        <v>765</v>
      </c>
      <c r="B3997" s="0" t="s">
        <v>95</v>
      </c>
      <c r="E3997" s="6" t="n">
        <f aca="false">Sens!E3903*(cxit_open+self_build*tk_cxfac)/1000*ai_net_open</f>
        <v>126.6980382</v>
      </c>
      <c r="F3997" s="6" t="n">
        <f aca="false">Sens!E3997+Sens!F3928-Sens!F3931</f>
        <v>265.191704851121</v>
      </c>
      <c r="G3997" s="6" t="n">
        <f aca="false">Sens!F3997+Sens!G3928-Sens!G3931</f>
        <v>396.334196711172</v>
      </c>
      <c r="H3997" s="6" t="n">
        <f aca="false">Sens!G3997+Sens!H3928-Sens!H3931</f>
        <v>508.409297198881</v>
      </c>
      <c r="I3997" s="6" t="n">
        <f aca="false">Sens!H3997+Sens!I3928-Sens!I3931</f>
        <v>596.589036213676</v>
      </c>
      <c r="J3997" s="6" t="n">
        <f aca="false">Sens!I3997+Sens!J3928-Sens!J3931</f>
        <v>690.580282619723</v>
      </c>
      <c r="K3997" s="6" t="n">
        <f aca="false">Sens!J3997+Sens!K3928-Sens!K3931</f>
        <v>774.72912033488</v>
      </c>
      <c r="L3997" s="1" t="s">
        <v>766</v>
      </c>
    </row>
    <row r="3998" customFormat="false" ht="17.15" hidden="false" customHeight="false" outlineLevel="0" collapsed="false">
      <c r="A3998" s="0" t="s">
        <v>767</v>
      </c>
      <c r="B3998" s="0" t="s">
        <v>126</v>
      </c>
      <c r="F3998" s="7" t="n">
        <f aca="false">Sens!F3996*(1-tax_f)/((Sens!E3997+Sens!F3997)/2)</f>
        <v>0.0389643424812056</v>
      </c>
      <c r="G3998" s="7" t="n">
        <f aca="false">Sens!G3996*(1-tax_f)/((Sens!F3997+Sens!G3997)/2)</f>
        <v>0.0325369377376584</v>
      </c>
      <c r="H3998" s="7" t="n">
        <f aca="false">Sens!H3996*(1-tax_f)/((Sens!G3997+Sens!H3997)/2)</f>
        <v>0.0308403674132228</v>
      </c>
      <c r="I3998" s="7" t="n">
        <f aca="false">Sens!I3996*(1-tax_f)/((Sens!H3997+Sens!I3997)/2)</f>
        <v>0.0295296251003348</v>
      </c>
      <c r="J3998" s="7" t="n">
        <f aca="false">Sens!J3996*(1-tax_f)/((Sens!I3997+Sens!J3997)/2)</f>
        <v>0.0273757865310113</v>
      </c>
      <c r="K3998" s="7" t="n">
        <f aca="false">Sens!K3996*(1-tax_f)/((Sens!J3997+Sens!K3997)/2)</f>
        <v>0.0249615819303711</v>
      </c>
    </row>
    <row r="3999" customFormat="false" ht="17.15" hidden="false" customHeight="false" outlineLevel="0" collapsed="false">
      <c r="A3999" s="1" t="s">
        <v>768</v>
      </c>
      <c r="B3999" s="0" t="s">
        <v>126</v>
      </c>
      <c r="F3999" s="7" t="n">
        <f aca="false">Sens!F3932*(1-tax_f)/(Sens!F3919*(Sens!E3997+Sens!F3997)/2)</f>
        <v>0.14550520535782</v>
      </c>
      <c r="G3999" s="7" t="n">
        <f aca="false">Sens!G3932*(1-tax_f)/(Sens!G3919*(Sens!F3997+Sens!G3997)/2)</f>
        <v>0.141465829434798</v>
      </c>
      <c r="H3999" s="7" t="n">
        <f aca="false">Sens!H3932*(1-tax_f)/(Sens!H3919*(Sens!G3997+Sens!H3997)/2)</f>
        <v>0.146241180516451</v>
      </c>
      <c r="I3999" s="7" t="n">
        <f aca="false">Sens!I3932*(1-tax_f)/(Sens!I3919*(Sens!H3997+Sens!I3997)/2)</f>
        <v>0.154670549597896</v>
      </c>
      <c r="J3999" s="7" t="n">
        <f aca="false">Sens!J3932*(1-tax_f)/(Sens!J3919*(Sens!I3997+Sens!J3997)/2)</f>
        <v>0.162239966499043</v>
      </c>
      <c r="K3999" s="7" t="n">
        <f aca="false">Sens!K3932*(1-tax_f)/(Sens!K3919*(Sens!J3997+Sens!K3997)/2)</f>
        <v>0.167565787181043</v>
      </c>
    </row>
    <row r="4000" customFormat="false" ht="17.15" hidden="false" customHeight="false" outlineLevel="0" collapsed="false">
      <c r="A4000" s="0" t="s">
        <v>769</v>
      </c>
      <c r="B4000" s="0" t="s">
        <v>208</v>
      </c>
      <c r="F4000" s="7" t="n">
        <f aca="false">Sens!F3998-wacc</f>
        <v>-0.0699988786690484</v>
      </c>
      <c r="G4000" s="7" t="n">
        <f aca="false">Sens!G3998-wacc</f>
        <v>-0.0764262834125956</v>
      </c>
      <c r="H4000" s="7" t="n">
        <f aca="false">Sens!H3998-wacc</f>
        <v>-0.0781228537370312</v>
      </c>
      <c r="I4000" s="7" t="n">
        <f aca="false">Sens!I3998-wacc</f>
        <v>-0.0794335960499192</v>
      </c>
      <c r="J4000" s="7" t="n">
        <f aca="false">Sens!J3998-wacc</f>
        <v>-0.0815874346192427</v>
      </c>
      <c r="K4000" s="7" t="n">
        <f aca="false">Sens!K3998-wacc</f>
        <v>-0.0840016392198829</v>
      </c>
    </row>
    <row r="4001" customFormat="false" ht="17.15" hidden="false" customHeight="false" outlineLevel="0" collapsed="false">
      <c r="A4001" s="0" t="s">
        <v>770</v>
      </c>
      <c r="B4001" s="0" t="s">
        <v>95</v>
      </c>
      <c r="F4001" s="6" t="n">
        <f aca="false">Sens!F3996*(1-tax_f)-wacc*(Sens!E3997+Sens!F3997)/2</f>
        <v>-13.71592128774</v>
      </c>
      <c r="G4001" s="6" t="n">
        <f aca="false">Sens!G3996*(1-tax_f)-wacc*(Sens!F3997+Sens!G3997)/2</f>
        <v>-25.2789830187863</v>
      </c>
      <c r="H4001" s="6" t="n">
        <f aca="false">Sens!H3996*(1-tax_f)-wacc*(Sens!G3997+Sens!H3997)/2</f>
        <v>-35.3405718221328</v>
      </c>
      <c r="I4001" s="6" t="n">
        <f aca="false">Sens!I3996*(1-tax_f)-wacc*(Sens!H3997+Sens!I3997)/2</f>
        <v>-43.8869956260635</v>
      </c>
      <c r="J4001" s="6" t="n">
        <f aca="false">Sens!J3996*(1-tax_f)-wacc*(Sens!I3997+Sens!J3997)/2</f>
        <v>-52.5084213221075</v>
      </c>
      <c r="K4001" s="6" t="n">
        <f aca="false">Sens!K3996*(1-tax_f)-wacc*(Sens!J3997+Sens!K3997)/2</f>
        <v>-61.5441959062473</v>
      </c>
    </row>
    <row r="4002" customFormat="false" ht="17.15" hidden="false" customHeight="false" outlineLevel="0" collapsed="false">
      <c r="A4002" s="1" t="s">
        <v>771</v>
      </c>
      <c r="B4002" s="0" t="s">
        <v>95</v>
      </c>
      <c r="F4002" s="6" t="n">
        <f aca="false">(Sens!E3904+Sens!F3904)/2*Sens!F3911/1000</f>
        <v>26.7873066765967</v>
      </c>
      <c r="G4002" s="6" t="n">
        <f aca="false">(Sens!F3904+Sens!G3904)/2*Sens!G3911/1000</f>
        <v>45.4131817597218</v>
      </c>
      <c r="H4002" s="6" t="n">
        <f aca="false">(Sens!G3904+Sens!H3904)/2*Sens!H3911/1000</f>
        <v>65.3915129357971</v>
      </c>
      <c r="I4002" s="6" t="n">
        <f aca="false">(Sens!H3904+Sens!I3904)/2*Sens!I3911/1000</f>
        <v>85.5187419289299</v>
      </c>
      <c r="J4002" s="6" t="n">
        <f aca="false">(Sens!I3904+Sens!J3904)/2*Sens!J3911/1000</f>
        <v>105.723807195006</v>
      </c>
      <c r="K4002" s="6" t="n">
        <f aca="false">(Sens!J3904+Sens!K3904)/2*Sens!K3911/1000</f>
        <v>125.974659797015</v>
      </c>
      <c r="L4002" s="1" t="s">
        <v>772</v>
      </c>
    </row>
    <row r="4003" customFormat="false" ht="17.15" hidden="false" customHeight="false" outlineLevel="0" collapsed="false">
      <c r="A4003" s="1" t="s">
        <v>773</v>
      </c>
      <c r="B4003" s="0" t="s">
        <v>126</v>
      </c>
      <c r="F4003" s="7" t="n">
        <f aca="false">(Sens!F3920+Sens!F4002-Sens!F3921-Sens!F3931)*(1-tax_f)/((Sens!E3997+Sens!F3997)/2)</f>
        <v>0.120796550685347</v>
      </c>
      <c r="G4003" s="7" t="n">
        <f aca="false">(Sens!G3920+Sens!G4002-Sens!G3921-Sens!G3931)*(1-tax_f)/((Sens!F3997+Sens!G3997)/2)</f>
        <v>0.117908287866183</v>
      </c>
      <c r="H4003" s="7" t="n">
        <f aca="false">(Sens!H3920+Sens!H4002-Sens!H3921-Sens!H3931)*(1-tax_f)/((Sens!G3997+Sens!H3997)/2)</f>
        <v>0.122629306470545</v>
      </c>
      <c r="I4003" s="7" t="n">
        <f aca="false">(Sens!I3920+Sens!I4002-Sens!I3921-Sens!I3931)*(1-tax_f)/((Sens!H3997+Sens!I3997)/2)</f>
        <v>0.130165594936649</v>
      </c>
      <c r="J4003" s="7" t="n">
        <f aca="false">(Sens!J3920+Sens!J4002-Sens!J3921-Sens!J3931)*(1-tax_f)/((Sens!I3997+Sens!J3997)/2)</f>
        <v>0.136788790248979</v>
      </c>
      <c r="K4003" s="7" t="n">
        <f aca="false">(Sens!K3920+Sens!K4002-Sens!K3921-Sens!K3931)*(1-tax_f)/((Sens!J3997+Sens!K3997)/2)</f>
        <v>0.14134437683873</v>
      </c>
      <c r="L4003" s="1" t="s">
        <v>774</v>
      </c>
    </row>
    <row r="4004" customFormat="false" ht="17.15" hidden="false" customHeight="false" outlineLevel="0" collapsed="false">
      <c r="A4004" s="3" t="s">
        <v>1227</v>
      </c>
    </row>
    <row r="4005" customFormat="false" ht="15" hidden="false" customHeight="false" outlineLevel="0" collapsed="false">
      <c r="A4005" s="4" t="s">
        <v>43</v>
      </c>
      <c r="B4005" s="4" t="s">
        <v>63</v>
      </c>
      <c r="C4005" s="19" t="s">
        <v>710</v>
      </c>
      <c r="D4005" s="19" t="s">
        <v>711</v>
      </c>
      <c r="E4005" s="19" t="s">
        <v>712</v>
      </c>
      <c r="F4005" s="19" t="s">
        <v>713</v>
      </c>
      <c r="G4005" s="19" t="s">
        <v>714</v>
      </c>
      <c r="H4005" s="19" t="s">
        <v>715</v>
      </c>
      <c r="I4005" s="19" t="s">
        <v>716</v>
      </c>
      <c r="J4005" s="19" t="s">
        <v>717</v>
      </c>
      <c r="K4005" s="19" t="s">
        <v>718</v>
      </c>
      <c r="L4005" s="4" t="s">
        <v>47</v>
      </c>
    </row>
    <row r="4006" customFormat="false" ht="15" hidden="false" customHeight="false" outlineLevel="0" collapsed="false">
      <c r="A4006" s="1" t="s">
        <v>825</v>
      </c>
      <c r="B4006" s="0" t="s">
        <v>95</v>
      </c>
      <c r="F4006" s="6" t="n">
        <f aca="false">Sens!F3991</f>
        <v>142.886004427969</v>
      </c>
      <c r="G4006" s="6" t="n">
        <f aca="false">Sens!G3991</f>
        <v>161.509026118454</v>
      </c>
      <c r="H4006" s="6" t="n">
        <f aca="false">Sens!H3991</f>
        <v>180.448448336762</v>
      </c>
      <c r="I4006" s="6" t="n">
        <f aca="false">Sens!I3991</f>
        <v>198.271701457373</v>
      </c>
      <c r="J4006" s="6" t="n">
        <f aca="false">Sens!J3991</f>
        <v>214.138500380261</v>
      </c>
      <c r="K4006" s="6" t="n">
        <f aca="false">Sens!K3991</f>
        <v>227.85198605624</v>
      </c>
    </row>
    <row r="4007" customFormat="false" ht="17.15" hidden="false" customHeight="false" outlineLevel="0" collapsed="false">
      <c r="A4007" s="1" t="s">
        <v>843</v>
      </c>
      <c r="B4007" s="0" t="s">
        <v>95</v>
      </c>
      <c r="E4007" s="6" t="n">
        <f aca="false">Q!M38-Sens!E3931</f>
        <v>24.3801052339286</v>
      </c>
      <c r="F4007" s="6" t="n">
        <f aca="false">Sens!E4007*(1-1/life_nonai)+Sens!F4013/life_nonai</f>
        <v>25.500029433492</v>
      </c>
      <c r="G4007" s="6" t="n">
        <f aca="false">Sens!F4007*(1-1/life_nonai)+Sens!G4013/life_nonai</f>
        <v>27.0653158471817</v>
      </c>
      <c r="H4007" s="6" t="n">
        <f aca="false">Sens!G4007*(1-1/life_nonai)+Sens!H4013/life_nonai</f>
        <v>29.0399356268725</v>
      </c>
      <c r="I4007" s="6" t="n">
        <f aca="false">Sens!H4007*(1-1/life_nonai)+Sens!I4013/life_nonai</f>
        <v>31.3557820953496</v>
      </c>
      <c r="J4007" s="6" t="n">
        <f aca="false">Sens!I4007*(1-1/life_nonai)+Sens!J4013/life_nonai</f>
        <v>33.9282952108521</v>
      </c>
      <c r="K4007" s="6" t="n">
        <f aca="false">Sens!J4007*(1-1/life_nonai)+Sens!K4013/life_nonai</f>
        <v>36.6723359639662</v>
      </c>
      <c r="L4007" s="11" t="s">
        <v>844</v>
      </c>
    </row>
    <row r="4008" customFormat="false" ht="17.15" hidden="false" customHeight="false" outlineLevel="0" collapsed="false">
      <c r="A4008" s="1" t="s">
        <v>845</v>
      </c>
      <c r="B4008" s="0" t="s">
        <v>95</v>
      </c>
      <c r="E4008" s="6" t="n">
        <f aca="false">Sens!E3931+Sens!E4007</f>
        <v>38.534</v>
      </c>
      <c r="F4008" s="6" t="n">
        <f aca="false">Sens!F3931+Sens!F4007</f>
        <v>55.6270155528089</v>
      </c>
      <c r="G4008" s="6" t="n">
        <f aca="false">Sens!G3931+Sens!G4007</f>
        <v>79.4970044703299</v>
      </c>
      <c r="H4008" s="6" t="n">
        <f aca="false">Sens!H3931+Sens!H4007</f>
        <v>105.045121049564</v>
      </c>
      <c r="I4008" s="6" t="n">
        <f aca="false">Sens!I3931+Sens!I4007</f>
        <v>131.256328990955</v>
      </c>
      <c r="J4008" s="6" t="n">
        <f aca="false">Sens!J3931+Sens!J4007</f>
        <v>158.276010061872</v>
      </c>
      <c r="K4008" s="6" t="n">
        <f aca="false">Sens!K3931+Sens!K4007</f>
        <v>186.300559172543</v>
      </c>
    </row>
    <row r="4009" customFormat="false" ht="15" hidden="false" customHeight="false" outlineLevel="0" collapsed="false">
      <c r="A4009" s="1" t="s">
        <v>685</v>
      </c>
      <c r="B4009" s="0" t="s">
        <v>95</v>
      </c>
      <c r="F4009" s="6" t="n">
        <f aca="false">Sens!F3958*sbc_r</f>
        <v>14.9308704941267</v>
      </c>
      <c r="G4009" s="6" t="n">
        <f aca="false">Sens!G3958*sbc_r</f>
        <v>17.7641108812713</v>
      </c>
      <c r="H4009" s="6" t="n">
        <f aca="false">Sens!H3958*sbc_r</f>
        <v>20.6640880611968</v>
      </c>
      <c r="I4009" s="6" t="n">
        <f aca="false">Sens!I3958*sbc_r</f>
        <v>23.4969326339241</v>
      </c>
      <c r="J4009" s="6" t="n">
        <f aca="false">Sens!J3958*sbc_r</f>
        <v>26.2083031015503</v>
      </c>
      <c r="K4009" s="6" t="n">
        <f aca="false">Sens!K3958*sbc_r</f>
        <v>28.8002841446643</v>
      </c>
    </row>
    <row r="4010" customFormat="false" ht="17.15" hidden="false" customHeight="false" outlineLevel="0" collapsed="false">
      <c r="A4010" s="1" t="s">
        <v>846</v>
      </c>
      <c r="B4010" s="0" t="s">
        <v>95</v>
      </c>
      <c r="F4010" s="6" t="n">
        <f aca="false">wc27</f>
        <v>-4.895</v>
      </c>
      <c r="G4010" s="6" t="n">
        <f aca="false">0</f>
        <v>0</v>
      </c>
      <c r="H4010" s="6" t="n">
        <f aca="false">0</f>
        <v>0</v>
      </c>
      <c r="I4010" s="6" t="n">
        <f aca="false">0</f>
        <v>0</v>
      </c>
      <c r="J4010" s="6" t="n">
        <f aca="false">0</f>
        <v>0</v>
      </c>
      <c r="K4010" s="6" t="n">
        <f aca="false">0</f>
        <v>0</v>
      </c>
      <c r="L4010" s="11" t="s">
        <v>847</v>
      </c>
    </row>
    <row r="4011" customFormat="false" ht="15" hidden="false" customHeight="false" outlineLevel="0" collapsed="false">
      <c r="A4011" s="1" t="s">
        <v>678</v>
      </c>
      <c r="B4011" s="0" t="s">
        <v>95</v>
      </c>
      <c r="E4011" s="6" t="n">
        <f aca="false">Q!M35</f>
        <v>182.935</v>
      </c>
      <c r="F4011" s="6" t="n">
        <f aca="false">Sens!F4006+Sens!F4008+Sens!F4009+Sens!F4010</f>
        <v>208.548890474905</v>
      </c>
      <c r="G4011" s="6" t="n">
        <f aca="false">Sens!G4006+Sens!G4008+Sens!G4009+Sens!G4010</f>
        <v>258.770141470055</v>
      </c>
      <c r="H4011" s="6" t="n">
        <f aca="false">Sens!H4006+Sens!H4008+Sens!H4009+Sens!H4010</f>
        <v>306.157657447523</v>
      </c>
      <c r="I4011" s="6" t="n">
        <f aca="false">Sens!I4006+Sens!I4008+Sens!I4009+Sens!I4010</f>
        <v>353.024963082252</v>
      </c>
      <c r="J4011" s="6" t="n">
        <f aca="false">Sens!J4006+Sens!J4008+Sens!J4009+Sens!J4010</f>
        <v>398.622813543683</v>
      </c>
      <c r="K4011" s="6" t="n">
        <f aca="false">Sens!K4006+Sens!K4008+Sens!K4009+Sens!K4010</f>
        <v>442.952829373447</v>
      </c>
    </row>
    <row r="4012" customFormat="false" ht="17.15" hidden="false" customHeight="false" outlineLevel="0" collapsed="false">
      <c r="A4012" s="0" t="s">
        <v>848</v>
      </c>
      <c r="B4012" s="0" t="s">
        <v>95</v>
      </c>
      <c r="F4012" s="6" t="n">
        <f aca="false">Sens!F3928</f>
        <v>168.620652770438</v>
      </c>
      <c r="G4012" s="6" t="n">
        <f aca="false">Sens!G3928</f>
        <v>183.5741804832</v>
      </c>
      <c r="H4012" s="6" t="n">
        <f aca="false">Sens!H3928</f>
        <v>188.0802859104</v>
      </c>
      <c r="I4012" s="6" t="n">
        <f aca="false">Sens!I3928</f>
        <v>188.0802859104</v>
      </c>
      <c r="J4012" s="6" t="n">
        <f aca="false">Sens!J3928</f>
        <v>218.338961257067</v>
      </c>
      <c r="K4012" s="6" t="n">
        <f aca="false">Sens!K3928</f>
        <v>233.777060923733</v>
      </c>
    </row>
    <row r="4013" customFormat="false" ht="17.15" hidden="false" customHeight="false" outlineLevel="0" collapsed="false">
      <c r="A4013" s="1" t="s">
        <v>849</v>
      </c>
      <c r="B4013" s="0" t="s">
        <v>95</v>
      </c>
      <c r="E4013" s="6" t="n">
        <f aca="false">Sens!E3936*cx_azo+Sens!E3943*cx_m365+Sens!E3944*cx_lic+(Sens!E3946+Sens!E3948)*cx_ind+Sens!E3951*cx_srch+(Sens!E3953+Sens!E3955)*cx_dev</f>
        <v>30.1846587067718</v>
      </c>
      <c r="F4013" s="6" t="n">
        <f aca="false">Sens!F3936*cx_azo+Sens!F3943*cx_m365+Sens!F3944*cx_lic+(Sens!F3946+Sens!F3948)*cx_ind+Sens!F3951*cx_srch+(Sens!F3953+Sens!F3955)*cx_dev</f>
        <v>35.5793472295625</v>
      </c>
      <c r="G4013" s="6" t="n">
        <f aca="false">Sens!G3936*cx_azo+Sens!G3943*cx_m365+Sens!G3944*cx_lic+(Sens!G3946+Sens!G3948)*cx_ind+Sens!G3951*cx_srch+(Sens!G3953+Sens!G3955)*cx_dev</f>
        <v>41.1528935703892</v>
      </c>
      <c r="H4013" s="6" t="n">
        <f aca="false">Sens!H3936*cx_azo+Sens!H3943*cx_m365+Sens!H3944*cx_lic+(Sens!H3946+Sens!H3948)*cx_ind+Sens!H3951*cx_srch+(Sens!H3953+Sens!H3955)*cx_dev</f>
        <v>46.8115136440897</v>
      </c>
      <c r="I4013" s="6" t="n">
        <f aca="false">Sens!I3936*cx_azo+Sens!I3943*cx_m365+Sens!I3944*cx_lic+(Sens!I3946+Sens!I3948)*cx_ind+Sens!I3951*cx_srch+(Sens!I3953+Sens!I3955)*cx_dev</f>
        <v>52.1984003116439</v>
      </c>
      <c r="J4013" s="6" t="n">
        <f aca="false">Sens!J3936*cx_azo+Sens!J3943*cx_m365+Sens!J3944*cx_lic+(Sens!J3946+Sens!J3948)*cx_ind+Sens!J3951*cx_srch+(Sens!J3953+Sens!J3955)*cx_dev</f>
        <v>57.0809132503738</v>
      </c>
      <c r="K4013" s="6" t="n">
        <f aca="false">Sens!K3936*cx_azo+Sens!K3943*cx_m365+Sens!K3944*cx_lic+(Sens!K3946+Sens!K3948)*cx_ind+Sens!K3951*cx_srch+(Sens!K3953+Sens!K3955)*cx_dev</f>
        <v>61.368702741994</v>
      </c>
    </row>
    <row r="4014" customFormat="false" ht="17.15" hidden="false" customHeight="false" outlineLevel="0" collapsed="false">
      <c r="A4014" s="1" t="s">
        <v>850</v>
      </c>
      <c r="B4014" s="0" t="s">
        <v>95</v>
      </c>
      <c r="E4014" s="6" t="n">
        <f aca="false">Q!M42</f>
        <v>145.3</v>
      </c>
      <c r="F4014" s="6" t="n">
        <f aca="false">Sens!F4012+Sens!F4013</f>
        <v>204.2</v>
      </c>
      <c r="G4014" s="6" t="n">
        <f aca="false">Sens!G4012+Sens!G4013</f>
        <v>224.727074053589</v>
      </c>
      <c r="H4014" s="6" t="n">
        <f aca="false">Sens!H4012+Sens!H4013</f>
        <v>234.89179955449</v>
      </c>
      <c r="I4014" s="6" t="n">
        <f aca="false">Sens!I4012+Sens!I4013</f>
        <v>240.278686222044</v>
      </c>
      <c r="J4014" s="6" t="n">
        <f aca="false">Sens!J4012+Sens!J4013</f>
        <v>275.41987450744</v>
      </c>
      <c r="K4014" s="6" t="n">
        <f aca="false">Sens!K4012+Sens!K4013</f>
        <v>295.145763665727</v>
      </c>
      <c r="L4014" s="1" t="s">
        <v>851</v>
      </c>
    </row>
    <row r="4015" customFormat="false" ht="15" hidden="false" customHeight="false" outlineLevel="0" collapsed="false">
      <c r="A4015" s="1" t="s">
        <v>852</v>
      </c>
      <c r="B4015" s="0" t="s">
        <v>95</v>
      </c>
      <c r="E4015" s="6" t="n">
        <f aca="false">fl_liab</f>
        <v>66.594</v>
      </c>
      <c r="F4015" s="6" t="n">
        <f aca="false">Sens!E4015-Sens!F4016</f>
        <v>62.46973</v>
      </c>
      <c r="G4015" s="6" t="n">
        <f aca="false">Sens!F4015-Sens!G4016</f>
        <v>57.98686785</v>
      </c>
      <c r="H4015" s="6" t="n">
        <f aca="false">Sens!G4015-Sens!H4016</f>
        <v>53.92827690325</v>
      </c>
      <c r="I4015" s="6" t="n">
        <f aca="false">Sens!H4015-Sens!I4016</f>
        <v>49.7850493638962</v>
      </c>
      <c r="J4015" s="6" t="n">
        <f aca="false">Sens!I4015-Sens!J4016</f>
        <v>45.4823765852716</v>
      </c>
      <c r="K4015" s="6" t="n">
        <f aca="false">Sens!J4015-Sens!K4016</f>
        <v>40.9860835316088</v>
      </c>
    </row>
    <row r="4016" customFormat="false" ht="15" hidden="false" customHeight="false" outlineLevel="0" collapsed="false">
      <c r="A4016" s="1" t="s">
        <v>853</v>
      </c>
      <c r="B4016" s="0" t="s">
        <v>95</v>
      </c>
      <c r="F4016" s="6" t="n">
        <f aca="false">fl_pay_27-Sens!E4015*fl_rate</f>
        <v>4.12427</v>
      </c>
      <c r="G4016" s="6" t="n">
        <f aca="false">fl_pay_28-Sens!F4015*fl_rate</f>
        <v>4.48286215</v>
      </c>
      <c r="H4016" s="6" t="n">
        <f aca="false">fl_pay_29-Sens!G4015*fl_rate</f>
        <v>4.05859094675</v>
      </c>
      <c r="I4016" s="6" t="n">
        <f aca="false">fl_pay_30-Sens!H4015*fl_rate</f>
        <v>4.14322753935375</v>
      </c>
      <c r="J4016" s="6" t="n">
        <f aca="false">fl_pay_31-Sens!I4015*fl_rate</f>
        <v>4.30267277862467</v>
      </c>
      <c r="K4016" s="6" t="n">
        <f aca="false">fl_pay_32-Sens!J4015*fl_rate</f>
        <v>4.49629305366278</v>
      </c>
    </row>
    <row r="4017" customFormat="false" ht="17.15" hidden="false" customHeight="false" outlineLevel="0" collapsed="false">
      <c r="A4017" s="1" t="s">
        <v>854</v>
      </c>
      <c r="B4017" s="0" t="s">
        <v>95</v>
      </c>
      <c r="E4017" s="6" t="n">
        <f aca="false">Q!M35-Q!M36-Q!M43</f>
        <v>63.886</v>
      </c>
      <c r="F4017" s="6" t="n">
        <f aca="false">Sens!F4011-Sens!F4014-Sens!F4016</f>
        <v>0.224620474905004</v>
      </c>
      <c r="G4017" s="6" t="n">
        <f aca="false">Sens!G4011-Sens!G4014-Sens!G4016</f>
        <v>29.5602052664658</v>
      </c>
      <c r="H4017" s="6" t="n">
        <f aca="false">Sens!H4011-Sens!H4014-Sens!H4016</f>
        <v>67.2072669462829</v>
      </c>
      <c r="I4017" s="6" t="n">
        <f aca="false">Sens!I4011-Sens!I4014-Sens!I4016</f>
        <v>108.603049320854</v>
      </c>
      <c r="J4017" s="6" t="n">
        <f aca="false">Sens!J4011-Sens!J4014-Sens!J4016</f>
        <v>118.900266257618</v>
      </c>
      <c r="K4017" s="6" t="n">
        <f aca="false">Sens!K4011-Sens!K4014-Sens!K4016</f>
        <v>143.310772654057</v>
      </c>
      <c r="L4017" s="11" t="s">
        <v>855</v>
      </c>
    </row>
    <row r="4018" customFormat="false" ht="15" hidden="false" customHeight="false" outlineLevel="0" collapsed="false">
      <c r="A4018" s="1" t="s">
        <v>856</v>
      </c>
      <c r="B4018" s="0" t="s">
        <v>73</v>
      </c>
      <c r="F4018" s="8" t="n">
        <f aca="false">dps_27</f>
        <v>3.85</v>
      </c>
      <c r="G4018" s="8" t="n">
        <f aca="false">Sens!F4018*(1+dps_g)</f>
        <v>4.158</v>
      </c>
      <c r="H4018" s="8" t="n">
        <f aca="false">Sens!G4018*(1+dps_g)</f>
        <v>4.49064</v>
      </c>
      <c r="I4018" s="8" t="n">
        <f aca="false">Sens!H4018*(1+dps_g)</f>
        <v>4.8498912</v>
      </c>
      <c r="J4018" s="8" t="n">
        <f aca="false">Sens!I4018*(1+dps_g)</f>
        <v>5.237882496</v>
      </c>
      <c r="K4018" s="8" t="n">
        <f aca="false">Sens!J4018*(1+dps_g)</f>
        <v>5.65691309568</v>
      </c>
    </row>
    <row r="4019" customFormat="false" ht="17.15" hidden="false" customHeight="false" outlineLevel="0" collapsed="false">
      <c r="A4019" s="1" t="s">
        <v>857</v>
      </c>
      <c r="B4019" s="0" t="s">
        <v>95</v>
      </c>
      <c r="E4019" s="6" t="n">
        <f aca="false">Q!M41</f>
        <v>26.445</v>
      </c>
      <c r="F4019" s="6" t="n">
        <f aca="false">Sens!F4018*Sens!E4028</f>
        <v>28.59395</v>
      </c>
      <c r="G4019" s="6" t="n">
        <f aca="false">Sens!G4018*Sens!F4028</f>
        <v>31.068576</v>
      </c>
      <c r="H4019" s="6" t="n">
        <f aca="false">Sens!H4018*Sens!G4028</f>
        <v>33.75614088</v>
      </c>
      <c r="I4019" s="6" t="n">
        <f aca="false">Sens!I4018*Sens!H4028</f>
        <v>36.5075713903995</v>
      </c>
      <c r="J4019" s="6" t="n">
        <f aca="false">Sens!J4018*Sens!I4028</f>
        <v>39.4965759499509</v>
      </c>
      <c r="K4019" s="6" t="n">
        <f aca="false">Sens!K4018*Sens!J4028</f>
        <v>42.743557251252</v>
      </c>
      <c r="L4019" s="1" t="s">
        <v>858</v>
      </c>
    </row>
    <row r="4020" customFormat="false" ht="15" hidden="false" customHeight="false" outlineLevel="0" collapsed="false">
      <c r="A4020" s="1" t="s">
        <v>859</v>
      </c>
      <c r="B4020" s="0" t="s">
        <v>95</v>
      </c>
      <c r="E4020" s="6" t="n">
        <f aca="false">Sens!E4017-Sens!E4019</f>
        <v>37.441</v>
      </c>
      <c r="F4020" s="6" t="n">
        <f aca="false">Sens!F4017-Sens!F4019</f>
        <v>-28.369329525095</v>
      </c>
      <c r="G4020" s="6" t="n">
        <f aca="false">Sens!G4017-Sens!G4019</f>
        <v>-1.50837073353415</v>
      </c>
      <c r="H4020" s="6" t="n">
        <f aca="false">Sens!H4017-Sens!H4019</f>
        <v>33.4511260662829</v>
      </c>
      <c r="I4020" s="6" t="n">
        <f aca="false">Sens!I4017-Sens!I4019</f>
        <v>72.0954779304549</v>
      </c>
      <c r="J4020" s="6" t="n">
        <f aca="false">Sens!J4017-Sens!J4019</f>
        <v>79.4036903076673</v>
      </c>
      <c r="K4020" s="6" t="n">
        <f aca="false">Sens!K4017-Sens!K4019</f>
        <v>100.567215402805</v>
      </c>
    </row>
    <row r="4021" customFormat="false" ht="15" hidden="false" customHeight="false" outlineLevel="0" collapsed="false">
      <c r="A4021" s="1" t="s">
        <v>860</v>
      </c>
      <c r="B4021" s="0" t="s">
        <v>95</v>
      </c>
      <c r="F4021" s="6" t="n">
        <f aca="false">debt_mat_27</f>
        <v>9.25</v>
      </c>
      <c r="G4021" s="6" t="n">
        <f aca="false">debt_mat_28</f>
        <v>0</v>
      </c>
      <c r="H4021" s="6" t="n">
        <f aca="false">debt_mat_29</f>
        <v>2.001</v>
      </c>
      <c r="I4021" s="6" t="n">
        <f aca="false">debt_mat_30</f>
        <v>0</v>
      </c>
      <c r="J4021" s="6" t="n">
        <f aca="false">debt_mat_31</f>
        <v>0.5</v>
      </c>
      <c r="K4021" s="6" t="n">
        <f aca="false">debt_mat_32</f>
        <v>0</v>
      </c>
    </row>
    <row r="4022" customFormat="false" ht="15" hidden="false" customHeight="false" outlineLevel="0" collapsed="false">
      <c r="A4022" s="1" t="s">
        <v>861</v>
      </c>
      <c r="B4022" s="0" t="s">
        <v>95</v>
      </c>
      <c r="E4022" s="6" t="n">
        <f aca="false">Q!M40</f>
        <v>22.271</v>
      </c>
      <c r="F4022" s="6" t="n">
        <f aca="false">MAX(0,MIN(bb_target,Sens!E4024+Sens!F4020-Sens!F4021-min_cash))</f>
        <v>0</v>
      </c>
      <c r="G4022" s="6" t="n">
        <f aca="false">MAX(0,MIN(bb_target,Sens!F4024+Sens!G4020-Sens!G4021-min_cash))</f>
        <v>0</v>
      </c>
      <c r="H4022" s="6" t="n">
        <f aca="false">MAX(0,MIN(bb_target,Sens!G4024+Sens!H4020-Sens!H4021-min_cash))</f>
        <v>22.271</v>
      </c>
      <c r="I4022" s="6" t="n">
        <f aca="false">MAX(0,MIN(bb_target,Sens!H4024+Sens!I4020-Sens!I4021-min_cash))</f>
        <v>22.271</v>
      </c>
      <c r="J4022" s="6" t="n">
        <f aca="false">MAX(0,MIN(bb_target,Sens!I4024+Sens!J4020-Sens!J4021-min_cash))</f>
        <v>22.271</v>
      </c>
      <c r="K4022" s="6" t="n">
        <f aca="false">MAX(0,MIN(bb_target,Sens!J4024+Sens!K4020-Sens!K4021-min_cash))</f>
        <v>22.271</v>
      </c>
    </row>
    <row r="4023" customFormat="false" ht="15" hidden="false" customHeight="false" outlineLevel="0" collapsed="false">
      <c r="A4023" s="1" t="s">
        <v>862</v>
      </c>
      <c r="B4023" s="0" t="s">
        <v>95</v>
      </c>
      <c r="F4023" s="6" t="n">
        <f aca="false">MAX(0,min_cash-(Sens!E4024+Sens!F4020-Sens!F4021-Sens!F4022))</f>
        <v>10.776329525095</v>
      </c>
      <c r="G4023" s="6" t="n">
        <f aca="false">MAX(0,min_cash-(Sens!F4024+Sens!G4020-Sens!G4021-Sens!G4022))</f>
        <v>1.50837073353415</v>
      </c>
      <c r="H4023" s="6" t="n">
        <f aca="false">MAX(0,min_cash-(Sens!G4024+Sens!H4020-Sens!H4021-Sens!H4022))</f>
        <v>0</v>
      </c>
      <c r="I4023" s="6" t="n">
        <f aca="false">MAX(0,min_cash-(Sens!H4024+Sens!I4020-Sens!I4021-Sens!I4022))</f>
        <v>0</v>
      </c>
      <c r="J4023" s="6" t="n">
        <f aca="false">MAX(0,min_cash-(Sens!I4024+Sens!J4020-Sens!J4021-Sens!J4022))</f>
        <v>0</v>
      </c>
      <c r="K4023" s="6" t="n">
        <f aca="false">MAX(0,min_cash-(Sens!J4024+Sens!K4020-Sens!K4021-Sens!K4022))</f>
        <v>0</v>
      </c>
    </row>
    <row r="4024" customFormat="false" ht="15" hidden="false" customHeight="false" outlineLevel="0" collapsed="false">
      <c r="A4024" s="1" t="s">
        <v>863</v>
      </c>
      <c r="B4024" s="0" t="s">
        <v>95</v>
      </c>
      <c r="E4024" s="6" t="n">
        <f aca="false">cash_open</f>
        <v>76.843</v>
      </c>
      <c r="F4024" s="6" t="n">
        <f aca="false">Sens!E4024+Sens!F4020-Sens!F4021-Sens!F4022+Sens!F4023</f>
        <v>50</v>
      </c>
      <c r="G4024" s="6" t="n">
        <f aca="false">Sens!F4024+Sens!G4020-Sens!G4021-Sens!G4022+Sens!G4023</f>
        <v>50</v>
      </c>
      <c r="H4024" s="6" t="n">
        <f aca="false">Sens!G4024+Sens!H4020-Sens!H4021-Sens!H4022+Sens!H4023</f>
        <v>59.1791260662829</v>
      </c>
      <c r="I4024" s="6" t="n">
        <f aca="false">Sens!H4024+Sens!I4020-Sens!I4021-Sens!I4022+Sens!I4023</f>
        <v>109.003603996738</v>
      </c>
      <c r="J4024" s="6" t="n">
        <f aca="false">Sens!I4024+Sens!J4020-Sens!J4021-Sens!J4022+Sens!J4023</f>
        <v>165.636294304405</v>
      </c>
      <c r="K4024" s="6" t="n">
        <f aca="false">Sens!J4024+Sens!K4020-Sens!K4021-Sens!K4022+Sens!K4023</f>
        <v>243.93250970721</v>
      </c>
    </row>
    <row r="4025" customFormat="false" ht="15" hidden="false" customHeight="false" outlineLevel="0" collapsed="false">
      <c r="A4025" s="1" t="s">
        <v>864</v>
      </c>
      <c r="B4025" s="0" t="s">
        <v>95</v>
      </c>
      <c r="E4025" s="6" t="n">
        <f aca="false">debt_face</f>
        <v>46.136</v>
      </c>
      <c r="F4025" s="6" t="n">
        <f aca="false">Sens!E4025-Sens!F4021+Sens!F4023</f>
        <v>47.662329525095</v>
      </c>
      <c r="G4025" s="6" t="n">
        <f aca="false">Sens!F4025-Sens!G4021+Sens!G4023</f>
        <v>49.1707002586292</v>
      </c>
      <c r="H4025" s="6" t="n">
        <f aca="false">Sens!G4025-Sens!H4021+Sens!H4023</f>
        <v>47.1697002586292</v>
      </c>
      <c r="I4025" s="6" t="n">
        <f aca="false">Sens!H4025-Sens!I4021+Sens!I4023</f>
        <v>47.1697002586292</v>
      </c>
      <c r="J4025" s="6" t="n">
        <f aca="false">Sens!I4025-Sens!J4021+Sens!J4023</f>
        <v>46.6697002586292</v>
      </c>
      <c r="K4025" s="6" t="n">
        <f aca="false">Sens!J4025-Sens!K4021+Sens!K4023</f>
        <v>46.6697002586292</v>
      </c>
    </row>
    <row r="4026" customFormat="false" ht="15" hidden="false" customHeight="false" outlineLevel="0" collapsed="false">
      <c r="A4026" s="1" t="s">
        <v>865</v>
      </c>
      <c r="B4026" s="0" t="s">
        <v>95</v>
      </c>
      <c r="E4026" s="6" t="n">
        <f aca="false">Sens!E4024-Sens!E4025</f>
        <v>30.707</v>
      </c>
      <c r="F4026" s="6" t="n">
        <f aca="false">Sens!F4024-Sens!F4025</f>
        <v>2.337670474905</v>
      </c>
      <c r="G4026" s="6" t="n">
        <f aca="false">Sens!G4024-Sens!G4025</f>
        <v>0.829299741370853</v>
      </c>
      <c r="H4026" s="6" t="n">
        <f aca="false">Sens!H4024-Sens!H4025</f>
        <v>12.0094258076538</v>
      </c>
      <c r="I4026" s="6" t="n">
        <f aca="false">Sens!I4024-Sens!I4025</f>
        <v>61.8339037381087</v>
      </c>
      <c r="J4026" s="6" t="n">
        <f aca="false">Sens!J4024-Sens!J4025</f>
        <v>118.966594045776</v>
      </c>
      <c r="K4026" s="6" t="n">
        <f aca="false">Sens!K4024-Sens!K4025</f>
        <v>197.262809448581</v>
      </c>
    </row>
    <row r="4027" customFormat="false" ht="15" hidden="false" customHeight="false" outlineLevel="0" collapsed="false">
      <c r="A4027" s="1" t="s">
        <v>866</v>
      </c>
      <c r="B4027" s="0" t="s">
        <v>73</v>
      </c>
      <c r="F4027" s="27" t="n">
        <f aca="false">px*(1+bb_g)^(1-0.5)</f>
        <v>553.494156066711</v>
      </c>
      <c r="G4027" s="27" t="n">
        <f aca="false">px*(1+bb_g)^(2-0.5)</f>
        <v>597.773688552047</v>
      </c>
      <c r="H4027" s="27" t="n">
        <f aca="false">px*(1+bb_g)^(3-0.5)</f>
        <v>645.595583636211</v>
      </c>
      <c r="I4027" s="27" t="n">
        <f aca="false">px*(1+bb_g)^(4-0.5)</f>
        <v>697.243230327108</v>
      </c>
      <c r="J4027" s="27" t="n">
        <f aca="false">px*(1+bb_g)^(5-0.5)</f>
        <v>753.022688753277</v>
      </c>
      <c r="K4027" s="27" t="n">
        <f aca="false">px*(1+bb_g)^(6-0.5)</f>
        <v>813.264503853539</v>
      </c>
    </row>
    <row r="4028" customFormat="false" ht="15" hidden="false" customHeight="false" outlineLevel="0" collapsed="false">
      <c r="A4028" s="1" t="s">
        <v>867</v>
      </c>
      <c r="B4028" s="1" t="s">
        <v>79</v>
      </c>
      <c r="E4028" s="18" t="n">
        <f aca="false">sh_out26</f>
        <v>7.427</v>
      </c>
      <c r="F4028" s="18" t="n">
        <f aca="false">Sens!E4028+sh_iss-Sens!F4022/Sens!F4027</f>
        <v>7.472</v>
      </c>
      <c r="G4028" s="18" t="n">
        <f aca="false">Sens!F4028+sh_iss-Sens!G4022/Sens!G4027</f>
        <v>7.517</v>
      </c>
      <c r="H4028" s="18" t="n">
        <f aca="false">Sens!G4028+sh_iss-Sens!H4022/Sens!H4027</f>
        <v>7.5275031716999</v>
      </c>
      <c r="I4028" s="18" t="n">
        <f aca="false">Sens!H4028+sh_iss-Sens!I4022/Sens!I4027</f>
        <v>7.54056166401463</v>
      </c>
      <c r="J4028" s="18" t="n">
        <f aca="false">Sens!I4028+sh_iss-Sens!J4022/Sens!J4027</f>
        <v>7.55598619393567</v>
      </c>
      <c r="K4028" s="18" t="n">
        <f aca="false">Sens!J4028+sh_iss-Sens!K4022/Sens!K4027</f>
        <v>7.57360149941811</v>
      </c>
    </row>
    <row r="4029" customFormat="false" ht="15" hidden="false" customHeight="false" outlineLevel="0" collapsed="false">
      <c r="A4029" s="1" t="s">
        <v>868</v>
      </c>
      <c r="B4029" s="1" t="s">
        <v>79</v>
      </c>
      <c r="E4029" s="18" t="n">
        <f aca="false">sh_dil26</f>
        <v>7.453</v>
      </c>
      <c r="F4029" s="18" t="n">
        <f aca="false">(Sens!E4028+Sens!F4028)/2+dil_gap</f>
        <v>7.4735</v>
      </c>
      <c r="G4029" s="18" t="n">
        <f aca="false">(Sens!F4028+Sens!G4028)/2+dil_gap</f>
        <v>7.5185</v>
      </c>
      <c r="H4029" s="18" t="n">
        <f aca="false">(Sens!G4028+Sens!H4028)/2+dil_gap</f>
        <v>7.54625158584995</v>
      </c>
      <c r="I4029" s="18" t="n">
        <f aca="false">(Sens!H4028+Sens!I4028)/2+dil_gap</f>
        <v>7.55803241785726</v>
      </c>
      <c r="J4029" s="18" t="n">
        <f aca="false">(Sens!I4028+Sens!J4028)/2+dil_gap</f>
        <v>7.57227392897515</v>
      </c>
      <c r="K4029" s="18" t="n">
        <f aca="false">(Sens!J4028+Sens!K4028)/2+dil_gap</f>
        <v>7.58879384667689</v>
      </c>
    </row>
    <row r="4030" customFormat="false" ht="17.15" hidden="false" customHeight="false" outlineLevel="0" collapsed="false">
      <c r="A4030" s="1" t="s">
        <v>869</v>
      </c>
      <c r="B4030" s="0" t="s">
        <v>95</v>
      </c>
      <c r="C4030" s="6" t="n">
        <f aca="false">SUM(Sens!F4020:J4020)</f>
        <v>155.072594045776</v>
      </c>
    </row>
    <row r="4031" customFormat="false" ht="17.15" hidden="false" customHeight="false" outlineLevel="0" collapsed="false">
      <c r="A4031" s="1" t="s">
        <v>836</v>
      </c>
      <c r="B4031" s="1" t="s">
        <v>870</v>
      </c>
      <c r="C4031" s="30" t="str">
        <f aca="false">IF(SUM(Sens!F4023:J4023)&gt;0.05,"需要舉債 "&amp;TEXT(SUM(Sens!F4023:J4023),"0.0")&amp;" 十億美元","不需舉債")&amp;"；"&amp;IF(SUM(Sens!F4022:J4022)&lt;5*bb_target-0.05,"回購較每年 "&amp;TEXT(bb_target,"0.0")&amp;" 的目標少 "&amp;TEXT(5*bb_target-SUM(Sens!F4022:J4022),"0.0")&amp;" 十億美元（"&amp;TEXT(COUNTIF(Sens!F4022:J4022,"&lt;"&amp;(bb_target-0.05)),"0")&amp;" 年減少）","回購不減")</f>
        <v>需要舉債 12.3 十億美元；回購較每年 22.3 的目標少 44.5 十億美元（2 年減少）</v>
      </c>
    </row>
    <row r="4032" customFormat="false" ht="17.15" hidden="false" customHeight="false" outlineLevel="0" collapsed="false">
      <c r="A4032" s="3" t="s">
        <v>1228</v>
      </c>
    </row>
    <row r="4033" customFormat="false" ht="15" hidden="false" customHeight="false" outlineLevel="0" collapsed="false">
      <c r="A4033" s="4" t="s">
        <v>43</v>
      </c>
      <c r="B4033" s="4" t="s">
        <v>63</v>
      </c>
      <c r="C4033" s="19" t="s">
        <v>710</v>
      </c>
      <c r="D4033" s="19" t="s">
        <v>711</v>
      </c>
      <c r="E4033" s="19" t="s">
        <v>712</v>
      </c>
      <c r="F4033" s="19" t="s">
        <v>713</v>
      </c>
      <c r="G4033" s="19" t="s">
        <v>714</v>
      </c>
      <c r="H4033" s="19" t="s">
        <v>715</v>
      </c>
      <c r="I4033" s="19" t="s">
        <v>716</v>
      </c>
      <c r="J4033" s="19" t="s">
        <v>717</v>
      </c>
      <c r="K4033" s="19" t="s">
        <v>718</v>
      </c>
      <c r="L4033" s="4" t="s">
        <v>47</v>
      </c>
    </row>
    <row r="4034" customFormat="false" ht="17.15" hidden="false" customHeight="false" outlineLevel="0" collapsed="false">
      <c r="A4034" s="1" t="s">
        <v>938</v>
      </c>
      <c r="B4034" s="1" t="s">
        <v>213</v>
      </c>
      <c r="F4034" s="34" t="n">
        <f aca="false">1-0.5</f>
        <v>0.5</v>
      </c>
      <c r="G4034" s="34" t="n">
        <f aca="false">2-0.5</f>
        <v>1.5</v>
      </c>
      <c r="H4034" s="34" t="n">
        <f aca="false">3-0.5</f>
        <v>2.5</v>
      </c>
      <c r="I4034" s="34" t="n">
        <f aca="false">4-0.5</f>
        <v>3.5</v>
      </c>
      <c r="J4034" s="34" t="n">
        <f aca="false">5-0.5</f>
        <v>4.5</v>
      </c>
      <c r="K4034" s="34" t="n">
        <f aca="false">6-0.5</f>
        <v>5.5</v>
      </c>
    </row>
    <row r="4035" customFormat="false" ht="15" hidden="false" customHeight="false" outlineLevel="0" collapsed="false">
      <c r="A4035" s="1" t="s">
        <v>939</v>
      </c>
      <c r="B4035" s="0" t="s">
        <v>182</v>
      </c>
      <c r="F4035" s="18" t="n">
        <f aca="false">1/(1+wacc)^Sens!F4034</f>
        <v>0.949601579913219</v>
      </c>
      <c r="G4035" s="18" t="n">
        <f aca="false">1/(1+wacc)^Sens!G4034</f>
        <v>0.856296729956707</v>
      </c>
      <c r="H4035" s="18" t="n">
        <f aca="false">1/(1+wacc)^Sens!H4034</f>
        <v>0.772159719660069</v>
      </c>
      <c r="I4035" s="18" t="n">
        <f aca="false">1/(1+wacc)^Sens!I4034</f>
        <v>0.696289746073958</v>
      </c>
      <c r="J4035" s="18" t="n">
        <f aca="false">1/(1+wacc)^Sens!J4034</f>
        <v>0.627874516299776</v>
      </c>
      <c r="K4035" s="18" t="n">
        <f aca="false">1/(1+wacc)^Sens!K4034</f>
        <v>0.566181550771831</v>
      </c>
    </row>
    <row r="4036" customFormat="false" ht="15" hidden="false" customHeight="false" outlineLevel="0" collapsed="false">
      <c r="A4036" s="1" t="s">
        <v>940</v>
      </c>
      <c r="B4036" s="0" t="s">
        <v>95</v>
      </c>
      <c r="F4036" s="6" t="n">
        <f aca="false">Sens!F4017*Sens!F4035</f>
        <v>0.213299957850649</v>
      </c>
      <c r="G4036" s="6" t="n">
        <f aca="false">Sens!G4017*Sens!G4035</f>
        <v>25.3123071065237</v>
      </c>
      <c r="H4036" s="6" t="n">
        <f aca="false">Sens!H4017*Sens!H4035</f>
        <v>51.8947444043612</v>
      </c>
      <c r="I4036" s="6" t="n">
        <f aca="false">Sens!I4017*Sens!I4035</f>
        <v>75.6191896344752</v>
      </c>
      <c r="J4036" s="6" t="n">
        <f aca="false">Sens!J4017*Sens!J4035</f>
        <v>74.6544471644166</v>
      </c>
      <c r="K4036" s="6" t="n">
        <f aca="false">Sens!K4017*Sens!K4035</f>
        <v>81.1399155035833</v>
      </c>
    </row>
    <row r="4037" customFormat="false" ht="17.15" hidden="false" customHeight="false" outlineLevel="0" collapsed="false">
      <c r="A4037" s="1" t="s">
        <v>941</v>
      </c>
      <c r="B4037" s="0" t="s">
        <v>95</v>
      </c>
      <c r="C4037" s="6" t="n">
        <f aca="false">SUM(Sens!F4036:K4036)</f>
        <v>308.833903771211</v>
      </c>
    </row>
    <row r="4038" customFormat="false" ht="17.15" hidden="false" customHeight="false" outlineLevel="0" collapsed="false">
      <c r="A4038" s="1" t="s">
        <v>942</v>
      </c>
      <c r="B4038" s="0" t="s">
        <v>95</v>
      </c>
      <c r="C4038" s="6" t="n">
        <f aca="false">Sens!K3983*(1+g_tv)*(1-tax_f)</f>
        <v>235.017145637927</v>
      </c>
    </row>
    <row r="4039" customFormat="false" ht="17.15" hidden="false" customHeight="false" outlineLevel="0" collapsed="false">
      <c r="A4039" s="1" t="s">
        <v>943</v>
      </c>
      <c r="B4039" s="0" t="s">
        <v>95</v>
      </c>
      <c r="C4039" s="6" t="n">
        <f aca="false">Sens!$C$4038*(1-g_tv/(wacc+ronic_prem))</f>
        <v>170.311694617756</v>
      </c>
    </row>
    <row r="4040" customFormat="false" ht="17.15" hidden="false" customHeight="false" outlineLevel="0" collapsed="false">
      <c r="A4040" s="1" t="s">
        <v>944</v>
      </c>
      <c r="B4040" s="0" t="s">
        <v>95</v>
      </c>
      <c r="C4040" s="6" t="n">
        <f aca="false">Sens!$C$4039/(wacc-g_tv)</f>
        <v>2156.84836733903</v>
      </c>
    </row>
    <row r="4041" customFormat="false" ht="15" hidden="false" customHeight="false" outlineLevel="0" collapsed="false">
      <c r="A4041" s="1" t="s">
        <v>945</v>
      </c>
      <c r="B4041" s="0" t="s">
        <v>95</v>
      </c>
      <c r="C4041" s="6" t="n">
        <f aca="false">Sens!$C$4040/(1+wacc)^6</f>
        <v>1159.62282796743</v>
      </c>
    </row>
    <row r="4042" customFormat="false" ht="17.15" hidden="false" customHeight="false" outlineLevel="0" collapsed="false">
      <c r="A4042" s="0" t="s">
        <v>877</v>
      </c>
      <c r="B4042" s="0" t="s">
        <v>95</v>
      </c>
      <c r="C4042" s="6" t="n">
        <f aca="false">Sens!$C$4037+Sens!$C$4041</f>
        <v>1468.45673173865</v>
      </c>
    </row>
    <row r="4043" customFormat="false" ht="15" hidden="false" customHeight="false" outlineLevel="0" collapsed="false">
      <c r="A4043" s="1" t="s">
        <v>878</v>
      </c>
      <c r="B4043" s="0" t="s">
        <v>126</v>
      </c>
      <c r="C4043" s="7" t="n">
        <f aca="false">Sens!$C$4041/Sens!$C$4042</f>
        <v>0.789688114674273</v>
      </c>
    </row>
    <row r="4044" customFormat="false" ht="17.15" hidden="false" customHeight="false" outlineLevel="0" collapsed="false">
      <c r="A4044" s="1" t="s">
        <v>946</v>
      </c>
      <c r="B4044" s="0" t="s">
        <v>95</v>
      </c>
      <c r="C4044" s="6" t="n">
        <f aca="false">Sens!$C$4042+Sens!E4026+oai_v</f>
        <v>1669.56373173865</v>
      </c>
    </row>
    <row r="4045" customFormat="false" ht="17.15" hidden="false" customHeight="false" outlineLevel="0" collapsed="false">
      <c r="A4045" s="0" t="s">
        <v>883</v>
      </c>
      <c r="B4045" s="0" t="s">
        <v>73</v>
      </c>
      <c r="C4045" s="5" t="n">
        <f aca="false">Sens!$C$4044/sh_dil26</f>
        <v>224.0123080288</v>
      </c>
    </row>
    <row r="4046" customFormat="false" ht="17.15" hidden="false" customHeight="false" outlineLevel="0" collapsed="false">
      <c r="A4046" s="0" t="s">
        <v>947</v>
      </c>
      <c r="B4046" s="0" t="s">
        <v>73</v>
      </c>
      <c r="C4046" s="5" t="n">
        <f aca="false">Sens!$C$4045*(1+wacc)^t_roll</f>
        <v>256.940901092782</v>
      </c>
    </row>
    <row r="4047" customFormat="false" ht="17.15" hidden="false" customHeight="false" outlineLevel="0" collapsed="false">
      <c r="A4047" s="1" t="s">
        <v>948</v>
      </c>
      <c r="B4047" s="0" t="s">
        <v>126</v>
      </c>
      <c r="F4047" s="7" t="n">
        <f aca="false">Sens!F4007/(Sens!F3958-Sens!F3914)</f>
        <v>0.0740541325548886</v>
      </c>
      <c r="G4047" s="7" t="n">
        <f aca="false">Sens!G4007/(Sens!G3958-Sens!G3914)</f>
        <v>0.0701633968876188</v>
      </c>
      <c r="H4047" s="7" t="n">
        <f aca="false">Sens!H4007/(Sens!H3958-Sens!H3914)</f>
        <v>0.0678602310934211</v>
      </c>
      <c r="I4047" s="7" t="n">
        <f aca="false">Sens!I4007/(Sens!I3958-Sens!I3914)</f>
        <v>0.0669754380931383</v>
      </c>
      <c r="J4047" s="7" t="n">
        <f aca="false">Sens!J4007/(Sens!J3958-Sens!J3914)</f>
        <v>0.0671762064142188</v>
      </c>
      <c r="K4047" s="7" t="n">
        <f aca="false">Sens!K4007/(Sens!K3958-Sens!K3914)</f>
        <v>0.0680736115912917</v>
      </c>
    </row>
    <row r="4048" customFormat="false" ht="17.15" hidden="false" customHeight="false" outlineLevel="0" collapsed="false">
      <c r="A4048" s="0" t="s">
        <v>949</v>
      </c>
      <c r="B4048" s="0" t="s">
        <v>95</v>
      </c>
      <c r="F4048" s="6" t="n">
        <f aca="false">Sens!F3943*(al_m365+Sens!F4047)</f>
        <v>80.1399053035701</v>
      </c>
      <c r="G4048" s="6" t="n">
        <f aca="false">Sens!G3943*(al_m365+Sens!G4047)</f>
        <v>91.841985451209</v>
      </c>
      <c r="H4048" s="6" t="n">
        <f aca="false">Sens!H3943*(al_m365+Sens!H4047)</f>
        <v>103.703573124968</v>
      </c>
      <c r="I4048" s="6" t="n">
        <f aca="false">Sens!I3943*(al_m365+Sens!I4047)</f>
        <v>114.609076152602</v>
      </c>
      <c r="J4048" s="6" t="n">
        <f aca="false">Sens!J3943*(al_m365+Sens!J4047)</f>
        <v>124.383463395956</v>
      </c>
      <c r="K4048" s="6" t="n">
        <f aca="false">Sens!K3943*(al_m365+Sens!K4047)</f>
        <v>133.80044142463</v>
      </c>
    </row>
    <row r="4049" customFormat="false" ht="17.15" hidden="false" customHeight="false" outlineLevel="0" collapsed="false">
      <c r="A4049" s="0" t="s">
        <v>950</v>
      </c>
      <c r="B4049" s="0" t="s">
        <v>95</v>
      </c>
      <c r="F4049" s="6" t="n">
        <f aca="false">Sens!F3944*(al_lic+Sens!F4047)</f>
        <v>32.1975118206335</v>
      </c>
      <c r="G4049" s="6" t="n">
        <f aca="false">Sens!G3944*(al_lic+Sens!G4047)</f>
        <v>33.4024362157206</v>
      </c>
      <c r="H4049" s="6" t="n">
        <f aca="false">Sens!H3944*(al_lic+Sens!H4047)</f>
        <v>34.5330022115766</v>
      </c>
      <c r="I4049" s="6" t="n">
        <f aca="false">Sens!I3944*(al_lic+Sens!I4047)</f>
        <v>35.5709462054417</v>
      </c>
      <c r="J4049" s="6" t="n">
        <f aca="false">Sens!J3944*(al_lic+Sens!J4047)</f>
        <v>36.4900320593484</v>
      </c>
      <c r="K4049" s="6" t="n">
        <f aca="false">Sens!K3944*(al_lic+Sens!K4047)</f>
        <v>37.2607067131328</v>
      </c>
    </row>
    <row r="4050" customFormat="false" ht="17.15" hidden="false" customHeight="false" outlineLevel="0" collapsed="false">
      <c r="A4050" s="0" t="s">
        <v>951</v>
      </c>
      <c r="B4050" s="0" t="s">
        <v>95</v>
      </c>
      <c r="F4050" s="6" t="n">
        <f aca="false">Sens!F3946*(al_ind+Sens!F4047)</f>
        <v>8.36281065567274</v>
      </c>
      <c r="G4050" s="6" t="n">
        <f aca="false">Sens!G3946*(al_ind+Sens!G4047)</f>
        <v>9.04650189542675</v>
      </c>
      <c r="H4050" s="6" t="n">
        <f aca="false">Sens!H3946*(al_ind+Sens!H4047)</f>
        <v>9.77544612487092</v>
      </c>
      <c r="I4050" s="6" t="n">
        <f aca="false">Sens!I3946*(al_ind+Sens!I4047)</f>
        <v>10.5473206693347</v>
      </c>
      <c r="J4050" s="6" t="n">
        <f aca="false">Sens!J3946*(al_ind+Sens!J4047)</f>
        <v>11.3528145869844</v>
      </c>
      <c r="K4050" s="6" t="n">
        <f aca="false">Sens!K3946*(al_ind+Sens!K4047)</f>
        <v>12.177201004105</v>
      </c>
    </row>
    <row r="4051" customFormat="false" ht="17.15" hidden="false" customHeight="false" outlineLevel="0" collapsed="false">
      <c r="A4051" s="0" t="s">
        <v>952</v>
      </c>
      <c r="B4051" s="0" t="s">
        <v>95</v>
      </c>
      <c r="F4051" s="6" t="n">
        <f aca="false">Sens!F3948*(al_fro+Sens!F4047)</f>
        <v>3.29163163423624</v>
      </c>
      <c r="G4051" s="6" t="n">
        <f aca="false">Sens!G3948*(al_fro+Sens!G4047)</f>
        <v>3.47332188351325</v>
      </c>
      <c r="H4051" s="6" t="n">
        <f aca="false">Sens!H3948*(al_fro+Sens!H4047)</f>
        <v>3.68372268945977</v>
      </c>
      <c r="I4051" s="6" t="n">
        <f aca="false">Sens!I3948*(al_fro+Sens!I4047)</f>
        <v>3.9252834823954</v>
      </c>
      <c r="J4051" s="6" t="n">
        <f aca="false">Sens!J3948*(al_fro+Sens!J4047)</f>
        <v>4.19870712212187</v>
      </c>
      <c r="K4051" s="6" t="n">
        <f aca="false">Sens!K3948*(al_fro+Sens!K4047)</f>
        <v>4.50359690028429</v>
      </c>
    </row>
    <row r="4052" customFormat="false" ht="17.15" hidden="false" customHeight="false" outlineLevel="0" collapsed="false">
      <c r="A4052" s="0" t="s">
        <v>953</v>
      </c>
      <c r="B4052" s="0" t="s">
        <v>95</v>
      </c>
      <c r="F4052" s="6" t="n">
        <f aca="false">Sens!F3951*(al_srch+Sens!F4047)</f>
        <v>10.3281919860787</v>
      </c>
      <c r="G4052" s="6" t="n">
        <f aca="false">Sens!G3951*(al_srch+Sens!G4047)</f>
        <v>11.2779779971027</v>
      </c>
      <c r="H4052" s="6" t="n">
        <f aca="false">Sens!H3951*(al_srch+Sens!H4047)</f>
        <v>12.2734273215236</v>
      </c>
      <c r="I4052" s="6" t="n">
        <f aca="false">Sens!I3951*(al_srch+Sens!I4047)</f>
        <v>13.3056859484954</v>
      </c>
      <c r="J4052" s="6" t="n">
        <f aca="false">Sens!J3951*(al_srch+Sens!J4047)</f>
        <v>14.3561625696765</v>
      </c>
      <c r="K4052" s="6" t="n">
        <f aca="false">Sens!K3951*(al_srch+Sens!K4047)</f>
        <v>15.3986375730104</v>
      </c>
    </row>
    <row r="4053" customFormat="false" ht="17.15" hidden="false" customHeight="false" outlineLevel="0" collapsed="false">
      <c r="A4053" s="0" t="s">
        <v>954</v>
      </c>
      <c r="B4053" s="0" t="s">
        <v>95</v>
      </c>
      <c r="F4053" s="6" t="n">
        <f aca="false">Sens!F3920</f>
        <v>39.4594407491938</v>
      </c>
      <c r="G4053" s="6" t="n">
        <f aca="false">Sens!G3920</f>
        <v>66.5527545578061</v>
      </c>
      <c r="H4053" s="6" t="n">
        <f aca="false">Sens!H3920</f>
        <v>95.219644983859</v>
      </c>
      <c r="I4053" s="6" t="n">
        <f aca="false">Sens!I3920</f>
        <v>124.031840462493</v>
      </c>
      <c r="J4053" s="6" t="n">
        <f aca="false">Sens!J3920</f>
        <v>152.919994097909</v>
      </c>
      <c r="K4053" s="6" t="n">
        <f aca="false">Sens!K3920</f>
        <v>181.852830263848</v>
      </c>
    </row>
    <row r="4054" customFormat="false" ht="17.15" hidden="false" customHeight="false" outlineLevel="0" collapsed="false">
      <c r="A4054" s="0" t="s">
        <v>955</v>
      </c>
      <c r="B4054" s="0" t="s">
        <v>95</v>
      </c>
      <c r="F4054" s="6" t="n">
        <f aca="false">Sens!F3980+Sens!F3931+Sens!F4047*(Sens!F3950-Sens!F3914)</f>
        <v>210.515066258975</v>
      </c>
      <c r="G4054" s="6" t="n">
        <f aca="false">Sens!G3980+Sens!G3931+Sens!G4047*(Sens!G3950-Sens!G3914)</f>
        <v>257.190479129081</v>
      </c>
      <c r="H4054" s="6" t="n">
        <f aca="false">Sens!H3980+Sens!H3931+Sens!H4047*(Sens!H3950-Sens!H3914)</f>
        <v>305.674981616662</v>
      </c>
      <c r="I4054" s="6" t="n">
        <f aca="false">Sens!I3980+Sens!I3931+Sens!I4047*(Sens!I3950-Sens!I3914)</f>
        <v>353.193010545614</v>
      </c>
      <c r="J4054" s="6" t="n">
        <f aca="false">Sens!J3980+Sens!J3931+Sens!J4047*(Sens!J3950-Sens!J3914)</f>
        <v>398.875691989183</v>
      </c>
      <c r="K4054" s="6" t="n">
        <f aca="false">Sens!K3980+Sens!K3931+Sens!K4047*(Sens!K3950-Sens!K3914)</f>
        <v>442.711275341175</v>
      </c>
    </row>
    <row r="4055" customFormat="false" ht="17.15" hidden="false" customHeight="false" outlineLevel="0" collapsed="false">
      <c r="A4055" s="0" t="s">
        <v>956</v>
      </c>
      <c r="B4055" s="0" t="s">
        <v>95</v>
      </c>
      <c r="F4055" s="6" t="n">
        <f aca="false">Sens!F4054-Sens!F4048-Sens!F4049-Sens!F4050-Sens!F4051-Sens!F4053</f>
        <v>47.063766095669</v>
      </c>
      <c r="G4055" s="6" t="n">
        <f aca="false">Sens!G4054-Sens!G4048-Sens!G4049-Sens!G4050-Sens!G4051-Sens!G4053</f>
        <v>52.8734791254057</v>
      </c>
      <c r="H4055" s="6" t="n">
        <f aca="false">Sens!H4054-Sens!H4048-Sens!H4049-Sens!H4050-Sens!H4051-Sens!H4053</f>
        <v>58.7595924819283</v>
      </c>
      <c r="I4055" s="6" t="n">
        <f aca="false">Sens!I4054-Sens!I4048-Sens!I4049-Sens!I4050-Sens!I4051-Sens!I4053</f>
        <v>64.508543573347</v>
      </c>
      <c r="J4055" s="6" t="n">
        <f aca="false">Sens!J4054-Sens!J4048-Sens!J4049-Sens!J4050-Sens!J4051-Sens!J4053</f>
        <v>69.5306807268628</v>
      </c>
      <c r="K4055" s="6" t="n">
        <f aca="false">Sens!K4054-Sens!K4048-Sens!K4049-Sens!K4050-Sens!K4051-Sens!K4053</f>
        <v>73.1164990351755</v>
      </c>
    </row>
    <row r="4056" customFormat="false" ht="17.15" hidden="false" customHeight="false" outlineLevel="0" collapsed="false">
      <c r="A4056" s="0" t="s">
        <v>957</v>
      </c>
      <c r="B4056" s="0" t="s">
        <v>95</v>
      </c>
      <c r="F4056" s="6" t="n">
        <f aca="false">Sens!F3982+Sens!F4047*Sens!F3957</f>
        <v>24.1194548287953</v>
      </c>
      <c r="G4056" s="6" t="n">
        <f aca="false">Sens!G3982+Sens!G4047*Sens!G3957</f>
        <v>24.5928079893158</v>
      </c>
      <c r="H4056" s="6" t="n">
        <f aca="false">Sens!H3982+Sens!H4047*Sens!H3957</f>
        <v>25.3306998538541</v>
      </c>
      <c r="I4056" s="6" t="n">
        <f aca="false">Sens!I3982+Sens!I4047*Sens!I3957</f>
        <v>26.3029452670577</v>
      </c>
      <c r="J4056" s="6" t="n">
        <f aca="false">Sens!J3982+Sens!J4047*Sens!J3957</f>
        <v>27.4734435480149</v>
      </c>
      <c r="K4056" s="6" t="n">
        <f aca="false">Sens!K3982+Sens!K4047*Sens!K3957</f>
        <v>28.804266401667</v>
      </c>
    </row>
    <row r="4057" customFormat="false" ht="17.15" hidden="false" customHeight="false" outlineLevel="0" collapsed="false">
      <c r="A4057" s="0" t="s">
        <v>958</v>
      </c>
      <c r="B4057" s="0" t="s">
        <v>95</v>
      </c>
      <c r="F4057" s="6" t="n">
        <f aca="false">(Sens!F4056-Sens!F4052)*Sens!F3953/(Sens!F3953+Sens!F3955)</f>
        <v>7.56023596542352</v>
      </c>
      <c r="G4057" s="6" t="n">
        <f aca="false">(Sens!G4056-Sens!G4052)*Sens!G3953/(Sens!G3953+Sens!G3955)</f>
        <v>7.16891833401088</v>
      </c>
      <c r="H4057" s="6" t="n">
        <f aca="false">(Sens!H4056-Sens!H4052)*Sens!H3953/(Sens!H3953+Sens!H3955)</f>
        <v>6.9352783960555</v>
      </c>
      <c r="I4057" s="6" t="n">
        <f aca="false">(Sens!I4056-Sens!I4052)*Sens!I3953/(Sens!I3953+Sens!I3955)</f>
        <v>6.84094072355759</v>
      </c>
      <c r="J4057" s="6" t="n">
        <f aca="false">(Sens!J4056-Sens!J4052)*Sens!J3953/(Sens!J3953+Sens!J3955)</f>
        <v>6.87289244226796</v>
      </c>
      <c r="K4057" s="6" t="n">
        <f aca="false">(Sens!K4056-Sens!K4052)*Sens!K3953/(Sens!K3953+Sens!K3955)</f>
        <v>7.02397434441438</v>
      </c>
    </row>
    <row r="4058" customFormat="false" ht="17.15" hidden="false" customHeight="false" outlineLevel="0" collapsed="false">
      <c r="A4058" s="0" t="s">
        <v>959</v>
      </c>
      <c r="B4058" s="0" t="s">
        <v>95</v>
      </c>
      <c r="F4058" s="6" t="n">
        <f aca="false">Sens!F4056-Sens!F4052-Sens!F4057</f>
        <v>6.23102687729307</v>
      </c>
      <c r="G4058" s="6" t="n">
        <f aca="false">Sens!G4056-Sens!G4052-Sens!G4057</f>
        <v>6.14591165820221</v>
      </c>
      <c r="H4058" s="6" t="n">
        <f aca="false">Sens!H4056-Sens!H4052-Sens!H4057</f>
        <v>6.12199413627503</v>
      </c>
      <c r="I4058" s="6" t="n">
        <f aca="false">Sens!I4056-Sens!I4052-Sens!I4057</f>
        <v>6.15631859500467</v>
      </c>
      <c r="J4058" s="6" t="n">
        <f aca="false">Sens!J4056-Sens!J4052-Sens!J4057</f>
        <v>6.24438853607044</v>
      </c>
      <c r="K4058" s="6" t="n">
        <f aca="false">Sens!K4056-Sens!K4052-Sens!K4057</f>
        <v>6.38165448424225</v>
      </c>
    </row>
    <row r="4059" customFormat="false" ht="17.15" hidden="false" customHeight="false" outlineLevel="0" collapsed="false">
      <c r="A4059" s="1" t="s">
        <v>960</v>
      </c>
      <c r="B4059" s="0" t="s">
        <v>95</v>
      </c>
      <c r="C4059" s="6" t="n">
        <f aca="false">(w_ntm28*Sens!G4053+(1-w_ntm28)*Sens!H4053)*m_ai*1</f>
        <v>454.922440830797</v>
      </c>
    </row>
    <row r="4060" customFormat="false" ht="17.15" hidden="false" customHeight="false" outlineLevel="0" collapsed="false">
      <c r="A4060" s="1" t="s">
        <v>961</v>
      </c>
      <c r="B4060" s="0" t="s">
        <v>95</v>
      </c>
      <c r="C4060" s="6" t="n">
        <f aca="false">(w_ntm28*Sens!G4055+(1-w_ntm28)*Sens!H4055)*m_cloud*1</f>
        <v>757.009668409772</v>
      </c>
    </row>
    <row r="4061" customFormat="false" ht="17.15" hidden="false" customHeight="false" outlineLevel="0" collapsed="false">
      <c r="A4061" s="1" t="s">
        <v>962</v>
      </c>
      <c r="B4061" s="0" t="s">
        <v>95</v>
      </c>
      <c r="C4061" s="6" t="n">
        <f aca="false">(w_ntm28*Sens!G4048+(1-w_ntm28)*Sens!H4048)*m_sw*1</f>
        <v>1033.30825747974</v>
      </c>
    </row>
    <row r="4062" customFormat="false" ht="17.15" hidden="false" customHeight="false" outlineLevel="0" collapsed="false">
      <c r="A4062" s="1" t="s">
        <v>963</v>
      </c>
      <c r="B4062" s="0" t="s">
        <v>95</v>
      </c>
      <c r="C4062" s="6" t="n">
        <f aca="false">(w_ntm28*Sens!G4049+(1-w_ntm28)*Sens!H4049)*m_sw*1</f>
        <v>364.693690047917</v>
      </c>
    </row>
    <row r="4063" customFormat="false" ht="17.15" hidden="false" customHeight="false" outlineLevel="0" collapsed="false">
      <c r="A4063" s="1" t="s">
        <v>964</v>
      </c>
      <c r="B4063" s="0" t="s">
        <v>95</v>
      </c>
      <c r="C4063" s="6" t="n">
        <f aca="false">(w_ntm28*Sens!G4050+(1-w_ntm28)*Sens!H4050)*m_sw*1</f>
        <v>100.247334240482</v>
      </c>
    </row>
    <row r="4064" customFormat="false" ht="17.15" hidden="false" customHeight="false" outlineLevel="0" collapsed="false">
      <c r="A4064" s="1" t="s">
        <v>965</v>
      </c>
      <c r="B4064" s="0" t="s">
        <v>95</v>
      </c>
      <c r="C4064" s="6" t="n">
        <f aca="false">(w_ntm28*Sens!G4051+(1-w_ntm28)*Sens!H4051)*m_sw*1</f>
        <v>38.2464921970068</v>
      </c>
    </row>
    <row r="4065" customFormat="false" ht="17.15" hidden="false" customHeight="false" outlineLevel="0" collapsed="false">
      <c r="A4065" s="1" t="s">
        <v>966</v>
      </c>
      <c r="B4065" s="0" t="s">
        <v>95</v>
      </c>
      <c r="C4065" s="6" t="n">
        <f aca="false">(w_ntm28*Sens!G4052+(1-w_ntm28)*Sens!H4052)*m_ads*1</f>
        <v>105.674127813238</v>
      </c>
    </row>
    <row r="4066" customFormat="false" ht="17.15" hidden="false" customHeight="false" outlineLevel="0" collapsed="false">
      <c r="A4066" s="1" t="s">
        <v>967</v>
      </c>
      <c r="B4066" s="0" t="s">
        <v>95</v>
      </c>
      <c r="C4066" s="6" t="n">
        <f aca="false">(w_ntm28*Sens!G4057+(1-w_ntm28)*Sens!H4057)*m_game*1</f>
        <v>89.5894578869617</v>
      </c>
    </row>
    <row r="4067" customFormat="false" ht="17.15" hidden="false" customHeight="false" outlineLevel="0" collapsed="false">
      <c r="A4067" s="1" t="s">
        <v>968</v>
      </c>
      <c r="B4067" s="0" t="s">
        <v>95</v>
      </c>
      <c r="C4067" s="6" t="n">
        <f aca="false">(w_ntm28*Sens!G4058+(1-w_ntm28)*Sens!H4058)*m_pc*1</f>
        <v>88.8194561818852</v>
      </c>
    </row>
    <row r="4068" customFormat="false" ht="17.15" hidden="false" customHeight="false" outlineLevel="0" collapsed="false">
      <c r="A4068" s="1" t="s">
        <v>969</v>
      </c>
      <c r="B4068" s="0" t="s">
        <v>95</v>
      </c>
      <c r="C4068" s="6" t="n">
        <f aca="false">Sens!$C$4059+Sens!$C$4060+Sens!$C$4061+Sens!$C$4062+Sens!$C$4063+Sens!$C$4064+Sens!$C$4065+Sens!$C$4066+Sens!$C$4067</f>
        <v>3032.5109250878</v>
      </c>
    </row>
    <row r="4069" customFormat="false" ht="17.15" hidden="false" customHeight="false" outlineLevel="0" collapsed="false">
      <c r="A4069" s="1" t="s">
        <v>903</v>
      </c>
      <c r="B4069" s="0" t="s">
        <v>95</v>
      </c>
      <c r="C4069" s="6" t="n">
        <f aca="false">Sens!F4026+oai_v-Sens!F4015</f>
        <v>110.267940474905</v>
      </c>
      <c r="L4069" s="1" t="s">
        <v>970</v>
      </c>
    </row>
    <row r="4070" customFormat="false" ht="15" hidden="false" customHeight="false" outlineLevel="0" collapsed="false">
      <c r="A4070" s="1" t="s">
        <v>904</v>
      </c>
      <c r="B4070" s="0" t="s">
        <v>73</v>
      </c>
      <c r="C4070" s="5" t="n">
        <f aca="false">(Sens!$C$4068+Sens!$C$4069)/Sens!F4028</f>
        <v>420.607449887942</v>
      </c>
    </row>
    <row r="4071" customFormat="false" ht="17.15" hidden="false" customHeight="false" outlineLevel="0" collapsed="false">
      <c r="A4071" s="1" t="s">
        <v>971</v>
      </c>
      <c r="B4071" s="0" t="s">
        <v>73</v>
      </c>
      <c r="C4071" s="5" t="n">
        <f aca="false">w_dcf*Sens!$C$4046+(1-w_dcf)*Sens!$C$4070</f>
        <v>338.774175490362</v>
      </c>
    </row>
    <row r="4072" customFormat="false" ht="17.15" hidden="false" customHeight="false" outlineLevel="0" collapsed="false">
      <c r="A4072" s="3" t="s">
        <v>1229</v>
      </c>
    </row>
    <row r="4073" customFormat="false" ht="15" hidden="false" customHeight="false" outlineLevel="0" collapsed="false">
      <c r="A4073" s="4" t="s">
        <v>43</v>
      </c>
      <c r="B4073" s="4" t="s">
        <v>63</v>
      </c>
      <c r="C4073" s="19" t="s">
        <v>710</v>
      </c>
      <c r="D4073" s="19" t="s">
        <v>711</v>
      </c>
      <c r="E4073" s="19" t="s">
        <v>712</v>
      </c>
      <c r="F4073" s="19" t="s">
        <v>713</v>
      </c>
      <c r="G4073" s="19" t="s">
        <v>714</v>
      </c>
      <c r="H4073" s="19" t="s">
        <v>715</v>
      </c>
      <c r="I4073" s="19" t="s">
        <v>716</v>
      </c>
      <c r="J4073" s="19" t="s">
        <v>717</v>
      </c>
      <c r="K4073" s="19" t="s">
        <v>718</v>
      </c>
      <c r="L4073" s="4" t="s">
        <v>47</v>
      </c>
    </row>
    <row r="4074" customFormat="false" ht="17.15" hidden="false" customHeight="false" outlineLevel="0" collapsed="false">
      <c r="A4074" s="1" t="s">
        <v>719</v>
      </c>
      <c r="B4074" s="0" t="s">
        <v>340</v>
      </c>
      <c r="C4074" s="27" t="n">
        <f aca="false">mw_ext_24</f>
        <v>640</v>
      </c>
      <c r="D4074" s="27" t="n">
        <f aca="false">mw_ext_25</f>
        <v>1630</v>
      </c>
      <c r="E4074" s="27" t="n">
        <f aca="false">mw_ext_26</f>
        <v>3250</v>
      </c>
      <c r="F4074" s="27" t="n">
        <f aca="false">MIN(1000000000,Sens!E4074+pace)</f>
        <v>5777.2</v>
      </c>
      <c r="G4074" s="27" t="n">
        <f aca="false">MIN(1000000000,Sens!F4074+pace)</f>
        <v>8304.4</v>
      </c>
      <c r="H4074" s="27" t="n">
        <f aca="false">MIN(1000000000,Sens!G4074+pace)</f>
        <v>10831.6</v>
      </c>
      <c r="I4074" s="27" t="n">
        <f aca="false">MIN(1000000000,Sens!H4074+pace)</f>
        <v>13358.8</v>
      </c>
      <c r="J4074" s="27" t="n">
        <f aca="false">MIN(1000000000,Sens!I4074+pace)</f>
        <v>15886</v>
      </c>
      <c r="K4074" s="27" t="n">
        <f aca="false">MIN(1000000000,Sens!J4074+pace)</f>
        <v>18413.2</v>
      </c>
      <c r="L4074" s="11" t="s">
        <v>720</v>
      </c>
    </row>
    <row r="4075" customFormat="false" ht="17.15" hidden="false" customHeight="false" outlineLevel="0" collapsed="false">
      <c r="A4075" s="1" t="s">
        <v>721</v>
      </c>
      <c r="B4075" s="0" t="s">
        <v>340</v>
      </c>
      <c r="C4075" s="27" t="n">
        <f aca="false">rent_ext_24</f>
        <v>150</v>
      </c>
      <c r="D4075" s="27" t="n">
        <f aca="false">rent_ext_25</f>
        <v>400</v>
      </c>
      <c r="E4075" s="27" t="n">
        <f aca="false">rent_ext_26</f>
        <v>550</v>
      </c>
      <c r="F4075" s="27" t="n">
        <f aca="false">rent_ext_f</f>
        <v>756</v>
      </c>
      <c r="G4075" s="27" t="n">
        <f aca="false">rent_ext_f</f>
        <v>756</v>
      </c>
      <c r="H4075" s="27" t="n">
        <f aca="false">rent_ext_f</f>
        <v>756</v>
      </c>
      <c r="I4075" s="27" t="n">
        <f aca="false">rent_ext_f</f>
        <v>756</v>
      </c>
      <c r="J4075" s="27" t="n">
        <f aca="false">rent_ext_f</f>
        <v>756</v>
      </c>
      <c r="K4075" s="27" t="n">
        <f aca="false">rent_ext_f</f>
        <v>756</v>
      </c>
      <c r="L4075" s="1" t="s">
        <v>722</v>
      </c>
    </row>
    <row r="4076" customFormat="false" ht="17.15" hidden="false" customHeight="false" outlineLevel="0" collapsed="false">
      <c r="A4076" s="1" t="s">
        <v>723</v>
      </c>
      <c r="B4076" s="0" t="s">
        <v>340</v>
      </c>
      <c r="C4076" s="27" t="n">
        <f aca="false">Sens!C4074-Sens!C4075</f>
        <v>490</v>
      </c>
      <c r="D4076" s="27" t="n">
        <f aca="false">Sens!D4074-Sens!D4075</f>
        <v>1230</v>
      </c>
      <c r="E4076" s="27" t="n">
        <f aca="false">Sens!E4074-Sens!E4075</f>
        <v>2700</v>
      </c>
      <c r="F4076" s="27" t="n">
        <f aca="false">Sens!F4074-Sens!F4075</f>
        <v>5021.2</v>
      </c>
      <c r="G4076" s="27" t="n">
        <f aca="false">Sens!G4074-Sens!G4075</f>
        <v>7548.4</v>
      </c>
      <c r="H4076" s="27" t="n">
        <f aca="false">Sens!H4074-Sens!H4075</f>
        <v>10075.6</v>
      </c>
      <c r="I4076" s="27" t="n">
        <f aca="false">Sens!I4074-Sens!I4075</f>
        <v>12602.8</v>
      </c>
      <c r="J4076" s="27" t="n">
        <f aca="false">Sens!J4074-Sens!J4075</f>
        <v>15130</v>
      </c>
      <c r="K4076" s="27" t="n">
        <f aca="false">Sens!K4074-Sens!K4075</f>
        <v>17657.2</v>
      </c>
    </row>
    <row r="4077" customFormat="false" ht="17.15" hidden="false" customHeight="false" outlineLevel="0" collapsed="false">
      <c r="A4077" s="1" t="s">
        <v>724</v>
      </c>
      <c r="B4077" s="0" t="s">
        <v>340</v>
      </c>
      <c r="C4077" s="27" t="n">
        <f aca="false">Sens!C4076/ext_sh</f>
        <v>816.666666666667</v>
      </c>
      <c r="D4077" s="27" t="n">
        <f aca="false">Sens!D4076/ext_sh</f>
        <v>2050</v>
      </c>
      <c r="E4077" s="27" t="n">
        <f aca="false">Sens!E4076/ext_sh</f>
        <v>4500</v>
      </c>
      <c r="F4077" s="27" t="n">
        <f aca="false">Sens!F4076/ext_sh</f>
        <v>8368.66666666667</v>
      </c>
      <c r="G4077" s="27" t="n">
        <f aca="false">Sens!G4076/ext_sh</f>
        <v>12580.6666666667</v>
      </c>
      <c r="H4077" s="27" t="n">
        <f aca="false">Sens!H4076/ext_sh</f>
        <v>16792.6666666667</v>
      </c>
      <c r="I4077" s="27" t="n">
        <f aca="false">Sens!I4076/ext_sh</f>
        <v>21004.6666666667</v>
      </c>
      <c r="J4077" s="27" t="n">
        <f aca="false">Sens!J4076/ext_sh</f>
        <v>25216.6666666667</v>
      </c>
      <c r="K4077" s="27" t="n">
        <f aca="false">Sens!K4076/ext_sh</f>
        <v>29428.6666666667</v>
      </c>
      <c r="L4077" s="1" t="s">
        <v>725</v>
      </c>
    </row>
    <row r="4078" customFormat="false" ht="17.15" hidden="false" customHeight="false" outlineLevel="0" collapsed="false">
      <c r="A4078" s="1" t="s">
        <v>726</v>
      </c>
      <c r="B4078" s="0" t="s">
        <v>340</v>
      </c>
      <c r="C4078" s="27" t="n">
        <f aca="false">Sens!C4077-Sens!C4076</f>
        <v>326.666666666667</v>
      </c>
      <c r="D4078" s="27" t="n">
        <f aca="false">Sens!D4077-Sens!D4076</f>
        <v>820</v>
      </c>
      <c r="E4078" s="27" t="n">
        <f aca="false">Sens!E4077-Sens!E4076</f>
        <v>1800</v>
      </c>
      <c r="F4078" s="27" t="n">
        <f aca="false">Sens!F4077-Sens!F4076</f>
        <v>3347.46666666667</v>
      </c>
      <c r="G4078" s="27" t="n">
        <f aca="false">Sens!G4077-Sens!G4076</f>
        <v>5032.26666666667</v>
      </c>
      <c r="H4078" s="27" t="n">
        <f aca="false">Sens!H4077-Sens!H4076</f>
        <v>6717.06666666667</v>
      </c>
      <c r="I4078" s="27" t="n">
        <f aca="false">Sens!I4077-Sens!I4076</f>
        <v>8401.86666666667</v>
      </c>
      <c r="J4078" s="27" t="n">
        <f aca="false">Sens!J4077-Sens!J4076</f>
        <v>10086.6666666667</v>
      </c>
      <c r="K4078" s="27" t="n">
        <f aca="false">Sens!K4077-Sens!K4076</f>
        <v>11771.4666666667</v>
      </c>
    </row>
    <row r="4079" customFormat="false" ht="17.15" hidden="false" customHeight="false" outlineLevel="0" collapsed="false">
      <c r="A4079" s="1" t="s">
        <v>727</v>
      </c>
      <c r="B4079" s="0" t="s">
        <v>340</v>
      </c>
      <c r="C4079" s="27" t="n">
        <f aca="false">Sens!C4077</f>
        <v>816.666666666667</v>
      </c>
      <c r="D4079" s="27" t="n">
        <f aca="false">Sens!D4077-Sens!C4077</f>
        <v>1233.33333333333</v>
      </c>
      <c r="E4079" s="27" t="n">
        <f aca="false">Sens!E4077-Sens!D4077</f>
        <v>2450</v>
      </c>
      <c r="F4079" s="27" t="n">
        <f aca="false">Sens!F4077-Sens!E4077</f>
        <v>3868.66666666667</v>
      </c>
      <c r="G4079" s="27" t="n">
        <f aca="false">Sens!G4077-Sens!F4077</f>
        <v>4212</v>
      </c>
      <c r="H4079" s="27" t="n">
        <f aca="false">Sens!H4077-Sens!G4077</f>
        <v>4212</v>
      </c>
      <c r="I4079" s="27" t="n">
        <f aca="false">Sens!I4077-Sens!H4077</f>
        <v>4212</v>
      </c>
      <c r="J4079" s="27" t="n">
        <f aca="false">Sens!J4077-Sens!I4077</f>
        <v>4212</v>
      </c>
      <c r="K4079" s="27" t="n">
        <f aca="false">Sens!K4077-Sens!J4077</f>
        <v>4212</v>
      </c>
    </row>
    <row r="4080" customFormat="false" ht="17.15" hidden="false" customHeight="false" outlineLevel="0" collapsed="false">
      <c r="A4080" s="1" t="s">
        <v>728</v>
      </c>
      <c r="B4080" s="0" t="s">
        <v>340</v>
      </c>
      <c r="D4080" s="27" t="n">
        <f aca="false">Sens!D4074-Sens!C4074</f>
        <v>990</v>
      </c>
      <c r="E4080" s="27" t="n">
        <f aca="false">Sens!E4074-Sens!D4074</f>
        <v>1620</v>
      </c>
      <c r="F4080" s="27" t="n">
        <f aca="false">Sens!F4074-Sens!E4074</f>
        <v>2527.2</v>
      </c>
      <c r="G4080" s="27" t="n">
        <f aca="false">Sens!G4074-Sens!F4074</f>
        <v>2527.2</v>
      </c>
      <c r="H4080" s="27" t="n">
        <f aca="false">Sens!H4074-Sens!G4074</f>
        <v>2527.2</v>
      </c>
      <c r="I4080" s="27" t="n">
        <f aca="false">Sens!I4074-Sens!H4074</f>
        <v>2527.2</v>
      </c>
      <c r="J4080" s="27" t="n">
        <f aca="false">Sens!J4074-Sens!I4074</f>
        <v>2527.2</v>
      </c>
      <c r="K4080" s="27" t="n">
        <f aca="false">Sens!K4074-Sens!J4074</f>
        <v>2527.2</v>
      </c>
    </row>
    <row r="4081" customFormat="false" ht="17.15" hidden="false" customHeight="false" outlineLevel="0" collapsed="false">
      <c r="A4081" s="1" t="s">
        <v>729</v>
      </c>
      <c r="B4081" s="0" t="s">
        <v>340</v>
      </c>
      <c r="C4081" s="27" t="n">
        <f aca="false">mix_h*Sens!C4074</f>
        <v>128</v>
      </c>
      <c r="D4081" s="27" t="n">
        <f aca="false">mix_h*Sens!D4074</f>
        <v>326</v>
      </c>
      <c r="E4081" s="27" t="n">
        <f aca="false">mix_h*Sens!E4074</f>
        <v>650</v>
      </c>
      <c r="F4081" s="27" t="n">
        <f aca="false">Sens!E4081</f>
        <v>650</v>
      </c>
      <c r="G4081" s="27" t="n">
        <f aca="false">Sens!F4081</f>
        <v>650</v>
      </c>
      <c r="H4081" s="27" t="n">
        <f aca="false">Sens!G4081</f>
        <v>650</v>
      </c>
      <c r="I4081" s="27" t="n">
        <f aca="false">Sens!H4081</f>
        <v>650</v>
      </c>
      <c r="J4081" s="27" t="n">
        <f aca="false">Sens!I4081</f>
        <v>650</v>
      </c>
      <c r="K4081" s="27" t="n">
        <f aca="false">Sens!J4081</f>
        <v>650</v>
      </c>
    </row>
    <row r="4082" customFormat="false" ht="17.15" hidden="false" customHeight="false" outlineLevel="0" collapsed="false">
      <c r="A4082" s="1" t="s">
        <v>730</v>
      </c>
      <c r="B4082" s="0" t="s">
        <v>340</v>
      </c>
      <c r="C4082" s="27" t="n">
        <f aca="false">mix_g2*Sens!C4074</f>
        <v>288</v>
      </c>
      <c r="D4082" s="27" t="n">
        <f aca="false">mix_g2*Sens!D4074</f>
        <v>733.5</v>
      </c>
      <c r="E4082" s="27" t="n">
        <f aca="false">mix_g2*Sens!E4074</f>
        <v>1462.5</v>
      </c>
      <c r="F4082" s="27" t="n">
        <f aca="false">Sens!E4082</f>
        <v>1462.5</v>
      </c>
      <c r="G4082" s="27" t="n">
        <f aca="false">Sens!F4082</f>
        <v>1462.5</v>
      </c>
      <c r="H4082" s="27" t="n">
        <f aca="false">Sens!G4082</f>
        <v>1462.5</v>
      </c>
      <c r="I4082" s="27" t="n">
        <f aca="false">Sens!H4082</f>
        <v>1462.5</v>
      </c>
      <c r="J4082" s="27" t="n">
        <f aca="false">Sens!I4082</f>
        <v>1462.5</v>
      </c>
      <c r="K4082" s="27" t="n">
        <f aca="false">Sens!J4082</f>
        <v>1462.5</v>
      </c>
    </row>
    <row r="4083" customFormat="false" ht="17.15" hidden="false" customHeight="false" outlineLevel="0" collapsed="false">
      <c r="A4083" s="1" t="s">
        <v>731</v>
      </c>
      <c r="B4083" s="0" t="s">
        <v>340</v>
      </c>
      <c r="C4083" s="27" t="n">
        <f aca="false">mix_g3*Sens!C4074</f>
        <v>224</v>
      </c>
      <c r="D4083" s="27" t="n">
        <f aca="false">mix_g3*Sens!D4074</f>
        <v>570.5</v>
      </c>
      <c r="E4083" s="27" t="n">
        <f aca="false">mix_g3*Sens!E4074</f>
        <v>1137.5</v>
      </c>
      <c r="F4083" s="27" t="n">
        <f aca="false">Sens!E4083+Sens!F4080*a_g3_27</f>
        <v>2906.54</v>
      </c>
      <c r="G4083" s="27" t="n">
        <f aca="false">Sens!F4083+Sens!G4080*a_g3_28</f>
        <v>3664.7</v>
      </c>
      <c r="H4083" s="27" t="n">
        <f aca="false">Sens!G4083+Sens!H4080*a_g3_29</f>
        <v>3917.42</v>
      </c>
      <c r="I4083" s="27" t="n">
        <f aca="false">Sens!H4083+Sens!I4080*a_g3_29</f>
        <v>4170.14</v>
      </c>
      <c r="J4083" s="27" t="n">
        <f aca="false">Sens!I4083+Sens!J4080*a_g3_29</f>
        <v>4422.86</v>
      </c>
      <c r="K4083" s="27" t="n">
        <f aca="false">Sens!J4083+Sens!K4080*a_g3_29</f>
        <v>4675.58</v>
      </c>
    </row>
    <row r="4084" customFormat="false" ht="17.15" hidden="false" customHeight="false" outlineLevel="0" collapsed="false">
      <c r="A4084" s="1" t="s">
        <v>732</v>
      </c>
      <c r="B4084" s="0" t="s">
        <v>340</v>
      </c>
      <c r="C4084" s="27" t="n">
        <f aca="false">0</f>
        <v>0</v>
      </c>
      <c r="D4084" s="27" t="n">
        <f aca="false">0</f>
        <v>0</v>
      </c>
      <c r="E4084" s="27" t="n">
        <f aca="false">0</f>
        <v>0</v>
      </c>
      <c r="F4084" s="27" t="n">
        <f aca="false">Sens!E4084+Sens!F4080*(1-a_g3_27)</f>
        <v>758.16</v>
      </c>
      <c r="G4084" s="27" t="n">
        <f aca="false">Sens!F4084+Sens!G4080*(1-a_g3_28)</f>
        <v>2527.2</v>
      </c>
      <c r="H4084" s="27" t="n">
        <f aca="false">Sens!G4084+Sens!H4080*(1-a_g3_29)</f>
        <v>4801.68</v>
      </c>
      <c r="I4084" s="27" t="n">
        <f aca="false">Sens!H4084+Sens!I4080*(1-a_g3_29)</f>
        <v>7076.16</v>
      </c>
      <c r="J4084" s="27" t="n">
        <f aca="false">Sens!I4084+Sens!J4080*(1-a_g3_29)</f>
        <v>9350.64</v>
      </c>
      <c r="K4084" s="27" t="n">
        <f aca="false">Sens!J4084+Sens!K4080*(1-a_g3_29)</f>
        <v>11625.12</v>
      </c>
    </row>
    <row r="4085" customFormat="false" ht="17.15" hidden="false" customHeight="false" outlineLevel="0" collapsed="false">
      <c r="A4085" s="1" t="s">
        <v>733</v>
      </c>
      <c r="B4085" s="0" t="s">
        <v>291</v>
      </c>
      <c r="C4085" s="18" t="n">
        <f aca="false">(Sens!C4081*tk_hold_h100+Sens!C4082*tk_hold_gb200+Sens!C4083*tk_hold_gb300+Sens!C4084*tk_hold_vr200)/Sens!C4074</f>
        <v>9.7235358126469</v>
      </c>
      <c r="D4085" s="18" t="n">
        <f aca="false">(Sens!D4081*tk_hold_h100+Sens!D4082*tk_hold_gb200+Sens!D4083*tk_hold_gb300+Sens!D4084*tk_hold_vr200)/Sens!D4074</f>
        <v>9.7235358126469</v>
      </c>
      <c r="E4085" s="18" t="n">
        <f aca="false">(Sens!E4081*tk_hold_h100+Sens!E4082*tk_hold_gb200+Sens!E4083*tk_hold_gb300+Sens!E4084*tk_hold_vr200)/Sens!E4074</f>
        <v>9.7235358126469</v>
      </c>
      <c r="F4085" s="18" t="n">
        <f aca="false">(Sens!F4081*tk_hold_h100+Sens!F4082*tk_hold_gb200+Sens!F4083*tk_hold_gb300+Sens!F4084*tk_hold_vr200)/Sens!F4074</f>
        <v>10.4079573161931</v>
      </c>
      <c r="G4085" s="18" t="n">
        <f aca="false">(Sens!G4081*tk_hold_h100+Sens!G4082*tk_hold_gb200+Sens!G4083*tk_hold_gb300+Sens!G4084*tk_hold_vr200)/Sens!G4074</f>
        <v>10.8388131109316</v>
      </c>
      <c r="H4085" s="18" t="n">
        <f aca="false">(Sens!H4081*tk_hold_h100+Sens!H4082*tk_hold_gb200+Sens!H4083*tk_hold_gb300+Sens!H4084*tk_hold_vr200)/Sens!H4074</f>
        <v>11.1311018388216</v>
      </c>
      <c r="I4085" s="18" t="n">
        <f aca="false">(Sens!I4081*tk_hold_h100+Sens!I4082*tk_hold_gb200+Sens!I4083*tk_hold_gb300+Sens!I4084*tk_hold_vr200)/Sens!I4074</f>
        <v>11.3128009818501</v>
      </c>
      <c r="J4085" s="18" t="n">
        <f aca="false">(Sens!J4081*tk_hold_h100+Sens!J4082*tk_hold_gb200+Sens!J4083*tk_hold_gb300+Sens!J4084*tk_hold_vr200)/Sens!J4074</f>
        <v>11.4366894646418</v>
      </c>
      <c r="K4085" s="18" t="n">
        <f aca="false">(Sens!K4081*tk_hold_h100+Sens!K4082*tk_hold_gb200+Sens!K4083*tk_hold_gb300+Sens!K4084*tk_hold_vr200)/Sens!K4074</f>
        <v>11.526570716348</v>
      </c>
    </row>
    <row r="4086" customFormat="false" ht="17.15" hidden="false" customHeight="false" outlineLevel="0" collapsed="false">
      <c r="A4086" s="0" t="s">
        <v>734</v>
      </c>
      <c r="B4086" s="0" t="s">
        <v>182</v>
      </c>
      <c r="C4086" s="18" t="n">
        <f aca="false">k_B</f>
        <v>1.17213932619116</v>
      </c>
      <c r="D4086" s="18" t="n">
        <f aca="false">k_B</f>
        <v>1.17213932619116</v>
      </c>
      <c r="E4086" s="18" t="n">
        <f aca="false">k_B</f>
        <v>1.17213932619116</v>
      </c>
      <c r="F4086" s="18" t="n">
        <f aca="false">(k_B+((ls_C*k_long+(1-ls_C)*k_spot)-k_B)*MIN(1,1/3))*1</f>
        <v>1.07843258004497</v>
      </c>
      <c r="G4086" s="18" t="n">
        <f aca="false">(k_B+((ls_C*k_long+(1-ls_C)*k_spot)-k_B)*MIN(1,2/3))*1</f>
        <v>0.984725833898784</v>
      </c>
      <c r="H4086" s="18" t="n">
        <f aca="false">(k_B+((ls_C*k_long+(1-ls_C)*k_spot)-k_B)*MIN(1,3/3))*1</f>
        <v>0.891019087752599</v>
      </c>
      <c r="I4086" s="18" t="n">
        <f aca="false">(k_B+((ls_C*k_long+(1-ls_C)*k_spot)-k_B)*MIN(1,4/3))*1</f>
        <v>0.891019087752599</v>
      </c>
      <c r="J4086" s="18" t="n">
        <f aca="false">(k_B+((ls_C*k_long+(1-ls_C)*k_spot)-k_B)*MIN(1,5/3))*1</f>
        <v>0.891019087752599</v>
      </c>
      <c r="K4086" s="18" t="n">
        <f aca="false">(k_B+((ls_C*k_long+(1-ls_C)*k_spot)-k_B)*MIN(1,6/3))*1</f>
        <v>0.891019087752599</v>
      </c>
      <c r="L4086" s="1" t="s">
        <v>735</v>
      </c>
    </row>
    <row r="4087" customFormat="false" ht="17.15" hidden="false" customHeight="false" outlineLevel="0" collapsed="false">
      <c r="A4087" s="1" t="s">
        <v>736</v>
      </c>
      <c r="B4087" s="0" t="s">
        <v>291</v>
      </c>
      <c r="C4087" s="18" t="n">
        <f aca="false">Sens!C4085*Sens!C4086*chip_f</f>
        <v>11.3973387156315</v>
      </c>
      <c r="D4087" s="18" t="n">
        <f aca="false">Sens!D4085*Sens!D4086*chip_f</f>
        <v>11.3973387156315</v>
      </c>
      <c r="E4087" s="18" t="n">
        <f aca="false">Sens!E4085*Sens!E4086*chip_f</f>
        <v>11.3973387156315</v>
      </c>
      <c r="F4087" s="18" t="n">
        <f aca="false">Sens!F4085*Sens!F4086*chip_f</f>
        <v>11.2242802615</v>
      </c>
      <c r="G4087" s="18" t="n">
        <f aca="false">Sens!G4085*Sens!G4086*chip_f</f>
        <v>10.6732592791352</v>
      </c>
      <c r="H4087" s="18" t="n">
        <f aca="false">Sens!H4085*Sens!H4086*chip_f</f>
        <v>9.91802420610807</v>
      </c>
      <c r="I4087" s="18" t="n">
        <f aca="false">Sens!I4085*Sens!I4086*chip_f</f>
        <v>10.0799216107748</v>
      </c>
      <c r="J4087" s="18" t="n">
        <f aca="false">Sens!J4085*Sens!J4086*chip_f</f>
        <v>10.1903086136949</v>
      </c>
      <c r="K4087" s="18" t="n">
        <f aca="false">Sens!K4085*Sens!K4086*chip_f</f>
        <v>10.2703945245962</v>
      </c>
      <c r="L4087" s="1" t="s">
        <v>737</v>
      </c>
    </row>
    <row r="4088" customFormat="false" ht="17.15" hidden="false" customHeight="false" outlineLevel="0" collapsed="false">
      <c r="A4088" s="0" t="s">
        <v>738</v>
      </c>
      <c r="B4088" s="0" t="s">
        <v>95</v>
      </c>
      <c r="D4088" s="6" t="n">
        <f aca="false">(Sens!C4074+Sens!D4074)/2*Sens!D4087/1000</f>
        <v>12.9359794422418</v>
      </c>
      <c r="E4088" s="6" t="n">
        <f aca="false">(Sens!D4074+Sens!E4074)/2*Sens!E4087/1000</f>
        <v>27.8095064661409</v>
      </c>
      <c r="F4088" s="6" t="n">
        <f aca="false">(Sens!E4074+Sens!F4074)/2*Sens!F4087/1000</f>
        <v>50.6619113883066</v>
      </c>
      <c r="G4088" s="6" t="n">
        <f aca="false">(Sens!F4074+Sens!G4074)/2*Sens!G4087/1000</f>
        <v>75.1482839325348</v>
      </c>
      <c r="H4088" s="6" t="n">
        <f aca="false">(Sens!G4074+Sens!H4074)/2*Sens!H4087/1000</f>
        <v>94.895655604042</v>
      </c>
      <c r="I4088" s="6" t="n">
        <f aca="false">(Sens!H4074+Sens!I4074)/2*Sens!I4087/1000</f>
        <v>121.918667866643</v>
      </c>
      <c r="J4088" s="6" t="n">
        <f aca="false">(Sens!I4074+Sens!J4074)/2*Sens!J4087/1000</f>
        <v>149.006768672892</v>
      </c>
      <c r="K4088" s="6" t="n">
        <f aca="false">(Sens!J4074+Sens!K4074)/2*Sens!K4087/1000</f>
        <v>176.133157939015</v>
      </c>
      <c r="L4088" s="11" t="s">
        <v>739</v>
      </c>
    </row>
    <row r="4089" customFormat="false" ht="17.15" hidden="false" customHeight="false" outlineLevel="0" collapsed="false">
      <c r="A4089" s="1" t="s">
        <v>740</v>
      </c>
      <c r="B4089" s="0" t="s">
        <v>291</v>
      </c>
      <c r="C4089" s="18" t="n">
        <f aca="false">(Sens!C4081*tk_opex_h100+Sens!C4082*tk_opex_gb200+Sens!C4083*tk_opex_gb300+Sens!C4084*tk_opex_vr200)/Sens!C4074</f>
        <v>1.88636041306092</v>
      </c>
      <c r="D4089" s="18" t="n">
        <f aca="false">(Sens!D4081*tk_opex_h100+Sens!D4082*tk_opex_gb200+Sens!D4083*tk_opex_gb300+Sens!D4084*tk_opex_vr200)/Sens!D4074</f>
        <v>1.88636041306092</v>
      </c>
      <c r="E4089" s="18" t="n">
        <f aca="false">(Sens!E4081*tk_opex_h100+Sens!E4082*tk_opex_gb200+Sens!E4083*tk_opex_gb300+Sens!E4084*tk_opex_vr200)/Sens!E4074</f>
        <v>1.88636041306092</v>
      </c>
      <c r="F4089" s="18" t="n">
        <f aca="false">(Sens!F4081*tk_opex_h100+Sens!F4082*tk_opex_gb200+Sens!F4083*tk_opex_gb300+Sens!F4084*tk_opex_vr200)/Sens!F4074</f>
        <v>1.9430236476499</v>
      </c>
      <c r="G4089" s="18" t="n">
        <f aca="false">(Sens!G4081*tk_opex_h100+Sens!G4082*tk_opex_gb200+Sens!G4083*tk_opex_gb300+Sens!G4084*tk_opex_vr200)/Sens!G4074</f>
        <v>1.9786941852423</v>
      </c>
      <c r="H4089" s="18" t="n">
        <f aca="false">(Sens!H4081*tk_opex_h100+Sens!H4082*tk_opex_gb200+Sens!H4083*tk_opex_gb300+Sens!H4084*tk_opex_vr200)/Sens!H4074</f>
        <v>2.00289275976156</v>
      </c>
      <c r="I4089" s="18" t="n">
        <f aca="false">(Sens!I4081*tk_opex_h100+Sens!I4082*tk_opex_gb200+Sens!I4083*tk_opex_gb300+Sens!I4084*tk_opex_vr200)/Sens!I4074</f>
        <v>2.01793562605478</v>
      </c>
      <c r="J4089" s="18" t="n">
        <f aca="false">(Sens!J4081*tk_opex_h100+Sens!J4082*tk_opex_gb200+Sens!J4083*tk_opex_gb300+Sens!J4084*tk_opex_vr200)/Sens!J4074</f>
        <v>2.02819234961902</v>
      </c>
      <c r="K4089" s="18" t="n">
        <f aca="false">(Sens!K4081*tk_opex_h100+Sens!K4082*tk_opex_gb200+Sens!K4083*tk_opex_gb300+Sens!K4084*tk_opex_vr200)/Sens!K4074</f>
        <v>2.0356336155994</v>
      </c>
    </row>
    <row r="4090" customFormat="false" ht="17.15" hidden="false" customHeight="false" outlineLevel="0" collapsed="false">
      <c r="A4090" s="0" t="s">
        <v>741</v>
      </c>
      <c r="B4090" s="0" t="s">
        <v>95</v>
      </c>
      <c r="D4090" s="6" t="n">
        <f aca="false">(Sens!C4077+Sens!D4077)/2*Sens!D4089/1000</f>
        <v>2.70378325872065</v>
      </c>
      <c r="E4090" s="6" t="n">
        <f aca="false">(Sens!D4077+Sens!E4077)/2*Sens!E4089/1000</f>
        <v>6.17783035277451</v>
      </c>
      <c r="F4090" s="6" t="n">
        <f aca="false">(Sens!E4077+Sens!F4077)/2*Sens!F4089/1000</f>
        <v>12.5020618235287</v>
      </c>
      <c r="G4090" s="6" t="n">
        <f aca="false">(Sens!F4077+Sens!G4077)/2*Sens!G4089/1000</f>
        <v>20.7261620256847</v>
      </c>
      <c r="H4090" s="6" t="n">
        <f aca="false">(Sens!G4077+Sens!H4077)/2*Sens!H4089/1000</f>
        <v>29.4158183316982</v>
      </c>
      <c r="I4090" s="6" t="n">
        <f aca="false">(Sens!H4077+Sens!I4077)/2*Sens!I4089/1000</f>
        <v>38.1362927516005</v>
      </c>
      <c r="J4090" s="6" t="n">
        <f aca="false">(Sens!I4077+Sens!J4077)/2*Sens!J4089/1000</f>
        <v>46.8728773279286</v>
      </c>
      <c r="K4090" s="6" t="n">
        <f aca="false">(Sens!J4077+Sens!K4077)/2*Sens!K4089/1000</f>
        <v>55.618938734484</v>
      </c>
    </row>
    <row r="4091" customFormat="false" ht="17.15" hidden="false" customHeight="false" outlineLevel="0" collapsed="false">
      <c r="A4091" s="0" t="s">
        <v>742</v>
      </c>
      <c r="B4091" s="0" t="s">
        <v>95</v>
      </c>
      <c r="D4091" s="6" t="n">
        <f aca="false">(Sens!C4075+Sens!D4075)/2*rent_mw/1000</f>
        <v>2.44475</v>
      </c>
      <c r="E4091" s="6" t="n">
        <f aca="false">(Sens!D4075+Sens!E4075)/2*rent_mw/1000</f>
        <v>4.22275</v>
      </c>
      <c r="F4091" s="6" t="n">
        <f aca="false">(Sens!E4075+Sens!F4075)/2*rent_mw/1000</f>
        <v>5.80517</v>
      </c>
      <c r="G4091" s="6" t="n">
        <f aca="false">(Sens!F4075+Sens!G4075)/2*rent_mw/1000</f>
        <v>6.72084</v>
      </c>
      <c r="H4091" s="6" t="n">
        <f aca="false">(Sens!G4075+Sens!H4075)/2*rent_mw/1000</f>
        <v>6.72084</v>
      </c>
      <c r="I4091" s="6" t="n">
        <f aca="false">(Sens!H4075+Sens!I4075)/2*rent_mw/1000</f>
        <v>6.72084</v>
      </c>
      <c r="J4091" s="6" t="n">
        <f aca="false">(Sens!I4075+Sens!J4075)/2*rent_mw/1000</f>
        <v>6.72084</v>
      </c>
      <c r="K4091" s="6" t="n">
        <f aca="false">(Sens!J4075+Sens!K4075)/2*rent_mw/1000</f>
        <v>6.72084</v>
      </c>
    </row>
    <row r="4092" customFormat="false" ht="17.15" hidden="false" customHeight="false" outlineLevel="0" collapsed="false">
      <c r="A4092" s="0" t="s">
        <v>743</v>
      </c>
      <c r="B4092" s="0" t="s">
        <v>95</v>
      </c>
      <c r="D4092" s="6" t="n">
        <f aca="false">(Sens!C4077+Sens!D4077)/2*(1-self_build)*fac_rent/1000</f>
        <v>0.853242375631075</v>
      </c>
      <c r="E4092" s="6" t="n">
        <f aca="false">(Sens!D4077+Sens!E4077)/2*(1-self_build)*fac_rent/1000</f>
        <v>1.94955961408728</v>
      </c>
      <c r="F4092" s="6" t="n">
        <f aca="false">(Sens!E4077+Sens!F4077)/2*(1-self_build)*fac_rent/1000</f>
        <v>3.83026455274573</v>
      </c>
      <c r="G4092" s="6" t="n">
        <f aca="false">(Sens!F4077+Sens!G4077)/2*(1-self_build)*fac_rent/1000</f>
        <v>6.23541590972812</v>
      </c>
      <c r="H4092" s="6" t="n">
        <f aca="false">(Sens!G4077+Sens!H4077)/2*(1-self_build)*fac_rent/1000</f>
        <v>8.74275792332679</v>
      </c>
      <c r="I4092" s="6" t="n">
        <f aca="false">(Sens!H4077+Sens!I4077)/2*(1-self_build)*fac_rent/1000</f>
        <v>11.2500999369255</v>
      </c>
      <c r="J4092" s="6" t="n">
        <f aca="false">(Sens!I4077+Sens!J4077)/2*(1-self_build)*fac_rent/1000</f>
        <v>13.7574419505241</v>
      </c>
      <c r="K4092" s="6" t="n">
        <f aca="false">(Sens!J4077+Sens!K4077)/2*(1-self_build)*fac_rent/1000</f>
        <v>16.2647839641228</v>
      </c>
      <c r="L4092" s="11" t="s">
        <v>744</v>
      </c>
    </row>
    <row r="4093" customFormat="false" ht="17.15" hidden="false" customHeight="false" outlineLevel="0" collapsed="false">
      <c r="A4093" s="1" t="s">
        <v>745</v>
      </c>
      <c r="B4093" s="0" t="s">
        <v>126</v>
      </c>
      <c r="D4093" s="7" t="n">
        <f aca="false">(Sens!C4076+Sens!D4076)/(Sens!C4077+Sens!D4077)</f>
        <v>0.6</v>
      </c>
      <c r="E4093" s="7" t="n">
        <f aca="false">(Sens!D4076+Sens!E4076)/(Sens!D4077+Sens!E4077)</f>
        <v>0.6</v>
      </c>
      <c r="F4093" s="7" t="n">
        <f aca="false">(Sens!E4076+Sens!F4076)/(Sens!E4077+Sens!F4077)</f>
        <v>0.6</v>
      </c>
      <c r="G4093" s="7" t="n">
        <f aca="false">(Sens!F4076+Sens!G4076)/(Sens!F4077+Sens!G4077)</f>
        <v>0.6</v>
      </c>
      <c r="H4093" s="7" t="n">
        <f aca="false">(Sens!G4076+Sens!H4076)/(Sens!G4077+Sens!H4077)</f>
        <v>0.6</v>
      </c>
      <c r="I4093" s="7" t="n">
        <f aca="false">(Sens!H4076+Sens!I4076)/(Sens!H4077+Sens!I4077)</f>
        <v>0.6</v>
      </c>
      <c r="J4093" s="7" t="n">
        <f aca="false">(Sens!I4076+Sens!J4076)/(Sens!I4077+Sens!J4077)</f>
        <v>0.6</v>
      </c>
      <c r="K4093" s="7" t="n">
        <f aca="false">(Sens!J4076+Sens!K4076)/(Sens!J4077+Sens!K4077)</f>
        <v>0.6</v>
      </c>
    </row>
    <row r="4094" customFormat="false" ht="17.15" hidden="false" customHeight="false" outlineLevel="0" collapsed="false">
      <c r="A4094" s="0" t="s">
        <v>746</v>
      </c>
      <c r="B4094" s="0" t="s">
        <v>95</v>
      </c>
      <c r="D4094" s="6" t="n">
        <f aca="false">Sens!D4088-Sens!D4093*(Sens!D4090+Sens!D4092)-Sens!D4091</f>
        <v>8.35701406163072</v>
      </c>
      <c r="E4094" s="6" t="n">
        <f aca="false">Sens!E4088-Sens!E4093*(Sens!E4090+Sens!E4092)-Sens!E4091</f>
        <v>18.7103224860238</v>
      </c>
      <c r="F4094" s="6" t="n">
        <f aca="false">Sens!F4088-Sens!F4093*(Sens!F4090+Sens!F4092)-Sens!F4091</f>
        <v>35.0573455625419</v>
      </c>
      <c r="G4094" s="6" t="n">
        <f aca="false">Sens!G4088-Sens!G4093*(Sens!G4090+Sens!G4092)-Sens!G4091</f>
        <v>52.2504971712871</v>
      </c>
      <c r="H4094" s="6" t="n">
        <f aca="false">Sens!H4088-Sens!H4093*(Sens!H4090+Sens!H4092)-Sens!H4091</f>
        <v>65.2796698510271</v>
      </c>
      <c r="I4094" s="6" t="n">
        <f aca="false">Sens!I4088-Sens!I4093*(Sens!I4090+Sens!I4092)-Sens!I4091</f>
        <v>85.5659922535278</v>
      </c>
      <c r="J4094" s="6" t="n">
        <f aca="false">Sens!J4088-Sens!J4093*(Sens!J4090+Sens!J4092)-Sens!J4091</f>
        <v>105.90773710582</v>
      </c>
      <c r="K4094" s="6" t="n">
        <f aca="false">Sens!K4088-Sens!K4093*(Sens!K4090+Sens!K4092)-Sens!K4091</f>
        <v>126.282084319851</v>
      </c>
    </row>
    <row r="4095" customFormat="false" ht="17.15" hidden="false" customHeight="false" outlineLevel="0" collapsed="false">
      <c r="A4095" s="1" t="s">
        <v>747</v>
      </c>
      <c r="B4095" s="0" t="s">
        <v>95</v>
      </c>
      <c r="D4095" s="6" t="n">
        <f aca="false">(1-Sens!D4093)*(Sens!D4090+Sens!D4092)</f>
        <v>1.42281025374069</v>
      </c>
      <c r="E4095" s="6" t="n">
        <f aca="false">(1-Sens!E4093)*(Sens!E4090+Sens!E4092)</f>
        <v>3.25095598674472</v>
      </c>
      <c r="F4095" s="6" t="n">
        <f aca="false">(1-Sens!F4093)*(Sens!F4090+Sens!F4092)</f>
        <v>6.53293055050977</v>
      </c>
      <c r="G4095" s="6" t="n">
        <f aca="false">(1-Sens!G4093)*(Sens!G4090+Sens!G4092)</f>
        <v>10.7846311741651</v>
      </c>
      <c r="H4095" s="6" t="n">
        <f aca="false">(1-Sens!H4093)*(Sens!H4090+Sens!H4092)</f>
        <v>15.26343050201</v>
      </c>
      <c r="I4095" s="6" t="n">
        <f aca="false">(1-Sens!I4093)*(Sens!I4090+Sens!I4092)</f>
        <v>19.7545570754104</v>
      </c>
      <c r="J4095" s="6" t="n">
        <f aca="false">(1-Sens!J4093)*(Sens!J4090+Sens!J4092)</f>
        <v>24.2521277113811</v>
      </c>
      <c r="K4095" s="6" t="n">
        <f aca="false">(1-Sens!K4093)*(Sens!K4090+Sens!K4092)</f>
        <v>28.7534890794427</v>
      </c>
    </row>
    <row r="4096" customFormat="false" ht="17.15" hidden="false" customHeight="false" outlineLevel="0" collapsed="false">
      <c r="A4096" s="1" t="s">
        <v>748</v>
      </c>
      <c r="B4096" s="0" t="s">
        <v>302</v>
      </c>
      <c r="C4096" s="8" t="n">
        <f aca="false">cxit_open</f>
        <v>27.5918995</v>
      </c>
      <c r="D4096" s="8" t="n">
        <f aca="false">cxit_open</f>
        <v>27.5918995</v>
      </c>
      <c r="E4096" s="8" t="n">
        <f aca="false">cxit_open</f>
        <v>27.5918995</v>
      </c>
      <c r="F4096" s="8" t="n">
        <f aca="false">(a_g3_27*tk_cxit_gb300+(1-a_g3_27)*tk_cxit_vr200)</f>
        <v>33.8419624</v>
      </c>
      <c r="G4096" s="8" t="n">
        <f aca="false">(a_g3_28*tk_cxit_gb300+(1-a_g3_28)*tk_cxit_vr200)</f>
        <v>35.9816136</v>
      </c>
      <c r="H4096" s="8" t="n">
        <f aca="false">(a_g3_29*tk_cxit_gb300+(1-a_g3_29)*tk_cxit_vr200)</f>
        <v>37.0514392</v>
      </c>
      <c r="I4096" s="8" t="n">
        <f aca="false">(a_g3_29*tk_cxit_gb300+(1-a_g3_29)*tk_cxit_vr200)</f>
        <v>37.0514392</v>
      </c>
      <c r="J4096" s="8" t="n">
        <f aca="false">(a_g3_29*tk_cxit_gb300+(1-a_g3_29)*tk_cxit_vr200)</f>
        <v>37.0514392</v>
      </c>
      <c r="K4096" s="8" t="n">
        <f aca="false">(a_g3_29*tk_cxit_gb300+(1-a_g3_29)*tk_cxit_vr200)</f>
        <v>37.0514392</v>
      </c>
      <c r="L4096" s="11" t="s">
        <v>749</v>
      </c>
    </row>
    <row r="4097" customFormat="false" ht="17.15" hidden="false" customHeight="false" outlineLevel="0" collapsed="false">
      <c r="A4097" s="0" t="s">
        <v>750</v>
      </c>
      <c r="B4097" s="0" t="s">
        <v>340</v>
      </c>
      <c r="F4097" s="27" t="n">
        <f aca="false">Sens!C4079*IF(3=life_it_hi,1,0)+Sens!D4079*IF(2=life_it_hi,1,0)+Sens!E4079*IF(1=life_it_hi,1,0)</f>
        <v>0</v>
      </c>
      <c r="G4097" s="27" t="n">
        <f aca="false">Sens!C4079*IF(4=life_it_hi,1,0)+Sens!D4079*IF(3=life_it_hi,1,0)+Sens!E4079*IF(2=life_it_hi,1,0)+Sens!F4079*IF(1=life_it_hi,1,0)</f>
        <v>0</v>
      </c>
      <c r="H4097" s="27" t="n">
        <f aca="false">Sens!C4079*IF(5=life_it_hi,1,0)+Sens!D4079*IF(4=life_it_hi,1,0)+Sens!E4079*IF(3=life_it_hi,1,0)+Sens!F4079*IF(2=life_it_hi,1,0)+Sens!G4079*IF(1=life_it_hi,1,0)</f>
        <v>0</v>
      </c>
      <c r="I4097" s="27" t="n">
        <f aca="false">Sens!C4079*IF(6=life_it_hi,1,0)+Sens!D4079*IF(5=life_it_hi,1,0)+Sens!E4079*IF(4=life_it_hi,1,0)+Sens!F4079*IF(3=life_it_hi,1,0)+Sens!G4079*IF(2=life_it_hi,1,0)+Sens!H4079*IF(1=life_it_hi,1,0)</f>
        <v>0</v>
      </c>
      <c r="J4097" s="27" t="n">
        <f aca="false">Sens!C4079*IF(7=life_it_hi,1,0)+Sens!D4079*IF(6=life_it_hi,1,0)+Sens!E4079*IF(5=life_it_hi,1,0)+Sens!F4079*IF(4=life_it_hi,1,0)+Sens!G4079*IF(3=life_it_hi,1,0)+Sens!H4079*IF(2=life_it_hi,1,0)+Sens!I4079*IF(1=life_it_hi,1,0)</f>
        <v>816.666666666667</v>
      </c>
      <c r="K4097" s="27" t="n">
        <f aca="false">Sens!C4079*IF(8=life_it_hi,1,0)+Sens!D4079*IF(7=life_it_hi,1,0)+Sens!E4079*IF(6=life_it_hi,1,0)+Sens!F4079*IF(5=life_it_hi,1,0)+Sens!G4079*IF(4=life_it_hi,1,0)+Sens!H4079*IF(3=life_it_hi,1,0)+Sens!I4079*IF(2=life_it_hi,1,0)+Sens!J4079*IF(1=life_it_hi,1,0)</f>
        <v>1233.33333333333</v>
      </c>
      <c r="L4097" s="1" t="s">
        <v>751</v>
      </c>
    </row>
    <row r="4098" customFormat="false" ht="17.15" hidden="false" customHeight="false" outlineLevel="0" collapsed="false">
      <c r="A4098" s="0" t="s">
        <v>752</v>
      </c>
      <c r="B4098" s="0" t="s">
        <v>95</v>
      </c>
      <c r="C4098" s="6" t="n">
        <f aca="false">Sens!C4079*Sens!C4096/1000</f>
        <v>22.5333845916667</v>
      </c>
      <c r="D4098" s="6" t="n">
        <f aca="false">Sens!D4079*Sens!D4096/1000</f>
        <v>34.0300093833333</v>
      </c>
      <c r="E4098" s="6" t="n">
        <f aca="false">Sens!E4079*Sens!E4096/1000</f>
        <v>67.600153775</v>
      </c>
      <c r="F4098" s="6" t="n">
        <f aca="false">(Sens!F4079+Sens!F4097)*Sens!F4096/1000</f>
        <v>130.923271871467</v>
      </c>
      <c r="G4098" s="6" t="n">
        <f aca="false">(Sens!G4079+Sens!G4097)*Sens!G4096/1000</f>
        <v>151.5545564832</v>
      </c>
      <c r="H4098" s="6" t="n">
        <f aca="false">(Sens!H4079+Sens!H4097)*Sens!H4096/1000</f>
        <v>156.0606619104</v>
      </c>
      <c r="I4098" s="6" t="n">
        <f aca="false">(Sens!I4079+Sens!I4097)*Sens!I4096/1000</f>
        <v>156.0606619104</v>
      </c>
      <c r="J4098" s="6" t="n">
        <f aca="false">(Sens!J4079+Sens!J4097)*Sens!J4096/1000</f>
        <v>186.319337257067</v>
      </c>
      <c r="K4098" s="6" t="n">
        <f aca="false">(Sens!K4079+Sens!K4097)*Sens!K4096/1000</f>
        <v>201.757436923733</v>
      </c>
    </row>
    <row r="4099" customFormat="false" ht="17.15" hidden="false" customHeight="false" outlineLevel="0" collapsed="false">
      <c r="A4099" s="0" t="s">
        <v>753</v>
      </c>
      <c r="B4099" s="0" t="s">
        <v>95</v>
      </c>
      <c r="C4099" s="6" t="n">
        <f aca="false">Sens!C4079*self_build*tk_cxfac/1000</f>
        <v>6.2083</v>
      </c>
      <c r="D4099" s="6" t="n">
        <f aca="false">Sens!D4079*self_build*tk_cxfac/1000</f>
        <v>9.3758</v>
      </c>
      <c r="E4099" s="6" t="n">
        <f aca="false">Sens!E4079*self_build*tk_cxfac/1000</f>
        <v>18.6249</v>
      </c>
      <c r="F4099" s="6" t="n">
        <f aca="false">Sens!F4079*self_build*tk_cxfac/1000</f>
        <v>29.409604</v>
      </c>
      <c r="G4099" s="6" t="n">
        <f aca="false">Sens!G4079*self_build*tk_cxfac/1000</f>
        <v>32.019624</v>
      </c>
      <c r="H4099" s="6" t="n">
        <f aca="false">Sens!H4079*self_build*tk_cxfac/1000</f>
        <v>32.019624</v>
      </c>
      <c r="I4099" s="6" t="n">
        <f aca="false">Sens!I4079*self_build*tk_cxfac/1000</f>
        <v>32.019624</v>
      </c>
      <c r="J4099" s="6" t="n">
        <f aca="false">Sens!J4079*self_build*tk_cxfac/1000</f>
        <v>32.019624</v>
      </c>
      <c r="K4099" s="6" t="n">
        <f aca="false">Sens!K4079*self_build*tk_cxfac/1000</f>
        <v>32.019624</v>
      </c>
    </row>
    <row r="4100" customFormat="false" ht="17.15" hidden="false" customHeight="false" outlineLevel="0" collapsed="false">
      <c r="A4100" s="0" t="s">
        <v>754</v>
      </c>
      <c r="B4100" s="0" t="s">
        <v>95</v>
      </c>
      <c r="F4100" s="6" t="n">
        <f aca="false">MAX(0,capex_floor27-Sens!F4098-Sens!F4099-Sens!F4187)</f>
        <v>8.43777689897088</v>
      </c>
      <c r="G4100" s="6" t="n">
        <f aca="false">0</f>
        <v>0</v>
      </c>
      <c r="H4100" s="6" t="n">
        <f aca="false">0</f>
        <v>0</v>
      </c>
      <c r="I4100" s="6" t="n">
        <f aca="false">0</f>
        <v>0</v>
      </c>
      <c r="J4100" s="6" t="n">
        <f aca="false">0</f>
        <v>0</v>
      </c>
      <c r="K4100" s="6" t="n">
        <f aca="false">0</f>
        <v>0</v>
      </c>
      <c r="L4100" s="1" t="s">
        <v>755</v>
      </c>
    </row>
    <row r="4101" customFormat="false" ht="17.15" hidden="false" customHeight="false" outlineLevel="0" collapsed="false">
      <c r="A4101" s="0" t="s">
        <v>756</v>
      </c>
      <c r="B4101" s="0" t="s">
        <v>95</v>
      </c>
      <c r="C4101" s="6" t="n">
        <f aca="false">Sens!C4098</f>
        <v>22.5333845916667</v>
      </c>
      <c r="D4101" s="6" t="n">
        <f aca="false">Sens!D4098</f>
        <v>34.0300093833333</v>
      </c>
      <c r="E4101" s="6" t="n">
        <f aca="false">Sens!E4098</f>
        <v>67.600153775</v>
      </c>
      <c r="F4101" s="6" t="n">
        <f aca="false">Sens!F4098+Sens!F4100</f>
        <v>139.361048770438</v>
      </c>
      <c r="G4101" s="6" t="n">
        <f aca="false">Sens!G4098+Sens!G4100</f>
        <v>151.5545564832</v>
      </c>
      <c r="H4101" s="6" t="n">
        <f aca="false">Sens!H4098+Sens!H4100</f>
        <v>156.0606619104</v>
      </c>
      <c r="I4101" s="6" t="n">
        <f aca="false">Sens!I4098+Sens!I4100</f>
        <v>156.0606619104</v>
      </c>
      <c r="J4101" s="6" t="n">
        <f aca="false">Sens!J4098+Sens!J4100</f>
        <v>186.319337257067</v>
      </c>
      <c r="K4101" s="6" t="n">
        <f aca="false">Sens!K4098+Sens!K4100</f>
        <v>201.757436923733</v>
      </c>
    </row>
    <row r="4102" customFormat="false" ht="17.15" hidden="false" customHeight="false" outlineLevel="0" collapsed="false">
      <c r="A4102" s="0" t="s">
        <v>757</v>
      </c>
      <c r="B4102" s="0" t="s">
        <v>95</v>
      </c>
      <c r="C4102" s="6" t="n">
        <f aca="false">Sens!C4101+Sens!C4099</f>
        <v>28.7416845916667</v>
      </c>
      <c r="D4102" s="6" t="n">
        <f aca="false">Sens!D4101+Sens!D4099</f>
        <v>43.4058093833333</v>
      </c>
      <c r="E4102" s="6" t="n">
        <f aca="false">Sens!E4101+Sens!E4099</f>
        <v>86.225053775</v>
      </c>
      <c r="F4102" s="6" t="n">
        <f aca="false">Sens!F4101+Sens!F4099</f>
        <v>168.770652770438</v>
      </c>
      <c r="G4102" s="6" t="n">
        <f aca="false">Sens!G4101+Sens!G4099</f>
        <v>183.5741804832</v>
      </c>
      <c r="H4102" s="6" t="n">
        <f aca="false">Sens!H4101+Sens!H4099</f>
        <v>188.0802859104</v>
      </c>
      <c r="I4102" s="6" t="n">
        <f aca="false">Sens!I4101+Sens!I4099</f>
        <v>188.0802859104</v>
      </c>
      <c r="J4102" s="6" t="n">
        <f aca="false">Sens!J4101+Sens!J4099</f>
        <v>218.338961257067</v>
      </c>
      <c r="K4102" s="6" t="n">
        <f aca="false">Sens!K4101+Sens!K4099</f>
        <v>233.777060923733</v>
      </c>
      <c r="L4102" s="11" t="s">
        <v>758</v>
      </c>
    </row>
    <row r="4103" customFormat="false" ht="17.15" hidden="false" customHeight="false" outlineLevel="0" collapsed="false">
      <c r="A4103" s="0" t="s">
        <v>759</v>
      </c>
      <c r="B4103" s="0" t="s">
        <v>95</v>
      </c>
      <c r="E4103" s="6" t="n">
        <f aca="false">(Sens!C4101*IF(2&lt;life_it_hi,1,IF(2=life_it_hi,0.5,0))+Sens!D4101*IF(1&lt;life_it_hi,1,IF(1=life_it_hi,0.5,0))+Sens!E4101*0.5)/life_it_hi</f>
        <v>12.9090672660714</v>
      </c>
      <c r="F4103" s="6" t="n">
        <f aca="false">(Sens!C4101*IF(3&lt;life_it_hi,1,IF(3=life_it_hi,0.5,0))+Sens!D4101*IF(2&lt;life_it_hi,1,IF(2=life_it_hi,0.5,0))+Sens!E4101*IF(1&lt;life_it_hi,1,IF(1=life_it_hi,0.5,0))+Sens!F4101*0.5)/life_it_hi</f>
        <v>27.6920103050313</v>
      </c>
      <c r="G4103" s="6" t="n">
        <f aca="false">(Sens!C4101*IF(4&lt;life_it_hi,1,IF(4=life_it_hi,0.5,0))+Sens!D4101*IF(3&lt;life_it_hi,1,IF(3=life_it_hi,0.5,0))+Sens!E4101*IF(2&lt;life_it_hi,1,IF(2=life_it_hi,0.5,0))+Sens!F4101*IF(1&lt;life_it_hi,1,IF(1=life_it_hi,0.5,0))+Sens!G4101*0.5)/life_it_hi</f>
        <v>48.4716963945768</v>
      </c>
      <c r="H4103" s="6" t="n">
        <f aca="false">(Sens!C4101*IF(5&lt;life_it_hi,1,IF(5=life_it_hi,0.5,0))+Sens!D4101*IF(4&lt;life_it_hi,1,IF(4=life_it_hi,0.5,0))+Sens!E4101*IF(3&lt;life_it_hi,1,IF(3=life_it_hi,0.5,0))+Sens!F4101*IF(2&lt;life_it_hi,1,IF(2=life_it_hi,0.5,0))+Sens!G4101*IF(1&lt;life_it_hi,1,IF(1=life_it_hi,0.5,0))+Sens!H4101*0.5)/life_it_hi</f>
        <v>70.4442119941196</v>
      </c>
      <c r="I4103" s="6" t="n">
        <f aca="false">(Sens!C4101*IF(6&lt;life_it_hi,1,IF(6=life_it_hi,0.5,0))+Sens!D4101*IF(5&lt;life_it_hi,1,IF(5=life_it_hi,0.5,0))+Sens!E4101*IF(4&lt;life_it_hi,1,IF(4=life_it_hi,0.5,0))+Sens!F4101*IF(3&lt;life_it_hi,1,IF(3=life_it_hi,0.5,0))+Sens!G4101*IF(2&lt;life_it_hi,1,IF(2=life_it_hi,0.5,0))+Sens!H4101*IF(1&lt;life_it_hi,1,IF(1=life_it_hi,0.5,0))+Sens!I4101*0.5)/life_it_hi</f>
        <v>92.7385922670339</v>
      </c>
      <c r="J4103" s="6" t="n">
        <f aca="false">(Sens!C4101*IF(7&lt;life_it_hi,1,IF(7=life_it_hi,0.5,0))+Sens!D4101*IF(6&lt;life_it_hi,1,IF(6=life_it_hi,0.5,0))+Sens!E4101*IF(5&lt;life_it_hi,1,IF(5=life_it_hi,0.5,0))+Sens!F4101*IF(4&lt;life_it_hi,1,IF(4=life_it_hi,0.5,0))+Sens!G4101*IF(3&lt;life_it_hi,1,IF(3=life_it_hi,0.5,0))+Sens!H4101*IF(2&lt;life_it_hi,1,IF(2=life_it_hi,0.5,0))+Sens!I4101*IF(1&lt;life_it_hi,1,IF(1=life_it_hi,0.5,0))+Sens!J4101*0.5)/life_it_hi</f>
        <v>115.584779022448</v>
      </c>
      <c r="K4103" s="6" t="n">
        <f aca="false">(Sens!C4101*IF(8&lt;life_it_hi,1,IF(8=life_it_hi,0.5,0))+Sens!D4101*IF(7&lt;life_it_hi,1,IF(7=life_it_hi,0.5,0))+Sens!E4101*IF(6&lt;life_it_hi,1,IF(6=life_it_hi,0.5,0))+Sens!F4101*IF(5&lt;life_it_hi,1,IF(5=life_it_hi,0.5,0))+Sens!G4101*IF(4&lt;life_it_hi,1,IF(4=life_it_hi,0.5,0))+Sens!H4101*IF(3&lt;life_it_hi,1,IF(3=life_it_hi,0.5,0))+Sens!I4101*IF(2&lt;life_it_hi,1,IF(2=life_it_hi,0.5,0))+Sens!J4101*IF(1&lt;life_it_hi,1,IF(1=life_it_hi,0.5,0))+Sens!K4101*0.5)/life_it_hi</f>
        <v>139.264306180005</v>
      </c>
    </row>
    <row r="4104" customFormat="false" ht="17.15" hidden="false" customHeight="false" outlineLevel="0" collapsed="false">
      <c r="A4104" s="0" t="s">
        <v>760</v>
      </c>
      <c r="B4104" s="0" t="s">
        <v>95</v>
      </c>
      <c r="E4104" s="6" t="n">
        <f aca="false">(Sens!C4099*IF(2&lt;life_fac,1,IF(2=life_fac,0.5,0))+Sens!D4099*IF(1&lt;life_fac,1,IF(1=life_fac,0.5,0))+Sens!E4099*0.5)/life_fac</f>
        <v>1.2448275</v>
      </c>
      <c r="F4104" s="6" t="n">
        <f aca="false">(Sens!C4099*IF(3&lt;life_fac,1,IF(3=life_fac,0.5,0))+Sens!D4099*IF(2&lt;life_fac,1,IF(2=life_fac,0.5,0))+Sens!E4099*IF(1&lt;life_fac,1,IF(1=life_fac,0.5,0))+Sens!F4099*0.5)/life_fac</f>
        <v>2.4456901</v>
      </c>
      <c r="G4104" s="6" t="n">
        <f aca="false">(Sens!C4099*IF(4&lt;life_fac,1,IF(4=life_fac,0.5,0))+Sens!D4099*IF(3&lt;life_fac,1,IF(3=life_fac,0.5,0))+Sens!E4099*IF(2&lt;life_fac,1,IF(2=life_fac,0.5,0))+Sens!F4099*IF(1&lt;life_fac,1,IF(1=life_fac,0.5,0))+Sens!G4099*0.5)/life_fac</f>
        <v>3.9814208</v>
      </c>
      <c r="H4104" s="6" t="n">
        <f aca="false">(Sens!C4099*IF(5&lt;life_fac,1,IF(5=life_fac,0.5,0))+Sens!D4099*IF(4&lt;life_fac,1,IF(4=life_fac,0.5,0))+Sens!E4099*IF(3&lt;life_fac,1,IF(3=life_fac,0.5,0))+Sens!F4099*IF(2&lt;life_fac,1,IF(2=life_fac,0.5,0))+Sens!G4099*IF(1&lt;life_fac,1,IF(1=life_fac,0.5,0))+Sens!H4099*0.5)/life_fac</f>
        <v>5.582402</v>
      </c>
      <c r="I4104" s="6" t="n">
        <f aca="false">(Sens!C4099*IF(6&lt;life_fac,1,IF(6=life_fac,0.5,0))+Sens!D4099*IF(5&lt;life_fac,1,IF(5=life_fac,0.5,0))+Sens!E4099*IF(4&lt;life_fac,1,IF(4=life_fac,0.5,0))+Sens!F4099*IF(3&lt;life_fac,1,IF(3=life_fac,0.5,0))+Sens!G4099*IF(2&lt;life_fac,1,IF(2=life_fac,0.5,0))+Sens!H4099*IF(1&lt;life_fac,1,IF(1=life_fac,0.5,0))+Sens!I4099*0.5)/life_fac</f>
        <v>7.1833832</v>
      </c>
      <c r="J4104" s="6" t="n">
        <f aca="false">(Sens!C4099*IF(7&lt;life_fac,1,IF(7=life_fac,0.5,0))+Sens!D4099*IF(6&lt;life_fac,1,IF(6=life_fac,0.5,0))+Sens!E4099*IF(5&lt;life_fac,1,IF(5=life_fac,0.5,0))+Sens!F4099*IF(4&lt;life_fac,1,IF(4=life_fac,0.5,0))+Sens!G4099*IF(3&lt;life_fac,1,IF(3=life_fac,0.5,0))+Sens!H4099*IF(2&lt;life_fac,1,IF(2=life_fac,0.5,0))+Sens!I4099*IF(1&lt;life_fac,1,IF(1=life_fac,0.5,0))+Sens!J4099*0.5)/life_fac</f>
        <v>8.7843644</v>
      </c>
      <c r="K4104" s="6" t="n">
        <f aca="false">(Sens!C4099*IF(8&lt;life_fac,1,IF(8=life_fac,0.5,0))+Sens!D4099*IF(7&lt;life_fac,1,IF(7=life_fac,0.5,0))+Sens!E4099*IF(6&lt;life_fac,1,IF(6=life_fac,0.5,0))+Sens!F4099*IF(5&lt;life_fac,1,IF(5=life_fac,0.5,0))+Sens!G4099*IF(4&lt;life_fac,1,IF(4=life_fac,0.5,0))+Sens!H4099*IF(3&lt;life_fac,1,IF(3=life_fac,0.5,0))+Sens!I4099*IF(2&lt;life_fac,1,IF(2=life_fac,0.5,0))+Sens!J4099*IF(1&lt;life_fac,1,IF(1=life_fac,0.5,0))+Sens!K4099*0.5)/life_fac</f>
        <v>10.3853456</v>
      </c>
    </row>
    <row r="4105" customFormat="false" ht="17.15" hidden="false" customHeight="false" outlineLevel="0" collapsed="false">
      <c r="A4105" s="0" t="s">
        <v>761</v>
      </c>
      <c r="B4105" s="0" t="s">
        <v>95</v>
      </c>
      <c r="E4105" s="6" t="n">
        <f aca="false">Sens!E4103+Sens!E4104</f>
        <v>14.1538947660714</v>
      </c>
      <c r="F4105" s="6" t="n">
        <f aca="false">Sens!F4103+Sens!F4104</f>
        <v>30.1377004050313</v>
      </c>
      <c r="G4105" s="6" t="n">
        <f aca="false">Sens!G4103+Sens!G4104</f>
        <v>52.4531171945768</v>
      </c>
      <c r="H4105" s="6" t="n">
        <f aca="false">Sens!H4103+Sens!H4104</f>
        <v>76.0266139941196</v>
      </c>
      <c r="I4105" s="6" t="n">
        <f aca="false">Sens!I4103+Sens!I4104</f>
        <v>99.9219754670339</v>
      </c>
      <c r="J4105" s="6" t="n">
        <f aca="false">Sens!J4103+Sens!J4104</f>
        <v>124.369143422448</v>
      </c>
      <c r="K4105" s="6" t="n">
        <f aca="false">Sens!K4103+Sens!K4104</f>
        <v>149.649651780005</v>
      </c>
    </row>
    <row r="4106" customFormat="false" ht="17.15" hidden="false" customHeight="false" outlineLevel="0" collapsed="false">
      <c r="A4106" s="0" t="s">
        <v>762</v>
      </c>
      <c r="B4106" s="0" t="s">
        <v>95</v>
      </c>
      <c r="E4106" s="6" t="n">
        <f aca="false">Sens!E4094-Sens!E4093*Sens!E4105</f>
        <v>10.2179856263809</v>
      </c>
      <c r="F4106" s="6" t="n">
        <f aca="false">Sens!F4094-Sens!F4093*Sens!F4105</f>
        <v>16.9747253195232</v>
      </c>
      <c r="G4106" s="6" t="n">
        <f aca="false">Sens!G4094-Sens!G4093*Sens!G4105</f>
        <v>20.778626854541</v>
      </c>
      <c r="H4106" s="6" t="n">
        <f aca="false">Sens!H4094-Sens!H4093*Sens!H4105</f>
        <v>19.6637014545553</v>
      </c>
      <c r="I4106" s="6" t="n">
        <f aca="false">Sens!I4094-Sens!I4093*Sens!I4105</f>
        <v>25.6128069733075</v>
      </c>
      <c r="J4106" s="6" t="n">
        <f aca="false">Sens!J4094-Sens!J4093*Sens!J4105</f>
        <v>31.2862510523513</v>
      </c>
      <c r="K4106" s="6" t="n">
        <f aca="false">Sens!K4094-Sens!K4093*Sens!K4105</f>
        <v>36.4922932518479</v>
      </c>
    </row>
    <row r="4107" customFormat="false" ht="17.15" hidden="false" customHeight="false" outlineLevel="0" collapsed="false">
      <c r="A4107" s="3" t="s">
        <v>1230</v>
      </c>
    </row>
    <row r="4108" customFormat="false" ht="15" hidden="false" customHeight="false" outlineLevel="0" collapsed="false">
      <c r="A4108" s="4" t="s">
        <v>43</v>
      </c>
      <c r="B4108" s="4" t="s">
        <v>63</v>
      </c>
      <c r="C4108" s="19" t="s">
        <v>710</v>
      </c>
      <c r="D4108" s="19" t="s">
        <v>711</v>
      </c>
      <c r="E4108" s="19" t="s">
        <v>712</v>
      </c>
      <c r="F4108" s="19" t="s">
        <v>713</v>
      </c>
      <c r="G4108" s="19" t="s">
        <v>714</v>
      </c>
      <c r="H4108" s="19" t="s">
        <v>715</v>
      </c>
      <c r="I4108" s="19" t="s">
        <v>716</v>
      </c>
      <c r="J4108" s="19" t="s">
        <v>717</v>
      </c>
      <c r="K4108" s="19" t="s">
        <v>718</v>
      </c>
      <c r="L4108" s="4" t="s">
        <v>47</v>
      </c>
    </row>
    <row r="4109" customFormat="false" ht="17.15" hidden="false" customHeight="false" outlineLevel="0" collapsed="false">
      <c r="A4109" s="0" t="s">
        <v>780</v>
      </c>
      <c r="B4109" s="0" t="s">
        <v>95</v>
      </c>
      <c r="D4109" s="6" t="n">
        <f aca="false">Sens!D4088</f>
        <v>12.9359794422418</v>
      </c>
      <c r="E4109" s="6" t="n">
        <f aca="false">Sens!E4088</f>
        <v>27.8095064661409</v>
      </c>
      <c r="F4109" s="6" t="n">
        <f aca="false">Sens!F4088</f>
        <v>50.6619113883066</v>
      </c>
      <c r="G4109" s="6" t="n">
        <f aca="false">Sens!G4088</f>
        <v>75.1482839325348</v>
      </c>
      <c r="H4109" s="6" t="n">
        <f aca="false">Sens!H4088</f>
        <v>94.895655604042</v>
      </c>
      <c r="I4109" s="6" t="n">
        <f aca="false">Sens!I4088</f>
        <v>121.918667866643</v>
      </c>
      <c r="J4109" s="6" t="n">
        <f aca="false">Sens!J4088</f>
        <v>149.006768672892</v>
      </c>
      <c r="K4109" s="6" t="n">
        <f aca="false">Sens!K4088</f>
        <v>176.133157939015</v>
      </c>
    </row>
    <row r="4110" customFormat="false" ht="17.15" hidden="false" customHeight="false" outlineLevel="0" collapsed="false">
      <c r="A4110" s="0" t="s">
        <v>781</v>
      </c>
      <c r="B4110" s="0" t="s">
        <v>95</v>
      </c>
      <c r="D4110" s="6" t="n">
        <f aca="false">Q!L6-Sens!D4109</f>
        <v>59.6740205577583</v>
      </c>
      <c r="E4110" s="6" t="n">
        <f aca="false">Q!M6-Sens!E4109</f>
        <v>74.1284935338591</v>
      </c>
      <c r="F4110" s="6" t="n">
        <f aca="false">Sens!E4110*(1+Sens!F4111)</f>
        <v>90.0799497373663</v>
      </c>
      <c r="G4110" s="6" t="n">
        <f aca="false">Sens!F4110*(1+Sens!G4111)</f>
        <v>107.02842520331</v>
      </c>
      <c r="H4110" s="6" t="n">
        <f aca="false">Sens!G4110*(1+Sens!H4111)</f>
        <v>124.271982585636</v>
      </c>
      <c r="I4110" s="6" t="n">
        <f aca="false">Sens!H4110*(1+Sens!I4111)</f>
        <v>140.933702381855</v>
      </c>
      <c r="J4110" s="6" t="n">
        <f aca="false">Sens!I4110*(1+Sens!J4111)</f>
        <v>156.018867314332</v>
      </c>
      <c r="K4110" s="6" t="n">
        <f aca="false">Sens!J4110*(1+Sens!K4111)</f>
        <v>168.500376699478</v>
      </c>
    </row>
    <row r="4111" customFormat="false" ht="15" hidden="false" customHeight="false" outlineLevel="0" collapsed="false">
      <c r="A4111" s="1" t="s">
        <v>782</v>
      </c>
      <c r="B4111" s="0" t="s">
        <v>126</v>
      </c>
      <c r="E4111" s="7" t="n">
        <f aca="false">Sens!E4110/Sens!D4110-1</f>
        <v>0.242223883039864</v>
      </c>
      <c r="F4111" s="7" t="n">
        <f aca="false">Sens!$E$4111+(glt_azo-Sens!$E$4111)*MIN(1,1/n_conv)</f>
        <v>0.215186569199887</v>
      </c>
      <c r="G4111" s="7" t="n">
        <f aca="false">Sens!$E$4111+(glt_azo-Sens!$E$4111)*MIN(1,2/n_conv)</f>
        <v>0.18814925535991</v>
      </c>
      <c r="H4111" s="7" t="n">
        <f aca="false">Sens!$E$4111+(glt_azo-Sens!$E$4111)*MIN(1,3/n_conv)</f>
        <v>0.161111941519932</v>
      </c>
      <c r="I4111" s="7" t="n">
        <f aca="false">Sens!$E$4111+(glt_azo-Sens!$E$4111)*MIN(1,4/n_conv)</f>
        <v>0.134074627679955</v>
      </c>
      <c r="J4111" s="7" t="n">
        <f aca="false">Sens!$E$4111+(glt_azo-Sens!$E$4111)*MIN(1,5/n_conv)</f>
        <v>0.107037313839977</v>
      </c>
      <c r="K4111" s="7" t="n">
        <f aca="false">Sens!$E$4111+(glt_azo-Sens!$E$4111)*MIN(1,6/n_conv)</f>
        <v>0.08</v>
      </c>
    </row>
    <row r="4112" customFormat="false" ht="15" hidden="false" customHeight="false" outlineLevel="0" collapsed="false">
      <c r="A4112" s="0" t="s">
        <v>783</v>
      </c>
      <c r="B4112" s="0" t="s">
        <v>95</v>
      </c>
      <c r="D4112" s="6" t="n">
        <f aca="false">Sens!D4109+Sens!D4110</f>
        <v>72.61</v>
      </c>
      <c r="E4112" s="6" t="n">
        <f aca="false">Sens!E4109+Sens!E4110</f>
        <v>101.938</v>
      </c>
      <c r="F4112" s="6" t="n">
        <f aca="false">Sens!F4109+Sens!F4110</f>
        <v>140.741861125673</v>
      </c>
      <c r="G4112" s="6" t="n">
        <f aca="false">Sens!G4109+Sens!G4110</f>
        <v>182.176709135845</v>
      </c>
      <c r="H4112" s="6" t="n">
        <f aca="false">Sens!H4109+Sens!H4110</f>
        <v>219.167638189678</v>
      </c>
      <c r="I4112" s="6" t="n">
        <f aca="false">Sens!I4109+Sens!I4110</f>
        <v>262.852370248498</v>
      </c>
      <c r="J4112" s="6" t="n">
        <f aca="false">Sens!J4109+Sens!J4110</f>
        <v>305.025635987223</v>
      </c>
      <c r="K4112" s="6" t="n">
        <f aca="false">Sens!K4109+Sens!K4110</f>
        <v>344.633534638493</v>
      </c>
    </row>
    <row r="4113" customFormat="false" ht="17.15" hidden="false" customHeight="false" outlineLevel="0" collapsed="false">
      <c r="A4113" s="0" t="s">
        <v>784</v>
      </c>
      <c r="B4113" s="1" t="s">
        <v>451</v>
      </c>
      <c r="C4113" s="27" t="n">
        <f aca="false">cop_s24</f>
        <v>1</v>
      </c>
      <c r="D4113" s="27" t="n">
        <f aca="false">cop_s25</f>
        <v>5</v>
      </c>
      <c r="E4113" s="27" t="n">
        <f aca="false">cop_s26</f>
        <v>30</v>
      </c>
      <c r="F4113" s="27" t="n">
        <f aca="false">Sens!E4113+IF(2027&lt;=2029,cop_add_C,cop_add_C*cop_tail)</f>
        <v>40</v>
      </c>
      <c r="G4113" s="27" t="n">
        <f aca="false">Sens!F4113+IF(2028&lt;=2029,cop_add_C,cop_add_C*cop_tail)</f>
        <v>50</v>
      </c>
      <c r="H4113" s="27" t="n">
        <f aca="false">Sens!G4113+IF(2029&lt;=2029,cop_add_C,cop_add_C*cop_tail)</f>
        <v>60</v>
      </c>
      <c r="I4113" s="27" t="n">
        <f aca="false">Sens!H4113+IF(2030&lt;=2029,cop_add_C,cop_add_C*cop_tail)</f>
        <v>65</v>
      </c>
      <c r="J4113" s="27" t="n">
        <f aca="false">Sens!I4113+IF(2031&lt;=2029,cop_add_C,cop_add_C*cop_tail)</f>
        <v>70</v>
      </c>
      <c r="K4113" s="27" t="n">
        <f aca="false">Sens!J4113+IF(2032&lt;=2029,cop_add_C,cop_add_C*cop_tail)</f>
        <v>75</v>
      </c>
    </row>
    <row r="4114" customFormat="false" ht="17.15" hidden="false" customHeight="false" outlineLevel="0" collapsed="false">
      <c r="A4114" s="0" t="s">
        <v>785</v>
      </c>
      <c r="B4114" s="0" t="s">
        <v>95</v>
      </c>
      <c r="D4114" s="6" t="n">
        <f aca="false">(Sens!C4113+Sens!D4113)/2*cop_px*12/1000</f>
        <v>0.9</v>
      </c>
      <c r="E4114" s="6" t="n">
        <f aca="false">(Sens!D4113+Sens!E4113)/2*cop_px*12/1000</f>
        <v>5.25</v>
      </c>
      <c r="F4114" s="6" t="n">
        <f aca="false">(Sens!E4113+Sens!F4113)/2*cop_px*12/1000</f>
        <v>10.5</v>
      </c>
      <c r="G4114" s="6" t="n">
        <f aca="false">(Sens!F4113+Sens!G4113)/2*cop_px*12/1000</f>
        <v>13.5</v>
      </c>
      <c r="H4114" s="6" t="n">
        <f aca="false">(Sens!G4113+Sens!H4113)/2*cop_px*12/1000</f>
        <v>16.5</v>
      </c>
      <c r="I4114" s="6" t="n">
        <f aca="false">(Sens!H4113+Sens!I4113)/2*cop_px*12/1000</f>
        <v>18.75</v>
      </c>
      <c r="J4114" s="6" t="n">
        <f aca="false">(Sens!I4113+Sens!J4113)/2*cop_px*12/1000</f>
        <v>20.25</v>
      </c>
      <c r="K4114" s="6" t="n">
        <f aca="false">(Sens!J4113+Sens!K4113)/2*cop_px*12/1000</f>
        <v>21.75</v>
      </c>
      <c r="L4114" s="1" t="s">
        <v>786</v>
      </c>
    </row>
    <row r="4115" customFormat="false" ht="17.15" hidden="false" customHeight="false" outlineLevel="0" collapsed="false">
      <c r="A4115" s="0" t="s">
        <v>787</v>
      </c>
      <c r="B4115" s="0" t="s">
        <v>95</v>
      </c>
      <c r="D4115" s="6" t="n">
        <f aca="false">Q!L7-Sens!D4114</f>
        <v>83.705</v>
      </c>
      <c r="E4115" s="6" t="n">
        <f aca="false">Q!M7-Sens!E4114</f>
        <v>95.049</v>
      </c>
      <c r="F4115" s="6" t="n">
        <f aca="false">Sens!E4115*(1+Sens!F4116)</f>
        <v>106.89238776686</v>
      </c>
      <c r="G4115" s="6" t="n">
        <f aca="false">Sens!F4115*(1+Sens!G4116)</f>
        <v>119.044168448684</v>
      </c>
      <c r="H4115" s="6" t="n">
        <f aca="false">Sens!G4115*(1+Sens!H4116)</f>
        <v>131.277359388781</v>
      </c>
      <c r="I4115" s="6" t="n">
        <f aca="false">Sens!H4115*(1+Sens!I4116)</f>
        <v>143.334028071957</v>
      </c>
      <c r="J4115" s="6" t="n">
        <f aca="false">Sens!I4115*(1+Sens!J4116)</f>
        <v>154.932702785465</v>
      </c>
      <c r="K4115" s="6" t="n">
        <f aca="false">Sens!J4115*(1+Sens!K4116)</f>
        <v>165.777991980448</v>
      </c>
    </row>
    <row r="4116" customFormat="false" ht="15" hidden="false" customHeight="false" outlineLevel="0" collapsed="false">
      <c r="A4116" s="1" t="s">
        <v>782</v>
      </c>
      <c r="B4116" s="0" t="s">
        <v>126</v>
      </c>
      <c r="E4116" s="7" t="n">
        <f aca="false">Sens!E4115/Sens!D4115-1</f>
        <v>0.135523564900544</v>
      </c>
      <c r="F4116" s="7" t="n">
        <f aca="false">Sens!$E$4116+(glt_m365b-Sens!$E$4116)*MIN(1,1/n_conv)</f>
        <v>0.124602970750453</v>
      </c>
      <c r="G4116" s="7" t="n">
        <f aca="false">Sens!$E$4116+(glt_m365b-Sens!$E$4116)*MIN(1,2/n_conv)</f>
        <v>0.113682376600363</v>
      </c>
      <c r="H4116" s="7" t="n">
        <f aca="false">Sens!$E$4116+(glt_m365b-Sens!$E$4116)*MIN(1,3/n_conv)</f>
        <v>0.102761782450272</v>
      </c>
      <c r="I4116" s="7" t="n">
        <f aca="false">Sens!$E$4116+(glt_m365b-Sens!$E$4116)*MIN(1,4/n_conv)</f>
        <v>0.0918411883001813</v>
      </c>
      <c r="J4116" s="7" t="n">
        <f aca="false">Sens!$E$4116+(glt_m365b-Sens!$E$4116)*MIN(1,5/n_conv)</f>
        <v>0.0809205941500906</v>
      </c>
      <c r="K4116" s="7" t="n">
        <f aca="false">Sens!$E$4116+(glt_m365b-Sens!$E$4116)*MIN(1,6/n_conv)</f>
        <v>0.07</v>
      </c>
    </row>
    <row r="4117" customFormat="false" ht="15" hidden="false" customHeight="false" outlineLevel="0" collapsed="false">
      <c r="A4117" s="0" t="s">
        <v>788</v>
      </c>
      <c r="B4117" s="0" t="s">
        <v>95</v>
      </c>
      <c r="D4117" s="6" t="n">
        <f aca="false">Sens!D4115+Sens!D4114</f>
        <v>84.605</v>
      </c>
      <c r="E4117" s="6" t="n">
        <f aca="false">Sens!E4115+Sens!E4114</f>
        <v>100.299</v>
      </c>
      <c r="F4117" s="6" t="n">
        <f aca="false">Sens!F4115+Sens!F4114</f>
        <v>117.39238776686</v>
      </c>
      <c r="G4117" s="6" t="n">
        <f aca="false">Sens!G4115+Sens!G4114</f>
        <v>132.544168448684</v>
      </c>
      <c r="H4117" s="6" t="n">
        <f aca="false">Sens!H4115+Sens!H4114</f>
        <v>147.777359388781</v>
      </c>
      <c r="I4117" s="6" t="n">
        <f aca="false">Sens!I4115+Sens!I4114</f>
        <v>162.084028071957</v>
      </c>
      <c r="J4117" s="6" t="n">
        <f aca="false">Sens!J4115+Sens!J4114</f>
        <v>175.182702785465</v>
      </c>
      <c r="K4117" s="6" t="n">
        <f aca="false">Sens!K4115+Sens!K4114</f>
        <v>187.527991980448</v>
      </c>
    </row>
    <row r="4118" customFormat="false" ht="15" hidden="false" customHeight="false" outlineLevel="0" collapsed="false">
      <c r="A4118" s="0" t="s">
        <v>789</v>
      </c>
      <c r="B4118" s="0" t="s">
        <v>95</v>
      </c>
      <c r="D4118" s="6" t="n">
        <f aca="false">Q!L8</f>
        <v>35.391</v>
      </c>
      <c r="E4118" s="6" t="n">
        <f aca="false">Q!M8</f>
        <v>37.285</v>
      </c>
      <c r="F4118" s="6" t="n">
        <f aca="false">Sens!E4118*(1+Sens!F4119)</f>
        <v>39.0720834331704</v>
      </c>
      <c r="G4118" s="6" t="n">
        <f aca="false">Sens!F4118*(1+Sens!G4119)</f>
        <v>40.726562953769</v>
      </c>
      <c r="H4118" s="6" t="n">
        <f aca="false">Sens!G4118*(1+Sens!H4119)</f>
        <v>42.2235987259198</v>
      </c>
      <c r="I4118" s="6" t="n">
        <f aca="false">Sens!H4118*(1+Sens!I4119)</f>
        <v>43.5397988077414</v>
      </c>
      <c r="J4118" s="6" t="n">
        <f aca="false">Sens!I4118*(1+Sens!J4119)</f>
        <v>44.653811225693</v>
      </c>
      <c r="K4118" s="6" t="n">
        <f aca="false">Sens!J4118*(1+Sens!K4119)</f>
        <v>45.5468874502068</v>
      </c>
    </row>
    <row r="4119" customFormat="false" ht="15" hidden="false" customHeight="false" outlineLevel="0" collapsed="false">
      <c r="A4119" s="1" t="s">
        <v>782</v>
      </c>
      <c r="B4119" s="0" t="s">
        <v>126</v>
      </c>
      <c r="E4119" s="7" t="n">
        <f aca="false">Sens!E4118/Sens!D4118-1</f>
        <v>0.0535164307309768</v>
      </c>
      <c r="F4119" s="7" t="n">
        <f aca="false">Sens!$E$4119+(glt_lic-Sens!$E$4119)*MIN(1,1/n_conv)</f>
        <v>0.0479303589424807</v>
      </c>
      <c r="G4119" s="7" t="n">
        <f aca="false">Sens!$E$4119+(glt_lic-Sens!$E$4119)*MIN(1,2/n_conv)</f>
        <v>0.0423442871539845</v>
      </c>
      <c r="H4119" s="7" t="n">
        <f aca="false">Sens!$E$4119+(glt_lic-Sens!$E$4119)*MIN(1,3/n_conv)</f>
        <v>0.0367582153654884</v>
      </c>
      <c r="I4119" s="7" t="n">
        <f aca="false">Sens!$E$4119+(glt_lic-Sens!$E$4119)*MIN(1,4/n_conv)</f>
        <v>0.0311721435769923</v>
      </c>
      <c r="J4119" s="7" t="n">
        <f aca="false">Sens!$E$4119+(glt_lic-Sens!$E$4119)*MIN(1,5/n_conv)</f>
        <v>0.0255860717884961</v>
      </c>
      <c r="K4119" s="7" t="n">
        <f aca="false">Sens!$E$4119+(glt_lic-Sens!$E$4119)*MIN(1,6/n_conv)</f>
        <v>0.02</v>
      </c>
    </row>
    <row r="4120" customFormat="false" ht="15" hidden="false" customHeight="false" outlineLevel="0" collapsed="false">
      <c r="A4120" s="0" t="s">
        <v>790</v>
      </c>
      <c r="B4120" s="0" t="s">
        <v>95</v>
      </c>
      <c r="D4120" s="6" t="n">
        <f aca="false">Q!L9</f>
        <v>18.417</v>
      </c>
      <c r="E4120" s="6" t="n">
        <f aca="false">Q!M9</f>
        <v>20.345</v>
      </c>
      <c r="F4120" s="6" t="n">
        <f aca="false">Sens!E4120*(1+Sens!F4121)</f>
        <v>22.3572203267814</v>
      </c>
      <c r="G4120" s="6" t="n">
        <f aca="false">Sens!F4120*(1+Sens!G4121)</f>
        <v>24.4392124437232</v>
      </c>
      <c r="H4120" s="6" t="n">
        <f aca="false">Sens!G4120*(1+Sens!H4121)</f>
        <v>26.5738052080665</v>
      </c>
      <c r="I4120" s="6" t="n">
        <f aca="false">Sens!H4120*(1+Sens!I4121)</f>
        <v>28.7412169166967</v>
      </c>
      <c r="J4120" s="6" t="n">
        <f aca="false">Sens!I4120*(1+Sens!J4121)</f>
        <v>30.9192545395413</v>
      </c>
      <c r="K4120" s="6" t="n">
        <f aca="false">Sens!J4120*(1+Sens!K4121)</f>
        <v>33.0836023573092</v>
      </c>
    </row>
    <row r="4121" customFormat="false" ht="15" hidden="false" customHeight="false" outlineLevel="0" collapsed="false">
      <c r="A4121" s="1" t="s">
        <v>782</v>
      </c>
      <c r="B4121" s="0" t="s">
        <v>126</v>
      </c>
      <c r="E4121" s="7" t="n">
        <f aca="false">Sens!E4120/Sens!D4120-1</f>
        <v>0.104685888038225</v>
      </c>
      <c r="F4121" s="7" t="n">
        <f aca="false">Sens!$E$4121+(glt_ind-Sens!$E$4121)*MIN(1,1/n_conv)</f>
        <v>0.0989049066985211</v>
      </c>
      <c r="G4121" s="7" t="n">
        <f aca="false">Sens!$E$4121+(glt_ind-Sens!$E$4121)*MIN(1,2/n_conv)</f>
        <v>0.0931239253588169</v>
      </c>
      <c r="H4121" s="7" t="n">
        <f aca="false">Sens!$E$4121+(glt_ind-Sens!$E$4121)*MIN(1,3/n_conv)</f>
        <v>0.0873429440191127</v>
      </c>
      <c r="I4121" s="7" t="n">
        <f aca="false">Sens!$E$4121+(glt_ind-Sens!$E$4121)*MIN(1,4/n_conv)</f>
        <v>0.0815619626794085</v>
      </c>
      <c r="J4121" s="7" t="n">
        <f aca="false">Sens!$E$4121+(glt_ind-Sens!$E$4121)*MIN(1,5/n_conv)</f>
        <v>0.0757809813397042</v>
      </c>
      <c r="K4121" s="7" t="n">
        <f aca="false">Sens!$E$4121+(glt_ind-Sens!$E$4121)*MIN(1,6/n_conv)</f>
        <v>0.07</v>
      </c>
    </row>
    <row r="4122" customFormat="false" ht="15" hidden="false" customHeight="false" outlineLevel="0" collapsed="false">
      <c r="A4122" s="0" t="s">
        <v>791</v>
      </c>
      <c r="B4122" s="0" t="s">
        <v>95</v>
      </c>
      <c r="D4122" s="6" t="n">
        <f aca="false">Q!L10</f>
        <v>7.76</v>
      </c>
      <c r="E4122" s="6" t="n">
        <f aca="false">Q!M10</f>
        <v>8.26</v>
      </c>
      <c r="F4122" s="6" t="n">
        <f aca="false">Sens!E4122*(1+Sens!F4123)</f>
        <v>8.79988041237113</v>
      </c>
      <c r="G4122" s="6" t="n">
        <f aca="false">Sens!F4122*(1+Sens!G4123)</f>
        <v>9.38321269125306</v>
      </c>
      <c r="H4122" s="6" t="n">
        <f aca="false">Sens!G4122*(1+Sens!H4123)</f>
        <v>10.0139193587476</v>
      </c>
      <c r="I4122" s="6" t="n">
        <f aca="false">Sens!H4122*(1+Sens!I4123)</f>
        <v>10.6963111830911</v>
      </c>
      <c r="J4122" s="6" t="n">
        <f aca="false">Sens!I4122*(1+Sens!J4123)</f>
        <v>11.4351285534696</v>
      </c>
      <c r="K4122" s="6" t="n">
        <f aca="false">Sens!J4122*(1+Sens!K4123)</f>
        <v>12.2355875522124</v>
      </c>
    </row>
    <row r="4123" customFormat="false" ht="15" hidden="false" customHeight="false" outlineLevel="0" collapsed="false">
      <c r="A4123" s="1" t="s">
        <v>782</v>
      </c>
      <c r="B4123" s="0" t="s">
        <v>126</v>
      </c>
      <c r="E4123" s="7" t="n">
        <f aca="false">Sens!E4122/Sens!D4122-1</f>
        <v>0.0644329896907216</v>
      </c>
      <c r="F4123" s="7" t="n">
        <f aca="false">Sens!$E$4123+(glt_fro-Sens!$E$4123)*MIN(1,1/n_conv)</f>
        <v>0.065360824742268</v>
      </c>
      <c r="G4123" s="7" t="n">
        <f aca="false">Sens!$E$4123+(glt_fro-Sens!$E$4123)*MIN(1,2/n_conv)</f>
        <v>0.0662886597938144</v>
      </c>
      <c r="H4123" s="7" t="n">
        <f aca="false">Sens!$E$4123+(glt_fro-Sens!$E$4123)*MIN(1,3/n_conv)</f>
        <v>0.0672164948453608</v>
      </c>
      <c r="I4123" s="7" t="n">
        <f aca="false">Sens!$E$4123+(glt_fro-Sens!$E$4123)*MIN(1,4/n_conv)</f>
        <v>0.0681443298969072</v>
      </c>
      <c r="J4123" s="7" t="n">
        <f aca="false">Sens!$E$4123+(glt_fro-Sens!$E$4123)*MIN(1,5/n_conv)</f>
        <v>0.0690721649484536</v>
      </c>
      <c r="K4123" s="7" t="n">
        <f aca="false">Sens!$E$4123+(glt_fro-Sens!$E$4123)*MIN(1,6/n_conv)</f>
        <v>0.07</v>
      </c>
    </row>
    <row r="4124" customFormat="false" ht="15" hidden="false" customHeight="false" outlineLevel="0" collapsed="false">
      <c r="A4124" s="0" t="s">
        <v>626</v>
      </c>
      <c r="B4124" s="0" t="s">
        <v>95</v>
      </c>
      <c r="D4124" s="6" t="n">
        <f aca="false">Sens!D4112+Sens!D4117+Sens!D4118+Sens!D4120+Sens!D4122</f>
        <v>218.783</v>
      </c>
      <c r="E4124" s="6" t="n">
        <f aca="false">Sens!E4112+Sens!E4117+Sens!E4118+Sens!E4120+Sens!E4122</f>
        <v>268.127</v>
      </c>
      <c r="F4124" s="6" t="n">
        <f aca="false">Sens!F4112+Sens!F4117+Sens!F4118+Sens!F4120+Sens!F4122</f>
        <v>328.363433064856</v>
      </c>
      <c r="G4124" s="6" t="n">
        <f aca="false">Sens!G4112+Sens!G4117+Sens!G4118+Sens!G4120+Sens!G4122</f>
        <v>389.269865673274</v>
      </c>
      <c r="H4124" s="6" t="n">
        <f aca="false">Sens!H4112+Sens!H4117+Sens!H4118+Sens!H4120+Sens!H4122</f>
        <v>445.756320871193</v>
      </c>
      <c r="I4124" s="6" t="n">
        <f aca="false">Sens!I4112+Sens!I4117+Sens!I4118+Sens!I4120+Sens!I4122</f>
        <v>507.913725227984</v>
      </c>
      <c r="J4124" s="6" t="n">
        <f aca="false">Sens!J4112+Sens!J4117+Sens!J4118+Sens!J4120+Sens!J4122</f>
        <v>567.216533091392</v>
      </c>
      <c r="K4124" s="6" t="n">
        <f aca="false">Sens!K4112+Sens!K4117+Sens!K4118+Sens!K4120+Sens!K4122</f>
        <v>623.027603978669</v>
      </c>
    </row>
    <row r="4125" customFormat="false" ht="15" hidden="false" customHeight="false" outlineLevel="0" collapsed="false">
      <c r="A4125" s="0" t="s">
        <v>792</v>
      </c>
      <c r="B4125" s="0" t="s">
        <v>95</v>
      </c>
      <c r="D4125" s="6" t="n">
        <f aca="false">Q!L13</f>
        <v>22.171</v>
      </c>
      <c r="E4125" s="6" t="n">
        <f aca="false">Q!M13</f>
        <v>24.835</v>
      </c>
      <c r="F4125" s="6" t="n">
        <f aca="false">Sens!E4125*(1+Sens!F4126)</f>
        <v>27.6114901218559</v>
      </c>
      <c r="G4125" s="6" t="n">
        <f aca="false">Sens!F4125*(1+Sens!G4126)</f>
        <v>30.4675667338515</v>
      </c>
      <c r="H4125" s="6" t="n">
        <f aca="false">Sens!G4125*(1+Sens!H4126)</f>
        <v>33.3643766955789</v>
      </c>
      <c r="I4125" s="6" t="n">
        <f aca="false">Sens!H4125*(1+Sens!I4126)</f>
        <v>36.2577016533691</v>
      </c>
      <c r="J4125" s="6" t="n">
        <f aca="false">Sens!I4125*(1+Sens!J4126)</f>
        <v>39.0988367952171</v>
      </c>
      <c r="K4125" s="6" t="n">
        <f aca="false">Sens!J4125*(1+Sens!K4126)</f>
        <v>41.8357553708823</v>
      </c>
    </row>
    <row r="4126" customFormat="false" ht="15" hidden="false" customHeight="false" outlineLevel="0" collapsed="false">
      <c r="A4126" s="1" t="s">
        <v>782</v>
      </c>
      <c r="B4126" s="0" t="s">
        <v>126</v>
      </c>
      <c r="E4126" s="7" t="n">
        <f aca="false">Sens!E4125/Sens!D4125-1</f>
        <v>0.120156961796942</v>
      </c>
      <c r="F4126" s="7" t="n">
        <f aca="false">Sens!$E$4126+(glt_srch-Sens!$E$4126)*MIN(1,1/n_conv)</f>
        <v>0.111797468164118</v>
      </c>
      <c r="G4126" s="7" t="n">
        <f aca="false">Sens!$E$4126+(glt_srch-Sens!$E$4126)*MIN(1,2/n_conv)</f>
        <v>0.103437974531295</v>
      </c>
      <c r="H4126" s="7" t="n">
        <f aca="false">Sens!$E$4126+(glt_srch-Sens!$E$4126)*MIN(1,3/n_conv)</f>
        <v>0.095078480898471</v>
      </c>
      <c r="I4126" s="7" t="n">
        <f aca="false">Sens!$E$4126+(glt_srch-Sens!$E$4126)*MIN(1,4/n_conv)</f>
        <v>0.0867189872656474</v>
      </c>
      <c r="J4126" s="7" t="n">
        <f aca="false">Sens!$E$4126+(glt_srch-Sens!$E$4126)*MIN(1,5/n_conv)</f>
        <v>0.0783594936328237</v>
      </c>
      <c r="K4126" s="7" t="n">
        <f aca="false">Sens!$E$4126+(glt_srch-Sens!$E$4126)*MIN(1,6/n_conv)</f>
        <v>0.07</v>
      </c>
    </row>
    <row r="4127" customFormat="false" ht="15" hidden="false" customHeight="false" outlineLevel="0" collapsed="false">
      <c r="A4127" s="0" t="s">
        <v>793</v>
      </c>
      <c r="B4127" s="0" t="s">
        <v>95</v>
      </c>
      <c r="D4127" s="6" t="n">
        <f aca="false">Q!L14</f>
        <v>23.455</v>
      </c>
      <c r="E4127" s="6" t="n">
        <f aca="false">Q!M14</f>
        <v>21.79</v>
      </c>
      <c r="F4127" s="6" t="n">
        <f aca="false">Sens!E4127*(1+Sens!F4128)</f>
        <v>20.5736277908051</v>
      </c>
      <c r="G4127" s="6" t="n">
        <f aca="false">Sens!F4127*(1+Sens!G4128)</f>
        <v>19.7371452817919</v>
      </c>
      <c r="H4127" s="6" t="n">
        <f aca="false">Sens!G4127*(1+Sens!H4128)</f>
        <v>19.2339764043138</v>
      </c>
      <c r="I4127" s="6" t="n">
        <f aca="false">Sens!H4127*(1+Sens!I4128)</f>
        <v>19.0353086852681</v>
      </c>
      <c r="J4127" s="6" t="n">
        <f aca="false">Sens!I4127*(1+Sens!J4128)</f>
        <v>19.1273539319129</v>
      </c>
      <c r="K4127" s="6" t="n">
        <f aca="false">Sens!J4127*(1+Sens!K4128)</f>
        <v>19.5099010105511</v>
      </c>
    </row>
    <row r="4128" customFormat="false" ht="15" hidden="false" customHeight="false" outlineLevel="0" collapsed="false">
      <c r="A4128" s="1" t="s">
        <v>782</v>
      </c>
      <c r="B4128" s="0" t="s">
        <v>126</v>
      </c>
      <c r="E4128" s="7" t="n">
        <f aca="false">Sens!E4127/Sens!D4127-1</f>
        <v>-0.0709869963760392</v>
      </c>
      <c r="F4128" s="7" t="n">
        <f aca="false">Sens!$E$4128+(glt_xbox-Sens!$E$4128)*MIN(1,1/n_conv)</f>
        <v>-0.0558224969800327</v>
      </c>
      <c r="G4128" s="7" t="n">
        <f aca="false">Sens!$E$4128+(glt_xbox-Sens!$E$4128)*MIN(1,2/n_conv)</f>
        <v>-0.0406579975840262</v>
      </c>
      <c r="H4128" s="7" t="n">
        <f aca="false">Sens!$E$4128+(glt_xbox-Sens!$E$4128)*MIN(1,3/n_conv)</f>
        <v>-0.0254934981880196</v>
      </c>
      <c r="I4128" s="7" t="n">
        <f aca="false">Sens!$E$4128+(glt_xbox-Sens!$E$4128)*MIN(1,4/n_conv)</f>
        <v>-0.0103289987920131</v>
      </c>
      <c r="J4128" s="7" t="n">
        <f aca="false">Sens!$E$4128+(glt_xbox-Sens!$E$4128)*MIN(1,5/n_conv)</f>
        <v>0.00483550060399347</v>
      </c>
      <c r="K4128" s="7" t="n">
        <f aca="false">Sens!$E$4128+(glt_xbox-Sens!$E$4128)*MIN(1,6/n_conv)</f>
        <v>0.02</v>
      </c>
    </row>
    <row r="4129" customFormat="false" ht="15" hidden="false" customHeight="false" outlineLevel="0" collapsed="false">
      <c r="A4129" s="0" t="s">
        <v>794</v>
      </c>
      <c r="B4129" s="0" t="s">
        <v>95</v>
      </c>
      <c r="D4129" s="6" t="n">
        <f aca="false">Q!L15</f>
        <v>17.315</v>
      </c>
      <c r="E4129" s="6" t="n">
        <f aca="false">Q!M15</f>
        <v>17.087</v>
      </c>
      <c r="F4129" s="6" t="n">
        <f aca="false">Sens!E4129*(1+Sens!F4130)</f>
        <v>16.9564585436519</v>
      </c>
      <c r="G4129" s="6" t="n">
        <f aca="false">Sens!F4129*(1+Sens!G4130)</f>
        <v>16.9206490624268</v>
      </c>
      <c r="H4129" s="6" t="n">
        <f aca="false">Sens!G4129*(1+Sens!H4130)</f>
        <v>16.9784519149849</v>
      </c>
      <c r="I4129" s="6" t="n">
        <f aca="false">Sens!H4129*(1+Sens!I4130)</f>
        <v>17.1303084701817</v>
      </c>
      <c r="J4129" s="6" t="n">
        <f aca="false">Sens!I4129*(1+Sens!J4130)</f>
        <v>17.3782189407267</v>
      </c>
      <c r="K4129" s="6" t="n">
        <f aca="false">Sens!J4129*(1+Sens!K4130)</f>
        <v>17.7257833195413</v>
      </c>
    </row>
    <row r="4130" customFormat="false" ht="15" hidden="false" customHeight="false" outlineLevel="0" collapsed="false">
      <c r="A4130" s="1" t="s">
        <v>782</v>
      </c>
      <c r="B4130" s="0" t="s">
        <v>126</v>
      </c>
      <c r="E4130" s="7" t="n">
        <f aca="false">Sens!E4129/Sens!D4129-1</f>
        <v>-0.0131677736066995</v>
      </c>
      <c r="F4130" s="7" t="n">
        <f aca="false">Sens!$E$4130+(glt_win-Sens!$E$4130)*MIN(1,1/n_conv)</f>
        <v>-0.00763981133891627</v>
      </c>
      <c r="G4130" s="7" t="n">
        <f aca="false">Sens!$E$4130+(glt_win-Sens!$E$4130)*MIN(1,2/n_conv)</f>
        <v>-0.00211184907113301</v>
      </c>
      <c r="H4130" s="7" t="n">
        <f aca="false">Sens!$E$4130+(glt_win-Sens!$E$4130)*MIN(1,3/n_conv)</f>
        <v>0.00341611319665024</v>
      </c>
      <c r="I4130" s="7" t="n">
        <f aca="false">Sens!$E$4130+(glt_win-Sens!$E$4130)*MIN(1,4/n_conv)</f>
        <v>0.00894407546443349</v>
      </c>
      <c r="J4130" s="7" t="n">
        <f aca="false">Sens!$E$4130+(glt_win-Sens!$E$4130)*MIN(1,5/n_conv)</f>
        <v>0.0144720377322168</v>
      </c>
      <c r="K4130" s="7" t="n">
        <f aca="false">Sens!$E$4130+(glt_win-Sens!$E$4130)*MIN(1,6/n_conv)</f>
        <v>0.02</v>
      </c>
    </row>
    <row r="4131" customFormat="false" ht="15" hidden="false" customHeight="false" outlineLevel="0" collapsed="false">
      <c r="A4131" s="0" t="s">
        <v>640</v>
      </c>
      <c r="B4131" s="0" t="s">
        <v>95</v>
      </c>
      <c r="D4131" s="6" t="n">
        <f aca="false">Sens!D4125+Sens!D4127+Sens!D4129</f>
        <v>62.941</v>
      </c>
      <c r="E4131" s="6" t="n">
        <f aca="false">Sens!E4125+Sens!E4127+Sens!E4129</f>
        <v>63.712</v>
      </c>
      <c r="F4131" s="6" t="n">
        <f aca="false">Sens!F4125+Sens!F4127+Sens!F4129</f>
        <v>65.1415764563129</v>
      </c>
      <c r="G4131" s="6" t="n">
        <f aca="false">Sens!G4125+Sens!G4127+Sens!G4129</f>
        <v>67.1253610780702</v>
      </c>
      <c r="H4131" s="6" t="n">
        <f aca="false">Sens!H4125+Sens!H4127+Sens!H4129</f>
        <v>69.5768050148776</v>
      </c>
      <c r="I4131" s="6" t="n">
        <f aca="false">Sens!I4125+Sens!I4127+Sens!I4129</f>
        <v>72.4233188088189</v>
      </c>
      <c r="J4131" s="6" t="n">
        <f aca="false">Sens!J4125+Sens!J4127+Sens!J4129</f>
        <v>75.6044096678567</v>
      </c>
      <c r="K4131" s="6" t="n">
        <f aca="false">Sens!K4125+Sens!K4127+Sens!K4129</f>
        <v>79.0714397009747</v>
      </c>
    </row>
    <row r="4132" customFormat="false" ht="15" hidden="false" customHeight="false" outlineLevel="0" collapsed="false">
      <c r="A4132" s="1" t="s">
        <v>795</v>
      </c>
      <c r="B4132" s="0" t="s">
        <v>95</v>
      </c>
      <c r="D4132" s="6" t="n">
        <f aca="false">Sens!D4124+Sens!D4131</f>
        <v>281.724</v>
      </c>
      <c r="E4132" s="6" t="n">
        <f aca="false">Sens!E4124+Sens!E4131</f>
        <v>331.839</v>
      </c>
      <c r="F4132" s="6" t="n">
        <f aca="false">Sens!F4124+Sens!F4131</f>
        <v>393.505009521169</v>
      </c>
      <c r="G4132" s="6" t="n">
        <f aca="false">Sens!G4124+Sens!G4131</f>
        <v>456.395226751344</v>
      </c>
      <c r="H4132" s="6" t="n">
        <f aca="false">Sens!H4124+Sens!H4131</f>
        <v>515.333125886071</v>
      </c>
      <c r="I4132" s="6" t="n">
        <f aca="false">Sens!I4124+Sens!I4131</f>
        <v>580.337044036803</v>
      </c>
      <c r="J4132" s="6" t="n">
        <f aca="false">Sens!J4124+Sens!J4131</f>
        <v>642.820942759249</v>
      </c>
      <c r="K4132" s="6" t="n">
        <f aca="false">Sens!K4124+Sens!K4131</f>
        <v>702.099043679644</v>
      </c>
    </row>
    <row r="4133" customFormat="false" ht="15" hidden="false" customHeight="false" outlineLevel="0" collapsed="false">
      <c r="A4133" s="22" t="s">
        <v>796</v>
      </c>
      <c r="B4133" s="28" t="s">
        <v>95</v>
      </c>
      <c r="C4133" s="28"/>
      <c r="D4133" s="23" t="n">
        <f aca="false">(Sens!D4112+Sens!D4117+Sens!D4118+Sens!D4120+Sens!D4122-Sens!D4124)+(Sens!D4125+Sens!D4127+Sens!D4129-Sens!D4131)+(Sens!D4124-Q!L5)+(Sens!D4131-Q!L12)+(Sens!D4112-Q!L6)+(Sens!D4117-Q!L7)</f>
        <v>0</v>
      </c>
      <c r="E4133" s="23" t="n">
        <f aca="false">(Sens!E4112+Sens!E4117+Sens!E4118+Sens!E4120+Sens!E4122-Sens!E4124)+(Sens!E4125+Sens!E4127+Sens!E4129-Sens!E4131)+(Sens!E4124-Q!M5)+(Sens!E4131-Q!M12)+(Sens!E4112-Q!M6)+(Sens!E4117-Q!M7)</f>
        <v>0</v>
      </c>
      <c r="F4133" s="23" t="n">
        <f aca="false">(Sens!F4112+Sens!F4117+Sens!F4118+Sens!F4120+Sens!F4122-Sens!F4124)+(Sens!F4125+Sens!F4127+Sens!F4129-Sens!F4131)</f>
        <v>0</v>
      </c>
      <c r="G4133" s="23" t="n">
        <f aca="false">(Sens!G4112+Sens!G4117+Sens!G4118+Sens!G4120+Sens!G4122-Sens!G4124)+(Sens!G4125+Sens!G4127+Sens!G4129-Sens!G4131)</f>
        <v>0</v>
      </c>
      <c r="H4133" s="23" t="n">
        <f aca="false">(Sens!H4112+Sens!H4117+Sens!H4118+Sens!H4120+Sens!H4122-Sens!H4124)+(Sens!H4125+Sens!H4127+Sens!H4129-Sens!H4131)</f>
        <v>0</v>
      </c>
      <c r="I4133" s="23" t="n">
        <f aca="false">(Sens!I4112+Sens!I4117+Sens!I4118+Sens!I4120+Sens!I4122-Sens!I4124)+(Sens!I4125+Sens!I4127+Sens!I4129-Sens!I4131)</f>
        <v>0</v>
      </c>
      <c r="J4133" s="23" t="n">
        <f aca="false">(Sens!J4112+Sens!J4117+Sens!J4118+Sens!J4120+Sens!J4122-Sens!J4124)+(Sens!J4125+Sens!J4127+Sens!J4129-Sens!J4131)</f>
        <v>0</v>
      </c>
      <c r="K4133" s="23" t="n">
        <f aca="false">(Sens!K4112+Sens!K4117+Sens!K4118+Sens!K4120+Sens!K4122-Sens!K4124)+(Sens!K4125+Sens!K4127+Sens!K4129-Sens!K4131)</f>
        <v>0</v>
      </c>
    </row>
    <row r="4134" customFormat="false" ht="17.15" hidden="false" customHeight="false" outlineLevel="0" collapsed="false">
      <c r="A4134" s="3" t="s">
        <v>1231</v>
      </c>
    </row>
    <row r="4135" customFormat="false" ht="15" hidden="false" customHeight="false" outlineLevel="0" collapsed="false">
      <c r="A4135" s="4" t="s">
        <v>43</v>
      </c>
      <c r="B4135" s="4" t="s">
        <v>63</v>
      </c>
      <c r="C4135" s="19" t="s">
        <v>710</v>
      </c>
      <c r="D4135" s="19" t="s">
        <v>711</v>
      </c>
      <c r="E4135" s="19" t="s">
        <v>712</v>
      </c>
      <c r="F4135" s="19" t="s">
        <v>713</v>
      </c>
      <c r="G4135" s="19" t="s">
        <v>714</v>
      </c>
      <c r="H4135" s="19" t="s">
        <v>715</v>
      </c>
      <c r="I4135" s="19" t="s">
        <v>716</v>
      </c>
      <c r="J4135" s="19" t="s">
        <v>717</v>
      </c>
      <c r="K4135" s="19" t="s">
        <v>718</v>
      </c>
      <c r="L4135" s="4" t="s">
        <v>47</v>
      </c>
    </row>
    <row r="4136" customFormat="false" ht="15" hidden="false" customHeight="false" outlineLevel="0" collapsed="false">
      <c r="A4136" s="0" t="s">
        <v>783</v>
      </c>
      <c r="B4136" s="0" t="s">
        <v>95</v>
      </c>
      <c r="D4136" s="6" t="n">
        <f aca="false">Sens!D4112</f>
        <v>72.61</v>
      </c>
      <c r="E4136" s="6" t="n">
        <f aca="false">Sens!E4112</f>
        <v>101.938</v>
      </c>
      <c r="F4136" s="6" t="n">
        <f aca="false">Sens!F4112</f>
        <v>140.741861125673</v>
      </c>
      <c r="G4136" s="6" t="n">
        <f aca="false">Sens!G4112</f>
        <v>182.176709135845</v>
      </c>
      <c r="H4136" s="6" t="n">
        <f aca="false">Sens!H4112</f>
        <v>219.167638189678</v>
      </c>
      <c r="I4136" s="6" t="n">
        <f aca="false">Sens!I4112</f>
        <v>262.852370248498</v>
      </c>
      <c r="J4136" s="6" t="n">
        <f aca="false">Sens!J4112</f>
        <v>305.025635987223</v>
      </c>
      <c r="K4136" s="6" t="n">
        <f aca="false">Sens!K4112</f>
        <v>344.633534638493</v>
      </c>
    </row>
    <row r="4137" customFormat="false" ht="17.15" hidden="false" customHeight="false" outlineLevel="0" collapsed="false">
      <c r="A4137" s="0" t="s">
        <v>780</v>
      </c>
      <c r="B4137" s="0" t="s">
        <v>95</v>
      </c>
      <c r="D4137" s="6" t="n">
        <f aca="false">Sens!D4109</f>
        <v>12.9359794422418</v>
      </c>
      <c r="E4137" s="6" t="n">
        <f aca="false">Sens!E4109</f>
        <v>27.8095064661409</v>
      </c>
      <c r="F4137" s="6" t="n">
        <f aca="false">Sens!F4109</f>
        <v>50.6619113883066</v>
      </c>
      <c r="G4137" s="6" t="n">
        <f aca="false">Sens!G4109</f>
        <v>75.1482839325348</v>
      </c>
      <c r="H4137" s="6" t="n">
        <f aca="false">Sens!H4109</f>
        <v>94.895655604042</v>
      </c>
      <c r="I4137" s="6" t="n">
        <f aca="false">Sens!I4109</f>
        <v>121.918667866643</v>
      </c>
      <c r="J4137" s="6" t="n">
        <f aca="false">Sens!J4109</f>
        <v>149.006768672892</v>
      </c>
      <c r="K4137" s="6" t="n">
        <f aca="false">Sens!K4109</f>
        <v>176.133157939015</v>
      </c>
    </row>
    <row r="4138" customFormat="false" ht="17.15" hidden="false" customHeight="false" outlineLevel="0" collapsed="false">
      <c r="A4138" s="0" t="s">
        <v>807</v>
      </c>
      <c r="B4138" s="0" t="s">
        <v>95</v>
      </c>
      <c r="D4138" s="6" t="n">
        <f aca="false">Sens!D4110</f>
        <v>59.6740205577583</v>
      </c>
      <c r="E4138" s="6" t="n">
        <f aca="false">Sens!E4110</f>
        <v>74.1284935338591</v>
      </c>
      <c r="F4138" s="6" t="n">
        <f aca="false">Sens!F4110</f>
        <v>90.0799497373663</v>
      </c>
      <c r="G4138" s="6" t="n">
        <f aca="false">Sens!G4110</f>
        <v>107.02842520331</v>
      </c>
      <c r="H4138" s="6" t="n">
        <f aca="false">Sens!H4110</f>
        <v>124.271982585636</v>
      </c>
      <c r="I4138" s="6" t="n">
        <f aca="false">Sens!I4110</f>
        <v>140.933702381855</v>
      </c>
      <c r="J4138" s="6" t="n">
        <f aca="false">Sens!J4110</f>
        <v>156.018867314332</v>
      </c>
      <c r="K4138" s="6" t="n">
        <f aca="false">Sens!K4110</f>
        <v>168.500376699478</v>
      </c>
    </row>
    <row r="4139" customFormat="false" ht="15" hidden="false" customHeight="false" outlineLevel="0" collapsed="false">
      <c r="A4139" s="0" t="s">
        <v>788</v>
      </c>
      <c r="B4139" s="0" t="s">
        <v>95</v>
      </c>
      <c r="D4139" s="6" t="n">
        <f aca="false">Sens!D4117</f>
        <v>84.605</v>
      </c>
      <c r="E4139" s="6" t="n">
        <f aca="false">Sens!E4117</f>
        <v>100.299</v>
      </c>
      <c r="F4139" s="6" t="n">
        <f aca="false">Sens!F4117</f>
        <v>117.39238776686</v>
      </c>
      <c r="G4139" s="6" t="n">
        <f aca="false">Sens!G4117</f>
        <v>132.544168448684</v>
      </c>
      <c r="H4139" s="6" t="n">
        <f aca="false">Sens!H4117</f>
        <v>147.777359388781</v>
      </c>
      <c r="I4139" s="6" t="n">
        <f aca="false">Sens!I4117</f>
        <v>162.084028071957</v>
      </c>
      <c r="J4139" s="6" t="n">
        <f aca="false">Sens!J4117</f>
        <v>175.182702785465</v>
      </c>
      <c r="K4139" s="6" t="n">
        <f aca="false">Sens!K4117</f>
        <v>187.527991980448</v>
      </c>
    </row>
    <row r="4140" customFormat="false" ht="17.15" hidden="false" customHeight="false" outlineLevel="0" collapsed="false">
      <c r="A4140" s="0" t="s">
        <v>808</v>
      </c>
      <c r="B4140" s="0" t="s">
        <v>95</v>
      </c>
      <c r="D4140" s="6" t="n">
        <f aca="false">Sens!D4115</f>
        <v>83.705</v>
      </c>
      <c r="E4140" s="6" t="n">
        <f aca="false">Sens!E4115</f>
        <v>95.049</v>
      </c>
      <c r="F4140" s="6" t="n">
        <f aca="false">Sens!F4115</f>
        <v>106.89238776686</v>
      </c>
      <c r="G4140" s="6" t="n">
        <f aca="false">Sens!G4115</f>
        <v>119.044168448684</v>
      </c>
      <c r="H4140" s="6" t="n">
        <f aca="false">Sens!H4115</f>
        <v>131.277359388781</v>
      </c>
      <c r="I4140" s="6" t="n">
        <f aca="false">Sens!I4115</f>
        <v>143.334028071957</v>
      </c>
      <c r="J4140" s="6" t="n">
        <f aca="false">Sens!J4115</f>
        <v>154.932702785465</v>
      </c>
      <c r="K4140" s="6" t="n">
        <f aca="false">Sens!K4115</f>
        <v>165.777991980448</v>
      </c>
    </row>
    <row r="4141" customFormat="false" ht="17.15" hidden="false" customHeight="false" outlineLevel="0" collapsed="false">
      <c r="A4141" s="0" t="s">
        <v>809</v>
      </c>
      <c r="B4141" s="0" t="s">
        <v>95</v>
      </c>
      <c r="D4141" s="6" t="n">
        <f aca="false">Sens!D4114</f>
        <v>0.9</v>
      </c>
      <c r="E4141" s="6" t="n">
        <f aca="false">Sens!E4114</f>
        <v>5.25</v>
      </c>
      <c r="F4141" s="6" t="n">
        <f aca="false">Sens!F4114</f>
        <v>10.5</v>
      </c>
      <c r="G4141" s="6" t="n">
        <f aca="false">Sens!G4114</f>
        <v>13.5</v>
      </c>
      <c r="H4141" s="6" t="n">
        <f aca="false">Sens!H4114</f>
        <v>16.5</v>
      </c>
      <c r="I4141" s="6" t="n">
        <f aca="false">Sens!I4114</f>
        <v>18.75</v>
      </c>
      <c r="J4141" s="6" t="n">
        <f aca="false">Sens!J4114</f>
        <v>20.25</v>
      </c>
      <c r="K4141" s="6" t="n">
        <f aca="false">Sens!K4114</f>
        <v>21.75</v>
      </c>
    </row>
    <row r="4142" customFormat="false" ht="15" hidden="false" customHeight="false" outlineLevel="0" collapsed="false">
      <c r="A4142" s="0" t="s">
        <v>789</v>
      </c>
      <c r="B4142" s="0" t="s">
        <v>95</v>
      </c>
      <c r="D4142" s="6" t="n">
        <f aca="false">Sens!D4118</f>
        <v>35.391</v>
      </c>
      <c r="E4142" s="6" t="n">
        <f aca="false">Sens!E4118</f>
        <v>37.285</v>
      </c>
      <c r="F4142" s="6" t="n">
        <f aca="false">Sens!F4118</f>
        <v>39.0720834331704</v>
      </c>
      <c r="G4142" s="6" t="n">
        <f aca="false">Sens!G4118</f>
        <v>40.726562953769</v>
      </c>
      <c r="H4142" s="6" t="n">
        <f aca="false">Sens!H4118</f>
        <v>42.2235987259198</v>
      </c>
      <c r="I4142" s="6" t="n">
        <f aca="false">Sens!I4118</f>
        <v>43.5397988077414</v>
      </c>
      <c r="J4142" s="6" t="n">
        <f aca="false">Sens!J4118</f>
        <v>44.653811225693</v>
      </c>
      <c r="K4142" s="6" t="n">
        <f aca="false">Sens!K4118</f>
        <v>45.5468874502068</v>
      </c>
    </row>
    <row r="4143" customFormat="false" ht="15" hidden="false" customHeight="false" outlineLevel="0" collapsed="false">
      <c r="A4143" s="0" t="s">
        <v>790</v>
      </c>
      <c r="B4143" s="0" t="s">
        <v>95</v>
      </c>
      <c r="D4143" s="6" t="n">
        <f aca="false">Sens!D4120</f>
        <v>18.417</v>
      </c>
      <c r="E4143" s="6" t="n">
        <f aca="false">Sens!E4120</f>
        <v>20.345</v>
      </c>
      <c r="F4143" s="6" t="n">
        <f aca="false">Sens!F4120</f>
        <v>22.3572203267814</v>
      </c>
      <c r="G4143" s="6" t="n">
        <f aca="false">Sens!G4120</f>
        <v>24.4392124437232</v>
      </c>
      <c r="H4143" s="6" t="n">
        <f aca="false">Sens!H4120</f>
        <v>26.5738052080665</v>
      </c>
      <c r="I4143" s="6" t="n">
        <f aca="false">Sens!I4120</f>
        <v>28.7412169166967</v>
      </c>
      <c r="J4143" s="6" t="n">
        <f aca="false">Sens!J4120</f>
        <v>30.9192545395413</v>
      </c>
      <c r="K4143" s="6" t="n">
        <f aca="false">Sens!K4120</f>
        <v>33.0836023573092</v>
      </c>
    </row>
    <row r="4144" customFormat="false" ht="15" hidden="false" customHeight="false" outlineLevel="0" collapsed="false">
      <c r="A4144" s="0" t="s">
        <v>791</v>
      </c>
      <c r="B4144" s="0" t="s">
        <v>95</v>
      </c>
      <c r="D4144" s="6" t="n">
        <f aca="false">Sens!D4122</f>
        <v>7.76</v>
      </c>
      <c r="E4144" s="6" t="n">
        <f aca="false">Sens!E4122</f>
        <v>8.26</v>
      </c>
      <c r="F4144" s="6" t="n">
        <f aca="false">Sens!F4122</f>
        <v>8.79988041237113</v>
      </c>
      <c r="G4144" s="6" t="n">
        <f aca="false">Sens!G4122</f>
        <v>9.38321269125306</v>
      </c>
      <c r="H4144" s="6" t="n">
        <f aca="false">Sens!H4122</f>
        <v>10.0139193587476</v>
      </c>
      <c r="I4144" s="6" t="n">
        <f aca="false">Sens!I4122</f>
        <v>10.6963111830911</v>
      </c>
      <c r="J4144" s="6" t="n">
        <f aca="false">Sens!J4122</f>
        <v>11.4351285534696</v>
      </c>
      <c r="K4144" s="6" t="n">
        <f aca="false">Sens!K4122</f>
        <v>12.2355875522124</v>
      </c>
    </row>
    <row r="4145" customFormat="false" ht="15" hidden="false" customHeight="false" outlineLevel="0" collapsed="false">
      <c r="A4145" s="0" t="s">
        <v>626</v>
      </c>
      <c r="B4145" s="0" t="s">
        <v>95</v>
      </c>
      <c r="D4145" s="6" t="n">
        <f aca="false">Sens!D4124</f>
        <v>218.783</v>
      </c>
      <c r="E4145" s="6" t="n">
        <f aca="false">Sens!E4124</f>
        <v>268.127</v>
      </c>
      <c r="F4145" s="6" t="n">
        <f aca="false">Sens!F4124</f>
        <v>328.363433064856</v>
      </c>
      <c r="G4145" s="6" t="n">
        <f aca="false">Sens!G4124</f>
        <v>389.269865673274</v>
      </c>
      <c r="H4145" s="6" t="n">
        <f aca="false">Sens!H4124</f>
        <v>445.756320871193</v>
      </c>
      <c r="I4145" s="6" t="n">
        <f aca="false">Sens!I4124</f>
        <v>507.913725227984</v>
      </c>
      <c r="J4145" s="6" t="n">
        <f aca="false">Sens!J4124</f>
        <v>567.216533091392</v>
      </c>
      <c r="K4145" s="6" t="n">
        <f aca="false">Sens!K4124</f>
        <v>623.027603978669</v>
      </c>
    </row>
    <row r="4146" customFormat="false" ht="15" hidden="false" customHeight="false" outlineLevel="0" collapsed="false">
      <c r="A4146" s="0" t="s">
        <v>792</v>
      </c>
      <c r="B4146" s="0" t="s">
        <v>95</v>
      </c>
      <c r="D4146" s="6" t="n">
        <f aca="false">Sens!D4125</f>
        <v>22.171</v>
      </c>
      <c r="E4146" s="6" t="n">
        <f aca="false">Sens!E4125</f>
        <v>24.835</v>
      </c>
      <c r="F4146" s="6" t="n">
        <f aca="false">Sens!F4125</f>
        <v>27.6114901218559</v>
      </c>
      <c r="G4146" s="6" t="n">
        <f aca="false">Sens!G4125</f>
        <v>30.4675667338515</v>
      </c>
      <c r="H4146" s="6" t="n">
        <f aca="false">Sens!H4125</f>
        <v>33.3643766955789</v>
      </c>
      <c r="I4146" s="6" t="n">
        <f aca="false">Sens!I4125</f>
        <v>36.2577016533691</v>
      </c>
      <c r="J4146" s="6" t="n">
        <f aca="false">Sens!J4125</f>
        <v>39.0988367952171</v>
      </c>
      <c r="K4146" s="6" t="n">
        <f aca="false">Sens!K4125</f>
        <v>41.8357553708823</v>
      </c>
    </row>
    <row r="4147" customFormat="false" ht="15" hidden="false" customHeight="false" outlineLevel="0" collapsed="false">
      <c r="A4147" s="0" t="s">
        <v>793</v>
      </c>
      <c r="B4147" s="0" t="s">
        <v>95</v>
      </c>
      <c r="D4147" s="6" t="n">
        <f aca="false">Sens!D4127</f>
        <v>23.455</v>
      </c>
      <c r="E4147" s="6" t="n">
        <f aca="false">Sens!E4127</f>
        <v>21.79</v>
      </c>
      <c r="F4147" s="6" t="n">
        <f aca="false">Sens!F4127</f>
        <v>20.5736277908051</v>
      </c>
      <c r="G4147" s="6" t="n">
        <f aca="false">Sens!G4127</f>
        <v>19.7371452817919</v>
      </c>
      <c r="H4147" s="6" t="n">
        <f aca="false">Sens!H4127</f>
        <v>19.2339764043138</v>
      </c>
      <c r="I4147" s="6" t="n">
        <f aca="false">Sens!I4127</f>
        <v>19.0353086852681</v>
      </c>
      <c r="J4147" s="6" t="n">
        <f aca="false">Sens!J4127</f>
        <v>19.1273539319129</v>
      </c>
      <c r="K4147" s="6" t="n">
        <f aca="false">Sens!K4127</f>
        <v>19.5099010105511</v>
      </c>
    </row>
    <row r="4148" customFormat="false" ht="15" hidden="false" customHeight="false" outlineLevel="0" collapsed="false">
      <c r="A4148" s="0" t="s">
        <v>794</v>
      </c>
      <c r="B4148" s="0" t="s">
        <v>95</v>
      </c>
      <c r="D4148" s="6" t="n">
        <f aca="false">Sens!D4129</f>
        <v>17.315</v>
      </c>
      <c r="E4148" s="6" t="n">
        <f aca="false">Sens!E4129</f>
        <v>17.087</v>
      </c>
      <c r="F4148" s="6" t="n">
        <f aca="false">Sens!F4129</f>
        <v>16.9564585436519</v>
      </c>
      <c r="G4148" s="6" t="n">
        <f aca="false">Sens!G4129</f>
        <v>16.9206490624268</v>
      </c>
      <c r="H4148" s="6" t="n">
        <f aca="false">Sens!H4129</f>
        <v>16.9784519149849</v>
      </c>
      <c r="I4148" s="6" t="n">
        <f aca="false">Sens!I4129</f>
        <v>17.1303084701817</v>
      </c>
      <c r="J4148" s="6" t="n">
        <f aca="false">Sens!J4129</f>
        <v>17.3782189407267</v>
      </c>
      <c r="K4148" s="6" t="n">
        <f aca="false">Sens!K4129</f>
        <v>17.7257833195413</v>
      </c>
    </row>
    <row r="4149" customFormat="false" ht="15" hidden="false" customHeight="false" outlineLevel="0" collapsed="false">
      <c r="A4149" s="0" t="s">
        <v>640</v>
      </c>
      <c r="B4149" s="0" t="s">
        <v>95</v>
      </c>
      <c r="D4149" s="6" t="n">
        <f aca="false">Sens!D4131</f>
        <v>62.941</v>
      </c>
      <c r="E4149" s="6" t="n">
        <f aca="false">Sens!E4131</f>
        <v>63.712</v>
      </c>
      <c r="F4149" s="6" t="n">
        <f aca="false">Sens!F4131</f>
        <v>65.1415764563129</v>
      </c>
      <c r="G4149" s="6" t="n">
        <f aca="false">Sens!G4131</f>
        <v>67.1253610780702</v>
      </c>
      <c r="H4149" s="6" t="n">
        <f aca="false">Sens!H4131</f>
        <v>69.5768050148776</v>
      </c>
      <c r="I4149" s="6" t="n">
        <f aca="false">Sens!I4131</f>
        <v>72.4233188088189</v>
      </c>
      <c r="J4149" s="6" t="n">
        <f aca="false">Sens!J4131</f>
        <v>75.6044096678567</v>
      </c>
      <c r="K4149" s="6" t="n">
        <f aca="false">Sens!K4131</f>
        <v>79.0714397009747</v>
      </c>
    </row>
    <row r="4150" customFormat="false" ht="15" hidden="false" customHeight="false" outlineLevel="0" collapsed="false">
      <c r="A4150" s="1" t="s">
        <v>810</v>
      </c>
      <c r="B4150" s="0" t="s">
        <v>95</v>
      </c>
      <c r="D4150" s="6" t="n">
        <f aca="false">Sens!D4132</f>
        <v>281.724</v>
      </c>
      <c r="E4150" s="6" t="n">
        <f aca="false">Sens!E4132</f>
        <v>331.839</v>
      </c>
      <c r="F4150" s="6" t="n">
        <f aca="false">Sens!F4132</f>
        <v>393.505009521169</v>
      </c>
      <c r="G4150" s="6" t="n">
        <f aca="false">Sens!G4132</f>
        <v>456.395226751344</v>
      </c>
      <c r="H4150" s="6" t="n">
        <f aca="false">Sens!H4132</f>
        <v>515.333125886071</v>
      </c>
      <c r="I4150" s="6" t="n">
        <f aca="false">Sens!I4132</f>
        <v>580.337044036803</v>
      </c>
      <c r="J4150" s="6" t="n">
        <f aca="false">Sens!J4132</f>
        <v>642.820942759249</v>
      </c>
      <c r="K4150" s="6" t="n">
        <f aca="false">Sens!K4132</f>
        <v>702.099043679644</v>
      </c>
    </row>
    <row r="4151" customFormat="false" ht="15" hidden="false" customHeight="false" outlineLevel="0" collapsed="false">
      <c r="A4151" s="1" t="s">
        <v>811</v>
      </c>
      <c r="B4151" s="0" t="s">
        <v>126</v>
      </c>
      <c r="E4151" s="7" t="n">
        <f aca="false">Sens!E4150/Sens!D4150-1</f>
        <v>0.177886867998467</v>
      </c>
      <c r="F4151" s="7" t="n">
        <f aca="false">Sens!F4150/Sens!E4150-1</f>
        <v>0.185831109427067</v>
      </c>
      <c r="G4151" s="7" t="n">
        <f aca="false">Sens!G4150/Sens!F4150-1</f>
        <v>0.159820626697237</v>
      </c>
      <c r="H4151" s="7" t="n">
        <f aca="false">Sens!H4150/Sens!G4150-1</f>
        <v>0.129137851756801</v>
      </c>
      <c r="I4151" s="7" t="n">
        <f aca="false">Sens!I4150/Sens!H4150-1</f>
        <v>0.126139607344208</v>
      </c>
      <c r="J4151" s="7" t="n">
        <f aca="false">Sens!J4150/Sens!I4150-1</f>
        <v>0.107668292700756</v>
      </c>
      <c r="K4151" s="7" t="n">
        <f aca="false">Sens!K4150/Sens!J4150-1</f>
        <v>0.0922155719848661</v>
      </c>
    </row>
    <row r="4152" customFormat="false" ht="17.15" hidden="false" customHeight="false" outlineLevel="0" collapsed="false">
      <c r="A4152" s="22" t="s">
        <v>812</v>
      </c>
      <c r="B4152" s="28" t="s">
        <v>95</v>
      </c>
      <c r="C4152" s="28"/>
      <c r="D4152" s="23" t="n">
        <f aca="false">(Sens!D4145+Sens!D4149-Sens!D4150)+(Sens!D4137+Sens!D4138-Sens!D4136)+(Sens!D4140+Sens!D4141-Sens!D4139)+(Sens!D4150-Q!L18)</f>
        <v>0</v>
      </c>
      <c r="E4152" s="23" t="n">
        <f aca="false">(Sens!E4145+Sens!E4149-Sens!E4150)+(Sens!E4137+Sens!E4138-Sens!E4136)+(Sens!E4140+Sens!E4141-Sens!E4139)+(Sens!E4150-Q!M18)</f>
        <v>0</v>
      </c>
      <c r="F4152" s="23" t="n">
        <f aca="false">(Sens!F4145+Sens!F4149-Sens!F4150)+(Sens!F4137+Sens!F4138-Sens!F4136)+(Sens!F4140+Sens!F4141-Sens!F4139)</f>
        <v>0</v>
      </c>
      <c r="G4152" s="23" t="n">
        <f aca="false">(Sens!G4145+Sens!G4149-Sens!G4150)+(Sens!G4137+Sens!G4138-Sens!G4136)+(Sens!G4140+Sens!G4141-Sens!G4139)</f>
        <v>0</v>
      </c>
      <c r="H4152" s="23" t="n">
        <f aca="false">(Sens!H4145+Sens!H4149-Sens!H4150)+(Sens!H4137+Sens!H4138-Sens!H4136)+(Sens!H4140+Sens!H4141-Sens!H4139)</f>
        <v>0</v>
      </c>
      <c r="I4152" s="23" t="n">
        <f aca="false">(Sens!I4145+Sens!I4149-Sens!I4150)+(Sens!I4137+Sens!I4138-Sens!I4136)+(Sens!I4140+Sens!I4141-Sens!I4139)</f>
        <v>0</v>
      </c>
      <c r="J4152" s="23" t="n">
        <f aca="false">(Sens!J4145+Sens!J4149-Sens!J4150)+(Sens!J4137+Sens!J4138-Sens!J4136)+(Sens!J4140+Sens!J4141-Sens!J4139)</f>
        <v>0</v>
      </c>
      <c r="K4152" s="23" t="n">
        <f aca="false">(Sens!K4145+Sens!K4149-Sens!K4150)+(Sens!K4137+Sens!K4138-Sens!K4136)+(Sens!K4140+Sens!K4141-Sens!K4139)</f>
        <v>0</v>
      </c>
    </row>
    <row r="4153" customFormat="false" ht="17.15" hidden="false" customHeight="false" outlineLevel="0" collapsed="false">
      <c r="A4153" s="0" t="s">
        <v>813</v>
      </c>
      <c r="B4153" s="0" t="s">
        <v>126</v>
      </c>
      <c r="E4153" s="7" t="n">
        <f aca="false">(Q!M21+Sens!E4090+Sens!E4091+Sens!E4092+Sens!E4105-Sens!E4088)/(Q!M5-Sens!E4088)</f>
        <v>0.562004564381674</v>
      </c>
      <c r="F4153" s="7" t="n">
        <f aca="false">Sens!$E$4153+dm_seg</f>
        <v>0.562004564381674</v>
      </c>
      <c r="G4153" s="7" t="n">
        <f aca="false">Sens!$E$4153+dm_seg</f>
        <v>0.562004564381674</v>
      </c>
      <c r="H4153" s="7" t="n">
        <f aca="false">Sens!$E$4153+dm_seg</f>
        <v>0.562004564381674</v>
      </c>
      <c r="I4153" s="7" t="n">
        <f aca="false">Sens!$E$4153+dm_seg</f>
        <v>0.562004564381674</v>
      </c>
      <c r="J4153" s="7" t="n">
        <f aca="false">Sens!$E$4153+dm_seg</f>
        <v>0.562004564381674</v>
      </c>
      <c r="K4153" s="7" t="n">
        <f aca="false">Sens!$E$4153+dm_seg</f>
        <v>0.562004564381674</v>
      </c>
      <c r="L4153" s="11" t="s">
        <v>814</v>
      </c>
    </row>
    <row r="4154" customFormat="false" ht="17.15" hidden="false" customHeight="false" outlineLevel="0" collapsed="false">
      <c r="A4154" s="0" t="s">
        <v>654</v>
      </c>
      <c r="B4154" s="0" t="s">
        <v>95</v>
      </c>
      <c r="D4154" s="6" t="n">
        <f aca="false">Q!L21</f>
        <v>110.814</v>
      </c>
      <c r="E4154" s="6" t="n">
        <f aca="false">Q!M21</f>
        <v>136.365</v>
      </c>
      <c r="F4154" s="6" t="n">
        <f aca="false">Sens!F4153*(Sens!F4124-Sens!F4088)+Sens!F4088-(Sens!F4090+Sens!F4091+Sens!F4092)-Sens!F4105</f>
        <v>154.456237324958</v>
      </c>
      <c r="G4154" s="6" t="n">
        <f aca="false">Sens!G4153*(Sens!G4124-Sens!G4088)+Sens!G4088-(Sens!G4090+Sens!G4091+Sens!G4092)-Sens!G4105</f>
        <v>165.550511511632</v>
      </c>
      <c r="H4154" s="6" t="n">
        <f aca="false">Sens!H4153*(Sens!H4124-Sens!H4088)+Sens!H4088-(Sens!H4090+Sens!H4091+Sens!H4092)-Sens!H4105</f>
        <v>171.174920697027</v>
      </c>
      <c r="I4154" s="6" t="n">
        <f aca="false">Sens!I4153*(Sens!I4124-Sens!I4088)+Sens!I4088-(Sens!I4090+Sens!I4091+Sens!I4092)-Sens!I4105</f>
        <v>182.820443776923</v>
      </c>
      <c r="J4154" s="6" t="n">
        <f aca="false">Sens!J4153*(Sens!J4124-Sens!J4088)+Sens!J4088-(Sens!J4090+Sens!J4091+Sens!J4092)-Sens!J4105</f>
        <v>192.322262444173</v>
      </c>
      <c r="K4154" s="6" t="n">
        <f aca="false">Sens!K4153*(Sens!K4124-Sens!K4088)+Sens!K4088-(Sens!K4090+Sens!K4091+Sens!K4092)-Sens!K4105</f>
        <v>199.035661931509</v>
      </c>
      <c r="L4154" s="1" t="s">
        <v>815</v>
      </c>
    </row>
    <row r="4155" customFormat="false" ht="17.15" hidden="false" customHeight="false" outlineLevel="0" collapsed="false">
      <c r="A4155" s="0" t="s">
        <v>816</v>
      </c>
      <c r="B4155" s="0" t="s">
        <v>126</v>
      </c>
      <c r="E4155" s="7" t="n">
        <f aca="false">Q!M22/Q!M12</f>
        <v>0.296207935710698</v>
      </c>
      <c r="F4155" s="7" t="n">
        <f aca="false">Sens!$E$4155+dm_seg</f>
        <v>0.296207935710698</v>
      </c>
      <c r="G4155" s="7" t="n">
        <f aca="false">Sens!$E$4155+dm_seg</f>
        <v>0.296207935710698</v>
      </c>
      <c r="H4155" s="7" t="n">
        <f aca="false">Sens!$E$4155+dm_seg</f>
        <v>0.296207935710698</v>
      </c>
      <c r="I4155" s="7" t="n">
        <f aca="false">Sens!$E$4155+dm_seg</f>
        <v>0.296207935710698</v>
      </c>
      <c r="J4155" s="7" t="n">
        <f aca="false">Sens!$E$4155+dm_seg</f>
        <v>0.296207935710698</v>
      </c>
      <c r="K4155" s="7" t="n">
        <f aca="false">Sens!$E$4155+dm_seg</f>
        <v>0.296207935710698</v>
      </c>
      <c r="L4155" s="11" t="s">
        <v>817</v>
      </c>
    </row>
    <row r="4156" customFormat="false" ht="17.15" hidden="false" customHeight="false" outlineLevel="0" collapsed="false">
      <c r="A4156" s="0" t="s">
        <v>656</v>
      </c>
      <c r="B4156" s="0" t="s">
        <v>95</v>
      </c>
      <c r="D4156" s="6" t="n">
        <f aca="false">Q!L22</f>
        <v>17.714</v>
      </c>
      <c r="E4156" s="6" t="n">
        <f aca="false">Q!M22</f>
        <v>18.872</v>
      </c>
      <c r="F4156" s="6" t="n">
        <f aca="false">Sens!F4131*Sens!F4155</f>
        <v>19.2954518910651</v>
      </c>
      <c r="G4156" s="6" t="n">
        <f aca="false">Sens!G4131*Sens!G4155</f>
        <v>19.8830646387704</v>
      </c>
      <c r="H4156" s="6" t="n">
        <f aca="false">Sens!H4131*Sens!H4155</f>
        <v>20.6092017868026</v>
      </c>
      <c r="I4156" s="6" t="n">
        <f aca="false">Sens!I4131*Sens!I4155</f>
        <v>21.452361761678</v>
      </c>
      <c r="J4156" s="6" t="n">
        <f aca="false">Sens!J4131*Sens!J4155</f>
        <v>22.3946261183418</v>
      </c>
      <c r="K4156" s="6" t="n">
        <f aca="false">Sens!K4131*Sens!K4155</f>
        <v>23.4215879274986</v>
      </c>
    </row>
    <row r="4157" customFormat="false" ht="15" hidden="false" customHeight="false" outlineLevel="0" collapsed="false">
      <c r="A4157" s="1" t="s">
        <v>818</v>
      </c>
      <c r="B4157" s="0" t="s">
        <v>95</v>
      </c>
      <c r="D4157" s="6" t="n">
        <f aca="false">Sens!D4154+Sens!D4156</f>
        <v>128.528</v>
      </c>
      <c r="E4157" s="6" t="n">
        <f aca="false">Sens!E4154+Sens!E4156</f>
        <v>155.237</v>
      </c>
      <c r="F4157" s="6" t="n">
        <f aca="false">Sens!F4154+Sens!F4156</f>
        <v>173.751689216023</v>
      </c>
      <c r="G4157" s="6" t="n">
        <f aca="false">Sens!G4154+Sens!G4156</f>
        <v>185.433576150402</v>
      </c>
      <c r="H4157" s="6" t="n">
        <f aca="false">Sens!H4154+Sens!H4156</f>
        <v>191.78412248383</v>
      </c>
      <c r="I4157" s="6" t="n">
        <f aca="false">Sens!I4154+Sens!I4156</f>
        <v>204.272805538601</v>
      </c>
      <c r="J4157" s="6" t="n">
        <f aca="false">Sens!J4154+Sens!J4156</f>
        <v>214.716888562515</v>
      </c>
      <c r="K4157" s="6" t="n">
        <f aca="false">Sens!K4154+Sens!K4156</f>
        <v>222.457249859007</v>
      </c>
    </row>
    <row r="4158" customFormat="false" ht="15" hidden="false" customHeight="false" outlineLevel="0" collapsed="false">
      <c r="A4158" s="22" t="s">
        <v>819</v>
      </c>
      <c r="B4158" s="28" t="s">
        <v>95</v>
      </c>
      <c r="C4158" s="28"/>
      <c r="D4158" s="23" t="n">
        <f aca="false">Sens!D4157-Q!L23</f>
        <v>0</v>
      </c>
      <c r="E4158" s="23" t="n">
        <f aca="false">Sens!E4157-Q!M23</f>
        <v>0</v>
      </c>
      <c r="F4158" s="28"/>
      <c r="G4158" s="28"/>
      <c r="H4158" s="28"/>
      <c r="I4158" s="28"/>
      <c r="J4158" s="28"/>
      <c r="K4158" s="28"/>
    </row>
    <row r="4159" customFormat="false" ht="15" hidden="false" customHeight="false" outlineLevel="0" collapsed="false">
      <c r="A4159" s="1" t="s">
        <v>820</v>
      </c>
      <c r="B4159" s="0" t="s">
        <v>126</v>
      </c>
      <c r="D4159" s="7" t="n">
        <f aca="false">Sens!D4157/Sens!D4150</f>
        <v>0.456219562408598</v>
      </c>
      <c r="E4159" s="7" t="n">
        <f aca="false">Sens!E4157/Sens!E4150</f>
        <v>0.467808184089272</v>
      </c>
      <c r="F4159" s="7" t="n">
        <f aca="false">Sens!F4157/Sens!F4150</f>
        <v>0.441548862179545</v>
      </c>
      <c r="G4159" s="7" t="n">
        <f aca="false">Sens!G4157/Sens!G4150</f>
        <v>0.406300428403541</v>
      </c>
      <c r="H4159" s="7" t="n">
        <f aca="false">Sens!H4157/Sens!H4150</f>
        <v>0.372155626817262</v>
      </c>
      <c r="I4159" s="7" t="n">
        <f aca="false">Sens!I4157/Sens!I4150</f>
        <v>0.351989947285955</v>
      </c>
      <c r="J4159" s="7" t="n">
        <f aca="false">Sens!J4157/Sens!J4150</f>
        <v>0.334022858124165</v>
      </c>
      <c r="K4159" s="7" t="n">
        <f aca="false">Sens!K4157/Sens!K4150</f>
        <v>0.316845966194637</v>
      </c>
    </row>
    <row r="4160" customFormat="false" ht="17.15" hidden="false" customHeight="false" outlineLevel="0" collapsed="false">
      <c r="A4160" s="1" t="s">
        <v>821</v>
      </c>
      <c r="B4160" s="0" t="s">
        <v>95</v>
      </c>
      <c r="E4160" s="6" t="n">
        <f aca="false">Sens!E4105</f>
        <v>14.1538947660714</v>
      </c>
      <c r="F4160" s="6" t="n">
        <f aca="false">Sens!F4105</f>
        <v>30.1377004050313</v>
      </c>
      <c r="G4160" s="6" t="n">
        <f aca="false">Sens!G4105</f>
        <v>52.4531171945768</v>
      </c>
      <c r="H4160" s="6" t="n">
        <f aca="false">Sens!H4105</f>
        <v>76.0266139941196</v>
      </c>
      <c r="I4160" s="6" t="n">
        <f aca="false">Sens!I4105</f>
        <v>99.9219754670339</v>
      </c>
      <c r="J4160" s="6" t="n">
        <f aca="false">Sens!J4105</f>
        <v>124.369143422448</v>
      </c>
      <c r="K4160" s="6" t="n">
        <f aca="false">Sens!K4105</f>
        <v>149.649651780005</v>
      </c>
    </row>
    <row r="4161" customFormat="false" ht="17.15" hidden="false" customHeight="false" outlineLevel="0" collapsed="false">
      <c r="A4161" s="1" t="s">
        <v>822</v>
      </c>
      <c r="B4161" s="0" t="s">
        <v>95</v>
      </c>
      <c r="E4161" s="6" t="n">
        <f aca="false">Sens!E4181</f>
        <v>24.3801052339286</v>
      </c>
      <c r="F4161" s="6" t="n">
        <f aca="false">Sens!F4181</f>
        <v>25.485029433492</v>
      </c>
      <c r="G4161" s="6" t="n">
        <f aca="false">Sens!G4181</f>
        <v>27.0068158471817</v>
      </c>
      <c r="H4161" s="6" t="n">
        <f aca="false">Sens!H4181</f>
        <v>28.9122856268725</v>
      </c>
      <c r="I4161" s="6" t="n">
        <f aca="false">Sens!I4181</f>
        <v>31.1433970953496</v>
      </c>
      <c r="J4161" s="6" t="n">
        <f aca="false">Sens!J4181</f>
        <v>33.624648710852</v>
      </c>
      <c r="K4161" s="6" t="n">
        <f aca="false">Sens!K4181</f>
        <v>36.2715541139662</v>
      </c>
    </row>
    <row r="4162" customFormat="false" ht="17.15" hidden="false" customHeight="false" outlineLevel="0" collapsed="false">
      <c r="A4162" s="1" t="s">
        <v>823</v>
      </c>
      <c r="B4162" s="0" t="s">
        <v>95</v>
      </c>
      <c r="D4162" s="6" t="n">
        <f aca="false">Q!L27</f>
        <v>-4.901</v>
      </c>
      <c r="E4162" s="6" t="n">
        <f aca="false">Q!M27</f>
        <v>10.697</v>
      </c>
      <c r="F4162" s="6" t="n">
        <f aca="false">oie_f</f>
        <v>-0.4</v>
      </c>
      <c r="G4162" s="6" t="n">
        <f aca="false">oie_f</f>
        <v>-0.4</v>
      </c>
      <c r="H4162" s="6" t="n">
        <f aca="false">oie_f</f>
        <v>-0.4</v>
      </c>
      <c r="I4162" s="6" t="n">
        <f aca="false">oie_f</f>
        <v>-0.4</v>
      </c>
      <c r="J4162" s="6" t="n">
        <f aca="false">oie_f</f>
        <v>-0.4</v>
      </c>
      <c r="K4162" s="6" t="n">
        <f aca="false">oie_f</f>
        <v>-0.4</v>
      </c>
      <c r="L4162" s="11" t="s">
        <v>824</v>
      </c>
    </row>
    <row r="4163" customFormat="false" ht="15" hidden="false" customHeight="false" outlineLevel="0" collapsed="false">
      <c r="A4163" s="1" t="s">
        <v>666</v>
      </c>
      <c r="B4163" s="0" t="s">
        <v>95</v>
      </c>
      <c r="D4163" s="6" t="n">
        <f aca="false">Sens!D4157+Sens!D4162</f>
        <v>123.627</v>
      </c>
      <c r="E4163" s="6" t="n">
        <f aca="false">Sens!E4157+Sens!E4162</f>
        <v>165.934</v>
      </c>
      <c r="F4163" s="6" t="n">
        <f aca="false">Sens!F4157+Sens!F4162</f>
        <v>173.351689216023</v>
      </c>
      <c r="G4163" s="6" t="n">
        <f aca="false">Sens!G4157+Sens!G4162</f>
        <v>185.033576150402</v>
      </c>
      <c r="H4163" s="6" t="n">
        <f aca="false">Sens!H4157+Sens!H4162</f>
        <v>191.38412248383</v>
      </c>
      <c r="I4163" s="6" t="n">
        <f aca="false">Sens!I4157+Sens!I4162</f>
        <v>203.872805538601</v>
      </c>
      <c r="J4163" s="6" t="n">
        <f aca="false">Sens!J4157+Sens!J4162</f>
        <v>214.316888562515</v>
      </c>
      <c r="K4163" s="6" t="n">
        <f aca="false">Sens!K4157+Sens!K4162</f>
        <v>222.057249859007</v>
      </c>
    </row>
    <row r="4164" customFormat="false" ht="15" hidden="false" customHeight="false" outlineLevel="0" collapsed="false">
      <c r="A4164" s="1" t="s">
        <v>668</v>
      </c>
      <c r="B4164" s="0" t="s">
        <v>95</v>
      </c>
      <c r="D4164" s="6" t="n">
        <f aca="false">Q!L29</f>
        <v>21.795</v>
      </c>
      <c r="E4164" s="6" t="n">
        <f aca="false">Q!M29</f>
        <v>32.185</v>
      </c>
      <c r="F4164" s="6" t="n">
        <f aca="false">Sens!F4163*tax_f</f>
        <v>34.6703378432046</v>
      </c>
      <c r="G4164" s="6" t="n">
        <f aca="false">Sens!G4163*tax_f</f>
        <v>37.0067152300804</v>
      </c>
      <c r="H4164" s="6" t="n">
        <f aca="false">Sens!H4163*tax_f</f>
        <v>38.276824496766</v>
      </c>
      <c r="I4164" s="6" t="n">
        <f aca="false">Sens!I4163*tax_f</f>
        <v>40.7745611077203</v>
      </c>
      <c r="J4164" s="6" t="n">
        <f aca="false">Sens!J4163*tax_f</f>
        <v>42.8633777125029</v>
      </c>
      <c r="K4164" s="6" t="n">
        <f aca="false">Sens!K4163*tax_f</f>
        <v>44.4114499718014</v>
      </c>
    </row>
    <row r="4165" customFormat="false" ht="15" hidden="false" customHeight="false" outlineLevel="0" collapsed="false">
      <c r="A4165" s="1" t="s">
        <v>825</v>
      </c>
      <c r="B4165" s="0" t="s">
        <v>95</v>
      </c>
      <c r="D4165" s="6" t="n">
        <f aca="false">Sens!D4163-Sens!D4164</f>
        <v>101.832</v>
      </c>
      <c r="E4165" s="6" t="n">
        <f aca="false">Sens!E4163-Sens!E4164</f>
        <v>133.749</v>
      </c>
      <c r="F4165" s="6" t="n">
        <f aca="false">Sens!F4163-Sens!F4164</f>
        <v>138.681351372818</v>
      </c>
      <c r="G4165" s="6" t="n">
        <f aca="false">Sens!G4163-Sens!G4164</f>
        <v>148.026860920322</v>
      </c>
      <c r="H4165" s="6" t="n">
        <f aca="false">Sens!H4163-Sens!H4164</f>
        <v>153.107297987064</v>
      </c>
      <c r="I4165" s="6" t="n">
        <f aca="false">Sens!I4163-Sens!I4164</f>
        <v>163.098244430881</v>
      </c>
      <c r="J4165" s="6" t="n">
        <f aca="false">Sens!J4163-Sens!J4164</f>
        <v>171.453510850012</v>
      </c>
      <c r="K4165" s="6" t="n">
        <f aca="false">Sens!K4163-Sens!K4164</f>
        <v>177.645799887206</v>
      </c>
    </row>
    <row r="4166" customFormat="false" ht="17.15" hidden="false" customHeight="false" outlineLevel="0" collapsed="false">
      <c r="A4166" s="1" t="s">
        <v>826</v>
      </c>
      <c r="B4166" s="1" t="s">
        <v>79</v>
      </c>
      <c r="D4166" s="18" t="n">
        <f aca="false">Q!L31</f>
        <v>7.465</v>
      </c>
      <c r="E4166" s="18" t="n">
        <f aca="false">Q!M31</f>
        <v>7.453</v>
      </c>
      <c r="F4166" s="18" t="n">
        <f aca="false">Sens!F4203</f>
        <v>7.4735</v>
      </c>
      <c r="G4166" s="18" t="n">
        <f aca="false">Sens!G4203</f>
        <v>7.5185</v>
      </c>
      <c r="H4166" s="18" t="n">
        <f aca="false">Sens!H4203</f>
        <v>7.56090305597052</v>
      </c>
      <c r="I4166" s="18" t="n">
        <f aca="false">Sens!I4203</f>
        <v>7.5873353580984</v>
      </c>
      <c r="J4166" s="18" t="n">
        <f aca="false">Sens!J4203</f>
        <v>7.60157686921628</v>
      </c>
      <c r="K4166" s="18" t="n">
        <f aca="false">Sens!K4203</f>
        <v>7.61809678691802</v>
      </c>
    </row>
    <row r="4167" customFormat="false" ht="17.15" hidden="false" customHeight="false" outlineLevel="0" collapsed="false">
      <c r="A4167" s="0" t="s">
        <v>827</v>
      </c>
      <c r="B4167" s="0" t="s">
        <v>73</v>
      </c>
      <c r="D4167" s="8" t="n">
        <f aca="false">Sens!D4165/Sens!D4166</f>
        <v>13.641259209645</v>
      </c>
      <c r="E4167" s="8" t="n">
        <f aca="false">Sens!E4165/Sens!E4166</f>
        <v>17.9456594659869</v>
      </c>
      <c r="F4167" s="8" t="n">
        <f aca="false">Sens!F4165/Sens!F4166</f>
        <v>18.55641284175</v>
      </c>
      <c r="G4167" s="8" t="n">
        <f aca="false">Sens!G4165/Sens!G4166</f>
        <v>19.6883501922354</v>
      </c>
      <c r="H4167" s="8" t="n">
        <f aca="false">Sens!H4165/Sens!H4166</f>
        <v>20.2498692092291</v>
      </c>
      <c r="I4167" s="8" t="n">
        <f aca="false">Sens!I4165/Sens!I4166</f>
        <v>21.4961164536898</v>
      </c>
      <c r="J4167" s="8" t="n">
        <f aca="false">Sens!J4165/Sens!J4166</f>
        <v>22.5549927074129</v>
      </c>
      <c r="K4167" s="8" t="n">
        <f aca="false">Sens!K4165/Sens!K4166</f>
        <v>23.3189213600257</v>
      </c>
      <c r="L4167" s="1" t="s">
        <v>828</v>
      </c>
    </row>
    <row r="4168" customFormat="false" ht="17.15" hidden="false" customHeight="false" outlineLevel="0" collapsed="false">
      <c r="A4168" s="0" t="s">
        <v>829</v>
      </c>
      <c r="B4168" s="0" t="s">
        <v>126</v>
      </c>
      <c r="E4168" s="7" t="n">
        <f aca="false">Sens!E4167/Sens!D4167-1</f>
        <v>0.315542736208578</v>
      </c>
      <c r="F4168" s="7" t="n">
        <f aca="false">Sens!F4167/Sens!E4167-1</f>
        <v>0.0340334874246724</v>
      </c>
      <c r="G4168" s="7" t="n">
        <f aca="false">Sens!G4167/Sens!F4167-1</f>
        <v>0.0609997934481537</v>
      </c>
      <c r="H4168" s="7" t="n">
        <f aca="false">Sens!H4167/Sens!G4167-1</f>
        <v>0.0285203692290681</v>
      </c>
      <c r="I4168" s="7" t="n">
        <f aca="false">Sens!I4167/Sens!H4167-1</f>
        <v>0.0615434712977128</v>
      </c>
      <c r="J4168" s="7" t="n">
        <f aca="false">Sens!J4167/Sens!I4167-1</f>
        <v>0.0492589559609216</v>
      </c>
      <c r="K4168" s="7" t="n">
        <f aca="false">Sens!K4167/Sens!J4167-1</f>
        <v>0.0338696031748977</v>
      </c>
    </row>
    <row r="4169" customFormat="false" ht="17.15" hidden="false" customHeight="false" outlineLevel="0" collapsed="false">
      <c r="A4169" s="0" t="s">
        <v>763</v>
      </c>
      <c r="B4169" s="0" t="s">
        <v>95</v>
      </c>
      <c r="E4169" s="6" t="n">
        <f aca="false">Sens!E4114</f>
        <v>5.25</v>
      </c>
      <c r="F4169" s="6" t="n">
        <f aca="false">Sens!F4114</f>
        <v>10.5</v>
      </c>
      <c r="G4169" s="6" t="n">
        <f aca="false">Sens!G4114</f>
        <v>13.5</v>
      </c>
      <c r="H4169" s="6" t="n">
        <f aca="false">Sens!H4114</f>
        <v>16.5</v>
      </c>
      <c r="I4169" s="6" t="n">
        <f aca="false">Sens!I4114</f>
        <v>18.75</v>
      </c>
      <c r="J4169" s="6" t="n">
        <f aca="false">Sens!J4114</f>
        <v>20.25</v>
      </c>
      <c r="K4169" s="6" t="n">
        <f aca="false">Sens!K4114</f>
        <v>21.75</v>
      </c>
    </row>
    <row r="4170" customFormat="false" ht="17.15" hidden="false" customHeight="false" outlineLevel="0" collapsed="false">
      <c r="A4170" s="0" t="s">
        <v>764</v>
      </c>
      <c r="B4170" s="0" t="s">
        <v>95</v>
      </c>
      <c r="E4170" s="6" t="n">
        <f aca="false">Sens!E4094+Sens!E4169*Sens!E4153-Sens!E4095-Sens!E4105</f>
        <v>4.25599569621144</v>
      </c>
      <c r="F4170" s="6" t="n">
        <f aca="false">Sens!F4094+Sens!F4169*Sens!F4153-Sens!F4095-Sens!F4105</f>
        <v>4.28776253300848</v>
      </c>
      <c r="G4170" s="6" t="n">
        <f aca="false">Sens!G4094+Sens!G4169*Sens!G4153-Sens!G4095-Sens!G4105</f>
        <v>-3.40018957830221</v>
      </c>
      <c r="H4170" s="6" t="n">
        <f aca="false">Sens!H4094+Sens!H4169*Sens!H4153-Sens!H4095-Sens!H4105</f>
        <v>-16.7372993328049</v>
      </c>
      <c r="I4170" s="6" t="n">
        <f aca="false">Sens!I4094+Sens!I4169*Sens!I4153-Sens!I4095-Sens!I4105</f>
        <v>-23.5729547067601</v>
      </c>
      <c r="J4170" s="6" t="n">
        <f aca="false">Sens!J4094+Sens!J4169*Sens!J4153-Sens!J4095-Sens!J4105</f>
        <v>-31.3329415992802</v>
      </c>
      <c r="K4170" s="6" t="n">
        <f aca="false">Sens!K4094+Sens!K4169*Sens!K4153-Sens!K4095-Sens!K4105</f>
        <v>-39.8974572642955</v>
      </c>
    </row>
    <row r="4171" customFormat="false" ht="17.15" hidden="false" customHeight="false" outlineLevel="0" collapsed="false">
      <c r="A4171" s="0" t="s">
        <v>765</v>
      </c>
      <c r="B4171" s="0" t="s">
        <v>95</v>
      </c>
      <c r="E4171" s="6" t="n">
        <f aca="false">Sens!E4077*(cxit_open+self_build*tk_cxfac)/1000*ai_net_open</f>
        <v>126.6980382</v>
      </c>
      <c r="F4171" s="6" t="n">
        <f aca="false">Sens!E4171+Sens!F4102-Sens!F4105</f>
        <v>265.330990565406</v>
      </c>
      <c r="G4171" s="6" t="n">
        <f aca="false">Sens!F4171+Sens!G4102-Sens!G4105</f>
        <v>396.45205385403</v>
      </c>
      <c r="H4171" s="6" t="n">
        <f aca="false">Sens!G4171+Sens!H4102-Sens!H4105</f>
        <v>508.50572577031</v>
      </c>
      <c r="I4171" s="6" t="n">
        <f aca="false">Sens!H4171+Sens!I4102-Sens!I4105</f>
        <v>596.664036213676</v>
      </c>
      <c r="J4171" s="6" t="n">
        <f aca="false">Sens!I4171+Sens!J4102-Sens!J4105</f>
        <v>690.633854048294</v>
      </c>
      <c r="K4171" s="6" t="n">
        <f aca="false">Sens!J4171+Sens!K4102-Sens!K4105</f>
        <v>774.761263192022</v>
      </c>
      <c r="L4171" s="1" t="s">
        <v>766</v>
      </c>
    </row>
    <row r="4172" customFormat="false" ht="17.15" hidden="false" customHeight="false" outlineLevel="0" collapsed="false">
      <c r="A4172" s="0" t="s">
        <v>767</v>
      </c>
      <c r="B4172" s="0" t="s">
        <v>126</v>
      </c>
      <c r="F4172" s="7" t="n">
        <f aca="false">Sens!F4170*(1-tax_f)/((Sens!E4171+Sens!F4171)/2)</f>
        <v>0.0174997756528864</v>
      </c>
      <c r="G4172" s="7" t="n">
        <f aca="false">Sens!G4170*(1-tax_f)/((Sens!F4171+Sens!G4171)/2)</f>
        <v>-0.00822067499486356</v>
      </c>
      <c r="H4172" s="7" t="n">
        <f aca="false">Sens!H4170*(1-tax_f)/((Sens!G4171+Sens!H4171)/2)</f>
        <v>-0.0295921859952456</v>
      </c>
      <c r="I4172" s="7" t="n">
        <f aca="false">Sens!I4170*(1-tax_f)/((Sens!H4171+Sens!I4171)/2)</f>
        <v>-0.0341275420557179</v>
      </c>
      <c r="J4172" s="7" t="n">
        <f aca="false">Sens!J4170*(1-tax_f)/((Sens!I4171+Sens!J4171)/2)</f>
        <v>-0.0389441379016368</v>
      </c>
      <c r="K4172" s="7" t="n">
        <f aca="false">Sens!K4170*(1-tax_f)/((Sens!J4171+Sens!K4171)/2)</f>
        <v>-0.043562265816124</v>
      </c>
    </row>
    <row r="4173" customFormat="false" ht="17.15" hidden="false" customHeight="false" outlineLevel="0" collapsed="false">
      <c r="A4173" s="1" t="s">
        <v>768</v>
      </c>
      <c r="B4173" s="0" t="s">
        <v>126</v>
      </c>
      <c r="F4173" s="7" t="n">
        <f aca="false">Sens!F4106*(1-tax_f)/(Sens!F4093*(Sens!E4171+Sens!F4171)/2)</f>
        <v>0.115465771317875</v>
      </c>
      <c r="G4173" s="7" t="n">
        <f aca="false">Sens!G4106*(1-tax_f)/(Sens!G4093*(Sens!F4171+Sens!G4171)/2)</f>
        <v>0.0837278502061334</v>
      </c>
      <c r="H4173" s="7" t="n">
        <f aca="false">Sens!H4106*(1-tax_f)/(Sens!H4093*(Sens!G4171+Sens!H4171)/2)</f>
        <v>0.0579436283026535</v>
      </c>
      <c r="I4173" s="7" t="n">
        <f aca="false">Sens!I4106*(1-tax_f)/(Sens!I4093*(Sens!H4171+Sens!I4171)/2)</f>
        <v>0.0618012009963735</v>
      </c>
      <c r="J4173" s="7" t="n">
        <f aca="false">Sens!J4106*(1-tax_f)/(Sens!J4093*(Sens!I4171+Sens!J4171)/2)</f>
        <v>0.064810175979774</v>
      </c>
      <c r="K4173" s="7" t="n">
        <f aca="false">Sens!K4106*(1-tax_f)/(Sens!K4093*(Sens!J4171+Sens!K4171)/2)</f>
        <v>0.0664071968440775</v>
      </c>
    </row>
    <row r="4174" customFormat="false" ht="17.15" hidden="false" customHeight="false" outlineLevel="0" collapsed="false">
      <c r="A4174" s="0" t="s">
        <v>769</v>
      </c>
      <c r="B4174" s="0" t="s">
        <v>208</v>
      </c>
      <c r="F4174" s="7" t="n">
        <f aca="false">Sens!F4172-wacc</f>
        <v>-0.0914634454973675</v>
      </c>
      <c r="G4174" s="7" t="n">
        <f aca="false">Sens!G4172-wacc</f>
        <v>-0.117183896145118</v>
      </c>
      <c r="H4174" s="7" t="n">
        <f aca="false">Sens!H4172-wacc</f>
        <v>-0.1385554071455</v>
      </c>
      <c r="I4174" s="7" t="n">
        <f aca="false">Sens!I4172-wacc</f>
        <v>-0.143090763205972</v>
      </c>
      <c r="J4174" s="7" t="n">
        <f aca="false">Sens!J4172-wacc</f>
        <v>-0.147907359051891</v>
      </c>
      <c r="K4174" s="7" t="n">
        <f aca="false">Sens!K4172-wacc</f>
        <v>-0.152525486966378</v>
      </c>
    </row>
    <row r="4175" customFormat="false" ht="17.15" hidden="false" customHeight="false" outlineLevel="0" collapsed="false">
      <c r="A4175" s="0" t="s">
        <v>770</v>
      </c>
      <c r="B4175" s="0" t="s">
        <v>95</v>
      </c>
      <c r="F4175" s="6" t="n">
        <f aca="false">Sens!F4170*(1-tax_f)-wacc*(Sens!E4171+Sens!F4171)/2</f>
        <v>-17.9281628529353</v>
      </c>
      <c r="G4175" s="6" t="n">
        <f aca="false">Sens!G4170*(1-tax_f)-wacc*(Sens!F4171+Sens!G4171)/2</f>
        <v>-38.7751577739234</v>
      </c>
      <c r="H4175" s="6" t="n">
        <f aca="false">Sens!H4170*(1-tax_f)-wacc*(Sens!G4171+Sens!H4171)/2</f>
        <v>-62.6933968026688</v>
      </c>
      <c r="I4175" s="6" t="n">
        <f aca="false">Sens!I4170*(1-tax_f)-wacc*(Sens!H4171+Sens!I4171)/2</f>
        <v>-79.0697923572254</v>
      </c>
      <c r="J4175" s="6" t="n">
        <f aca="false">Sens!J4170*(1-tax_f)-wacc*(Sens!I4171+Sens!J4171)/2</f>
        <v>-95.2004156308594</v>
      </c>
      <c r="K4175" s="6" t="n">
        <f aca="false">Sens!K4170*(1-tax_f)-wacc*(Sens!J4171+Sens!K4171)/2</f>
        <v>-111.755051927616</v>
      </c>
    </row>
    <row r="4176" customFormat="false" ht="17.15" hidden="false" customHeight="false" outlineLevel="0" collapsed="false">
      <c r="A4176" s="1" t="s">
        <v>771</v>
      </c>
      <c r="B4176" s="0" t="s">
        <v>95</v>
      </c>
      <c r="F4176" s="6" t="n">
        <f aca="false">(Sens!E4078+Sens!F4078)/2*Sens!F4085/1000</f>
        <v>26.7873066765967</v>
      </c>
      <c r="G4176" s="6" t="n">
        <f aca="false">(Sens!F4078+Sens!G4078)/2*Sens!G4085/1000</f>
        <v>45.4131817597218</v>
      </c>
      <c r="H4176" s="6" t="n">
        <f aca="false">(Sens!G4078+Sens!H4078)/2*Sens!H4085/1000</f>
        <v>65.3915129357971</v>
      </c>
      <c r="I4176" s="6" t="n">
        <f aca="false">(Sens!H4078+Sens!I4078)/2*Sens!I4085/1000</f>
        <v>85.5187419289299</v>
      </c>
      <c r="J4176" s="6" t="n">
        <f aca="false">(Sens!I4078+Sens!J4078)/2*Sens!J4085/1000</f>
        <v>105.723807195006</v>
      </c>
      <c r="K4176" s="6" t="n">
        <f aca="false">(Sens!J4078+Sens!K4078)/2*Sens!K4085/1000</f>
        <v>125.974659797015</v>
      </c>
      <c r="L4176" s="1" t="s">
        <v>772</v>
      </c>
    </row>
    <row r="4177" customFormat="false" ht="17.15" hidden="false" customHeight="false" outlineLevel="0" collapsed="false">
      <c r="A4177" s="1" t="s">
        <v>773</v>
      </c>
      <c r="B4177" s="0" t="s">
        <v>126</v>
      </c>
      <c r="F4177" s="7" t="n">
        <f aca="false">(Sens!F4094+Sens!F4176-Sens!F4095-Sens!F4105)*(1-tax_f)/((Sens!E4171+Sens!F4171)/2)</f>
        <v>0.102743498818449</v>
      </c>
      <c r="G4177" s="7" t="n">
        <f aca="false">(Sens!G4094+Sens!G4176-Sens!G4095-Sens!G4105)*(1-tax_f)/((Sens!F4171+Sens!G4171)/2)</f>
        <v>0.0832319434051814</v>
      </c>
      <c r="H4177" s="7" t="n">
        <f aca="false">(Sens!H4094+Sens!H4176-Sens!H4095-Sens!H4105)*(1-tax_f)/((Sens!G4171+Sens!H4171)/2)</f>
        <v>0.0696273601750432</v>
      </c>
      <c r="I4177" s="7" t="n">
        <f aca="false">(Sens!I4094+Sens!I4176-Sens!I4095-Sens!I4105)*(1-tax_f)/((Sens!H4171+Sens!I4171)/2)</f>
        <v>0.0744257809554632</v>
      </c>
      <c r="J4177" s="7" t="n">
        <f aca="false">(Sens!J4094+Sens!J4176-Sens!J4095-Sens!J4105)*(1-tax_f)/((Sens!I4171+Sens!J4171)/2)</f>
        <v>0.0783163227640171</v>
      </c>
      <c r="K4177" s="7" t="n">
        <f aca="false">(Sens!K4094+Sens!K4176-Sens!K4095-Sens!K4105)*(1-tax_f)/((Sens!J4171+Sens!K4171)/2)</f>
        <v>0.0806374771020138</v>
      </c>
      <c r="L4177" s="1" t="s">
        <v>774</v>
      </c>
    </row>
    <row r="4178" customFormat="false" ht="17.15" hidden="false" customHeight="false" outlineLevel="0" collapsed="false">
      <c r="A4178" s="3" t="s">
        <v>1232</v>
      </c>
    </row>
    <row r="4179" customFormat="false" ht="15" hidden="false" customHeight="false" outlineLevel="0" collapsed="false">
      <c r="A4179" s="4" t="s">
        <v>43</v>
      </c>
      <c r="B4179" s="4" t="s">
        <v>63</v>
      </c>
      <c r="C4179" s="19" t="s">
        <v>710</v>
      </c>
      <c r="D4179" s="19" t="s">
        <v>711</v>
      </c>
      <c r="E4179" s="19" t="s">
        <v>712</v>
      </c>
      <c r="F4179" s="19" t="s">
        <v>713</v>
      </c>
      <c r="G4179" s="19" t="s">
        <v>714</v>
      </c>
      <c r="H4179" s="19" t="s">
        <v>715</v>
      </c>
      <c r="I4179" s="19" t="s">
        <v>716</v>
      </c>
      <c r="J4179" s="19" t="s">
        <v>717</v>
      </c>
      <c r="K4179" s="19" t="s">
        <v>718</v>
      </c>
      <c r="L4179" s="4" t="s">
        <v>47</v>
      </c>
    </row>
    <row r="4180" customFormat="false" ht="15" hidden="false" customHeight="false" outlineLevel="0" collapsed="false">
      <c r="A4180" s="1" t="s">
        <v>825</v>
      </c>
      <c r="B4180" s="0" t="s">
        <v>95</v>
      </c>
      <c r="F4180" s="6" t="n">
        <f aca="false">Sens!F4165</f>
        <v>138.681351372818</v>
      </c>
      <c r="G4180" s="6" t="n">
        <f aca="false">Sens!G4165</f>
        <v>148.026860920322</v>
      </c>
      <c r="H4180" s="6" t="n">
        <f aca="false">Sens!H4165</f>
        <v>153.107297987064</v>
      </c>
      <c r="I4180" s="6" t="n">
        <f aca="false">Sens!I4165</f>
        <v>163.098244430881</v>
      </c>
      <c r="J4180" s="6" t="n">
        <f aca="false">Sens!J4165</f>
        <v>171.453510850012</v>
      </c>
      <c r="K4180" s="6" t="n">
        <f aca="false">Sens!K4165</f>
        <v>177.645799887206</v>
      </c>
    </row>
    <row r="4181" customFormat="false" ht="17.15" hidden="false" customHeight="false" outlineLevel="0" collapsed="false">
      <c r="A4181" s="1" t="s">
        <v>843</v>
      </c>
      <c r="B4181" s="0" t="s">
        <v>95</v>
      </c>
      <c r="E4181" s="6" t="n">
        <f aca="false">Q!M38-Sens!E4105</f>
        <v>24.3801052339286</v>
      </c>
      <c r="F4181" s="6" t="n">
        <f aca="false">Sens!E4181*(1-1/life_nonai)+Sens!F4187/life_nonai</f>
        <v>25.485029433492</v>
      </c>
      <c r="G4181" s="6" t="n">
        <f aca="false">Sens!F4181*(1-1/life_nonai)+Sens!G4187/life_nonai</f>
        <v>27.0068158471817</v>
      </c>
      <c r="H4181" s="6" t="n">
        <f aca="false">Sens!G4181*(1-1/life_nonai)+Sens!H4187/life_nonai</f>
        <v>28.9122856268725</v>
      </c>
      <c r="I4181" s="6" t="n">
        <f aca="false">Sens!H4181*(1-1/life_nonai)+Sens!I4187/life_nonai</f>
        <v>31.1433970953496</v>
      </c>
      <c r="J4181" s="6" t="n">
        <f aca="false">Sens!I4181*(1-1/life_nonai)+Sens!J4187/life_nonai</f>
        <v>33.624648710852</v>
      </c>
      <c r="K4181" s="6" t="n">
        <f aca="false">Sens!J4181*(1-1/life_nonai)+Sens!K4187/life_nonai</f>
        <v>36.2715541139662</v>
      </c>
      <c r="L4181" s="11" t="s">
        <v>844</v>
      </c>
    </row>
    <row r="4182" customFormat="false" ht="17.15" hidden="false" customHeight="false" outlineLevel="0" collapsed="false">
      <c r="A4182" s="1" t="s">
        <v>845</v>
      </c>
      <c r="B4182" s="0" t="s">
        <v>95</v>
      </c>
      <c r="E4182" s="6" t="n">
        <f aca="false">Sens!E4105+Sens!E4181</f>
        <v>38.534</v>
      </c>
      <c r="F4182" s="6" t="n">
        <f aca="false">Sens!F4105+Sens!F4181</f>
        <v>55.6227298385232</v>
      </c>
      <c r="G4182" s="6" t="n">
        <f aca="false">Sens!G4105+Sens!G4181</f>
        <v>79.4599330417585</v>
      </c>
      <c r="H4182" s="6" t="n">
        <f aca="false">Sens!H4105+Sens!H4181</f>
        <v>104.938899620992</v>
      </c>
      <c r="I4182" s="6" t="n">
        <f aca="false">Sens!I4105+Sens!I4181</f>
        <v>131.065372562384</v>
      </c>
      <c r="J4182" s="6" t="n">
        <f aca="false">Sens!J4105+Sens!J4181</f>
        <v>157.9937921333</v>
      </c>
      <c r="K4182" s="6" t="n">
        <f aca="false">Sens!K4105+Sens!K4181</f>
        <v>185.921205893972</v>
      </c>
    </row>
    <row r="4183" customFormat="false" ht="15" hidden="false" customHeight="false" outlineLevel="0" collapsed="false">
      <c r="A4183" s="1" t="s">
        <v>685</v>
      </c>
      <c r="B4183" s="0" t="s">
        <v>95</v>
      </c>
      <c r="F4183" s="6" t="n">
        <f aca="false">Sens!F4132*sbc_r</f>
        <v>14.7102349124428</v>
      </c>
      <c r="G4183" s="6" t="n">
        <f aca="false">Sens!G4132*sbc_r</f>
        <v>17.061233875013</v>
      </c>
      <c r="H4183" s="6" t="n">
        <f aca="false">Sens!H4132*sbc_r</f>
        <v>19.2644849659525</v>
      </c>
      <c r="I4183" s="6" t="n">
        <f aca="false">Sens!I4132*sbc_r</f>
        <v>21.6944995352461</v>
      </c>
      <c r="J4183" s="6" t="n">
        <f aca="false">Sens!J4132*sbc_r</f>
        <v>24.0303092612034</v>
      </c>
      <c r="K4183" s="6" t="n">
        <f aca="false">Sens!K4132*sbc_r</f>
        <v>26.2462779746985</v>
      </c>
    </row>
    <row r="4184" customFormat="false" ht="17.15" hidden="false" customHeight="false" outlineLevel="0" collapsed="false">
      <c r="A4184" s="1" t="s">
        <v>846</v>
      </c>
      <c r="B4184" s="0" t="s">
        <v>95</v>
      </c>
      <c r="F4184" s="6" t="n">
        <f aca="false">wc27</f>
        <v>-4.895</v>
      </c>
      <c r="G4184" s="6" t="n">
        <f aca="false">0</f>
        <v>0</v>
      </c>
      <c r="H4184" s="6" t="n">
        <f aca="false">0</f>
        <v>0</v>
      </c>
      <c r="I4184" s="6" t="n">
        <f aca="false">0</f>
        <v>0</v>
      </c>
      <c r="J4184" s="6" t="n">
        <f aca="false">0</f>
        <v>0</v>
      </c>
      <c r="K4184" s="6" t="n">
        <f aca="false">0</f>
        <v>0</v>
      </c>
      <c r="L4184" s="11" t="s">
        <v>847</v>
      </c>
    </row>
    <row r="4185" customFormat="false" ht="15" hidden="false" customHeight="false" outlineLevel="0" collapsed="false">
      <c r="A4185" s="1" t="s">
        <v>678</v>
      </c>
      <c r="B4185" s="0" t="s">
        <v>95</v>
      </c>
      <c r="E4185" s="6" t="n">
        <f aca="false">Q!M35</f>
        <v>182.935</v>
      </c>
      <c r="F4185" s="6" t="n">
        <f aca="false">Sens!F4180+Sens!F4182+Sens!F4183+Sens!F4184</f>
        <v>204.119316123784</v>
      </c>
      <c r="G4185" s="6" t="n">
        <f aca="false">Sens!G4180+Sens!G4182+Sens!G4183+Sens!G4184</f>
        <v>244.548027837093</v>
      </c>
      <c r="H4185" s="6" t="n">
        <f aca="false">Sens!H4180+Sens!H4182+Sens!H4183+Sens!H4184</f>
        <v>277.310682574008</v>
      </c>
      <c r="I4185" s="6" t="n">
        <f aca="false">Sens!I4180+Sens!I4182+Sens!I4183+Sens!I4184</f>
        <v>315.858116528511</v>
      </c>
      <c r="J4185" s="6" t="n">
        <f aca="false">Sens!J4180+Sens!J4182+Sens!J4183+Sens!J4184</f>
        <v>353.477612244516</v>
      </c>
      <c r="K4185" s="6" t="n">
        <f aca="false">Sens!K4180+Sens!K4182+Sens!K4183+Sens!K4184</f>
        <v>389.813283755876</v>
      </c>
    </row>
    <row r="4186" customFormat="false" ht="17.15" hidden="false" customHeight="false" outlineLevel="0" collapsed="false">
      <c r="A4186" s="0" t="s">
        <v>848</v>
      </c>
      <c r="B4186" s="0" t="s">
        <v>95</v>
      </c>
      <c r="F4186" s="6" t="n">
        <f aca="false">Sens!F4102</f>
        <v>168.770652770438</v>
      </c>
      <c r="G4186" s="6" t="n">
        <f aca="false">Sens!G4102</f>
        <v>183.5741804832</v>
      </c>
      <c r="H4186" s="6" t="n">
        <f aca="false">Sens!H4102</f>
        <v>188.0802859104</v>
      </c>
      <c r="I4186" s="6" t="n">
        <f aca="false">Sens!I4102</f>
        <v>188.0802859104</v>
      </c>
      <c r="J4186" s="6" t="n">
        <f aca="false">Sens!J4102</f>
        <v>218.338961257067</v>
      </c>
      <c r="K4186" s="6" t="n">
        <f aca="false">Sens!K4102</f>
        <v>233.777060923733</v>
      </c>
    </row>
    <row r="4187" customFormat="false" ht="17.15" hidden="false" customHeight="false" outlineLevel="0" collapsed="false">
      <c r="A4187" s="1" t="s">
        <v>849</v>
      </c>
      <c r="B4187" s="0" t="s">
        <v>95</v>
      </c>
      <c r="E4187" s="6" t="n">
        <f aca="false">Sens!E4110*cx_azo+Sens!E4117*cx_m365+Sens!E4118*cx_lic+(Sens!E4120+Sens!E4122)*cx_ind+Sens!E4125*cx_srch+(Sens!E4127+Sens!E4129)*cx_dev</f>
        <v>30.1846587067718</v>
      </c>
      <c r="F4187" s="6" t="n">
        <f aca="false">Sens!F4110*cx_azo+Sens!F4117*cx_m365+Sens!F4118*cx_lic+(Sens!F4120+Sens!F4122)*cx_ind+Sens!F4125*cx_srch+(Sens!F4127+Sens!F4129)*cx_dev</f>
        <v>35.4293472295625</v>
      </c>
      <c r="G4187" s="6" t="n">
        <f aca="false">Sens!G4110*cx_azo+Sens!G4117*cx_m365+Sens!G4118*cx_lic+(Sens!G4120+Sens!G4122)*cx_ind+Sens!G4125*cx_srch+(Sens!G4127+Sens!G4129)*cx_dev</f>
        <v>40.7028935703892</v>
      </c>
      <c r="H4187" s="6" t="n">
        <f aca="false">Sens!H4110*cx_azo+Sens!H4117*cx_m365+Sens!H4118*cx_lic+(Sens!H4120+Sens!H4122)*cx_ind+Sens!H4125*cx_srch+(Sens!H4127+Sens!H4129)*cx_dev</f>
        <v>46.0615136440897</v>
      </c>
      <c r="I4187" s="6" t="n">
        <f aca="false">Sens!I4110*cx_azo+Sens!I4117*cx_m365+Sens!I4118*cx_lic+(Sens!I4120+Sens!I4122)*cx_ind+Sens!I4125*cx_srch+(Sens!I4127+Sens!I4129)*cx_dev</f>
        <v>51.2234003116439</v>
      </c>
      <c r="J4187" s="6" t="n">
        <f aca="false">Sens!J4110*cx_azo+Sens!J4117*cx_m365+Sens!J4118*cx_lic+(Sens!J4120+Sens!J4122)*cx_ind+Sens!J4125*cx_srch+(Sens!J4127+Sens!J4129)*cx_dev</f>
        <v>55.9559132503738</v>
      </c>
      <c r="K4187" s="6" t="n">
        <f aca="false">Sens!K4110*cx_azo+Sens!K4117*cx_m365+Sens!K4118*cx_lic+(Sens!K4120+Sens!K4122)*cx_ind+Sens!K4125*cx_srch+(Sens!K4127+Sens!K4129)*cx_dev</f>
        <v>60.093702741994</v>
      </c>
    </row>
    <row r="4188" customFormat="false" ht="17.15" hidden="false" customHeight="false" outlineLevel="0" collapsed="false">
      <c r="A4188" s="1" t="s">
        <v>850</v>
      </c>
      <c r="B4188" s="0" t="s">
        <v>95</v>
      </c>
      <c r="E4188" s="6" t="n">
        <f aca="false">Q!M42</f>
        <v>145.3</v>
      </c>
      <c r="F4188" s="6" t="n">
        <f aca="false">Sens!F4186+Sens!F4187</f>
        <v>204.2</v>
      </c>
      <c r="G4188" s="6" t="n">
        <f aca="false">Sens!G4186+Sens!G4187</f>
        <v>224.277074053589</v>
      </c>
      <c r="H4188" s="6" t="n">
        <f aca="false">Sens!H4186+Sens!H4187</f>
        <v>234.14179955449</v>
      </c>
      <c r="I4188" s="6" t="n">
        <f aca="false">Sens!I4186+Sens!I4187</f>
        <v>239.303686222044</v>
      </c>
      <c r="J4188" s="6" t="n">
        <f aca="false">Sens!J4186+Sens!J4187</f>
        <v>274.29487450744</v>
      </c>
      <c r="K4188" s="6" t="n">
        <f aca="false">Sens!K4186+Sens!K4187</f>
        <v>293.870763665727</v>
      </c>
      <c r="L4188" s="1" t="s">
        <v>851</v>
      </c>
    </row>
    <row r="4189" customFormat="false" ht="15" hidden="false" customHeight="false" outlineLevel="0" collapsed="false">
      <c r="A4189" s="1" t="s">
        <v>852</v>
      </c>
      <c r="B4189" s="0" t="s">
        <v>95</v>
      </c>
      <c r="E4189" s="6" t="n">
        <f aca="false">fl_liab</f>
        <v>66.594</v>
      </c>
      <c r="F4189" s="6" t="n">
        <f aca="false">Sens!E4189-Sens!F4190</f>
        <v>62.46973</v>
      </c>
      <c r="G4189" s="6" t="n">
        <f aca="false">Sens!F4189-Sens!G4190</f>
        <v>57.98686785</v>
      </c>
      <c r="H4189" s="6" t="n">
        <f aca="false">Sens!G4189-Sens!H4190</f>
        <v>53.92827690325</v>
      </c>
      <c r="I4189" s="6" t="n">
        <f aca="false">Sens!H4189-Sens!I4190</f>
        <v>49.7850493638962</v>
      </c>
      <c r="J4189" s="6" t="n">
        <f aca="false">Sens!I4189-Sens!J4190</f>
        <v>45.4823765852716</v>
      </c>
      <c r="K4189" s="6" t="n">
        <f aca="false">Sens!J4189-Sens!K4190</f>
        <v>40.9860835316088</v>
      </c>
    </row>
    <row r="4190" customFormat="false" ht="15" hidden="false" customHeight="false" outlineLevel="0" collapsed="false">
      <c r="A4190" s="1" t="s">
        <v>853</v>
      </c>
      <c r="B4190" s="0" t="s">
        <v>95</v>
      </c>
      <c r="F4190" s="6" t="n">
        <f aca="false">fl_pay_27-Sens!E4189*fl_rate</f>
        <v>4.12427</v>
      </c>
      <c r="G4190" s="6" t="n">
        <f aca="false">fl_pay_28-Sens!F4189*fl_rate</f>
        <v>4.48286215</v>
      </c>
      <c r="H4190" s="6" t="n">
        <f aca="false">fl_pay_29-Sens!G4189*fl_rate</f>
        <v>4.05859094675</v>
      </c>
      <c r="I4190" s="6" t="n">
        <f aca="false">fl_pay_30-Sens!H4189*fl_rate</f>
        <v>4.14322753935375</v>
      </c>
      <c r="J4190" s="6" t="n">
        <f aca="false">fl_pay_31-Sens!I4189*fl_rate</f>
        <v>4.30267277862467</v>
      </c>
      <c r="K4190" s="6" t="n">
        <f aca="false">fl_pay_32-Sens!J4189*fl_rate</f>
        <v>4.49629305366278</v>
      </c>
    </row>
    <row r="4191" customFormat="false" ht="17.15" hidden="false" customHeight="false" outlineLevel="0" collapsed="false">
      <c r="A4191" s="1" t="s">
        <v>854</v>
      </c>
      <c r="B4191" s="0" t="s">
        <v>95</v>
      </c>
      <c r="E4191" s="6" t="n">
        <f aca="false">Q!M35-Q!M36-Q!M43</f>
        <v>63.886</v>
      </c>
      <c r="F4191" s="6" t="n">
        <f aca="false">Sens!F4185-Sens!F4188-Sens!F4190</f>
        <v>-4.20495387621566</v>
      </c>
      <c r="G4191" s="6" t="n">
        <f aca="false">Sens!G4185-Sens!G4188-Sens!G4190</f>
        <v>15.788091633504</v>
      </c>
      <c r="H4191" s="6" t="n">
        <f aca="false">Sens!H4185-Sens!H4188-Sens!H4190</f>
        <v>39.1102920727688</v>
      </c>
      <c r="I4191" s="6" t="n">
        <f aca="false">Sens!I4185-Sens!I4188-Sens!I4190</f>
        <v>72.4112027671129</v>
      </c>
      <c r="J4191" s="6" t="n">
        <f aca="false">Sens!J4185-Sens!J4188-Sens!J4190</f>
        <v>74.8800649584505</v>
      </c>
      <c r="K4191" s="6" t="n">
        <f aca="false">Sens!K4185-Sens!K4188-Sens!K4190</f>
        <v>91.4462270364858</v>
      </c>
      <c r="L4191" s="11" t="s">
        <v>855</v>
      </c>
    </row>
    <row r="4192" customFormat="false" ht="15" hidden="false" customHeight="false" outlineLevel="0" collapsed="false">
      <c r="A4192" s="1" t="s">
        <v>856</v>
      </c>
      <c r="B4192" s="0" t="s">
        <v>73</v>
      </c>
      <c r="F4192" s="8" t="n">
        <f aca="false">dps_27</f>
        <v>3.85</v>
      </c>
      <c r="G4192" s="8" t="n">
        <f aca="false">Sens!F4192*(1+dps_g)</f>
        <v>4.158</v>
      </c>
      <c r="H4192" s="8" t="n">
        <f aca="false">Sens!G4192*(1+dps_g)</f>
        <v>4.49064</v>
      </c>
      <c r="I4192" s="8" t="n">
        <f aca="false">Sens!H4192*(1+dps_g)</f>
        <v>4.8498912</v>
      </c>
      <c r="J4192" s="8" t="n">
        <f aca="false">Sens!I4192*(1+dps_g)</f>
        <v>5.237882496</v>
      </c>
      <c r="K4192" s="8" t="n">
        <f aca="false">Sens!J4192*(1+dps_g)</f>
        <v>5.65691309568</v>
      </c>
    </row>
    <row r="4193" customFormat="false" ht="17.15" hidden="false" customHeight="false" outlineLevel="0" collapsed="false">
      <c r="A4193" s="1" t="s">
        <v>857</v>
      </c>
      <c r="B4193" s="0" t="s">
        <v>95</v>
      </c>
      <c r="E4193" s="6" t="n">
        <f aca="false">Q!M41</f>
        <v>26.445</v>
      </c>
      <c r="F4193" s="6" t="n">
        <f aca="false">Sens!F4192*Sens!E4202</f>
        <v>28.59395</v>
      </c>
      <c r="G4193" s="6" t="n">
        <f aca="false">Sens!G4192*Sens!F4202</f>
        <v>31.068576</v>
      </c>
      <c r="H4193" s="6" t="n">
        <f aca="false">Sens!H4192*Sens!G4202</f>
        <v>33.75614088</v>
      </c>
      <c r="I4193" s="6" t="n">
        <f aca="false">Sens!I4192*Sens!H4202</f>
        <v>36.649687462409</v>
      </c>
      <c r="J4193" s="6" t="n">
        <f aca="false">Sens!J4192*Sens!I4202</f>
        <v>39.6500613077212</v>
      </c>
      <c r="K4193" s="6" t="n">
        <f aca="false">Sens!K4192*Sens!J4202</f>
        <v>42.909321437644</v>
      </c>
      <c r="L4193" s="1" t="s">
        <v>858</v>
      </c>
    </row>
    <row r="4194" customFormat="false" ht="15" hidden="false" customHeight="false" outlineLevel="0" collapsed="false">
      <c r="A4194" s="1" t="s">
        <v>859</v>
      </c>
      <c r="B4194" s="0" t="s">
        <v>95</v>
      </c>
      <c r="E4194" s="6" t="n">
        <f aca="false">Sens!E4191-Sens!E4193</f>
        <v>37.441</v>
      </c>
      <c r="F4194" s="6" t="n">
        <f aca="false">Sens!F4191-Sens!F4193</f>
        <v>-32.7989038762157</v>
      </c>
      <c r="G4194" s="6" t="n">
        <f aca="false">Sens!G4191-Sens!G4193</f>
        <v>-15.280484366496</v>
      </c>
      <c r="H4194" s="6" t="n">
        <f aca="false">Sens!H4191-Sens!H4193</f>
        <v>5.35415119276883</v>
      </c>
      <c r="I4194" s="6" t="n">
        <f aca="false">Sens!I4191-Sens!I4193</f>
        <v>35.7615153047039</v>
      </c>
      <c r="J4194" s="6" t="n">
        <f aca="false">Sens!J4191-Sens!J4193</f>
        <v>35.2300036507292</v>
      </c>
      <c r="K4194" s="6" t="n">
        <f aca="false">Sens!K4191-Sens!K4193</f>
        <v>48.5369055988419</v>
      </c>
    </row>
    <row r="4195" customFormat="false" ht="15" hidden="false" customHeight="false" outlineLevel="0" collapsed="false">
      <c r="A4195" s="1" t="s">
        <v>860</v>
      </c>
      <c r="B4195" s="0" t="s">
        <v>95</v>
      </c>
      <c r="F4195" s="6" t="n">
        <f aca="false">debt_mat_27</f>
        <v>9.25</v>
      </c>
      <c r="G4195" s="6" t="n">
        <f aca="false">debt_mat_28</f>
        <v>0</v>
      </c>
      <c r="H4195" s="6" t="n">
        <f aca="false">debt_mat_29</f>
        <v>2.001</v>
      </c>
      <c r="I4195" s="6" t="n">
        <f aca="false">debt_mat_30</f>
        <v>0</v>
      </c>
      <c r="J4195" s="6" t="n">
        <f aca="false">debt_mat_31</f>
        <v>0.5</v>
      </c>
      <c r="K4195" s="6" t="n">
        <f aca="false">debt_mat_32</f>
        <v>0</v>
      </c>
    </row>
    <row r="4196" customFormat="false" ht="15" hidden="false" customHeight="false" outlineLevel="0" collapsed="false">
      <c r="A4196" s="1" t="s">
        <v>861</v>
      </c>
      <c r="B4196" s="0" t="s">
        <v>95</v>
      </c>
      <c r="E4196" s="6" t="n">
        <f aca="false">Q!M40</f>
        <v>22.271</v>
      </c>
      <c r="F4196" s="6" t="n">
        <f aca="false">MAX(0,MIN(bb_target,Sens!E4198+Sens!F4194-Sens!F4195-min_cash))</f>
        <v>0</v>
      </c>
      <c r="G4196" s="6" t="n">
        <f aca="false">MAX(0,MIN(bb_target,Sens!F4198+Sens!G4194-Sens!G4195-min_cash))</f>
        <v>0</v>
      </c>
      <c r="H4196" s="6" t="n">
        <f aca="false">MAX(0,MIN(bb_target,Sens!G4198+Sens!H4194-Sens!H4195-min_cash))</f>
        <v>3.35315119276883</v>
      </c>
      <c r="I4196" s="6" t="n">
        <f aca="false">MAX(0,MIN(bb_target,Sens!H4198+Sens!I4194-Sens!I4195-min_cash))</f>
        <v>22.271</v>
      </c>
      <c r="J4196" s="6" t="n">
        <f aca="false">MAX(0,MIN(bb_target,Sens!I4198+Sens!J4194-Sens!J4195-min_cash))</f>
        <v>22.271</v>
      </c>
      <c r="K4196" s="6" t="n">
        <f aca="false">MAX(0,MIN(bb_target,Sens!J4198+Sens!K4194-Sens!K4195-min_cash))</f>
        <v>22.271</v>
      </c>
    </row>
    <row r="4197" customFormat="false" ht="15" hidden="false" customHeight="false" outlineLevel="0" collapsed="false">
      <c r="A4197" s="1" t="s">
        <v>862</v>
      </c>
      <c r="B4197" s="0" t="s">
        <v>95</v>
      </c>
      <c r="F4197" s="6" t="n">
        <f aca="false">MAX(0,min_cash-(Sens!E4198+Sens!F4194-Sens!F4195-Sens!F4196))</f>
        <v>15.2059038762157</v>
      </c>
      <c r="G4197" s="6" t="n">
        <f aca="false">MAX(0,min_cash-(Sens!F4198+Sens!G4194-Sens!G4195-Sens!G4196))</f>
        <v>15.280484366496</v>
      </c>
      <c r="H4197" s="6" t="n">
        <f aca="false">MAX(0,min_cash-(Sens!G4198+Sens!H4194-Sens!H4195-Sens!H4196))</f>
        <v>0</v>
      </c>
      <c r="I4197" s="6" t="n">
        <f aca="false">MAX(0,min_cash-(Sens!H4198+Sens!I4194-Sens!I4195-Sens!I4196))</f>
        <v>0</v>
      </c>
      <c r="J4197" s="6" t="n">
        <f aca="false">MAX(0,min_cash-(Sens!I4198+Sens!J4194-Sens!J4195-Sens!J4196))</f>
        <v>0</v>
      </c>
      <c r="K4197" s="6" t="n">
        <f aca="false">MAX(0,min_cash-(Sens!J4198+Sens!K4194-Sens!K4195-Sens!K4196))</f>
        <v>0</v>
      </c>
    </row>
    <row r="4198" customFormat="false" ht="15" hidden="false" customHeight="false" outlineLevel="0" collapsed="false">
      <c r="A4198" s="1" t="s">
        <v>863</v>
      </c>
      <c r="B4198" s="0" t="s">
        <v>95</v>
      </c>
      <c r="E4198" s="6" t="n">
        <f aca="false">cash_open</f>
        <v>76.843</v>
      </c>
      <c r="F4198" s="6" t="n">
        <f aca="false">Sens!E4198+Sens!F4194-Sens!F4195-Sens!F4196+Sens!F4197</f>
        <v>50</v>
      </c>
      <c r="G4198" s="6" t="n">
        <f aca="false">Sens!F4198+Sens!G4194-Sens!G4195-Sens!G4196+Sens!G4197</f>
        <v>50</v>
      </c>
      <c r="H4198" s="6" t="n">
        <f aca="false">Sens!G4198+Sens!H4194-Sens!H4195-Sens!H4196+Sens!H4197</f>
        <v>50</v>
      </c>
      <c r="I4198" s="6" t="n">
        <f aca="false">Sens!H4198+Sens!I4194-Sens!I4195-Sens!I4196+Sens!I4197</f>
        <v>63.4905153047039</v>
      </c>
      <c r="J4198" s="6" t="n">
        <f aca="false">Sens!I4198+Sens!J4194-Sens!J4195-Sens!J4196+Sens!J4197</f>
        <v>75.9495189554331</v>
      </c>
      <c r="K4198" s="6" t="n">
        <f aca="false">Sens!J4198+Sens!K4194-Sens!K4195-Sens!K4196+Sens!K4197</f>
        <v>102.215424554275</v>
      </c>
    </row>
    <row r="4199" customFormat="false" ht="15" hidden="false" customHeight="false" outlineLevel="0" collapsed="false">
      <c r="A4199" s="1" t="s">
        <v>864</v>
      </c>
      <c r="B4199" s="0" t="s">
        <v>95</v>
      </c>
      <c r="E4199" s="6" t="n">
        <f aca="false">debt_face</f>
        <v>46.136</v>
      </c>
      <c r="F4199" s="6" t="n">
        <f aca="false">Sens!E4199-Sens!F4195+Sens!F4197</f>
        <v>52.0919038762157</v>
      </c>
      <c r="G4199" s="6" t="n">
        <f aca="false">Sens!F4199-Sens!G4195+Sens!G4197</f>
        <v>67.3723882427117</v>
      </c>
      <c r="H4199" s="6" t="n">
        <f aca="false">Sens!G4199-Sens!H4195+Sens!H4197</f>
        <v>65.3713882427117</v>
      </c>
      <c r="I4199" s="6" t="n">
        <f aca="false">Sens!H4199-Sens!I4195+Sens!I4197</f>
        <v>65.3713882427117</v>
      </c>
      <c r="J4199" s="6" t="n">
        <f aca="false">Sens!I4199-Sens!J4195+Sens!J4197</f>
        <v>64.8713882427117</v>
      </c>
      <c r="K4199" s="6" t="n">
        <f aca="false">Sens!J4199-Sens!K4195+Sens!K4197</f>
        <v>64.8713882427117</v>
      </c>
    </row>
    <row r="4200" customFormat="false" ht="15" hidden="false" customHeight="false" outlineLevel="0" collapsed="false">
      <c r="A4200" s="1" t="s">
        <v>865</v>
      </c>
      <c r="B4200" s="0" t="s">
        <v>95</v>
      </c>
      <c r="E4200" s="6" t="n">
        <f aca="false">Sens!E4198-Sens!E4199</f>
        <v>30.707</v>
      </c>
      <c r="F4200" s="6" t="n">
        <f aca="false">Sens!F4198-Sens!F4199</f>
        <v>-2.09190387621566</v>
      </c>
      <c r="G4200" s="6" t="n">
        <f aca="false">Sens!G4198-Sens!G4199</f>
        <v>-17.3723882427117</v>
      </c>
      <c r="H4200" s="6" t="n">
        <f aca="false">Sens!H4198-Sens!H4199</f>
        <v>-15.3713882427117</v>
      </c>
      <c r="I4200" s="6" t="n">
        <f aca="false">Sens!I4198-Sens!I4199</f>
        <v>-1.88087293800781</v>
      </c>
      <c r="J4200" s="6" t="n">
        <f aca="false">Sens!J4198-Sens!J4199</f>
        <v>11.0781307127214</v>
      </c>
      <c r="K4200" s="6" t="n">
        <f aca="false">Sens!K4198-Sens!K4199</f>
        <v>37.3440363115633</v>
      </c>
    </row>
    <row r="4201" customFormat="false" ht="15" hidden="false" customHeight="false" outlineLevel="0" collapsed="false">
      <c r="A4201" s="1" t="s">
        <v>866</v>
      </c>
      <c r="B4201" s="0" t="s">
        <v>73</v>
      </c>
      <c r="F4201" s="27" t="n">
        <f aca="false">px*(1+bb_g)^(1-0.5)</f>
        <v>553.494156066711</v>
      </c>
      <c r="G4201" s="27" t="n">
        <f aca="false">px*(1+bb_g)^(2-0.5)</f>
        <v>597.773688552047</v>
      </c>
      <c r="H4201" s="27" t="n">
        <f aca="false">px*(1+bb_g)^(3-0.5)</f>
        <v>645.595583636211</v>
      </c>
      <c r="I4201" s="27" t="n">
        <f aca="false">px*(1+bb_g)^(4-0.5)</f>
        <v>697.243230327108</v>
      </c>
      <c r="J4201" s="27" t="n">
        <f aca="false">px*(1+bb_g)^(5-0.5)</f>
        <v>753.022688753277</v>
      </c>
      <c r="K4201" s="27" t="n">
        <f aca="false">px*(1+bb_g)^(6-0.5)</f>
        <v>813.264503853539</v>
      </c>
    </row>
    <row r="4202" customFormat="false" ht="15" hidden="false" customHeight="false" outlineLevel="0" collapsed="false">
      <c r="A4202" s="1" t="s">
        <v>867</v>
      </c>
      <c r="B4202" s="1" t="s">
        <v>79</v>
      </c>
      <c r="E4202" s="18" t="n">
        <f aca="false">sh_out26</f>
        <v>7.427</v>
      </c>
      <c r="F4202" s="18" t="n">
        <f aca="false">Sens!E4202+sh_iss-Sens!F4196/Sens!F4201</f>
        <v>7.472</v>
      </c>
      <c r="G4202" s="18" t="n">
        <f aca="false">Sens!F4202+sh_iss-Sens!G4196/Sens!G4201</f>
        <v>7.517</v>
      </c>
      <c r="H4202" s="18" t="n">
        <f aca="false">Sens!G4202+sh_iss-Sens!H4196/Sens!H4201</f>
        <v>7.55680611194103</v>
      </c>
      <c r="I4202" s="18" t="n">
        <f aca="false">Sens!H4202+sh_iss-Sens!I4196/Sens!I4201</f>
        <v>7.56986460425576</v>
      </c>
      <c r="J4202" s="18" t="n">
        <f aca="false">Sens!I4202+sh_iss-Sens!J4196/Sens!J4201</f>
        <v>7.5852891341768</v>
      </c>
      <c r="K4202" s="18" t="n">
        <f aca="false">Sens!J4202+sh_iss-Sens!K4196/Sens!K4201</f>
        <v>7.60290443965924</v>
      </c>
    </row>
    <row r="4203" customFormat="false" ht="15" hidden="false" customHeight="false" outlineLevel="0" collapsed="false">
      <c r="A4203" s="1" t="s">
        <v>868</v>
      </c>
      <c r="B4203" s="1" t="s">
        <v>79</v>
      </c>
      <c r="E4203" s="18" t="n">
        <f aca="false">sh_dil26</f>
        <v>7.453</v>
      </c>
      <c r="F4203" s="18" t="n">
        <f aca="false">(Sens!E4202+Sens!F4202)/2+dil_gap</f>
        <v>7.4735</v>
      </c>
      <c r="G4203" s="18" t="n">
        <f aca="false">(Sens!F4202+Sens!G4202)/2+dil_gap</f>
        <v>7.5185</v>
      </c>
      <c r="H4203" s="18" t="n">
        <f aca="false">(Sens!G4202+Sens!H4202)/2+dil_gap</f>
        <v>7.56090305597052</v>
      </c>
      <c r="I4203" s="18" t="n">
        <f aca="false">(Sens!H4202+Sens!I4202)/2+dil_gap</f>
        <v>7.5873353580984</v>
      </c>
      <c r="J4203" s="18" t="n">
        <f aca="false">(Sens!I4202+Sens!J4202)/2+dil_gap</f>
        <v>7.60157686921628</v>
      </c>
      <c r="K4203" s="18" t="n">
        <f aca="false">(Sens!J4202+Sens!K4202)/2+dil_gap</f>
        <v>7.61809678691802</v>
      </c>
    </row>
    <row r="4204" customFormat="false" ht="17.15" hidden="false" customHeight="false" outlineLevel="0" collapsed="false">
      <c r="A4204" s="1" t="s">
        <v>869</v>
      </c>
      <c r="B4204" s="0" t="s">
        <v>95</v>
      </c>
      <c r="C4204" s="6" t="n">
        <f aca="false">SUM(Sens!F4194:J4194)</f>
        <v>28.2662819054903</v>
      </c>
    </row>
    <row r="4205" customFormat="false" ht="17.15" hidden="false" customHeight="false" outlineLevel="0" collapsed="false">
      <c r="A4205" s="1" t="s">
        <v>836</v>
      </c>
      <c r="B4205" s="1" t="s">
        <v>870</v>
      </c>
      <c r="C4205" s="30" t="str">
        <f aca="false">IF(SUM(Sens!F4197:J4197)&gt;0.05,"需要舉債 "&amp;TEXT(SUM(Sens!F4197:J4197),"0.0")&amp;" 十億美元","不需舉債")&amp;"；"&amp;IF(SUM(Sens!F4196:J4196)&lt;5*bb_target-0.05,"回購較每年 "&amp;TEXT(bb_target,"0.0")&amp;" 的目標少 "&amp;TEXT(5*bb_target-SUM(Sens!F4196:J4196),"0.0")&amp;" 十億美元（"&amp;TEXT(COUNTIF(Sens!F4196:J4196,"&lt;"&amp;(bb_target-0.05)),"0")&amp;" 年減少）","回購不減")</f>
        <v>需要舉債 30.5 十億美元；回購較每年 22.3 的目標少 63.5 十億美元（3 年減少）</v>
      </c>
    </row>
    <row r="4206" customFormat="false" ht="17.15" hidden="false" customHeight="false" outlineLevel="0" collapsed="false">
      <c r="A4206" s="3" t="s">
        <v>1233</v>
      </c>
    </row>
    <row r="4207" customFormat="false" ht="15" hidden="false" customHeight="false" outlineLevel="0" collapsed="false">
      <c r="A4207" s="4" t="s">
        <v>43</v>
      </c>
      <c r="B4207" s="4" t="s">
        <v>63</v>
      </c>
      <c r="C4207" s="19" t="s">
        <v>710</v>
      </c>
      <c r="D4207" s="19" t="s">
        <v>711</v>
      </c>
      <c r="E4207" s="19" t="s">
        <v>712</v>
      </c>
      <c r="F4207" s="19" t="s">
        <v>713</v>
      </c>
      <c r="G4207" s="19" t="s">
        <v>714</v>
      </c>
      <c r="H4207" s="19" t="s">
        <v>715</v>
      </c>
      <c r="I4207" s="19" t="s">
        <v>716</v>
      </c>
      <c r="J4207" s="19" t="s">
        <v>717</v>
      </c>
      <c r="K4207" s="19" t="s">
        <v>718</v>
      </c>
      <c r="L4207" s="4" t="s">
        <v>47</v>
      </c>
    </row>
    <row r="4208" customFormat="false" ht="17.15" hidden="false" customHeight="false" outlineLevel="0" collapsed="false">
      <c r="A4208" s="1" t="s">
        <v>938</v>
      </c>
      <c r="B4208" s="1" t="s">
        <v>213</v>
      </c>
      <c r="F4208" s="34" t="n">
        <f aca="false">1-0.5</f>
        <v>0.5</v>
      </c>
      <c r="G4208" s="34" t="n">
        <f aca="false">2-0.5</f>
        <v>1.5</v>
      </c>
      <c r="H4208" s="34" t="n">
        <f aca="false">3-0.5</f>
        <v>2.5</v>
      </c>
      <c r="I4208" s="34" t="n">
        <f aca="false">4-0.5</f>
        <v>3.5</v>
      </c>
      <c r="J4208" s="34" t="n">
        <f aca="false">5-0.5</f>
        <v>4.5</v>
      </c>
      <c r="K4208" s="34" t="n">
        <f aca="false">6-0.5</f>
        <v>5.5</v>
      </c>
    </row>
    <row r="4209" customFormat="false" ht="15" hidden="false" customHeight="false" outlineLevel="0" collapsed="false">
      <c r="A4209" s="1" t="s">
        <v>939</v>
      </c>
      <c r="B4209" s="0" t="s">
        <v>182</v>
      </c>
      <c r="F4209" s="18" t="n">
        <f aca="false">1/(1+wacc)^Sens!F4208</f>
        <v>0.949601579913219</v>
      </c>
      <c r="G4209" s="18" t="n">
        <f aca="false">1/(1+wacc)^Sens!G4208</f>
        <v>0.856296729956707</v>
      </c>
      <c r="H4209" s="18" t="n">
        <f aca="false">1/(1+wacc)^Sens!H4208</f>
        <v>0.772159719660069</v>
      </c>
      <c r="I4209" s="18" t="n">
        <f aca="false">1/(1+wacc)^Sens!I4208</f>
        <v>0.696289746073958</v>
      </c>
      <c r="J4209" s="18" t="n">
        <f aca="false">1/(1+wacc)^Sens!J4208</f>
        <v>0.627874516299776</v>
      </c>
      <c r="K4209" s="18" t="n">
        <f aca="false">1/(1+wacc)^Sens!K4208</f>
        <v>0.566181550771831</v>
      </c>
    </row>
    <row r="4210" customFormat="false" ht="15" hidden="false" customHeight="false" outlineLevel="0" collapsed="false">
      <c r="A4210" s="1" t="s">
        <v>940</v>
      </c>
      <c r="B4210" s="0" t="s">
        <v>95</v>
      </c>
      <c r="F4210" s="6" t="n">
        <f aca="false">Sens!F4191*Sens!F4209</f>
        <v>-3.9930308443166</v>
      </c>
      <c r="G4210" s="6" t="n">
        <f aca="false">Sens!G4191*Sens!G4209</f>
        <v>13.5192912380263</v>
      </c>
      <c r="H4210" s="6" t="n">
        <f aca="false">Sens!H4191*Sens!H4209</f>
        <v>30.1993921627326</v>
      </c>
      <c r="I4210" s="6" t="n">
        <f aca="false">Sens!I4191*Sens!I4209</f>
        <v>50.4191779876229</v>
      </c>
      <c r="J4210" s="6" t="n">
        <f aca="false">Sens!J4191*Sens!J4209</f>
        <v>47.0152845662829</v>
      </c>
      <c r="K4210" s="6" t="n">
        <f aca="false">Sens!K4191*Sens!K4209</f>
        <v>51.7751666357505</v>
      </c>
    </row>
    <row r="4211" customFormat="false" ht="17.15" hidden="false" customHeight="false" outlineLevel="0" collapsed="false">
      <c r="A4211" s="1" t="s">
        <v>941</v>
      </c>
      <c r="B4211" s="0" t="s">
        <v>95</v>
      </c>
      <c r="C4211" s="6" t="n">
        <f aca="false">SUM(Sens!F4210:K4210)</f>
        <v>188.935281746099</v>
      </c>
    </row>
    <row r="4212" customFormat="false" ht="17.15" hidden="false" customHeight="false" outlineLevel="0" collapsed="false">
      <c r="A4212" s="1" t="s">
        <v>942</v>
      </c>
      <c r="B4212" s="0" t="s">
        <v>95</v>
      </c>
      <c r="C4212" s="6" t="n">
        <f aca="false">Sens!K4157*(1+g_tv)*(1-tax_f)</f>
        <v>183.304773883822</v>
      </c>
    </row>
    <row r="4213" customFormat="false" ht="17.15" hidden="false" customHeight="false" outlineLevel="0" collapsed="false">
      <c r="A4213" s="1" t="s">
        <v>943</v>
      </c>
      <c r="B4213" s="0" t="s">
        <v>95</v>
      </c>
      <c r="C4213" s="6" t="n">
        <f aca="false">Sens!$C$4212*(1-g_tv/(wacc+ronic_prem))</f>
        <v>132.836889780693</v>
      </c>
    </row>
    <row r="4214" customFormat="false" ht="17.15" hidden="false" customHeight="false" outlineLevel="0" collapsed="false">
      <c r="A4214" s="1" t="s">
        <v>944</v>
      </c>
      <c r="B4214" s="0" t="s">
        <v>95</v>
      </c>
      <c r="C4214" s="6" t="n">
        <f aca="false">Sens!$C$4213/(wacc-g_tv)</f>
        <v>1682.26280343764</v>
      </c>
    </row>
    <row r="4215" customFormat="false" ht="15" hidden="false" customHeight="false" outlineLevel="0" collapsed="false">
      <c r="A4215" s="1" t="s">
        <v>945</v>
      </c>
      <c r="B4215" s="0" t="s">
        <v>95</v>
      </c>
      <c r="C4215" s="6" t="n">
        <f aca="false">Sens!$C$4214/(1+wacc)^6</f>
        <v>904.463373062026</v>
      </c>
    </row>
    <row r="4216" customFormat="false" ht="17.15" hidden="false" customHeight="false" outlineLevel="0" collapsed="false">
      <c r="A4216" s="0" t="s">
        <v>877</v>
      </c>
      <c r="B4216" s="0" t="s">
        <v>95</v>
      </c>
      <c r="C4216" s="6" t="n">
        <f aca="false">Sens!$C$4211+Sens!$C$4215</f>
        <v>1093.39865480813</v>
      </c>
    </row>
    <row r="4217" customFormat="false" ht="15" hidden="false" customHeight="false" outlineLevel="0" collapsed="false">
      <c r="A4217" s="1" t="s">
        <v>878</v>
      </c>
      <c r="B4217" s="0" t="s">
        <v>126</v>
      </c>
      <c r="C4217" s="7" t="n">
        <f aca="false">Sens!$C$4215/Sens!$C$4216</f>
        <v>0.827203663626919</v>
      </c>
    </row>
    <row r="4218" customFormat="false" ht="17.15" hidden="false" customHeight="false" outlineLevel="0" collapsed="false">
      <c r="A4218" s="1" t="s">
        <v>946</v>
      </c>
      <c r="B4218" s="0" t="s">
        <v>95</v>
      </c>
      <c r="C4218" s="6" t="n">
        <f aca="false">Sens!$C$4216+Sens!E4200+oai_v</f>
        <v>1294.50565480813</v>
      </c>
    </row>
    <row r="4219" customFormat="false" ht="17.15" hidden="false" customHeight="false" outlineLevel="0" collapsed="false">
      <c r="A4219" s="0" t="s">
        <v>883</v>
      </c>
      <c r="B4219" s="0" t="s">
        <v>73</v>
      </c>
      <c r="C4219" s="5" t="n">
        <f aca="false">Sens!$C$4218/sh_dil26</f>
        <v>173.68920633411</v>
      </c>
    </row>
    <row r="4220" customFormat="false" ht="17.15" hidden="false" customHeight="false" outlineLevel="0" collapsed="false">
      <c r="A4220" s="0" t="s">
        <v>947</v>
      </c>
      <c r="B4220" s="0" t="s">
        <v>73</v>
      </c>
      <c r="C4220" s="5" t="n">
        <f aca="false">Sens!$C$4219*(1+wacc)^t_roll</f>
        <v>199.220576665095</v>
      </c>
    </row>
    <row r="4221" customFormat="false" ht="17.15" hidden="false" customHeight="false" outlineLevel="0" collapsed="false">
      <c r="A4221" s="1" t="s">
        <v>948</v>
      </c>
      <c r="B4221" s="0" t="s">
        <v>126</v>
      </c>
      <c r="F4221" s="7" t="n">
        <f aca="false">Sens!F4181/(Sens!F4132-Sens!F4088)</f>
        <v>0.0743343808648461</v>
      </c>
      <c r="G4221" s="7" t="n">
        <f aca="false">Sens!G4181/(Sens!G4132-Sens!G4088)</f>
        <v>0.0708381178023424</v>
      </c>
      <c r="H4221" s="7" t="n">
        <f aca="false">Sens!H4181/(Sens!H4132-Sens!H4088)</f>
        <v>0.0687671477222955</v>
      </c>
      <c r="I4221" s="7" t="n">
        <f aca="false">Sens!I4181/(Sens!I4132-Sens!I4088)</f>
        <v>0.067936624520893</v>
      </c>
      <c r="J4221" s="7" t="n">
        <f aca="false">Sens!J4181/(Sens!J4132-Sens!J4088)</f>
        <v>0.068091704279375</v>
      </c>
      <c r="K4221" s="7" t="n">
        <f aca="false">Sens!K4181/(Sens!K4132-Sens!K4088)</f>
        <v>0.0689617997997934</v>
      </c>
    </row>
    <row r="4222" customFormat="false" ht="17.15" hidden="false" customHeight="false" outlineLevel="0" collapsed="false">
      <c r="A4222" s="0" t="s">
        <v>949</v>
      </c>
      <c r="B4222" s="0" t="s">
        <v>95</v>
      </c>
      <c r="F4222" s="6" t="n">
        <f aca="false">Sens!F4117*(al_m365+Sens!F4221)</f>
        <v>79.1617231230113</v>
      </c>
      <c r="G4222" s="6" t="n">
        <f aca="false">Sens!G4117*(al_m365+Sens!G4221)</f>
        <v>88.9156804877918</v>
      </c>
      <c r="H4222" s="6" t="n">
        <f aca="false">Sens!H4117*(al_m365+Sens!H4221)</f>
        <v>98.8286431363677</v>
      </c>
      <c r="I4222" s="6" t="n">
        <f aca="false">Sens!I4117*(al_m365+Sens!I4221)</f>
        <v>108.261858599132</v>
      </c>
      <c r="J4222" s="6" t="n">
        <f aca="false">Sens!J4117*(al_m365+Sens!J4221)</f>
        <v>117.038110464209</v>
      </c>
      <c r="K4222" s="6" t="n">
        <f aca="false">Sens!K4117*(al_m365+Sens!K4221)</f>
        <v>125.449063028082</v>
      </c>
    </row>
    <row r="4223" customFormat="false" ht="17.15" hidden="false" customHeight="false" outlineLevel="0" collapsed="false">
      <c r="A4223" s="0" t="s">
        <v>950</v>
      </c>
      <c r="B4223" s="0" t="s">
        <v>95</v>
      </c>
      <c r="F4223" s="6" t="n">
        <f aca="false">Sens!F4118*(al_lic+Sens!F4221)</f>
        <v>32.2084617059821</v>
      </c>
      <c r="G4223" s="6" t="n">
        <f aca="false">Sens!G4118*(al_lic+Sens!G4221)</f>
        <v>33.4299152795303</v>
      </c>
      <c r="H4223" s="6" t="n">
        <f aca="false">Sens!H4118*(al_lic+Sens!H4221)</f>
        <v>34.5712954953921</v>
      </c>
      <c r="I4223" s="6" t="n">
        <f aca="false">Sens!I4118*(al_lic+Sens!I4221)</f>
        <v>35.6127960691228</v>
      </c>
      <c r="J4223" s="6" t="n">
        <f aca="false">Sens!J4118*(al_lic+Sens!J4221)</f>
        <v>36.5309125281967</v>
      </c>
      <c r="K4223" s="6" t="n">
        <f aca="false">Sens!K4118*(al_lic+Sens!K4221)</f>
        <v>37.3011609215</v>
      </c>
    </row>
    <row r="4224" customFormat="false" ht="17.15" hidden="false" customHeight="false" outlineLevel="0" collapsed="false">
      <c r="A4224" s="0" t="s">
        <v>951</v>
      </c>
      <c r="B4224" s="0" t="s">
        <v>95</v>
      </c>
      <c r="F4224" s="6" t="n">
        <f aca="false">Sens!F4120*(al_ind+Sens!F4221)</f>
        <v>8.36907622888467</v>
      </c>
      <c r="G4224" s="6" t="n">
        <f aca="false">Sens!G4120*(al_ind+Sens!G4221)</f>
        <v>9.0629915432019</v>
      </c>
      <c r="H4224" s="6" t="n">
        <f aca="false">Sens!H4120*(al_ind+Sens!H4221)</f>
        <v>9.79954635070658</v>
      </c>
      <c r="I4224" s="6" t="n">
        <f aca="false">Sens!I4120*(al_ind+Sens!I4221)</f>
        <v>10.5749463369522</v>
      </c>
      <c r="J4224" s="6" t="n">
        <f aca="false">Sens!J4120*(al_ind+Sens!J4221)</f>
        <v>11.3811210985076</v>
      </c>
      <c r="K4224" s="6" t="n">
        <f aca="false">Sens!K4120*(al_ind+Sens!K4221)</f>
        <v>12.2065854696135</v>
      </c>
    </row>
    <row r="4225" customFormat="false" ht="17.15" hidden="false" customHeight="false" outlineLevel="0" collapsed="false">
      <c r="A4225" s="0" t="s">
        <v>952</v>
      </c>
      <c r="B4225" s="0" t="s">
        <v>95</v>
      </c>
      <c r="F4225" s="6" t="n">
        <f aca="false">Sens!F4122*(al_fro+Sens!F4221)</f>
        <v>3.29409778584964</v>
      </c>
      <c r="G4225" s="6" t="n">
        <f aca="false">Sens!G4122*(al_fro+Sens!G4221)</f>
        <v>3.47965293336333</v>
      </c>
      <c r="H4225" s="6" t="n">
        <f aca="false">Sens!H4122*(al_fro+Sens!H4221)</f>
        <v>3.69280447944643</v>
      </c>
      <c r="I4225" s="6" t="n">
        <f aca="false">Sens!I4122*(al_fro+Sens!I4221)</f>
        <v>3.93556463153162</v>
      </c>
      <c r="J4225" s="6" t="n">
        <f aca="false">Sens!J4122*(al_fro+Sens!J4221)</f>
        <v>4.20917595790036</v>
      </c>
      <c r="K4225" s="6" t="n">
        <f aca="false">Sens!K4122*(al_fro+Sens!K4221)</f>
        <v>4.51446440487225</v>
      </c>
    </row>
    <row r="4226" customFormat="false" ht="17.15" hidden="false" customHeight="false" outlineLevel="0" collapsed="false">
      <c r="A4226" s="0" t="s">
        <v>953</v>
      </c>
      <c r="B4226" s="0" t="s">
        <v>95</v>
      </c>
      <c r="F4226" s="6" t="n">
        <f aca="false">Sens!F4125*(al_srch+Sens!F4221)</f>
        <v>10.3359300595207</v>
      </c>
      <c r="G4226" s="6" t="n">
        <f aca="false">Sens!G4125*(al_srch+Sens!G4221)</f>
        <v>11.2985351015988</v>
      </c>
      <c r="H4226" s="6" t="n">
        <f aca="false">Sens!H4125*(al_srch+Sens!H4221)</f>
        <v>12.3036860295609</v>
      </c>
      <c r="I4226" s="6" t="n">
        <f aca="false">Sens!I4125*(al_srch+Sens!I4221)</f>
        <v>13.3405363592262</v>
      </c>
      <c r="J4226" s="6" t="n">
        <f aca="false">Sens!J4125*(al_srch+Sens!J4221)</f>
        <v>14.3919574712926</v>
      </c>
      <c r="K4226" s="6" t="n">
        <f aca="false">Sens!K4125*(al_srch+Sens!K4221)</f>
        <v>15.4357955976246</v>
      </c>
    </row>
    <row r="4227" customFormat="false" ht="17.15" hidden="false" customHeight="false" outlineLevel="0" collapsed="false">
      <c r="A4227" s="0" t="s">
        <v>954</v>
      </c>
      <c r="B4227" s="0" t="s">
        <v>95</v>
      </c>
      <c r="F4227" s="6" t="n">
        <f aca="false">Sens!F4094</f>
        <v>35.0573455625419</v>
      </c>
      <c r="G4227" s="6" t="n">
        <f aca="false">Sens!G4094</f>
        <v>52.2504971712871</v>
      </c>
      <c r="H4227" s="6" t="n">
        <f aca="false">Sens!H4094</f>
        <v>65.2796698510271</v>
      </c>
      <c r="I4227" s="6" t="n">
        <f aca="false">Sens!I4094</f>
        <v>85.5659922535278</v>
      </c>
      <c r="J4227" s="6" t="n">
        <f aca="false">Sens!J4094</f>
        <v>105.90773710582</v>
      </c>
      <c r="K4227" s="6" t="n">
        <f aca="false">Sens!K4094</f>
        <v>126.282084319851</v>
      </c>
    </row>
    <row r="4228" customFormat="false" ht="17.15" hidden="false" customHeight="false" outlineLevel="0" collapsed="false">
      <c r="A4228" s="0" t="s">
        <v>955</v>
      </c>
      <c r="B4228" s="0" t="s">
        <v>95</v>
      </c>
      <c r="F4228" s="6" t="n">
        <f aca="false">Sens!F4154+Sens!F4105+Sens!F4221*(Sens!F4124-Sens!F4088)</f>
        <v>205.236708409041</v>
      </c>
      <c r="G4228" s="6" t="n">
        <f aca="false">Sens!G4154+Sens!G4105+Sens!G4221*(Sens!G4124-Sens!G4088)</f>
        <v>240.255410317817</v>
      </c>
      <c r="H4228" s="6" t="n">
        <f aca="false">Sens!H4154+Sens!H4105+Sens!H4221*(Sens!H4124-Sens!H4088)</f>
        <v>271.329221889516</v>
      </c>
      <c r="I4228" s="6" t="n">
        <f aca="false">Sens!I4154+Sens!I4105+Sens!I4221*(Sens!I4124-Sens!I4088)</f>
        <v>308.965620522835</v>
      </c>
      <c r="J4228" s="6" t="n">
        <f aca="false">Sens!J4154+Sens!J4105+Sens!J4221*(Sens!J4124-Sens!J4088)</f>
        <v>345.168021472153</v>
      </c>
      <c r="K4228" s="6" t="n">
        <f aca="false">Sens!K4154+Sens!K4105+Sens!K4221*(Sens!K4124-Sens!K4088)</f>
        <v>379.50395903094</v>
      </c>
    </row>
    <row r="4229" customFormat="false" ht="17.15" hidden="false" customHeight="false" outlineLevel="0" collapsed="false">
      <c r="A4229" s="0" t="s">
        <v>956</v>
      </c>
      <c r="B4229" s="0" t="s">
        <v>95</v>
      </c>
      <c r="F4229" s="6" t="n">
        <f aca="false">Sens!F4228-Sens!F4222-Sens!F4223-Sens!F4224-Sens!F4225-Sens!F4227</f>
        <v>47.1460040027714</v>
      </c>
      <c r="G4229" s="6" t="n">
        <f aca="false">Sens!G4228-Sens!G4222-Sens!G4223-Sens!G4224-Sens!G4225-Sens!G4227</f>
        <v>53.1166729026427</v>
      </c>
      <c r="H4229" s="6" t="n">
        <f aca="false">Sens!H4228-Sens!H4222-Sens!H4223-Sens!H4224-Sens!H4225-Sens!H4227</f>
        <v>59.157262576576</v>
      </c>
      <c r="I4229" s="6" t="n">
        <f aca="false">Sens!I4228-Sens!I4222-Sens!I4223-Sens!I4224-Sens!I4225-Sens!I4227</f>
        <v>65.0144626325683</v>
      </c>
      <c r="J4229" s="6" t="n">
        <f aca="false">Sens!J4228-Sens!J4222-Sens!J4223-Sens!J4224-Sens!J4225-Sens!J4227</f>
        <v>70.1009643175193</v>
      </c>
      <c r="K4229" s="6" t="n">
        <f aca="false">Sens!K4228-Sens!K4222-Sens!K4223-Sens!K4224-Sens!K4225-Sens!K4227</f>
        <v>73.7506008870217</v>
      </c>
    </row>
    <row r="4230" customFormat="false" ht="17.15" hidden="false" customHeight="false" outlineLevel="0" collapsed="false">
      <c r="A4230" s="0" t="s">
        <v>957</v>
      </c>
      <c r="B4230" s="0" t="s">
        <v>95</v>
      </c>
      <c r="F4230" s="6" t="n">
        <f aca="false">Sens!F4156+Sens!F4221*Sens!F4131</f>
        <v>24.1377106455051</v>
      </c>
      <c r="G4230" s="6" t="n">
        <f aca="false">Sens!G4156+Sens!G4221*Sens!G4131</f>
        <v>24.6380988743435</v>
      </c>
      <c r="H4230" s="6" t="n">
        <f aca="false">Sens!H4156+Sens!H4221*Sens!H4131</f>
        <v>25.3938002153061</v>
      </c>
      <c r="I4230" s="6" t="n">
        <f aca="false">Sens!I4156+Sens!I4221*Sens!I4131</f>
        <v>26.3725575781497</v>
      </c>
      <c r="J4230" s="6" t="n">
        <f aca="false">Sens!J4156+Sens!J4221*Sens!J4131</f>
        <v>27.5426592236622</v>
      </c>
      <c r="K4230" s="6" t="n">
        <f aca="false">Sens!K4156+Sens!K4221*Sens!K4131</f>
        <v>28.8744967220387</v>
      </c>
    </row>
    <row r="4231" customFormat="false" ht="17.15" hidden="false" customHeight="false" outlineLevel="0" collapsed="false">
      <c r="A4231" s="0" t="s">
        <v>958</v>
      </c>
      <c r="B4231" s="0" t="s">
        <v>95</v>
      </c>
      <c r="F4231" s="6" t="n">
        <f aca="false">(Sens!F4230-Sens!F4226)*Sens!F4127/(Sens!F4127+Sens!F4129)</f>
        <v>7.56600168984158</v>
      </c>
      <c r="G4231" s="6" t="n">
        <f aca="false">(Sens!G4230-Sens!G4226)*Sens!G4127/(Sens!G4127+Sens!G4129)</f>
        <v>7.18223539872944</v>
      </c>
      <c r="H4231" s="6" t="n">
        <f aca="false">(Sens!H4230-Sens!H4226)*Sens!H4127/(Sens!H4127+Sens!H4129)</f>
        <v>6.95272200909595</v>
      </c>
      <c r="I4231" s="6" t="n">
        <f aca="false">(Sens!I4230-Sens!I4226)*Sens!I4127/(Sens!I4127+Sens!I4129)</f>
        <v>6.85923720391399</v>
      </c>
      <c r="J4231" s="6" t="n">
        <f aca="false">(Sens!J4230-Sens!J4226)*Sens!J4127/(Sens!J4127+Sens!J4129)</f>
        <v>6.89040349395872</v>
      </c>
      <c r="K4231" s="6" t="n">
        <f aca="false">(Sens!K4230-Sens!K4226)*Sens!K4127/(Sens!K4127+Sens!K4129)</f>
        <v>7.04130280844099</v>
      </c>
    </row>
    <row r="4232" customFormat="false" ht="17.15" hidden="false" customHeight="false" outlineLevel="0" collapsed="false">
      <c r="A4232" s="0" t="s">
        <v>959</v>
      </c>
      <c r="B4232" s="0" t="s">
        <v>95</v>
      </c>
      <c r="F4232" s="6" t="n">
        <f aca="false">Sens!F4230-Sens!F4226-Sens!F4231</f>
        <v>6.2357788961428</v>
      </c>
      <c r="G4232" s="6" t="n">
        <f aca="false">Sens!G4230-Sens!G4226-Sens!G4231</f>
        <v>6.15732837401533</v>
      </c>
      <c r="H4232" s="6" t="n">
        <f aca="false">Sens!H4230-Sens!H4226-Sens!H4231</f>
        <v>6.13739217664927</v>
      </c>
      <c r="I4232" s="6" t="n">
        <f aca="false">Sens!I4230-Sens!I4226-Sens!I4231</f>
        <v>6.17278401500946</v>
      </c>
      <c r="J4232" s="6" t="n">
        <f aca="false">Sens!J4230-Sens!J4226-Sens!J4231</f>
        <v>6.26029825841089</v>
      </c>
      <c r="K4232" s="6" t="n">
        <f aca="false">Sens!K4230-Sens!K4226-Sens!K4231</f>
        <v>6.39739831597312</v>
      </c>
    </row>
    <row r="4233" customFormat="false" ht="17.15" hidden="false" customHeight="false" outlineLevel="0" collapsed="false">
      <c r="A4233" s="1" t="s">
        <v>960</v>
      </c>
      <c r="B4233" s="0" t="s">
        <v>95</v>
      </c>
      <c r="C4233" s="6" t="n">
        <f aca="false">(w_ntm28*Sens!G4227+(1-w_ntm28)*Sens!H4227)*m_ai*1</f>
        <v>338.776008390068</v>
      </c>
    </row>
    <row r="4234" customFormat="false" ht="17.15" hidden="false" customHeight="false" outlineLevel="0" collapsed="false">
      <c r="A4234" s="1" t="s">
        <v>961</v>
      </c>
      <c r="B4234" s="0" t="s">
        <v>95</v>
      </c>
      <c r="C4234" s="6" t="n">
        <f aca="false">(w_ntm28*Sens!G4229+(1-w_ntm28)*Sens!H4229)*m_cloud*1</f>
        <v>761.060781204011</v>
      </c>
    </row>
    <row r="4235" customFormat="false" ht="17.15" hidden="false" customHeight="false" outlineLevel="0" collapsed="false">
      <c r="A4235" s="1" t="s">
        <v>962</v>
      </c>
      <c r="B4235" s="0" t="s">
        <v>95</v>
      </c>
      <c r="C4235" s="6" t="n">
        <f aca="false">(w_ntm28*Sens!G4222+(1-w_ntm28)*Sens!H4222)*m_sw*1</f>
        <v>994.900526252658</v>
      </c>
    </row>
    <row r="4236" customFormat="false" ht="17.15" hidden="false" customHeight="false" outlineLevel="0" collapsed="false">
      <c r="A4236" s="1" t="s">
        <v>963</v>
      </c>
      <c r="B4236" s="0" t="s">
        <v>95</v>
      </c>
      <c r="C4236" s="6" t="n">
        <f aca="false">(w_ntm28*Sens!G4223+(1-w_ntm28)*Sens!H4223)*m_sw*1</f>
        <v>365.028221860282</v>
      </c>
    </row>
    <row r="4237" customFormat="false" ht="17.15" hidden="false" customHeight="false" outlineLevel="0" collapsed="false">
      <c r="A4237" s="1" t="s">
        <v>964</v>
      </c>
      <c r="B4237" s="0" t="s">
        <v>95</v>
      </c>
      <c r="C4237" s="6" t="n">
        <f aca="false">(w_ntm28*Sens!G4224+(1-w_ntm28)*Sens!H4224)*m_sw*1</f>
        <v>100.451994821879</v>
      </c>
    </row>
    <row r="4238" customFormat="false" ht="17.15" hidden="false" customHeight="false" outlineLevel="0" collapsed="false">
      <c r="A4238" s="1" t="s">
        <v>965</v>
      </c>
      <c r="B4238" s="0" t="s">
        <v>95</v>
      </c>
      <c r="C4238" s="6" t="n">
        <f aca="false">(w_ntm28*Sens!G4225+(1-w_ntm28)*Sens!H4225)*m_sw*1</f>
        <v>38.3244717634152</v>
      </c>
    </row>
    <row r="4239" customFormat="false" ht="17.15" hidden="false" customHeight="false" outlineLevel="0" collapsed="false">
      <c r="A4239" s="1" t="s">
        <v>966</v>
      </c>
      <c r="B4239" s="0" t="s">
        <v>95</v>
      </c>
      <c r="C4239" s="6" t="n">
        <f aca="false">(w_ntm28*Sens!G4226+(1-w_ntm28)*Sens!H4226)*m_ads*1</f>
        <v>105.889975719512</v>
      </c>
    </row>
    <row r="4240" customFormat="false" ht="17.15" hidden="false" customHeight="false" outlineLevel="0" collapsed="false">
      <c r="A4240" s="1" t="s">
        <v>967</v>
      </c>
      <c r="B4240" s="0" t="s">
        <v>95</v>
      </c>
      <c r="C4240" s="6" t="n">
        <f aca="false">(w_ntm28*Sens!G4231+(1-w_ntm28)*Sens!H4231)*m_game*1</f>
        <v>89.774501619908</v>
      </c>
    </row>
    <row r="4241" customFormat="false" ht="17.15" hidden="false" customHeight="false" outlineLevel="0" collapsed="false">
      <c r="A4241" s="1" t="s">
        <v>968</v>
      </c>
      <c r="B4241" s="0" t="s">
        <v>95</v>
      </c>
      <c r="C4241" s="6" t="n">
        <f aca="false">(w_ntm28*Sens!G4232+(1-w_ntm28)*Sens!H4232)*m_pc*1</f>
        <v>89.0032805869206</v>
      </c>
    </row>
    <row r="4242" customFormat="false" ht="17.15" hidden="false" customHeight="false" outlineLevel="0" collapsed="false">
      <c r="A4242" s="1" t="s">
        <v>969</v>
      </c>
      <c r="B4242" s="0" t="s">
        <v>95</v>
      </c>
      <c r="C4242" s="6" t="n">
        <f aca="false">Sens!$C$4233+Sens!$C$4234+Sens!$C$4235+Sens!$C$4236+Sens!$C$4237+Sens!$C$4238+Sens!$C$4239+Sens!$C$4240+Sens!$C$4241</f>
        <v>2883.20976221865</v>
      </c>
    </row>
    <row r="4243" customFormat="false" ht="17.15" hidden="false" customHeight="false" outlineLevel="0" collapsed="false">
      <c r="A4243" s="1" t="s">
        <v>903</v>
      </c>
      <c r="B4243" s="0" t="s">
        <v>95</v>
      </c>
      <c r="C4243" s="6" t="n">
        <f aca="false">Sens!F4200+oai_v-Sens!F4189</f>
        <v>105.838366123784</v>
      </c>
      <c r="L4243" s="1" t="s">
        <v>970</v>
      </c>
    </row>
    <row r="4244" customFormat="false" ht="15" hidden="false" customHeight="false" outlineLevel="0" collapsed="false">
      <c r="A4244" s="1" t="s">
        <v>904</v>
      </c>
      <c r="B4244" s="0" t="s">
        <v>73</v>
      </c>
      <c r="C4244" s="5" t="n">
        <f aca="false">(Sens!$C$4242+Sens!$C$4243)/Sens!F4202</f>
        <v>400.033207754609</v>
      </c>
    </row>
    <row r="4245" customFormat="false" ht="17.15" hidden="false" customHeight="false" outlineLevel="0" collapsed="false">
      <c r="A4245" s="1" t="s">
        <v>971</v>
      </c>
      <c r="B4245" s="0" t="s">
        <v>73</v>
      </c>
      <c r="C4245" s="5" t="n">
        <f aca="false">w_dcf*Sens!$C$4220+(1-w_dcf)*Sens!$C$4244</f>
        <v>299.626892209852</v>
      </c>
    </row>
    <row r="4246" customFormat="false" ht="17.15" hidden="false" customHeight="false" outlineLevel="0" collapsed="false">
      <c r="A4246" s="3" t="s">
        <v>1234</v>
      </c>
    </row>
    <row r="4247" customFormat="false" ht="15" hidden="false" customHeight="false" outlineLevel="0" collapsed="false">
      <c r="A4247" s="4" t="s">
        <v>43</v>
      </c>
      <c r="B4247" s="4" t="s">
        <v>63</v>
      </c>
      <c r="C4247" s="19" t="s">
        <v>710</v>
      </c>
      <c r="D4247" s="19" t="s">
        <v>711</v>
      </c>
      <c r="E4247" s="19" t="s">
        <v>712</v>
      </c>
      <c r="F4247" s="19" t="s">
        <v>713</v>
      </c>
      <c r="G4247" s="19" t="s">
        <v>714</v>
      </c>
      <c r="H4247" s="19" t="s">
        <v>715</v>
      </c>
      <c r="I4247" s="19" t="s">
        <v>716</v>
      </c>
      <c r="J4247" s="19" t="s">
        <v>717</v>
      </c>
      <c r="K4247" s="19" t="s">
        <v>718</v>
      </c>
      <c r="L4247" s="4" t="s">
        <v>47</v>
      </c>
    </row>
    <row r="4248" customFormat="false" ht="17.15" hidden="false" customHeight="false" outlineLevel="0" collapsed="false">
      <c r="A4248" s="1" t="s">
        <v>719</v>
      </c>
      <c r="B4248" s="0" t="s">
        <v>340</v>
      </c>
      <c r="C4248" s="27" t="n">
        <f aca="false">mw_ext_24</f>
        <v>640</v>
      </c>
      <c r="D4248" s="27" t="n">
        <f aca="false">mw_ext_25</f>
        <v>1630</v>
      </c>
      <c r="E4248" s="27" t="n">
        <f aca="false">mw_ext_26</f>
        <v>3250</v>
      </c>
      <c r="F4248" s="27" t="n">
        <f aca="false">MIN(1000000000,Sens!E4248+pace)</f>
        <v>5777.2</v>
      </c>
      <c r="G4248" s="27" t="n">
        <f aca="false">MIN(1000000000,Sens!F4248+pace)</f>
        <v>8304.4</v>
      </c>
      <c r="H4248" s="27" t="n">
        <f aca="false">MIN(1000000000,Sens!G4248+pace)</f>
        <v>10831.6</v>
      </c>
      <c r="I4248" s="27" t="n">
        <f aca="false">MIN(1000000000,Sens!H4248+pace)</f>
        <v>13358.8</v>
      </c>
      <c r="J4248" s="27" t="n">
        <f aca="false">MIN(1000000000,Sens!I4248+pace)</f>
        <v>15886</v>
      </c>
      <c r="K4248" s="27" t="n">
        <f aca="false">MIN(1000000000,Sens!J4248+pace)</f>
        <v>18413.2</v>
      </c>
      <c r="L4248" s="11" t="s">
        <v>720</v>
      </c>
    </row>
    <row r="4249" customFormat="false" ht="17.15" hidden="false" customHeight="false" outlineLevel="0" collapsed="false">
      <c r="A4249" s="1" t="s">
        <v>721</v>
      </c>
      <c r="B4249" s="0" t="s">
        <v>340</v>
      </c>
      <c r="C4249" s="27" t="n">
        <f aca="false">rent_ext_24</f>
        <v>150</v>
      </c>
      <c r="D4249" s="27" t="n">
        <f aca="false">rent_ext_25</f>
        <v>400</v>
      </c>
      <c r="E4249" s="27" t="n">
        <f aca="false">rent_ext_26</f>
        <v>550</v>
      </c>
      <c r="F4249" s="27" t="n">
        <f aca="false">rent_ext_f</f>
        <v>756</v>
      </c>
      <c r="G4249" s="27" t="n">
        <f aca="false">rent_ext_f</f>
        <v>756</v>
      </c>
      <c r="H4249" s="27" t="n">
        <f aca="false">rent_ext_f</f>
        <v>756</v>
      </c>
      <c r="I4249" s="27" t="n">
        <f aca="false">rent_ext_f</f>
        <v>756</v>
      </c>
      <c r="J4249" s="27" t="n">
        <f aca="false">rent_ext_f</f>
        <v>756</v>
      </c>
      <c r="K4249" s="27" t="n">
        <f aca="false">rent_ext_f</f>
        <v>756</v>
      </c>
      <c r="L4249" s="1" t="s">
        <v>722</v>
      </c>
    </row>
    <row r="4250" customFormat="false" ht="17.15" hidden="false" customHeight="false" outlineLevel="0" collapsed="false">
      <c r="A4250" s="1" t="s">
        <v>723</v>
      </c>
      <c r="B4250" s="0" t="s">
        <v>340</v>
      </c>
      <c r="C4250" s="27" t="n">
        <f aca="false">Sens!C4248-Sens!C4249</f>
        <v>490</v>
      </c>
      <c r="D4250" s="27" t="n">
        <f aca="false">Sens!D4248-Sens!D4249</f>
        <v>1230</v>
      </c>
      <c r="E4250" s="27" t="n">
        <f aca="false">Sens!E4248-Sens!E4249</f>
        <v>2700</v>
      </c>
      <c r="F4250" s="27" t="n">
        <f aca="false">Sens!F4248-Sens!F4249</f>
        <v>5021.2</v>
      </c>
      <c r="G4250" s="27" t="n">
        <f aca="false">Sens!G4248-Sens!G4249</f>
        <v>7548.4</v>
      </c>
      <c r="H4250" s="27" t="n">
        <f aca="false">Sens!H4248-Sens!H4249</f>
        <v>10075.6</v>
      </c>
      <c r="I4250" s="27" t="n">
        <f aca="false">Sens!I4248-Sens!I4249</f>
        <v>12602.8</v>
      </c>
      <c r="J4250" s="27" t="n">
        <f aca="false">Sens!J4248-Sens!J4249</f>
        <v>15130</v>
      </c>
      <c r="K4250" s="27" t="n">
        <f aca="false">Sens!K4248-Sens!K4249</f>
        <v>17657.2</v>
      </c>
    </row>
    <row r="4251" customFormat="false" ht="17.15" hidden="false" customHeight="false" outlineLevel="0" collapsed="false">
      <c r="A4251" s="1" t="s">
        <v>724</v>
      </c>
      <c r="B4251" s="0" t="s">
        <v>340</v>
      </c>
      <c r="C4251" s="27" t="n">
        <f aca="false">Sens!C4250/ext_sh</f>
        <v>816.666666666667</v>
      </c>
      <c r="D4251" s="27" t="n">
        <f aca="false">Sens!D4250/ext_sh</f>
        <v>2050</v>
      </c>
      <c r="E4251" s="27" t="n">
        <f aca="false">Sens!E4250/ext_sh</f>
        <v>4500</v>
      </c>
      <c r="F4251" s="27" t="n">
        <f aca="false">Sens!F4250/ext_sh</f>
        <v>8368.66666666667</v>
      </c>
      <c r="G4251" s="27" t="n">
        <f aca="false">Sens!G4250/ext_sh</f>
        <v>12580.6666666667</v>
      </c>
      <c r="H4251" s="27" t="n">
        <f aca="false">Sens!H4250/ext_sh</f>
        <v>16792.6666666667</v>
      </c>
      <c r="I4251" s="27" t="n">
        <f aca="false">Sens!I4250/ext_sh</f>
        <v>21004.6666666667</v>
      </c>
      <c r="J4251" s="27" t="n">
        <f aca="false">Sens!J4250/ext_sh</f>
        <v>25216.6666666667</v>
      </c>
      <c r="K4251" s="27" t="n">
        <f aca="false">Sens!K4250/ext_sh</f>
        <v>29428.6666666667</v>
      </c>
      <c r="L4251" s="1" t="s">
        <v>725</v>
      </c>
    </row>
    <row r="4252" customFormat="false" ht="17.15" hidden="false" customHeight="false" outlineLevel="0" collapsed="false">
      <c r="A4252" s="1" t="s">
        <v>726</v>
      </c>
      <c r="B4252" s="0" t="s">
        <v>340</v>
      </c>
      <c r="C4252" s="27" t="n">
        <f aca="false">Sens!C4251-Sens!C4250</f>
        <v>326.666666666667</v>
      </c>
      <c r="D4252" s="27" t="n">
        <f aca="false">Sens!D4251-Sens!D4250</f>
        <v>820</v>
      </c>
      <c r="E4252" s="27" t="n">
        <f aca="false">Sens!E4251-Sens!E4250</f>
        <v>1800</v>
      </c>
      <c r="F4252" s="27" t="n">
        <f aca="false">Sens!F4251-Sens!F4250</f>
        <v>3347.46666666667</v>
      </c>
      <c r="G4252" s="27" t="n">
        <f aca="false">Sens!G4251-Sens!G4250</f>
        <v>5032.26666666667</v>
      </c>
      <c r="H4252" s="27" t="n">
        <f aca="false">Sens!H4251-Sens!H4250</f>
        <v>6717.06666666667</v>
      </c>
      <c r="I4252" s="27" t="n">
        <f aca="false">Sens!I4251-Sens!I4250</f>
        <v>8401.86666666667</v>
      </c>
      <c r="J4252" s="27" t="n">
        <f aca="false">Sens!J4251-Sens!J4250</f>
        <v>10086.6666666667</v>
      </c>
      <c r="K4252" s="27" t="n">
        <f aca="false">Sens!K4251-Sens!K4250</f>
        <v>11771.4666666667</v>
      </c>
    </row>
    <row r="4253" customFormat="false" ht="17.15" hidden="false" customHeight="false" outlineLevel="0" collapsed="false">
      <c r="A4253" s="1" t="s">
        <v>727</v>
      </c>
      <c r="B4253" s="0" t="s">
        <v>340</v>
      </c>
      <c r="C4253" s="27" t="n">
        <f aca="false">Sens!C4251</f>
        <v>816.666666666667</v>
      </c>
      <c r="D4253" s="27" t="n">
        <f aca="false">Sens!D4251-Sens!C4251</f>
        <v>1233.33333333333</v>
      </c>
      <c r="E4253" s="27" t="n">
        <f aca="false">Sens!E4251-Sens!D4251</f>
        <v>2450</v>
      </c>
      <c r="F4253" s="27" t="n">
        <f aca="false">Sens!F4251-Sens!E4251</f>
        <v>3868.66666666667</v>
      </c>
      <c r="G4253" s="27" t="n">
        <f aca="false">Sens!G4251-Sens!F4251</f>
        <v>4212</v>
      </c>
      <c r="H4253" s="27" t="n">
        <f aca="false">Sens!H4251-Sens!G4251</f>
        <v>4212</v>
      </c>
      <c r="I4253" s="27" t="n">
        <f aca="false">Sens!I4251-Sens!H4251</f>
        <v>4212</v>
      </c>
      <c r="J4253" s="27" t="n">
        <f aca="false">Sens!J4251-Sens!I4251</f>
        <v>4212</v>
      </c>
      <c r="K4253" s="27" t="n">
        <f aca="false">Sens!K4251-Sens!J4251</f>
        <v>4212</v>
      </c>
    </row>
    <row r="4254" customFormat="false" ht="17.15" hidden="false" customHeight="false" outlineLevel="0" collapsed="false">
      <c r="A4254" s="1" t="s">
        <v>728</v>
      </c>
      <c r="B4254" s="0" t="s">
        <v>340</v>
      </c>
      <c r="D4254" s="27" t="n">
        <f aca="false">Sens!D4248-Sens!C4248</f>
        <v>990</v>
      </c>
      <c r="E4254" s="27" t="n">
        <f aca="false">Sens!E4248-Sens!D4248</f>
        <v>1620</v>
      </c>
      <c r="F4254" s="27" t="n">
        <f aca="false">Sens!F4248-Sens!E4248</f>
        <v>2527.2</v>
      </c>
      <c r="G4254" s="27" t="n">
        <f aca="false">Sens!G4248-Sens!F4248</f>
        <v>2527.2</v>
      </c>
      <c r="H4254" s="27" t="n">
        <f aca="false">Sens!H4248-Sens!G4248</f>
        <v>2527.2</v>
      </c>
      <c r="I4254" s="27" t="n">
        <f aca="false">Sens!I4248-Sens!H4248</f>
        <v>2527.2</v>
      </c>
      <c r="J4254" s="27" t="n">
        <f aca="false">Sens!J4248-Sens!I4248</f>
        <v>2527.2</v>
      </c>
      <c r="K4254" s="27" t="n">
        <f aca="false">Sens!K4248-Sens!J4248</f>
        <v>2527.2</v>
      </c>
    </row>
    <row r="4255" customFormat="false" ht="17.15" hidden="false" customHeight="false" outlineLevel="0" collapsed="false">
      <c r="A4255" s="1" t="s">
        <v>729</v>
      </c>
      <c r="B4255" s="0" t="s">
        <v>340</v>
      </c>
      <c r="C4255" s="27" t="n">
        <f aca="false">mix_h*Sens!C4248</f>
        <v>128</v>
      </c>
      <c r="D4255" s="27" t="n">
        <f aca="false">mix_h*Sens!D4248</f>
        <v>326</v>
      </c>
      <c r="E4255" s="27" t="n">
        <f aca="false">mix_h*Sens!E4248</f>
        <v>650</v>
      </c>
      <c r="F4255" s="27" t="n">
        <f aca="false">Sens!E4255</f>
        <v>650</v>
      </c>
      <c r="G4255" s="27" t="n">
        <f aca="false">Sens!F4255</f>
        <v>650</v>
      </c>
      <c r="H4255" s="27" t="n">
        <f aca="false">Sens!G4255</f>
        <v>650</v>
      </c>
      <c r="I4255" s="27" t="n">
        <f aca="false">Sens!H4255</f>
        <v>650</v>
      </c>
      <c r="J4255" s="27" t="n">
        <f aca="false">Sens!I4255</f>
        <v>650</v>
      </c>
      <c r="K4255" s="27" t="n">
        <f aca="false">Sens!J4255</f>
        <v>650</v>
      </c>
    </row>
    <row r="4256" customFormat="false" ht="17.15" hidden="false" customHeight="false" outlineLevel="0" collapsed="false">
      <c r="A4256" s="1" t="s">
        <v>730</v>
      </c>
      <c r="B4256" s="0" t="s">
        <v>340</v>
      </c>
      <c r="C4256" s="27" t="n">
        <f aca="false">mix_g2*Sens!C4248</f>
        <v>288</v>
      </c>
      <c r="D4256" s="27" t="n">
        <f aca="false">mix_g2*Sens!D4248</f>
        <v>733.5</v>
      </c>
      <c r="E4256" s="27" t="n">
        <f aca="false">mix_g2*Sens!E4248</f>
        <v>1462.5</v>
      </c>
      <c r="F4256" s="27" t="n">
        <f aca="false">Sens!E4256</f>
        <v>1462.5</v>
      </c>
      <c r="G4256" s="27" t="n">
        <f aca="false">Sens!F4256</f>
        <v>1462.5</v>
      </c>
      <c r="H4256" s="27" t="n">
        <f aca="false">Sens!G4256</f>
        <v>1462.5</v>
      </c>
      <c r="I4256" s="27" t="n">
        <f aca="false">Sens!H4256</f>
        <v>1462.5</v>
      </c>
      <c r="J4256" s="27" t="n">
        <f aca="false">Sens!I4256</f>
        <v>1462.5</v>
      </c>
      <c r="K4256" s="27" t="n">
        <f aca="false">Sens!J4256</f>
        <v>1462.5</v>
      </c>
    </row>
    <row r="4257" customFormat="false" ht="17.15" hidden="false" customHeight="false" outlineLevel="0" collapsed="false">
      <c r="A4257" s="1" t="s">
        <v>731</v>
      </c>
      <c r="B4257" s="0" t="s">
        <v>340</v>
      </c>
      <c r="C4257" s="27" t="n">
        <f aca="false">mix_g3*Sens!C4248</f>
        <v>224</v>
      </c>
      <c r="D4257" s="27" t="n">
        <f aca="false">mix_g3*Sens!D4248</f>
        <v>570.5</v>
      </c>
      <c r="E4257" s="27" t="n">
        <f aca="false">mix_g3*Sens!E4248</f>
        <v>1137.5</v>
      </c>
      <c r="F4257" s="27" t="n">
        <f aca="false">Sens!E4257+Sens!F4254*a_g3_27</f>
        <v>2906.54</v>
      </c>
      <c r="G4257" s="27" t="n">
        <f aca="false">Sens!F4257+Sens!G4254*a_g3_28</f>
        <v>3664.7</v>
      </c>
      <c r="H4257" s="27" t="n">
        <f aca="false">Sens!G4257+Sens!H4254*a_g3_29</f>
        <v>3917.42</v>
      </c>
      <c r="I4257" s="27" t="n">
        <f aca="false">Sens!H4257+Sens!I4254*a_g3_29</f>
        <v>4170.14</v>
      </c>
      <c r="J4257" s="27" t="n">
        <f aca="false">Sens!I4257+Sens!J4254*a_g3_29</f>
        <v>4422.86</v>
      </c>
      <c r="K4257" s="27" t="n">
        <f aca="false">Sens!J4257+Sens!K4254*a_g3_29</f>
        <v>4675.58</v>
      </c>
    </row>
    <row r="4258" customFormat="false" ht="17.15" hidden="false" customHeight="false" outlineLevel="0" collapsed="false">
      <c r="A4258" s="1" t="s">
        <v>732</v>
      </c>
      <c r="B4258" s="0" t="s">
        <v>340</v>
      </c>
      <c r="C4258" s="27" t="n">
        <f aca="false">0</f>
        <v>0</v>
      </c>
      <c r="D4258" s="27" t="n">
        <f aca="false">0</f>
        <v>0</v>
      </c>
      <c r="E4258" s="27" t="n">
        <f aca="false">0</f>
        <v>0</v>
      </c>
      <c r="F4258" s="27" t="n">
        <f aca="false">Sens!E4258+Sens!F4254*(1-a_g3_27)</f>
        <v>758.16</v>
      </c>
      <c r="G4258" s="27" t="n">
        <f aca="false">Sens!F4258+Sens!G4254*(1-a_g3_28)</f>
        <v>2527.2</v>
      </c>
      <c r="H4258" s="27" t="n">
        <f aca="false">Sens!G4258+Sens!H4254*(1-a_g3_29)</f>
        <v>4801.68</v>
      </c>
      <c r="I4258" s="27" t="n">
        <f aca="false">Sens!H4258+Sens!I4254*(1-a_g3_29)</f>
        <v>7076.16</v>
      </c>
      <c r="J4258" s="27" t="n">
        <f aca="false">Sens!I4258+Sens!J4254*(1-a_g3_29)</f>
        <v>9350.64</v>
      </c>
      <c r="K4258" s="27" t="n">
        <f aca="false">Sens!J4258+Sens!K4254*(1-a_g3_29)</f>
        <v>11625.12</v>
      </c>
    </row>
    <row r="4259" customFormat="false" ht="17.15" hidden="false" customHeight="false" outlineLevel="0" collapsed="false">
      <c r="A4259" s="1" t="s">
        <v>733</v>
      </c>
      <c r="B4259" s="0" t="s">
        <v>291</v>
      </c>
      <c r="C4259" s="18" t="n">
        <f aca="false">(Sens!C4255*tk_hold_h100+Sens!C4256*tk_hold_gb200+Sens!C4257*tk_hold_gb300+Sens!C4258*tk_hold_vr200)/Sens!C4248</f>
        <v>9.7235358126469</v>
      </c>
      <c r="D4259" s="18" t="n">
        <f aca="false">(Sens!D4255*tk_hold_h100+Sens!D4256*tk_hold_gb200+Sens!D4257*tk_hold_gb300+Sens!D4258*tk_hold_vr200)/Sens!D4248</f>
        <v>9.7235358126469</v>
      </c>
      <c r="E4259" s="18" t="n">
        <f aca="false">(Sens!E4255*tk_hold_h100+Sens!E4256*tk_hold_gb200+Sens!E4257*tk_hold_gb300+Sens!E4258*tk_hold_vr200)/Sens!E4248</f>
        <v>9.7235358126469</v>
      </c>
      <c r="F4259" s="18" t="n">
        <f aca="false">(Sens!F4255*tk_hold_h100+Sens!F4256*tk_hold_gb200+Sens!F4257*tk_hold_gb300+Sens!F4258*tk_hold_vr200)/Sens!F4248</f>
        <v>10.4079573161931</v>
      </c>
      <c r="G4259" s="18" t="n">
        <f aca="false">(Sens!G4255*tk_hold_h100+Sens!G4256*tk_hold_gb200+Sens!G4257*tk_hold_gb300+Sens!G4258*tk_hold_vr200)/Sens!G4248</f>
        <v>10.8388131109316</v>
      </c>
      <c r="H4259" s="18" t="n">
        <f aca="false">(Sens!H4255*tk_hold_h100+Sens!H4256*tk_hold_gb200+Sens!H4257*tk_hold_gb300+Sens!H4258*tk_hold_vr200)/Sens!H4248</f>
        <v>11.1311018388216</v>
      </c>
      <c r="I4259" s="18" t="n">
        <f aca="false">(Sens!I4255*tk_hold_h100+Sens!I4256*tk_hold_gb200+Sens!I4257*tk_hold_gb300+Sens!I4258*tk_hold_vr200)/Sens!I4248</f>
        <v>11.3128009818501</v>
      </c>
      <c r="J4259" s="18" t="n">
        <f aca="false">(Sens!J4255*tk_hold_h100+Sens!J4256*tk_hold_gb200+Sens!J4257*tk_hold_gb300+Sens!J4258*tk_hold_vr200)/Sens!J4248</f>
        <v>11.4366894646418</v>
      </c>
      <c r="K4259" s="18" t="n">
        <f aca="false">(Sens!K4255*tk_hold_h100+Sens!K4256*tk_hold_gb200+Sens!K4257*tk_hold_gb300+Sens!K4258*tk_hold_vr200)/Sens!K4248</f>
        <v>11.526570716348</v>
      </c>
    </row>
    <row r="4260" customFormat="false" ht="17.15" hidden="false" customHeight="false" outlineLevel="0" collapsed="false">
      <c r="A4260" s="0" t="s">
        <v>734</v>
      </c>
      <c r="B4260" s="0" t="s">
        <v>182</v>
      </c>
      <c r="C4260" s="18" t="n">
        <f aca="false">k_B</f>
        <v>1.17213932619116</v>
      </c>
      <c r="D4260" s="18" t="n">
        <f aca="false">k_B</f>
        <v>1.17213932619116</v>
      </c>
      <c r="E4260" s="18" t="n">
        <f aca="false">k_B</f>
        <v>1.17213932619116</v>
      </c>
      <c r="F4260" s="18" t="n">
        <f aca="false">(k_B+((ls_A*k_long+(1-ls_A)*k_spot)-k_B)*MIN(1,1/3))*1</f>
        <v>1.25022828131298</v>
      </c>
      <c r="G4260" s="18" t="n">
        <f aca="false">(k_B+((ls_A*k_long+(1-ls_A)*k_spot)-k_B)*MIN(1,2/3))*1</f>
        <v>1.3283172364348</v>
      </c>
      <c r="H4260" s="18" t="n">
        <f aca="false">(k_B+((ls_A*k_long+(1-ls_A)*k_spot)-k_B)*MIN(1,3/3))*1</f>
        <v>1.40640619155662</v>
      </c>
      <c r="I4260" s="18" t="n">
        <f aca="false">(k_B+((ls_A*k_long+(1-ls_A)*k_spot)-k_B)*MIN(1,4/3))*1</f>
        <v>1.40640619155662</v>
      </c>
      <c r="J4260" s="18" t="n">
        <f aca="false">(k_B+((ls_A*k_long+(1-ls_A)*k_spot)-k_B)*MIN(1,5/3))*1</f>
        <v>1.40640619155662</v>
      </c>
      <c r="K4260" s="18" t="n">
        <f aca="false">(k_B+((ls_A*k_long+(1-ls_A)*k_spot)-k_B)*MIN(1,6/3))*1</f>
        <v>1.40640619155662</v>
      </c>
      <c r="L4260" s="1" t="s">
        <v>735</v>
      </c>
    </row>
    <row r="4261" customFormat="false" ht="17.15" hidden="false" customHeight="false" outlineLevel="0" collapsed="false">
      <c r="A4261" s="1" t="s">
        <v>736</v>
      </c>
      <c r="B4261" s="0" t="s">
        <v>291</v>
      </c>
      <c r="C4261" s="18" t="n">
        <f aca="false">Sens!C4259*Sens!C4260*chip_f</f>
        <v>11.3973387156315</v>
      </c>
      <c r="D4261" s="18" t="n">
        <f aca="false">Sens!D4259*Sens!D4260*chip_f</f>
        <v>11.3973387156315</v>
      </c>
      <c r="E4261" s="18" t="n">
        <f aca="false">Sens!E4259*Sens!E4260*chip_f</f>
        <v>11.3973387156315</v>
      </c>
      <c r="F4261" s="18" t="n">
        <f aca="false">Sens!F4259*Sens!F4260*chip_f</f>
        <v>13.0123225874029</v>
      </c>
      <c r="G4261" s="18" t="n">
        <f aca="false">Sens!G4259*Sens!G4260*chip_f</f>
        <v>14.3973822777458</v>
      </c>
      <c r="H4261" s="18" t="n">
        <f aca="false">Sens!H4259*Sens!H4260*chip_f</f>
        <v>15.6548505449659</v>
      </c>
      <c r="I4261" s="18" t="n">
        <f aca="false">Sens!I4259*Sens!I4260*chip_f</f>
        <v>15.9103933447218</v>
      </c>
      <c r="J4261" s="18" t="n">
        <f aca="false">Sens!J4259*Sens!J4260*chip_f</f>
        <v>16.0846308739825</v>
      </c>
      <c r="K4261" s="18" t="n">
        <f aca="false">Sens!K4259*Sens!K4260*chip_f</f>
        <v>16.211040422887</v>
      </c>
      <c r="L4261" s="1" t="s">
        <v>737</v>
      </c>
    </row>
    <row r="4262" customFormat="false" ht="17.15" hidden="false" customHeight="false" outlineLevel="0" collapsed="false">
      <c r="A4262" s="0" t="s">
        <v>738</v>
      </c>
      <c r="B4262" s="0" t="s">
        <v>95</v>
      </c>
      <c r="D4262" s="6" t="n">
        <f aca="false">(Sens!C4248+Sens!D4248)/2*Sens!D4261/1000</f>
        <v>12.9359794422418</v>
      </c>
      <c r="E4262" s="6" t="n">
        <f aca="false">(Sens!D4248+Sens!E4248)/2*Sens!E4261/1000</f>
        <v>27.8095064661409</v>
      </c>
      <c r="F4262" s="6" t="n">
        <f aca="false">(Sens!E4248+Sens!F4248)/2*Sens!F4261/1000</f>
        <v>58.7324192305018</v>
      </c>
      <c r="G4262" s="6" t="n">
        <f aca="false">(Sens!F4248+Sens!G4248)/2*Sens!G4261/1000</f>
        <v>101.369089141153</v>
      </c>
      <c r="H4262" s="6" t="n">
        <f aca="false">(Sens!G4248+Sens!H4248)/2*Sens!H4261/1000</f>
        <v>149.785610014234</v>
      </c>
      <c r="I4262" s="6" t="n">
        <f aca="false">(Sens!H4248+Sens!I4248)/2*Sens!I4261/1000</f>
        <v>192.439389583079</v>
      </c>
      <c r="J4262" s="6" t="n">
        <f aca="false">(Sens!I4248+Sens!J4248)/2*Sens!J4261/1000</f>
        <v>235.195906491722</v>
      </c>
      <c r="K4262" s="6" t="n">
        <f aca="false">(Sens!J4248+Sens!K4248)/2*Sens!K4261/1000</f>
        <v>278.012858836343</v>
      </c>
      <c r="L4262" s="11" t="s">
        <v>739</v>
      </c>
    </row>
    <row r="4263" customFormat="false" ht="17.15" hidden="false" customHeight="false" outlineLevel="0" collapsed="false">
      <c r="A4263" s="1" t="s">
        <v>740</v>
      </c>
      <c r="B4263" s="0" t="s">
        <v>291</v>
      </c>
      <c r="C4263" s="18" t="n">
        <f aca="false">(Sens!C4255*tk_opex_h100+Sens!C4256*tk_opex_gb200+Sens!C4257*tk_opex_gb300+Sens!C4258*tk_opex_vr200)/Sens!C4248</f>
        <v>1.88636041306092</v>
      </c>
      <c r="D4263" s="18" t="n">
        <f aca="false">(Sens!D4255*tk_opex_h100+Sens!D4256*tk_opex_gb200+Sens!D4257*tk_opex_gb300+Sens!D4258*tk_opex_vr200)/Sens!D4248</f>
        <v>1.88636041306092</v>
      </c>
      <c r="E4263" s="18" t="n">
        <f aca="false">(Sens!E4255*tk_opex_h100+Sens!E4256*tk_opex_gb200+Sens!E4257*tk_opex_gb300+Sens!E4258*tk_opex_vr200)/Sens!E4248</f>
        <v>1.88636041306092</v>
      </c>
      <c r="F4263" s="18" t="n">
        <f aca="false">(Sens!F4255*tk_opex_h100+Sens!F4256*tk_opex_gb200+Sens!F4257*tk_opex_gb300+Sens!F4258*tk_opex_vr200)/Sens!F4248</f>
        <v>1.9430236476499</v>
      </c>
      <c r="G4263" s="18" t="n">
        <f aca="false">(Sens!G4255*tk_opex_h100+Sens!G4256*tk_opex_gb200+Sens!G4257*tk_opex_gb300+Sens!G4258*tk_opex_vr200)/Sens!G4248</f>
        <v>1.9786941852423</v>
      </c>
      <c r="H4263" s="18" t="n">
        <f aca="false">(Sens!H4255*tk_opex_h100+Sens!H4256*tk_opex_gb200+Sens!H4257*tk_opex_gb300+Sens!H4258*tk_opex_vr200)/Sens!H4248</f>
        <v>2.00289275976156</v>
      </c>
      <c r="I4263" s="18" t="n">
        <f aca="false">(Sens!I4255*tk_opex_h100+Sens!I4256*tk_opex_gb200+Sens!I4257*tk_opex_gb300+Sens!I4258*tk_opex_vr200)/Sens!I4248</f>
        <v>2.01793562605478</v>
      </c>
      <c r="J4263" s="18" t="n">
        <f aca="false">(Sens!J4255*tk_opex_h100+Sens!J4256*tk_opex_gb200+Sens!J4257*tk_opex_gb300+Sens!J4258*tk_opex_vr200)/Sens!J4248</f>
        <v>2.02819234961902</v>
      </c>
      <c r="K4263" s="18" t="n">
        <f aca="false">(Sens!K4255*tk_opex_h100+Sens!K4256*tk_opex_gb200+Sens!K4257*tk_opex_gb300+Sens!K4258*tk_opex_vr200)/Sens!K4248</f>
        <v>2.0356336155994</v>
      </c>
    </row>
    <row r="4264" customFormat="false" ht="17.15" hidden="false" customHeight="false" outlineLevel="0" collapsed="false">
      <c r="A4264" s="0" t="s">
        <v>741</v>
      </c>
      <c r="B4264" s="0" t="s">
        <v>95</v>
      </c>
      <c r="D4264" s="6" t="n">
        <f aca="false">(Sens!C4251+Sens!D4251)/2*Sens!D4263/1000</f>
        <v>2.70378325872065</v>
      </c>
      <c r="E4264" s="6" t="n">
        <f aca="false">(Sens!D4251+Sens!E4251)/2*Sens!E4263/1000</f>
        <v>6.17783035277451</v>
      </c>
      <c r="F4264" s="6" t="n">
        <f aca="false">(Sens!E4251+Sens!F4251)/2*Sens!F4263/1000</f>
        <v>12.5020618235287</v>
      </c>
      <c r="G4264" s="6" t="n">
        <f aca="false">(Sens!F4251+Sens!G4251)/2*Sens!G4263/1000</f>
        <v>20.7261620256847</v>
      </c>
      <c r="H4264" s="6" t="n">
        <f aca="false">(Sens!G4251+Sens!H4251)/2*Sens!H4263/1000</f>
        <v>29.4158183316982</v>
      </c>
      <c r="I4264" s="6" t="n">
        <f aca="false">(Sens!H4251+Sens!I4251)/2*Sens!I4263/1000</f>
        <v>38.1362927516005</v>
      </c>
      <c r="J4264" s="6" t="n">
        <f aca="false">(Sens!I4251+Sens!J4251)/2*Sens!J4263/1000</f>
        <v>46.8728773279286</v>
      </c>
      <c r="K4264" s="6" t="n">
        <f aca="false">(Sens!J4251+Sens!K4251)/2*Sens!K4263/1000</f>
        <v>55.618938734484</v>
      </c>
    </row>
    <row r="4265" customFormat="false" ht="17.15" hidden="false" customHeight="false" outlineLevel="0" collapsed="false">
      <c r="A4265" s="0" t="s">
        <v>742</v>
      </c>
      <c r="B4265" s="0" t="s">
        <v>95</v>
      </c>
      <c r="D4265" s="6" t="n">
        <f aca="false">(Sens!C4249+Sens!D4249)/2*rent_mw/1000</f>
        <v>2.44475</v>
      </c>
      <c r="E4265" s="6" t="n">
        <f aca="false">(Sens!D4249+Sens!E4249)/2*rent_mw/1000</f>
        <v>4.22275</v>
      </c>
      <c r="F4265" s="6" t="n">
        <f aca="false">(Sens!E4249+Sens!F4249)/2*rent_mw/1000</f>
        <v>5.80517</v>
      </c>
      <c r="G4265" s="6" t="n">
        <f aca="false">(Sens!F4249+Sens!G4249)/2*rent_mw/1000</f>
        <v>6.72084</v>
      </c>
      <c r="H4265" s="6" t="n">
        <f aca="false">(Sens!G4249+Sens!H4249)/2*rent_mw/1000</f>
        <v>6.72084</v>
      </c>
      <c r="I4265" s="6" t="n">
        <f aca="false">(Sens!H4249+Sens!I4249)/2*rent_mw/1000</f>
        <v>6.72084</v>
      </c>
      <c r="J4265" s="6" t="n">
        <f aca="false">(Sens!I4249+Sens!J4249)/2*rent_mw/1000</f>
        <v>6.72084</v>
      </c>
      <c r="K4265" s="6" t="n">
        <f aca="false">(Sens!J4249+Sens!K4249)/2*rent_mw/1000</f>
        <v>6.72084</v>
      </c>
    </row>
    <row r="4266" customFormat="false" ht="17.15" hidden="false" customHeight="false" outlineLevel="0" collapsed="false">
      <c r="A4266" s="0" t="s">
        <v>743</v>
      </c>
      <c r="B4266" s="0" t="s">
        <v>95</v>
      </c>
      <c r="D4266" s="6" t="n">
        <f aca="false">(Sens!C4251+Sens!D4251)/2*(1-self_build)*fac_rent/1000</f>
        <v>0.853242375631075</v>
      </c>
      <c r="E4266" s="6" t="n">
        <f aca="false">(Sens!D4251+Sens!E4251)/2*(1-self_build)*fac_rent/1000</f>
        <v>1.94955961408728</v>
      </c>
      <c r="F4266" s="6" t="n">
        <f aca="false">(Sens!E4251+Sens!F4251)/2*(1-self_build)*fac_rent/1000</f>
        <v>3.83026455274573</v>
      </c>
      <c r="G4266" s="6" t="n">
        <f aca="false">(Sens!F4251+Sens!G4251)/2*(1-self_build)*fac_rent/1000</f>
        <v>6.23541590972812</v>
      </c>
      <c r="H4266" s="6" t="n">
        <f aca="false">(Sens!G4251+Sens!H4251)/2*(1-self_build)*fac_rent/1000</f>
        <v>8.74275792332679</v>
      </c>
      <c r="I4266" s="6" t="n">
        <f aca="false">(Sens!H4251+Sens!I4251)/2*(1-self_build)*fac_rent/1000</f>
        <v>11.2500999369255</v>
      </c>
      <c r="J4266" s="6" t="n">
        <f aca="false">(Sens!I4251+Sens!J4251)/2*(1-self_build)*fac_rent/1000</f>
        <v>13.7574419505241</v>
      </c>
      <c r="K4266" s="6" t="n">
        <f aca="false">(Sens!J4251+Sens!K4251)/2*(1-self_build)*fac_rent/1000</f>
        <v>16.2647839641228</v>
      </c>
      <c r="L4266" s="11" t="s">
        <v>744</v>
      </c>
    </row>
    <row r="4267" customFormat="false" ht="17.15" hidden="false" customHeight="false" outlineLevel="0" collapsed="false">
      <c r="A4267" s="1" t="s">
        <v>745</v>
      </c>
      <c r="B4267" s="0" t="s">
        <v>126</v>
      </c>
      <c r="D4267" s="7" t="n">
        <f aca="false">(Sens!C4250+Sens!D4250)/(Sens!C4251+Sens!D4251)</f>
        <v>0.6</v>
      </c>
      <c r="E4267" s="7" t="n">
        <f aca="false">(Sens!D4250+Sens!E4250)/(Sens!D4251+Sens!E4251)</f>
        <v>0.6</v>
      </c>
      <c r="F4267" s="7" t="n">
        <f aca="false">(Sens!E4250+Sens!F4250)/(Sens!E4251+Sens!F4251)</f>
        <v>0.6</v>
      </c>
      <c r="G4267" s="7" t="n">
        <f aca="false">(Sens!F4250+Sens!G4250)/(Sens!F4251+Sens!G4251)</f>
        <v>0.6</v>
      </c>
      <c r="H4267" s="7" t="n">
        <f aca="false">(Sens!G4250+Sens!H4250)/(Sens!G4251+Sens!H4251)</f>
        <v>0.6</v>
      </c>
      <c r="I4267" s="7" t="n">
        <f aca="false">(Sens!H4250+Sens!I4250)/(Sens!H4251+Sens!I4251)</f>
        <v>0.6</v>
      </c>
      <c r="J4267" s="7" t="n">
        <f aca="false">(Sens!I4250+Sens!J4250)/(Sens!I4251+Sens!J4251)</f>
        <v>0.6</v>
      </c>
      <c r="K4267" s="7" t="n">
        <f aca="false">(Sens!J4250+Sens!K4250)/(Sens!J4251+Sens!K4251)</f>
        <v>0.6</v>
      </c>
    </row>
    <row r="4268" customFormat="false" ht="17.15" hidden="false" customHeight="false" outlineLevel="0" collapsed="false">
      <c r="A4268" s="0" t="s">
        <v>746</v>
      </c>
      <c r="B4268" s="0" t="s">
        <v>95</v>
      </c>
      <c r="D4268" s="6" t="n">
        <f aca="false">Sens!D4262-Sens!D4267*(Sens!D4264+Sens!D4266)-Sens!D4265</f>
        <v>8.35701406163072</v>
      </c>
      <c r="E4268" s="6" t="n">
        <f aca="false">Sens!E4262-Sens!E4267*(Sens!E4264+Sens!E4266)-Sens!E4265</f>
        <v>18.7103224860238</v>
      </c>
      <c r="F4268" s="6" t="n">
        <f aca="false">Sens!F4262-Sens!F4267*(Sens!F4264+Sens!F4266)-Sens!F4265</f>
        <v>43.1278534047371</v>
      </c>
      <c r="G4268" s="6" t="n">
        <f aca="false">Sens!G4262-Sens!G4267*(Sens!G4264+Sens!G4266)-Sens!G4265</f>
        <v>78.4713023799053</v>
      </c>
      <c r="H4268" s="6" t="n">
        <f aca="false">Sens!H4262-Sens!H4267*(Sens!H4264+Sens!H4266)-Sens!H4265</f>
        <v>120.169624261219</v>
      </c>
      <c r="I4268" s="6" t="n">
        <f aca="false">Sens!I4262-Sens!I4267*(Sens!I4264+Sens!I4266)-Sens!I4265</f>
        <v>156.086713969963</v>
      </c>
      <c r="J4268" s="6" t="n">
        <f aca="false">Sens!J4262-Sens!J4267*(Sens!J4264+Sens!J4266)-Sens!J4265</f>
        <v>192.09687492465</v>
      </c>
      <c r="K4268" s="6" t="n">
        <f aca="false">Sens!K4262-Sens!K4267*(Sens!K4264+Sens!K4266)-Sens!K4265</f>
        <v>228.161785217179</v>
      </c>
    </row>
    <row r="4269" customFormat="false" ht="17.15" hidden="false" customHeight="false" outlineLevel="0" collapsed="false">
      <c r="A4269" s="1" t="s">
        <v>747</v>
      </c>
      <c r="B4269" s="0" t="s">
        <v>95</v>
      </c>
      <c r="D4269" s="6" t="n">
        <f aca="false">(1-Sens!D4267)*(Sens!D4264+Sens!D4266)</f>
        <v>1.42281025374069</v>
      </c>
      <c r="E4269" s="6" t="n">
        <f aca="false">(1-Sens!E4267)*(Sens!E4264+Sens!E4266)</f>
        <v>3.25095598674472</v>
      </c>
      <c r="F4269" s="6" t="n">
        <f aca="false">(1-Sens!F4267)*(Sens!F4264+Sens!F4266)</f>
        <v>6.53293055050977</v>
      </c>
      <c r="G4269" s="6" t="n">
        <f aca="false">(1-Sens!G4267)*(Sens!G4264+Sens!G4266)</f>
        <v>10.7846311741651</v>
      </c>
      <c r="H4269" s="6" t="n">
        <f aca="false">(1-Sens!H4267)*(Sens!H4264+Sens!H4266)</f>
        <v>15.26343050201</v>
      </c>
      <c r="I4269" s="6" t="n">
        <f aca="false">(1-Sens!I4267)*(Sens!I4264+Sens!I4266)</f>
        <v>19.7545570754104</v>
      </c>
      <c r="J4269" s="6" t="n">
        <f aca="false">(1-Sens!J4267)*(Sens!J4264+Sens!J4266)</f>
        <v>24.2521277113811</v>
      </c>
      <c r="K4269" s="6" t="n">
        <f aca="false">(1-Sens!K4267)*(Sens!K4264+Sens!K4266)</f>
        <v>28.7534890794427</v>
      </c>
    </row>
    <row r="4270" customFormat="false" ht="17.15" hidden="false" customHeight="false" outlineLevel="0" collapsed="false">
      <c r="A4270" s="1" t="s">
        <v>748</v>
      </c>
      <c r="B4270" s="0" t="s">
        <v>302</v>
      </c>
      <c r="C4270" s="8" t="n">
        <f aca="false">cxit_open</f>
        <v>27.5918995</v>
      </c>
      <c r="D4270" s="8" t="n">
        <f aca="false">cxit_open</f>
        <v>27.5918995</v>
      </c>
      <c r="E4270" s="8" t="n">
        <f aca="false">cxit_open</f>
        <v>27.5918995</v>
      </c>
      <c r="F4270" s="8" t="n">
        <f aca="false">(a_g3_27*tk_cxit_gb300+(1-a_g3_27)*tk_cxit_vr200)</f>
        <v>33.8419624</v>
      </c>
      <c r="G4270" s="8" t="n">
        <f aca="false">(a_g3_28*tk_cxit_gb300+(1-a_g3_28)*tk_cxit_vr200)</f>
        <v>35.9816136</v>
      </c>
      <c r="H4270" s="8" t="n">
        <f aca="false">(a_g3_29*tk_cxit_gb300+(1-a_g3_29)*tk_cxit_vr200)</f>
        <v>37.0514392</v>
      </c>
      <c r="I4270" s="8" t="n">
        <f aca="false">(a_g3_29*tk_cxit_gb300+(1-a_g3_29)*tk_cxit_vr200)</f>
        <v>37.0514392</v>
      </c>
      <c r="J4270" s="8" t="n">
        <f aca="false">(a_g3_29*tk_cxit_gb300+(1-a_g3_29)*tk_cxit_vr200)</f>
        <v>37.0514392</v>
      </c>
      <c r="K4270" s="8" t="n">
        <f aca="false">(a_g3_29*tk_cxit_gb300+(1-a_g3_29)*tk_cxit_vr200)</f>
        <v>37.0514392</v>
      </c>
      <c r="L4270" s="11" t="s">
        <v>749</v>
      </c>
    </row>
    <row r="4271" customFormat="false" ht="17.15" hidden="false" customHeight="false" outlineLevel="0" collapsed="false">
      <c r="A4271" s="0" t="s">
        <v>750</v>
      </c>
      <c r="B4271" s="0" t="s">
        <v>340</v>
      </c>
      <c r="F4271" s="27" t="n">
        <f aca="false">Sens!C4253*IF(3=life_it,1,0)+Sens!D4253*IF(2=life_it,1,0)+Sens!E4253*IF(1=life_it,1,0)</f>
        <v>0</v>
      </c>
      <c r="G4271" s="27" t="n">
        <f aca="false">Sens!C4253*IF(4=life_it,1,0)+Sens!D4253*IF(3=life_it,1,0)+Sens!E4253*IF(2=life_it,1,0)+Sens!F4253*IF(1=life_it,1,0)</f>
        <v>0</v>
      </c>
      <c r="H4271" s="27" t="n">
        <f aca="false">Sens!C4253*IF(5=life_it,1,0)+Sens!D4253*IF(4=life_it,1,0)+Sens!E4253*IF(3=life_it,1,0)+Sens!F4253*IF(2=life_it,1,0)+Sens!G4253*IF(1=life_it,1,0)</f>
        <v>0</v>
      </c>
      <c r="I4271" s="27" t="n">
        <f aca="false">Sens!C4253*IF(6=life_it,1,0)+Sens!D4253*IF(5=life_it,1,0)+Sens!E4253*IF(4=life_it,1,0)+Sens!F4253*IF(3=life_it,1,0)+Sens!G4253*IF(2=life_it,1,0)+Sens!H4253*IF(1=life_it,1,0)</f>
        <v>816.666666666667</v>
      </c>
      <c r="J4271" s="27" t="n">
        <f aca="false">Sens!C4253*IF(7=life_it,1,0)+Sens!D4253*IF(6=life_it,1,0)+Sens!E4253*IF(5=life_it,1,0)+Sens!F4253*IF(4=life_it,1,0)+Sens!G4253*IF(3=life_it,1,0)+Sens!H4253*IF(2=life_it,1,0)+Sens!I4253*IF(1=life_it,1,0)</f>
        <v>1233.33333333333</v>
      </c>
      <c r="K4271" s="27" t="n">
        <f aca="false">Sens!C4253*IF(8=life_it,1,0)+Sens!D4253*IF(7=life_it,1,0)+Sens!E4253*IF(6=life_it,1,0)+Sens!F4253*IF(5=life_it,1,0)+Sens!G4253*IF(4=life_it,1,0)+Sens!H4253*IF(3=life_it,1,0)+Sens!I4253*IF(2=life_it,1,0)+Sens!J4253*IF(1=life_it,1,0)</f>
        <v>2450</v>
      </c>
      <c r="L4271" s="1" t="s">
        <v>751</v>
      </c>
    </row>
    <row r="4272" customFormat="false" ht="17.15" hidden="false" customHeight="false" outlineLevel="0" collapsed="false">
      <c r="A4272" s="0" t="s">
        <v>752</v>
      </c>
      <c r="B4272" s="0" t="s">
        <v>95</v>
      </c>
      <c r="C4272" s="6" t="n">
        <f aca="false">Sens!C4253*Sens!C4270/1000</f>
        <v>22.5333845916667</v>
      </c>
      <c r="D4272" s="6" t="n">
        <f aca="false">Sens!D4253*Sens!D4270/1000</f>
        <v>34.0300093833333</v>
      </c>
      <c r="E4272" s="6" t="n">
        <f aca="false">Sens!E4253*Sens!E4270/1000</f>
        <v>67.600153775</v>
      </c>
      <c r="F4272" s="6" t="n">
        <f aca="false">(Sens!F4253+Sens!F4271)*Sens!F4270/1000</f>
        <v>130.923271871467</v>
      </c>
      <c r="G4272" s="6" t="n">
        <f aca="false">(Sens!G4253+Sens!G4271)*Sens!G4270/1000</f>
        <v>151.5545564832</v>
      </c>
      <c r="H4272" s="6" t="n">
        <f aca="false">(Sens!H4253+Sens!H4271)*Sens!H4270/1000</f>
        <v>156.0606619104</v>
      </c>
      <c r="I4272" s="6" t="n">
        <f aca="false">(Sens!I4253+Sens!I4271)*Sens!I4270/1000</f>
        <v>186.319337257067</v>
      </c>
      <c r="J4272" s="6" t="n">
        <f aca="false">(Sens!J4253+Sens!J4271)*Sens!J4270/1000</f>
        <v>201.757436923733</v>
      </c>
      <c r="K4272" s="6" t="n">
        <f aca="false">(Sens!K4253+Sens!K4271)*Sens!K4270/1000</f>
        <v>246.8366879504</v>
      </c>
    </row>
    <row r="4273" customFormat="false" ht="17.15" hidden="false" customHeight="false" outlineLevel="0" collapsed="false">
      <c r="A4273" s="0" t="s">
        <v>753</v>
      </c>
      <c r="B4273" s="0" t="s">
        <v>95</v>
      </c>
      <c r="C4273" s="6" t="n">
        <f aca="false">Sens!C4253*self_build*tk_cxfac/1000</f>
        <v>6.2083</v>
      </c>
      <c r="D4273" s="6" t="n">
        <f aca="false">Sens!D4253*self_build*tk_cxfac/1000</f>
        <v>9.3758</v>
      </c>
      <c r="E4273" s="6" t="n">
        <f aca="false">Sens!E4253*self_build*tk_cxfac/1000</f>
        <v>18.6249</v>
      </c>
      <c r="F4273" s="6" t="n">
        <f aca="false">Sens!F4253*self_build*tk_cxfac/1000</f>
        <v>29.409604</v>
      </c>
      <c r="G4273" s="6" t="n">
        <f aca="false">Sens!G4253*self_build*tk_cxfac/1000</f>
        <v>32.019624</v>
      </c>
      <c r="H4273" s="6" t="n">
        <f aca="false">Sens!H4253*self_build*tk_cxfac/1000</f>
        <v>32.019624</v>
      </c>
      <c r="I4273" s="6" t="n">
        <f aca="false">Sens!I4253*self_build*tk_cxfac/1000</f>
        <v>32.019624</v>
      </c>
      <c r="J4273" s="6" t="n">
        <f aca="false">Sens!J4253*self_build*tk_cxfac/1000</f>
        <v>32.019624</v>
      </c>
      <c r="K4273" s="6" t="n">
        <f aca="false">Sens!K4253*self_build*tk_cxfac/1000</f>
        <v>32.019624</v>
      </c>
    </row>
    <row r="4274" customFormat="false" ht="17.15" hidden="false" customHeight="false" outlineLevel="0" collapsed="false">
      <c r="A4274" s="0" t="s">
        <v>754</v>
      </c>
      <c r="B4274" s="0" t="s">
        <v>95</v>
      </c>
      <c r="F4274" s="6" t="n">
        <f aca="false">MAX(0,capex_floor27-Sens!F4272-Sens!F4273-Sens!F4361)</f>
        <v>8.36277689897089</v>
      </c>
      <c r="G4274" s="6" t="n">
        <f aca="false">0</f>
        <v>0</v>
      </c>
      <c r="H4274" s="6" t="n">
        <f aca="false">0</f>
        <v>0</v>
      </c>
      <c r="I4274" s="6" t="n">
        <f aca="false">0</f>
        <v>0</v>
      </c>
      <c r="J4274" s="6" t="n">
        <f aca="false">0</f>
        <v>0</v>
      </c>
      <c r="K4274" s="6" t="n">
        <f aca="false">0</f>
        <v>0</v>
      </c>
      <c r="L4274" s="1" t="s">
        <v>755</v>
      </c>
    </row>
    <row r="4275" customFormat="false" ht="17.15" hidden="false" customHeight="false" outlineLevel="0" collapsed="false">
      <c r="A4275" s="0" t="s">
        <v>756</v>
      </c>
      <c r="B4275" s="0" t="s">
        <v>95</v>
      </c>
      <c r="C4275" s="6" t="n">
        <f aca="false">Sens!C4272</f>
        <v>22.5333845916667</v>
      </c>
      <c r="D4275" s="6" t="n">
        <f aca="false">Sens!D4272</f>
        <v>34.0300093833333</v>
      </c>
      <c r="E4275" s="6" t="n">
        <f aca="false">Sens!E4272</f>
        <v>67.600153775</v>
      </c>
      <c r="F4275" s="6" t="n">
        <f aca="false">Sens!F4272+Sens!F4274</f>
        <v>139.286048770438</v>
      </c>
      <c r="G4275" s="6" t="n">
        <f aca="false">Sens!G4272+Sens!G4274</f>
        <v>151.5545564832</v>
      </c>
      <c r="H4275" s="6" t="n">
        <f aca="false">Sens!H4272+Sens!H4274</f>
        <v>156.0606619104</v>
      </c>
      <c r="I4275" s="6" t="n">
        <f aca="false">Sens!I4272+Sens!I4274</f>
        <v>186.319337257067</v>
      </c>
      <c r="J4275" s="6" t="n">
        <f aca="false">Sens!J4272+Sens!J4274</f>
        <v>201.757436923733</v>
      </c>
      <c r="K4275" s="6" t="n">
        <f aca="false">Sens!K4272+Sens!K4274</f>
        <v>246.8366879504</v>
      </c>
    </row>
    <row r="4276" customFormat="false" ht="17.15" hidden="false" customHeight="false" outlineLevel="0" collapsed="false">
      <c r="A4276" s="0" t="s">
        <v>757</v>
      </c>
      <c r="B4276" s="0" t="s">
        <v>95</v>
      </c>
      <c r="C4276" s="6" t="n">
        <f aca="false">Sens!C4275+Sens!C4273</f>
        <v>28.7416845916667</v>
      </c>
      <c r="D4276" s="6" t="n">
        <f aca="false">Sens!D4275+Sens!D4273</f>
        <v>43.4058093833333</v>
      </c>
      <c r="E4276" s="6" t="n">
        <f aca="false">Sens!E4275+Sens!E4273</f>
        <v>86.225053775</v>
      </c>
      <c r="F4276" s="6" t="n">
        <f aca="false">Sens!F4275+Sens!F4273</f>
        <v>168.695652770438</v>
      </c>
      <c r="G4276" s="6" t="n">
        <f aca="false">Sens!G4275+Sens!G4273</f>
        <v>183.5741804832</v>
      </c>
      <c r="H4276" s="6" t="n">
        <f aca="false">Sens!H4275+Sens!H4273</f>
        <v>188.0802859104</v>
      </c>
      <c r="I4276" s="6" t="n">
        <f aca="false">Sens!I4275+Sens!I4273</f>
        <v>218.338961257067</v>
      </c>
      <c r="J4276" s="6" t="n">
        <f aca="false">Sens!J4275+Sens!J4273</f>
        <v>233.777060923733</v>
      </c>
      <c r="K4276" s="6" t="n">
        <f aca="false">Sens!K4275+Sens!K4273</f>
        <v>278.8563119504</v>
      </c>
      <c r="L4276" s="11" t="s">
        <v>758</v>
      </c>
    </row>
    <row r="4277" customFormat="false" ht="17.15" hidden="false" customHeight="false" outlineLevel="0" collapsed="false">
      <c r="A4277" s="0" t="s">
        <v>759</v>
      </c>
      <c r="B4277" s="0" t="s">
        <v>95</v>
      </c>
      <c r="E4277" s="6" t="n">
        <f aca="false">(Sens!C4275*IF(2&lt;life_it,1,IF(2=life_it,0.5,0))+Sens!D4275*IF(1&lt;life_it,1,IF(1=life_it,0.5,0))+Sens!E4275*0.5)/life_it</f>
        <v>15.0605784770833</v>
      </c>
      <c r="F4277" s="6" t="n">
        <f aca="false">(Sens!C4275*IF(3&lt;life_it,1,IF(3=life_it,0.5,0))+Sens!D4275*IF(2&lt;life_it,1,IF(2=life_it,0.5,0))+Sens!E4275*IF(1&lt;life_it,1,IF(1=life_it,0.5,0))+Sens!F4275*0.5)/life_it</f>
        <v>32.3010953558698</v>
      </c>
      <c r="G4277" s="6" t="n">
        <f aca="false">(Sens!C4275*IF(4&lt;life_it,1,IF(4=life_it,0.5,0))+Sens!D4275*IF(3&lt;life_it,1,IF(3=life_it,0.5,0))+Sens!E4275*IF(2&lt;life_it,1,IF(2=life_it,0.5,0))+Sens!F4275*IF(1&lt;life_it,1,IF(1=life_it,0.5,0))+Sens!G4275*0.5)/life_it</f>
        <v>56.5378124603396</v>
      </c>
      <c r="H4277" s="6" t="n">
        <f aca="false">(Sens!C4275*IF(5&lt;life_it,1,IF(5=life_it,0.5,0))+Sens!D4275*IF(4&lt;life_it,1,IF(4=life_it,0.5,0))+Sens!E4275*IF(3&lt;life_it,1,IF(3=life_it,0.5,0))+Sens!F4275*IF(2&lt;life_it,1,IF(2=life_it,0.5,0))+Sens!G4275*IF(1&lt;life_it,1,IF(1=life_it,0.5,0))+Sens!H4275*0.5)/life_it</f>
        <v>82.1724139931396</v>
      </c>
      <c r="I4277" s="6" t="n">
        <f aca="false">(Sens!C4275*IF(6&lt;life_it,1,IF(6=life_it,0.5,0))+Sens!D4275*IF(5&lt;life_it,1,IF(5=life_it,0.5,0))+Sens!E4275*IF(4&lt;life_it,1,IF(4=life_it,0.5,0))+Sens!F4275*IF(3&lt;life_it,1,IF(3=life_it,0.5,0))+Sens!G4275*IF(2&lt;life_it,1,IF(2=life_it,0.5,0))+Sens!H4275*IF(1&lt;life_it,1,IF(1=life_it,0.5,0))+Sens!I4275*0.5)/life_it</f>
        <v>108.826298541123</v>
      </c>
      <c r="J4277" s="6" t="n">
        <f aca="false">(Sens!C4275*IF(7&lt;life_it,1,IF(7=life_it,0.5,0))+Sens!D4275*IF(6&lt;life_it,1,IF(6=life_it,0.5,0))+Sens!E4275*IF(5&lt;life_it,1,IF(5=life_it,0.5,0))+Sens!F4275*IF(4&lt;life_it,1,IF(4=life_it,0.5,0))+Sens!G4275*IF(3&lt;life_it,1,IF(3=life_it,0.5,0))+Sens!H4275*IF(2&lt;life_it,1,IF(2=life_it,0.5,0))+Sens!I4275*IF(1&lt;life_it,1,IF(1=life_it,0.5,0))+Sens!J4275*0.5)/life_it</f>
        <v>136.452413558273</v>
      </c>
      <c r="K4277" s="6" t="n">
        <f aca="false">(Sens!C4275*IF(8&lt;life_it,1,IF(8=life_it,0.5,0))+Sens!D4275*IF(7&lt;life_it,1,IF(7=life_it,0.5,0))+Sens!E4275*IF(6&lt;life_it,1,IF(6=life_it,0.5,0))+Sens!F4275*IF(5&lt;life_it,1,IF(5=life_it,0.5,0))+Sens!G4275*IF(4&lt;life_it,1,IF(4=life_it,0.5,0))+Sens!H4275*IF(3&lt;life_it,1,IF(3=life_it,0.5,0))+Sens!I4275*IF(2&lt;life_it,1,IF(2=life_it,0.5,0))+Sens!J4275*IF(1&lt;life_it,1,IF(1=life_it,0.5,0))+Sens!K4275*0.5)/life_it</f>
        <v>165.36607703459</v>
      </c>
    </row>
    <row r="4278" customFormat="false" ht="17.15" hidden="false" customHeight="false" outlineLevel="0" collapsed="false">
      <c r="A4278" s="0" t="s">
        <v>760</v>
      </c>
      <c r="B4278" s="0" t="s">
        <v>95</v>
      </c>
      <c r="E4278" s="6" t="n">
        <f aca="false">(Sens!C4273*IF(2&lt;life_fac,1,IF(2=life_fac,0.5,0))+Sens!D4273*IF(1&lt;life_fac,1,IF(1=life_fac,0.5,0))+Sens!E4273*0.5)/life_fac</f>
        <v>1.2448275</v>
      </c>
      <c r="F4278" s="6" t="n">
        <f aca="false">(Sens!C4273*IF(3&lt;life_fac,1,IF(3=life_fac,0.5,0))+Sens!D4273*IF(2&lt;life_fac,1,IF(2=life_fac,0.5,0))+Sens!E4273*IF(1&lt;life_fac,1,IF(1=life_fac,0.5,0))+Sens!F4273*0.5)/life_fac</f>
        <v>2.4456901</v>
      </c>
      <c r="G4278" s="6" t="n">
        <f aca="false">(Sens!C4273*IF(4&lt;life_fac,1,IF(4=life_fac,0.5,0))+Sens!D4273*IF(3&lt;life_fac,1,IF(3=life_fac,0.5,0))+Sens!E4273*IF(2&lt;life_fac,1,IF(2=life_fac,0.5,0))+Sens!F4273*IF(1&lt;life_fac,1,IF(1=life_fac,0.5,0))+Sens!G4273*0.5)/life_fac</f>
        <v>3.9814208</v>
      </c>
      <c r="H4278" s="6" t="n">
        <f aca="false">(Sens!C4273*IF(5&lt;life_fac,1,IF(5=life_fac,0.5,0))+Sens!D4273*IF(4&lt;life_fac,1,IF(4=life_fac,0.5,0))+Sens!E4273*IF(3&lt;life_fac,1,IF(3=life_fac,0.5,0))+Sens!F4273*IF(2&lt;life_fac,1,IF(2=life_fac,0.5,0))+Sens!G4273*IF(1&lt;life_fac,1,IF(1=life_fac,0.5,0))+Sens!H4273*0.5)/life_fac</f>
        <v>5.582402</v>
      </c>
      <c r="I4278" s="6" t="n">
        <f aca="false">(Sens!C4273*IF(6&lt;life_fac,1,IF(6=life_fac,0.5,0))+Sens!D4273*IF(5&lt;life_fac,1,IF(5=life_fac,0.5,0))+Sens!E4273*IF(4&lt;life_fac,1,IF(4=life_fac,0.5,0))+Sens!F4273*IF(3&lt;life_fac,1,IF(3=life_fac,0.5,0))+Sens!G4273*IF(2&lt;life_fac,1,IF(2=life_fac,0.5,0))+Sens!H4273*IF(1&lt;life_fac,1,IF(1=life_fac,0.5,0))+Sens!I4273*0.5)/life_fac</f>
        <v>7.1833832</v>
      </c>
      <c r="J4278" s="6" t="n">
        <f aca="false">(Sens!C4273*IF(7&lt;life_fac,1,IF(7=life_fac,0.5,0))+Sens!D4273*IF(6&lt;life_fac,1,IF(6=life_fac,0.5,0))+Sens!E4273*IF(5&lt;life_fac,1,IF(5=life_fac,0.5,0))+Sens!F4273*IF(4&lt;life_fac,1,IF(4=life_fac,0.5,0))+Sens!G4273*IF(3&lt;life_fac,1,IF(3=life_fac,0.5,0))+Sens!H4273*IF(2&lt;life_fac,1,IF(2=life_fac,0.5,0))+Sens!I4273*IF(1&lt;life_fac,1,IF(1=life_fac,0.5,0))+Sens!J4273*0.5)/life_fac</f>
        <v>8.7843644</v>
      </c>
      <c r="K4278" s="6" t="n">
        <f aca="false">(Sens!C4273*IF(8&lt;life_fac,1,IF(8=life_fac,0.5,0))+Sens!D4273*IF(7&lt;life_fac,1,IF(7=life_fac,0.5,0))+Sens!E4273*IF(6&lt;life_fac,1,IF(6=life_fac,0.5,0))+Sens!F4273*IF(5&lt;life_fac,1,IF(5=life_fac,0.5,0))+Sens!G4273*IF(4&lt;life_fac,1,IF(4=life_fac,0.5,0))+Sens!H4273*IF(3&lt;life_fac,1,IF(3=life_fac,0.5,0))+Sens!I4273*IF(2&lt;life_fac,1,IF(2=life_fac,0.5,0))+Sens!J4273*IF(1&lt;life_fac,1,IF(1=life_fac,0.5,0))+Sens!K4273*0.5)/life_fac</f>
        <v>10.3853456</v>
      </c>
    </row>
    <row r="4279" customFormat="false" ht="17.15" hidden="false" customHeight="false" outlineLevel="0" collapsed="false">
      <c r="A4279" s="0" t="s">
        <v>761</v>
      </c>
      <c r="B4279" s="0" t="s">
        <v>95</v>
      </c>
      <c r="E4279" s="6" t="n">
        <f aca="false">Sens!E4277+Sens!E4278</f>
        <v>16.3054059770833</v>
      </c>
      <c r="F4279" s="6" t="n">
        <f aca="false">Sens!F4277+Sens!F4278</f>
        <v>34.7467854558698</v>
      </c>
      <c r="G4279" s="6" t="n">
        <f aca="false">Sens!G4277+Sens!G4278</f>
        <v>60.5192332603396</v>
      </c>
      <c r="H4279" s="6" t="n">
        <f aca="false">Sens!H4277+Sens!H4278</f>
        <v>87.7548159931396</v>
      </c>
      <c r="I4279" s="6" t="n">
        <f aca="false">Sens!I4277+Sens!I4278</f>
        <v>116.009681741123</v>
      </c>
      <c r="J4279" s="6" t="n">
        <f aca="false">Sens!J4277+Sens!J4278</f>
        <v>145.236777958273</v>
      </c>
      <c r="K4279" s="6" t="n">
        <f aca="false">Sens!K4277+Sens!K4278</f>
        <v>175.75142263459</v>
      </c>
    </row>
    <row r="4280" customFormat="false" ht="17.15" hidden="false" customHeight="false" outlineLevel="0" collapsed="false">
      <c r="A4280" s="0" t="s">
        <v>762</v>
      </c>
      <c r="B4280" s="0" t="s">
        <v>95</v>
      </c>
      <c r="E4280" s="6" t="n">
        <f aca="false">Sens!E4268-Sens!E4267*Sens!E4279</f>
        <v>8.92707889977379</v>
      </c>
      <c r="F4280" s="6" t="n">
        <f aca="false">Sens!F4268-Sens!F4267*Sens!F4279</f>
        <v>22.2797821312152</v>
      </c>
      <c r="G4280" s="6" t="n">
        <f aca="false">Sens!G4268-Sens!G4267*Sens!G4279</f>
        <v>42.1597624237015</v>
      </c>
      <c r="H4280" s="6" t="n">
        <f aca="false">Sens!H4268-Sens!H4267*Sens!H4279</f>
        <v>67.5167346653351</v>
      </c>
      <c r="I4280" s="6" t="n">
        <f aca="false">Sens!I4268-Sens!I4267*Sens!I4279</f>
        <v>86.4809049252897</v>
      </c>
      <c r="J4280" s="6" t="n">
        <f aca="false">Sens!J4268-Sens!J4267*Sens!J4279</f>
        <v>104.954808149687</v>
      </c>
      <c r="K4280" s="6" t="n">
        <f aca="false">Sens!K4268-Sens!K4267*Sens!K4279</f>
        <v>122.710931636425</v>
      </c>
    </row>
    <row r="4281" customFormat="false" ht="17.15" hidden="false" customHeight="false" outlineLevel="0" collapsed="false">
      <c r="A4281" s="3" t="s">
        <v>1235</v>
      </c>
    </row>
    <row r="4282" customFormat="false" ht="15" hidden="false" customHeight="false" outlineLevel="0" collapsed="false">
      <c r="A4282" s="4" t="s">
        <v>43</v>
      </c>
      <c r="B4282" s="4" t="s">
        <v>63</v>
      </c>
      <c r="C4282" s="19" t="s">
        <v>710</v>
      </c>
      <c r="D4282" s="19" t="s">
        <v>711</v>
      </c>
      <c r="E4282" s="19" t="s">
        <v>712</v>
      </c>
      <c r="F4282" s="19" t="s">
        <v>713</v>
      </c>
      <c r="G4282" s="19" t="s">
        <v>714</v>
      </c>
      <c r="H4282" s="19" t="s">
        <v>715</v>
      </c>
      <c r="I4282" s="19" t="s">
        <v>716</v>
      </c>
      <c r="J4282" s="19" t="s">
        <v>717</v>
      </c>
      <c r="K4282" s="19" t="s">
        <v>718</v>
      </c>
      <c r="L4282" s="4" t="s">
        <v>47</v>
      </c>
    </row>
    <row r="4283" customFormat="false" ht="17.15" hidden="false" customHeight="false" outlineLevel="0" collapsed="false">
      <c r="A4283" s="0" t="s">
        <v>780</v>
      </c>
      <c r="B4283" s="0" t="s">
        <v>95</v>
      </c>
      <c r="D4283" s="6" t="n">
        <f aca="false">Sens!D4262</f>
        <v>12.9359794422418</v>
      </c>
      <c r="E4283" s="6" t="n">
        <f aca="false">Sens!E4262</f>
        <v>27.8095064661409</v>
      </c>
      <c r="F4283" s="6" t="n">
        <f aca="false">Sens!F4262</f>
        <v>58.7324192305018</v>
      </c>
      <c r="G4283" s="6" t="n">
        <f aca="false">Sens!G4262</f>
        <v>101.369089141153</v>
      </c>
      <c r="H4283" s="6" t="n">
        <f aca="false">Sens!H4262</f>
        <v>149.785610014234</v>
      </c>
      <c r="I4283" s="6" t="n">
        <f aca="false">Sens!I4262</f>
        <v>192.439389583079</v>
      </c>
      <c r="J4283" s="6" t="n">
        <f aca="false">Sens!J4262</f>
        <v>235.195906491722</v>
      </c>
      <c r="K4283" s="6" t="n">
        <f aca="false">Sens!K4262</f>
        <v>278.012858836343</v>
      </c>
    </row>
    <row r="4284" customFormat="false" ht="17.15" hidden="false" customHeight="false" outlineLevel="0" collapsed="false">
      <c r="A4284" s="0" t="s">
        <v>781</v>
      </c>
      <c r="B4284" s="0" t="s">
        <v>95</v>
      </c>
      <c r="D4284" s="6" t="n">
        <f aca="false">Q!L6-Sens!D4283</f>
        <v>59.6740205577583</v>
      </c>
      <c r="E4284" s="6" t="n">
        <f aca="false">Q!M6-Sens!E4283</f>
        <v>74.1284935338591</v>
      </c>
      <c r="F4284" s="6" t="n">
        <f aca="false">Sens!E4284*(1+Sens!F4285)</f>
        <v>90.0799497373663</v>
      </c>
      <c r="G4284" s="6" t="n">
        <f aca="false">Sens!F4284*(1+Sens!G4285)</f>
        <v>107.02842520331</v>
      </c>
      <c r="H4284" s="6" t="n">
        <f aca="false">Sens!G4284*(1+Sens!H4285)</f>
        <v>124.271982585636</v>
      </c>
      <c r="I4284" s="6" t="n">
        <f aca="false">Sens!H4284*(1+Sens!I4285)</f>
        <v>140.933702381855</v>
      </c>
      <c r="J4284" s="6" t="n">
        <f aca="false">Sens!I4284*(1+Sens!J4285)</f>
        <v>156.018867314332</v>
      </c>
      <c r="K4284" s="6" t="n">
        <f aca="false">Sens!J4284*(1+Sens!K4285)</f>
        <v>168.500376699478</v>
      </c>
    </row>
    <row r="4285" customFormat="false" ht="15" hidden="false" customHeight="false" outlineLevel="0" collapsed="false">
      <c r="A4285" s="1" t="s">
        <v>782</v>
      </c>
      <c r="B4285" s="0" t="s">
        <v>126</v>
      </c>
      <c r="E4285" s="7" t="n">
        <f aca="false">Sens!E4284/Sens!D4284-1</f>
        <v>0.242223883039864</v>
      </c>
      <c r="F4285" s="7" t="n">
        <f aca="false">Sens!$E$4285+(glt_azo-Sens!$E$4285)*MIN(1,1/n_conv)</f>
        <v>0.215186569199887</v>
      </c>
      <c r="G4285" s="7" t="n">
        <f aca="false">Sens!$E$4285+(glt_azo-Sens!$E$4285)*MIN(1,2/n_conv)</f>
        <v>0.18814925535991</v>
      </c>
      <c r="H4285" s="7" t="n">
        <f aca="false">Sens!$E$4285+(glt_azo-Sens!$E$4285)*MIN(1,3/n_conv)</f>
        <v>0.161111941519932</v>
      </c>
      <c r="I4285" s="7" t="n">
        <f aca="false">Sens!$E$4285+(glt_azo-Sens!$E$4285)*MIN(1,4/n_conv)</f>
        <v>0.134074627679955</v>
      </c>
      <c r="J4285" s="7" t="n">
        <f aca="false">Sens!$E$4285+(glt_azo-Sens!$E$4285)*MIN(1,5/n_conv)</f>
        <v>0.107037313839977</v>
      </c>
      <c r="K4285" s="7" t="n">
        <f aca="false">Sens!$E$4285+(glt_azo-Sens!$E$4285)*MIN(1,6/n_conv)</f>
        <v>0.08</v>
      </c>
    </row>
    <row r="4286" customFormat="false" ht="15" hidden="false" customHeight="false" outlineLevel="0" collapsed="false">
      <c r="A4286" s="0" t="s">
        <v>783</v>
      </c>
      <c r="B4286" s="0" t="s">
        <v>95</v>
      </c>
      <c r="D4286" s="6" t="n">
        <f aca="false">Sens!D4283+Sens!D4284</f>
        <v>72.61</v>
      </c>
      <c r="E4286" s="6" t="n">
        <f aca="false">Sens!E4283+Sens!E4284</f>
        <v>101.938</v>
      </c>
      <c r="F4286" s="6" t="n">
        <f aca="false">Sens!F4283+Sens!F4284</f>
        <v>148.812368967868</v>
      </c>
      <c r="G4286" s="6" t="n">
        <f aca="false">Sens!G4283+Sens!G4284</f>
        <v>208.397514344463</v>
      </c>
      <c r="H4286" s="6" t="n">
        <f aca="false">Sens!H4283+Sens!H4284</f>
        <v>274.05759259987</v>
      </c>
      <c r="I4286" s="6" t="n">
        <f aca="false">Sens!I4283+Sens!I4284</f>
        <v>333.373091964934</v>
      </c>
      <c r="J4286" s="6" t="n">
        <f aca="false">Sens!J4283+Sens!J4284</f>
        <v>391.214773806054</v>
      </c>
      <c r="K4286" s="6" t="n">
        <f aca="false">Sens!K4283+Sens!K4284</f>
        <v>446.513235535821</v>
      </c>
    </row>
    <row r="4287" customFormat="false" ht="17.15" hidden="false" customHeight="false" outlineLevel="0" collapsed="false">
      <c r="A4287" s="0" t="s">
        <v>784</v>
      </c>
      <c r="B4287" s="1" t="s">
        <v>451</v>
      </c>
      <c r="C4287" s="27" t="n">
        <f aca="false">cop_s24</f>
        <v>1</v>
      </c>
      <c r="D4287" s="27" t="n">
        <f aca="false">cop_s25</f>
        <v>5</v>
      </c>
      <c r="E4287" s="27" t="n">
        <f aca="false">cop_s26</f>
        <v>30</v>
      </c>
      <c r="F4287" s="27" t="n">
        <f aca="false">Sens!E4287+IF(2027&lt;=2029,cop_add_A*0.5,cop_add_A*0.5*cop_tail)</f>
        <v>45</v>
      </c>
      <c r="G4287" s="27" t="n">
        <f aca="false">Sens!F4287+IF(2028&lt;=2029,cop_add_A*0.5,cop_add_A*0.5*cop_tail)</f>
        <v>60</v>
      </c>
      <c r="H4287" s="27" t="n">
        <f aca="false">Sens!G4287+IF(2029&lt;=2029,cop_add_A*0.5,cop_add_A*0.5*cop_tail)</f>
        <v>75</v>
      </c>
      <c r="I4287" s="27" t="n">
        <f aca="false">Sens!H4287+IF(2030&lt;=2029,cop_add_A*0.5,cop_add_A*0.5*cop_tail)</f>
        <v>82.5</v>
      </c>
      <c r="J4287" s="27" t="n">
        <f aca="false">Sens!I4287+IF(2031&lt;=2029,cop_add_A*0.5,cop_add_A*0.5*cop_tail)</f>
        <v>90</v>
      </c>
      <c r="K4287" s="27" t="n">
        <f aca="false">Sens!J4287+IF(2032&lt;=2029,cop_add_A*0.5,cop_add_A*0.5*cop_tail)</f>
        <v>97.5</v>
      </c>
    </row>
    <row r="4288" customFormat="false" ht="17.15" hidden="false" customHeight="false" outlineLevel="0" collapsed="false">
      <c r="A4288" s="0" t="s">
        <v>785</v>
      </c>
      <c r="B4288" s="0" t="s">
        <v>95</v>
      </c>
      <c r="D4288" s="6" t="n">
        <f aca="false">(Sens!C4287+Sens!D4287)/2*cop_px*12/1000</f>
        <v>0.9</v>
      </c>
      <c r="E4288" s="6" t="n">
        <f aca="false">(Sens!D4287+Sens!E4287)/2*cop_px*12/1000</f>
        <v>5.25</v>
      </c>
      <c r="F4288" s="6" t="n">
        <f aca="false">(Sens!E4287+Sens!F4287)/2*cop_px*12/1000</f>
        <v>11.25</v>
      </c>
      <c r="G4288" s="6" t="n">
        <f aca="false">(Sens!F4287+Sens!G4287)/2*cop_px*12/1000</f>
        <v>15.75</v>
      </c>
      <c r="H4288" s="6" t="n">
        <f aca="false">(Sens!G4287+Sens!H4287)/2*cop_px*12/1000</f>
        <v>20.25</v>
      </c>
      <c r="I4288" s="6" t="n">
        <f aca="false">(Sens!H4287+Sens!I4287)/2*cop_px*12/1000</f>
        <v>23.625</v>
      </c>
      <c r="J4288" s="6" t="n">
        <f aca="false">(Sens!I4287+Sens!J4287)/2*cop_px*12/1000</f>
        <v>25.875</v>
      </c>
      <c r="K4288" s="6" t="n">
        <f aca="false">(Sens!J4287+Sens!K4287)/2*cop_px*12/1000</f>
        <v>28.125</v>
      </c>
      <c r="L4288" s="1" t="s">
        <v>786</v>
      </c>
    </row>
    <row r="4289" customFormat="false" ht="17.15" hidden="false" customHeight="false" outlineLevel="0" collapsed="false">
      <c r="A4289" s="0" t="s">
        <v>787</v>
      </c>
      <c r="B4289" s="0" t="s">
        <v>95</v>
      </c>
      <c r="D4289" s="6" t="n">
        <f aca="false">Q!L7-Sens!D4288</f>
        <v>83.705</v>
      </c>
      <c r="E4289" s="6" t="n">
        <f aca="false">Q!M7-Sens!E4288</f>
        <v>95.049</v>
      </c>
      <c r="F4289" s="6" t="n">
        <f aca="false">Sens!E4289*(1+Sens!F4290)</f>
        <v>106.89238776686</v>
      </c>
      <c r="G4289" s="6" t="n">
        <f aca="false">Sens!F4289*(1+Sens!G4290)</f>
        <v>119.044168448684</v>
      </c>
      <c r="H4289" s="6" t="n">
        <f aca="false">Sens!G4289*(1+Sens!H4290)</f>
        <v>131.277359388781</v>
      </c>
      <c r="I4289" s="6" t="n">
        <f aca="false">Sens!H4289*(1+Sens!I4290)</f>
        <v>143.334028071957</v>
      </c>
      <c r="J4289" s="6" t="n">
        <f aca="false">Sens!I4289*(1+Sens!J4290)</f>
        <v>154.932702785465</v>
      </c>
      <c r="K4289" s="6" t="n">
        <f aca="false">Sens!J4289*(1+Sens!K4290)</f>
        <v>165.777991980448</v>
      </c>
    </row>
    <row r="4290" customFormat="false" ht="15" hidden="false" customHeight="false" outlineLevel="0" collapsed="false">
      <c r="A4290" s="1" t="s">
        <v>782</v>
      </c>
      <c r="B4290" s="0" t="s">
        <v>126</v>
      </c>
      <c r="E4290" s="7" t="n">
        <f aca="false">Sens!E4289/Sens!D4289-1</f>
        <v>0.135523564900544</v>
      </c>
      <c r="F4290" s="7" t="n">
        <f aca="false">Sens!$E$4290+(glt_m365b-Sens!$E$4290)*MIN(1,1/n_conv)</f>
        <v>0.124602970750453</v>
      </c>
      <c r="G4290" s="7" t="n">
        <f aca="false">Sens!$E$4290+(glt_m365b-Sens!$E$4290)*MIN(1,2/n_conv)</f>
        <v>0.113682376600363</v>
      </c>
      <c r="H4290" s="7" t="n">
        <f aca="false">Sens!$E$4290+(glt_m365b-Sens!$E$4290)*MIN(1,3/n_conv)</f>
        <v>0.102761782450272</v>
      </c>
      <c r="I4290" s="7" t="n">
        <f aca="false">Sens!$E$4290+(glt_m365b-Sens!$E$4290)*MIN(1,4/n_conv)</f>
        <v>0.0918411883001813</v>
      </c>
      <c r="J4290" s="7" t="n">
        <f aca="false">Sens!$E$4290+(glt_m365b-Sens!$E$4290)*MIN(1,5/n_conv)</f>
        <v>0.0809205941500906</v>
      </c>
      <c r="K4290" s="7" t="n">
        <f aca="false">Sens!$E$4290+(glt_m365b-Sens!$E$4290)*MIN(1,6/n_conv)</f>
        <v>0.07</v>
      </c>
    </row>
    <row r="4291" customFormat="false" ht="15" hidden="false" customHeight="false" outlineLevel="0" collapsed="false">
      <c r="A4291" s="0" t="s">
        <v>788</v>
      </c>
      <c r="B4291" s="0" t="s">
        <v>95</v>
      </c>
      <c r="D4291" s="6" t="n">
        <f aca="false">Sens!D4289+Sens!D4288</f>
        <v>84.605</v>
      </c>
      <c r="E4291" s="6" t="n">
        <f aca="false">Sens!E4289+Sens!E4288</f>
        <v>100.299</v>
      </c>
      <c r="F4291" s="6" t="n">
        <f aca="false">Sens!F4289+Sens!F4288</f>
        <v>118.14238776686</v>
      </c>
      <c r="G4291" s="6" t="n">
        <f aca="false">Sens!G4289+Sens!G4288</f>
        <v>134.794168448684</v>
      </c>
      <c r="H4291" s="6" t="n">
        <f aca="false">Sens!H4289+Sens!H4288</f>
        <v>151.527359388781</v>
      </c>
      <c r="I4291" s="6" t="n">
        <f aca="false">Sens!I4289+Sens!I4288</f>
        <v>166.959028071957</v>
      </c>
      <c r="J4291" s="6" t="n">
        <f aca="false">Sens!J4289+Sens!J4288</f>
        <v>180.807702785465</v>
      </c>
      <c r="K4291" s="6" t="n">
        <f aca="false">Sens!K4289+Sens!K4288</f>
        <v>193.902991980448</v>
      </c>
    </row>
    <row r="4292" customFormat="false" ht="15" hidden="false" customHeight="false" outlineLevel="0" collapsed="false">
      <c r="A4292" s="0" t="s">
        <v>789</v>
      </c>
      <c r="B4292" s="0" t="s">
        <v>95</v>
      </c>
      <c r="D4292" s="6" t="n">
        <f aca="false">Q!L8</f>
        <v>35.391</v>
      </c>
      <c r="E4292" s="6" t="n">
        <f aca="false">Q!M8</f>
        <v>37.285</v>
      </c>
      <c r="F4292" s="6" t="n">
        <f aca="false">Sens!E4292*(1+Sens!F4293)</f>
        <v>39.0720834331704</v>
      </c>
      <c r="G4292" s="6" t="n">
        <f aca="false">Sens!F4292*(1+Sens!G4293)</f>
        <v>40.726562953769</v>
      </c>
      <c r="H4292" s="6" t="n">
        <f aca="false">Sens!G4292*(1+Sens!H4293)</f>
        <v>42.2235987259198</v>
      </c>
      <c r="I4292" s="6" t="n">
        <f aca="false">Sens!H4292*(1+Sens!I4293)</f>
        <v>43.5397988077414</v>
      </c>
      <c r="J4292" s="6" t="n">
        <f aca="false">Sens!I4292*(1+Sens!J4293)</f>
        <v>44.653811225693</v>
      </c>
      <c r="K4292" s="6" t="n">
        <f aca="false">Sens!J4292*(1+Sens!K4293)</f>
        <v>45.5468874502068</v>
      </c>
    </row>
    <row r="4293" customFormat="false" ht="15" hidden="false" customHeight="false" outlineLevel="0" collapsed="false">
      <c r="A4293" s="1" t="s">
        <v>782</v>
      </c>
      <c r="B4293" s="0" t="s">
        <v>126</v>
      </c>
      <c r="E4293" s="7" t="n">
        <f aca="false">Sens!E4292/Sens!D4292-1</f>
        <v>0.0535164307309768</v>
      </c>
      <c r="F4293" s="7" t="n">
        <f aca="false">Sens!$E$4293+(glt_lic-Sens!$E$4293)*MIN(1,1/n_conv)</f>
        <v>0.0479303589424807</v>
      </c>
      <c r="G4293" s="7" t="n">
        <f aca="false">Sens!$E$4293+(glt_lic-Sens!$E$4293)*MIN(1,2/n_conv)</f>
        <v>0.0423442871539845</v>
      </c>
      <c r="H4293" s="7" t="n">
        <f aca="false">Sens!$E$4293+(glt_lic-Sens!$E$4293)*MIN(1,3/n_conv)</f>
        <v>0.0367582153654884</v>
      </c>
      <c r="I4293" s="7" t="n">
        <f aca="false">Sens!$E$4293+(glt_lic-Sens!$E$4293)*MIN(1,4/n_conv)</f>
        <v>0.0311721435769923</v>
      </c>
      <c r="J4293" s="7" t="n">
        <f aca="false">Sens!$E$4293+(glt_lic-Sens!$E$4293)*MIN(1,5/n_conv)</f>
        <v>0.0255860717884961</v>
      </c>
      <c r="K4293" s="7" t="n">
        <f aca="false">Sens!$E$4293+(glt_lic-Sens!$E$4293)*MIN(1,6/n_conv)</f>
        <v>0.02</v>
      </c>
    </row>
    <row r="4294" customFormat="false" ht="15" hidden="false" customHeight="false" outlineLevel="0" collapsed="false">
      <c r="A4294" s="0" t="s">
        <v>790</v>
      </c>
      <c r="B4294" s="0" t="s">
        <v>95</v>
      </c>
      <c r="D4294" s="6" t="n">
        <f aca="false">Q!L9</f>
        <v>18.417</v>
      </c>
      <c r="E4294" s="6" t="n">
        <f aca="false">Q!M9</f>
        <v>20.345</v>
      </c>
      <c r="F4294" s="6" t="n">
        <f aca="false">Sens!E4294*(1+Sens!F4295)</f>
        <v>22.3572203267814</v>
      </c>
      <c r="G4294" s="6" t="n">
        <f aca="false">Sens!F4294*(1+Sens!G4295)</f>
        <v>24.4392124437232</v>
      </c>
      <c r="H4294" s="6" t="n">
        <f aca="false">Sens!G4294*(1+Sens!H4295)</f>
        <v>26.5738052080665</v>
      </c>
      <c r="I4294" s="6" t="n">
        <f aca="false">Sens!H4294*(1+Sens!I4295)</f>
        <v>28.7412169166967</v>
      </c>
      <c r="J4294" s="6" t="n">
        <f aca="false">Sens!I4294*(1+Sens!J4295)</f>
        <v>30.9192545395413</v>
      </c>
      <c r="K4294" s="6" t="n">
        <f aca="false">Sens!J4294*(1+Sens!K4295)</f>
        <v>33.0836023573092</v>
      </c>
    </row>
    <row r="4295" customFormat="false" ht="15" hidden="false" customHeight="false" outlineLevel="0" collapsed="false">
      <c r="A4295" s="1" t="s">
        <v>782</v>
      </c>
      <c r="B4295" s="0" t="s">
        <v>126</v>
      </c>
      <c r="E4295" s="7" t="n">
        <f aca="false">Sens!E4294/Sens!D4294-1</f>
        <v>0.104685888038225</v>
      </c>
      <c r="F4295" s="7" t="n">
        <f aca="false">Sens!$E$4295+(glt_ind-Sens!$E$4295)*MIN(1,1/n_conv)</f>
        <v>0.0989049066985211</v>
      </c>
      <c r="G4295" s="7" t="n">
        <f aca="false">Sens!$E$4295+(glt_ind-Sens!$E$4295)*MIN(1,2/n_conv)</f>
        <v>0.0931239253588169</v>
      </c>
      <c r="H4295" s="7" t="n">
        <f aca="false">Sens!$E$4295+(glt_ind-Sens!$E$4295)*MIN(1,3/n_conv)</f>
        <v>0.0873429440191127</v>
      </c>
      <c r="I4295" s="7" t="n">
        <f aca="false">Sens!$E$4295+(glt_ind-Sens!$E$4295)*MIN(1,4/n_conv)</f>
        <v>0.0815619626794085</v>
      </c>
      <c r="J4295" s="7" t="n">
        <f aca="false">Sens!$E$4295+(glt_ind-Sens!$E$4295)*MIN(1,5/n_conv)</f>
        <v>0.0757809813397042</v>
      </c>
      <c r="K4295" s="7" t="n">
        <f aca="false">Sens!$E$4295+(glt_ind-Sens!$E$4295)*MIN(1,6/n_conv)</f>
        <v>0.07</v>
      </c>
    </row>
    <row r="4296" customFormat="false" ht="15" hidden="false" customHeight="false" outlineLevel="0" collapsed="false">
      <c r="A4296" s="0" t="s">
        <v>791</v>
      </c>
      <c r="B4296" s="0" t="s">
        <v>95</v>
      </c>
      <c r="D4296" s="6" t="n">
        <f aca="false">Q!L10</f>
        <v>7.76</v>
      </c>
      <c r="E4296" s="6" t="n">
        <f aca="false">Q!M10</f>
        <v>8.26</v>
      </c>
      <c r="F4296" s="6" t="n">
        <f aca="false">Sens!E4296*(1+Sens!F4297)</f>
        <v>8.79988041237113</v>
      </c>
      <c r="G4296" s="6" t="n">
        <f aca="false">Sens!F4296*(1+Sens!G4297)</f>
        <v>9.38321269125306</v>
      </c>
      <c r="H4296" s="6" t="n">
        <f aca="false">Sens!G4296*(1+Sens!H4297)</f>
        <v>10.0139193587476</v>
      </c>
      <c r="I4296" s="6" t="n">
        <f aca="false">Sens!H4296*(1+Sens!I4297)</f>
        <v>10.6963111830911</v>
      </c>
      <c r="J4296" s="6" t="n">
        <f aca="false">Sens!I4296*(1+Sens!J4297)</f>
        <v>11.4351285534696</v>
      </c>
      <c r="K4296" s="6" t="n">
        <f aca="false">Sens!J4296*(1+Sens!K4297)</f>
        <v>12.2355875522124</v>
      </c>
    </row>
    <row r="4297" customFormat="false" ht="15" hidden="false" customHeight="false" outlineLevel="0" collapsed="false">
      <c r="A4297" s="1" t="s">
        <v>782</v>
      </c>
      <c r="B4297" s="0" t="s">
        <v>126</v>
      </c>
      <c r="E4297" s="7" t="n">
        <f aca="false">Sens!E4296/Sens!D4296-1</f>
        <v>0.0644329896907216</v>
      </c>
      <c r="F4297" s="7" t="n">
        <f aca="false">Sens!$E$4297+(glt_fro-Sens!$E$4297)*MIN(1,1/n_conv)</f>
        <v>0.065360824742268</v>
      </c>
      <c r="G4297" s="7" t="n">
        <f aca="false">Sens!$E$4297+(glt_fro-Sens!$E$4297)*MIN(1,2/n_conv)</f>
        <v>0.0662886597938144</v>
      </c>
      <c r="H4297" s="7" t="n">
        <f aca="false">Sens!$E$4297+(glt_fro-Sens!$E$4297)*MIN(1,3/n_conv)</f>
        <v>0.0672164948453608</v>
      </c>
      <c r="I4297" s="7" t="n">
        <f aca="false">Sens!$E$4297+(glt_fro-Sens!$E$4297)*MIN(1,4/n_conv)</f>
        <v>0.0681443298969072</v>
      </c>
      <c r="J4297" s="7" t="n">
        <f aca="false">Sens!$E$4297+(glt_fro-Sens!$E$4297)*MIN(1,5/n_conv)</f>
        <v>0.0690721649484536</v>
      </c>
      <c r="K4297" s="7" t="n">
        <f aca="false">Sens!$E$4297+(glt_fro-Sens!$E$4297)*MIN(1,6/n_conv)</f>
        <v>0.07</v>
      </c>
    </row>
    <row r="4298" customFormat="false" ht="15" hidden="false" customHeight="false" outlineLevel="0" collapsed="false">
      <c r="A4298" s="0" t="s">
        <v>626</v>
      </c>
      <c r="B4298" s="0" t="s">
        <v>95</v>
      </c>
      <c r="D4298" s="6" t="n">
        <f aca="false">Sens!D4286+Sens!D4291+Sens!D4292+Sens!D4294+Sens!D4296</f>
        <v>218.783</v>
      </c>
      <c r="E4298" s="6" t="n">
        <f aca="false">Sens!E4286+Sens!E4291+Sens!E4292+Sens!E4294+Sens!E4296</f>
        <v>268.127</v>
      </c>
      <c r="F4298" s="6" t="n">
        <f aca="false">Sens!F4286+Sens!F4291+Sens!F4292+Sens!F4294+Sens!F4296</f>
        <v>337.183940907051</v>
      </c>
      <c r="G4298" s="6" t="n">
        <f aca="false">Sens!G4286+Sens!G4291+Sens!G4292+Sens!G4294+Sens!G4296</f>
        <v>417.740670881892</v>
      </c>
      <c r="H4298" s="6" t="n">
        <f aca="false">Sens!H4286+Sens!H4291+Sens!H4292+Sens!H4294+Sens!H4296</f>
        <v>504.396275281385</v>
      </c>
      <c r="I4298" s="6" t="n">
        <f aca="false">Sens!I4286+Sens!I4291+Sens!I4292+Sens!I4294+Sens!I4296</f>
        <v>583.30944694442</v>
      </c>
      <c r="J4298" s="6" t="n">
        <f aca="false">Sens!J4286+Sens!J4291+Sens!J4292+Sens!J4294+Sens!J4296</f>
        <v>659.030670910223</v>
      </c>
      <c r="K4298" s="6" t="n">
        <f aca="false">Sens!K4286+Sens!K4291+Sens!K4292+Sens!K4294+Sens!K4296</f>
        <v>731.282304875998</v>
      </c>
    </row>
    <row r="4299" customFormat="false" ht="15" hidden="false" customHeight="false" outlineLevel="0" collapsed="false">
      <c r="A4299" s="0" t="s">
        <v>792</v>
      </c>
      <c r="B4299" s="0" t="s">
        <v>95</v>
      </c>
      <c r="D4299" s="6" t="n">
        <f aca="false">Q!L13</f>
        <v>22.171</v>
      </c>
      <c r="E4299" s="6" t="n">
        <f aca="false">Q!M13</f>
        <v>24.835</v>
      </c>
      <c r="F4299" s="6" t="n">
        <f aca="false">Sens!E4299*(1+Sens!F4300)</f>
        <v>27.6114901218559</v>
      </c>
      <c r="G4299" s="6" t="n">
        <f aca="false">Sens!F4299*(1+Sens!G4300)</f>
        <v>30.4675667338515</v>
      </c>
      <c r="H4299" s="6" t="n">
        <f aca="false">Sens!G4299*(1+Sens!H4300)</f>
        <v>33.3643766955789</v>
      </c>
      <c r="I4299" s="6" t="n">
        <f aca="false">Sens!H4299*(1+Sens!I4300)</f>
        <v>36.2577016533691</v>
      </c>
      <c r="J4299" s="6" t="n">
        <f aca="false">Sens!I4299*(1+Sens!J4300)</f>
        <v>39.0988367952171</v>
      </c>
      <c r="K4299" s="6" t="n">
        <f aca="false">Sens!J4299*(1+Sens!K4300)</f>
        <v>41.8357553708823</v>
      </c>
    </row>
    <row r="4300" customFormat="false" ht="15" hidden="false" customHeight="false" outlineLevel="0" collapsed="false">
      <c r="A4300" s="1" t="s">
        <v>782</v>
      </c>
      <c r="B4300" s="0" t="s">
        <v>126</v>
      </c>
      <c r="E4300" s="7" t="n">
        <f aca="false">Sens!E4299/Sens!D4299-1</f>
        <v>0.120156961796942</v>
      </c>
      <c r="F4300" s="7" t="n">
        <f aca="false">Sens!$E$4300+(glt_srch-Sens!$E$4300)*MIN(1,1/n_conv)</f>
        <v>0.111797468164118</v>
      </c>
      <c r="G4300" s="7" t="n">
        <f aca="false">Sens!$E$4300+(glt_srch-Sens!$E$4300)*MIN(1,2/n_conv)</f>
        <v>0.103437974531295</v>
      </c>
      <c r="H4300" s="7" t="n">
        <f aca="false">Sens!$E$4300+(glt_srch-Sens!$E$4300)*MIN(1,3/n_conv)</f>
        <v>0.095078480898471</v>
      </c>
      <c r="I4300" s="7" t="n">
        <f aca="false">Sens!$E$4300+(glt_srch-Sens!$E$4300)*MIN(1,4/n_conv)</f>
        <v>0.0867189872656474</v>
      </c>
      <c r="J4300" s="7" t="n">
        <f aca="false">Sens!$E$4300+(glt_srch-Sens!$E$4300)*MIN(1,5/n_conv)</f>
        <v>0.0783594936328237</v>
      </c>
      <c r="K4300" s="7" t="n">
        <f aca="false">Sens!$E$4300+(glt_srch-Sens!$E$4300)*MIN(1,6/n_conv)</f>
        <v>0.07</v>
      </c>
    </row>
    <row r="4301" customFormat="false" ht="15" hidden="false" customHeight="false" outlineLevel="0" collapsed="false">
      <c r="A4301" s="0" t="s">
        <v>793</v>
      </c>
      <c r="B4301" s="0" t="s">
        <v>95</v>
      </c>
      <c r="D4301" s="6" t="n">
        <f aca="false">Q!L14</f>
        <v>23.455</v>
      </c>
      <c r="E4301" s="6" t="n">
        <f aca="false">Q!M14</f>
        <v>21.79</v>
      </c>
      <c r="F4301" s="6" t="n">
        <f aca="false">Sens!E4301*(1+Sens!F4302)</f>
        <v>20.5736277908051</v>
      </c>
      <c r="G4301" s="6" t="n">
        <f aca="false">Sens!F4301*(1+Sens!G4302)</f>
        <v>19.7371452817919</v>
      </c>
      <c r="H4301" s="6" t="n">
        <f aca="false">Sens!G4301*(1+Sens!H4302)</f>
        <v>19.2339764043138</v>
      </c>
      <c r="I4301" s="6" t="n">
        <f aca="false">Sens!H4301*(1+Sens!I4302)</f>
        <v>19.0353086852681</v>
      </c>
      <c r="J4301" s="6" t="n">
        <f aca="false">Sens!I4301*(1+Sens!J4302)</f>
        <v>19.1273539319129</v>
      </c>
      <c r="K4301" s="6" t="n">
        <f aca="false">Sens!J4301*(1+Sens!K4302)</f>
        <v>19.5099010105511</v>
      </c>
    </row>
    <row r="4302" customFormat="false" ht="15" hidden="false" customHeight="false" outlineLevel="0" collapsed="false">
      <c r="A4302" s="1" t="s">
        <v>782</v>
      </c>
      <c r="B4302" s="0" t="s">
        <v>126</v>
      </c>
      <c r="E4302" s="7" t="n">
        <f aca="false">Sens!E4301/Sens!D4301-1</f>
        <v>-0.0709869963760392</v>
      </c>
      <c r="F4302" s="7" t="n">
        <f aca="false">Sens!$E$4302+(glt_xbox-Sens!$E$4302)*MIN(1,1/n_conv)</f>
        <v>-0.0558224969800327</v>
      </c>
      <c r="G4302" s="7" t="n">
        <f aca="false">Sens!$E$4302+(glt_xbox-Sens!$E$4302)*MIN(1,2/n_conv)</f>
        <v>-0.0406579975840262</v>
      </c>
      <c r="H4302" s="7" t="n">
        <f aca="false">Sens!$E$4302+(glt_xbox-Sens!$E$4302)*MIN(1,3/n_conv)</f>
        <v>-0.0254934981880196</v>
      </c>
      <c r="I4302" s="7" t="n">
        <f aca="false">Sens!$E$4302+(glt_xbox-Sens!$E$4302)*MIN(1,4/n_conv)</f>
        <v>-0.0103289987920131</v>
      </c>
      <c r="J4302" s="7" t="n">
        <f aca="false">Sens!$E$4302+(glt_xbox-Sens!$E$4302)*MIN(1,5/n_conv)</f>
        <v>0.00483550060399347</v>
      </c>
      <c r="K4302" s="7" t="n">
        <f aca="false">Sens!$E$4302+(glt_xbox-Sens!$E$4302)*MIN(1,6/n_conv)</f>
        <v>0.02</v>
      </c>
    </row>
    <row r="4303" customFormat="false" ht="15" hidden="false" customHeight="false" outlineLevel="0" collapsed="false">
      <c r="A4303" s="0" t="s">
        <v>794</v>
      </c>
      <c r="B4303" s="0" t="s">
        <v>95</v>
      </c>
      <c r="D4303" s="6" t="n">
        <f aca="false">Q!L15</f>
        <v>17.315</v>
      </c>
      <c r="E4303" s="6" t="n">
        <f aca="false">Q!M15</f>
        <v>17.087</v>
      </c>
      <c r="F4303" s="6" t="n">
        <f aca="false">Sens!E4303*(1+Sens!F4304)</f>
        <v>16.9564585436519</v>
      </c>
      <c r="G4303" s="6" t="n">
        <f aca="false">Sens!F4303*(1+Sens!G4304)</f>
        <v>16.9206490624268</v>
      </c>
      <c r="H4303" s="6" t="n">
        <f aca="false">Sens!G4303*(1+Sens!H4304)</f>
        <v>16.9784519149849</v>
      </c>
      <c r="I4303" s="6" t="n">
        <f aca="false">Sens!H4303*(1+Sens!I4304)</f>
        <v>17.1303084701817</v>
      </c>
      <c r="J4303" s="6" t="n">
        <f aca="false">Sens!I4303*(1+Sens!J4304)</f>
        <v>17.3782189407267</v>
      </c>
      <c r="K4303" s="6" t="n">
        <f aca="false">Sens!J4303*(1+Sens!K4304)</f>
        <v>17.7257833195413</v>
      </c>
    </row>
    <row r="4304" customFormat="false" ht="15" hidden="false" customHeight="false" outlineLevel="0" collapsed="false">
      <c r="A4304" s="1" t="s">
        <v>782</v>
      </c>
      <c r="B4304" s="0" t="s">
        <v>126</v>
      </c>
      <c r="E4304" s="7" t="n">
        <f aca="false">Sens!E4303/Sens!D4303-1</f>
        <v>-0.0131677736066995</v>
      </c>
      <c r="F4304" s="7" t="n">
        <f aca="false">Sens!$E$4304+(glt_win-Sens!$E$4304)*MIN(1,1/n_conv)</f>
        <v>-0.00763981133891627</v>
      </c>
      <c r="G4304" s="7" t="n">
        <f aca="false">Sens!$E$4304+(glt_win-Sens!$E$4304)*MIN(1,2/n_conv)</f>
        <v>-0.00211184907113301</v>
      </c>
      <c r="H4304" s="7" t="n">
        <f aca="false">Sens!$E$4304+(glt_win-Sens!$E$4304)*MIN(1,3/n_conv)</f>
        <v>0.00341611319665024</v>
      </c>
      <c r="I4304" s="7" t="n">
        <f aca="false">Sens!$E$4304+(glt_win-Sens!$E$4304)*MIN(1,4/n_conv)</f>
        <v>0.00894407546443349</v>
      </c>
      <c r="J4304" s="7" t="n">
        <f aca="false">Sens!$E$4304+(glt_win-Sens!$E$4304)*MIN(1,5/n_conv)</f>
        <v>0.0144720377322168</v>
      </c>
      <c r="K4304" s="7" t="n">
        <f aca="false">Sens!$E$4304+(glt_win-Sens!$E$4304)*MIN(1,6/n_conv)</f>
        <v>0.02</v>
      </c>
    </row>
    <row r="4305" customFormat="false" ht="15" hidden="false" customHeight="false" outlineLevel="0" collapsed="false">
      <c r="A4305" s="0" t="s">
        <v>640</v>
      </c>
      <c r="B4305" s="0" t="s">
        <v>95</v>
      </c>
      <c r="D4305" s="6" t="n">
        <f aca="false">Sens!D4299+Sens!D4301+Sens!D4303</f>
        <v>62.941</v>
      </c>
      <c r="E4305" s="6" t="n">
        <f aca="false">Sens!E4299+Sens!E4301+Sens!E4303</f>
        <v>63.712</v>
      </c>
      <c r="F4305" s="6" t="n">
        <f aca="false">Sens!F4299+Sens!F4301+Sens!F4303</f>
        <v>65.1415764563129</v>
      </c>
      <c r="G4305" s="6" t="n">
        <f aca="false">Sens!G4299+Sens!G4301+Sens!G4303</f>
        <v>67.1253610780702</v>
      </c>
      <c r="H4305" s="6" t="n">
        <f aca="false">Sens!H4299+Sens!H4301+Sens!H4303</f>
        <v>69.5768050148776</v>
      </c>
      <c r="I4305" s="6" t="n">
        <f aca="false">Sens!I4299+Sens!I4301+Sens!I4303</f>
        <v>72.4233188088189</v>
      </c>
      <c r="J4305" s="6" t="n">
        <f aca="false">Sens!J4299+Sens!J4301+Sens!J4303</f>
        <v>75.6044096678567</v>
      </c>
      <c r="K4305" s="6" t="n">
        <f aca="false">Sens!K4299+Sens!K4301+Sens!K4303</f>
        <v>79.0714397009747</v>
      </c>
    </row>
    <row r="4306" customFormat="false" ht="15" hidden="false" customHeight="false" outlineLevel="0" collapsed="false">
      <c r="A4306" s="1" t="s">
        <v>795</v>
      </c>
      <c r="B4306" s="0" t="s">
        <v>95</v>
      </c>
      <c r="D4306" s="6" t="n">
        <f aca="false">Sens!D4298+Sens!D4305</f>
        <v>281.724</v>
      </c>
      <c r="E4306" s="6" t="n">
        <f aca="false">Sens!E4298+Sens!E4305</f>
        <v>331.839</v>
      </c>
      <c r="F4306" s="6" t="n">
        <f aca="false">Sens!F4298+Sens!F4305</f>
        <v>402.325517363364</v>
      </c>
      <c r="G4306" s="6" t="n">
        <f aca="false">Sens!G4298+Sens!G4305</f>
        <v>484.866031959962</v>
      </c>
      <c r="H4306" s="6" t="n">
        <f aca="false">Sens!H4298+Sens!H4305</f>
        <v>573.973080296262</v>
      </c>
      <c r="I4306" s="6" t="n">
        <f aca="false">Sens!I4298+Sens!I4305</f>
        <v>655.732765753239</v>
      </c>
      <c r="J4306" s="6" t="n">
        <f aca="false">Sens!J4298+Sens!J4305</f>
        <v>734.635080578079</v>
      </c>
      <c r="K4306" s="6" t="n">
        <f aca="false">Sens!K4298+Sens!K4305</f>
        <v>810.353744576972</v>
      </c>
    </row>
    <row r="4307" customFormat="false" ht="15" hidden="false" customHeight="false" outlineLevel="0" collapsed="false">
      <c r="A4307" s="22" t="s">
        <v>796</v>
      </c>
      <c r="B4307" s="28" t="s">
        <v>95</v>
      </c>
      <c r="C4307" s="28"/>
      <c r="D4307" s="23" t="n">
        <f aca="false">(Sens!D4286+Sens!D4291+Sens!D4292+Sens!D4294+Sens!D4296-Sens!D4298)+(Sens!D4299+Sens!D4301+Sens!D4303-Sens!D4305)+(Sens!D4298-Q!L5)+(Sens!D4305-Q!L12)+(Sens!D4286-Q!L6)+(Sens!D4291-Q!L7)</f>
        <v>0</v>
      </c>
      <c r="E4307" s="23" t="n">
        <f aca="false">(Sens!E4286+Sens!E4291+Sens!E4292+Sens!E4294+Sens!E4296-Sens!E4298)+(Sens!E4299+Sens!E4301+Sens!E4303-Sens!E4305)+(Sens!E4298-Q!M5)+(Sens!E4305-Q!M12)+(Sens!E4286-Q!M6)+(Sens!E4291-Q!M7)</f>
        <v>0</v>
      </c>
      <c r="F4307" s="23" t="n">
        <f aca="false">(Sens!F4286+Sens!F4291+Sens!F4292+Sens!F4294+Sens!F4296-Sens!F4298)+(Sens!F4299+Sens!F4301+Sens!F4303-Sens!F4305)</f>
        <v>0</v>
      </c>
      <c r="G4307" s="23" t="n">
        <f aca="false">(Sens!G4286+Sens!G4291+Sens!G4292+Sens!G4294+Sens!G4296-Sens!G4298)+(Sens!G4299+Sens!G4301+Sens!G4303-Sens!G4305)</f>
        <v>0</v>
      </c>
      <c r="H4307" s="23" t="n">
        <f aca="false">(Sens!H4286+Sens!H4291+Sens!H4292+Sens!H4294+Sens!H4296-Sens!H4298)+(Sens!H4299+Sens!H4301+Sens!H4303-Sens!H4305)</f>
        <v>0</v>
      </c>
      <c r="I4307" s="23" t="n">
        <f aca="false">(Sens!I4286+Sens!I4291+Sens!I4292+Sens!I4294+Sens!I4296-Sens!I4298)+(Sens!I4299+Sens!I4301+Sens!I4303-Sens!I4305)</f>
        <v>0</v>
      </c>
      <c r="J4307" s="23" t="n">
        <f aca="false">(Sens!J4286+Sens!J4291+Sens!J4292+Sens!J4294+Sens!J4296-Sens!J4298)+(Sens!J4299+Sens!J4301+Sens!J4303-Sens!J4305)</f>
        <v>0</v>
      </c>
      <c r="K4307" s="23" t="n">
        <f aca="false">(Sens!K4286+Sens!K4291+Sens!K4292+Sens!K4294+Sens!K4296-Sens!K4298)+(Sens!K4299+Sens!K4301+Sens!K4303-Sens!K4305)</f>
        <v>0</v>
      </c>
    </row>
    <row r="4308" customFormat="false" ht="17.15" hidden="false" customHeight="false" outlineLevel="0" collapsed="false">
      <c r="A4308" s="3" t="s">
        <v>1236</v>
      </c>
    </row>
    <row r="4309" customFormat="false" ht="15" hidden="false" customHeight="false" outlineLevel="0" collapsed="false">
      <c r="A4309" s="4" t="s">
        <v>43</v>
      </c>
      <c r="B4309" s="4" t="s">
        <v>63</v>
      </c>
      <c r="C4309" s="19" t="s">
        <v>710</v>
      </c>
      <c r="D4309" s="19" t="s">
        <v>711</v>
      </c>
      <c r="E4309" s="19" t="s">
        <v>712</v>
      </c>
      <c r="F4309" s="19" t="s">
        <v>713</v>
      </c>
      <c r="G4309" s="19" t="s">
        <v>714</v>
      </c>
      <c r="H4309" s="19" t="s">
        <v>715</v>
      </c>
      <c r="I4309" s="19" t="s">
        <v>716</v>
      </c>
      <c r="J4309" s="19" t="s">
        <v>717</v>
      </c>
      <c r="K4309" s="19" t="s">
        <v>718</v>
      </c>
      <c r="L4309" s="4" t="s">
        <v>47</v>
      </c>
    </row>
    <row r="4310" customFormat="false" ht="15" hidden="false" customHeight="false" outlineLevel="0" collapsed="false">
      <c r="A4310" s="0" t="s">
        <v>783</v>
      </c>
      <c r="B4310" s="0" t="s">
        <v>95</v>
      </c>
      <c r="D4310" s="6" t="n">
        <f aca="false">Sens!D4286</f>
        <v>72.61</v>
      </c>
      <c r="E4310" s="6" t="n">
        <f aca="false">Sens!E4286</f>
        <v>101.938</v>
      </c>
      <c r="F4310" s="6" t="n">
        <f aca="false">Sens!F4286</f>
        <v>148.812368967868</v>
      </c>
      <c r="G4310" s="6" t="n">
        <f aca="false">Sens!G4286</f>
        <v>208.397514344463</v>
      </c>
      <c r="H4310" s="6" t="n">
        <f aca="false">Sens!H4286</f>
        <v>274.05759259987</v>
      </c>
      <c r="I4310" s="6" t="n">
        <f aca="false">Sens!I4286</f>
        <v>333.373091964934</v>
      </c>
      <c r="J4310" s="6" t="n">
        <f aca="false">Sens!J4286</f>
        <v>391.214773806054</v>
      </c>
      <c r="K4310" s="6" t="n">
        <f aca="false">Sens!K4286</f>
        <v>446.513235535821</v>
      </c>
    </row>
    <row r="4311" customFormat="false" ht="17.15" hidden="false" customHeight="false" outlineLevel="0" collapsed="false">
      <c r="A4311" s="0" t="s">
        <v>780</v>
      </c>
      <c r="B4311" s="0" t="s">
        <v>95</v>
      </c>
      <c r="D4311" s="6" t="n">
        <f aca="false">Sens!D4283</f>
        <v>12.9359794422418</v>
      </c>
      <c r="E4311" s="6" t="n">
        <f aca="false">Sens!E4283</f>
        <v>27.8095064661409</v>
      </c>
      <c r="F4311" s="6" t="n">
        <f aca="false">Sens!F4283</f>
        <v>58.7324192305018</v>
      </c>
      <c r="G4311" s="6" t="n">
        <f aca="false">Sens!G4283</f>
        <v>101.369089141153</v>
      </c>
      <c r="H4311" s="6" t="n">
        <f aca="false">Sens!H4283</f>
        <v>149.785610014234</v>
      </c>
      <c r="I4311" s="6" t="n">
        <f aca="false">Sens!I4283</f>
        <v>192.439389583079</v>
      </c>
      <c r="J4311" s="6" t="n">
        <f aca="false">Sens!J4283</f>
        <v>235.195906491722</v>
      </c>
      <c r="K4311" s="6" t="n">
        <f aca="false">Sens!K4283</f>
        <v>278.012858836343</v>
      </c>
    </row>
    <row r="4312" customFormat="false" ht="17.15" hidden="false" customHeight="false" outlineLevel="0" collapsed="false">
      <c r="A4312" s="0" t="s">
        <v>807</v>
      </c>
      <c r="B4312" s="0" t="s">
        <v>95</v>
      </c>
      <c r="D4312" s="6" t="n">
        <f aca="false">Sens!D4284</f>
        <v>59.6740205577583</v>
      </c>
      <c r="E4312" s="6" t="n">
        <f aca="false">Sens!E4284</f>
        <v>74.1284935338591</v>
      </c>
      <c r="F4312" s="6" t="n">
        <f aca="false">Sens!F4284</f>
        <v>90.0799497373663</v>
      </c>
      <c r="G4312" s="6" t="n">
        <f aca="false">Sens!G4284</f>
        <v>107.02842520331</v>
      </c>
      <c r="H4312" s="6" t="n">
        <f aca="false">Sens!H4284</f>
        <v>124.271982585636</v>
      </c>
      <c r="I4312" s="6" t="n">
        <f aca="false">Sens!I4284</f>
        <v>140.933702381855</v>
      </c>
      <c r="J4312" s="6" t="n">
        <f aca="false">Sens!J4284</f>
        <v>156.018867314332</v>
      </c>
      <c r="K4312" s="6" t="n">
        <f aca="false">Sens!K4284</f>
        <v>168.500376699478</v>
      </c>
    </row>
    <row r="4313" customFormat="false" ht="15" hidden="false" customHeight="false" outlineLevel="0" collapsed="false">
      <c r="A4313" s="0" t="s">
        <v>788</v>
      </c>
      <c r="B4313" s="0" t="s">
        <v>95</v>
      </c>
      <c r="D4313" s="6" t="n">
        <f aca="false">Sens!D4291</f>
        <v>84.605</v>
      </c>
      <c r="E4313" s="6" t="n">
        <f aca="false">Sens!E4291</f>
        <v>100.299</v>
      </c>
      <c r="F4313" s="6" t="n">
        <f aca="false">Sens!F4291</f>
        <v>118.14238776686</v>
      </c>
      <c r="G4313" s="6" t="n">
        <f aca="false">Sens!G4291</f>
        <v>134.794168448684</v>
      </c>
      <c r="H4313" s="6" t="n">
        <f aca="false">Sens!H4291</f>
        <v>151.527359388781</v>
      </c>
      <c r="I4313" s="6" t="n">
        <f aca="false">Sens!I4291</f>
        <v>166.959028071957</v>
      </c>
      <c r="J4313" s="6" t="n">
        <f aca="false">Sens!J4291</f>
        <v>180.807702785465</v>
      </c>
      <c r="K4313" s="6" t="n">
        <f aca="false">Sens!K4291</f>
        <v>193.902991980448</v>
      </c>
    </row>
    <row r="4314" customFormat="false" ht="17.15" hidden="false" customHeight="false" outlineLevel="0" collapsed="false">
      <c r="A4314" s="0" t="s">
        <v>808</v>
      </c>
      <c r="B4314" s="0" t="s">
        <v>95</v>
      </c>
      <c r="D4314" s="6" t="n">
        <f aca="false">Sens!D4289</f>
        <v>83.705</v>
      </c>
      <c r="E4314" s="6" t="n">
        <f aca="false">Sens!E4289</f>
        <v>95.049</v>
      </c>
      <c r="F4314" s="6" t="n">
        <f aca="false">Sens!F4289</f>
        <v>106.89238776686</v>
      </c>
      <c r="G4314" s="6" t="n">
        <f aca="false">Sens!G4289</f>
        <v>119.044168448684</v>
      </c>
      <c r="H4314" s="6" t="n">
        <f aca="false">Sens!H4289</f>
        <v>131.277359388781</v>
      </c>
      <c r="I4314" s="6" t="n">
        <f aca="false">Sens!I4289</f>
        <v>143.334028071957</v>
      </c>
      <c r="J4314" s="6" t="n">
        <f aca="false">Sens!J4289</f>
        <v>154.932702785465</v>
      </c>
      <c r="K4314" s="6" t="n">
        <f aca="false">Sens!K4289</f>
        <v>165.777991980448</v>
      </c>
    </row>
    <row r="4315" customFormat="false" ht="17.15" hidden="false" customHeight="false" outlineLevel="0" collapsed="false">
      <c r="A4315" s="0" t="s">
        <v>809</v>
      </c>
      <c r="B4315" s="0" t="s">
        <v>95</v>
      </c>
      <c r="D4315" s="6" t="n">
        <f aca="false">Sens!D4288</f>
        <v>0.9</v>
      </c>
      <c r="E4315" s="6" t="n">
        <f aca="false">Sens!E4288</f>
        <v>5.25</v>
      </c>
      <c r="F4315" s="6" t="n">
        <f aca="false">Sens!F4288</f>
        <v>11.25</v>
      </c>
      <c r="G4315" s="6" t="n">
        <f aca="false">Sens!G4288</f>
        <v>15.75</v>
      </c>
      <c r="H4315" s="6" t="n">
        <f aca="false">Sens!H4288</f>
        <v>20.25</v>
      </c>
      <c r="I4315" s="6" t="n">
        <f aca="false">Sens!I4288</f>
        <v>23.625</v>
      </c>
      <c r="J4315" s="6" t="n">
        <f aca="false">Sens!J4288</f>
        <v>25.875</v>
      </c>
      <c r="K4315" s="6" t="n">
        <f aca="false">Sens!K4288</f>
        <v>28.125</v>
      </c>
    </row>
    <row r="4316" customFormat="false" ht="15" hidden="false" customHeight="false" outlineLevel="0" collapsed="false">
      <c r="A4316" s="0" t="s">
        <v>789</v>
      </c>
      <c r="B4316" s="0" t="s">
        <v>95</v>
      </c>
      <c r="D4316" s="6" t="n">
        <f aca="false">Sens!D4292</f>
        <v>35.391</v>
      </c>
      <c r="E4316" s="6" t="n">
        <f aca="false">Sens!E4292</f>
        <v>37.285</v>
      </c>
      <c r="F4316" s="6" t="n">
        <f aca="false">Sens!F4292</f>
        <v>39.0720834331704</v>
      </c>
      <c r="G4316" s="6" t="n">
        <f aca="false">Sens!G4292</f>
        <v>40.726562953769</v>
      </c>
      <c r="H4316" s="6" t="n">
        <f aca="false">Sens!H4292</f>
        <v>42.2235987259198</v>
      </c>
      <c r="I4316" s="6" t="n">
        <f aca="false">Sens!I4292</f>
        <v>43.5397988077414</v>
      </c>
      <c r="J4316" s="6" t="n">
        <f aca="false">Sens!J4292</f>
        <v>44.653811225693</v>
      </c>
      <c r="K4316" s="6" t="n">
        <f aca="false">Sens!K4292</f>
        <v>45.5468874502068</v>
      </c>
    </row>
    <row r="4317" customFormat="false" ht="15" hidden="false" customHeight="false" outlineLevel="0" collapsed="false">
      <c r="A4317" s="0" t="s">
        <v>790</v>
      </c>
      <c r="B4317" s="0" t="s">
        <v>95</v>
      </c>
      <c r="D4317" s="6" t="n">
        <f aca="false">Sens!D4294</f>
        <v>18.417</v>
      </c>
      <c r="E4317" s="6" t="n">
        <f aca="false">Sens!E4294</f>
        <v>20.345</v>
      </c>
      <c r="F4317" s="6" t="n">
        <f aca="false">Sens!F4294</f>
        <v>22.3572203267814</v>
      </c>
      <c r="G4317" s="6" t="n">
        <f aca="false">Sens!G4294</f>
        <v>24.4392124437232</v>
      </c>
      <c r="H4317" s="6" t="n">
        <f aca="false">Sens!H4294</f>
        <v>26.5738052080665</v>
      </c>
      <c r="I4317" s="6" t="n">
        <f aca="false">Sens!I4294</f>
        <v>28.7412169166967</v>
      </c>
      <c r="J4317" s="6" t="n">
        <f aca="false">Sens!J4294</f>
        <v>30.9192545395413</v>
      </c>
      <c r="K4317" s="6" t="n">
        <f aca="false">Sens!K4294</f>
        <v>33.0836023573092</v>
      </c>
    </row>
    <row r="4318" customFormat="false" ht="15" hidden="false" customHeight="false" outlineLevel="0" collapsed="false">
      <c r="A4318" s="0" t="s">
        <v>791</v>
      </c>
      <c r="B4318" s="0" t="s">
        <v>95</v>
      </c>
      <c r="D4318" s="6" t="n">
        <f aca="false">Sens!D4296</f>
        <v>7.76</v>
      </c>
      <c r="E4318" s="6" t="n">
        <f aca="false">Sens!E4296</f>
        <v>8.26</v>
      </c>
      <c r="F4318" s="6" t="n">
        <f aca="false">Sens!F4296</f>
        <v>8.79988041237113</v>
      </c>
      <c r="G4318" s="6" t="n">
        <f aca="false">Sens!G4296</f>
        <v>9.38321269125306</v>
      </c>
      <c r="H4318" s="6" t="n">
        <f aca="false">Sens!H4296</f>
        <v>10.0139193587476</v>
      </c>
      <c r="I4318" s="6" t="n">
        <f aca="false">Sens!I4296</f>
        <v>10.6963111830911</v>
      </c>
      <c r="J4318" s="6" t="n">
        <f aca="false">Sens!J4296</f>
        <v>11.4351285534696</v>
      </c>
      <c r="K4318" s="6" t="n">
        <f aca="false">Sens!K4296</f>
        <v>12.2355875522124</v>
      </c>
    </row>
    <row r="4319" customFormat="false" ht="15" hidden="false" customHeight="false" outlineLevel="0" collapsed="false">
      <c r="A4319" s="0" t="s">
        <v>626</v>
      </c>
      <c r="B4319" s="0" t="s">
        <v>95</v>
      </c>
      <c r="D4319" s="6" t="n">
        <f aca="false">Sens!D4298</f>
        <v>218.783</v>
      </c>
      <c r="E4319" s="6" t="n">
        <f aca="false">Sens!E4298</f>
        <v>268.127</v>
      </c>
      <c r="F4319" s="6" t="n">
        <f aca="false">Sens!F4298</f>
        <v>337.183940907051</v>
      </c>
      <c r="G4319" s="6" t="n">
        <f aca="false">Sens!G4298</f>
        <v>417.740670881892</v>
      </c>
      <c r="H4319" s="6" t="n">
        <f aca="false">Sens!H4298</f>
        <v>504.396275281385</v>
      </c>
      <c r="I4319" s="6" t="n">
        <f aca="false">Sens!I4298</f>
        <v>583.30944694442</v>
      </c>
      <c r="J4319" s="6" t="n">
        <f aca="false">Sens!J4298</f>
        <v>659.030670910223</v>
      </c>
      <c r="K4319" s="6" t="n">
        <f aca="false">Sens!K4298</f>
        <v>731.282304875998</v>
      </c>
    </row>
    <row r="4320" customFormat="false" ht="15" hidden="false" customHeight="false" outlineLevel="0" collapsed="false">
      <c r="A4320" s="0" t="s">
        <v>792</v>
      </c>
      <c r="B4320" s="0" t="s">
        <v>95</v>
      </c>
      <c r="D4320" s="6" t="n">
        <f aca="false">Sens!D4299</f>
        <v>22.171</v>
      </c>
      <c r="E4320" s="6" t="n">
        <f aca="false">Sens!E4299</f>
        <v>24.835</v>
      </c>
      <c r="F4320" s="6" t="n">
        <f aca="false">Sens!F4299</f>
        <v>27.6114901218559</v>
      </c>
      <c r="G4320" s="6" t="n">
        <f aca="false">Sens!G4299</f>
        <v>30.4675667338515</v>
      </c>
      <c r="H4320" s="6" t="n">
        <f aca="false">Sens!H4299</f>
        <v>33.3643766955789</v>
      </c>
      <c r="I4320" s="6" t="n">
        <f aca="false">Sens!I4299</f>
        <v>36.2577016533691</v>
      </c>
      <c r="J4320" s="6" t="n">
        <f aca="false">Sens!J4299</f>
        <v>39.0988367952171</v>
      </c>
      <c r="K4320" s="6" t="n">
        <f aca="false">Sens!K4299</f>
        <v>41.8357553708823</v>
      </c>
    </row>
    <row r="4321" customFormat="false" ht="15" hidden="false" customHeight="false" outlineLevel="0" collapsed="false">
      <c r="A4321" s="0" t="s">
        <v>793</v>
      </c>
      <c r="B4321" s="0" t="s">
        <v>95</v>
      </c>
      <c r="D4321" s="6" t="n">
        <f aca="false">Sens!D4301</f>
        <v>23.455</v>
      </c>
      <c r="E4321" s="6" t="n">
        <f aca="false">Sens!E4301</f>
        <v>21.79</v>
      </c>
      <c r="F4321" s="6" t="n">
        <f aca="false">Sens!F4301</f>
        <v>20.5736277908051</v>
      </c>
      <c r="G4321" s="6" t="n">
        <f aca="false">Sens!G4301</f>
        <v>19.7371452817919</v>
      </c>
      <c r="H4321" s="6" t="n">
        <f aca="false">Sens!H4301</f>
        <v>19.2339764043138</v>
      </c>
      <c r="I4321" s="6" t="n">
        <f aca="false">Sens!I4301</f>
        <v>19.0353086852681</v>
      </c>
      <c r="J4321" s="6" t="n">
        <f aca="false">Sens!J4301</f>
        <v>19.1273539319129</v>
      </c>
      <c r="K4321" s="6" t="n">
        <f aca="false">Sens!K4301</f>
        <v>19.5099010105511</v>
      </c>
    </row>
    <row r="4322" customFormat="false" ht="15" hidden="false" customHeight="false" outlineLevel="0" collapsed="false">
      <c r="A4322" s="0" t="s">
        <v>794</v>
      </c>
      <c r="B4322" s="0" t="s">
        <v>95</v>
      </c>
      <c r="D4322" s="6" t="n">
        <f aca="false">Sens!D4303</f>
        <v>17.315</v>
      </c>
      <c r="E4322" s="6" t="n">
        <f aca="false">Sens!E4303</f>
        <v>17.087</v>
      </c>
      <c r="F4322" s="6" t="n">
        <f aca="false">Sens!F4303</f>
        <v>16.9564585436519</v>
      </c>
      <c r="G4322" s="6" t="n">
        <f aca="false">Sens!G4303</f>
        <v>16.9206490624268</v>
      </c>
      <c r="H4322" s="6" t="n">
        <f aca="false">Sens!H4303</f>
        <v>16.9784519149849</v>
      </c>
      <c r="I4322" s="6" t="n">
        <f aca="false">Sens!I4303</f>
        <v>17.1303084701817</v>
      </c>
      <c r="J4322" s="6" t="n">
        <f aca="false">Sens!J4303</f>
        <v>17.3782189407267</v>
      </c>
      <c r="K4322" s="6" t="n">
        <f aca="false">Sens!K4303</f>
        <v>17.7257833195413</v>
      </c>
    </row>
    <row r="4323" customFormat="false" ht="15" hidden="false" customHeight="false" outlineLevel="0" collapsed="false">
      <c r="A4323" s="0" t="s">
        <v>640</v>
      </c>
      <c r="B4323" s="0" t="s">
        <v>95</v>
      </c>
      <c r="D4323" s="6" t="n">
        <f aca="false">Sens!D4305</f>
        <v>62.941</v>
      </c>
      <c r="E4323" s="6" t="n">
        <f aca="false">Sens!E4305</f>
        <v>63.712</v>
      </c>
      <c r="F4323" s="6" t="n">
        <f aca="false">Sens!F4305</f>
        <v>65.1415764563129</v>
      </c>
      <c r="G4323" s="6" t="n">
        <f aca="false">Sens!G4305</f>
        <v>67.1253610780702</v>
      </c>
      <c r="H4323" s="6" t="n">
        <f aca="false">Sens!H4305</f>
        <v>69.5768050148776</v>
      </c>
      <c r="I4323" s="6" t="n">
        <f aca="false">Sens!I4305</f>
        <v>72.4233188088189</v>
      </c>
      <c r="J4323" s="6" t="n">
        <f aca="false">Sens!J4305</f>
        <v>75.6044096678567</v>
      </c>
      <c r="K4323" s="6" t="n">
        <f aca="false">Sens!K4305</f>
        <v>79.0714397009747</v>
      </c>
    </row>
    <row r="4324" customFormat="false" ht="15" hidden="false" customHeight="false" outlineLevel="0" collapsed="false">
      <c r="A4324" s="1" t="s">
        <v>810</v>
      </c>
      <c r="B4324" s="0" t="s">
        <v>95</v>
      </c>
      <c r="D4324" s="6" t="n">
        <f aca="false">Sens!D4306</f>
        <v>281.724</v>
      </c>
      <c r="E4324" s="6" t="n">
        <f aca="false">Sens!E4306</f>
        <v>331.839</v>
      </c>
      <c r="F4324" s="6" t="n">
        <f aca="false">Sens!F4306</f>
        <v>402.325517363364</v>
      </c>
      <c r="G4324" s="6" t="n">
        <f aca="false">Sens!G4306</f>
        <v>484.866031959962</v>
      </c>
      <c r="H4324" s="6" t="n">
        <f aca="false">Sens!H4306</f>
        <v>573.973080296262</v>
      </c>
      <c r="I4324" s="6" t="n">
        <f aca="false">Sens!I4306</f>
        <v>655.732765753239</v>
      </c>
      <c r="J4324" s="6" t="n">
        <f aca="false">Sens!J4306</f>
        <v>734.635080578079</v>
      </c>
      <c r="K4324" s="6" t="n">
        <f aca="false">Sens!K4306</f>
        <v>810.353744576972</v>
      </c>
    </row>
    <row r="4325" customFormat="false" ht="15" hidden="false" customHeight="false" outlineLevel="0" collapsed="false">
      <c r="A4325" s="1" t="s">
        <v>811</v>
      </c>
      <c r="B4325" s="0" t="s">
        <v>126</v>
      </c>
      <c r="E4325" s="7" t="n">
        <f aca="false">Sens!E4324/Sens!D4324-1</f>
        <v>0.177886867998467</v>
      </c>
      <c r="F4325" s="7" t="n">
        <f aca="false">Sens!F4324/Sens!E4324-1</f>
        <v>0.212411794163325</v>
      </c>
      <c r="G4325" s="7" t="n">
        <f aca="false">Sens!G4324/Sens!F4324-1</f>
        <v>0.205158537140589</v>
      </c>
      <c r="H4325" s="7" t="n">
        <f aca="false">Sens!H4324/Sens!G4324-1</f>
        <v>0.183776636148556</v>
      </c>
      <c r="I4325" s="7" t="n">
        <f aca="false">Sens!I4324/Sens!H4324-1</f>
        <v>0.142445156861321</v>
      </c>
      <c r="J4325" s="7" t="n">
        <f aca="false">Sens!J4324/Sens!I4324-1</f>
        <v>0.120326936437598</v>
      </c>
      <c r="K4325" s="7" t="n">
        <f aca="false">Sens!K4324/Sens!J4324-1</f>
        <v>0.103069763479455</v>
      </c>
    </row>
    <row r="4326" customFormat="false" ht="17.15" hidden="false" customHeight="false" outlineLevel="0" collapsed="false">
      <c r="A4326" s="22" t="s">
        <v>812</v>
      </c>
      <c r="B4326" s="28" t="s">
        <v>95</v>
      </c>
      <c r="C4326" s="28"/>
      <c r="D4326" s="23" t="n">
        <f aca="false">(Sens!D4319+Sens!D4323-Sens!D4324)+(Sens!D4311+Sens!D4312-Sens!D4310)+(Sens!D4314+Sens!D4315-Sens!D4313)+(Sens!D4324-Q!L18)</f>
        <v>0</v>
      </c>
      <c r="E4326" s="23" t="n">
        <f aca="false">(Sens!E4319+Sens!E4323-Sens!E4324)+(Sens!E4311+Sens!E4312-Sens!E4310)+(Sens!E4314+Sens!E4315-Sens!E4313)+(Sens!E4324-Q!M18)</f>
        <v>0</v>
      </c>
      <c r="F4326" s="23" t="n">
        <f aca="false">(Sens!F4319+Sens!F4323-Sens!F4324)+(Sens!F4311+Sens!F4312-Sens!F4310)+(Sens!F4314+Sens!F4315-Sens!F4313)</f>
        <v>0</v>
      </c>
      <c r="G4326" s="23" t="n">
        <f aca="false">(Sens!G4319+Sens!G4323-Sens!G4324)+(Sens!G4311+Sens!G4312-Sens!G4310)+(Sens!G4314+Sens!G4315-Sens!G4313)</f>
        <v>0</v>
      </c>
      <c r="H4326" s="23" t="n">
        <f aca="false">(Sens!H4319+Sens!H4323-Sens!H4324)+(Sens!H4311+Sens!H4312-Sens!H4310)+(Sens!H4314+Sens!H4315-Sens!H4313)</f>
        <v>0</v>
      </c>
      <c r="I4326" s="23" t="n">
        <f aca="false">(Sens!I4319+Sens!I4323-Sens!I4324)+(Sens!I4311+Sens!I4312-Sens!I4310)+(Sens!I4314+Sens!I4315-Sens!I4313)</f>
        <v>0</v>
      </c>
      <c r="J4326" s="23" t="n">
        <f aca="false">(Sens!J4319+Sens!J4323-Sens!J4324)+(Sens!J4311+Sens!J4312-Sens!J4310)+(Sens!J4314+Sens!J4315-Sens!J4313)</f>
        <v>0</v>
      </c>
      <c r="K4326" s="23" t="n">
        <f aca="false">(Sens!K4319+Sens!K4323-Sens!K4324)+(Sens!K4311+Sens!K4312-Sens!K4310)+(Sens!K4314+Sens!K4315-Sens!K4313)</f>
        <v>0</v>
      </c>
    </row>
    <row r="4327" customFormat="false" ht="17.15" hidden="false" customHeight="false" outlineLevel="0" collapsed="false">
      <c r="A4327" s="0" t="s">
        <v>813</v>
      </c>
      <c r="B4327" s="0" t="s">
        <v>126</v>
      </c>
      <c r="E4327" s="7" t="n">
        <f aca="false">(Q!M21+Sens!E4264+Sens!E4265+Sens!E4266+Sens!E4279-Sens!E4262)/(Q!M5-Sens!E4262)</f>
        <v>0.570957350878296</v>
      </c>
      <c r="F4327" s="7" t="n">
        <f aca="false">Sens!$E$4327+dm_seg</f>
        <v>0.570957350878296</v>
      </c>
      <c r="G4327" s="7" t="n">
        <f aca="false">Sens!$E$4327+dm_seg</f>
        <v>0.570957350878296</v>
      </c>
      <c r="H4327" s="7" t="n">
        <f aca="false">Sens!$E$4327+dm_seg</f>
        <v>0.570957350878296</v>
      </c>
      <c r="I4327" s="7" t="n">
        <f aca="false">Sens!$E$4327+dm_seg</f>
        <v>0.570957350878296</v>
      </c>
      <c r="J4327" s="7" t="n">
        <f aca="false">Sens!$E$4327+dm_seg</f>
        <v>0.570957350878296</v>
      </c>
      <c r="K4327" s="7" t="n">
        <f aca="false">Sens!$E$4327+dm_seg</f>
        <v>0.570957350878296</v>
      </c>
      <c r="L4327" s="11" t="s">
        <v>814</v>
      </c>
    </row>
    <row r="4328" customFormat="false" ht="17.15" hidden="false" customHeight="false" outlineLevel="0" collapsed="false">
      <c r="A4328" s="0" t="s">
        <v>654</v>
      </c>
      <c r="B4328" s="0" t="s">
        <v>95</v>
      </c>
      <c r="D4328" s="6" t="n">
        <f aca="false">Q!L21</f>
        <v>110.814</v>
      </c>
      <c r="E4328" s="6" t="n">
        <f aca="false">Q!M21</f>
        <v>136.365</v>
      </c>
      <c r="F4328" s="6" t="n">
        <f aca="false">Sens!F4327*(Sens!F4298-Sens!F4262)+Sens!F4262-(Sens!F4264+Sens!F4265+Sens!F4266)-Sens!F4279</f>
        <v>160.83208056283</v>
      </c>
      <c r="G4328" s="6" t="n">
        <f aca="false">Sens!G4327*(Sens!G4298-Sens!G4262)+Sens!G4262-(Sens!G4264+Sens!G4265+Sens!G4266)-Sens!G4279</f>
        <v>187.802118149269</v>
      </c>
      <c r="H4328" s="6" t="n">
        <f aca="false">Sens!H4327*(Sens!H4298-Sens!H4262)+Sens!H4262-(Sens!H4264+Sens!H4265+Sens!H4266)-Sens!H4279</f>
        <v>219.618943800192</v>
      </c>
      <c r="I4328" s="6" t="n">
        <f aca="false">Sens!I4327*(Sens!I4298-Sens!I4262)+Sens!I4262-(Sens!I4264+Sens!I4265+Sens!I4266)-Sens!I4279</f>
        <v>243.492607642109</v>
      </c>
      <c r="J4328" s="6" t="n">
        <f aca="false">Sens!J4327*(Sens!J4298-Sens!J4262)+Sens!J4262-(Sens!J4264+Sens!J4265+Sens!J4266)-Sens!J4279</f>
        <v>264.59954355751</v>
      </c>
      <c r="K4328" s="6" t="n">
        <f aca="false">Sens!K4327*(Sens!K4298-Sens!K4262)+Sens!K4262-(Sens!K4264+Sens!K4265+Sens!K4266)-Sens!K4279</f>
        <v>282.454395648021</v>
      </c>
      <c r="L4328" s="1" t="s">
        <v>815</v>
      </c>
    </row>
    <row r="4329" customFormat="false" ht="17.15" hidden="false" customHeight="false" outlineLevel="0" collapsed="false">
      <c r="A4329" s="0" t="s">
        <v>816</v>
      </c>
      <c r="B4329" s="0" t="s">
        <v>126</v>
      </c>
      <c r="E4329" s="7" t="n">
        <f aca="false">Q!M22/Q!M12</f>
        <v>0.296207935710698</v>
      </c>
      <c r="F4329" s="7" t="n">
        <f aca="false">Sens!$E$4329+dm_seg</f>
        <v>0.296207935710698</v>
      </c>
      <c r="G4329" s="7" t="n">
        <f aca="false">Sens!$E$4329+dm_seg</f>
        <v>0.296207935710698</v>
      </c>
      <c r="H4329" s="7" t="n">
        <f aca="false">Sens!$E$4329+dm_seg</f>
        <v>0.296207935710698</v>
      </c>
      <c r="I4329" s="7" t="n">
        <f aca="false">Sens!$E$4329+dm_seg</f>
        <v>0.296207935710698</v>
      </c>
      <c r="J4329" s="7" t="n">
        <f aca="false">Sens!$E$4329+dm_seg</f>
        <v>0.296207935710698</v>
      </c>
      <c r="K4329" s="7" t="n">
        <f aca="false">Sens!$E$4329+dm_seg</f>
        <v>0.296207935710698</v>
      </c>
      <c r="L4329" s="11" t="s">
        <v>817</v>
      </c>
    </row>
    <row r="4330" customFormat="false" ht="17.15" hidden="false" customHeight="false" outlineLevel="0" collapsed="false">
      <c r="A4330" s="0" t="s">
        <v>656</v>
      </c>
      <c r="B4330" s="0" t="s">
        <v>95</v>
      </c>
      <c r="D4330" s="6" t="n">
        <f aca="false">Q!L22</f>
        <v>17.714</v>
      </c>
      <c r="E4330" s="6" t="n">
        <f aca="false">Q!M22</f>
        <v>18.872</v>
      </c>
      <c r="F4330" s="6" t="n">
        <f aca="false">Sens!F4305*Sens!F4329</f>
        <v>19.2954518910651</v>
      </c>
      <c r="G4330" s="6" t="n">
        <f aca="false">Sens!G4305*Sens!G4329</f>
        <v>19.8830646387704</v>
      </c>
      <c r="H4330" s="6" t="n">
        <f aca="false">Sens!H4305*Sens!H4329</f>
        <v>20.6092017868026</v>
      </c>
      <c r="I4330" s="6" t="n">
        <f aca="false">Sens!I4305*Sens!I4329</f>
        <v>21.452361761678</v>
      </c>
      <c r="J4330" s="6" t="n">
        <f aca="false">Sens!J4305*Sens!J4329</f>
        <v>22.3946261183418</v>
      </c>
      <c r="K4330" s="6" t="n">
        <f aca="false">Sens!K4305*Sens!K4329</f>
        <v>23.4215879274986</v>
      </c>
    </row>
    <row r="4331" customFormat="false" ht="15" hidden="false" customHeight="false" outlineLevel="0" collapsed="false">
      <c r="A4331" s="1" t="s">
        <v>818</v>
      </c>
      <c r="B4331" s="0" t="s">
        <v>95</v>
      </c>
      <c r="D4331" s="6" t="n">
        <f aca="false">Sens!D4328+Sens!D4330</f>
        <v>128.528</v>
      </c>
      <c r="E4331" s="6" t="n">
        <f aca="false">Sens!E4328+Sens!E4330</f>
        <v>155.237</v>
      </c>
      <c r="F4331" s="6" t="n">
        <f aca="false">Sens!F4328+Sens!F4330</f>
        <v>180.127532453896</v>
      </c>
      <c r="G4331" s="6" t="n">
        <f aca="false">Sens!G4328+Sens!G4330</f>
        <v>207.68518278804</v>
      </c>
      <c r="H4331" s="6" t="n">
        <f aca="false">Sens!H4328+Sens!H4330</f>
        <v>240.228145586995</v>
      </c>
      <c r="I4331" s="6" t="n">
        <f aca="false">Sens!I4328+Sens!I4330</f>
        <v>264.944969403787</v>
      </c>
      <c r="J4331" s="6" t="n">
        <f aca="false">Sens!J4328+Sens!J4330</f>
        <v>286.994169675852</v>
      </c>
      <c r="K4331" s="6" t="n">
        <f aca="false">Sens!K4328+Sens!K4330</f>
        <v>305.875983575519</v>
      </c>
    </row>
    <row r="4332" customFormat="false" ht="15" hidden="false" customHeight="false" outlineLevel="0" collapsed="false">
      <c r="A4332" s="22" t="s">
        <v>819</v>
      </c>
      <c r="B4332" s="28" t="s">
        <v>95</v>
      </c>
      <c r="C4332" s="28"/>
      <c r="D4332" s="23" t="n">
        <f aca="false">Sens!D4331-Q!L23</f>
        <v>0</v>
      </c>
      <c r="E4332" s="23" t="n">
        <f aca="false">Sens!E4331-Q!M23</f>
        <v>0</v>
      </c>
      <c r="F4332" s="28"/>
      <c r="G4332" s="28"/>
      <c r="H4332" s="28"/>
      <c r="I4332" s="28"/>
      <c r="J4332" s="28"/>
      <c r="K4332" s="28"/>
    </row>
    <row r="4333" customFormat="false" ht="15" hidden="false" customHeight="false" outlineLevel="0" collapsed="false">
      <c r="A4333" s="1" t="s">
        <v>820</v>
      </c>
      <c r="B4333" s="0" t="s">
        <v>126</v>
      </c>
      <c r="D4333" s="7" t="n">
        <f aca="false">Sens!D4331/Sens!D4324</f>
        <v>0.456219562408598</v>
      </c>
      <c r="E4333" s="7" t="n">
        <f aca="false">Sens!E4331/Sens!E4324</f>
        <v>0.467808184089272</v>
      </c>
      <c r="F4333" s="7" t="n">
        <f aca="false">Sens!F4331/Sens!F4324</f>
        <v>0.447715903366904</v>
      </c>
      <c r="G4333" s="7" t="n">
        <f aca="false">Sens!G4331/Sens!G4324</f>
        <v>0.428335187656926</v>
      </c>
      <c r="H4333" s="7" t="n">
        <f aca="false">Sens!H4331/Sens!H4324</f>
        <v>0.418535561742719</v>
      </c>
      <c r="I4333" s="7" t="n">
        <f aca="false">Sens!I4331/Sens!I4324</f>
        <v>0.404044121692539</v>
      </c>
      <c r="J4333" s="7" t="n">
        <f aca="false">Sens!J4331/Sens!J4324</f>
        <v>0.390662217559796</v>
      </c>
      <c r="K4333" s="7" t="n">
        <f aca="false">Sens!K4331/Sens!K4324</f>
        <v>0.377459826183928</v>
      </c>
    </row>
    <row r="4334" customFormat="false" ht="17.15" hidden="false" customHeight="false" outlineLevel="0" collapsed="false">
      <c r="A4334" s="1" t="s">
        <v>821</v>
      </c>
      <c r="B4334" s="0" t="s">
        <v>95</v>
      </c>
      <c r="E4334" s="6" t="n">
        <f aca="false">Sens!E4279</f>
        <v>16.3054059770833</v>
      </c>
      <c r="F4334" s="6" t="n">
        <f aca="false">Sens!F4279</f>
        <v>34.7467854558698</v>
      </c>
      <c r="G4334" s="6" t="n">
        <f aca="false">Sens!G4279</f>
        <v>60.5192332603396</v>
      </c>
      <c r="H4334" s="6" t="n">
        <f aca="false">Sens!H4279</f>
        <v>87.7548159931396</v>
      </c>
      <c r="I4334" s="6" t="n">
        <f aca="false">Sens!I4279</f>
        <v>116.009681741123</v>
      </c>
      <c r="J4334" s="6" t="n">
        <f aca="false">Sens!J4279</f>
        <v>145.236777958273</v>
      </c>
      <c r="K4334" s="6" t="n">
        <f aca="false">Sens!K4279</f>
        <v>175.75142263459</v>
      </c>
    </row>
    <row r="4335" customFormat="false" ht="17.15" hidden="false" customHeight="false" outlineLevel="0" collapsed="false">
      <c r="A4335" s="1" t="s">
        <v>822</v>
      </c>
      <c r="B4335" s="0" t="s">
        <v>95</v>
      </c>
      <c r="E4335" s="6" t="n">
        <f aca="false">Sens!E4355</f>
        <v>22.2285940229167</v>
      </c>
      <c r="F4335" s="6" t="n">
        <f aca="false">Sens!F4355</f>
        <v>23.5561693435813</v>
      </c>
      <c r="G4335" s="6" t="n">
        <f aca="false">Sens!G4355</f>
        <v>25.2933417662621</v>
      </c>
      <c r="H4335" s="6" t="n">
        <f aca="false">Sens!H4355</f>
        <v>27.4076589540448</v>
      </c>
      <c r="I4335" s="6" t="n">
        <f aca="false">Sens!I4355</f>
        <v>29.8379830898047</v>
      </c>
      <c r="J4335" s="6" t="n">
        <f aca="false">Sens!J4355</f>
        <v>32.5060261058616</v>
      </c>
      <c r="K4335" s="6" t="n">
        <f aca="false">Sens!K4355</f>
        <v>35.3285437694749</v>
      </c>
    </row>
    <row r="4336" customFormat="false" ht="17.15" hidden="false" customHeight="false" outlineLevel="0" collapsed="false">
      <c r="A4336" s="1" t="s">
        <v>823</v>
      </c>
      <c r="B4336" s="0" t="s">
        <v>95</v>
      </c>
      <c r="D4336" s="6" t="n">
        <f aca="false">Q!L27</f>
        <v>-4.901</v>
      </c>
      <c r="E4336" s="6" t="n">
        <f aca="false">Q!M27</f>
        <v>10.697</v>
      </c>
      <c r="F4336" s="6" t="n">
        <f aca="false">oie_f</f>
        <v>-0.4</v>
      </c>
      <c r="G4336" s="6" t="n">
        <f aca="false">oie_f</f>
        <v>-0.4</v>
      </c>
      <c r="H4336" s="6" t="n">
        <f aca="false">oie_f</f>
        <v>-0.4</v>
      </c>
      <c r="I4336" s="6" t="n">
        <f aca="false">oie_f</f>
        <v>-0.4</v>
      </c>
      <c r="J4336" s="6" t="n">
        <f aca="false">oie_f</f>
        <v>-0.4</v>
      </c>
      <c r="K4336" s="6" t="n">
        <f aca="false">oie_f</f>
        <v>-0.4</v>
      </c>
      <c r="L4336" s="11" t="s">
        <v>824</v>
      </c>
    </row>
    <row r="4337" customFormat="false" ht="15" hidden="false" customHeight="false" outlineLevel="0" collapsed="false">
      <c r="A4337" s="1" t="s">
        <v>666</v>
      </c>
      <c r="B4337" s="0" t="s">
        <v>95</v>
      </c>
      <c r="D4337" s="6" t="n">
        <f aca="false">Sens!D4331+Sens!D4336</f>
        <v>123.627</v>
      </c>
      <c r="E4337" s="6" t="n">
        <f aca="false">Sens!E4331+Sens!E4336</f>
        <v>165.934</v>
      </c>
      <c r="F4337" s="6" t="n">
        <f aca="false">Sens!F4331+Sens!F4336</f>
        <v>179.727532453896</v>
      </c>
      <c r="G4337" s="6" t="n">
        <f aca="false">Sens!G4331+Sens!G4336</f>
        <v>207.28518278804</v>
      </c>
      <c r="H4337" s="6" t="n">
        <f aca="false">Sens!H4331+Sens!H4336</f>
        <v>239.828145586995</v>
      </c>
      <c r="I4337" s="6" t="n">
        <f aca="false">Sens!I4331+Sens!I4336</f>
        <v>264.544969403787</v>
      </c>
      <c r="J4337" s="6" t="n">
        <f aca="false">Sens!J4331+Sens!J4336</f>
        <v>286.594169675852</v>
      </c>
      <c r="K4337" s="6" t="n">
        <f aca="false">Sens!K4331+Sens!K4336</f>
        <v>305.475983575519</v>
      </c>
    </row>
    <row r="4338" customFormat="false" ht="15" hidden="false" customHeight="false" outlineLevel="0" collapsed="false">
      <c r="A4338" s="1" t="s">
        <v>668</v>
      </c>
      <c r="B4338" s="0" t="s">
        <v>95</v>
      </c>
      <c r="D4338" s="6" t="n">
        <f aca="false">Q!L29</f>
        <v>21.795</v>
      </c>
      <c r="E4338" s="6" t="n">
        <f aca="false">Q!M29</f>
        <v>32.185</v>
      </c>
      <c r="F4338" s="6" t="n">
        <f aca="false">Sens!F4337*tax_f</f>
        <v>35.9455064907791</v>
      </c>
      <c r="G4338" s="6" t="n">
        <f aca="false">Sens!G4337*tax_f</f>
        <v>41.4570365576079</v>
      </c>
      <c r="H4338" s="6" t="n">
        <f aca="false">Sens!H4337*tax_f</f>
        <v>47.9656291173989</v>
      </c>
      <c r="I4338" s="6" t="n">
        <f aca="false">Sens!I4337*tax_f</f>
        <v>52.9089938807574</v>
      </c>
      <c r="J4338" s="6" t="n">
        <f aca="false">Sens!J4337*tax_f</f>
        <v>57.3188339351704</v>
      </c>
      <c r="K4338" s="6" t="n">
        <f aca="false">Sens!K4337*tax_f</f>
        <v>61.0951967151039</v>
      </c>
    </row>
    <row r="4339" customFormat="false" ht="15" hidden="false" customHeight="false" outlineLevel="0" collapsed="false">
      <c r="A4339" s="1" t="s">
        <v>825</v>
      </c>
      <c r="B4339" s="0" t="s">
        <v>95</v>
      </c>
      <c r="D4339" s="6" t="n">
        <f aca="false">Sens!D4337-Sens!D4338</f>
        <v>101.832</v>
      </c>
      <c r="E4339" s="6" t="n">
        <f aca="false">Sens!E4337-Sens!E4338</f>
        <v>133.749</v>
      </c>
      <c r="F4339" s="6" t="n">
        <f aca="false">Sens!F4337-Sens!F4338</f>
        <v>143.782025963116</v>
      </c>
      <c r="G4339" s="6" t="n">
        <f aca="false">Sens!G4337-Sens!G4338</f>
        <v>165.828146230432</v>
      </c>
      <c r="H4339" s="6" t="n">
        <f aca="false">Sens!H4337-Sens!H4338</f>
        <v>191.862516469596</v>
      </c>
      <c r="I4339" s="6" t="n">
        <f aca="false">Sens!I4337-Sens!I4338</f>
        <v>211.63597552303</v>
      </c>
      <c r="J4339" s="6" t="n">
        <f aca="false">Sens!J4337-Sens!J4338</f>
        <v>229.275335740682</v>
      </c>
      <c r="K4339" s="6" t="n">
        <f aca="false">Sens!K4337-Sens!K4338</f>
        <v>244.380786860415</v>
      </c>
    </row>
    <row r="4340" customFormat="false" ht="17.15" hidden="false" customHeight="false" outlineLevel="0" collapsed="false">
      <c r="A4340" s="1" t="s">
        <v>826</v>
      </c>
      <c r="B4340" s="1" t="s">
        <v>79</v>
      </c>
      <c r="D4340" s="18" t="n">
        <f aca="false">Q!L31</f>
        <v>7.465</v>
      </c>
      <c r="E4340" s="18" t="n">
        <f aca="false">Q!M31</f>
        <v>7.453</v>
      </c>
      <c r="F4340" s="18" t="n">
        <f aca="false">Sens!F4377</f>
        <v>7.4735</v>
      </c>
      <c r="G4340" s="18" t="n">
        <f aca="false">Sens!G4377</f>
        <v>7.51037589263088</v>
      </c>
      <c r="H4340" s="18" t="n">
        <f aca="false">Sens!H4377</f>
        <v>7.53000337111171</v>
      </c>
      <c r="I4340" s="18" t="n">
        <f aca="false">Sens!I4377</f>
        <v>7.54178420311903</v>
      </c>
      <c r="J4340" s="18" t="n">
        <f aca="false">Sens!J4377</f>
        <v>7.55602571423691</v>
      </c>
      <c r="K4340" s="18" t="n">
        <f aca="false">Sens!K4377</f>
        <v>7.57254563193865</v>
      </c>
    </row>
    <row r="4341" customFormat="false" ht="17.15" hidden="false" customHeight="false" outlineLevel="0" collapsed="false">
      <c r="A4341" s="0" t="s">
        <v>827</v>
      </c>
      <c r="B4341" s="0" t="s">
        <v>73</v>
      </c>
      <c r="D4341" s="8" t="n">
        <f aca="false">Sens!D4339/Sens!D4340</f>
        <v>13.641259209645</v>
      </c>
      <c r="E4341" s="8" t="n">
        <f aca="false">Sens!E4339/Sens!E4340</f>
        <v>17.9456594659869</v>
      </c>
      <c r="F4341" s="8" t="n">
        <f aca="false">Sens!F4339/Sens!F4340</f>
        <v>19.2389142922481</v>
      </c>
      <c r="G4341" s="8" t="n">
        <f aca="false">Sens!G4339/Sens!G4340</f>
        <v>22.0798730451216</v>
      </c>
      <c r="H4341" s="8" t="n">
        <f aca="false">Sens!H4339/Sens!H4340</f>
        <v>25.4797384561157</v>
      </c>
      <c r="I4341" s="8" t="n">
        <f aca="false">Sens!I4339/Sens!I4340</f>
        <v>28.0617914571865</v>
      </c>
      <c r="J4341" s="8" t="n">
        <f aca="false">Sens!J4339/Sens!J4340</f>
        <v>30.3433768507015</v>
      </c>
      <c r="K4341" s="8" t="n">
        <f aca="false">Sens!K4339/Sens!K4340</f>
        <v>32.2719464151781</v>
      </c>
      <c r="L4341" s="1" t="s">
        <v>828</v>
      </c>
    </row>
    <row r="4342" customFormat="false" ht="17.15" hidden="false" customHeight="false" outlineLevel="0" collapsed="false">
      <c r="A4342" s="0" t="s">
        <v>829</v>
      </c>
      <c r="B4342" s="0" t="s">
        <v>126</v>
      </c>
      <c r="E4342" s="7" t="n">
        <f aca="false">Sens!E4341/Sens!D4341-1</f>
        <v>0.315542736208578</v>
      </c>
      <c r="F4342" s="7" t="n">
        <f aca="false">Sens!F4341/Sens!E4341-1</f>
        <v>0.0720650488611152</v>
      </c>
      <c r="G4342" s="7" t="n">
        <f aca="false">Sens!G4341/Sens!F4341-1</f>
        <v>0.14766731166416</v>
      </c>
      <c r="H4342" s="7" t="n">
        <f aca="false">Sens!H4341/Sens!G4341-1</f>
        <v>0.153980297080795</v>
      </c>
      <c r="I4342" s="7" t="n">
        <f aca="false">Sens!I4341/Sens!H4341-1</f>
        <v>0.101337500206997</v>
      </c>
      <c r="J4342" s="7" t="n">
        <f aca="false">Sens!J4341/Sens!I4341-1</f>
        <v>0.081305763995716</v>
      </c>
      <c r="K4342" s="7" t="n">
        <f aca="false">Sens!K4341/Sens!J4341-1</f>
        <v>0.0635581719848044</v>
      </c>
    </row>
    <row r="4343" customFormat="false" ht="17.15" hidden="false" customHeight="false" outlineLevel="0" collapsed="false">
      <c r="A4343" s="0" t="s">
        <v>763</v>
      </c>
      <c r="B4343" s="0" t="s">
        <v>95</v>
      </c>
      <c r="E4343" s="6" t="n">
        <f aca="false">Sens!E4288</f>
        <v>5.25</v>
      </c>
      <c r="F4343" s="6" t="n">
        <f aca="false">Sens!F4288</f>
        <v>11.25</v>
      </c>
      <c r="G4343" s="6" t="n">
        <f aca="false">Sens!G4288</f>
        <v>15.75</v>
      </c>
      <c r="H4343" s="6" t="n">
        <f aca="false">Sens!H4288</f>
        <v>20.25</v>
      </c>
      <c r="I4343" s="6" t="n">
        <f aca="false">Sens!I4288</f>
        <v>23.625</v>
      </c>
      <c r="J4343" s="6" t="n">
        <f aca="false">Sens!J4288</f>
        <v>25.875</v>
      </c>
      <c r="K4343" s="6" t="n">
        <f aca="false">Sens!K4288</f>
        <v>28.125</v>
      </c>
    </row>
    <row r="4344" customFormat="false" ht="17.15" hidden="false" customHeight="false" outlineLevel="0" collapsed="false">
      <c r="A4344" s="0" t="s">
        <v>764</v>
      </c>
      <c r="B4344" s="0" t="s">
        <v>95</v>
      </c>
      <c r="E4344" s="6" t="n">
        <f aca="false">Sens!E4268+Sens!E4343*Sens!E4327-Sens!E4269-Sens!E4279</f>
        <v>2.1514866143068</v>
      </c>
      <c r="F4344" s="6" t="n">
        <f aca="false">Sens!F4268+Sens!F4343*Sens!F4327-Sens!F4269-Sens!F4279</f>
        <v>8.27140759573838</v>
      </c>
      <c r="G4344" s="6" t="n">
        <f aca="false">Sens!G4268+Sens!G4343*Sens!G4327-Sens!G4269-Sens!G4279</f>
        <v>16.1600162217337</v>
      </c>
      <c r="H4344" s="6" t="n">
        <f aca="false">Sens!H4268+Sens!H4343*Sens!H4327-Sens!H4269-Sens!H4279</f>
        <v>28.7132641213548</v>
      </c>
      <c r="I4344" s="6" t="n">
        <f aca="false">Sens!I4268+Sens!I4343*Sens!I4327-Sens!I4269-Sens!I4279</f>
        <v>33.8113425679299</v>
      </c>
      <c r="J4344" s="6" t="n">
        <f aca="false">Sens!J4268+Sens!J4343*Sens!J4327-Sens!J4269-Sens!J4279</f>
        <v>37.3814907089724</v>
      </c>
      <c r="K4344" s="6" t="n">
        <f aca="false">Sens!K4268+Sens!K4343*Sens!K4327-Sens!K4269-Sens!K4279</f>
        <v>39.715048996599</v>
      </c>
    </row>
    <row r="4345" customFormat="false" ht="17.15" hidden="false" customHeight="false" outlineLevel="0" collapsed="false">
      <c r="A4345" s="0" t="s">
        <v>765</v>
      </c>
      <c r="B4345" s="0" t="s">
        <v>95</v>
      </c>
      <c r="E4345" s="6" t="n">
        <f aca="false">Sens!E4251*(cxit_open+self_build*tk_cxfac)/1000*ai_net_open</f>
        <v>126.6980382</v>
      </c>
      <c r="F4345" s="6" t="n">
        <f aca="false">Sens!E4345+Sens!F4276-Sens!F4279</f>
        <v>260.646905514568</v>
      </c>
      <c r="G4345" s="6" t="n">
        <f aca="false">Sens!F4345+Sens!G4276-Sens!G4279</f>
        <v>383.701852737428</v>
      </c>
      <c r="H4345" s="6" t="n">
        <f aca="false">Sens!G4345+Sens!H4276-Sens!H4279</f>
        <v>484.027322654689</v>
      </c>
      <c r="I4345" s="6" t="n">
        <f aca="false">Sens!H4345+Sens!I4276-Sens!I4279</f>
        <v>586.356602170632</v>
      </c>
      <c r="J4345" s="6" t="n">
        <f aca="false">Sens!I4345+Sens!J4276-Sens!J4279</f>
        <v>674.896885136093</v>
      </c>
      <c r="K4345" s="6" t="n">
        <f aca="false">Sens!J4345+Sens!K4276-Sens!K4279</f>
        <v>778.001774451903</v>
      </c>
      <c r="L4345" s="1" t="s">
        <v>766</v>
      </c>
    </row>
    <row r="4346" customFormat="false" ht="17.15" hidden="false" customHeight="false" outlineLevel="0" collapsed="false">
      <c r="A4346" s="0" t="s">
        <v>767</v>
      </c>
      <c r="B4346" s="0" t="s">
        <v>126</v>
      </c>
      <c r="F4346" s="7" t="n">
        <f aca="false">Sens!F4344*(1-tax_f)/((Sens!E4345+Sens!F4345)/2)</f>
        <v>0.0341665803773436</v>
      </c>
      <c r="G4346" s="7" t="n">
        <f aca="false">Sens!G4344*(1-tax_f)/((Sens!F4345+Sens!G4345)/2)</f>
        <v>0.0401273776408242</v>
      </c>
      <c r="H4346" s="7" t="n">
        <f aca="false">Sens!H4344*(1-tax_f)/((Sens!G4345+Sens!H4345)/2)</f>
        <v>0.0529441949135886</v>
      </c>
      <c r="I4346" s="7" t="n">
        <f aca="false">Sens!I4344*(1-tax_f)/((Sens!H4345+Sens!I4345)/2)</f>
        <v>0.0505408824385291</v>
      </c>
      <c r="J4346" s="7" t="n">
        <f aca="false">Sens!J4344*(1-tax_f)/((Sens!I4345+Sens!J4345)/2)</f>
        <v>0.047421383358927</v>
      </c>
      <c r="K4346" s="7" t="n">
        <f aca="false">Sens!K4344*(1-tax_f)/((Sens!J4345+Sens!K4345)/2)</f>
        <v>0.0437360706304029</v>
      </c>
    </row>
    <row r="4347" customFormat="false" ht="17.15" hidden="false" customHeight="false" outlineLevel="0" collapsed="false">
      <c r="A4347" s="1" t="s">
        <v>768</v>
      </c>
      <c r="B4347" s="0" t="s">
        <v>126</v>
      </c>
      <c r="F4347" s="7" t="n">
        <f aca="false">Sens!F4280*(1-tax_f)/(Sens!F4267*(Sens!E4345+Sens!F4345)/2)</f>
        <v>0.153384607993459</v>
      </c>
      <c r="G4347" s="7" t="n">
        <f aca="false">Sens!G4280*(1-tax_f)/(Sens!G4267*(Sens!F4345+Sens!G4345)/2)</f>
        <v>0.17448009589537</v>
      </c>
      <c r="H4347" s="7" t="n">
        <f aca="false">Sens!H4280*(1-tax_f)/(Sens!H4267*(Sens!G4345+Sens!H4345)/2)</f>
        <v>0.207489422829268</v>
      </c>
      <c r="I4347" s="7" t="n">
        <f aca="false">Sens!I4280*(1-tax_f)/(Sens!I4267*(Sens!H4345+Sens!I4345)/2)</f>
        <v>0.215451429266442</v>
      </c>
      <c r="J4347" s="7" t="n">
        <f aca="false">Sens!J4280*(1-tax_f)/(Sens!J4267*(Sens!I4345+Sens!J4345)/2)</f>
        <v>0.22190581926304</v>
      </c>
      <c r="K4347" s="7" t="n">
        <f aca="false">Sens!K4280*(1-tax_f)/(Sens!K4267*(Sens!J4345+Sens!K4345)/2)</f>
        <v>0.225225034706317</v>
      </c>
    </row>
    <row r="4348" customFormat="false" ht="17.15" hidden="false" customHeight="false" outlineLevel="0" collapsed="false">
      <c r="A4348" s="0" t="s">
        <v>769</v>
      </c>
      <c r="B4348" s="0" t="s">
        <v>208</v>
      </c>
      <c r="F4348" s="7" t="n">
        <f aca="false">Sens!F4346-wacc</f>
        <v>-0.0747966407729104</v>
      </c>
      <c r="G4348" s="7" t="n">
        <f aca="false">Sens!G4346-wacc</f>
        <v>-0.0688358435094298</v>
      </c>
      <c r="H4348" s="7" t="n">
        <f aca="false">Sens!H4346-wacc</f>
        <v>-0.0560190262366654</v>
      </c>
      <c r="I4348" s="7" t="n">
        <f aca="false">Sens!I4346-wacc</f>
        <v>-0.0584223387117249</v>
      </c>
      <c r="J4348" s="7" t="n">
        <f aca="false">Sens!J4346-wacc</f>
        <v>-0.061541837791327</v>
      </c>
      <c r="K4348" s="7" t="n">
        <f aca="false">Sens!K4346-wacc</f>
        <v>-0.065227150519851</v>
      </c>
    </row>
    <row r="4349" customFormat="false" ht="17.15" hidden="false" customHeight="false" outlineLevel="0" collapsed="false">
      <c r="A4349" s="0" t="s">
        <v>770</v>
      </c>
      <c r="B4349" s="0" t="s">
        <v>95</v>
      </c>
      <c r="F4349" s="6" t="n">
        <f aca="false">Sens!F4344*(1-tax_f)-wacc*(Sens!E4345+Sens!F4345)/2</f>
        <v>-14.4860503051109</v>
      </c>
      <c r="G4349" s="6" t="n">
        <f aca="false">Sens!G4344*(1-tax_f)-wacc*(Sens!F4345+Sens!G4345)/2</f>
        <v>-22.1771451442649</v>
      </c>
      <c r="H4349" s="6" t="n">
        <f aca="false">Sens!H4344*(1-tax_f)-wacc*(Sens!G4345+Sens!H4345)/2</f>
        <v>-24.3046717213055</v>
      </c>
      <c r="I4349" s="6" t="n">
        <f aca="false">Sens!I4344*(1-tax_f)-wacc*(Sens!H4345+Sens!I4345)/2</f>
        <v>-31.2671661038652</v>
      </c>
      <c r="J4349" s="6" t="n">
        <f aca="false">Sens!J4344*(1-tax_f)-wacc*(Sens!I4345+Sens!J4345)/2</f>
        <v>-38.809928764788</v>
      </c>
      <c r="K4349" s="6" t="n">
        <f aca="false">Sens!K4344*(1-tax_f)-wacc*(Sens!J4345+Sens!K4345)/2</f>
        <v>-47.384219779518</v>
      </c>
    </row>
    <row r="4350" customFormat="false" ht="17.15" hidden="false" customHeight="false" outlineLevel="0" collapsed="false">
      <c r="A4350" s="1" t="s">
        <v>771</v>
      </c>
      <c r="B4350" s="0" t="s">
        <v>95</v>
      </c>
      <c r="F4350" s="6" t="n">
        <f aca="false">(Sens!E4252+Sens!F4252)/2*Sens!F4259/1000</f>
        <v>26.7873066765967</v>
      </c>
      <c r="G4350" s="6" t="n">
        <f aca="false">(Sens!F4252+Sens!G4252)/2*Sens!G4259/1000</f>
        <v>45.4131817597218</v>
      </c>
      <c r="H4350" s="6" t="n">
        <f aca="false">(Sens!G4252+Sens!H4252)/2*Sens!H4259/1000</f>
        <v>65.3915129357971</v>
      </c>
      <c r="I4350" s="6" t="n">
        <f aca="false">(Sens!H4252+Sens!I4252)/2*Sens!I4259/1000</f>
        <v>85.5187419289299</v>
      </c>
      <c r="J4350" s="6" t="n">
        <f aca="false">(Sens!I4252+Sens!J4252)/2*Sens!J4259/1000</f>
        <v>105.723807195006</v>
      </c>
      <c r="K4350" s="6" t="n">
        <f aca="false">(Sens!J4252+Sens!K4252)/2*Sens!K4259/1000</f>
        <v>125.974659797015</v>
      </c>
      <c r="L4350" s="1" t="s">
        <v>772</v>
      </c>
    </row>
    <row r="4351" customFormat="false" ht="17.15" hidden="false" customHeight="false" outlineLevel="0" collapsed="false">
      <c r="A4351" s="1" t="s">
        <v>773</v>
      </c>
      <c r="B4351" s="0" t="s">
        <v>126</v>
      </c>
      <c r="F4351" s="7" t="n">
        <f aca="false">(Sens!F4268+Sens!F4350-Sens!F4269-Sens!F4279)*(1-tax_f)/((Sens!E4345+Sens!F4345)/2)</f>
        <v>0.118284003091799</v>
      </c>
      <c r="G4351" s="7" t="n">
        <f aca="false">(Sens!G4268+Sens!G4350-Sens!G4269-Sens!G4279)*(1-tax_f)/((Sens!F4345+Sens!G4345)/2)</f>
        <v>0.130564372866059</v>
      </c>
      <c r="H4351" s="7" t="n">
        <f aca="false">(Sens!H4268+Sens!H4350-Sens!H4269-Sens!H4279)*(1-tax_f)/((Sens!G4345+Sens!H4345)/2)</f>
        <v>0.152200281917807</v>
      </c>
      <c r="I4351" s="7" t="n">
        <f aca="false">(Sens!I4268+Sens!I4350-Sens!I4269-Sens!I4279)*(1-tax_f)/((Sens!H4345+Sens!I4345)/2)</f>
        <v>0.158210473274262</v>
      </c>
      <c r="J4351" s="7" t="n">
        <f aca="false">(Sens!J4268+Sens!J4350-Sens!J4269-Sens!J4279)*(1-tax_f)/((Sens!I4345+Sens!J4345)/2)</f>
        <v>0.16279902841614</v>
      </c>
      <c r="K4351" s="7" t="n">
        <f aca="false">(Sens!K4268+Sens!K4350-Sens!K4269-Sens!K4279)*(1-tax_f)/((Sens!J4345+Sens!K4345)/2)</f>
        <v>0.164781247267548</v>
      </c>
      <c r="L4351" s="1" t="s">
        <v>774</v>
      </c>
    </row>
    <row r="4352" customFormat="false" ht="17.15" hidden="false" customHeight="false" outlineLevel="0" collapsed="false">
      <c r="A4352" s="3" t="s">
        <v>1237</v>
      </c>
    </row>
    <row r="4353" customFormat="false" ht="15" hidden="false" customHeight="false" outlineLevel="0" collapsed="false">
      <c r="A4353" s="4" t="s">
        <v>43</v>
      </c>
      <c r="B4353" s="4" t="s">
        <v>63</v>
      </c>
      <c r="C4353" s="19" t="s">
        <v>710</v>
      </c>
      <c r="D4353" s="19" t="s">
        <v>711</v>
      </c>
      <c r="E4353" s="19" t="s">
        <v>712</v>
      </c>
      <c r="F4353" s="19" t="s">
        <v>713</v>
      </c>
      <c r="G4353" s="19" t="s">
        <v>714</v>
      </c>
      <c r="H4353" s="19" t="s">
        <v>715</v>
      </c>
      <c r="I4353" s="19" t="s">
        <v>716</v>
      </c>
      <c r="J4353" s="19" t="s">
        <v>717</v>
      </c>
      <c r="K4353" s="19" t="s">
        <v>718</v>
      </c>
      <c r="L4353" s="4" t="s">
        <v>47</v>
      </c>
    </row>
    <row r="4354" customFormat="false" ht="15" hidden="false" customHeight="false" outlineLevel="0" collapsed="false">
      <c r="A4354" s="1" t="s">
        <v>825</v>
      </c>
      <c r="B4354" s="0" t="s">
        <v>95</v>
      </c>
      <c r="F4354" s="6" t="n">
        <f aca="false">Sens!F4339</f>
        <v>143.782025963116</v>
      </c>
      <c r="G4354" s="6" t="n">
        <f aca="false">Sens!G4339</f>
        <v>165.828146230432</v>
      </c>
      <c r="H4354" s="6" t="n">
        <f aca="false">Sens!H4339</f>
        <v>191.862516469596</v>
      </c>
      <c r="I4354" s="6" t="n">
        <f aca="false">Sens!I4339</f>
        <v>211.63597552303</v>
      </c>
      <c r="J4354" s="6" t="n">
        <f aca="false">Sens!J4339</f>
        <v>229.275335740682</v>
      </c>
      <c r="K4354" s="6" t="n">
        <f aca="false">Sens!K4339</f>
        <v>244.380786860415</v>
      </c>
    </row>
    <row r="4355" customFormat="false" ht="17.15" hidden="false" customHeight="false" outlineLevel="0" collapsed="false">
      <c r="A4355" s="1" t="s">
        <v>843</v>
      </c>
      <c r="B4355" s="0" t="s">
        <v>95</v>
      </c>
      <c r="E4355" s="6" t="n">
        <f aca="false">Q!M38-Sens!E4279</f>
        <v>22.2285940229167</v>
      </c>
      <c r="F4355" s="6" t="n">
        <f aca="false">Sens!E4355*(1-1/life_nonai)+Sens!F4361/life_nonai</f>
        <v>23.5561693435813</v>
      </c>
      <c r="G4355" s="6" t="n">
        <f aca="false">Sens!F4355*(1-1/life_nonai)+Sens!G4361/life_nonai</f>
        <v>25.2933417662621</v>
      </c>
      <c r="H4355" s="6" t="n">
        <f aca="false">Sens!G4355*(1-1/life_nonai)+Sens!H4361/life_nonai</f>
        <v>27.4076589540448</v>
      </c>
      <c r="I4355" s="6" t="n">
        <f aca="false">Sens!H4355*(1-1/life_nonai)+Sens!I4361/life_nonai</f>
        <v>29.8379830898047</v>
      </c>
      <c r="J4355" s="6" t="n">
        <f aca="false">Sens!I4355*(1-1/life_nonai)+Sens!J4361/life_nonai</f>
        <v>32.5060261058616</v>
      </c>
      <c r="K4355" s="6" t="n">
        <f aca="false">Sens!J4355*(1-1/life_nonai)+Sens!K4361/life_nonai</f>
        <v>35.3285437694749</v>
      </c>
      <c r="L4355" s="11" t="s">
        <v>844</v>
      </c>
    </row>
    <row r="4356" customFormat="false" ht="17.15" hidden="false" customHeight="false" outlineLevel="0" collapsed="false">
      <c r="A4356" s="1" t="s">
        <v>845</v>
      </c>
      <c r="B4356" s="0" t="s">
        <v>95</v>
      </c>
      <c r="E4356" s="6" t="n">
        <f aca="false">Sens!E4279+Sens!E4355</f>
        <v>38.534</v>
      </c>
      <c r="F4356" s="6" t="n">
        <f aca="false">Sens!F4279+Sens!F4355</f>
        <v>58.302954799451</v>
      </c>
      <c r="G4356" s="6" t="n">
        <f aca="false">Sens!G4279+Sens!G4355</f>
        <v>85.8125750266016</v>
      </c>
      <c r="H4356" s="6" t="n">
        <f aca="false">Sens!H4279+Sens!H4355</f>
        <v>115.162474947184</v>
      </c>
      <c r="I4356" s="6" t="n">
        <f aca="false">Sens!I4279+Sens!I4355</f>
        <v>145.847664830928</v>
      </c>
      <c r="J4356" s="6" t="n">
        <f aca="false">Sens!J4279+Sens!J4355</f>
        <v>177.742804064135</v>
      </c>
      <c r="K4356" s="6" t="n">
        <f aca="false">Sens!K4279+Sens!K4355</f>
        <v>211.079966404064</v>
      </c>
    </row>
    <row r="4357" customFormat="false" ht="15" hidden="false" customHeight="false" outlineLevel="0" collapsed="false">
      <c r="A4357" s="1" t="s">
        <v>685</v>
      </c>
      <c r="B4357" s="0" t="s">
        <v>95</v>
      </c>
      <c r="F4357" s="6" t="n">
        <f aca="false">Sens!F4306*sbc_r</f>
        <v>15.0399683065961</v>
      </c>
      <c r="G4357" s="6" t="n">
        <f aca="false">Sens!G4306*sbc_r</f>
        <v>18.1255462030181</v>
      </c>
      <c r="H4357" s="6" t="n">
        <f aca="false">Sens!H4306*sbc_r</f>
        <v>21.456598112564</v>
      </c>
      <c r="I4357" s="6" t="n">
        <f aca="false">Sens!I4306*sbc_r</f>
        <v>24.5129865964185</v>
      </c>
      <c r="J4357" s="6" t="n">
        <f aca="false">Sens!J4306*sbc_r</f>
        <v>27.4625591765015</v>
      </c>
      <c r="K4357" s="6" t="n">
        <f aca="false">Sens!K4306*sbc_r</f>
        <v>30.293118655364</v>
      </c>
    </row>
    <row r="4358" customFormat="false" ht="17.15" hidden="false" customHeight="false" outlineLevel="0" collapsed="false">
      <c r="A4358" s="1" t="s">
        <v>846</v>
      </c>
      <c r="B4358" s="0" t="s">
        <v>95</v>
      </c>
      <c r="F4358" s="6" t="n">
        <f aca="false">wc27</f>
        <v>-4.895</v>
      </c>
      <c r="G4358" s="6" t="n">
        <f aca="false">0</f>
        <v>0</v>
      </c>
      <c r="H4358" s="6" t="n">
        <f aca="false">0</f>
        <v>0</v>
      </c>
      <c r="I4358" s="6" t="n">
        <f aca="false">0</f>
        <v>0</v>
      </c>
      <c r="J4358" s="6" t="n">
        <f aca="false">0</f>
        <v>0</v>
      </c>
      <c r="K4358" s="6" t="n">
        <f aca="false">0</f>
        <v>0</v>
      </c>
      <c r="L4358" s="11" t="s">
        <v>847</v>
      </c>
    </row>
    <row r="4359" customFormat="false" ht="15" hidden="false" customHeight="false" outlineLevel="0" collapsed="false">
      <c r="A4359" s="1" t="s">
        <v>678</v>
      </c>
      <c r="B4359" s="0" t="s">
        <v>95</v>
      </c>
      <c r="E4359" s="6" t="n">
        <f aca="false">Q!M35</f>
        <v>182.935</v>
      </c>
      <c r="F4359" s="6" t="n">
        <f aca="false">Sens!F4354+Sens!F4356+Sens!F4357+Sens!F4358</f>
        <v>212.229949069163</v>
      </c>
      <c r="G4359" s="6" t="n">
        <f aca="false">Sens!G4354+Sens!G4356+Sens!G4357+Sens!G4358</f>
        <v>269.766267460051</v>
      </c>
      <c r="H4359" s="6" t="n">
        <f aca="false">Sens!H4354+Sens!H4356+Sens!H4357+Sens!H4358</f>
        <v>328.481589529344</v>
      </c>
      <c r="I4359" s="6" t="n">
        <f aca="false">Sens!I4354+Sens!I4356+Sens!I4357+Sens!I4358</f>
        <v>381.996626950376</v>
      </c>
      <c r="J4359" s="6" t="n">
        <f aca="false">Sens!J4354+Sens!J4356+Sens!J4357+Sens!J4358</f>
        <v>434.480698981318</v>
      </c>
      <c r="K4359" s="6" t="n">
        <f aca="false">Sens!K4354+Sens!K4356+Sens!K4357+Sens!K4358</f>
        <v>485.753871919844</v>
      </c>
    </row>
    <row r="4360" customFormat="false" ht="17.15" hidden="false" customHeight="false" outlineLevel="0" collapsed="false">
      <c r="A4360" s="0" t="s">
        <v>848</v>
      </c>
      <c r="B4360" s="0" t="s">
        <v>95</v>
      </c>
      <c r="F4360" s="6" t="n">
        <f aca="false">Sens!F4276</f>
        <v>168.695652770438</v>
      </c>
      <c r="G4360" s="6" t="n">
        <f aca="false">Sens!G4276</f>
        <v>183.5741804832</v>
      </c>
      <c r="H4360" s="6" t="n">
        <f aca="false">Sens!H4276</f>
        <v>188.0802859104</v>
      </c>
      <c r="I4360" s="6" t="n">
        <f aca="false">Sens!I4276</f>
        <v>218.338961257067</v>
      </c>
      <c r="J4360" s="6" t="n">
        <f aca="false">Sens!J4276</f>
        <v>233.777060923733</v>
      </c>
      <c r="K4360" s="6" t="n">
        <f aca="false">Sens!K4276</f>
        <v>278.8563119504</v>
      </c>
    </row>
    <row r="4361" customFormat="false" ht="17.15" hidden="false" customHeight="false" outlineLevel="0" collapsed="false">
      <c r="A4361" s="1" t="s">
        <v>849</v>
      </c>
      <c r="B4361" s="0" t="s">
        <v>95</v>
      </c>
      <c r="E4361" s="6" t="n">
        <f aca="false">Sens!E4284*cx_azo+Sens!E4291*cx_m365+Sens!E4292*cx_lic+(Sens!E4294+Sens!E4296)*cx_ind+Sens!E4299*cx_srch+(Sens!E4301+Sens!E4303)*cx_dev</f>
        <v>30.1846587067718</v>
      </c>
      <c r="F4361" s="6" t="n">
        <f aca="false">Sens!F4284*cx_azo+Sens!F4291*cx_m365+Sens!F4292*cx_lic+(Sens!F4294+Sens!F4296)*cx_ind+Sens!F4299*cx_srch+(Sens!F4301+Sens!F4303)*cx_dev</f>
        <v>35.5043472295625</v>
      </c>
      <c r="G4361" s="6" t="n">
        <f aca="false">Sens!G4284*cx_azo+Sens!G4291*cx_m365+Sens!G4292*cx_lic+(Sens!G4294+Sens!G4296)*cx_ind+Sens!G4299*cx_srch+(Sens!G4301+Sens!G4303)*cx_dev</f>
        <v>40.9278935703892</v>
      </c>
      <c r="H4361" s="6" t="n">
        <f aca="false">Sens!H4284*cx_azo+Sens!H4291*cx_m365+Sens!H4292*cx_lic+(Sens!H4294+Sens!H4296)*cx_ind+Sens!H4299*cx_srch+(Sens!H4301+Sens!H4303)*cx_dev</f>
        <v>46.4365136440897</v>
      </c>
      <c r="I4361" s="6" t="n">
        <f aca="false">Sens!I4284*cx_azo+Sens!I4291*cx_m365+Sens!I4292*cx_lic+(Sens!I4294+Sens!I4296)*cx_ind+Sens!I4299*cx_srch+(Sens!I4301+Sens!I4303)*cx_dev</f>
        <v>51.7109003116439</v>
      </c>
      <c r="J4361" s="6" t="n">
        <f aca="false">Sens!J4284*cx_azo+Sens!J4291*cx_m365+Sens!J4292*cx_lic+(Sens!J4294+Sens!J4296)*cx_ind+Sens!J4299*cx_srch+(Sens!J4301+Sens!J4303)*cx_dev</f>
        <v>56.5184132503738</v>
      </c>
      <c r="K4361" s="6" t="n">
        <f aca="false">Sens!K4284*cx_azo+Sens!K4291*cx_m365+Sens!K4292*cx_lic+(Sens!K4294+Sens!K4296)*cx_ind+Sens!K4299*cx_srch+(Sens!K4301+Sens!K4303)*cx_dev</f>
        <v>60.731202741994</v>
      </c>
    </row>
    <row r="4362" customFormat="false" ht="17.15" hidden="false" customHeight="false" outlineLevel="0" collapsed="false">
      <c r="A4362" s="1" t="s">
        <v>850</v>
      </c>
      <c r="B4362" s="0" t="s">
        <v>95</v>
      </c>
      <c r="E4362" s="6" t="n">
        <f aca="false">Q!M42</f>
        <v>145.3</v>
      </c>
      <c r="F4362" s="6" t="n">
        <f aca="false">Sens!F4360+Sens!F4361</f>
        <v>204.2</v>
      </c>
      <c r="G4362" s="6" t="n">
        <f aca="false">Sens!G4360+Sens!G4361</f>
        <v>224.502074053589</v>
      </c>
      <c r="H4362" s="6" t="n">
        <f aca="false">Sens!H4360+Sens!H4361</f>
        <v>234.51679955449</v>
      </c>
      <c r="I4362" s="6" t="n">
        <f aca="false">Sens!I4360+Sens!I4361</f>
        <v>270.049861568711</v>
      </c>
      <c r="J4362" s="6" t="n">
        <f aca="false">Sens!J4360+Sens!J4361</f>
        <v>290.295474174107</v>
      </c>
      <c r="K4362" s="6" t="n">
        <f aca="false">Sens!K4360+Sens!K4361</f>
        <v>339.587514692394</v>
      </c>
      <c r="L4362" s="1" t="s">
        <v>851</v>
      </c>
    </row>
    <row r="4363" customFormat="false" ht="15" hidden="false" customHeight="false" outlineLevel="0" collapsed="false">
      <c r="A4363" s="1" t="s">
        <v>852</v>
      </c>
      <c r="B4363" s="0" t="s">
        <v>95</v>
      </c>
      <c r="E4363" s="6" t="n">
        <f aca="false">fl_liab</f>
        <v>66.594</v>
      </c>
      <c r="F4363" s="6" t="n">
        <f aca="false">Sens!E4363-Sens!F4364</f>
        <v>62.46973</v>
      </c>
      <c r="G4363" s="6" t="n">
        <f aca="false">Sens!F4363-Sens!G4364</f>
        <v>57.98686785</v>
      </c>
      <c r="H4363" s="6" t="n">
        <f aca="false">Sens!G4363-Sens!H4364</f>
        <v>53.92827690325</v>
      </c>
      <c r="I4363" s="6" t="n">
        <f aca="false">Sens!H4363-Sens!I4364</f>
        <v>49.7850493638962</v>
      </c>
      <c r="J4363" s="6" t="n">
        <f aca="false">Sens!I4363-Sens!J4364</f>
        <v>45.4823765852716</v>
      </c>
      <c r="K4363" s="6" t="n">
        <f aca="false">Sens!J4363-Sens!K4364</f>
        <v>40.9860835316088</v>
      </c>
    </row>
    <row r="4364" customFormat="false" ht="15" hidden="false" customHeight="false" outlineLevel="0" collapsed="false">
      <c r="A4364" s="1" t="s">
        <v>853</v>
      </c>
      <c r="B4364" s="0" t="s">
        <v>95</v>
      </c>
      <c r="F4364" s="6" t="n">
        <f aca="false">fl_pay_27-Sens!E4363*fl_rate</f>
        <v>4.12427</v>
      </c>
      <c r="G4364" s="6" t="n">
        <f aca="false">fl_pay_28-Sens!F4363*fl_rate</f>
        <v>4.48286215</v>
      </c>
      <c r="H4364" s="6" t="n">
        <f aca="false">fl_pay_29-Sens!G4363*fl_rate</f>
        <v>4.05859094675</v>
      </c>
      <c r="I4364" s="6" t="n">
        <f aca="false">fl_pay_30-Sens!H4363*fl_rate</f>
        <v>4.14322753935375</v>
      </c>
      <c r="J4364" s="6" t="n">
        <f aca="false">fl_pay_31-Sens!I4363*fl_rate</f>
        <v>4.30267277862467</v>
      </c>
      <c r="K4364" s="6" t="n">
        <f aca="false">fl_pay_32-Sens!J4363*fl_rate</f>
        <v>4.49629305366278</v>
      </c>
    </row>
    <row r="4365" customFormat="false" ht="17.15" hidden="false" customHeight="false" outlineLevel="0" collapsed="false">
      <c r="A4365" s="1" t="s">
        <v>854</v>
      </c>
      <c r="B4365" s="0" t="s">
        <v>95</v>
      </c>
      <c r="E4365" s="6" t="n">
        <f aca="false">Q!M35-Q!M36-Q!M43</f>
        <v>63.886</v>
      </c>
      <c r="F4365" s="6" t="n">
        <f aca="false">Sens!F4359-Sens!F4362-Sens!F4364</f>
        <v>3.90567906916348</v>
      </c>
      <c r="G4365" s="6" t="n">
        <f aca="false">Sens!G4359-Sens!G4362-Sens!G4364</f>
        <v>40.7813312564622</v>
      </c>
      <c r="H4365" s="6" t="n">
        <f aca="false">Sens!H4359-Sens!H4362-Sens!H4364</f>
        <v>89.9061990281046</v>
      </c>
      <c r="I4365" s="6" t="n">
        <f aca="false">Sens!I4359-Sens!I4362-Sens!I4364</f>
        <v>107.803537842311</v>
      </c>
      <c r="J4365" s="6" t="n">
        <f aca="false">Sens!J4359-Sens!J4362-Sens!J4364</f>
        <v>139.882552028586</v>
      </c>
      <c r="K4365" s="6" t="n">
        <f aca="false">Sens!K4359-Sens!K4362-Sens!K4364</f>
        <v>141.670064173787</v>
      </c>
      <c r="L4365" s="11" t="s">
        <v>855</v>
      </c>
    </row>
    <row r="4366" customFormat="false" ht="15" hidden="false" customHeight="false" outlineLevel="0" collapsed="false">
      <c r="A4366" s="1" t="s">
        <v>856</v>
      </c>
      <c r="B4366" s="0" t="s">
        <v>73</v>
      </c>
      <c r="F4366" s="8" t="n">
        <f aca="false">dps_27</f>
        <v>3.85</v>
      </c>
      <c r="G4366" s="8" t="n">
        <f aca="false">Sens!F4366*(1+dps_g)</f>
        <v>4.158</v>
      </c>
      <c r="H4366" s="8" t="n">
        <f aca="false">Sens!G4366*(1+dps_g)</f>
        <v>4.49064</v>
      </c>
      <c r="I4366" s="8" t="n">
        <f aca="false">Sens!H4366*(1+dps_g)</f>
        <v>4.8498912</v>
      </c>
      <c r="J4366" s="8" t="n">
        <f aca="false">Sens!I4366*(1+dps_g)</f>
        <v>5.237882496</v>
      </c>
      <c r="K4366" s="8" t="n">
        <f aca="false">Sens!J4366*(1+dps_g)</f>
        <v>5.65691309568</v>
      </c>
    </row>
    <row r="4367" customFormat="false" ht="17.15" hidden="false" customHeight="false" outlineLevel="0" collapsed="false">
      <c r="A4367" s="1" t="s">
        <v>857</v>
      </c>
      <c r="B4367" s="0" t="s">
        <v>95</v>
      </c>
      <c r="E4367" s="6" t="n">
        <f aca="false">Q!M41</f>
        <v>26.445</v>
      </c>
      <c r="F4367" s="6" t="n">
        <f aca="false">Sens!F4366*Sens!E4376</f>
        <v>28.59395</v>
      </c>
      <c r="G4367" s="6" t="n">
        <f aca="false">Sens!G4366*Sens!F4376</f>
        <v>31.068576</v>
      </c>
      <c r="H4367" s="6" t="n">
        <f aca="false">Sens!H4366*Sens!G4376</f>
        <v>33.6831759969679</v>
      </c>
      <c r="I4367" s="6" t="n">
        <f aca="false">Sens!I4366*Sens!H4376</f>
        <v>36.4287693167248</v>
      </c>
      <c r="J4367" s="6" t="n">
        <f aca="false">Sens!J4366*Sens!I4376</f>
        <v>39.4114697103822</v>
      </c>
      <c r="K4367" s="6" t="n">
        <f aca="false">Sens!K4366*Sens!J4376</f>
        <v>42.6516425125178</v>
      </c>
      <c r="L4367" s="1" t="s">
        <v>858</v>
      </c>
    </row>
    <row r="4368" customFormat="false" ht="15" hidden="false" customHeight="false" outlineLevel="0" collapsed="false">
      <c r="A4368" s="1" t="s">
        <v>859</v>
      </c>
      <c r="B4368" s="0" t="s">
        <v>95</v>
      </c>
      <c r="E4368" s="6" t="n">
        <f aca="false">Sens!E4365-Sens!E4367</f>
        <v>37.441</v>
      </c>
      <c r="F4368" s="6" t="n">
        <f aca="false">Sens!F4365-Sens!F4367</f>
        <v>-24.6882709308365</v>
      </c>
      <c r="G4368" s="6" t="n">
        <f aca="false">Sens!G4365-Sens!G4367</f>
        <v>9.7127552564622</v>
      </c>
      <c r="H4368" s="6" t="n">
        <f aca="false">Sens!H4365-Sens!H4367</f>
        <v>56.2230230311367</v>
      </c>
      <c r="I4368" s="6" t="n">
        <f aca="false">Sens!I4365-Sens!I4367</f>
        <v>71.3747685255866</v>
      </c>
      <c r="J4368" s="6" t="n">
        <f aca="false">Sens!J4365-Sens!J4367</f>
        <v>100.471082318204</v>
      </c>
      <c r="K4368" s="6" t="n">
        <f aca="false">Sens!K4365-Sens!K4367</f>
        <v>99.0184216612693</v>
      </c>
    </row>
    <row r="4369" customFormat="false" ht="15" hidden="false" customHeight="false" outlineLevel="0" collapsed="false">
      <c r="A4369" s="1" t="s">
        <v>860</v>
      </c>
      <c r="B4369" s="0" t="s">
        <v>95</v>
      </c>
      <c r="F4369" s="6" t="n">
        <f aca="false">debt_mat_27</f>
        <v>9.25</v>
      </c>
      <c r="G4369" s="6" t="n">
        <f aca="false">debt_mat_28</f>
        <v>0</v>
      </c>
      <c r="H4369" s="6" t="n">
        <f aca="false">debt_mat_29</f>
        <v>2.001</v>
      </c>
      <c r="I4369" s="6" t="n">
        <f aca="false">debt_mat_30</f>
        <v>0</v>
      </c>
      <c r="J4369" s="6" t="n">
        <f aca="false">debt_mat_31</f>
        <v>0.5</v>
      </c>
      <c r="K4369" s="6" t="n">
        <f aca="false">debt_mat_32</f>
        <v>0</v>
      </c>
    </row>
    <row r="4370" customFormat="false" ht="15" hidden="false" customHeight="false" outlineLevel="0" collapsed="false">
      <c r="A4370" s="1" t="s">
        <v>861</v>
      </c>
      <c r="B4370" s="0" t="s">
        <v>95</v>
      </c>
      <c r="E4370" s="6" t="n">
        <f aca="false">Q!M40</f>
        <v>22.271</v>
      </c>
      <c r="F4370" s="6" t="n">
        <f aca="false">MAX(0,MIN(bb_target,Sens!E4372+Sens!F4368-Sens!F4369-min_cash))</f>
        <v>0</v>
      </c>
      <c r="G4370" s="6" t="n">
        <f aca="false">MAX(0,MIN(bb_target,Sens!F4372+Sens!G4368-Sens!G4369-min_cash))</f>
        <v>9.7127552564622</v>
      </c>
      <c r="H4370" s="6" t="n">
        <f aca="false">MAX(0,MIN(bb_target,Sens!G4372+Sens!H4368-Sens!H4369-min_cash))</f>
        <v>22.271</v>
      </c>
      <c r="I4370" s="6" t="n">
        <f aca="false">MAX(0,MIN(bb_target,Sens!H4372+Sens!I4368-Sens!I4369-min_cash))</f>
        <v>22.271</v>
      </c>
      <c r="J4370" s="6" t="n">
        <f aca="false">MAX(0,MIN(bb_target,Sens!I4372+Sens!J4368-Sens!J4369-min_cash))</f>
        <v>22.271</v>
      </c>
      <c r="K4370" s="6" t="n">
        <f aca="false">MAX(0,MIN(bb_target,Sens!J4372+Sens!K4368-Sens!K4369-min_cash))</f>
        <v>22.271</v>
      </c>
    </row>
    <row r="4371" customFormat="false" ht="15" hidden="false" customHeight="false" outlineLevel="0" collapsed="false">
      <c r="A4371" s="1" t="s">
        <v>862</v>
      </c>
      <c r="B4371" s="0" t="s">
        <v>95</v>
      </c>
      <c r="F4371" s="6" t="n">
        <f aca="false">MAX(0,min_cash-(Sens!E4372+Sens!F4368-Sens!F4369-Sens!F4370))</f>
        <v>7.09527093083652</v>
      </c>
      <c r="G4371" s="6" t="n">
        <f aca="false">MAX(0,min_cash-(Sens!F4372+Sens!G4368-Sens!G4369-Sens!G4370))</f>
        <v>0</v>
      </c>
      <c r="H4371" s="6" t="n">
        <f aca="false">MAX(0,min_cash-(Sens!G4372+Sens!H4368-Sens!H4369-Sens!H4370))</f>
        <v>0</v>
      </c>
      <c r="I4371" s="6" t="n">
        <f aca="false">MAX(0,min_cash-(Sens!H4372+Sens!I4368-Sens!I4369-Sens!I4370))</f>
        <v>0</v>
      </c>
      <c r="J4371" s="6" t="n">
        <f aca="false">MAX(0,min_cash-(Sens!I4372+Sens!J4368-Sens!J4369-Sens!J4370))</f>
        <v>0</v>
      </c>
      <c r="K4371" s="6" t="n">
        <f aca="false">MAX(0,min_cash-(Sens!J4372+Sens!K4368-Sens!K4369-Sens!K4370))</f>
        <v>0</v>
      </c>
    </row>
    <row r="4372" customFormat="false" ht="15" hidden="false" customHeight="false" outlineLevel="0" collapsed="false">
      <c r="A4372" s="1" t="s">
        <v>863</v>
      </c>
      <c r="B4372" s="0" t="s">
        <v>95</v>
      </c>
      <c r="E4372" s="6" t="n">
        <f aca="false">cash_open</f>
        <v>76.843</v>
      </c>
      <c r="F4372" s="6" t="n">
        <f aca="false">Sens!E4372+Sens!F4368-Sens!F4369-Sens!F4370+Sens!F4371</f>
        <v>50</v>
      </c>
      <c r="G4372" s="6" t="n">
        <f aca="false">Sens!F4372+Sens!G4368-Sens!G4369-Sens!G4370+Sens!G4371</f>
        <v>50</v>
      </c>
      <c r="H4372" s="6" t="n">
        <f aca="false">Sens!G4372+Sens!H4368-Sens!H4369-Sens!H4370+Sens!H4371</f>
        <v>81.9510230311367</v>
      </c>
      <c r="I4372" s="6" t="n">
        <f aca="false">Sens!H4372+Sens!I4368-Sens!I4369-Sens!I4370+Sens!I4371</f>
        <v>131.054791556723</v>
      </c>
      <c r="J4372" s="6" t="n">
        <f aca="false">Sens!I4372+Sens!J4368-Sens!J4369-Sens!J4370+Sens!J4371</f>
        <v>208.754873874927</v>
      </c>
      <c r="K4372" s="6" t="n">
        <f aca="false">Sens!J4372+Sens!K4368-Sens!K4369-Sens!K4370+Sens!K4371</f>
        <v>285.502295536196</v>
      </c>
    </row>
    <row r="4373" customFormat="false" ht="15" hidden="false" customHeight="false" outlineLevel="0" collapsed="false">
      <c r="A4373" s="1" t="s">
        <v>864</v>
      </c>
      <c r="B4373" s="0" t="s">
        <v>95</v>
      </c>
      <c r="E4373" s="6" t="n">
        <f aca="false">debt_face</f>
        <v>46.136</v>
      </c>
      <c r="F4373" s="6" t="n">
        <f aca="false">Sens!E4373-Sens!F4369+Sens!F4371</f>
        <v>43.9812709308365</v>
      </c>
      <c r="G4373" s="6" t="n">
        <f aca="false">Sens!F4373-Sens!G4369+Sens!G4371</f>
        <v>43.9812709308365</v>
      </c>
      <c r="H4373" s="6" t="n">
        <f aca="false">Sens!G4373-Sens!H4369+Sens!H4371</f>
        <v>41.9802709308365</v>
      </c>
      <c r="I4373" s="6" t="n">
        <f aca="false">Sens!H4373-Sens!I4369+Sens!I4371</f>
        <v>41.9802709308365</v>
      </c>
      <c r="J4373" s="6" t="n">
        <f aca="false">Sens!I4373-Sens!J4369+Sens!J4371</f>
        <v>41.4802709308365</v>
      </c>
      <c r="K4373" s="6" t="n">
        <f aca="false">Sens!J4373-Sens!K4369+Sens!K4371</f>
        <v>41.4802709308365</v>
      </c>
    </row>
    <row r="4374" customFormat="false" ht="15" hidden="false" customHeight="false" outlineLevel="0" collapsed="false">
      <c r="A4374" s="1" t="s">
        <v>865</v>
      </c>
      <c r="B4374" s="0" t="s">
        <v>95</v>
      </c>
      <c r="E4374" s="6" t="n">
        <f aca="false">Sens!E4372-Sens!E4373</f>
        <v>30.707</v>
      </c>
      <c r="F4374" s="6" t="n">
        <f aca="false">Sens!F4372-Sens!F4373</f>
        <v>6.01872906916348</v>
      </c>
      <c r="G4374" s="6" t="n">
        <f aca="false">Sens!G4372-Sens!G4373</f>
        <v>6.01872906916348</v>
      </c>
      <c r="H4374" s="6" t="n">
        <f aca="false">Sens!H4372-Sens!H4373</f>
        <v>39.9707521003002</v>
      </c>
      <c r="I4374" s="6" t="n">
        <f aca="false">Sens!I4372-Sens!I4373</f>
        <v>89.0745206258868</v>
      </c>
      <c r="J4374" s="6" t="n">
        <f aca="false">Sens!J4372-Sens!J4373</f>
        <v>167.27460294409</v>
      </c>
      <c r="K4374" s="6" t="n">
        <f aca="false">Sens!K4372-Sens!K4373</f>
        <v>244.02202460536</v>
      </c>
    </row>
    <row r="4375" customFormat="false" ht="15" hidden="false" customHeight="false" outlineLevel="0" collapsed="false">
      <c r="A4375" s="1" t="s">
        <v>866</v>
      </c>
      <c r="B4375" s="0" t="s">
        <v>73</v>
      </c>
      <c r="F4375" s="27" t="n">
        <f aca="false">px*(1+bb_g)^(1-0.5)</f>
        <v>553.494156066711</v>
      </c>
      <c r="G4375" s="27" t="n">
        <f aca="false">px*(1+bb_g)^(2-0.5)</f>
        <v>597.773688552047</v>
      </c>
      <c r="H4375" s="27" t="n">
        <f aca="false">px*(1+bb_g)^(3-0.5)</f>
        <v>645.595583636211</v>
      </c>
      <c r="I4375" s="27" t="n">
        <f aca="false">px*(1+bb_g)^(4-0.5)</f>
        <v>697.243230327108</v>
      </c>
      <c r="J4375" s="27" t="n">
        <f aca="false">px*(1+bb_g)^(5-0.5)</f>
        <v>753.022688753277</v>
      </c>
      <c r="K4375" s="27" t="n">
        <f aca="false">px*(1+bb_g)^(6-0.5)</f>
        <v>813.264503853539</v>
      </c>
    </row>
    <row r="4376" customFormat="false" ht="15" hidden="false" customHeight="false" outlineLevel="0" collapsed="false">
      <c r="A4376" s="1" t="s">
        <v>867</v>
      </c>
      <c r="B4376" s="1" t="s">
        <v>79</v>
      </c>
      <c r="E4376" s="18" t="n">
        <f aca="false">sh_out26</f>
        <v>7.427</v>
      </c>
      <c r="F4376" s="18" t="n">
        <f aca="false">Sens!E4376+sh_iss-Sens!F4370/Sens!F4375</f>
        <v>7.472</v>
      </c>
      <c r="G4376" s="18" t="n">
        <f aca="false">Sens!F4376+sh_iss-Sens!G4370/Sens!G4375</f>
        <v>7.50075178526176</v>
      </c>
      <c r="H4376" s="18" t="n">
        <f aca="false">Sens!G4376+sh_iss-Sens!H4370/Sens!H4375</f>
        <v>7.51125495696166</v>
      </c>
      <c r="I4376" s="18" t="n">
        <f aca="false">Sens!H4376+sh_iss-Sens!I4370/Sens!I4375</f>
        <v>7.52431344927639</v>
      </c>
      <c r="J4376" s="18" t="n">
        <f aca="false">Sens!I4376+sh_iss-Sens!J4370/Sens!J4375</f>
        <v>7.53973797919743</v>
      </c>
      <c r="K4376" s="18" t="n">
        <f aca="false">Sens!J4376+sh_iss-Sens!K4370/Sens!K4375</f>
        <v>7.55735328467987</v>
      </c>
    </row>
    <row r="4377" customFormat="false" ht="15" hidden="false" customHeight="false" outlineLevel="0" collapsed="false">
      <c r="A4377" s="1" t="s">
        <v>868</v>
      </c>
      <c r="B4377" s="1" t="s">
        <v>79</v>
      </c>
      <c r="E4377" s="18" t="n">
        <f aca="false">sh_dil26</f>
        <v>7.453</v>
      </c>
      <c r="F4377" s="18" t="n">
        <f aca="false">(Sens!E4376+Sens!F4376)/2+dil_gap</f>
        <v>7.4735</v>
      </c>
      <c r="G4377" s="18" t="n">
        <f aca="false">(Sens!F4376+Sens!G4376)/2+dil_gap</f>
        <v>7.51037589263088</v>
      </c>
      <c r="H4377" s="18" t="n">
        <f aca="false">(Sens!G4376+Sens!H4376)/2+dil_gap</f>
        <v>7.53000337111171</v>
      </c>
      <c r="I4377" s="18" t="n">
        <f aca="false">(Sens!H4376+Sens!I4376)/2+dil_gap</f>
        <v>7.54178420311903</v>
      </c>
      <c r="J4377" s="18" t="n">
        <f aca="false">(Sens!I4376+Sens!J4376)/2+dil_gap</f>
        <v>7.55602571423691</v>
      </c>
      <c r="K4377" s="18" t="n">
        <f aca="false">(Sens!J4376+Sens!K4376)/2+dil_gap</f>
        <v>7.57254563193865</v>
      </c>
    </row>
    <row r="4378" customFormat="false" ht="17.15" hidden="false" customHeight="false" outlineLevel="0" collapsed="false">
      <c r="A4378" s="1" t="s">
        <v>869</v>
      </c>
      <c r="B4378" s="0" t="s">
        <v>95</v>
      </c>
      <c r="C4378" s="6" t="n">
        <f aca="false">SUM(Sens!F4368:J4368)</f>
        <v>213.093358200553</v>
      </c>
    </row>
    <row r="4379" customFormat="false" ht="17.15" hidden="false" customHeight="false" outlineLevel="0" collapsed="false">
      <c r="A4379" s="1" t="s">
        <v>836</v>
      </c>
      <c r="B4379" s="1" t="s">
        <v>870</v>
      </c>
      <c r="C4379" s="30" t="str">
        <f aca="false">IF(SUM(Sens!F4371:J4371)&gt;0.05,"需要舉債 "&amp;TEXT(SUM(Sens!F4371:J4371),"0.0")&amp;" 十億美元","不需舉債")&amp;"；"&amp;IF(SUM(Sens!F4370:J4370)&lt;5*bb_target-0.05,"回購較每年 "&amp;TEXT(bb_target,"0.0")&amp;" 的目標少 "&amp;TEXT(5*bb_target-SUM(Sens!F4370:J4370),"0.0")&amp;" 十億美元（"&amp;TEXT(COUNTIF(Sens!F4370:J4370,"&lt;"&amp;(bb_target-0.05)),"0")&amp;" 年減少）","回購不減")</f>
        <v>需要舉債 7.1 十億美元；回購較每年 22.3 的目標少 34.8 十億美元（2 年減少）</v>
      </c>
    </row>
    <row r="4380" customFormat="false" ht="17.15" hidden="false" customHeight="false" outlineLevel="0" collapsed="false">
      <c r="A4380" s="3" t="s">
        <v>1238</v>
      </c>
    </row>
    <row r="4381" customFormat="false" ht="15" hidden="false" customHeight="false" outlineLevel="0" collapsed="false">
      <c r="A4381" s="4" t="s">
        <v>43</v>
      </c>
      <c r="B4381" s="4" t="s">
        <v>63</v>
      </c>
      <c r="C4381" s="19" t="s">
        <v>710</v>
      </c>
      <c r="D4381" s="19" t="s">
        <v>711</v>
      </c>
      <c r="E4381" s="19" t="s">
        <v>712</v>
      </c>
      <c r="F4381" s="19" t="s">
        <v>713</v>
      </c>
      <c r="G4381" s="19" t="s">
        <v>714</v>
      </c>
      <c r="H4381" s="19" t="s">
        <v>715</v>
      </c>
      <c r="I4381" s="19" t="s">
        <v>716</v>
      </c>
      <c r="J4381" s="19" t="s">
        <v>717</v>
      </c>
      <c r="K4381" s="19" t="s">
        <v>718</v>
      </c>
      <c r="L4381" s="4" t="s">
        <v>47</v>
      </c>
    </row>
    <row r="4382" customFormat="false" ht="17.15" hidden="false" customHeight="false" outlineLevel="0" collapsed="false">
      <c r="A4382" s="1" t="s">
        <v>938</v>
      </c>
      <c r="B4382" s="1" t="s">
        <v>213</v>
      </c>
      <c r="F4382" s="34" t="n">
        <f aca="false">1-0.5</f>
        <v>0.5</v>
      </c>
      <c r="G4382" s="34" t="n">
        <f aca="false">2-0.5</f>
        <v>1.5</v>
      </c>
      <c r="H4382" s="34" t="n">
        <f aca="false">3-0.5</f>
        <v>2.5</v>
      </c>
      <c r="I4382" s="34" t="n">
        <f aca="false">4-0.5</f>
        <v>3.5</v>
      </c>
      <c r="J4382" s="34" t="n">
        <f aca="false">5-0.5</f>
        <v>4.5</v>
      </c>
      <c r="K4382" s="34" t="n">
        <f aca="false">6-0.5</f>
        <v>5.5</v>
      </c>
    </row>
    <row r="4383" customFormat="false" ht="15" hidden="false" customHeight="false" outlineLevel="0" collapsed="false">
      <c r="A4383" s="1" t="s">
        <v>939</v>
      </c>
      <c r="B4383" s="0" t="s">
        <v>182</v>
      </c>
      <c r="F4383" s="18" t="n">
        <f aca="false">1/(1+wacc)^Sens!F4382</f>
        <v>0.949601579913219</v>
      </c>
      <c r="G4383" s="18" t="n">
        <f aca="false">1/(1+wacc)^Sens!G4382</f>
        <v>0.856296729956707</v>
      </c>
      <c r="H4383" s="18" t="n">
        <f aca="false">1/(1+wacc)^Sens!H4382</f>
        <v>0.772159719660069</v>
      </c>
      <c r="I4383" s="18" t="n">
        <f aca="false">1/(1+wacc)^Sens!I4382</f>
        <v>0.696289746073958</v>
      </c>
      <c r="J4383" s="18" t="n">
        <f aca="false">1/(1+wacc)^Sens!J4382</f>
        <v>0.627874516299776</v>
      </c>
      <c r="K4383" s="18" t="n">
        <f aca="false">1/(1+wacc)^Sens!K4382</f>
        <v>0.566181550771831</v>
      </c>
    </row>
    <row r="4384" customFormat="false" ht="15" hidden="false" customHeight="false" outlineLevel="0" collapsed="false">
      <c r="A4384" s="1" t="s">
        <v>940</v>
      </c>
      <c r="B4384" s="0" t="s">
        <v>95</v>
      </c>
      <c r="F4384" s="6" t="n">
        <f aca="false">Sens!F4365*Sens!F4383</f>
        <v>3.70883901471163</v>
      </c>
      <c r="G4384" s="6" t="n">
        <f aca="false">Sens!G4365*Sens!G4383</f>
        <v>34.9209205981898</v>
      </c>
      <c r="H4384" s="6" t="n">
        <f aca="false">Sens!H4365*Sens!H4383</f>
        <v>69.4219454372436</v>
      </c>
      <c r="I4384" s="6" t="n">
        <f aca="false">Sens!I4365*Sens!I4383</f>
        <v>75.0624979900972</v>
      </c>
      <c r="J4384" s="6" t="n">
        <f aca="false">Sens!J4365*Sens!J4383</f>
        <v>87.8286896937266</v>
      </c>
      <c r="K4384" s="6" t="n">
        <f aca="false">Sens!K4365*Sens!K4383</f>
        <v>80.2109766318597</v>
      </c>
    </row>
    <row r="4385" customFormat="false" ht="17.15" hidden="false" customHeight="false" outlineLevel="0" collapsed="false">
      <c r="A4385" s="1" t="s">
        <v>941</v>
      </c>
      <c r="B4385" s="0" t="s">
        <v>95</v>
      </c>
      <c r="C4385" s="6" t="n">
        <f aca="false">SUM(Sens!F4384:K4384)</f>
        <v>351.153869365829</v>
      </c>
    </row>
    <row r="4386" customFormat="false" ht="17.15" hidden="false" customHeight="false" outlineLevel="0" collapsed="false">
      <c r="A4386" s="1" t="s">
        <v>942</v>
      </c>
      <c r="B4386" s="0" t="s">
        <v>95</v>
      </c>
      <c r="C4386" s="6" t="n">
        <f aca="false">Sens!K4331*(1+g_tv)*(1-tax_f)</f>
        <v>252.041810466228</v>
      </c>
    </row>
    <row r="4387" customFormat="false" ht="17.15" hidden="false" customHeight="false" outlineLevel="0" collapsed="false">
      <c r="A4387" s="1" t="s">
        <v>943</v>
      </c>
      <c r="B4387" s="0" t="s">
        <v>95</v>
      </c>
      <c r="C4387" s="6" t="n">
        <f aca="false">Sens!$C$4386*(1-g_tv/(wacc+ronic_prem))</f>
        <v>182.649090297279</v>
      </c>
    </row>
    <row r="4388" customFormat="false" ht="17.15" hidden="false" customHeight="false" outlineLevel="0" collapsed="false">
      <c r="A4388" s="1" t="s">
        <v>944</v>
      </c>
      <c r="B4388" s="0" t="s">
        <v>95</v>
      </c>
      <c r="C4388" s="6" t="n">
        <f aca="false">Sens!$C$4387/(wacc-g_tv)</f>
        <v>2313.09067229829</v>
      </c>
    </row>
    <row r="4389" customFormat="false" ht="15" hidden="false" customHeight="false" outlineLevel="0" collapsed="false">
      <c r="A4389" s="1" t="s">
        <v>945</v>
      </c>
      <c r="B4389" s="0" t="s">
        <v>95</v>
      </c>
      <c r="C4389" s="6" t="n">
        <f aca="false">Sens!$C$4388/(1+wacc)^6</f>
        <v>1243.62601811684</v>
      </c>
    </row>
    <row r="4390" customFormat="false" ht="17.15" hidden="false" customHeight="false" outlineLevel="0" collapsed="false">
      <c r="A4390" s="0" t="s">
        <v>877</v>
      </c>
      <c r="B4390" s="0" t="s">
        <v>95</v>
      </c>
      <c r="C4390" s="6" t="n">
        <f aca="false">Sens!$C$4385+Sens!$C$4389</f>
        <v>1594.77988748266</v>
      </c>
    </row>
    <row r="4391" customFormat="false" ht="15" hidden="false" customHeight="false" outlineLevel="0" collapsed="false">
      <c r="A4391" s="1" t="s">
        <v>878</v>
      </c>
      <c r="B4391" s="0" t="s">
        <v>126</v>
      </c>
      <c r="C4391" s="7" t="n">
        <f aca="false">Sens!$C$4389/Sens!$C$4390</f>
        <v>0.77981044774767</v>
      </c>
    </row>
    <row r="4392" customFormat="false" ht="17.15" hidden="false" customHeight="false" outlineLevel="0" collapsed="false">
      <c r="A4392" s="1" t="s">
        <v>946</v>
      </c>
      <c r="B4392" s="0" t="s">
        <v>95</v>
      </c>
      <c r="C4392" s="6" t="n">
        <f aca="false">Sens!$C$4390+Sens!E4374+oai_v</f>
        <v>1795.88688748266</v>
      </c>
    </row>
    <row r="4393" customFormat="false" ht="17.15" hidden="false" customHeight="false" outlineLevel="0" collapsed="false">
      <c r="A4393" s="0" t="s">
        <v>883</v>
      </c>
      <c r="B4393" s="0" t="s">
        <v>73</v>
      </c>
      <c r="C4393" s="5" t="n">
        <f aca="false">Sens!$C$4392/sh_dil26</f>
        <v>240.961611093877</v>
      </c>
    </row>
    <row r="4394" customFormat="false" ht="17.15" hidden="false" customHeight="false" outlineLevel="0" collapsed="false">
      <c r="A4394" s="0" t="s">
        <v>947</v>
      </c>
      <c r="B4394" s="0" t="s">
        <v>73</v>
      </c>
      <c r="C4394" s="5" t="n">
        <f aca="false">Sens!$C$4393*(1+wacc)^t_roll</f>
        <v>276.381659686616</v>
      </c>
    </row>
    <row r="4395" customFormat="false" ht="17.15" hidden="false" customHeight="false" outlineLevel="0" collapsed="false">
      <c r="A4395" s="1" t="s">
        <v>948</v>
      </c>
      <c r="B4395" s="0" t="s">
        <v>126</v>
      </c>
      <c r="F4395" s="7" t="n">
        <f aca="false">Sens!F4355/(Sens!F4306-Sens!F4262)</f>
        <v>0.0685583309780933</v>
      </c>
      <c r="G4395" s="7" t="n">
        <f aca="false">Sens!G4355/(Sens!G4306-Sens!G4262)</f>
        <v>0.0659544808371847</v>
      </c>
      <c r="H4395" s="7" t="n">
        <f aca="false">Sens!H4355/(Sens!H4306-Sens!H4262)</f>
        <v>0.0646121370247507</v>
      </c>
      <c r="I4395" s="7" t="n">
        <f aca="false">Sens!I4355/(Sens!I4306-Sens!I4262)</f>
        <v>0.0644040787642208</v>
      </c>
      <c r="J4395" s="7" t="n">
        <f aca="false">Sens!J4355/(Sens!J4306-Sens!J4262)</f>
        <v>0.0650850549825734</v>
      </c>
      <c r="K4395" s="7" t="n">
        <f aca="false">Sens!K4355/(Sens!K4306-Sens!K4262)</f>
        <v>0.0663645132579351</v>
      </c>
    </row>
    <row r="4396" customFormat="false" ht="17.15" hidden="false" customHeight="false" outlineLevel="0" collapsed="false">
      <c r="A4396" s="0" t="s">
        <v>949</v>
      </c>
      <c r="B4396" s="0" t="s">
        <v>95</v>
      </c>
      <c r="F4396" s="6" t="n">
        <f aca="false">Sens!F4291*(al_m365+Sens!F4395)</f>
        <v>78.9850775831785</v>
      </c>
      <c r="G4396" s="6" t="n">
        <f aca="false">Sens!G4291*(al_m365+Sens!G4395)</f>
        <v>89.7667804691233</v>
      </c>
      <c r="H4396" s="6" t="n">
        <f aca="false">Sens!H4291*(al_m365+Sens!H4395)</f>
        <v>100.706922141095</v>
      </c>
      <c r="I4396" s="6" t="n">
        <f aca="false">Sens!I4291*(al_m365+Sens!I4395)</f>
        <v>110.928259237518</v>
      </c>
      <c r="J4396" s="6" t="n">
        <f aca="false">Sens!J4291*(al_m365+Sens!J4395)</f>
        <v>120.252500948344</v>
      </c>
      <c r="K4396" s="6" t="n">
        <f aca="false">Sens!K4291*(al_m365+Sens!K4395)</f>
        <v>129.210072870308</v>
      </c>
    </row>
    <row r="4397" customFormat="false" ht="17.15" hidden="false" customHeight="false" outlineLevel="0" collapsed="false">
      <c r="A4397" s="0" t="s">
        <v>950</v>
      </c>
      <c r="B4397" s="0" t="s">
        <v>95</v>
      </c>
      <c r="F4397" s="6" t="n">
        <f aca="false">Sens!F4292*(al_lic+Sens!F4395)</f>
        <v>31.9827794028928</v>
      </c>
      <c r="G4397" s="6" t="n">
        <f aca="false">Sens!G4292*(al_lic+Sens!G4395)</f>
        <v>33.2310215312255</v>
      </c>
      <c r="H4397" s="6" t="n">
        <f aca="false">Sens!H4292*(al_lic+Sens!H4395)</f>
        <v>34.395855990997</v>
      </c>
      <c r="I4397" s="6" t="n">
        <f aca="false">Sens!I4292*(al_lic+Sens!I4395)</f>
        <v>35.4589897375982</v>
      </c>
      <c r="J4397" s="6" t="n">
        <f aca="false">Sens!J4292*(al_lic+Sens!J4395)</f>
        <v>36.3966541780754</v>
      </c>
      <c r="K4397" s="6" t="n">
        <f aca="false">Sens!K4292*(al_lic+Sens!K4395)</f>
        <v>37.1828626037021</v>
      </c>
    </row>
    <row r="4398" customFormat="false" ht="17.15" hidden="false" customHeight="false" outlineLevel="0" collapsed="false">
      <c r="A4398" s="0" t="s">
        <v>951</v>
      </c>
      <c r="B4398" s="0" t="s">
        <v>95</v>
      </c>
      <c r="F4398" s="6" t="n">
        <f aca="false">Sens!F4294*(al_ind+Sens!F4395)</f>
        <v>8.23993980894806</v>
      </c>
      <c r="G4398" s="6" t="n">
        <f aca="false">Sens!G4294*(al_ind+Sens!G4395)</f>
        <v>8.9436393019124</v>
      </c>
      <c r="H4398" s="6" t="n">
        <f aca="false">Sens!H4294*(al_ind+Sens!H4395)</f>
        <v>9.68913190579259</v>
      </c>
      <c r="I4398" s="6" t="n">
        <f aca="false">Sens!I4294*(al_ind+Sens!I4395)</f>
        <v>10.4734166730915</v>
      </c>
      <c r="J4398" s="6" t="n">
        <f aca="false">Sens!J4294*(al_ind+Sens!J4395)</f>
        <v>11.2881577435886</v>
      </c>
      <c r="K4398" s="6" t="n">
        <f aca="false">Sens!K4294*(al_ind+Sens!K4395)</f>
        <v>12.1206578744547</v>
      </c>
    </row>
    <row r="4399" customFormat="false" ht="17.15" hidden="false" customHeight="false" outlineLevel="0" collapsed="false">
      <c r="A4399" s="0" t="s">
        <v>952</v>
      </c>
      <c r="B4399" s="0" t="s">
        <v>95</v>
      </c>
      <c r="F4399" s="6" t="n">
        <f aca="false">Sens!F4296*(al_fro+Sens!F4395)</f>
        <v>3.24326923759032</v>
      </c>
      <c r="G4399" s="6" t="n">
        <f aca="false">Sens!G4296*(al_fro+Sens!G4395)</f>
        <v>3.43382872901239</v>
      </c>
      <c r="H4399" s="6" t="n">
        <f aca="false">Sens!H4296*(al_fro+Sens!H4395)</f>
        <v>3.65119653738648</v>
      </c>
      <c r="I4399" s="6" t="n">
        <f aca="false">Sens!I4296*(al_fro+Sens!I4395)</f>
        <v>3.89777942284975</v>
      </c>
      <c r="J4399" s="6" t="n">
        <f aca="false">Sens!J4296*(al_fro+Sens!J4395)</f>
        <v>4.17479453667623</v>
      </c>
      <c r="K4399" s="6" t="n">
        <f aca="false">Sens!K4296*(al_fro+Sens!K4395)</f>
        <v>4.48268507799116</v>
      </c>
    </row>
    <row r="4400" customFormat="false" ht="17.15" hidden="false" customHeight="false" outlineLevel="0" collapsed="false">
      <c r="A4400" s="0" t="s">
        <v>953</v>
      </c>
      <c r="B4400" s="0" t="s">
        <v>95</v>
      </c>
      <c r="F4400" s="6" t="n">
        <f aca="false">Sens!F4299*(al_srch+Sens!F4395)</f>
        <v>10.1764447151293</v>
      </c>
      <c r="G4400" s="6" t="n">
        <f aca="false">Sens!G4299*(al_srch+Sens!G4395)</f>
        <v>11.1497425664589</v>
      </c>
      <c r="H4400" s="6" t="n">
        <f aca="false">Sens!H4299*(al_srch+Sens!H4395)</f>
        <v>12.1650566874738</v>
      </c>
      <c r="I4400" s="6" t="n">
        <f aca="false">Sens!I4299*(al_srch+Sens!I4395)</f>
        <v>13.2124543691039</v>
      </c>
      <c r="J4400" s="6" t="n">
        <f aca="false">Sens!J4299*(al_srch+Sens!J4395)</f>
        <v>14.2744009811365</v>
      </c>
      <c r="K4400" s="6" t="n">
        <f aca="false">Sens!K4299*(al_srch+Sens!K4395)</f>
        <v>15.3271361532313</v>
      </c>
    </row>
    <row r="4401" customFormat="false" ht="17.15" hidden="false" customHeight="false" outlineLevel="0" collapsed="false">
      <c r="A4401" s="0" t="s">
        <v>954</v>
      </c>
      <c r="B4401" s="0" t="s">
        <v>95</v>
      </c>
      <c r="F4401" s="6" t="n">
        <f aca="false">Sens!F4268</f>
        <v>43.1278534047371</v>
      </c>
      <c r="G4401" s="6" t="n">
        <f aca="false">Sens!G4268</f>
        <v>78.4713023799053</v>
      </c>
      <c r="H4401" s="6" t="n">
        <f aca="false">Sens!H4268</f>
        <v>120.169624261219</v>
      </c>
      <c r="I4401" s="6" t="n">
        <f aca="false">Sens!I4268</f>
        <v>156.086713969963</v>
      </c>
      <c r="J4401" s="6" t="n">
        <f aca="false">Sens!J4268</f>
        <v>192.09687492465</v>
      </c>
      <c r="K4401" s="6" t="n">
        <f aca="false">Sens!K4268</f>
        <v>228.161785217179</v>
      </c>
    </row>
    <row r="4402" customFormat="false" ht="17.15" hidden="false" customHeight="false" outlineLevel="0" collapsed="false">
      <c r="A4402" s="0" t="s">
        <v>955</v>
      </c>
      <c r="B4402" s="0" t="s">
        <v>95</v>
      </c>
      <c r="F4402" s="6" t="n">
        <f aca="false">Sens!F4328+Sens!F4279+Sens!F4395*(Sens!F4298-Sens!F4262)</f>
        <v>214.669037603155</v>
      </c>
      <c r="G4402" s="6" t="n">
        <f aca="false">Sens!G4328+Sens!G4279+Sens!G4395*(Sens!G4298-Sens!G4262)</f>
        <v>269.187474834958</v>
      </c>
      <c r="H4402" s="6" t="n">
        <f aca="false">Sens!H4328+Sens!H4279+Sens!H4395*(Sens!H4298-Sens!H4262)</f>
        <v>330.285912688011</v>
      </c>
      <c r="I4402" s="6" t="n">
        <f aca="false">Sens!I4328+Sens!I4279+Sens!I4395*(Sens!I4298-Sens!I4262)</f>
        <v>384.675915344107</v>
      </c>
      <c r="J4402" s="6" t="n">
        <f aca="false">Sens!J4328+Sens!J4279+Sens!J4395*(Sens!J4298-Sens!J4262)</f>
        <v>437.421630461487</v>
      </c>
      <c r="K4402" s="6" t="n">
        <f aca="false">Sens!K4328+Sens!K4279+Sens!K4395*(Sens!K4298-Sens!K4262)</f>
        <v>488.286824443726</v>
      </c>
    </row>
    <row r="4403" customFormat="false" ht="17.15" hidden="false" customHeight="false" outlineLevel="0" collapsed="false">
      <c r="A4403" s="0" t="s">
        <v>956</v>
      </c>
      <c r="B4403" s="0" t="s">
        <v>95</v>
      </c>
      <c r="F4403" s="6" t="n">
        <f aca="false">Sens!F4402-Sens!F4396-Sens!F4397-Sens!F4398-Sens!F4399-Sens!F4401</f>
        <v>49.0901181658081</v>
      </c>
      <c r="G4403" s="6" t="n">
        <f aca="false">Sens!G4402-Sens!G4396-Sens!G4397-Sens!G4398-Sens!G4399-Sens!G4401</f>
        <v>55.3409024237793</v>
      </c>
      <c r="H4403" s="6" t="n">
        <f aca="false">Sens!H4402-Sens!H4396-Sens!H4397-Sens!H4398-Sens!H4399-Sens!H4401</f>
        <v>61.6731818515206</v>
      </c>
      <c r="I4403" s="6" t="n">
        <f aca="false">Sens!I4402-Sens!I4396-Sens!I4397-Sens!I4398-Sens!I4399-Sens!I4401</f>
        <v>67.8307563030862</v>
      </c>
      <c r="J4403" s="6" t="n">
        <f aca="false">Sens!J4402-Sens!J4396-Sens!J4397-Sens!J4398-Sens!J4399-Sens!J4401</f>
        <v>73.2126481301526</v>
      </c>
      <c r="K4403" s="6" t="n">
        <f aca="false">Sens!K4402-Sens!K4396-Sens!K4397-Sens!K4398-Sens!K4399-Sens!K4401</f>
        <v>77.1287608000902</v>
      </c>
    </row>
    <row r="4404" customFormat="false" ht="17.15" hidden="false" customHeight="false" outlineLevel="0" collapsed="false">
      <c r="A4404" s="0" t="s">
        <v>957</v>
      </c>
      <c r="B4404" s="0" t="s">
        <v>95</v>
      </c>
      <c r="F4404" s="6" t="n">
        <f aca="false">Sens!F4330+Sens!F4395*Sens!F4305</f>
        <v>23.7614496501917</v>
      </c>
      <c r="G4404" s="6" t="n">
        <f aca="false">Sens!G4330+Sens!G4395*Sens!G4305</f>
        <v>24.3102829796831</v>
      </c>
      <c r="H4404" s="6" t="n">
        <f aca="false">Sens!H4330+Sens!H4395*Sens!H4305</f>
        <v>25.1047078461683</v>
      </c>
      <c r="I4404" s="6" t="n">
        <f aca="false">Sens!I4330+Sens!I4395*Sens!I4305</f>
        <v>26.1167188906075</v>
      </c>
      <c r="J4404" s="6" t="n">
        <f aca="false">Sens!J4330+Sens!J4395*Sens!J4305</f>
        <v>27.3153432784992</v>
      </c>
      <c r="K4404" s="6" t="n">
        <f aca="false">Sens!K4330+Sens!K4395*Sens!K4305</f>
        <v>28.669125535858</v>
      </c>
    </row>
    <row r="4405" customFormat="false" ht="17.15" hidden="false" customHeight="false" outlineLevel="0" collapsed="false">
      <c r="A4405" s="0" t="s">
        <v>958</v>
      </c>
      <c r="B4405" s="0" t="s">
        <v>95</v>
      </c>
      <c r="F4405" s="6" t="n">
        <f aca="false">(Sens!F4404-Sens!F4400)*Sens!F4301/(Sens!F4301+Sens!F4303)</f>
        <v>7.44716738937041</v>
      </c>
      <c r="G4405" s="6" t="n">
        <f aca="false">(Sens!G4404-Sens!G4400)*Sens!G4301/(Sens!G4301+Sens!G4303)</f>
        <v>7.08584634644459</v>
      </c>
      <c r="H4405" s="6" t="n">
        <f aca="false">(Sens!H4404-Sens!H4400)*Sens!H4301/(Sens!H4301+Sens!H4303)</f>
        <v>6.8728046313797</v>
      </c>
      <c r="I4405" s="6" t="n">
        <f aca="false">(Sens!I4404-Sens!I4400)*Sens!I4301/(Sens!I4301+Sens!I4303)</f>
        <v>6.7919941049909</v>
      </c>
      <c r="J4405" s="6" t="n">
        <f aca="false">(Sens!J4404-Sens!J4400)*Sens!J4301/(Sens!J4301+Sens!J4303)</f>
        <v>6.83289424870966</v>
      </c>
      <c r="K4405" s="6" t="n">
        <f aca="false">(Sens!K4404-Sens!K4400)*Sens!K4301/(Sens!K4301+Sens!K4303)</f>
        <v>6.99063000511329</v>
      </c>
    </row>
    <row r="4406" customFormat="false" ht="17.15" hidden="false" customHeight="false" outlineLevel="0" collapsed="false">
      <c r="A4406" s="0" t="s">
        <v>959</v>
      </c>
      <c r="B4406" s="0" t="s">
        <v>95</v>
      </c>
      <c r="F4406" s="6" t="n">
        <f aca="false">Sens!F4404-Sens!F4400-Sens!F4405</f>
        <v>6.13783754569201</v>
      </c>
      <c r="G4406" s="6" t="n">
        <f aca="false">Sens!G4404-Sens!G4400-Sens!G4405</f>
        <v>6.0746940667796</v>
      </c>
      <c r="H4406" s="6" t="n">
        <f aca="false">Sens!H4404-Sens!H4400-Sens!H4405</f>
        <v>6.06684652731476</v>
      </c>
      <c r="I4406" s="6" t="n">
        <f aca="false">Sens!I4404-Sens!I4400-Sens!I4405</f>
        <v>6.11227041651263</v>
      </c>
      <c r="J4406" s="6" t="n">
        <f aca="false">Sens!J4404-Sens!J4400-Sens!J4405</f>
        <v>6.20804804865309</v>
      </c>
      <c r="K4406" s="6" t="n">
        <f aca="false">Sens!K4404-Sens!K4400-Sens!K4405</f>
        <v>6.35135937751338</v>
      </c>
    </row>
    <row r="4407" customFormat="false" ht="17.15" hidden="false" customHeight="false" outlineLevel="0" collapsed="false">
      <c r="A4407" s="1" t="s">
        <v>960</v>
      </c>
      <c r="B4407" s="0" t="s">
        <v>95</v>
      </c>
      <c r="C4407" s="6" t="n">
        <f aca="false">(w_ntm28*Sens!G4401+(1-w_ntm28)*Sens!H4401)*m_ai*1</f>
        <v>551.711134531404</v>
      </c>
    </row>
    <row r="4408" customFormat="false" ht="17.15" hidden="false" customHeight="false" outlineLevel="0" collapsed="false">
      <c r="A4408" s="1" t="s">
        <v>961</v>
      </c>
      <c r="B4408" s="0" t="s">
        <v>95</v>
      </c>
      <c r="C4408" s="6" t="n">
        <f aca="false">(w_ntm28*Sens!G4403+(1-w_ntm28)*Sens!H4403)*m_cloud*1</f>
        <v>793.102855057132</v>
      </c>
    </row>
    <row r="4409" customFormat="false" ht="17.15" hidden="false" customHeight="false" outlineLevel="0" collapsed="false">
      <c r="A4409" s="1" t="s">
        <v>962</v>
      </c>
      <c r="B4409" s="0" t="s">
        <v>95</v>
      </c>
      <c r="C4409" s="6" t="n">
        <f aca="false">(w_ntm28*Sens!G4396+(1-w_ntm28)*Sens!H4396)*m_sw*1</f>
        <v>1007.6788086467</v>
      </c>
    </row>
    <row r="4410" customFormat="false" ht="17.15" hidden="false" customHeight="false" outlineLevel="0" collapsed="false">
      <c r="A4410" s="1" t="s">
        <v>963</v>
      </c>
      <c r="B4410" s="0" t="s">
        <v>95</v>
      </c>
      <c r="C4410" s="6" t="n">
        <f aca="false">(w_ntm28*Sens!G4397+(1-w_ntm28)*Sens!H4397)*m_sw*1</f>
        <v>362.962060031846</v>
      </c>
    </row>
    <row r="4411" customFormat="false" ht="17.15" hidden="false" customHeight="false" outlineLevel="0" collapsed="false">
      <c r="A4411" s="1" t="s">
        <v>964</v>
      </c>
      <c r="B4411" s="0" t="s">
        <v>95</v>
      </c>
      <c r="C4411" s="6" t="n">
        <f aca="false">(w_ntm28*Sens!G4398+(1-w_ntm28)*Sens!H4398)*m_sw*1</f>
        <v>99.1941969932153</v>
      </c>
    </row>
    <row r="4412" customFormat="false" ht="17.15" hidden="false" customHeight="false" outlineLevel="0" collapsed="false">
      <c r="A4412" s="1" t="s">
        <v>965</v>
      </c>
      <c r="B4412" s="0" t="s">
        <v>95</v>
      </c>
      <c r="C4412" s="6" t="n">
        <f aca="false">(w_ntm28*Sens!G4399+(1-w_ntm28)*Sens!H4399)*m_sw*1</f>
        <v>37.8442914650926</v>
      </c>
    </row>
    <row r="4413" customFormat="false" ht="17.15" hidden="false" customHeight="false" outlineLevel="0" collapsed="false">
      <c r="A4413" s="1" t="s">
        <v>966</v>
      </c>
      <c r="B4413" s="0" t="s">
        <v>95</v>
      </c>
      <c r="C4413" s="6" t="n">
        <f aca="false">(w_ntm28*Sens!G4400+(1-w_ntm28)*Sens!H4400)*m_ads*1</f>
        <v>104.564407859368</v>
      </c>
    </row>
    <row r="4414" customFormat="false" ht="17.15" hidden="false" customHeight="false" outlineLevel="0" collapsed="false">
      <c r="A4414" s="1" t="s">
        <v>967</v>
      </c>
      <c r="B4414" s="0" t="s">
        <v>95</v>
      </c>
      <c r="C4414" s="6" t="n">
        <f aca="false">(w_ntm28*Sens!G4405+(1-w_ntm28)*Sens!H4405)*m_game*1</f>
        <v>88.6243637675683</v>
      </c>
    </row>
    <row r="4415" customFormat="false" ht="17.15" hidden="false" customHeight="false" outlineLevel="0" collapsed="false">
      <c r="A4415" s="1" t="s">
        <v>968</v>
      </c>
      <c r="B4415" s="0" t="s">
        <v>95</v>
      </c>
      <c r="C4415" s="6" t="n">
        <f aca="false">(w_ntm28*Sens!G4406+(1-w_ntm28)*Sens!H4406)*m_pc*1</f>
        <v>87.8641125716854</v>
      </c>
    </row>
    <row r="4416" customFormat="false" ht="17.15" hidden="false" customHeight="false" outlineLevel="0" collapsed="false">
      <c r="A4416" s="1" t="s">
        <v>969</v>
      </c>
      <c r="B4416" s="0" t="s">
        <v>95</v>
      </c>
      <c r="C4416" s="6" t="n">
        <f aca="false">Sens!$C$4407+Sens!$C$4408+Sens!$C$4409+Sens!$C$4410+Sens!$C$4411+Sens!$C$4412+Sens!$C$4413+Sens!$C$4414+Sens!$C$4415</f>
        <v>3133.54623092401</v>
      </c>
    </row>
    <row r="4417" customFormat="false" ht="17.15" hidden="false" customHeight="false" outlineLevel="0" collapsed="false">
      <c r="A4417" s="1" t="s">
        <v>903</v>
      </c>
      <c r="B4417" s="0" t="s">
        <v>95</v>
      </c>
      <c r="C4417" s="6" t="n">
        <f aca="false">Sens!F4374+oai_v-Sens!F4363</f>
        <v>113.948999069163</v>
      </c>
      <c r="L4417" s="1" t="s">
        <v>970</v>
      </c>
    </row>
    <row r="4418" customFormat="false" ht="15" hidden="false" customHeight="false" outlineLevel="0" collapsed="false">
      <c r="A4418" s="1" t="s">
        <v>904</v>
      </c>
      <c r="B4418" s="0" t="s">
        <v>73</v>
      </c>
      <c r="C4418" s="5" t="n">
        <f aca="false">(Sens!$C$4416+Sens!$C$4417)/Sens!F4376</f>
        <v>434.621952622213</v>
      </c>
    </row>
    <row r="4419" customFormat="false" ht="17.15" hidden="false" customHeight="false" outlineLevel="0" collapsed="false">
      <c r="A4419" s="1" t="s">
        <v>971</v>
      </c>
      <c r="B4419" s="0" t="s">
        <v>73</v>
      </c>
      <c r="C4419" s="5" t="n">
        <f aca="false">w_dcf*Sens!$C$4394+(1-w_dcf)*Sens!$C$4418</f>
        <v>355.501806154414</v>
      </c>
    </row>
    <row r="4420" customFormat="false" ht="17.15" hidden="false" customHeight="false" outlineLevel="0" collapsed="false">
      <c r="A4420" s="3" t="s">
        <v>1239</v>
      </c>
    </row>
    <row r="4421" customFormat="false" ht="15" hidden="false" customHeight="false" outlineLevel="0" collapsed="false">
      <c r="A4421" s="4" t="s">
        <v>43</v>
      </c>
      <c r="B4421" s="4" t="s">
        <v>63</v>
      </c>
      <c r="C4421" s="19" t="s">
        <v>710</v>
      </c>
      <c r="D4421" s="19" t="s">
        <v>711</v>
      </c>
      <c r="E4421" s="19" t="s">
        <v>712</v>
      </c>
      <c r="F4421" s="19" t="s">
        <v>713</v>
      </c>
      <c r="G4421" s="19" t="s">
        <v>714</v>
      </c>
      <c r="H4421" s="19" t="s">
        <v>715</v>
      </c>
      <c r="I4421" s="19" t="s">
        <v>716</v>
      </c>
      <c r="J4421" s="19" t="s">
        <v>717</v>
      </c>
      <c r="K4421" s="19" t="s">
        <v>718</v>
      </c>
      <c r="L4421" s="4" t="s">
        <v>47</v>
      </c>
    </row>
    <row r="4422" customFormat="false" ht="17.15" hidden="false" customHeight="false" outlineLevel="0" collapsed="false">
      <c r="A4422" s="1" t="s">
        <v>719</v>
      </c>
      <c r="B4422" s="0" t="s">
        <v>340</v>
      </c>
      <c r="C4422" s="27" t="n">
        <f aca="false">mw_ext_24</f>
        <v>640</v>
      </c>
      <c r="D4422" s="27" t="n">
        <f aca="false">mw_ext_25</f>
        <v>1630</v>
      </c>
      <c r="E4422" s="27" t="n">
        <f aca="false">mw_ext_26</f>
        <v>3250</v>
      </c>
      <c r="F4422" s="27" t="n">
        <f aca="false">MIN(1000000000,Sens!E4422+pace)</f>
        <v>5777.2</v>
      </c>
      <c r="G4422" s="27" t="n">
        <f aca="false">MIN(1000000000,Sens!F4422+pace)</f>
        <v>8304.4</v>
      </c>
      <c r="H4422" s="27" t="n">
        <f aca="false">MIN(1000000000,Sens!G4422+pace)</f>
        <v>10831.6</v>
      </c>
      <c r="I4422" s="27" t="n">
        <f aca="false">MIN(1000000000,Sens!H4422+pace)</f>
        <v>13358.8</v>
      </c>
      <c r="J4422" s="27" t="n">
        <f aca="false">MIN(1000000000,Sens!I4422+pace)</f>
        <v>15886</v>
      </c>
      <c r="K4422" s="27" t="n">
        <f aca="false">MIN(1000000000,Sens!J4422+pace)</f>
        <v>18413.2</v>
      </c>
      <c r="L4422" s="11" t="s">
        <v>720</v>
      </c>
    </row>
    <row r="4423" customFormat="false" ht="17.15" hidden="false" customHeight="false" outlineLevel="0" collapsed="false">
      <c r="A4423" s="1" t="s">
        <v>721</v>
      </c>
      <c r="B4423" s="0" t="s">
        <v>340</v>
      </c>
      <c r="C4423" s="27" t="n">
        <f aca="false">rent_ext_24</f>
        <v>150</v>
      </c>
      <c r="D4423" s="27" t="n">
        <f aca="false">rent_ext_25</f>
        <v>400</v>
      </c>
      <c r="E4423" s="27" t="n">
        <f aca="false">rent_ext_26</f>
        <v>550</v>
      </c>
      <c r="F4423" s="27" t="n">
        <f aca="false">rent_ext_f</f>
        <v>756</v>
      </c>
      <c r="G4423" s="27" t="n">
        <f aca="false">rent_ext_f</f>
        <v>756</v>
      </c>
      <c r="H4423" s="27" t="n">
        <f aca="false">rent_ext_f</f>
        <v>756</v>
      </c>
      <c r="I4423" s="27" t="n">
        <f aca="false">rent_ext_f</f>
        <v>756</v>
      </c>
      <c r="J4423" s="27" t="n">
        <f aca="false">rent_ext_f</f>
        <v>756</v>
      </c>
      <c r="K4423" s="27" t="n">
        <f aca="false">rent_ext_f</f>
        <v>756</v>
      </c>
      <c r="L4423" s="1" t="s">
        <v>722</v>
      </c>
    </row>
    <row r="4424" customFormat="false" ht="17.15" hidden="false" customHeight="false" outlineLevel="0" collapsed="false">
      <c r="A4424" s="1" t="s">
        <v>723</v>
      </c>
      <c r="B4424" s="0" t="s">
        <v>340</v>
      </c>
      <c r="C4424" s="27" t="n">
        <f aca="false">Sens!C4422-Sens!C4423</f>
        <v>490</v>
      </c>
      <c r="D4424" s="27" t="n">
        <f aca="false">Sens!D4422-Sens!D4423</f>
        <v>1230</v>
      </c>
      <c r="E4424" s="27" t="n">
        <f aca="false">Sens!E4422-Sens!E4423</f>
        <v>2700</v>
      </c>
      <c r="F4424" s="27" t="n">
        <f aca="false">Sens!F4422-Sens!F4423</f>
        <v>5021.2</v>
      </c>
      <c r="G4424" s="27" t="n">
        <f aca="false">Sens!G4422-Sens!G4423</f>
        <v>7548.4</v>
      </c>
      <c r="H4424" s="27" t="n">
        <f aca="false">Sens!H4422-Sens!H4423</f>
        <v>10075.6</v>
      </c>
      <c r="I4424" s="27" t="n">
        <f aca="false">Sens!I4422-Sens!I4423</f>
        <v>12602.8</v>
      </c>
      <c r="J4424" s="27" t="n">
        <f aca="false">Sens!J4422-Sens!J4423</f>
        <v>15130</v>
      </c>
      <c r="K4424" s="27" t="n">
        <f aca="false">Sens!K4422-Sens!K4423</f>
        <v>17657.2</v>
      </c>
    </row>
    <row r="4425" customFormat="false" ht="17.15" hidden="false" customHeight="false" outlineLevel="0" collapsed="false">
      <c r="A4425" s="1" t="s">
        <v>724</v>
      </c>
      <c r="B4425" s="0" t="s">
        <v>340</v>
      </c>
      <c r="C4425" s="27" t="n">
        <f aca="false">Sens!C4424/ext_sh</f>
        <v>816.666666666667</v>
      </c>
      <c r="D4425" s="27" t="n">
        <f aca="false">Sens!D4424/ext_sh</f>
        <v>2050</v>
      </c>
      <c r="E4425" s="27" t="n">
        <f aca="false">Sens!E4424/ext_sh</f>
        <v>4500</v>
      </c>
      <c r="F4425" s="27" t="n">
        <f aca="false">Sens!F4424/ext_sh</f>
        <v>8368.66666666667</v>
      </c>
      <c r="G4425" s="27" t="n">
        <f aca="false">Sens!G4424/ext_sh</f>
        <v>12580.6666666667</v>
      </c>
      <c r="H4425" s="27" t="n">
        <f aca="false">Sens!H4424/ext_sh</f>
        <v>16792.6666666667</v>
      </c>
      <c r="I4425" s="27" t="n">
        <f aca="false">Sens!I4424/ext_sh</f>
        <v>21004.6666666667</v>
      </c>
      <c r="J4425" s="27" t="n">
        <f aca="false">Sens!J4424/ext_sh</f>
        <v>25216.6666666667</v>
      </c>
      <c r="K4425" s="27" t="n">
        <f aca="false">Sens!K4424/ext_sh</f>
        <v>29428.6666666667</v>
      </c>
      <c r="L4425" s="1" t="s">
        <v>725</v>
      </c>
    </row>
    <row r="4426" customFormat="false" ht="17.15" hidden="false" customHeight="false" outlineLevel="0" collapsed="false">
      <c r="A4426" s="1" t="s">
        <v>726</v>
      </c>
      <c r="B4426" s="0" t="s">
        <v>340</v>
      </c>
      <c r="C4426" s="27" t="n">
        <f aca="false">Sens!C4425-Sens!C4424</f>
        <v>326.666666666667</v>
      </c>
      <c r="D4426" s="27" t="n">
        <f aca="false">Sens!D4425-Sens!D4424</f>
        <v>820</v>
      </c>
      <c r="E4426" s="27" t="n">
        <f aca="false">Sens!E4425-Sens!E4424</f>
        <v>1800</v>
      </c>
      <c r="F4426" s="27" t="n">
        <f aca="false">Sens!F4425-Sens!F4424</f>
        <v>3347.46666666667</v>
      </c>
      <c r="G4426" s="27" t="n">
        <f aca="false">Sens!G4425-Sens!G4424</f>
        <v>5032.26666666667</v>
      </c>
      <c r="H4426" s="27" t="n">
        <f aca="false">Sens!H4425-Sens!H4424</f>
        <v>6717.06666666667</v>
      </c>
      <c r="I4426" s="27" t="n">
        <f aca="false">Sens!I4425-Sens!I4424</f>
        <v>8401.86666666667</v>
      </c>
      <c r="J4426" s="27" t="n">
        <f aca="false">Sens!J4425-Sens!J4424</f>
        <v>10086.6666666667</v>
      </c>
      <c r="K4426" s="27" t="n">
        <f aca="false">Sens!K4425-Sens!K4424</f>
        <v>11771.4666666667</v>
      </c>
    </row>
    <row r="4427" customFormat="false" ht="17.15" hidden="false" customHeight="false" outlineLevel="0" collapsed="false">
      <c r="A4427" s="1" t="s">
        <v>727</v>
      </c>
      <c r="B4427" s="0" t="s">
        <v>340</v>
      </c>
      <c r="C4427" s="27" t="n">
        <f aca="false">Sens!C4425</f>
        <v>816.666666666667</v>
      </c>
      <c r="D4427" s="27" t="n">
        <f aca="false">Sens!D4425-Sens!C4425</f>
        <v>1233.33333333333</v>
      </c>
      <c r="E4427" s="27" t="n">
        <f aca="false">Sens!E4425-Sens!D4425</f>
        <v>2450</v>
      </c>
      <c r="F4427" s="27" t="n">
        <f aca="false">Sens!F4425-Sens!E4425</f>
        <v>3868.66666666667</v>
      </c>
      <c r="G4427" s="27" t="n">
        <f aca="false">Sens!G4425-Sens!F4425</f>
        <v>4212</v>
      </c>
      <c r="H4427" s="27" t="n">
        <f aca="false">Sens!H4425-Sens!G4425</f>
        <v>4212</v>
      </c>
      <c r="I4427" s="27" t="n">
        <f aca="false">Sens!I4425-Sens!H4425</f>
        <v>4212</v>
      </c>
      <c r="J4427" s="27" t="n">
        <f aca="false">Sens!J4425-Sens!I4425</f>
        <v>4212</v>
      </c>
      <c r="K4427" s="27" t="n">
        <f aca="false">Sens!K4425-Sens!J4425</f>
        <v>4212</v>
      </c>
    </row>
    <row r="4428" customFormat="false" ht="17.15" hidden="false" customHeight="false" outlineLevel="0" collapsed="false">
      <c r="A4428" s="1" t="s">
        <v>728</v>
      </c>
      <c r="B4428" s="0" t="s">
        <v>340</v>
      </c>
      <c r="D4428" s="27" t="n">
        <f aca="false">Sens!D4422-Sens!C4422</f>
        <v>990</v>
      </c>
      <c r="E4428" s="27" t="n">
        <f aca="false">Sens!E4422-Sens!D4422</f>
        <v>1620</v>
      </c>
      <c r="F4428" s="27" t="n">
        <f aca="false">Sens!F4422-Sens!E4422</f>
        <v>2527.2</v>
      </c>
      <c r="G4428" s="27" t="n">
        <f aca="false">Sens!G4422-Sens!F4422</f>
        <v>2527.2</v>
      </c>
      <c r="H4428" s="27" t="n">
        <f aca="false">Sens!H4422-Sens!G4422</f>
        <v>2527.2</v>
      </c>
      <c r="I4428" s="27" t="n">
        <f aca="false">Sens!I4422-Sens!H4422</f>
        <v>2527.2</v>
      </c>
      <c r="J4428" s="27" t="n">
        <f aca="false">Sens!J4422-Sens!I4422</f>
        <v>2527.2</v>
      </c>
      <c r="K4428" s="27" t="n">
        <f aca="false">Sens!K4422-Sens!J4422</f>
        <v>2527.2</v>
      </c>
    </row>
    <row r="4429" customFormat="false" ht="17.15" hidden="false" customHeight="false" outlineLevel="0" collapsed="false">
      <c r="A4429" s="1" t="s">
        <v>729</v>
      </c>
      <c r="B4429" s="0" t="s">
        <v>340</v>
      </c>
      <c r="C4429" s="27" t="n">
        <f aca="false">mix_h*Sens!C4422</f>
        <v>128</v>
      </c>
      <c r="D4429" s="27" t="n">
        <f aca="false">mix_h*Sens!D4422</f>
        <v>326</v>
      </c>
      <c r="E4429" s="27" t="n">
        <f aca="false">mix_h*Sens!E4422</f>
        <v>650</v>
      </c>
      <c r="F4429" s="27" t="n">
        <f aca="false">Sens!E4429</f>
        <v>650</v>
      </c>
      <c r="G4429" s="27" t="n">
        <f aca="false">Sens!F4429</f>
        <v>650</v>
      </c>
      <c r="H4429" s="27" t="n">
        <f aca="false">Sens!G4429</f>
        <v>650</v>
      </c>
      <c r="I4429" s="27" t="n">
        <f aca="false">Sens!H4429</f>
        <v>650</v>
      </c>
      <c r="J4429" s="27" t="n">
        <f aca="false">Sens!I4429</f>
        <v>650</v>
      </c>
      <c r="K4429" s="27" t="n">
        <f aca="false">Sens!J4429</f>
        <v>650</v>
      </c>
    </row>
    <row r="4430" customFormat="false" ht="17.15" hidden="false" customHeight="false" outlineLevel="0" collapsed="false">
      <c r="A4430" s="1" t="s">
        <v>730</v>
      </c>
      <c r="B4430" s="0" t="s">
        <v>340</v>
      </c>
      <c r="C4430" s="27" t="n">
        <f aca="false">mix_g2*Sens!C4422</f>
        <v>288</v>
      </c>
      <c r="D4430" s="27" t="n">
        <f aca="false">mix_g2*Sens!D4422</f>
        <v>733.5</v>
      </c>
      <c r="E4430" s="27" t="n">
        <f aca="false">mix_g2*Sens!E4422</f>
        <v>1462.5</v>
      </c>
      <c r="F4430" s="27" t="n">
        <f aca="false">Sens!E4430</f>
        <v>1462.5</v>
      </c>
      <c r="G4430" s="27" t="n">
        <f aca="false">Sens!F4430</f>
        <v>1462.5</v>
      </c>
      <c r="H4430" s="27" t="n">
        <f aca="false">Sens!G4430</f>
        <v>1462.5</v>
      </c>
      <c r="I4430" s="27" t="n">
        <f aca="false">Sens!H4430</f>
        <v>1462.5</v>
      </c>
      <c r="J4430" s="27" t="n">
        <f aca="false">Sens!I4430</f>
        <v>1462.5</v>
      </c>
      <c r="K4430" s="27" t="n">
        <f aca="false">Sens!J4430</f>
        <v>1462.5</v>
      </c>
    </row>
    <row r="4431" customFormat="false" ht="17.15" hidden="false" customHeight="false" outlineLevel="0" collapsed="false">
      <c r="A4431" s="1" t="s">
        <v>731</v>
      </c>
      <c r="B4431" s="0" t="s">
        <v>340</v>
      </c>
      <c r="C4431" s="27" t="n">
        <f aca="false">mix_g3*Sens!C4422</f>
        <v>224</v>
      </c>
      <c r="D4431" s="27" t="n">
        <f aca="false">mix_g3*Sens!D4422</f>
        <v>570.5</v>
      </c>
      <c r="E4431" s="27" t="n">
        <f aca="false">mix_g3*Sens!E4422</f>
        <v>1137.5</v>
      </c>
      <c r="F4431" s="27" t="n">
        <f aca="false">Sens!E4431+Sens!F4428*a_g3_27</f>
        <v>2906.54</v>
      </c>
      <c r="G4431" s="27" t="n">
        <f aca="false">Sens!F4431+Sens!G4428*a_g3_28</f>
        <v>3664.7</v>
      </c>
      <c r="H4431" s="27" t="n">
        <f aca="false">Sens!G4431+Sens!H4428*a_g3_29</f>
        <v>3917.42</v>
      </c>
      <c r="I4431" s="27" t="n">
        <f aca="false">Sens!H4431+Sens!I4428*a_g3_29</f>
        <v>4170.14</v>
      </c>
      <c r="J4431" s="27" t="n">
        <f aca="false">Sens!I4431+Sens!J4428*a_g3_29</f>
        <v>4422.86</v>
      </c>
      <c r="K4431" s="27" t="n">
        <f aca="false">Sens!J4431+Sens!K4428*a_g3_29</f>
        <v>4675.58</v>
      </c>
    </row>
    <row r="4432" customFormat="false" ht="17.15" hidden="false" customHeight="false" outlineLevel="0" collapsed="false">
      <c r="A4432" s="1" t="s">
        <v>732</v>
      </c>
      <c r="B4432" s="0" t="s">
        <v>340</v>
      </c>
      <c r="C4432" s="27" t="n">
        <f aca="false">0</f>
        <v>0</v>
      </c>
      <c r="D4432" s="27" t="n">
        <f aca="false">0</f>
        <v>0</v>
      </c>
      <c r="E4432" s="27" t="n">
        <f aca="false">0</f>
        <v>0</v>
      </c>
      <c r="F4432" s="27" t="n">
        <f aca="false">Sens!E4432+Sens!F4428*(1-a_g3_27)</f>
        <v>758.16</v>
      </c>
      <c r="G4432" s="27" t="n">
        <f aca="false">Sens!F4432+Sens!G4428*(1-a_g3_28)</f>
        <v>2527.2</v>
      </c>
      <c r="H4432" s="27" t="n">
        <f aca="false">Sens!G4432+Sens!H4428*(1-a_g3_29)</f>
        <v>4801.68</v>
      </c>
      <c r="I4432" s="27" t="n">
        <f aca="false">Sens!H4432+Sens!I4428*(1-a_g3_29)</f>
        <v>7076.16</v>
      </c>
      <c r="J4432" s="27" t="n">
        <f aca="false">Sens!I4432+Sens!J4428*(1-a_g3_29)</f>
        <v>9350.64</v>
      </c>
      <c r="K4432" s="27" t="n">
        <f aca="false">Sens!J4432+Sens!K4428*(1-a_g3_29)</f>
        <v>11625.12</v>
      </c>
    </row>
    <row r="4433" customFormat="false" ht="17.15" hidden="false" customHeight="false" outlineLevel="0" collapsed="false">
      <c r="A4433" s="1" t="s">
        <v>733</v>
      </c>
      <c r="B4433" s="0" t="s">
        <v>291</v>
      </c>
      <c r="C4433" s="18" t="n">
        <f aca="false">(Sens!C4429*tk_hold_h100+Sens!C4430*tk_hold_gb200+Sens!C4431*tk_hold_gb300+Sens!C4432*tk_hold_vr200)/Sens!C4422</f>
        <v>9.7235358126469</v>
      </c>
      <c r="D4433" s="18" t="n">
        <f aca="false">(Sens!D4429*tk_hold_h100+Sens!D4430*tk_hold_gb200+Sens!D4431*tk_hold_gb300+Sens!D4432*tk_hold_vr200)/Sens!D4422</f>
        <v>9.7235358126469</v>
      </c>
      <c r="E4433" s="18" t="n">
        <f aca="false">(Sens!E4429*tk_hold_h100+Sens!E4430*tk_hold_gb200+Sens!E4431*tk_hold_gb300+Sens!E4432*tk_hold_vr200)/Sens!E4422</f>
        <v>9.7235358126469</v>
      </c>
      <c r="F4433" s="18" t="n">
        <f aca="false">(Sens!F4429*tk_hold_h100+Sens!F4430*tk_hold_gb200+Sens!F4431*tk_hold_gb300+Sens!F4432*tk_hold_vr200)/Sens!F4422</f>
        <v>10.4079573161931</v>
      </c>
      <c r="G4433" s="18" t="n">
        <f aca="false">(Sens!G4429*tk_hold_h100+Sens!G4430*tk_hold_gb200+Sens!G4431*tk_hold_gb300+Sens!G4432*tk_hold_vr200)/Sens!G4422</f>
        <v>10.8388131109316</v>
      </c>
      <c r="H4433" s="18" t="n">
        <f aca="false">(Sens!H4429*tk_hold_h100+Sens!H4430*tk_hold_gb200+Sens!H4431*tk_hold_gb300+Sens!H4432*tk_hold_vr200)/Sens!H4422</f>
        <v>11.1311018388216</v>
      </c>
      <c r="I4433" s="18" t="n">
        <f aca="false">(Sens!I4429*tk_hold_h100+Sens!I4430*tk_hold_gb200+Sens!I4431*tk_hold_gb300+Sens!I4432*tk_hold_vr200)/Sens!I4422</f>
        <v>11.3128009818501</v>
      </c>
      <c r="J4433" s="18" t="n">
        <f aca="false">(Sens!J4429*tk_hold_h100+Sens!J4430*tk_hold_gb200+Sens!J4431*tk_hold_gb300+Sens!J4432*tk_hold_vr200)/Sens!J4422</f>
        <v>11.4366894646418</v>
      </c>
      <c r="K4433" s="18" t="n">
        <f aca="false">(Sens!K4429*tk_hold_h100+Sens!K4430*tk_hold_gb200+Sens!K4431*tk_hold_gb300+Sens!K4432*tk_hold_vr200)/Sens!K4422</f>
        <v>11.526570716348</v>
      </c>
    </row>
    <row r="4434" customFormat="false" ht="17.15" hidden="false" customHeight="false" outlineLevel="0" collapsed="false">
      <c r="A4434" s="0" t="s">
        <v>734</v>
      </c>
      <c r="B4434" s="0" t="s">
        <v>182</v>
      </c>
      <c r="C4434" s="18" t="n">
        <f aca="false">k_B</f>
        <v>1.17213932619116</v>
      </c>
      <c r="D4434" s="18" t="n">
        <f aca="false">k_B</f>
        <v>1.17213932619116</v>
      </c>
      <c r="E4434" s="18" t="n">
        <f aca="false">k_B</f>
        <v>1.17213932619116</v>
      </c>
      <c r="F4434" s="18" t="n">
        <f aca="false">(k_B+((ls_B*k_long+(1-ls_B)*k_spot)-k_B)*MIN(1,1/3))*1</f>
        <v>1.17213932619116</v>
      </c>
      <c r="G4434" s="18" t="n">
        <f aca="false">(k_B+((ls_B*k_long+(1-ls_B)*k_spot)-k_B)*MIN(1,2/3))*1</f>
        <v>1.17213932619116</v>
      </c>
      <c r="H4434" s="18" t="n">
        <f aca="false">(k_B+((ls_B*k_long+(1-ls_B)*k_spot)-k_B)*MIN(1,3/3))*1</f>
        <v>1.17213932619116</v>
      </c>
      <c r="I4434" s="18" t="n">
        <f aca="false">(k_B+((ls_B*k_long+(1-ls_B)*k_spot)-k_B)*MIN(1,4/3))*1</f>
        <v>1.17213932619116</v>
      </c>
      <c r="J4434" s="18" t="n">
        <f aca="false">(k_B+((ls_B*k_long+(1-ls_B)*k_spot)-k_B)*MIN(1,5/3))*1</f>
        <v>1.17213932619116</v>
      </c>
      <c r="K4434" s="18" t="n">
        <f aca="false">(k_B+((ls_B*k_long+(1-ls_B)*k_spot)-k_B)*MIN(1,6/3))*1</f>
        <v>1.17213932619116</v>
      </c>
      <c r="L4434" s="1" t="s">
        <v>735</v>
      </c>
    </row>
    <row r="4435" customFormat="false" ht="17.15" hidden="false" customHeight="false" outlineLevel="0" collapsed="false">
      <c r="A4435" s="1" t="s">
        <v>736</v>
      </c>
      <c r="B4435" s="0" t="s">
        <v>291</v>
      </c>
      <c r="C4435" s="18" t="n">
        <f aca="false">Sens!C4433*Sens!C4434*chip_f</f>
        <v>11.3973387156315</v>
      </c>
      <c r="D4435" s="18" t="n">
        <f aca="false">Sens!D4433*Sens!D4434*chip_f</f>
        <v>11.3973387156315</v>
      </c>
      <c r="E4435" s="18" t="n">
        <f aca="false">Sens!E4433*Sens!E4434*chip_f</f>
        <v>11.3973387156315</v>
      </c>
      <c r="F4435" s="18" t="n">
        <f aca="false">Sens!F4433*Sens!F4434*chip_f</f>
        <v>12.1995760756289</v>
      </c>
      <c r="G4435" s="18" t="n">
        <f aca="false">Sens!G4433*Sens!G4434*chip_f</f>
        <v>12.7045990965592</v>
      </c>
      <c r="H4435" s="18" t="n">
        <f aca="false">Sens!H4433*Sens!H4434*chip_f</f>
        <v>13.0472022091214</v>
      </c>
      <c r="I4435" s="18" t="n">
        <f aca="false">Sens!I4433*Sens!I4434*chip_f</f>
        <v>13.2601789202004</v>
      </c>
      <c r="J4435" s="18" t="n">
        <f aca="false">Sens!J4433*Sens!J4434*chip_f</f>
        <v>13.4053934829427</v>
      </c>
      <c r="K4435" s="18" t="n">
        <f aca="false">Sens!K4433*Sens!K4434*chip_f</f>
        <v>13.5107468327548</v>
      </c>
      <c r="L4435" s="1" t="s">
        <v>737</v>
      </c>
    </row>
    <row r="4436" customFormat="false" ht="17.15" hidden="false" customHeight="false" outlineLevel="0" collapsed="false">
      <c r="A4436" s="0" t="s">
        <v>738</v>
      </c>
      <c r="B4436" s="0" t="s">
        <v>95</v>
      </c>
      <c r="D4436" s="6" t="n">
        <f aca="false">(Sens!C4422+Sens!D4422)/2*Sens!D4435/1000</f>
        <v>12.9359794422418</v>
      </c>
      <c r="E4436" s="6" t="n">
        <f aca="false">(Sens!D4422+Sens!E4422)/2*Sens!E4435/1000</f>
        <v>27.8095064661409</v>
      </c>
      <c r="F4436" s="6" t="n">
        <f aca="false">(Sens!E4422+Sens!F4422)/2*Sens!F4435/1000</f>
        <v>55.0640065749585</v>
      </c>
      <c r="G4436" s="6" t="n">
        <f aca="false">(Sens!F4422+Sens!G4422)/2*Sens!G4435/1000</f>
        <v>89.4505413190538</v>
      </c>
      <c r="H4436" s="6" t="n">
        <f aca="false">(Sens!G4422+Sens!H4422)/2*Sens!H4435/1000</f>
        <v>124.835630736874</v>
      </c>
      <c r="I4436" s="6" t="n">
        <f aca="false">(Sens!H4422+Sens!I4422)/2*Sens!I4435/1000</f>
        <v>160.384516075608</v>
      </c>
      <c r="J4436" s="6" t="n">
        <f aca="false">(Sens!I4422+Sens!J4422)/2*Sens!J4435/1000</f>
        <v>196.019025664981</v>
      </c>
      <c r="K4436" s="6" t="n">
        <f aca="false">(Sens!J4422+Sens!K4422)/2*Sens!K4435/1000</f>
        <v>231.703903883012</v>
      </c>
      <c r="L4436" s="11" t="s">
        <v>739</v>
      </c>
    </row>
    <row r="4437" customFormat="false" ht="17.15" hidden="false" customHeight="false" outlineLevel="0" collapsed="false">
      <c r="A4437" s="1" t="s">
        <v>740</v>
      </c>
      <c r="B4437" s="0" t="s">
        <v>291</v>
      </c>
      <c r="C4437" s="18" t="n">
        <f aca="false">(Sens!C4429*tk_opex_h100+Sens!C4430*tk_opex_gb200+Sens!C4431*tk_opex_gb300+Sens!C4432*tk_opex_vr200)/Sens!C4422</f>
        <v>1.88636041306092</v>
      </c>
      <c r="D4437" s="18" t="n">
        <f aca="false">(Sens!D4429*tk_opex_h100+Sens!D4430*tk_opex_gb200+Sens!D4431*tk_opex_gb300+Sens!D4432*tk_opex_vr200)/Sens!D4422</f>
        <v>1.88636041306092</v>
      </c>
      <c r="E4437" s="18" t="n">
        <f aca="false">(Sens!E4429*tk_opex_h100+Sens!E4430*tk_opex_gb200+Sens!E4431*tk_opex_gb300+Sens!E4432*tk_opex_vr200)/Sens!E4422</f>
        <v>1.88636041306092</v>
      </c>
      <c r="F4437" s="18" t="n">
        <f aca="false">(Sens!F4429*tk_opex_h100+Sens!F4430*tk_opex_gb200+Sens!F4431*tk_opex_gb300+Sens!F4432*tk_opex_vr200)/Sens!F4422</f>
        <v>1.9430236476499</v>
      </c>
      <c r="G4437" s="18" t="n">
        <f aca="false">(Sens!G4429*tk_opex_h100+Sens!G4430*tk_opex_gb200+Sens!G4431*tk_opex_gb300+Sens!G4432*tk_opex_vr200)/Sens!G4422</f>
        <v>1.9786941852423</v>
      </c>
      <c r="H4437" s="18" t="n">
        <f aca="false">(Sens!H4429*tk_opex_h100+Sens!H4430*tk_opex_gb200+Sens!H4431*tk_opex_gb300+Sens!H4432*tk_opex_vr200)/Sens!H4422</f>
        <v>2.00289275976156</v>
      </c>
      <c r="I4437" s="18" t="n">
        <f aca="false">(Sens!I4429*tk_opex_h100+Sens!I4430*tk_opex_gb200+Sens!I4431*tk_opex_gb300+Sens!I4432*tk_opex_vr200)/Sens!I4422</f>
        <v>2.01793562605478</v>
      </c>
      <c r="J4437" s="18" t="n">
        <f aca="false">(Sens!J4429*tk_opex_h100+Sens!J4430*tk_opex_gb200+Sens!J4431*tk_opex_gb300+Sens!J4432*tk_opex_vr200)/Sens!J4422</f>
        <v>2.02819234961902</v>
      </c>
      <c r="K4437" s="18" t="n">
        <f aca="false">(Sens!K4429*tk_opex_h100+Sens!K4430*tk_opex_gb200+Sens!K4431*tk_opex_gb300+Sens!K4432*tk_opex_vr200)/Sens!K4422</f>
        <v>2.0356336155994</v>
      </c>
    </row>
    <row r="4438" customFormat="false" ht="17.15" hidden="false" customHeight="false" outlineLevel="0" collapsed="false">
      <c r="A4438" s="0" t="s">
        <v>741</v>
      </c>
      <c r="B4438" s="0" t="s">
        <v>95</v>
      </c>
      <c r="D4438" s="6" t="n">
        <f aca="false">(Sens!C4425+Sens!D4425)/2*Sens!D4437/1000</f>
        <v>2.70378325872065</v>
      </c>
      <c r="E4438" s="6" t="n">
        <f aca="false">(Sens!D4425+Sens!E4425)/2*Sens!E4437/1000</f>
        <v>6.17783035277451</v>
      </c>
      <c r="F4438" s="6" t="n">
        <f aca="false">(Sens!E4425+Sens!F4425)/2*Sens!F4437/1000</f>
        <v>12.5020618235287</v>
      </c>
      <c r="G4438" s="6" t="n">
        <f aca="false">(Sens!F4425+Sens!G4425)/2*Sens!G4437/1000</f>
        <v>20.7261620256847</v>
      </c>
      <c r="H4438" s="6" t="n">
        <f aca="false">(Sens!G4425+Sens!H4425)/2*Sens!H4437/1000</f>
        <v>29.4158183316982</v>
      </c>
      <c r="I4438" s="6" t="n">
        <f aca="false">(Sens!H4425+Sens!I4425)/2*Sens!I4437/1000</f>
        <v>38.1362927516005</v>
      </c>
      <c r="J4438" s="6" t="n">
        <f aca="false">(Sens!I4425+Sens!J4425)/2*Sens!J4437/1000</f>
        <v>46.8728773279286</v>
      </c>
      <c r="K4438" s="6" t="n">
        <f aca="false">(Sens!J4425+Sens!K4425)/2*Sens!K4437/1000</f>
        <v>55.618938734484</v>
      </c>
    </row>
    <row r="4439" customFormat="false" ht="17.15" hidden="false" customHeight="false" outlineLevel="0" collapsed="false">
      <c r="A4439" s="0" t="s">
        <v>742</v>
      </c>
      <c r="B4439" s="0" t="s">
        <v>95</v>
      </c>
      <c r="D4439" s="6" t="n">
        <f aca="false">(Sens!C4423+Sens!D4423)/2*rent_mw/1000</f>
        <v>2.44475</v>
      </c>
      <c r="E4439" s="6" t="n">
        <f aca="false">(Sens!D4423+Sens!E4423)/2*rent_mw/1000</f>
        <v>4.22275</v>
      </c>
      <c r="F4439" s="6" t="n">
        <f aca="false">(Sens!E4423+Sens!F4423)/2*rent_mw/1000</f>
        <v>5.80517</v>
      </c>
      <c r="G4439" s="6" t="n">
        <f aca="false">(Sens!F4423+Sens!G4423)/2*rent_mw/1000</f>
        <v>6.72084</v>
      </c>
      <c r="H4439" s="6" t="n">
        <f aca="false">(Sens!G4423+Sens!H4423)/2*rent_mw/1000</f>
        <v>6.72084</v>
      </c>
      <c r="I4439" s="6" t="n">
        <f aca="false">(Sens!H4423+Sens!I4423)/2*rent_mw/1000</f>
        <v>6.72084</v>
      </c>
      <c r="J4439" s="6" t="n">
        <f aca="false">(Sens!I4423+Sens!J4423)/2*rent_mw/1000</f>
        <v>6.72084</v>
      </c>
      <c r="K4439" s="6" t="n">
        <f aca="false">(Sens!J4423+Sens!K4423)/2*rent_mw/1000</f>
        <v>6.72084</v>
      </c>
    </row>
    <row r="4440" customFormat="false" ht="17.15" hidden="false" customHeight="false" outlineLevel="0" collapsed="false">
      <c r="A4440" s="0" t="s">
        <v>743</v>
      </c>
      <c r="B4440" s="0" t="s">
        <v>95</v>
      </c>
      <c r="D4440" s="6" t="n">
        <f aca="false">(Sens!C4425+Sens!D4425)/2*(1-self_build)*fac_rent/1000</f>
        <v>0.853242375631075</v>
      </c>
      <c r="E4440" s="6" t="n">
        <f aca="false">(Sens!D4425+Sens!E4425)/2*(1-self_build)*fac_rent/1000</f>
        <v>1.94955961408728</v>
      </c>
      <c r="F4440" s="6" t="n">
        <f aca="false">(Sens!E4425+Sens!F4425)/2*(1-self_build)*fac_rent/1000</f>
        <v>3.83026455274573</v>
      </c>
      <c r="G4440" s="6" t="n">
        <f aca="false">(Sens!F4425+Sens!G4425)/2*(1-self_build)*fac_rent/1000</f>
        <v>6.23541590972812</v>
      </c>
      <c r="H4440" s="6" t="n">
        <f aca="false">(Sens!G4425+Sens!H4425)/2*(1-self_build)*fac_rent/1000</f>
        <v>8.74275792332679</v>
      </c>
      <c r="I4440" s="6" t="n">
        <f aca="false">(Sens!H4425+Sens!I4425)/2*(1-self_build)*fac_rent/1000</f>
        <v>11.2500999369255</v>
      </c>
      <c r="J4440" s="6" t="n">
        <f aca="false">(Sens!I4425+Sens!J4425)/2*(1-self_build)*fac_rent/1000</f>
        <v>13.7574419505241</v>
      </c>
      <c r="K4440" s="6" t="n">
        <f aca="false">(Sens!J4425+Sens!K4425)/2*(1-self_build)*fac_rent/1000</f>
        <v>16.2647839641228</v>
      </c>
      <c r="L4440" s="11" t="s">
        <v>744</v>
      </c>
    </row>
    <row r="4441" customFormat="false" ht="17.15" hidden="false" customHeight="false" outlineLevel="0" collapsed="false">
      <c r="A4441" s="1" t="s">
        <v>745</v>
      </c>
      <c r="B4441" s="0" t="s">
        <v>126</v>
      </c>
      <c r="D4441" s="7" t="n">
        <f aca="false">(Sens!C4424+Sens!D4424)/(Sens!C4425+Sens!D4425)</f>
        <v>0.6</v>
      </c>
      <c r="E4441" s="7" t="n">
        <f aca="false">(Sens!D4424+Sens!E4424)/(Sens!D4425+Sens!E4425)</f>
        <v>0.6</v>
      </c>
      <c r="F4441" s="7" t="n">
        <f aca="false">(Sens!E4424+Sens!F4424)/(Sens!E4425+Sens!F4425)</f>
        <v>0.6</v>
      </c>
      <c r="G4441" s="7" t="n">
        <f aca="false">(Sens!F4424+Sens!G4424)/(Sens!F4425+Sens!G4425)</f>
        <v>0.6</v>
      </c>
      <c r="H4441" s="7" t="n">
        <f aca="false">(Sens!G4424+Sens!H4424)/(Sens!G4425+Sens!H4425)</f>
        <v>0.6</v>
      </c>
      <c r="I4441" s="7" t="n">
        <f aca="false">(Sens!H4424+Sens!I4424)/(Sens!H4425+Sens!I4425)</f>
        <v>0.6</v>
      </c>
      <c r="J4441" s="7" t="n">
        <f aca="false">(Sens!I4424+Sens!J4424)/(Sens!I4425+Sens!J4425)</f>
        <v>0.6</v>
      </c>
      <c r="K4441" s="7" t="n">
        <f aca="false">(Sens!J4424+Sens!K4424)/(Sens!J4425+Sens!K4425)</f>
        <v>0.6</v>
      </c>
    </row>
    <row r="4442" customFormat="false" ht="17.15" hidden="false" customHeight="false" outlineLevel="0" collapsed="false">
      <c r="A4442" s="0" t="s">
        <v>746</v>
      </c>
      <c r="B4442" s="0" t="s">
        <v>95</v>
      </c>
      <c r="D4442" s="6" t="n">
        <f aca="false">Sens!D4436-Sens!D4441*(Sens!D4438+Sens!D4440)-Sens!D4439</f>
        <v>8.35701406163072</v>
      </c>
      <c r="E4442" s="6" t="n">
        <f aca="false">Sens!E4436-Sens!E4441*(Sens!E4438+Sens!E4440)-Sens!E4439</f>
        <v>18.7103224860238</v>
      </c>
      <c r="F4442" s="6" t="n">
        <f aca="false">Sens!F4436-Sens!F4441*(Sens!F4438+Sens!F4440)-Sens!F4439</f>
        <v>39.4594407491938</v>
      </c>
      <c r="G4442" s="6" t="n">
        <f aca="false">Sens!G4436-Sens!G4441*(Sens!G4438+Sens!G4440)-Sens!G4439</f>
        <v>66.5527545578061</v>
      </c>
      <c r="H4442" s="6" t="n">
        <f aca="false">Sens!H4436-Sens!H4441*(Sens!H4438+Sens!H4440)-Sens!H4439</f>
        <v>95.219644983859</v>
      </c>
      <c r="I4442" s="6" t="n">
        <f aca="false">Sens!I4436-Sens!I4441*(Sens!I4438+Sens!I4440)-Sens!I4439</f>
        <v>124.031840462493</v>
      </c>
      <c r="J4442" s="6" t="n">
        <f aca="false">Sens!J4436-Sens!J4441*(Sens!J4438+Sens!J4440)-Sens!J4439</f>
        <v>152.919994097909</v>
      </c>
      <c r="K4442" s="6" t="n">
        <f aca="false">Sens!K4436-Sens!K4441*(Sens!K4438+Sens!K4440)-Sens!K4439</f>
        <v>181.852830263848</v>
      </c>
    </row>
    <row r="4443" customFormat="false" ht="17.15" hidden="false" customHeight="false" outlineLevel="0" collapsed="false">
      <c r="A4443" s="1" t="s">
        <v>747</v>
      </c>
      <c r="B4443" s="0" t="s">
        <v>95</v>
      </c>
      <c r="D4443" s="6" t="n">
        <f aca="false">(1-Sens!D4441)*(Sens!D4438+Sens!D4440)</f>
        <v>1.42281025374069</v>
      </c>
      <c r="E4443" s="6" t="n">
        <f aca="false">(1-Sens!E4441)*(Sens!E4438+Sens!E4440)</f>
        <v>3.25095598674472</v>
      </c>
      <c r="F4443" s="6" t="n">
        <f aca="false">(1-Sens!F4441)*(Sens!F4438+Sens!F4440)</f>
        <v>6.53293055050977</v>
      </c>
      <c r="G4443" s="6" t="n">
        <f aca="false">(1-Sens!G4441)*(Sens!G4438+Sens!G4440)</f>
        <v>10.7846311741651</v>
      </c>
      <c r="H4443" s="6" t="n">
        <f aca="false">(1-Sens!H4441)*(Sens!H4438+Sens!H4440)</f>
        <v>15.26343050201</v>
      </c>
      <c r="I4443" s="6" t="n">
        <f aca="false">(1-Sens!I4441)*(Sens!I4438+Sens!I4440)</f>
        <v>19.7545570754104</v>
      </c>
      <c r="J4443" s="6" t="n">
        <f aca="false">(1-Sens!J4441)*(Sens!J4438+Sens!J4440)</f>
        <v>24.2521277113811</v>
      </c>
      <c r="K4443" s="6" t="n">
        <f aca="false">(1-Sens!K4441)*(Sens!K4438+Sens!K4440)</f>
        <v>28.7534890794427</v>
      </c>
    </row>
    <row r="4444" customFormat="false" ht="17.15" hidden="false" customHeight="false" outlineLevel="0" collapsed="false">
      <c r="A4444" s="1" t="s">
        <v>748</v>
      </c>
      <c r="B4444" s="0" t="s">
        <v>302</v>
      </c>
      <c r="C4444" s="8" t="n">
        <f aca="false">cxit_open</f>
        <v>27.5918995</v>
      </c>
      <c r="D4444" s="8" t="n">
        <f aca="false">cxit_open</f>
        <v>27.5918995</v>
      </c>
      <c r="E4444" s="8" t="n">
        <f aca="false">cxit_open</f>
        <v>27.5918995</v>
      </c>
      <c r="F4444" s="8" t="n">
        <f aca="false">(a_g3_27*tk_cxit_gb300+(1-a_g3_27)*tk_cxit_vr200)</f>
        <v>33.8419624</v>
      </c>
      <c r="G4444" s="8" t="n">
        <f aca="false">(a_g3_28*tk_cxit_gb300+(1-a_g3_28)*tk_cxit_vr200)</f>
        <v>35.9816136</v>
      </c>
      <c r="H4444" s="8" t="n">
        <f aca="false">(a_g3_29*tk_cxit_gb300+(1-a_g3_29)*tk_cxit_vr200)</f>
        <v>37.0514392</v>
      </c>
      <c r="I4444" s="8" t="n">
        <f aca="false">(a_g3_29*tk_cxit_gb300+(1-a_g3_29)*tk_cxit_vr200)</f>
        <v>37.0514392</v>
      </c>
      <c r="J4444" s="8" t="n">
        <f aca="false">(a_g3_29*tk_cxit_gb300+(1-a_g3_29)*tk_cxit_vr200)</f>
        <v>37.0514392</v>
      </c>
      <c r="K4444" s="8" t="n">
        <f aca="false">(a_g3_29*tk_cxit_gb300+(1-a_g3_29)*tk_cxit_vr200)</f>
        <v>37.0514392</v>
      </c>
      <c r="L4444" s="11" t="s">
        <v>749</v>
      </c>
    </row>
    <row r="4445" customFormat="false" ht="17.15" hidden="false" customHeight="false" outlineLevel="0" collapsed="false">
      <c r="A4445" s="0" t="s">
        <v>750</v>
      </c>
      <c r="B4445" s="0" t="s">
        <v>340</v>
      </c>
      <c r="F4445" s="27" t="n">
        <f aca="false">Sens!C4427*IF(3=life_it,1,0)+Sens!D4427*IF(2=life_it,1,0)+Sens!E4427*IF(1=life_it,1,0)</f>
        <v>0</v>
      </c>
      <c r="G4445" s="27" t="n">
        <f aca="false">Sens!C4427*IF(4=life_it,1,0)+Sens!D4427*IF(3=life_it,1,0)+Sens!E4427*IF(2=life_it,1,0)+Sens!F4427*IF(1=life_it,1,0)</f>
        <v>0</v>
      </c>
      <c r="H4445" s="27" t="n">
        <f aca="false">Sens!C4427*IF(5=life_it,1,0)+Sens!D4427*IF(4=life_it,1,0)+Sens!E4427*IF(3=life_it,1,0)+Sens!F4427*IF(2=life_it,1,0)+Sens!G4427*IF(1=life_it,1,0)</f>
        <v>0</v>
      </c>
      <c r="I4445" s="27" t="n">
        <f aca="false">Sens!C4427*IF(6=life_it,1,0)+Sens!D4427*IF(5=life_it,1,0)+Sens!E4427*IF(4=life_it,1,0)+Sens!F4427*IF(3=life_it,1,0)+Sens!G4427*IF(2=life_it,1,0)+Sens!H4427*IF(1=life_it,1,0)</f>
        <v>816.666666666667</v>
      </c>
      <c r="J4445" s="27" t="n">
        <f aca="false">Sens!C4427*IF(7=life_it,1,0)+Sens!D4427*IF(6=life_it,1,0)+Sens!E4427*IF(5=life_it,1,0)+Sens!F4427*IF(4=life_it,1,0)+Sens!G4427*IF(3=life_it,1,0)+Sens!H4427*IF(2=life_it,1,0)+Sens!I4427*IF(1=life_it,1,0)</f>
        <v>1233.33333333333</v>
      </c>
      <c r="K4445" s="27" t="n">
        <f aca="false">Sens!C4427*IF(8=life_it,1,0)+Sens!D4427*IF(7=life_it,1,0)+Sens!E4427*IF(6=life_it,1,0)+Sens!F4427*IF(5=life_it,1,0)+Sens!G4427*IF(4=life_it,1,0)+Sens!H4427*IF(3=life_it,1,0)+Sens!I4427*IF(2=life_it,1,0)+Sens!J4427*IF(1=life_it,1,0)</f>
        <v>2450</v>
      </c>
      <c r="L4445" s="1" t="s">
        <v>751</v>
      </c>
    </row>
    <row r="4446" customFormat="false" ht="17.15" hidden="false" customHeight="false" outlineLevel="0" collapsed="false">
      <c r="A4446" s="0" t="s">
        <v>752</v>
      </c>
      <c r="B4446" s="0" t="s">
        <v>95</v>
      </c>
      <c r="C4446" s="6" t="n">
        <f aca="false">Sens!C4427*Sens!C4444/1000</f>
        <v>22.5333845916667</v>
      </c>
      <c r="D4446" s="6" t="n">
        <f aca="false">Sens!D4427*Sens!D4444/1000</f>
        <v>34.0300093833333</v>
      </c>
      <c r="E4446" s="6" t="n">
        <f aca="false">Sens!E4427*Sens!E4444/1000</f>
        <v>67.600153775</v>
      </c>
      <c r="F4446" s="6" t="n">
        <f aca="false">(Sens!F4427+Sens!F4445)*Sens!F4444/1000</f>
        <v>130.923271871467</v>
      </c>
      <c r="G4446" s="6" t="n">
        <f aca="false">(Sens!G4427+Sens!G4445)*Sens!G4444/1000</f>
        <v>151.5545564832</v>
      </c>
      <c r="H4446" s="6" t="n">
        <f aca="false">(Sens!H4427+Sens!H4445)*Sens!H4444/1000</f>
        <v>156.0606619104</v>
      </c>
      <c r="I4446" s="6" t="n">
        <f aca="false">(Sens!I4427+Sens!I4445)*Sens!I4444/1000</f>
        <v>186.319337257067</v>
      </c>
      <c r="J4446" s="6" t="n">
        <f aca="false">(Sens!J4427+Sens!J4445)*Sens!J4444/1000</f>
        <v>201.757436923733</v>
      </c>
      <c r="K4446" s="6" t="n">
        <f aca="false">(Sens!K4427+Sens!K4445)*Sens!K4444/1000</f>
        <v>246.8366879504</v>
      </c>
    </row>
    <row r="4447" customFormat="false" ht="17.15" hidden="false" customHeight="false" outlineLevel="0" collapsed="false">
      <c r="A4447" s="0" t="s">
        <v>753</v>
      </c>
      <c r="B4447" s="0" t="s">
        <v>95</v>
      </c>
      <c r="C4447" s="6" t="n">
        <f aca="false">Sens!C4427*self_build*tk_cxfac/1000</f>
        <v>6.2083</v>
      </c>
      <c r="D4447" s="6" t="n">
        <f aca="false">Sens!D4427*self_build*tk_cxfac/1000</f>
        <v>9.3758</v>
      </c>
      <c r="E4447" s="6" t="n">
        <f aca="false">Sens!E4427*self_build*tk_cxfac/1000</f>
        <v>18.6249</v>
      </c>
      <c r="F4447" s="6" t="n">
        <f aca="false">Sens!F4427*self_build*tk_cxfac/1000</f>
        <v>29.409604</v>
      </c>
      <c r="G4447" s="6" t="n">
        <f aca="false">Sens!G4427*self_build*tk_cxfac/1000</f>
        <v>32.019624</v>
      </c>
      <c r="H4447" s="6" t="n">
        <f aca="false">Sens!H4427*self_build*tk_cxfac/1000</f>
        <v>32.019624</v>
      </c>
      <c r="I4447" s="6" t="n">
        <f aca="false">Sens!I4427*self_build*tk_cxfac/1000</f>
        <v>32.019624</v>
      </c>
      <c r="J4447" s="6" t="n">
        <f aca="false">Sens!J4427*self_build*tk_cxfac/1000</f>
        <v>32.019624</v>
      </c>
      <c r="K4447" s="6" t="n">
        <f aca="false">Sens!K4427*self_build*tk_cxfac/1000</f>
        <v>32.019624</v>
      </c>
    </row>
    <row r="4448" customFormat="false" ht="17.15" hidden="false" customHeight="false" outlineLevel="0" collapsed="false">
      <c r="A4448" s="0" t="s">
        <v>754</v>
      </c>
      <c r="B4448" s="0" t="s">
        <v>95</v>
      </c>
      <c r="F4448" s="6" t="n">
        <f aca="false">MAX(0,capex_floor27-Sens!F4446-Sens!F4447-Sens!F4535)</f>
        <v>8.43777689897088</v>
      </c>
      <c r="G4448" s="6" t="n">
        <f aca="false">0</f>
        <v>0</v>
      </c>
      <c r="H4448" s="6" t="n">
        <f aca="false">0</f>
        <v>0</v>
      </c>
      <c r="I4448" s="6" t="n">
        <f aca="false">0</f>
        <v>0</v>
      </c>
      <c r="J4448" s="6" t="n">
        <f aca="false">0</f>
        <v>0</v>
      </c>
      <c r="K4448" s="6" t="n">
        <f aca="false">0</f>
        <v>0</v>
      </c>
      <c r="L4448" s="1" t="s">
        <v>755</v>
      </c>
    </row>
    <row r="4449" customFormat="false" ht="17.15" hidden="false" customHeight="false" outlineLevel="0" collapsed="false">
      <c r="A4449" s="0" t="s">
        <v>756</v>
      </c>
      <c r="B4449" s="0" t="s">
        <v>95</v>
      </c>
      <c r="C4449" s="6" t="n">
        <f aca="false">Sens!C4446</f>
        <v>22.5333845916667</v>
      </c>
      <c r="D4449" s="6" t="n">
        <f aca="false">Sens!D4446</f>
        <v>34.0300093833333</v>
      </c>
      <c r="E4449" s="6" t="n">
        <f aca="false">Sens!E4446</f>
        <v>67.600153775</v>
      </c>
      <c r="F4449" s="6" t="n">
        <f aca="false">Sens!F4446+Sens!F4448</f>
        <v>139.361048770438</v>
      </c>
      <c r="G4449" s="6" t="n">
        <f aca="false">Sens!G4446+Sens!G4448</f>
        <v>151.5545564832</v>
      </c>
      <c r="H4449" s="6" t="n">
        <f aca="false">Sens!H4446+Sens!H4448</f>
        <v>156.0606619104</v>
      </c>
      <c r="I4449" s="6" t="n">
        <f aca="false">Sens!I4446+Sens!I4448</f>
        <v>186.319337257067</v>
      </c>
      <c r="J4449" s="6" t="n">
        <f aca="false">Sens!J4446+Sens!J4448</f>
        <v>201.757436923733</v>
      </c>
      <c r="K4449" s="6" t="n">
        <f aca="false">Sens!K4446+Sens!K4448</f>
        <v>246.8366879504</v>
      </c>
    </row>
    <row r="4450" customFormat="false" ht="17.15" hidden="false" customHeight="false" outlineLevel="0" collapsed="false">
      <c r="A4450" s="0" t="s">
        <v>757</v>
      </c>
      <c r="B4450" s="0" t="s">
        <v>95</v>
      </c>
      <c r="C4450" s="6" t="n">
        <f aca="false">Sens!C4449+Sens!C4447</f>
        <v>28.7416845916667</v>
      </c>
      <c r="D4450" s="6" t="n">
        <f aca="false">Sens!D4449+Sens!D4447</f>
        <v>43.4058093833333</v>
      </c>
      <c r="E4450" s="6" t="n">
        <f aca="false">Sens!E4449+Sens!E4447</f>
        <v>86.225053775</v>
      </c>
      <c r="F4450" s="6" t="n">
        <f aca="false">Sens!F4449+Sens!F4447</f>
        <v>168.770652770438</v>
      </c>
      <c r="G4450" s="6" t="n">
        <f aca="false">Sens!G4449+Sens!G4447</f>
        <v>183.5741804832</v>
      </c>
      <c r="H4450" s="6" t="n">
        <f aca="false">Sens!H4449+Sens!H4447</f>
        <v>188.0802859104</v>
      </c>
      <c r="I4450" s="6" t="n">
        <f aca="false">Sens!I4449+Sens!I4447</f>
        <v>218.338961257067</v>
      </c>
      <c r="J4450" s="6" t="n">
        <f aca="false">Sens!J4449+Sens!J4447</f>
        <v>233.777060923733</v>
      </c>
      <c r="K4450" s="6" t="n">
        <f aca="false">Sens!K4449+Sens!K4447</f>
        <v>278.8563119504</v>
      </c>
      <c r="L4450" s="11" t="s">
        <v>758</v>
      </c>
    </row>
    <row r="4451" customFormat="false" ht="17.15" hidden="false" customHeight="false" outlineLevel="0" collapsed="false">
      <c r="A4451" s="0" t="s">
        <v>759</v>
      </c>
      <c r="B4451" s="0" t="s">
        <v>95</v>
      </c>
      <c r="E4451" s="6" t="n">
        <f aca="false">(Sens!C4449*IF(2&lt;life_it,1,IF(2=life_it,0.5,0))+Sens!D4449*IF(1&lt;life_it,1,IF(1=life_it,0.5,0))+Sens!E4449*0.5)/life_it</f>
        <v>15.0605784770833</v>
      </c>
      <c r="F4451" s="6" t="n">
        <f aca="false">(Sens!C4449*IF(3&lt;life_it,1,IF(3=life_it,0.5,0))+Sens!D4449*IF(2&lt;life_it,1,IF(2=life_it,0.5,0))+Sens!E4449*IF(1&lt;life_it,1,IF(1=life_it,0.5,0))+Sens!F4449*0.5)/life_it</f>
        <v>32.3073453558698</v>
      </c>
      <c r="G4451" s="6" t="n">
        <f aca="false">(Sens!C4449*IF(4&lt;life_it,1,IF(4=life_it,0.5,0))+Sens!D4449*IF(3&lt;life_it,1,IF(3=life_it,0.5,0))+Sens!E4449*IF(2&lt;life_it,1,IF(2=life_it,0.5,0))+Sens!F4449*IF(1&lt;life_it,1,IF(1=life_it,0.5,0))+Sens!G4449*0.5)/life_it</f>
        <v>56.5503124603396</v>
      </c>
      <c r="H4451" s="6" t="n">
        <f aca="false">(Sens!C4449*IF(5&lt;life_it,1,IF(5=life_it,0.5,0))+Sens!D4449*IF(4&lt;life_it,1,IF(4=life_it,0.5,0))+Sens!E4449*IF(3&lt;life_it,1,IF(3=life_it,0.5,0))+Sens!F4449*IF(2&lt;life_it,1,IF(2=life_it,0.5,0))+Sens!G4449*IF(1&lt;life_it,1,IF(1=life_it,0.5,0))+Sens!H4449*0.5)/life_it</f>
        <v>82.1849139931396</v>
      </c>
      <c r="I4451" s="6" t="n">
        <f aca="false">(Sens!C4449*IF(6&lt;life_it,1,IF(6=life_it,0.5,0))+Sens!D4449*IF(5&lt;life_it,1,IF(5=life_it,0.5,0))+Sens!E4449*IF(4&lt;life_it,1,IF(4=life_it,0.5,0))+Sens!F4449*IF(3&lt;life_it,1,IF(3=life_it,0.5,0))+Sens!G4449*IF(2&lt;life_it,1,IF(2=life_it,0.5,0))+Sens!H4449*IF(1&lt;life_it,1,IF(1=life_it,0.5,0))+Sens!I4449*0.5)/life_it</f>
        <v>108.838798541123</v>
      </c>
      <c r="J4451" s="6" t="n">
        <f aca="false">(Sens!C4449*IF(7&lt;life_it,1,IF(7=life_it,0.5,0))+Sens!D4449*IF(6&lt;life_it,1,IF(6=life_it,0.5,0))+Sens!E4449*IF(5&lt;life_it,1,IF(5=life_it,0.5,0))+Sens!F4449*IF(4&lt;life_it,1,IF(4=life_it,0.5,0))+Sens!G4449*IF(3&lt;life_it,1,IF(3=life_it,0.5,0))+Sens!H4449*IF(2&lt;life_it,1,IF(2=life_it,0.5,0))+Sens!I4449*IF(1&lt;life_it,1,IF(1=life_it,0.5,0))+Sens!J4449*0.5)/life_it</f>
        <v>136.464913558273</v>
      </c>
      <c r="K4451" s="6" t="n">
        <f aca="false">(Sens!C4449*IF(8&lt;life_it,1,IF(8=life_it,0.5,0))+Sens!D4449*IF(7&lt;life_it,1,IF(7=life_it,0.5,0))+Sens!E4449*IF(6&lt;life_it,1,IF(6=life_it,0.5,0))+Sens!F4449*IF(5&lt;life_it,1,IF(5=life_it,0.5,0))+Sens!G4449*IF(4&lt;life_it,1,IF(4=life_it,0.5,0))+Sens!H4449*IF(3&lt;life_it,1,IF(3=life_it,0.5,0))+Sens!I4449*IF(2&lt;life_it,1,IF(2=life_it,0.5,0))+Sens!J4449*IF(1&lt;life_it,1,IF(1=life_it,0.5,0))+Sens!K4449*0.5)/life_it</f>
        <v>165.37857703459</v>
      </c>
    </row>
    <row r="4452" customFormat="false" ht="17.15" hidden="false" customHeight="false" outlineLevel="0" collapsed="false">
      <c r="A4452" s="0" t="s">
        <v>760</v>
      </c>
      <c r="B4452" s="0" t="s">
        <v>95</v>
      </c>
      <c r="E4452" s="6" t="n">
        <f aca="false">(Sens!C4447*IF(2&lt;life_fac,1,IF(2=life_fac,0.5,0))+Sens!D4447*IF(1&lt;life_fac,1,IF(1=life_fac,0.5,0))+Sens!E4447*0.5)/life_fac</f>
        <v>1.2448275</v>
      </c>
      <c r="F4452" s="6" t="n">
        <f aca="false">(Sens!C4447*IF(3&lt;life_fac,1,IF(3=life_fac,0.5,0))+Sens!D4447*IF(2&lt;life_fac,1,IF(2=life_fac,0.5,0))+Sens!E4447*IF(1&lt;life_fac,1,IF(1=life_fac,0.5,0))+Sens!F4447*0.5)/life_fac</f>
        <v>2.4456901</v>
      </c>
      <c r="G4452" s="6" t="n">
        <f aca="false">(Sens!C4447*IF(4&lt;life_fac,1,IF(4=life_fac,0.5,0))+Sens!D4447*IF(3&lt;life_fac,1,IF(3=life_fac,0.5,0))+Sens!E4447*IF(2&lt;life_fac,1,IF(2=life_fac,0.5,0))+Sens!F4447*IF(1&lt;life_fac,1,IF(1=life_fac,0.5,0))+Sens!G4447*0.5)/life_fac</f>
        <v>3.9814208</v>
      </c>
      <c r="H4452" s="6" t="n">
        <f aca="false">(Sens!C4447*IF(5&lt;life_fac,1,IF(5=life_fac,0.5,0))+Sens!D4447*IF(4&lt;life_fac,1,IF(4=life_fac,0.5,0))+Sens!E4447*IF(3&lt;life_fac,1,IF(3=life_fac,0.5,0))+Sens!F4447*IF(2&lt;life_fac,1,IF(2=life_fac,0.5,0))+Sens!G4447*IF(1&lt;life_fac,1,IF(1=life_fac,0.5,0))+Sens!H4447*0.5)/life_fac</f>
        <v>5.582402</v>
      </c>
      <c r="I4452" s="6" t="n">
        <f aca="false">(Sens!C4447*IF(6&lt;life_fac,1,IF(6=life_fac,0.5,0))+Sens!D4447*IF(5&lt;life_fac,1,IF(5=life_fac,0.5,0))+Sens!E4447*IF(4&lt;life_fac,1,IF(4=life_fac,0.5,0))+Sens!F4447*IF(3&lt;life_fac,1,IF(3=life_fac,0.5,0))+Sens!G4447*IF(2&lt;life_fac,1,IF(2=life_fac,0.5,0))+Sens!H4447*IF(1&lt;life_fac,1,IF(1=life_fac,0.5,0))+Sens!I4447*0.5)/life_fac</f>
        <v>7.1833832</v>
      </c>
      <c r="J4452" s="6" t="n">
        <f aca="false">(Sens!C4447*IF(7&lt;life_fac,1,IF(7=life_fac,0.5,0))+Sens!D4447*IF(6&lt;life_fac,1,IF(6=life_fac,0.5,0))+Sens!E4447*IF(5&lt;life_fac,1,IF(5=life_fac,0.5,0))+Sens!F4447*IF(4&lt;life_fac,1,IF(4=life_fac,0.5,0))+Sens!G4447*IF(3&lt;life_fac,1,IF(3=life_fac,0.5,0))+Sens!H4447*IF(2&lt;life_fac,1,IF(2=life_fac,0.5,0))+Sens!I4447*IF(1&lt;life_fac,1,IF(1=life_fac,0.5,0))+Sens!J4447*0.5)/life_fac</f>
        <v>8.7843644</v>
      </c>
      <c r="K4452" s="6" t="n">
        <f aca="false">(Sens!C4447*IF(8&lt;life_fac,1,IF(8=life_fac,0.5,0))+Sens!D4447*IF(7&lt;life_fac,1,IF(7=life_fac,0.5,0))+Sens!E4447*IF(6&lt;life_fac,1,IF(6=life_fac,0.5,0))+Sens!F4447*IF(5&lt;life_fac,1,IF(5=life_fac,0.5,0))+Sens!G4447*IF(4&lt;life_fac,1,IF(4=life_fac,0.5,0))+Sens!H4447*IF(3&lt;life_fac,1,IF(3=life_fac,0.5,0))+Sens!I4447*IF(2&lt;life_fac,1,IF(2=life_fac,0.5,0))+Sens!J4447*IF(1&lt;life_fac,1,IF(1=life_fac,0.5,0))+Sens!K4447*0.5)/life_fac</f>
        <v>10.3853456</v>
      </c>
    </row>
    <row r="4453" customFormat="false" ht="17.15" hidden="false" customHeight="false" outlineLevel="0" collapsed="false">
      <c r="A4453" s="0" t="s">
        <v>761</v>
      </c>
      <c r="B4453" s="0" t="s">
        <v>95</v>
      </c>
      <c r="E4453" s="6" t="n">
        <f aca="false">Sens!E4451+Sens!E4452</f>
        <v>16.3054059770833</v>
      </c>
      <c r="F4453" s="6" t="n">
        <f aca="false">Sens!F4451+Sens!F4452</f>
        <v>34.7530354558698</v>
      </c>
      <c r="G4453" s="6" t="n">
        <f aca="false">Sens!G4451+Sens!G4452</f>
        <v>60.5317332603396</v>
      </c>
      <c r="H4453" s="6" t="n">
        <f aca="false">Sens!H4451+Sens!H4452</f>
        <v>87.7673159931396</v>
      </c>
      <c r="I4453" s="6" t="n">
        <f aca="false">Sens!I4451+Sens!I4452</f>
        <v>116.022181741123</v>
      </c>
      <c r="J4453" s="6" t="n">
        <f aca="false">Sens!J4451+Sens!J4452</f>
        <v>145.249277958273</v>
      </c>
      <c r="K4453" s="6" t="n">
        <f aca="false">Sens!K4451+Sens!K4452</f>
        <v>175.76392263459</v>
      </c>
    </row>
    <row r="4454" customFormat="false" ht="17.15" hidden="false" customHeight="false" outlineLevel="0" collapsed="false">
      <c r="A4454" s="0" t="s">
        <v>762</v>
      </c>
      <c r="B4454" s="0" t="s">
        <v>95</v>
      </c>
      <c r="E4454" s="6" t="n">
        <f aca="false">Sens!E4442-Sens!E4441*Sens!E4453</f>
        <v>8.92707889977379</v>
      </c>
      <c r="F4454" s="6" t="n">
        <f aca="false">Sens!F4442-Sens!F4441*Sens!F4453</f>
        <v>18.607619475672</v>
      </c>
      <c r="G4454" s="6" t="n">
        <f aca="false">Sens!G4442-Sens!G4441*Sens!G4453</f>
        <v>30.2337146016024</v>
      </c>
      <c r="H4454" s="6" t="n">
        <f aca="false">Sens!H4442-Sens!H4441*Sens!H4453</f>
        <v>42.5592553879752</v>
      </c>
      <c r="I4454" s="6" t="n">
        <f aca="false">Sens!I4442-Sens!I4441*Sens!I4453</f>
        <v>54.418531417819</v>
      </c>
      <c r="J4454" s="6" t="n">
        <f aca="false">Sens!J4442-Sens!J4441*Sens!J4453</f>
        <v>65.7704273229457</v>
      </c>
      <c r="K4454" s="6" t="n">
        <f aca="false">Sens!K4442-Sens!K4441*Sens!K4453</f>
        <v>76.3944766830945</v>
      </c>
    </row>
    <row r="4455" customFormat="false" ht="17.15" hidden="false" customHeight="false" outlineLevel="0" collapsed="false">
      <c r="A4455" s="3" t="s">
        <v>1240</v>
      </c>
    </row>
    <row r="4456" customFormat="false" ht="15" hidden="false" customHeight="false" outlineLevel="0" collapsed="false">
      <c r="A4456" s="4" t="s">
        <v>43</v>
      </c>
      <c r="B4456" s="4" t="s">
        <v>63</v>
      </c>
      <c r="C4456" s="19" t="s">
        <v>710</v>
      </c>
      <c r="D4456" s="19" t="s">
        <v>711</v>
      </c>
      <c r="E4456" s="19" t="s">
        <v>712</v>
      </c>
      <c r="F4456" s="19" t="s">
        <v>713</v>
      </c>
      <c r="G4456" s="19" t="s">
        <v>714</v>
      </c>
      <c r="H4456" s="19" t="s">
        <v>715</v>
      </c>
      <c r="I4456" s="19" t="s">
        <v>716</v>
      </c>
      <c r="J4456" s="19" t="s">
        <v>717</v>
      </c>
      <c r="K4456" s="19" t="s">
        <v>718</v>
      </c>
      <c r="L4456" s="4" t="s">
        <v>47</v>
      </c>
    </row>
    <row r="4457" customFormat="false" ht="17.15" hidden="false" customHeight="false" outlineLevel="0" collapsed="false">
      <c r="A4457" s="0" t="s">
        <v>780</v>
      </c>
      <c r="B4457" s="0" t="s">
        <v>95</v>
      </c>
      <c r="D4457" s="6" t="n">
        <f aca="false">Sens!D4436</f>
        <v>12.9359794422418</v>
      </c>
      <c r="E4457" s="6" t="n">
        <f aca="false">Sens!E4436</f>
        <v>27.8095064661409</v>
      </c>
      <c r="F4457" s="6" t="n">
        <f aca="false">Sens!F4436</f>
        <v>55.0640065749585</v>
      </c>
      <c r="G4457" s="6" t="n">
        <f aca="false">Sens!G4436</f>
        <v>89.4505413190538</v>
      </c>
      <c r="H4457" s="6" t="n">
        <f aca="false">Sens!H4436</f>
        <v>124.835630736874</v>
      </c>
      <c r="I4457" s="6" t="n">
        <f aca="false">Sens!I4436</f>
        <v>160.384516075608</v>
      </c>
      <c r="J4457" s="6" t="n">
        <f aca="false">Sens!J4436</f>
        <v>196.019025664981</v>
      </c>
      <c r="K4457" s="6" t="n">
        <f aca="false">Sens!K4436</f>
        <v>231.703903883012</v>
      </c>
    </row>
    <row r="4458" customFormat="false" ht="17.15" hidden="false" customHeight="false" outlineLevel="0" collapsed="false">
      <c r="A4458" s="0" t="s">
        <v>781</v>
      </c>
      <c r="B4458" s="0" t="s">
        <v>95</v>
      </c>
      <c r="D4458" s="6" t="n">
        <f aca="false">Q!L6-Sens!D4457</f>
        <v>59.6740205577583</v>
      </c>
      <c r="E4458" s="6" t="n">
        <f aca="false">Q!M6-Sens!E4457</f>
        <v>74.1284935338591</v>
      </c>
      <c r="F4458" s="6" t="n">
        <f aca="false">Sens!E4458*(1+Sens!F4459)</f>
        <v>90.0799497373663</v>
      </c>
      <c r="G4458" s="6" t="n">
        <f aca="false">Sens!F4458*(1+Sens!G4459)</f>
        <v>107.02842520331</v>
      </c>
      <c r="H4458" s="6" t="n">
        <f aca="false">Sens!G4458*(1+Sens!H4459)</f>
        <v>124.271982585636</v>
      </c>
      <c r="I4458" s="6" t="n">
        <f aca="false">Sens!H4458*(1+Sens!I4459)</f>
        <v>140.933702381855</v>
      </c>
      <c r="J4458" s="6" t="n">
        <f aca="false">Sens!I4458*(1+Sens!J4459)</f>
        <v>156.018867314332</v>
      </c>
      <c r="K4458" s="6" t="n">
        <f aca="false">Sens!J4458*(1+Sens!K4459)</f>
        <v>168.500376699478</v>
      </c>
    </row>
    <row r="4459" customFormat="false" ht="15" hidden="false" customHeight="false" outlineLevel="0" collapsed="false">
      <c r="A4459" s="1" t="s">
        <v>782</v>
      </c>
      <c r="B4459" s="0" t="s">
        <v>126</v>
      </c>
      <c r="E4459" s="7" t="n">
        <f aca="false">Sens!E4458/Sens!D4458-1</f>
        <v>0.242223883039864</v>
      </c>
      <c r="F4459" s="7" t="n">
        <f aca="false">Sens!$E$4459+(glt_azo-Sens!$E$4459)*MIN(1,1/n_conv)</f>
        <v>0.215186569199887</v>
      </c>
      <c r="G4459" s="7" t="n">
        <f aca="false">Sens!$E$4459+(glt_azo-Sens!$E$4459)*MIN(1,2/n_conv)</f>
        <v>0.18814925535991</v>
      </c>
      <c r="H4459" s="7" t="n">
        <f aca="false">Sens!$E$4459+(glt_azo-Sens!$E$4459)*MIN(1,3/n_conv)</f>
        <v>0.161111941519932</v>
      </c>
      <c r="I4459" s="7" t="n">
        <f aca="false">Sens!$E$4459+(glt_azo-Sens!$E$4459)*MIN(1,4/n_conv)</f>
        <v>0.134074627679955</v>
      </c>
      <c r="J4459" s="7" t="n">
        <f aca="false">Sens!$E$4459+(glt_azo-Sens!$E$4459)*MIN(1,5/n_conv)</f>
        <v>0.107037313839977</v>
      </c>
      <c r="K4459" s="7" t="n">
        <f aca="false">Sens!$E$4459+(glt_azo-Sens!$E$4459)*MIN(1,6/n_conv)</f>
        <v>0.08</v>
      </c>
    </row>
    <row r="4460" customFormat="false" ht="15" hidden="false" customHeight="false" outlineLevel="0" collapsed="false">
      <c r="A4460" s="0" t="s">
        <v>783</v>
      </c>
      <c r="B4460" s="0" t="s">
        <v>95</v>
      </c>
      <c r="D4460" s="6" t="n">
        <f aca="false">Sens!D4457+Sens!D4458</f>
        <v>72.61</v>
      </c>
      <c r="E4460" s="6" t="n">
        <f aca="false">Sens!E4457+Sens!E4458</f>
        <v>101.938</v>
      </c>
      <c r="F4460" s="6" t="n">
        <f aca="false">Sens!F4457+Sens!F4458</f>
        <v>145.143956312325</v>
      </c>
      <c r="G4460" s="6" t="n">
        <f aca="false">Sens!G4457+Sens!G4458</f>
        <v>196.478966522364</v>
      </c>
      <c r="H4460" s="6" t="n">
        <f aca="false">Sens!H4457+Sens!H4458</f>
        <v>249.10761332251</v>
      </c>
      <c r="I4460" s="6" t="n">
        <f aca="false">Sens!I4457+Sens!I4458</f>
        <v>301.318218457463</v>
      </c>
      <c r="J4460" s="6" t="n">
        <f aca="false">Sens!J4457+Sens!J4458</f>
        <v>352.037892979313</v>
      </c>
      <c r="K4460" s="6" t="n">
        <f aca="false">Sens!K4457+Sens!K4458</f>
        <v>400.20428058249</v>
      </c>
    </row>
    <row r="4461" customFormat="false" ht="17.15" hidden="false" customHeight="false" outlineLevel="0" collapsed="false">
      <c r="A4461" s="0" t="s">
        <v>784</v>
      </c>
      <c r="B4461" s="1" t="s">
        <v>451</v>
      </c>
      <c r="C4461" s="27" t="n">
        <f aca="false">cop_s24</f>
        <v>1</v>
      </c>
      <c r="D4461" s="27" t="n">
        <f aca="false">cop_s25</f>
        <v>5</v>
      </c>
      <c r="E4461" s="27" t="n">
        <f aca="false">cop_s26</f>
        <v>30</v>
      </c>
      <c r="F4461" s="27" t="n">
        <f aca="false">Sens!E4461+IF(2027&lt;=2029,cop_add_B*0.5,cop_add_B*0.5*cop_tail)</f>
        <v>40</v>
      </c>
      <c r="G4461" s="27" t="n">
        <f aca="false">Sens!F4461+IF(2028&lt;=2029,cop_add_B*0.5,cop_add_B*0.5*cop_tail)</f>
        <v>50</v>
      </c>
      <c r="H4461" s="27" t="n">
        <f aca="false">Sens!G4461+IF(2029&lt;=2029,cop_add_B*0.5,cop_add_B*0.5*cop_tail)</f>
        <v>60</v>
      </c>
      <c r="I4461" s="27" t="n">
        <f aca="false">Sens!H4461+IF(2030&lt;=2029,cop_add_B*0.5,cop_add_B*0.5*cop_tail)</f>
        <v>65</v>
      </c>
      <c r="J4461" s="27" t="n">
        <f aca="false">Sens!I4461+IF(2031&lt;=2029,cop_add_B*0.5,cop_add_B*0.5*cop_tail)</f>
        <v>70</v>
      </c>
      <c r="K4461" s="27" t="n">
        <f aca="false">Sens!J4461+IF(2032&lt;=2029,cop_add_B*0.5,cop_add_B*0.5*cop_tail)</f>
        <v>75</v>
      </c>
    </row>
    <row r="4462" customFormat="false" ht="17.15" hidden="false" customHeight="false" outlineLevel="0" collapsed="false">
      <c r="A4462" s="0" t="s">
        <v>785</v>
      </c>
      <c r="B4462" s="0" t="s">
        <v>95</v>
      </c>
      <c r="D4462" s="6" t="n">
        <f aca="false">(Sens!C4461+Sens!D4461)/2*cop_px*12/1000</f>
        <v>0.9</v>
      </c>
      <c r="E4462" s="6" t="n">
        <f aca="false">(Sens!D4461+Sens!E4461)/2*cop_px*12/1000</f>
        <v>5.25</v>
      </c>
      <c r="F4462" s="6" t="n">
        <f aca="false">(Sens!E4461+Sens!F4461)/2*cop_px*12/1000</f>
        <v>10.5</v>
      </c>
      <c r="G4462" s="6" t="n">
        <f aca="false">(Sens!F4461+Sens!G4461)/2*cop_px*12/1000</f>
        <v>13.5</v>
      </c>
      <c r="H4462" s="6" t="n">
        <f aca="false">(Sens!G4461+Sens!H4461)/2*cop_px*12/1000</f>
        <v>16.5</v>
      </c>
      <c r="I4462" s="6" t="n">
        <f aca="false">(Sens!H4461+Sens!I4461)/2*cop_px*12/1000</f>
        <v>18.75</v>
      </c>
      <c r="J4462" s="6" t="n">
        <f aca="false">(Sens!I4461+Sens!J4461)/2*cop_px*12/1000</f>
        <v>20.25</v>
      </c>
      <c r="K4462" s="6" t="n">
        <f aca="false">(Sens!J4461+Sens!K4461)/2*cop_px*12/1000</f>
        <v>21.75</v>
      </c>
      <c r="L4462" s="1" t="s">
        <v>786</v>
      </c>
    </row>
    <row r="4463" customFormat="false" ht="17.15" hidden="false" customHeight="false" outlineLevel="0" collapsed="false">
      <c r="A4463" s="0" t="s">
        <v>787</v>
      </c>
      <c r="B4463" s="0" t="s">
        <v>95</v>
      </c>
      <c r="D4463" s="6" t="n">
        <f aca="false">Q!L7-Sens!D4462</f>
        <v>83.705</v>
      </c>
      <c r="E4463" s="6" t="n">
        <f aca="false">Q!M7-Sens!E4462</f>
        <v>95.049</v>
      </c>
      <c r="F4463" s="6" t="n">
        <f aca="false">Sens!E4463*(1+Sens!F4464)</f>
        <v>106.89238776686</v>
      </c>
      <c r="G4463" s="6" t="n">
        <f aca="false">Sens!F4463*(1+Sens!G4464)</f>
        <v>119.044168448684</v>
      </c>
      <c r="H4463" s="6" t="n">
        <f aca="false">Sens!G4463*(1+Sens!H4464)</f>
        <v>131.277359388781</v>
      </c>
      <c r="I4463" s="6" t="n">
        <f aca="false">Sens!H4463*(1+Sens!I4464)</f>
        <v>143.334028071957</v>
      </c>
      <c r="J4463" s="6" t="n">
        <f aca="false">Sens!I4463*(1+Sens!J4464)</f>
        <v>154.932702785465</v>
      </c>
      <c r="K4463" s="6" t="n">
        <f aca="false">Sens!J4463*(1+Sens!K4464)</f>
        <v>165.777991980448</v>
      </c>
    </row>
    <row r="4464" customFormat="false" ht="15" hidden="false" customHeight="false" outlineLevel="0" collapsed="false">
      <c r="A4464" s="1" t="s">
        <v>782</v>
      </c>
      <c r="B4464" s="0" t="s">
        <v>126</v>
      </c>
      <c r="E4464" s="7" t="n">
        <f aca="false">Sens!E4463/Sens!D4463-1</f>
        <v>0.135523564900544</v>
      </c>
      <c r="F4464" s="7" t="n">
        <f aca="false">Sens!$E$4464+(glt_m365b-Sens!$E$4464)*MIN(1,1/n_conv)</f>
        <v>0.124602970750453</v>
      </c>
      <c r="G4464" s="7" t="n">
        <f aca="false">Sens!$E$4464+(glt_m365b-Sens!$E$4464)*MIN(1,2/n_conv)</f>
        <v>0.113682376600363</v>
      </c>
      <c r="H4464" s="7" t="n">
        <f aca="false">Sens!$E$4464+(glt_m365b-Sens!$E$4464)*MIN(1,3/n_conv)</f>
        <v>0.102761782450272</v>
      </c>
      <c r="I4464" s="7" t="n">
        <f aca="false">Sens!$E$4464+(glt_m365b-Sens!$E$4464)*MIN(1,4/n_conv)</f>
        <v>0.0918411883001813</v>
      </c>
      <c r="J4464" s="7" t="n">
        <f aca="false">Sens!$E$4464+(glt_m365b-Sens!$E$4464)*MIN(1,5/n_conv)</f>
        <v>0.0809205941500906</v>
      </c>
      <c r="K4464" s="7" t="n">
        <f aca="false">Sens!$E$4464+(glt_m365b-Sens!$E$4464)*MIN(1,6/n_conv)</f>
        <v>0.07</v>
      </c>
    </row>
    <row r="4465" customFormat="false" ht="15" hidden="false" customHeight="false" outlineLevel="0" collapsed="false">
      <c r="A4465" s="0" t="s">
        <v>788</v>
      </c>
      <c r="B4465" s="0" t="s">
        <v>95</v>
      </c>
      <c r="D4465" s="6" t="n">
        <f aca="false">Sens!D4463+Sens!D4462</f>
        <v>84.605</v>
      </c>
      <c r="E4465" s="6" t="n">
        <f aca="false">Sens!E4463+Sens!E4462</f>
        <v>100.299</v>
      </c>
      <c r="F4465" s="6" t="n">
        <f aca="false">Sens!F4463+Sens!F4462</f>
        <v>117.39238776686</v>
      </c>
      <c r="G4465" s="6" t="n">
        <f aca="false">Sens!G4463+Sens!G4462</f>
        <v>132.544168448684</v>
      </c>
      <c r="H4465" s="6" t="n">
        <f aca="false">Sens!H4463+Sens!H4462</f>
        <v>147.777359388781</v>
      </c>
      <c r="I4465" s="6" t="n">
        <f aca="false">Sens!I4463+Sens!I4462</f>
        <v>162.084028071957</v>
      </c>
      <c r="J4465" s="6" t="n">
        <f aca="false">Sens!J4463+Sens!J4462</f>
        <v>175.182702785465</v>
      </c>
      <c r="K4465" s="6" t="n">
        <f aca="false">Sens!K4463+Sens!K4462</f>
        <v>187.527991980448</v>
      </c>
    </row>
    <row r="4466" customFormat="false" ht="15" hidden="false" customHeight="false" outlineLevel="0" collapsed="false">
      <c r="A4466" s="0" t="s">
        <v>789</v>
      </c>
      <c r="B4466" s="0" t="s">
        <v>95</v>
      </c>
      <c r="D4466" s="6" t="n">
        <f aca="false">Q!L8</f>
        <v>35.391</v>
      </c>
      <c r="E4466" s="6" t="n">
        <f aca="false">Q!M8</f>
        <v>37.285</v>
      </c>
      <c r="F4466" s="6" t="n">
        <f aca="false">Sens!E4466*(1+Sens!F4467)</f>
        <v>39.0720834331704</v>
      </c>
      <c r="G4466" s="6" t="n">
        <f aca="false">Sens!F4466*(1+Sens!G4467)</f>
        <v>40.726562953769</v>
      </c>
      <c r="H4466" s="6" t="n">
        <f aca="false">Sens!G4466*(1+Sens!H4467)</f>
        <v>42.2235987259198</v>
      </c>
      <c r="I4466" s="6" t="n">
        <f aca="false">Sens!H4466*(1+Sens!I4467)</f>
        <v>43.5397988077414</v>
      </c>
      <c r="J4466" s="6" t="n">
        <f aca="false">Sens!I4466*(1+Sens!J4467)</f>
        <v>44.653811225693</v>
      </c>
      <c r="K4466" s="6" t="n">
        <f aca="false">Sens!J4466*(1+Sens!K4467)</f>
        <v>45.5468874502068</v>
      </c>
    </row>
    <row r="4467" customFormat="false" ht="15" hidden="false" customHeight="false" outlineLevel="0" collapsed="false">
      <c r="A4467" s="1" t="s">
        <v>782</v>
      </c>
      <c r="B4467" s="0" t="s">
        <v>126</v>
      </c>
      <c r="E4467" s="7" t="n">
        <f aca="false">Sens!E4466/Sens!D4466-1</f>
        <v>0.0535164307309768</v>
      </c>
      <c r="F4467" s="7" t="n">
        <f aca="false">Sens!$E$4467+(glt_lic-Sens!$E$4467)*MIN(1,1/n_conv)</f>
        <v>0.0479303589424807</v>
      </c>
      <c r="G4467" s="7" t="n">
        <f aca="false">Sens!$E$4467+(glt_lic-Sens!$E$4467)*MIN(1,2/n_conv)</f>
        <v>0.0423442871539845</v>
      </c>
      <c r="H4467" s="7" t="n">
        <f aca="false">Sens!$E$4467+(glt_lic-Sens!$E$4467)*MIN(1,3/n_conv)</f>
        <v>0.0367582153654884</v>
      </c>
      <c r="I4467" s="7" t="n">
        <f aca="false">Sens!$E$4467+(glt_lic-Sens!$E$4467)*MIN(1,4/n_conv)</f>
        <v>0.0311721435769923</v>
      </c>
      <c r="J4467" s="7" t="n">
        <f aca="false">Sens!$E$4467+(glt_lic-Sens!$E$4467)*MIN(1,5/n_conv)</f>
        <v>0.0255860717884961</v>
      </c>
      <c r="K4467" s="7" t="n">
        <f aca="false">Sens!$E$4467+(glt_lic-Sens!$E$4467)*MIN(1,6/n_conv)</f>
        <v>0.02</v>
      </c>
    </row>
    <row r="4468" customFormat="false" ht="15" hidden="false" customHeight="false" outlineLevel="0" collapsed="false">
      <c r="A4468" s="0" t="s">
        <v>790</v>
      </c>
      <c r="B4468" s="0" t="s">
        <v>95</v>
      </c>
      <c r="D4468" s="6" t="n">
        <f aca="false">Q!L9</f>
        <v>18.417</v>
      </c>
      <c r="E4468" s="6" t="n">
        <f aca="false">Q!M9</f>
        <v>20.345</v>
      </c>
      <c r="F4468" s="6" t="n">
        <f aca="false">Sens!E4468*(1+Sens!F4469)</f>
        <v>22.3572203267814</v>
      </c>
      <c r="G4468" s="6" t="n">
        <f aca="false">Sens!F4468*(1+Sens!G4469)</f>
        <v>24.4392124437232</v>
      </c>
      <c r="H4468" s="6" t="n">
        <f aca="false">Sens!G4468*(1+Sens!H4469)</f>
        <v>26.5738052080665</v>
      </c>
      <c r="I4468" s="6" t="n">
        <f aca="false">Sens!H4468*(1+Sens!I4469)</f>
        <v>28.7412169166967</v>
      </c>
      <c r="J4468" s="6" t="n">
        <f aca="false">Sens!I4468*(1+Sens!J4469)</f>
        <v>30.9192545395413</v>
      </c>
      <c r="K4468" s="6" t="n">
        <f aca="false">Sens!J4468*(1+Sens!K4469)</f>
        <v>33.0836023573092</v>
      </c>
    </row>
    <row r="4469" customFormat="false" ht="15" hidden="false" customHeight="false" outlineLevel="0" collapsed="false">
      <c r="A4469" s="1" t="s">
        <v>782</v>
      </c>
      <c r="B4469" s="0" t="s">
        <v>126</v>
      </c>
      <c r="E4469" s="7" t="n">
        <f aca="false">Sens!E4468/Sens!D4468-1</f>
        <v>0.104685888038225</v>
      </c>
      <c r="F4469" s="7" t="n">
        <f aca="false">Sens!$E$4469+(glt_ind-Sens!$E$4469)*MIN(1,1/n_conv)</f>
        <v>0.0989049066985211</v>
      </c>
      <c r="G4469" s="7" t="n">
        <f aca="false">Sens!$E$4469+(glt_ind-Sens!$E$4469)*MIN(1,2/n_conv)</f>
        <v>0.0931239253588169</v>
      </c>
      <c r="H4469" s="7" t="n">
        <f aca="false">Sens!$E$4469+(glt_ind-Sens!$E$4469)*MIN(1,3/n_conv)</f>
        <v>0.0873429440191127</v>
      </c>
      <c r="I4469" s="7" t="n">
        <f aca="false">Sens!$E$4469+(glt_ind-Sens!$E$4469)*MIN(1,4/n_conv)</f>
        <v>0.0815619626794085</v>
      </c>
      <c r="J4469" s="7" t="n">
        <f aca="false">Sens!$E$4469+(glt_ind-Sens!$E$4469)*MIN(1,5/n_conv)</f>
        <v>0.0757809813397042</v>
      </c>
      <c r="K4469" s="7" t="n">
        <f aca="false">Sens!$E$4469+(glt_ind-Sens!$E$4469)*MIN(1,6/n_conv)</f>
        <v>0.07</v>
      </c>
    </row>
    <row r="4470" customFormat="false" ht="15" hidden="false" customHeight="false" outlineLevel="0" collapsed="false">
      <c r="A4470" s="0" t="s">
        <v>791</v>
      </c>
      <c r="B4470" s="0" t="s">
        <v>95</v>
      </c>
      <c r="D4470" s="6" t="n">
        <f aca="false">Q!L10</f>
        <v>7.76</v>
      </c>
      <c r="E4470" s="6" t="n">
        <f aca="false">Q!M10</f>
        <v>8.26</v>
      </c>
      <c r="F4470" s="6" t="n">
        <f aca="false">Sens!E4470*(1+Sens!F4471)</f>
        <v>8.79988041237113</v>
      </c>
      <c r="G4470" s="6" t="n">
        <f aca="false">Sens!F4470*(1+Sens!G4471)</f>
        <v>9.38321269125306</v>
      </c>
      <c r="H4470" s="6" t="n">
        <f aca="false">Sens!G4470*(1+Sens!H4471)</f>
        <v>10.0139193587476</v>
      </c>
      <c r="I4470" s="6" t="n">
        <f aca="false">Sens!H4470*(1+Sens!I4471)</f>
        <v>10.6963111830911</v>
      </c>
      <c r="J4470" s="6" t="n">
        <f aca="false">Sens!I4470*(1+Sens!J4471)</f>
        <v>11.4351285534696</v>
      </c>
      <c r="K4470" s="6" t="n">
        <f aca="false">Sens!J4470*(1+Sens!K4471)</f>
        <v>12.2355875522124</v>
      </c>
    </row>
    <row r="4471" customFormat="false" ht="15" hidden="false" customHeight="false" outlineLevel="0" collapsed="false">
      <c r="A4471" s="1" t="s">
        <v>782</v>
      </c>
      <c r="B4471" s="0" t="s">
        <v>126</v>
      </c>
      <c r="E4471" s="7" t="n">
        <f aca="false">Sens!E4470/Sens!D4470-1</f>
        <v>0.0644329896907216</v>
      </c>
      <c r="F4471" s="7" t="n">
        <f aca="false">Sens!$E$4471+(glt_fro-Sens!$E$4471)*MIN(1,1/n_conv)</f>
        <v>0.065360824742268</v>
      </c>
      <c r="G4471" s="7" t="n">
        <f aca="false">Sens!$E$4471+(glt_fro-Sens!$E$4471)*MIN(1,2/n_conv)</f>
        <v>0.0662886597938144</v>
      </c>
      <c r="H4471" s="7" t="n">
        <f aca="false">Sens!$E$4471+(glt_fro-Sens!$E$4471)*MIN(1,3/n_conv)</f>
        <v>0.0672164948453608</v>
      </c>
      <c r="I4471" s="7" t="n">
        <f aca="false">Sens!$E$4471+(glt_fro-Sens!$E$4471)*MIN(1,4/n_conv)</f>
        <v>0.0681443298969072</v>
      </c>
      <c r="J4471" s="7" t="n">
        <f aca="false">Sens!$E$4471+(glt_fro-Sens!$E$4471)*MIN(1,5/n_conv)</f>
        <v>0.0690721649484536</v>
      </c>
      <c r="K4471" s="7" t="n">
        <f aca="false">Sens!$E$4471+(glt_fro-Sens!$E$4471)*MIN(1,6/n_conv)</f>
        <v>0.07</v>
      </c>
    </row>
    <row r="4472" customFormat="false" ht="15" hidden="false" customHeight="false" outlineLevel="0" collapsed="false">
      <c r="A4472" s="0" t="s">
        <v>626</v>
      </c>
      <c r="B4472" s="0" t="s">
        <v>95</v>
      </c>
      <c r="D4472" s="6" t="n">
        <f aca="false">Sens!D4460+Sens!D4465+Sens!D4466+Sens!D4468+Sens!D4470</f>
        <v>218.783</v>
      </c>
      <c r="E4472" s="6" t="n">
        <f aca="false">Sens!E4460+Sens!E4465+Sens!E4466+Sens!E4468+Sens!E4470</f>
        <v>268.127</v>
      </c>
      <c r="F4472" s="6" t="n">
        <f aca="false">Sens!F4460+Sens!F4465+Sens!F4466+Sens!F4468+Sens!F4470</f>
        <v>332.765528251508</v>
      </c>
      <c r="G4472" s="6" t="n">
        <f aca="false">Sens!G4460+Sens!G4465+Sens!G4466+Sens!G4468+Sens!G4470</f>
        <v>403.572123059793</v>
      </c>
      <c r="H4472" s="6" t="n">
        <f aca="false">Sens!H4460+Sens!H4465+Sens!H4466+Sens!H4468+Sens!H4470</f>
        <v>475.696296004025</v>
      </c>
      <c r="I4472" s="6" t="n">
        <f aca="false">Sens!I4460+Sens!I4465+Sens!I4466+Sens!I4468+Sens!I4470</f>
        <v>546.379573436949</v>
      </c>
      <c r="J4472" s="6" t="n">
        <f aca="false">Sens!J4460+Sens!J4465+Sens!J4466+Sens!J4468+Sens!J4470</f>
        <v>614.228790083482</v>
      </c>
      <c r="K4472" s="6" t="n">
        <f aca="false">Sens!K4460+Sens!K4465+Sens!K4466+Sens!K4468+Sens!K4470</f>
        <v>678.598349922667</v>
      </c>
    </row>
    <row r="4473" customFormat="false" ht="15" hidden="false" customHeight="false" outlineLevel="0" collapsed="false">
      <c r="A4473" s="0" t="s">
        <v>792</v>
      </c>
      <c r="B4473" s="0" t="s">
        <v>95</v>
      </c>
      <c r="D4473" s="6" t="n">
        <f aca="false">Q!L13</f>
        <v>22.171</v>
      </c>
      <c r="E4473" s="6" t="n">
        <f aca="false">Q!M13</f>
        <v>24.835</v>
      </c>
      <c r="F4473" s="6" t="n">
        <f aca="false">Sens!E4473*(1+Sens!F4474)</f>
        <v>27.6114901218559</v>
      </c>
      <c r="G4473" s="6" t="n">
        <f aca="false">Sens!F4473*(1+Sens!G4474)</f>
        <v>30.4675667338515</v>
      </c>
      <c r="H4473" s="6" t="n">
        <f aca="false">Sens!G4473*(1+Sens!H4474)</f>
        <v>33.3643766955789</v>
      </c>
      <c r="I4473" s="6" t="n">
        <f aca="false">Sens!H4473*(1+Sens!I4474)</f>
        <v>36.2577016533691</v>
      </c>
      <c r="J4473" s="6" t="n">
        <f aca="false">Sens!I4473*(1+Sens!J4474)</f>
        <v>39.0988367952171</v>
      </c>
      <c r="K4473" s="6" t="n">
        <f aca="false">Sens!J4473*(1+Sens!K4474)</f>
        <v>41.8357553708823</v>
      </c>
    </row>
    <row r="4474" customFormat="false" ht="15" hidden="false" customHeight="false" outlineLevel="0" collapsed="false">
      <c r="A4474" s="1" t="s">
        <v>782</v>
      </c>
      <c r="B4474" s="0" t="s">
        <v>126</v>
      </c>
      <c r="E4474" s="7" t="n">
        <f aca="false">Sens!E4473/Sens!D4473-1</f>
        <v>0.120156961796942</v>
      </c>
      <c r="F4474" s="7" t="n">
        <f aca="false">Sens!$E$4474+(glt_srch-Sens!$E$4474)*MIN(1,1/n_conv)</f>
        <v>0.111797468164118</v>
      </c>
      <c r="G4474" s="7" t="n">
        <f aca="false">Sens!$E$4474+(glt_srch-Sens!$E$4474)*MIN(1,2/n_conv)</f>
        <v>0.103437974531295</v>
      </c>
      <c r="H4474" s="7" t="n">
        <f aca="false">Sens!$E$4474+(glt_srch-Sens!$E$4474)*MIN(1,3/n_conv)</f>
        <v>0.095078480898471</v>
      </c>
      <c r="I4474" s="7" t="n">
        <f aca="false">Sens!$E$4474+(glt_srch-Sens!$E$4474)*MIN(1,4/n_conv)</f>
        <v>0.0867189872656474</v>
      </c>
      <c r="J4474" s="7" t="n">
        <f aca="false">Sens!$E$4474+(glt_srch-Sens!$E$4474)*MIN(1,5/n_conv)</f>
        <v>0.0783594936328237</v>
      </c>
      <c r="K4474" s="7" t="n">
        <f aca="false">Sens!$E$4474+(glt_srch-Sens!$E$4474)*MIN(1,6/n_conv)</f>
        <v>0.07</v>
      </c>
    </row>
    <row r="4475" customFormat="false" ht="15" hidden="false" customHeight="false" outlineLevel="0" collapsed="false">
      <c r="A4475" s="0" t="s">
        <v>793</v>
      </c>
      <c r="B4475" s="0" t="s">
        <v>95</v>
      </c>
      <c r="D4475" s="6" t="n">
        <f aca="false">Q!L14</f>
        <v>23.455</v>
      </c>
      <c r="E4475" s="6" t="n">
        <f aca="false">Q!M14</f>
        <v>21.79</v>
      </c>
      <c r="F4475" s="6" t="n">
        <f aca="false">Sens!E4475*(1+Sens!F4476)</f>
        <v>20.5736277908051</v>
      </c>
      <c r="G4475" s="6" t="n">
        <f aca="false">Sens!F4475*(1+Sens!G4476)</f>
        <v>19.7371452817919</v>
      </c>
      <c r="H4475" s="6" t="n">
        <f aca="false">Sens!G4475*(1+Sens!H4476)</f>
        <v>19.2339764043138</v>
      </c>
      <c r="I4475" s="6" t="n">
        <f aca="false">Sens!H4475*(1+Sens!I4476)</f>
        <v>19.0353086852681</v>
      </c>
      <c r="J4475" s="6" t="n">
        <f aca="false">Sens!I4475*(1+Sens!J4476)</f>
        <v>19.1273539319129</v>
      </c>
      <c r="K4475" s="6" t="n">
        <f aca="false">Sens!J4475*(1+Sens!K4476)</f>
        <v>19.5099010105511</v>
      </c>
    </row>
    <row r="4476" customFormat="false" ht="15" hidden="false" customHeight="false" outlineLevel="0" collapsed="false">
      <c r="A4476" s="1" t="s">
        <v>782</v>
      </c>
      <c r="B4476" s="0" t="s">
        <v>126</v>
      </c>
      <c r="E4476" s="7" t="n">
        <f aca="false">Sens!E4475/Sens!D4475-1</f>
        <v>-0.0709869963760392</v>
      </c>
      <c r="F4476" s="7" t="n">
        <f aca="false">Sens!$E$4476+(glt_xbox-Sens!$E$4476)*MIN(1,1/n_conv)</f>
        <v>-0.0558224969800327</v>
      </c>
      <c r="G4476" s="7" t="n">
        <f aca="false">Sens!$E$4476+(glt_xbox-Sens!$E$4476)*MIN(1,2/n_conv)</f>
        <v>-0.0406579975840262</v>
      </c>
      <c r="H4476" s="7" t="n">
        <f aca="false">Sens!$E$4476+(glt_xbox-Sens!$E$4476)*MIN(1,3/n_conv)</f>
        <v>-0.0254934981880196</v>
      </c>
      <c r="I4476" s="7" t="n">
        <f aca="false">Sens!$E$4476+(glt_xbox-Sens!$E$4476)*MIN(1,4/n_conv)</f>
        <v>-0.0103289987920131</v>
      </c>
      <c r="J4476" s="7" t="n">
        <f aca="false">Sens!$E$4476+(glt_xbox-Sens!$E$4476)*MIN(1,5/n_conv)</f>
        <v>0.00483550060399347</v>
      </c>
      <c r="K4476" s="7" t="n">
        <f aca="false">Sens!$E$4476+(glt_xbox-Sens!$E$4476)*MIN(1,6/n_conv)</f>
        <v>0.02</v>
      </c>
    </row>
    <row r="4477" customFormat="false" ht="15" hidden="false" customHeight="false" outlineLevel="0" collapsed="false">
      <c r="A4477" s="0" t="s">
        <v>794</v>
      </c>
      <c r="B4477" s="0" t="s">
        <v>95</v>
      </c>
      <c r="D4477" s="6" t="n">
        <f aca="false">Q!L15</f>
        <v>17.315</v>
      </c>
      <c r="E4477" s="6" t="n">
        <f aca="false">Q!M15</f>
        <v>17.087</v>
      </c>
      <c r="F4477" s="6" t="n">
        <f aca="false">Sens!E4477*(1+Sens!F4478)</f>
        <v>16.9564585436519</v>
      </c>
      <c r="G4477" s="6" t="n">
        <f aca="false">Sens!F4477*(1+Sens!G4478)</f>
        <v>16.9206490624268</v>
      </c>
      <c r="H4477" s="6" t="n">
        <f aca="false">Sens!G4477*(1+Sens!H4478)</f>
        <v>16.9784519149849</v>
      </c>
      <c r="I4477" s="6" t="n">
        <f aca="false">Sens!H4477*(1+Sens!I4478)</f>
        <v>17.1303084701817</v>
      </c>
      <c r="J4477" s="6" t="n">
        <f aca="false">Sens!I4477*(1+Sens!J4478)</f>
        <v>17.3782189407267</v>
      </c>
      <c r="K4477" s="6" t="n">
        <f aca="false">Sens!J4477*(1+Sens!K4478)</f>
        <v>17.7257833195413</v>
      </c>
    </row>
    <row r="4478" customFormat="false" ht="15" hidden="false" customHeight="false" outlineLevel="0" collapsed="false">
      <c r="A4478" s="1" t="s">
        <v>782</v>
      </c>
      <c r="B4478" s="0" t="s">
        <v>126</v>
      </c>
      <c r="E4478" s="7" t="n">
        <f aca="false">Sens!E4477/Sens!D4477-1</f>
        <v>-0.0131677736066995</v>
      </c>
      <c r="F4478" s="7" t="n">
        <f aca="false">Sens!$E$4478+(glt_win-Sens!$E$4478)*MIN(1,1/n_conv)</f>
        <v>-0.00763981133891627</v>
      </c>
      <c r="G4478" s="7" t="n">
        <f aca="false">Sens!$E$4478+(glt_win-Sens!$E$4478)*MIN(1,2/n_conv)</f>
        <v>-0.00211184907113301</v>
      </c>
      <c r="H4478" s="7" t="n">
        <f aca="false">Sens!$E$4478+(glt_win-Sens!$E$4478)*MIN(1,3/n_conv)</f>
        <v>0.00341611319665024</v>
      </c>
      <c r="I4478" s="7" t="n">
        <f aca="false">Sens!$E$4478+(glt_win-Sens!$E$4478)*MIN(1,4/n_conv)</f>
        <v>0.00894407546443349</v>
      </c>
      <c r="J4478" s="7" t="n">
        <f aca="false">Sens!$E$4478+(glt_win-Sens!$E$4478)*MIN(1,5/n_conv)</f>
        <v>0.0144720377322168</v>
      </c>
      <c r="K4478" s="7" t="n">
        <f aca="false">Sens!$E$4478+(glt_win-Sens!$E$4478)*MIN(1,6/n_conv)</f>
        <v>0.02</v>
      </c>
    </row>
    <row r="4479" customFormat="false" ht="15" hidden="false" customHeight="false" outlineLevel="0" collapsed="false">
      <c r="A4479" s="0" t="s">
        <v>640</v>
      </c>
      <c r="B4479" s="0" t="s">
        <v>95</v>
      </c>
      <c r="D4479" s="6" t="n">
        <f aca="false">Sens!D4473+Sens!D4475+Sens!D4477</f>
        <v>62.941</v>
      </c>
      <c r="E4479" s="6" t="n">
        <f aca="false">Sens!E4473+Sens!E4475+Sens!E4477</f>
        <v>63.712</v>
      </c>
      <c r="F4479" s="6" t="n">
        <f aca="false">Sens!F4473+Sens!F4475+Sens!F4477</f>
        <v>65.1415764563129</v>
      </c>
      <c r="G4479" s="6" t="n">
        <f aca="false">Sens!G4473+Sens!G4475+Sens!G4477</f>
        <v>67.1253610780702</v>
      </c>
      <c r="H4479" s="6" t="n">
        <f aca="false">Sens!H4473+Sens!H4475+Sens!H4477</f>
        <v>69.5768050148776</v>
      </c>
      <c r="I4479" s="6" t="n">
        <f aca="false">Sens!I4473+Sens!I4475+Sens!I4477</f>
        <v>72.4233188088189</v>
      </c>
      <c r="J4479" s="6" t="n">
        <f aca="false">Sens!J4473+Sens!J4475+Sens!J4477</f>
        <v>75.6044096678567</v>
      </c>
      <c r="K4479" s="6" t="n">
        <f aca="false">Sens!K4473+Sens!K4475+Sens!K4477</f>
        <v>79.0714397009747</v>
      </c>
    </row>
    <row r="4480" customFormat="false" ht="15" hidden="false" customHeight="false" outlineLevel="0" collapsed="false">
      <c r="A4480" s="1" t="s">
        <v>795</v>
      </c>
      <c r="B4480" s="0" t="s">
        <v>95</v>
      </c>
      <c r="D4480" s="6" t="n">
        <f aca="false">Sens!D4472+Sens!D4479</f>
        <v>281.724</v>
      </c>
      <c r="E4480" s="6" t="n">
        <f aca="false">Sens!E4472+Sens!E4479</f>
        <v>331.839</v>
      </c>
      <c r="F4480" s="6" t="n">
        <f aca="false">Sens!F4472+Sens!F4479</f>
        <v>397.907104707821</v>
      </c>
      <c r="G4480" s="6" t="n">
        <f aca="false">Sens!G4472+Sens!G4479</f>
        <v>470.697484137863</v>
      </c>
      <c r="H4480" s="6" t="n">
        <f aca="false">Sens!H4472+Sens!H4479</f>
        <v>545.273101018903</v>
      </c>
      <c r="I4480" s="6" t="n">
        <f aca="false">Sens!I4472+Sens!I4479</f>
        <v>618.802892245768</v>
      </c>
      <c r="J4480" s="6" t="n">
        <f aca="false">Sens!J4472+Sens!J4479</f>
        <v>689.833199751338</v>
      </c>
      <c r="K4480" s="6" t="n">
        <f aca="false">Sens!K4472+Sens!K4479</f>
        <v>757.669789623641</v>
      </c>
    </row>
    <row r="4481" customFormat="false" ht="15" hidden="false" customHeight="false" outlineLevel="0" collapsed="false">
      <c r="A4481" s="22" t="s">
        <v>796</v>
      </c>
      <c r="B4481" s="28" t="s">
        <v>95</v>
      </c>
      <c r="C4481" s="28"/>
      <c r="D4481" s="23" t="n">
        <f aca="false">(Sens!D4460+Sens!D4465+Sens!D4466+Sens!D4468+Sens!D4470-Sens!D4472)+(Sens!D4473+Sens!D4475+Sens!D4477-Sens!D4479)+(Sens!D4472-Q!L5)+(Sens!D4479-Q!L12)+(Sens!D4460-Q!L6)+(Sens!D4465-Q!L7)</f>
        <v>0</v>
      </c>
      <c r="E4481" s="23" t="n">
        <f aca="false">(Sens!E4460+Sens!E4465+Sens!E4466+Sens!E4468+Sens!E4470-Sens!E4472)+(Sens!E4473+Sens!E4475+Sens!E4477-Sens!E4479)+(Sens!E4472-Q!M5)+(Sens!E4479-Q!M12)+(Sens!E4460-Q!M6)+(Sens!E4465-Q!M7)</f>
        <v>0</v>
      </c>
      <c r="F4481" s="23" t="n">
        <f aca="false">(Sens!F4460+Sens!F4465+Sens!F4466+Sens!F4468+Sens!F4470-Sens!F4472)+(Sens!F4473+Sens!F4475+Sens!F4477-Sens!F4479)</f>
        <v>0</v>
      </c>
      <c r="G4481" s="23" t="n">
        <f aca="false">(Sens!G4460+Sens!G4465+Sens!G4466+Sens!G4468+Sens!G4470-Sens!G4472)+(Sens!G4473+Sens!G4475+Sens!G4477-Sens!G4479)</f>
        <v>0</v>
      </c>
      <c r="H4481" s="23" t="n">
        <f aca="false">(Sens!H4460+Sens!H4465+Sens!H4466+Sens!H4468+Sens!H4470-Sens!H4472)+(Sens!H4473+Sens!H4475+Sens!H4477-Sens!H4479)</f>
        <v>0</v>
      </c>
      <c r="I4481" s="23" t="n">
        <f aca="false">(Sens!I4460+Sens!I4465+Sens!I4466+Sens!I4468+Sens!I4470-Sens!I4472)+(Sens!I4473+Sens!I4475+Sens!I4477-Sens!I4479)</f>
        <v>0</v>
      </c>
      <c r="J4481" s="23" t="n">
        <f aca="false">(Sens!J4460+Sens!J4465+Sens!J4466+Sens!J4468+Sens!J4470-Sens!J4472)+(Sens!J4473+Sens!J4475+Sens!J4477-Sens!J4479)</f>
        <v>0</v>
      </c>
      <c r="K4481" s="23" t="n">
        <f aca="false">(Sens!K4460+Sens!K4465+Sens!K4466+Sens!K4468+Sens!K4470-Sens!K4472)+(Sens!K4473+Sens!K4475+Sens!K4477-Sens!K4479)</f>
        <v>0</v>
      </c>
    </row>
    <row r="4482" customFormat="false" ht="17.15" hidden="false" customHeight="false" outlineLevel="0" collapsed="false">
      <c r="A4482" s="3" t="s">
        <v>1241</v>
      </c>
    </row>
    <row r="4483" customFormat="false" ht="15" hidden="false" customHeight="false" outlineLevel="0" collapsed="false">
      <c r="A4483" s="4" t="s">
        <v>43</v>
      </c>
      <c r="B4483" s="4" t="s">
        <v>63</v>
      </c>
      <c r="C4483" s="19" t="s">
        <v>710</v>
      </c>
      <c r="D4483" s="19" t="s">
        <v>711</v>
      </c>
      <c r="E4483" s="19" t="s">
        <v>712</v>
      </c>
      <c r="F4483" s="19" t="s">
        <v>713</v>
      </c>
      <c r="G4483" s="19" t="s">
        <v>714</v>
      </c>
      <c r="H4483" s="19" t="s">
        <v>715</v>
      </c>
      <c r="I4483" s="19" t="s">
        <v>716</v>
      </c>
      <c r="J4483" s="19" t="s">
        <v>717</v>
      </c>
      <c r="K4483" s="19" t="s">
        <v>718</v>
      </c>
      <c r="L4483" s="4" t="s">
        <v>47</v>
      </c>
    </row>
    <row r="4484" customFormat="false" ht="15" hidden="false" customHeight="false" outlineLevel="0" collapsed="false">
      <c r="A4484" s="0" t="s">
        <v>783</v>
      </c>
      <c r="B4484" s="0" t="s">
        <v>95</v>
      </c>
      <c r="D4484" s="6" t="n">
        <f aca="false">Sens!D4460</f>
        <v>72.61</v>
      </c>
      <c r="E4484" s="6" t="n">
        <f aca="false">Sens!E4460</f>
        <v>101.938</v>
      </c>
      <c r="F4484" s="6" t="n">
        <f aca="false">Sens!F4460</f>
        <v>145.143956312325</v>
      </c>
      <c r="G4484" s="6" t="n">
        <f aca="false">Sens!G4460</f>
        <v>196.478966522364</v>
      </c>
      <c r="H4484" s="6" t="n">
        <f aca="false">Sens!H4460</f>
        <v>249.10761332251</v>
      </c>
      <c r="I4484" s="6" t="n">
        <f aca="false">Sens!I4460</f>
        <v>301.318218457463</v>
      </c>
      <c r="J4484" s="6" t="n">
        <f aca="false">Sens!J4460</f>
        <v>352.037892979313</v>
      </c>
      <c r="K4484" s="6" t="n">
        <f aca="false">Sens!K4460</f>
        <v>400.20428058249</v>
      </c>
    </row>
    <row r="4485" customFormat="false" ht="17.15" hidden="false" customHeight="false" outlineLevel="0" collapsed="false">
      <c r="A4485" s="0" t="s">
        <v>780</v>
      </c>
      <c r="B4485" s="0" t="s">
        <v>95</v>
      </c>
      <c r="D4485" s="6" t="n">
        <f aca="false">Sens!D4457</f>
        <v>12.9359794422418</v>
      </c>
      <c r="E4485" s="6" t="n">
        <f aca="false">Sens!E4457</f>
        <v>27.8095064661409</v>
      </c>
      <c r="F4485" s="6" t="n">
        <f aca="false">Sens!F4457</f>
        <v>55.0640065749585</v>
      </c>
      <c r="G4485" s="6" t="n">
        <f aca="false">Sens!G4457</f>
        <v>89.4505413190538</v>
      </c>
      <c r="H4485" s="6" t="n">
        <f aca="false">Sens!H4457</f>
        <v>124.835630736874</v>
      </c>
      <c r="I4485" s="6" t="n">
        <f aca="false">Sens!I4457</f>
        <v>160.384516075608</v>
      </c>
      <c r="J4485" s="6" t="n">
        <f aca="false">Sens!J4457</f>
        <v>196.019025664981</v>
      </c>
      <c r="K4485" s="6" t="n">
        <f aca="false">Sens!K4457</f>
        <v>231.703903883012</v>
      </c>
    </row>
    <row r="4486" customFormat="false" ht="17.15" hidden="false" customHeight="false" outlineLevel="0" collapsed="false">
      <c r="A4486" s="0" t="s">
        <v>807</v>
      </c>
      <c r="B4486" s="0" t="s">
        <v>95</v>
      </c>
      <c r="D4486" s="6" t="n">
        <f aca="false">Sens!D4458</f>
        <v>59.6740205577583</v>
      </c>
      <c r="E4486" s="6" t="n">
        <f aca="false">Sens!E4458</f>
        <v>74.1284935338591</v>
      </c>
      <c r="F4486" s="6" t="n">
        <f aca="false">Sens!F4458</f>
        <v>90.0799497373663</v>
      </c>
      <c r="G4486" s="6" t="n">
        <f aca="false">Sens!G4458</f>
        <v>107.02842520331</v>
      </c>
      <c r="H4486" s="6" t="n">
        <f aca="false">Sens!H4458</f>
        <v>124.271982585636</v>
      </c>
      <c r="I4486" s="6" t="n">
        <f aca="false">Sens!I4458</f>
        <v>140.933702381855</v>
      </c>
      <c r="J4486" s="6" t="n">
        <f aca="false">Sens!J4458</f>
        <v>156.018867314332</v>
      </c>
      <c r="K4486" s="6" t="n">
        <f aca="false">Sens!K4458</f>
        <v>168.500376699478</v>
      </c>
    </row>
    <row r="4487" customFormat="false" ht="15" hidden="false" customHeight="false" outlineLevel="0" collapsed="false">
      <c r="A4487" s="0" t="s">
        <v>788</v>
      </c>
      <c r="B4487" s="0" t="s">
        <v>95</v>
      </c>
      <c r="D4487" s="6" t="n">
        <f aca="false">Sens!D4465</f>
        <v>84.605</v>
      </c>
      <c r="E4487" s="6" t="n">
        <f aca="false">Sens!E4465</f>
        <v>100.299</v>
      </c>
      <c r="F4487" s="6" t="n">
        <f aca="false">Sens!F4465</f>
        <v>117.39238776686</v>
      </c>
      <c r="G4487" s="6" t="n">
        <f aca="false">Sens!G4465</f>
        <v>132.544168448684</v>
      </c>
      <c r="H4487" s="6" t="n">
        <f aca="false">Sens!H4465</f>
        <v>147.777359388781</v>
      </c>
      <c r="I4487" s="6" t="n">
        <f aca="false">Sens!I4465</f>
        <v>162.084028071957</v>
      </c>
      <c r="J4487" s="6" t="n">
        <f aca="false">Sens!J4465</f>
        <v>175.182702785465</v>
      </c>
      <c r="K4487" s="6" t="n">
        <f aca="false">Sens!K4465</f>
        <v>187.527991980448</v>
      </c>
    </row>
    <row r="4488" customFormat="false" ht="17.15" hidden="false" customHeight="false" outlineLevel="0" collapsed="false">
      <c r="A4488" s="0" t="s">
        <v>808</v>
      </c>
      <c r="B4488" s="0" t="s">
        <v>95</v>
      </c>
      <c r="D4488" s="6" t="n">
        <f aca="false">Sens!D4463</f>
        <v>83.705</v>
      </c>
      <c r="E4488" s="6" t="n">
        <f aca="false">Sens!E4463</f>
        <v>95.049</v>
      </c>
      <c r="F4488" s="6" t="n">
        <f aca="false">Sens!F4463</f>
        <v>106.89238776686</v>
      </c>
      <c r="G4488" s="6" t="n">
        <f aca="false">Sens!G4463</f>
        <v>119.044168448684</v>
      </c>
      <c r="H4488" s="6" t="n">
        <f aca="false">Sens!H4463</f>
        <v>131.277359388781</v>
      </c>
      <c r="I4488" s="6" t="n">
        <f aca="false">Sens!I4463</f>
        <v>143.334028071957</v>
      </c>
      <c r="J4488" s="6" t="n">
        <f aca="false">Sens!J4463</f>
        <v>154.932702785465</v>
      </c>
      <c r="K4488" s="6" t="n">
        <f aca="false">Sens!K4463</f>
        <v>165.777991980448</v>
      </c>
    </row>
    <row r="4489" customFormat="false" ht="17.15" hidden="false" customHeight="false" outlineLevel="0" collapsed="false">
      <c r="A4489" s="0" t="s">
        <v>809</v>
      </c>
      <c r="B4489" s="0" t="s">
        <v>95</v>
      </c>
      <c r="D4489" s="6" t="n">
        <f aca="false">Sens!D4462</f>
        <v>0.9</v>
      </c>
      <c r="E4489" s="6" t="n">
        <f aca="false">Sens!E4462</f>
        <v>5.25</v>
      </c>
      <c r="F4489" s="6" t="n">
        <f aca="false">Sens!F4462</f>
        <v>10.5</v>
      </c>
      <c r="G4489" s="6" t="n">
        <f aca="false">Sens!G4462</f>
        <v>13.5</v>
      </c>
      <c r="H4489" s="6" t="n">
        <f aca="false">Sens!H4462</f>
        <v>16.5</v>
      </c>
      <c r="I4489" s="6" t="n">
        <f aca="false">Sens!I4462</f>
        <v>18.75</v>
      </c>
      <c r="J4489" s="6" t="n">
        <f aca="false">Sens!J4462</f>
        <v>20.25</v>
      </c>
      <c r="K4489" s="6" t="n">
        <f aca="false">Sens!K4462</f>
        <v>21.75</v>
      </c>
    </row>
    <row r="4490" customFormat="false" ht="15" hidden="false" customHeight="false" outlineLevel="0" collapsed="false">
      <c r="A4490" s="0" t="s">
        <v>789</v>
      </c>
      <c r="B4490" s="0" t="s">
        <v>95</v>
      </c>
      <c r="D4490" s="6" t="n">
        <f aca="false">Sens!D4466</f>
        <v>35.391</v>
      </c>
      <c r="E4490" s="6" t="n">
        <f aca="false">Sens!E4466</f>
        <v>37.285</v>
      </c>
      <c r="F4490" s="6" t="n">
        <f aca="false">Sens!F4466</f>
        <v>39.0720834331704</v>
      </c>
      <c r="G4490" s="6" t="n">
        <f aca="false">Sens!G4466</f>
        <v>40.726562953769</v>
      </c>
      <c r="H4490" s="6" t="n">
        <f aca="false">Sens!H4466</f>
        <v>42.2235987259198</v>
      </c>
      <c r="I4490" s="6" t="n">
        <f aca="false">Sens!I4466</f>
        <v>43.5397988077414</v>
      </c>
      <c r="J4490" s="6" t="n">
        <f aca="false">Sens!J4466</f>
        <v>44.653811225693</v>
      </c>
      <c r="K4490" s="6" t="n">
        <f aca="false">Sens!K4466</f>
        <v>45.5468874502068</v>
      </c>
    </row>
    <row r="4491" customFormat="false" ht="15" hidden="false" customHeight="false" outlineLevel="0" collapsed="false">
      <c r="A4491" s="0" t="s">
        <v>790</v>
      </c>
      <c r="B4491" s="0" t="s">
        <v>95</v>
      </c>
      <c r="D4491" s="6" t="n">
        <f aca="false">Sens!D4468</f>
        <v>18.417</v>
      </c>
      <c r="E4491" s="6" t="n">
        <f aca="false">Sens!E4468</f>
        <v>20.345</v>
      </c>
      <c r="F4491" s="6" t="n">
        <f aca="false">Sens!F4468</f>
        <v>22.3572203267814</v>
      </c>
      <c r="G4491" s="6" t="n">
        <f aca="false">Sens!G4468</f>
        <v>24.4392124437232</v>
      </c>
      <c r="H4491" s="6" t="n">
        <f aca="false">Sens!H4468</f>
        <v>26.5738052080665</v>
      </c>
      <c r="I4491" s="6" t="n">
        <f aca="false">Sens!I4468</f>
        <v>28.7412169166967</v>
      </c>
      <c r="J4491" s="6" t="n">
        <f aca="false">Sens!J4468</f>
        <v>30.9192545395413</v>
      </c>
      <c r="K4491" s="6" t="n">
        <f aca="false">Sens!K4468</f>
        <v>33.0836023573092</v>
      </c>
    </row>
    <row r="4492" customFormat="false" ht="15" hidden="false" customHeight="false" outlineLevel="0" collapsed="false">
      <c r="A4492" s="0" t="s">
        <v>791</v>
      </c>
      <c r="B4492" s="0" t="s">
        <v>95</v>
      </c>
      <c r="D4492" s="6" t="n">
        <f aca="false">Sens!D4470</f>
        <v>7.76</v>
      </c>
      <c r="E4492" s="6" t="n">
        <f aca="false">Sens!E4470</f>
        <v>8.26</v>
      </c>
      <c r="F4492" s="6" t="n">
        <f aca="false">Sens!F4470</f>
        <v>8.79988041237113</v>
      </c>
      <c r="G4492" s="6" t="n">
        <f aca="false">Sens!G4470</f>
        <v>9.38321269125306</v>
      </c>
      <c r="H4492" s="6" t="n">
        <f aca="false">Sens!H4470</f>
        <v>10.0139193587476</v>
      </c>
      <c r="I4492" s="6" t="n">
        <f aca="false">Sens!I4470</f>
        <v>10.6963111830911</v>
      </c>
      <c r="J4492" s="6" t="n">
        <f aca="false">Sens!J4470</f>
        <v>11.4351285534696</v>
      </c>
      <c r="K4492" s="6" t="n">
        <f aca="false">Sens!K4470</f>
        <v>12.2355875522124</v>
      </c>
    </row>
    <row r="4493" customFormat="false" ht="15" hidden="false" customHeight="false" outlineLevel="0" collapsed="false">
      <c r="A4493" s="0" t="s">
        <v>626</v>
      </c>
      <c r="B4493" s="0" t="s">
        <v>95</v>
      </c>
      <c r="D4493" s="6" t="n">
        <f aca="false">Sens!D4472</f>
        <v>218.783</v>
      </c>
      <c r="E4493" s="6" t="n">
        <f aca="false">Sens!E4472</f>
        <v>268.127</v>
      </c>
      <c r="F4493" s="6" t="n">
        <f aca="false">Sens!F4472</f>
        <v>332.765528251508</v>
      </c>
      <c r="G4493" s="6" t="n">
        <f aca="false">Sens!G4472</f>
        <v>403.572123059793</v>
      </c>
      <c r="H4493" s="6" t="n">
        <f aca="false">Sens!H4472</f>
        <v>475.696296004025</v>
      </c>
      <c r="I4493" s="6" t="n">
        <f aca="false">Sens!I4472</f>
        <v>546.379573436949</v>
      </c>
      <c r="J4493" s="6" t="n">
        <f aca="false">Sens!J4472</f>
        <v>614.228790083482</v>
      </c>
      <c r="K4493" s="6" t="n">
        <f aca="false">Sens!K4472</f>
        <v>678.598349922667</v>
      </c>
    </row>
    <row r="4494" customFormat="false" ht="15" hidden="false" customHeight="false" outlineLevel="0" collapsed="false">
      <c r="A4494" s="0" t="s">
        <v>792</v>
      </c>
      <c r="B4494" s="0" t="s">
        <v>95</v>
      </c>
      <c r="D4494" s="6" t="n">
        <f aca="false">Sens!D4473</f>
        <v>22.171</v>
      </c>
      <c r="E4494" s="6" t="n">
        <f aca="false">Sens!E4473</f>
        <v>24.835</v>
      </c>
      <c r="F4494" s="6" t="n">
        <f aca="false">Sens!F4473</f>
        <v>27.6114901218559</v>
      </c>
      <c r="G4494" s="6" t="n">
        <f aca="false">Sens!G4473</f>
        <v>30.4675667338515</v>
      </c>
      <c r="H4494" s="6" t="n">
        <f aca="false">Sens!H4473</f>
        <v>33.3643766955789</v>
      </c>
      <c r="I4494" s="6" t="n">
        <f aca="false">Sens!I4473</f>
        <v>36.2577016533691</v>
      </c>
      <c r="J4494" s="6" t="n">
        <f aca="false">Sens!J4473</f>
        <v>39.0988367952171</v>
      </c>
      <c r="K4494" s="6" t="n">
        <f aca="false">Sens!K4473</f>
        <v>41.8357553708823</v>
      </c>
    </row>
    <row r="4495" customFormat="false" ht="15" hidden="false" customHeight="false" outlineLevel="0" collapsed="false">
      <c r="A4495" s="0" t="s">
        <v>793</v>
      </c>
      <c r="B4495" s="0" t="s">
        <v>95</v>
      </c>
      <c r="D4495" s="6" t="n">
        <f aca="false">Sens!D4475</f>
        <v>23.455</v>
      </c>
      <c r="E4495" s="6" t="n">
        <f aca="false">Sens!E4475</f>
        <v>21.79</v>
      </c>
      <c r="F4495" s="6" t="n">
        <f aca="false">Sens!F4475</f>
        <v>20.5736277908051</v>
      </c>
      <c r="G4495" s="6" t="n">
        <f aca="false">Sens!G4475</f>
        <v>19.7371452817919</v>
      </c>
      <c r="H4495" s="6" t="n">
        <f aca="false">Sens!H4475</f>
        <v>19.2339764043138</v>
      </c>
      <c r="I4495" s="6" t="n">
        <f aca="false">Sens!I4475</f>
        <v>19.0353086852681</v>
      </c>
      <c r="J4495" s="6" t="n">
        <f aca="false">Sens!J4475</f>
        <v>19.1273539319129</v>
      </c>
      <c r="K4495" s="6" t="n">
        <f aca="false">Sens!K4475</f>
        <v>19.5099010105511</v>
      </c>
    </row>
    <row r="4496" customFormat="false" ht="15" hidden="false" customHeight="false" outlineLevel="0" collapsed="false">
      <c r="A4496" s="0" t="s">
        <v>794</v>
      </c>
      <c r="B4496" s="0" t="s">
        <v>95</v>
      </c>
      <c r="D4496" s="6" t="n">
        <f aca="false">Sens!D4477</f>
        <v>17.315</v>
      </c>
      <c r="E4496" s="6" t="n">
        <f aca="false">Sens!E4477</f>
        <v>17.087</v>
      </c>
      <c r="F4496" s="6" t="n">
        <f aca="false">Sens!F4477</f>
        <v>16.9564585436519</v>
      </c>
      <c r="G4496" s="6" t="n">
        <f aca="false">Sens!G4477</f>
        <v>16.9206490624268</v>
      </c>
      <c r="H4496" s="6" t="n">
        <f aca="false">Sens!H4477</f>
        <v>16.9784519149849</v>
      </c>
      <c r="I4496" s="6" t="n">
        <f aca="false">Sens!I4477</f>
        <v>17.1303084701817</v>
      </c>
      <c r="J4496" s="6" t="n">
        <f aca="false">Sens!J4477</f>
        <v>17.3782189407267</v>
      </c>
      <c r="K4496" s="6" t="n">
        <f aca="false">Sens!K4477</f>
        <v>17.7257833195413</v>
      </c>
    </row>
    <row r="4497" customFormat="false" ht="15" hidden="false" customHeight="false" outlineLevel="0" collapsed="false">
      <c r="A4497" s="0" t="s">
        <v>640</v>
      </c>
      <c r="B4497" s="0" t="s">
        <v>95</v>
      </c>
      <c r="D4497" s="6" t="n">
        <f aca="false">Sens!D4479</f>
        <v>62.941</v>
      </c>
      <c r="E4497" s="6" t="n">
        <f aca="false">Sens!E4479</f>
        <v>63.712</v>
      </c>
      <c r="F4497" s="6" t="n">
        <f aca="false">Sens!F4479</f>
        <v>65.1415764563129</v>
      </c>
      <c r="G4497" s="6" t="n">
        <f aca="false">Sens!G4479</f>
        <v>67.1253610780702</v>
      </c>
      <c r="H4497" s="6" t="n">
        <f aca="false">Sens!H4479</f>
        <v>69.5768050148776</v>
      </c>
      <c r="I4497" s="6" t="n">
        <f aca="false">Sens!I4479</f>
        <v>72.4233188088189</v>
      </c>
      <c r="J4497" s="6" t="n">
        <f aca="false">Sens!J4479</f>
        <v>75.6044096678567</v>
      </c>
      <c r="K4497" s="6" t="n">
        <f aca="false">Sens!K4479</f>
        <v>79.0714397009747</v>
      </c>
    </row>
    <row r="4498" customFormat="false" ht="15" hidden="false" customHeight="false" outlineLevel="0" collapsed="false">
      <c r="A4498" s="1" t="s">
        <v>810</v>
      </c>
      <c r="B4498" s="0" t="s">
        <v>95</v>
      </c>
      <c r="D4498" s="6" t="n">
        <f aca="false">Sens!D4480</f>
        <v>281.724</v>
      </c>
      <c r="E4498" s="6" t="n">
        <f aca="false">Sens!E4480</f>
        <v>331.839</v>
      </c>
      <c r="F4498" s="6" t="n">
        <f aca="false">Sens!F4480</f>
        <v>397.907104707821</v>
      </c>
      <c r="G4498" s="6" t="n">
        <f aca="false">Sens!G4480</f>
        <v>470.697484137863</v>
      </c>
      <c r="H4498" s="6" t="n">
        <f aca="false">Sens!H4480</f>
        <v>545.273101018903</v>
      </c>
      <c r="I4498" s="6" t="n">
        <f aca="false">Sens!I4480</f>
        <v>618.802892245768</v>
      </c>
      <c r="J4498" s="6" t="n">
        <f aca="false">Sens!J4480</f>
        <v>689.833199751338</v>
      </c>
      <c r="K4498" s="6" t="n">
        <f aca="false">Sens!K4480</f>
        <v>757.669789623641</v>
      </c>
    </row>
    <row r="4499" customFormat="false" ht="15" hidden="false" customHeight="false" outlineLevel="0" collapsed="false">
      <c r="A4499" s="1" t="s">
        <v>811</v>
      </c>
      <c r="B4499" s="0" t="s">
        <v>126</v>
      </c>
      <c r="E4499" s="7" t="n">
        <f aca="false">Sens!E4498/Sens!D4498-1</f>
        <v>0.177886867998467</v>
      </c>
      <c r="F4499" s="7" t="n">
        <f aca="false">Sens!F4498/Sens!E4498-1</f>
        <v>0.199096865370919</v>
      </c>
      <c r="G4499" s="7" t="n">
        <f aca="false">Sens!G4498/Sens!F4498-1</f>
        <v>0.182933098124729</v>
      </c>
      <c r="H4499" s="7" t="n">
        <f aca="false">Sens!H4498/Sens!G4498-1</f>
        <v>0.158436404260017</v>
      </c>
      <c r="I4499" s="7" t="n">
        <f aca="false">Sens!I4498/Sens!H4498-1</f>
        <v>0.134849474675107</v>
      </c>
      <c r="J4499" s="7" t="n">
        <f aca="false">Sens!J4498/Sens!I4498-1</f>
        <v>0.114786644334816</v>
      </c>
      <c r="K4499" s="7" t="n">
        <f aca="false">Sens!K4498/Sens!J4498-1</f>
        <v>0.0983376704640424</v>
      </c>
    </row>
    <row r="4500" customFormat="false" ht="17.15" hidden="false" customHeight="false" outlineLevel="0" collapsed="false">
      <c r="A4500" s="22" t="s">
        <v>812</v>
      </c>
      <c r="B4500" s="28" t="s">
        <v>95</v>
      </c>
      <c r="C4500" s="28"/>
      <c r="D4500" s="23" t="n">
        <f aca="false">(Sens!D4493+Sens!D4497-Sens!D4498)+(Sens!D4485+Sens!D4486-Sens!D4484)+(Sens!D4488+Sens!D4489-Sens!D4487)+(Sens!D4498-Q!L18)</f>
        <v>0</v>
      </c>
      <c r="E4500" s="23" t="n">
        <f aca="false">(Sens!E4493+Sens!E4497-Sens!E4498)+(Sens!E4485+Sens!E4486-Sens!E4484)+(Sens!E4488+Sens!E4489-Sens!E4487)+(Sens!E4498-Q!M18)</f>
        <v>0</v>
      </c>
      <c r="F4500" s="23" t="n">
        <f aca="false">(Sens!F4493+Sens!F4497-Sens!F4498)+(Sens!F4485+Sens!F4486-Sens!F4484)+(Sens!F4488+Sens!F4489-Sens!F4487)</f>
        <v>0</v>
      </c>
      <c r="G4500" s="23" t="n">
        <f aca="false">(Sens!G4493+Sens!G4497-Sens!G4498)+(Sens!G4485+Sens!G4486-Sens!G4484)+(Sens!G4488+Sens!G4489-Sens!G4487)</f>
        <v>0</v>
      </c>
      <c r="H4500" s="23" t="n">
        <f aca="false">(Sens!H4493+Sens!H4497-Sens!H4498)+(Sens!H4485+Sens!H4486-Sens!H4484)+(Sens!H4488+Sens!H4489-Sens!H4487)</f>
        <v>0</v>
      </c>
      <c r="I4500" s="23" t="n">
        <f aca="false">(Sens!I4493+Sens!I4497-Sens!I4498)+(Sens!I4485+Sens!I4486-Sens!I4484)+(Sens!I4488+Sens!I4489-Sens!I4487)</f>
        <v>0</v>
      </c>
      <c r="J4500" s="23" t="n">
        <f aca="false">(Sens!J4493+Sens!J4497-Sens!J4498)+(Sens!J4485+Sens!J4486-Sens!J4484)+(Sens!J4488+Sens!J4489-Sens!J4487)</f>
        <v>0</v>
      </c>
      <c r="K4500" s="23" t="n">
        <f aca="false">(Sens!K4493+Sens!K4497-Sens!K4498)+(Sens!K4485+Sens!K4486-Sens!K4484)+(Sens!K4488+Sens!K4489-Sens!K4487)</f>
        <v>0</v>
      </c>
    </row>
    <row r="4501" customFormat="false" ht="17.15" hidden="false" customHeight="false" outlineLevel="0" collapsed="false">
      <c r="A4501" s="0" t="s">
        <v>813</v>
      </c>
      <c r="B4501" s="0" t="s">
        <v>126</v>
      </c>
      <c r="E4501" s="7" t="n">
        <f aca="false">(Q!M21+Sens!E4438+Sens!E4439+Sens!E4440+Sens!E4453-Sens!E4436)/(Q!M5-Sens!E4436)</f>
        <v>0.570957350878296</v>
      </c>
      <c r="F4501" s="7" t="n">
        <f aca="false">Sens!$E$4501+dm_seg</f>
        <v>0.570957350878296</v>
      </c>
      <c r="G4501" s="7" t="n">
        <f aca="false">Sens!$E$4501+dm_seg</f>
        <v>0.570957350878296</v>
      </c>
      <c r="H4501" s="7" t="n">
        <f aca="false">Sens!$E$4501+dm_seg</f>
        <v>0.570957350878296</v>
      </c>
      <c r="I4501" s="7" t="n">
        <f aca="false">Sens!$E$4501+dm_seg</f>
        <v>0.570957350878296</v>
      </c>
      <c r="J4501" s="7" t="n">
        <f aca="false">Sens!$E$4501+dm_seg</f>
        <v>0.570957350878296</v>
      </c>
      <c r="K4501" s="7" t="n">
        <f aca="false">Sens!$E$4501+dm_seg</f>
        <v>0.570957350878296</v>
      </c>
      <c r="L4501" s="11" t="s">
        <v>814</v>
      </c>
    </row>
    <row r="4502" customFormat="false" ht="17.15" hidden="false" customHeight="false" outlineLevel="0" collapsed="false">
      <c r="A4502" s="0" t="s">
        <v>654</v>
      </c>
      <c r="B4502" s="0" t="s">
        <v>95</v>
      </c>
      <c r="D4502" s="6" t="n">
        <f aca="false">Q!L21</f>
        <v>110.814</v>
      </c>
      <c r="E4502" s="6" t="n">
        <f aca="false">Q!M21</f>
        <v>136.365</v>
      </c>
      <c r="F4502" s="6" t="n">
        <f aca="false">Sens!F4501*(Sens!F4472-Sens!F4436)+Sens!F4436-(Sens!F4438+Sens!F4439+Sens!F4440)-Sens!F4453</f>
        <v>156.729199894128</v>
      </c>
      <c r="G4502" s="6" t="n">
        <f aca="false">Sens!G4501*(Sens!G4472-Sens!G4436)+Sens!G4436-(Sens!G4438+Sens!G4439+Sens!G4440)-Sens!G4453</f>
        <v>174.586416287694</v>
      </c>
      <c r="H4502" s="6" t="n">
        <f aca="false">Sens!H4501*(Sens!H4472-Sens!H4436)+Sens!H4436-(Sens!H4438+Sens!H4439+Sens!H4440)-Sens!H4453</f>
        <v>192.515374457039</v>
      </c>
      <c r="I4502" s="6" t="n">
        <f aca="false">Sens!I4501*(Sens!I4472-Sens!I4436)+Sens!I4436-(Sens!I4438+Sens!I4439+Sens!I4440)-Sens!I4453</f>
        <v>208.641817049107</v>
      </c>
      <c r="J4502" s="6" t="n">
        <f aca="false">Sens!J4501*(Sens!J4472-Sens!J4436)+Sens!J4436-(Sens!J4438+Sens!J4439+Sens!J4440)-Sens!J4453</f>
        <v>222.198527632079</v>
      </c>
      <c r="K4502" s="6" t="n">
        <f aca="false">Sens!K4501*(Sens!K4472-Sens!K4436)+Sens!K4436-(Sens!K4438+Sens!K4439+Sens!K4440)-Sens!K4453</f>
        <v>232.493087582841</v>
      </c>
      <c r="L4502" s="1" t="s">
        <v>815</v>
      </c>
    </row>
    <row r="4503" customFormat="false" ht="17.15" hidden="false" customHeight="false" outlineLevel="0" collapsed="false">
      <c r="A4503" s="0" t="s">
        <v>816</v>
      </c>
      <c r="B4503" s="0" t="s">
        <v>126</v>
      </c>
      <c r="E4503" s="7" t="n">
        <f aca="false">Q!M22/Q!M12</f>
        <v>0.296207935710698</v>
      </c>
      <c r="F4503" s="7" t="n">
        <f aca="false">Sens!$E$4503+dm_seg</f>
        <v>0.296207935710698</v>
      </c>
      <c r="G4503" s="7" t="n">
        <f aca="false">Sens!$E$4503+dm_seg</f>
        <v>0.296207935710698</v>
      </c>
      <c r="H4503" s="7" t="n">
        <f aca="false">Sens!$E$4503+dm_seg</f>
        <v>0.296207935710698</v>
      </c>
      <c r="I4503" s="7" t="n">
        <f aca="false">Sens!$E$4503+dm_seg</f>
        <v>0.296207935710698</v>
      </c>
      <c r="J4503" s="7" t="n">
        <f aca="false">Sens!$E$4503+dm_seg</f>
        <v>0.296207935710698</v>
      </c>
      <c r="K4503" s="7" t="n">
        <f aca="false">Sens!$E$4503+dm_seg</f>
        <v>0.296207935710698</v>
      </c>
      <c r="L4503" s="11" t="s">
        <v>817</v>
      </c>
    </row>
    <row r="4504" customFormat="false" ht="17.15" hidden="false" customHeight="false" outlineLevel="0" collapsed="false">
      <c r="A4504" s="0" t="s">
        <v>656</v>
      </c>
      <c r="B4504" s="0" t="s">
        <v>95</v>
      </c>
      <c r="D4504" s="6" t="n">
        <f aca="false">Q!L22</f>
        <v>17.714</v>
      </c>
      <c r="E4504" s="6" t="n">
        <f aca="false">Q!M22</f>
        <v>18.872</v>
      </c>
      <c r="F4504" s="6" t="n">
        <f aca="false">Sens!F4479*Sens!F4503</f>
        <v>19.2954518910651</v>
      </c>
      <c r="G4504" s="6" t="n">
        <f aca="false">Sens!G4479*Sens!G4503</f>
        <v>19.8830646387704</v>
      </c>
      <c r="H4504" s="6" t="n">
        <f aca="false">Sens!H4479*Sens!H4503</f>
        <v>20.6092017868026</v>
      </c>
      <c r="I4504" s="6" t="n">
        <f aca="false">Sens!I4479*Sens!I4503</f>
        <v>21.452361761678</v>
      </c>
      <c r="J4504" s="6" t="n">
        <f aca="false">Sens!J4479*Sens!J4503</f>
        <v>22.3946261183418</v>
      </c>
      <c r="K4504" s="6" t="n">
        <f aca="false">Sens!K4479*Sens!K4503</f>
        <v>23.4215879274986</v>
      </c>
    </row>
    <row r="4505" customFormat="false" ht="15" hidden="false" customHeight="false" outlineLevel="0" collapsed="false">
      <c r="A4505" s="1" t="s">
        <v>818</v>
      </c>
      <c r="B4505" s="0" t="s">
        <v>95</v>
      </c>
      <c r="D4505" s="6" t="n">
        <f aca="false">Sens!D4502+Sens!D4504</f>
        <v>128.528</v>
      </c>
      <c r="E4505" s="6" t="n">
        <f aca="false">Sens!E4502+Sens!E4504</f>
        <v>155.237</v>
      </c>
      <c r="F4505" s="6" t="n">
        <f aca="false">Sens!F4502+Sens!F4504</f>
        <v>176.024651785194</v>
      </c>
      <c r="G4505" s="6" t="n">
        <f aca="false">Sens!G4502+Sens!G4504</f>
        <v>194.469480926464</v>
      </c>
      <c r="H4505" s="6" t="n">
        <f aca="false">Sens!H4502+Sens!H4504</f>
        <v>213.124576243841</v>
      </c>
      <c r="I4505" s="6" t="n">
        <f aca="false">Sens!I4502+Sens!I4504</f>
        <v>230.094178810785</v>
      </c>
      <c r="J4505" s="6" t="n">
        <f aca="false">Sens!J4502+Sens!J4504</f>
        <v>244.593153750421</v>
      </c>
      <c r="K4505" s="6" t="n">
        <f aca="false">Sens!K4502+Sens!K4504</f>
        <v>255.914675510339</v>
      </c>
    </row>
    <row r="4506" customFormat="false" ht="15" hidden="false" customHeight="false" outlineLevel="0" collapsed="false">
      <c r="A4506" s="22" t="s">
        <v>819</v>
      </c>
      <c r="B4506" s="28" t="s">
        <v>95</v>
      </c>
      <c r="C4506" s="28"/>
      <c r="D4506" s="23" t="n">
        <f aca="false">Sens!D4505-Q!L23</f>
        <v>0</v>
      </c>
      <c r="E4506" s="23" t="n">
        <f aca="false">Sens!E4505-Q!M23</f>
        <v>0</v>
      </c>
      <c r="F4506" s="28"/>
      <c r="G4506" s="28"/>
      <c r="H4506" s="28"/>
      <c r="I4506" s="28"/>
      <c r="J4506" s="28"/>
      <c r="K4506" s="28"/>
    </row>
    <row r="4507" customFormat="false" ht="15" hidden="false" customHeight="false" outlineLevel="0" collapsed="false">
      <c r="A4507" s="1" t="s">
        <v>820</v>
      </c>
      <c r="B4507" s="0" t="s">
        <v>126</v>
      </c>
      <c r="D4507" s="7" t="n">
        <f aca="false">Sens!D4505/Sens!D4498</f>
        <v>0.456219562408598</v>
      </c>
      <c r="E4507" s="7" t="n">
        <f aca="false">Sens!E4505/Sens!E4498</f>
        <v>0.467808184089272</v>
      </c>
      <c r="F4507" s="7" t="n">
        <f aca="false">Sens!F4505/Sens!F4498</f>
        <v>0.442376247376751</v>
      </c>
      <c r="G4507" s="7" t="n">
        <f aca="false">Sens!G4505/Sens!G4498</f>
        <v>0.413151732227033</v>
      </c>
      <c r="H4507" s="7" t="n">
        <f aca="false">Sens!H4505/Sens!H4498</f>
        <v>0.390858408099711</v>
      </c>
      <c r="I4507" s="7" t="n">
        <f aca="false">Sens!I4505/Sens!I4498</f>
        <v>0.371837594319774</v>
      </c>
      <c r="J4507" s="7" t="n">
        <f aca="false">Sens!J4505/Sens!J4498</f>
        <v>0.354568544741813</v>
      </c>
      <c r="K4507" s="7" t="n">
        <f aca="false">Sens!K4505/Sens!K4498</f>
        <v>0.337765447448367</v>
      </c>
    </row>
    <row r="4508" customFormat="false" ht="17.15" hidden="false" customHeight="false" outlineLevel="0" collapsed="false">
      <c r="A4508" s="1" t="s">
        <v>821</v>
      </c>
      <c r="B4508" s="0" t="s">
        <v>95</v>
      </c>
      <c r="E4508" s="6" t="n">
        <f aca="false">Sens!E4453</f>
        <v>16.3054059770833</v>
      </c>
      <c r="F4508" s="6" t="n">
        <f aca="false">Sens!F4453</f>
        <v>34.7530354558698</v>
      </c>
      <c r="G4508" s="6" t="n">
        <f aca="false">Sens!G4453</f>
        <v>60.5317332603396</v>
      </c>
      <c r="H4508" s="6" t="n">
        <f aca="false">Sens!H4453</f>
        <v>87.7673159931396</v>
      </c>
      <c r="I4508" s="6" t="n">
        <f aca="false">Sens!I4453</f>
        <v>116.022181741123</v>
      </c>
      <c r="J4508" s="6" t="n">
        <f aca="false">Sens!J4453</f>
        <v>145.249277958273</v>
      </c>
      <c r="K4508" s="6" t="n">
        <f aca="false">Sens!K4453</f>
        <v>175.76392263459</v>
      </c>
    </row>
    <row r="4509" customFormat="false" ht="17.15" hidden="false" customHeight="false" outlineLevel="0" collapsed="false">
      <c r="A4509" s="1" t="s">
        <v>822</v>
      </c>
      <c r="B4509" s="0" t="s">
        <v>95</v>
      </c>
      <c r="E4509" s="6" t="n">
        <f aca="false">Sens!E4529</f>
        <v>22.2285940229167</v>
      </c>
      <c r="F4509" s="6" t="n">
        <f aca="false">Sens!F4529</f>
        <v>23.5486693435813</v>
      </c>
      <c r="G4509" s="6" t="n">
        <f aca="false">Sens!G4529</f>
        <v>25.264091766262</v>
      </c>
      <c r="H4509" s="6" t="n">
        <f aca="false">Sens!H4529</f>
        <v>27.3438339540448</v>
      </c>
      <c r="I4509" s="6" t="n">
        <f aca="false">Sens!I4529</f>
        <v>29.7317905898047</v>
      </c>
      <c r="J4509" s="6" t="n">
        <f aca="false">Sens!J4529</f>
        <v>32.3542028558616</v>
      </c>
      <c r="K4509" s="6" t="n">
        <f aca="false">Sens!K4529</f>
        <v>35.1281528444749</v>
      </c>
    </row>
    <row r="4510" customFormat="false" ht="17.15" hidden="false" customHeight="false" outlineLevel="0" collapsed="false">
      <c r="A4510" s="1" t="s">
        <v>823</v>
      </c>
      <c r="B4510" s="0" t="s">
        <v>95</v>
      </c>
      <c r="D4510" s="6" t="n">
        <f aca="false">Q!L27</f>
        <v>-4.901</v>
      </c>
      <c r="E4510" s="6" t="n">
        <f aca="false">Q!M27</f>
        <v>10.697</v>
      </c>
      <c r="F4510" s="6" t="n">
        <f aca="false">oie_f</f>
        <v>-0.4</v>
      </c>
      <c r="G4510" s="6" t="n">
        <f aca="false">oie_f</f>
        <v>-0.4</v>
      </c>
      <c r="H4510" s="6" t="n">
        <f aca="false">oie_f</f>
        <v>-0.4</v>
      </c>
      <c r="I4510" s="6" t="n">
        <f aca="false">oie_f</f>
        <v>-0.4</v>
      </c>
      <c r="J4510" s="6" t="n">
        <f aca="false">oie_f</f>
        <v>-0.4</v>
      </c>
      <c r="K4510" s="6" t="n">
        <f aca="false">oie_f</f>
        <v>-0.4</v>
      </c>
      <c r="L4510" s="11" t="s">
        <v>824</v>
      </c>
    </row>
    <row r="4511" customFormat="false" ht="15" hidden="false" customHeight="false" outlineLevel="0" collapsed="false">
      <c r="A4511" s="1" t="s">
        <v>666</v>
      </c>
      <c r="B4511" s="0" t="s">
        <v>95</v>
      </c>
      <c r="D4511" s="6" t="n">
        <f aca="false">Sens!D4505+Sens!D4510</f>
        <v>123.627</v>
      </c>
      <c r="E4511" s="6" t="n">
        <f aca="false">Sens!E4505+Sens!E4510</f>
        <v>165.934</v>
      </c>
      <c r="F4511" s="6" t="n">
        <f aca="false">Sens!F4505+Sens!F4510</f>
        <v>175.624651785194</v>
      </c>
      <c r="G4511" s="6" t="n">
        <f aca="false">Sens!G4505+Sens!G4510</f>
        <v>194.069480926464</v>
      </c>
      <c r="H4511" s="6" t="n">
        <f aca="false">Sens!H4505+Sens!H4510</f>
        <v>212.724576243841</v>
      </c>
      <c r="I4511" s="6" t="n">
        <f aca="false">Sens!I4505+Sens!I4510</f>
        <v>229.694178810785</v>
      </c>
      <c r="J4511" s="6" t="n">
        <f aca="false">Sens!J4505+Sens!J4510</f>
        <v>244.193153750421</v>
      </c>
      <c r="K4511" s="6" t="n">
        <f aca="false">Sens!K4505+Sens!K4510</f>
        <v>255.514675510339</v>
      </c>
    </row>
    <row r="4512" customFormat="false" ht="15" hidden="false" customHeight="false" outlineLevel="0" collapsed="false">
      <c r="A4512" s="1" t="s">
        <v>668</v>
      </c>
      <c r="B4512" s="0" t="s">
        <v>95</v>
      </c>
      <c r="D4512" s="6" t="n">
        <f aca="false">Q!L29</f>
        <v>21.795</v>
      </c>
      <c r="E4512" s="6" t="n">
        <f aca="false">Q!M29</f>
        <v>32.185</v>
      </c>
      <c r="F4512" s="6" t="n">
        <f aca="false">Sens!F4511*tax_f</f>
        <v>35.1249303570387</v>
      </c>
      <c r="G4512" s="6" t="n">
        <f aca="false">Sens!G4511*tax_f</f>
        <v>38.8138961852929</v>
      </c>
      <c r="H4512" s="6" t="n">
        <f aca="false">Sens!H4511*tax_f</f>
        <v>42.5449152487682</v>
      </c>
      <c r="I4512" s="6" t="n">
        <f aca="false">Sens!I4511*tax_f</f>
        <v>45.9388357621569</v>
      </c>
      <c r="J4512" s="6" t="n">
        <f aca="false">Sens!J4511*tax_f</f>
        <v>48.8386307500841</v>
      </c>
      <c r="K4512" s="6" t="n">
        <f aca="false">Sens!K4511*tax_f</f>
        <v>51.1029351020679</v>
      </c>
    </row>
    <row r="4513" customFormat="false" ht="15" hidden="false" customHeight="false" outlineLevel="0" collapsed="false">
      <c r="A4513" s="1" t="s">
        <v>825</v>
      </c>
      <c r="B4513" s="0" t="s">
        <v>95</v>
      </c>
      <c r="D4513" s="6" t="n">
        <f aca="false">Sens!D4511-Sens!D4512</f>
        <v>101.832</v>
      </c>
      <c r="E4513" s="6" t="n">
        <f aca="false">Sens!E4511-Sens!E4512</f>
        <v>133.749</v>
      </c>
      <c r="F4513" s="6" t="n">
        <f aca="false">Sens!F4511-Sens!F4512</f>
        <v>140.499721428155</v>
      </c>
      <c r="G4513" s="6" t="n">
        <f aca="false">Sens!G4511-Sens!G4512</f>
        <v>155.255584741171</v>
      </c>
      <c r="H4513" s="6" t="n">
        <f aca="false">Sens!H4511-Sens!H4512</f>
        <v>170.179660995073</v>
      </c>
      <c r="I4513" s="6" t="n">
        <f aca="false">Sens!I4511-Sens!I4512</f>
        <v>183.755343048628</v>
      </c>
      <c r="J4513" s="6" t="n">
        <f aca="false">Sens!J4511-Sens!J4512</f>
        <v>195.354523000336</v>
      </c>
      <c r="K4513" s="6" t="n">
        <f aca="false">Sens!K4511-Sens!K4512</f>
        <v>204.411740408271</v>
      </c>
    </row>
    <row r="4514" customFormat="false" ht="17.15" hidden="false" customHeight="false" outlineLevel="0" collapsed="false">
      <c r="A4514" s="1" t="s">
        <v>826</v>
      </c>
      <c r="B4514" s="1" t="s">
        <v>79</v>
      </c>
      <c r="D4514" s="18" t="n">
        <f aca="false">Q!L31</f>
        <v>7.465</v>
      </c>
      <c r="E4514" s="18" t="n">
        <f aca="false">Q!M31</f>
        <v>7.453</v>
      </c>
      <c r="F4514" s="18" t="n">
        <f aca="false">Sens!F4551</f>
        <v>7.4735</v>
      </c>
      <c r="G4514" s="18" t="n">
        <f aca="false">Sens!G4551</f>
        <v>7.5185</v>
      </c>
      <c r="H4514" s="18" t="n">
        <f aca="false">Sens!H4551</f>
        <v>7.54625158584995</v>
      </c>
      <c r="I4514" s="18" t="n">
        <f aca="false">Sens!I4551</f>
        <v>7.55803241785726</v>
      </c>
      <c r="J4514" s="18" t="n">
        <f aca="false">Sens!J4551</f>
        <v>7.57227392897515</v>
      </c>
      <c r="K4514" s="18" t="n">
        <f aca="false">Sens!K4551</f>
        <v>7.58879384667689</v>
      </c>
    </row>
    <row r="4515" customFormat="false" ht="17.15" hidden="false" customHeight="false" outlineLevel="0" collapsed="false">
      <c r="A4515" s="0" t="s">
        <v>827</v>
      </c>
      <c r="B4515" s="0" t="s">
        <v>73</v>
      </c>
      <c r="D4515" s="8" t="n">
        <f aca="false">Sens!D4513/Sens!D4514</f>
        <v>13.641259209645</v>
      </c>
      <c r="E4515" s="8" t="n">
        <f aca="false">Sens!E4513/Sens!E4514</f>
        <v>17.9456594659869</v>
      </c>
      <c r="F4515" s="8" t="n">
        <f aca="false">Sens!F4513/Sens!F4514</f>
        <v>18.7997218743768</v>
      </c>
      <c r="G4515" s="8" t="n">
        <f aca="false">Sens!G4513/Sens!G4514</f>
        <v>20.6498084380091</v>
      </c>
      <c r="H4515" s="8" t="n">
        <f aca="false">Sens!H4513/Sens!H4514</f>
        <v>22.5515488132119</v>
      </c>
      <c r="I4515" s="8" t="n">
        <f aca="false">Sens!I4513/Sens!I4514</f>
        <v>24.3125899558821</v>
      </c>
      <c r="J4515" s="8" t="n">
        <f aca="false">Sens!J4513/Sens!J4514</f>
        <v>25.7986603274898</v>
      </c>
      <c r="K4515" s="8" t="n">
        <f aca="false">Sens!K4513/Sens!K4514</f>
        <v>26.9359985971661</v>
      </c>
      <c r="L4515" s="1" t="s">
        <v>828</v>
      </c>
    </row>
    <row r="4516" customFormat="false" ht="17.15" hidden="false" customHeight="false" outlineLevel="0" collapsed="false">
      <c r="A4516" s="0" t="s">
        <v>829</v>
      </c>
      <c r="B4516" s="0" t="s">
        <v>126</v>
      </c>
      <c r="E4516" s="7" t="n">
        <f aca="false">Sens!E4515/Sens!D4515-1</f>
        <v>0.315542736208578</v>
      </c>
      <c r="F4516" s="7" t="n">
        <f aca="false">Sens!F4515/Sens!E4515-1</f>
        <v>0.0475915867014338</v>
      </c>
      <c r="G4516" s="7" t="n">
        <f aca="false">Sens!G4515/Sens!F4515-1</f>
        <v>0.0984103156416329</v>
      </c>
      <c r="H4516" s="7" t="n">
        <f aca="false">Sens!H4515/Sens!G4515-1</f>
        <v>0.092094819228558</v>
      </c>
      <c r="I4516" s="7" t="n">
        <f aca="false">Sens!I4515/Sens!H4515-1</f>
        <v>0.0780895874272929</v>
      </c>
      <c r="J4516" s="7" t="n">
        <f aca="false">Sens!J4515/Sens!I4515-1</f>
        <v>0.0611234909281309</v>
      </c>
      <c r="K4516" s="7" t="n">
        <f aca="false">Sens!K4515/Sens!J4515-1</f>
        <v>0.0440851678047951</v>
      </c>
    </row>
    <row r="4517" customFormat="false" ht="17.15" hidden="false" customHeight="false" outlineLevel="0" collapsed="false">
      <c r="A4517" s="0" t="s">
        <v>763</v>
      </c>
      <c r="B4517" s="0" t="s">
        <v>95</v>
      </c>
      <c r="E4517" s="6" t="n">
        <f aca="false">Sens!E4462</f>
        <v>5.25</v>
      </c>
      <c r="F4517" s="6" t="n">
        <f aca="false">Sens!F4462</f>
        <v>10.5</v>
      </c>
      <c r="G4517" s="6" t="n">
        <f aca="false">Sens!G4462</f>
        <v>13.5</v>
      </c>
      <c r="H4517" s="6" t="n">
        <f aca="false">Sens!H4462</f>
        <v>16.5</v>
      </c>
      <c r="I4517" s="6" t="n">
        <f aca="false">Sens!I4462</f>
        <v>18.75</v>
      </c>
      <c r="J4517" s="6" t="n">
        <f aca="false">Sens!J4462</f>
        <v>20.25</v>
      </c>
      <c r="K4517" s="6" t="n">
        <f aca="false">Sens!K4462</f>
        <v>21.75</v>
      </c>
    </row>
    <row r="4518" customFormat="false" ht="17.15" hidden="false" customHeight="false" outlineLevel="0" collapsed="false">
      <c r="A4518" s="0" t="s">
        <v>764</v>
      </c>
      <c r="B4518" s="0" t="s">
        <v>95</v>
      </c>
      <c r="E4518" s="6" t="n">
        <f aca="false">Sens!E4442+Sens!E4517*Sens!E4501-Sens!E4443-Sens!E4453</f>
        <v>2.1514866143068</v>
      </c>
      <c r="F4518" s="6" t="n">
        <f aca="false">Sens!F4442+Sens!F4517*Sens!F4501-Sens!F4443-Sens!F4453</f>
        <v>4.1685269270364</v>
      </c>
      <c r="G4518" s="6" t="n">
        <f aca="false">Sens!G4442+Sens!G4517*Sens!G4501-Sens!G4443-Sens!G4453</f>
        <v>2.94431436015839</v>
      </c>
      <c r="H4518" s="6" t="n">
        <f aca="false">Sens!H4442+Sens!H4517*Sens!H4501-Sens!H4443-Sens!H4453</f>
        <v>1.6096947782013</v>
      </c>
      <c r="I4518" s="6" t="n">
        <f aca="false">Sens!I4442+Sens!I4517*Sens!I4501-Sens!I4443-Sens!I4453</f>
        <v>-1.03944802507249</v>
      </c>
      <c r="J4518" s="6" t="n">
        <f aca="false">Sens!J4442+Sens!J4517*Sens!J4501-Sens!J4443-Sens!J4453</f>
        <v>-5.01952521645907</v>
      </c>
      <c r="K4518" s="6" t="n">
        <f aca="false">Sens!K4442+Sens!K4517*Sens!K4501-Sens!K4443-Sens!K4453</f>
        <v>-10.2462590685811</v>
      </c>
    </row>
    <row r="4519" customFormat="false" ht="17.15" hidden="false" customHeight="false" outlineLevel="0" collapsed="false">
      <c r="A4519" s="0" t="s">
        <v>765</v>
      </c>
      <c r="B4519" s="0" t="s">
        <v>95</v>
      </c>
      <c r="E4519" s="6" t="n">
        <f aca="false">Sens!E4425*(cxit_open+self_build*tk_cxfac)/1000*ai_net_open</f>
        <v>126.6980382</v>
      </c>
      <c r="F4519" s="6" t="n">
        <f aca="false">Sens!E4519+Sens!F4450-Sens!F4453</f>
        <v>260.715655514568</v>
      </c>
      <c r="G4519" s="6" t="n">
        <f aca="false">Sens!F4519+Sens!G4450-Sens!G4453</f>
        <v>383.758102737428</v>
      </c>
      <c r="H4519" s="6" t="n">
        <f aca="false">Sens!G4519+Sens!H4450-Sens!H4453</f>
        <v>484.071072654689</v>
      </c>
      <c r="I4519" s="6" t="n">
        <f aca="false">Sens!H4519+Sens!I4450-Sens!I4453</f>
        <v>586.387852170632</v>
      </c>
      <c r="J4519" s="6" t="n">
        <f aca="false">Sens!I4519+Sens!J4450-Sens!J4453</f>
        <v>674.915635136093</v>
      </c>
      <c r="K4519" s="6" t="n">
        <f aca="false">Sens!J4519+Sens!K4450-Sens!K4453</f>
        <v>778.008024451903</v>
      </c>
      <c r="L4519" s="1" t="s">
        <v>766</v>
      </c>
    </row>
    <row r="4520" customFormat="false" ht="17.15" hidden="false" customHeight="false" outlineLevel="0" collapsed="false">
      <c r="A4520" s="0" t="s">
        <v>767</v>
      </c>
      <c r="B4520" s="0" t="s">
        <v>126</v>
      </c>
      <c r="F4520" s="7" t="n">
        <f aca="false">Sens!F4518*(1-tax_f)/((Sens!E4519+Sens!F4519)/2)</f>
        <v>0.0172158165585447</v>
      </c>
      <c r="G4520" s="7" t="n">
        <f aca="false">Sens!G4518*(1-tax_f)/((Sens!F4519+Sens!G4519)/2)</f>
        <v>0.00730968936428195</v>
      </c>
      <c r="H4520" s="7" t="n">
        <f aca="false">Sens!H4518*(1-tax_f)/((Sens!G4519+Sens!H4519)/2)</f>
        <v>0.00296776337803851</v>
      </c>
      <c r="I4520" s="7" t="n">
        <f aca="false">Sens!I4518*(1-tax_f)/((Sens!H4519+Sens!I4519)/2)</f>
        <v>-0.00155364844137982</v>
      </c>
      <c r="J4520" s="7" t="n">
        <f aca="false">Sens!J4518*(1-tax_f)/((Sens!I4519+Sens!J4519)/2)</f>
        <v>-0.00636741309855863</v>
      </c>
      <c r="K4520" s="7" t="n">
        <f aca="false">Sens!K4518*(1-tax_f)/((Sens!J4519+Sens!K4519)/2)</f>
        <v>-0.0112834658597126</v>
      </c>
    </row>
    <row r="4521" customFormat="false" ht="17.15" hidden="false" customHeight="false" outlineLevel="0" collapsed="false">
      <c r="A4521" s="1" t="s">
        <v>768</v>
      </c>
      <c r="B4521" s="0" t="s">
        <v>126</v>
      </c>
      <c r="F4521" s="7" t="n">
        <f aca="false">Sens!F4454*(1-tax_f)/(Sens!F4441*(Sens!E4519+Sens!F4519)/2)</f>
        <v>0.128080962048673</v>
      </c>
      <c r="G4521" s="7" t="n">
        <f aca="false">Sens!G4454*(1-tax_f)/(Sens!G4441*(Sens!F4519+Sens!G4519)/2)</f>
        <v>0.12509933555135</v>
      </c>
      <c r="H4521" s="7" t="n">
        <f aca="false">Sens!H4454*(1-tax_f)/(Sens!H4441*(Sens!G4519+Sens!H4519)/2)</f>
        <v>0.130776137654035</v>
      </c>
      <c r="I4521" s="7" t="n">
        <f aca="false">Sens!I4454*(1-tax_f)/(Sens!I4441*(Sens!H4519+Sens!I4519)/2)</f>
        <v>0.135564364419243</v>
      </c>
      <c r="J4521" s="7" t="n">
        <f aca="false">Sens!J4454*(1-tax_f)/(Sens!J4441*(Sens!I4519+Sens!J4519)/2)</f>
        <v>0.139052819531189</v>
      </c>
      <c r="K4521" s="7" t="n">
        <f aca="false">Sens!K4454*(1-tax_f)/(Sens!K4441*(Sens!J4519+Sens!K4519)/2)</f>
        <v>0.140212875703339</v>
      </c>
    </row>
    <row r="4522" customFormat="false" ht="17.15" hidden="false" customHeight="false" outlineLevel="0" collapsed="false">
      <c r="A4522" s="0" t="s">
        <v>769</v>
      </c>
      <c r="B4522" s="0" t="s">
        <v>208</v>
      </c>
      <c r="F4522" s="7" t="n">
        <f aca="false">Sens!F4520-wacc</f>
        <v>-0.0917474045917092</v>
      </c>
      <c r="G4522" s="7" t="n">
        <f aca="false">Sens!G4520-wacc</f>
        <v>-0.101653531785972</v>
      </c>
      <c r="H4522" s="7" t="n">
        <f aca="false">Sens!H4520-wacc</f>
        <v>-0.105995457772215</v>
      </c>
      <c r="I4522" s="7" t="n">
        <f aca="false">Sens!I4520-wacc</f>
        <v>-0.110516869591634</v>
      </c>
      <c r="J4522" s="7" t="n">
        <f aca="false">Sens!J4520-wacc</f>
        <v>-0.115330634248813</v>
      </c>
      <c r="K4522" s="7" t="n">
        <f aca="false">Sens!K4520-wacc</f>
        <v>-0.120246687009967</v>
      </c>
    </row>
    <row r="4523" customFormat="false" ht="17.15" hidden="false" customHeight="false" outlineLevel="0" collapsed="false">
      <c r="A4523" s="0" t="s">
        <v>770</v>
      </c>
      <c r="B4523" s="0" t="s">
        <v>95</v>
      </c>
      <c r="F4523" s="6" t="n">
        <f aca="false">Sens!F4518*(1-tax_f)-wacc*(Sens!E4519+Sens!F4519)/2</f>
        <v>-17.7721004507995</v>
      </c>
      <c r="G4523" s="6" t="n">
        <f aca="false">Sens!G4518*(1-tax_f)-wacc*(Sens!F4519+Sens!G4519)/2</f>
        <v>-32.7565168348471</v>
      </c>
      <c r="H4523" s="6" t="n">
        <f aca="false">Sens!H4518*(1-tax_f)-wacc*(Sens!G4519+Sens!H4519)/2</f>
        <v>-45.9929753568858</v>
      </c>
      <c r="I4523" s="6" t="n">
        <f aca="false">Sens!I4518*(1-tax_f)-wacc*(Sens!H4519+Sens!I4519)/2</f>
        <v>-59.1518846990603</v>
      </c>
      <c r="J4523" s="6" t="n">
        <f aca="false">Sens!J4518*(1-tax_f)-wacc*(Sens!I4519+Sens!J4519)/2</f>
        <v>-72.7334655856619</v>
      </c>
      <c r="K4523" s="6" t="n">
        <f aca="false">Sens!K4518*(1-tax_f)-wacc*(Sens!J4519+Sens!K4519)/2</f>
        <v>-87.3546282719265</v>
      </c>
    </row>
    <row r="4524" customFormat="false" ht="17.15" hidden="false" customHeight="false" outlineLevel="0" collapsed="false">
      <c r="A4524" s="1" t="s">
        <v>771</v>
      </c>
      <c r="B4524" s="0" t="s">
        <v>95</v>
      </c>
      <c r="F4524" s="6" t="n">
        <f aca="false">(Sens!E4426+Sens!F4426)/2*Sens!F4433/1000</f>
        <v>26.7873066765967</v>
      </c>
      <c r="G4524" s="6" t="n">
        <f aca="false">(Sens!F4426+Sens!G4426)/2*Sens!G4433/1000</f>
        <v>45.4131817597218</v>
      </c>
      <c r="H4524" s="6" t="n">
        <f aca="false">(Sens!G4426+Sens!H4426)/2*Sens!H4433/1000</f>
        <v>65.3915129357971</v>
      </c>
      <c r="I4524" s="6" t="n">
        <f aca="false">(Sens!H4426+Sens!I4426)/2*Sens!I4433/1000</f>
        <v>85.5187419289299</v>
      </c>
      <c r="J4524" s="6" t="n">
        <f aca="false">(Sens!I4426+Sens!J4426)/2*Sens!J4433/1000</f>
        <v>105.723807195006</v>
      </c>
      <c r="K4524" s="6" t="n">
        <f aca="false">(Sens!J4426+Sens!K4426)/2*Sens!K4433/1000</f>
        <v>125.974659797015</v>
      </c>
      <c r="L4524" s="1" t="s">
        <v>772</v>
      </c>
    </row>
    <row r="4525" customFormat="false" ht="17.15" hidden="false" customHeight="false" outlineLevel="0" collapsed="false">
      <c r="A4525" s="1" t="s">
        <v>773</v>
      </c>
      <c r="B4525" s="0" t="s">
        <v>126</v>
      </c>
      <c r="F4525" s="7" t="n">
        <f aca="false">(Sens!F4442+Sens!F4524-Sens!F4443-Sens!F4453)*(1-tax_f)/((Sens!E4519+Sens!F4519)/2)</f>
        <v>0.103086831774413</v>
      </c>
      <c r="G4525" s="7" t="n">
        <f aca="false">(Sens!G4442+Sens!G4524-Sens!G4443-Sens!G4453)*(1-tax_f)/((Sens!F4519+Sens!G4519)/2)</f>
        <v>0.10091848454659</v>
      </c>
      <c r="H4525" s="7" t="n">
        <f aca="false">(Sens!H4442+Sens!H4524-Sens!H4443-Sens!H4453)*(1-tax_f)/((Sens!G4519+Sens!H4519)/2)</f>
        <v>0.106159899772422</v>
      </c>
      <c r="I4525" s="7" t="n">
        <f aca="false">(Sens!I4442+Sens!I4524-Sens!I4443-Sens!I4453)*(1-tax_f)/((Sens!H4519+Sens!I4519)/2)</f>
        <v>0.110268733327703</v>
      </c>
      <c r="J4525" s="7" t="n">
        <f aca="false">(Sens!J4442+Sens!J4524-Sens!J4443-Sens!J4453)*(1-tax_f)/((Sens!I4519+Sens!J4519)/2)</f>
        <v>0.113079710341381</v>
      </c>
      <c r="K4525" s="7" t="n">
        <f aca="false">(Sens!K4442+Sens!K4524-Sens!K4443-Sens!K4453)*(1-tax_f)/((Sens!J4519+Sens!K4519)/2)</f>
        <v>0.113767935613219</v>
      </c>
      <c r="L4525" s="1" t="s">
        <v>774</v>
      </c>
    </row>
    <row r="4526" customFormat="false" ht="17.15" hidden="false" customHeight="false" outlineLevel="0" collapsed="false">
      <c r="A4526" s="3" t="s">
        <v>1242</v>
      </c>
    </row>
    <row r="4527" customFormat="false" ht="15" hidden="false" customHeight="false" outlineLevel="0" collapsed="false">
      <c r="A4527" s="4" t="s">
        <v>43</v>
      </c>
      <c r="B4527" s="4" t="s">
        <v>63</v>
      </c>
      <c r="C4527" s="19" t="s">
        <v>710</v>
      </c>
      <c r="D4527" s="19" t="s">
        <v>711</v>
      </c>
      <c r="E4527" s="19" t="s">
        <v>712</v>
      </c>
      <c r="F4527" s="19" t="s">
        <v>713</v>
      </c>
      <c r="G4527" s="19" t="s">
        <v>714</v>
      </c>
      <c r="H4527" s="19" t="s">
        <v>715</v>
      </c>
      <c r="I4527" s="19" t="s">
        <v>716</v>
      </c>
      <c r="J4527" s="19" t="s">
        <v>717</v>
      </c>
      <c r="K4527" s="19" t="s">
        <v>718</v>
      </c>
      <c r="L4527" s="4" t="s">
        <v>47</v>
      </c>
    </row>
    <row r="4528" customFormat="false" ht="15" hidden="false" customHeight="false" outlineLevel="0" collapsed="false">
      <c r="A4528" s="1" t="s">
        <v>825</v>
      </c>
      <c r="B4528" s="0" t="s">
        <v>95</v>
      </c>
      <c r="F4528" s="6" t="n">
        <f aca="false">Sens!F4513</f>
        <v>140.499721428155</v>
      </c>
      <c r="G4528" s="6" t="n">
        <f aca="false">Sens!G4513</f>
        <v>155.255584741171</v>
      </c>
      <c r="H4528" s="6" t="n">
        <f aca="false">Sens!H4513</f>
        <v>170.179660995073</v>
      </c>
      <c r="I4528" s="6" t="n">
        <f aca="false">Sens!I4513</f>
        <v>183.755343048628</v>
      </c>
      <c r="J4528" s="6" t="n">
        <f aca="false">Sens!J4513</f>
        <v>195.354523000336</v>
      </c>
      <c r="K4528" s="6" t="n">
        <f aca="false">Sens!K4513</f>
        <v>204.411740408271</v>
      </c>
    </row>
    <row r="4529" customFormat="false" ht="17.15" hidden="false" customHeight="false" outlineLevel="0" collapsed="false">
      <c r="A4529" s="1" t="s">
        <v>843</v>
      </c>
      <c r="B4529" s="0" t="s">
        <v>95</v>
      </c>
      <c r="E4529" s="6" t="n">
        <f aca="false">Q!M38-Sens!E4453</f>
        <v>22.2285940229167</v>
      </c>
      <c r="F4529" s="6" t="n">
        <f aca="false">Sens!E4529*(1-1/life_nonai)+Sens!F4535/life_nonai</f>
        <v>23.5486693435813</v>
      </c>
      <c r="G4529" s="6" t="n">
        <f aca="false">Sens!F4529*(1-1/life_nonai)+Sens!G4535/life_nonai</f>
        <v>25.264091766262</v>
      </c>
      <c r="H4529" s="6" t="n">
        <f aca="false">Sens!G4529*(1-1/life_nonai)+Sens!H4535/life_nonai</f>
        <v>27.3438339540448</v>
      </c>
      <c r="I4529" s="6" t="n">
        <f aca="false">Sens!H4529*(1-1/life_nonai)+Sens!I4535/life_nonai</f>
        <v>29.7317905898047</v>
      </c>
      <c r="J4529" s="6" t="n">
        <f aca="false">Sens!I4529*(1-1/life_nonai)+Sens!J4535/life_nonai</f>
        <v>32.3542028558616</v>
      </c>
      <c r="K4529" s="6" t="n">
        <f aca="false">Sens!J4529*(1-1/life_nonai)+Sens!K4535/life_nonai</f>
        <v>35.1281528444749</v>
      </c>
      <c r="L4529" s="11" t="s">
        <v>844</v>
      </c>
    </row>
    <row r="4530" customFormat="false" ht="17.15" hidden="false" customHeight="false" outlineLevel="0" collapsed="false">
      <c r="A4530" s="1" t="s">
        <v>845</v>
      </c>
      <c r="B4530" s="0" t="s">
        <v>95</v>
      </c>
      <c r="E4530" s="6" t="n">
        <f aca="false">Sens!E4453+Sens!E4529</f>
        <v>38.534</v>
      </c>
      <c r="F4530" s="6" t="n">
        <f aca="false">Sens!F4453+Sens!F4529</f>
        <v>58.301704799451</v>
      </c>
      <c r="G4530" s="6" t="n">
        <f aca="false">Sens!G4453+Sens!G4529</f>
        <v>85.7958250266017</v>
      </c>
      <c r="H4530" s="6" t="n">
        <f aca="false">Sens!H4453+Sens!H4529</f>
        <v>115.111149947184</v>
      </c>
      <c r="I4530" s="6" t="n">
        <f aca="false">Sens!I4453+Sens!I4529</f>
        <v>145.753972330928</v>
      </c>
      <c r="J4530" s="6" t="n">
        <f aca="false">Sens!J4453+Sens!J4529</f>
        <v>177.603480814135</v>
      </c>
      <c r="K4530" s="6" t="n">
        <f aca="false">Sens!K4453+Sens!K4529</f>
        <v>210.892075479064</v>
      </c>
    </row>
    <row r="4531" customFormat="false" ht="15" hidden="false" customHeight="false" outlineLevel="0" collapsed="false">
      <c r="A4531" s="1" t="s">
        <v>685</v>
      </c>
      <c r="B4531" s="0" t="s">
        <v>95</v>
      </c>
      <c r="F4531" s="6" t="n">
        <f aca="false">Sens!F4480*sbc_r</f>
        <v>14.8747966149263</v>
      </c>
      <c r="G4531" s="6" t="n">
        <f aca="false">Sens!G4480*sbc_r</f>
        <v>17.5958892436699</v>
      </c>
      <c r="H4531" s="6" t="n">
        <f aca="false">Sens!H4480*sbc_r</f>
        <v>20.3837186651945</v>
      </c>
      <c r="I4531" s="6" t="n">
        <f aca="false">Sens!I4480*sbc_r</f>
        <v>23.1324524191212</v>
      </c>
      <c r="J4531" s="6" t="n">
        <f aca="false">Sens!J4480*sbc_r</f>
        <v>25.7877490075469</v>
      </c>
      <c r="K4531" s="6" t="n">
        <f aca="false">Sens!K4480*sbc_r</f>
        <v>28.3236561714605</v>
      </c>
    </row>
    <row r="4532" customFormat="false" ht="17.15" hidden="false" customHeight="false" outlineLevel="0" collapsed="false">
      <c r="A4532" s="1" t="s">
        <v>846</v>
      </c>
      <c r="B4532" s="0" t="s">
        <v>95</v>
      </c>
      <c r="F4532" s="6" t="n">
        <f aca="false">wc27</f>
        <v>-4.895</v>
      </c>
      <c r="G4532" s="6" t="n">
        <f aca="false">0</f>
        <v>0</v>
      </c>
      <c r="H4532" s="6" t="n">
        <f aca="false">0</f>
        <v>0</v>
      </c>
      <c r="I4532" s="6" t="n">
        <f aca="false">0</f>
        <v>0</v>
      </c>
      <c r="J4532" s="6" t="n">
        <f aca="false">0</f>
        <v>0</v>
      </c>
      <c r="K4532" s="6" t="n">
        <f aca="false">0</f>
        <v>0</v>
      </c>
      <c r="L4532" s="11" t="s">
        <v>847</v>
      </c>
    </row>
    <row r="4533" customFormat="false" ht="15" hidden="false" customHeight="false" outlineLevel="0" collapsed="false">
      <c r="A4533" s="1" t="s">
        <v>678</v>
      </c>
      <c r="B4533" s="0" t="s">
        <v>95</v>
      </c>
      <c r="E4533" s="6" t="n">
        <f aca="false">Q!M35</f>
        <v>182.935</v>
      </c>
      <c r="F4533" s="6" t="n">
        <f aca="false">Sens!F4528+Sens!F4530+Sens!F4531+Sens!F4532</f>
        <v>208.781222842532</v>
      </c>
      <c r="G4533" s="6" t="n">
        <f aca="false">Sens!G4528+Sens!G4530+Sens!G4531+Sens!G4532</f>
        <v>258.647299011443</v>
      </c>
      <c r="H4533" s="6" t="n">
        <f aca="false">Sens!H4528+Sens!H4530+Sens!H4531+Sens!H4532</f>
        <v>305.674529607452</v>
      </c>
      <c r="I4533" s="6" t="n">
        <f aca="false">Sens!I4528+Sens!I4530+Sens!I4531+Sens!I4532</f>
        <v>352.641767798677</v>
      </c>
      <c r="J4533" s="6" t="n">
        <f aca="false">Sens!J4528+Sens!J4530+Sens!J4531+Sens!J4532</f>
        <v>398.745752822018</v>
      </c>
      <c r="K4533" s="6" t="n">
        <f aca="false">Sens!K4528+Sens!K4530+Sens!K4531+Sens!K4532</f>
        <v>443.627472058796</v>
      </c>
    </row>
    <row r="4534" customFormat="false" ht="17.15" hidden="false" customHeight="false" outlineLevel="0" collapsed="false">
      <c r="A4534" s="0" t="s">
        <v>848</v>
      </c>
      <c r="B4534" s="0" t="s">
        <v>95</v>
      </c>
      <c r="F4534" s="6" t="n">
        <f aca="false">Sens!F4450</f>
        <v>168.770652770438</v>
      </c>
      <c r="G4534" s="6" t="n">
        <f aca="false">Sens!G4450</f>
        <v>183.5741804832</v>
      </c>
      <c r="H4534" s="6" t="n">
        <f aca="false">Sens!H4450</f>
        <v>188.0802859104</v>
      </c>
      <c r="I4534" s="6" t="n">
        <f aca="false">Sens!I4450</f>
        <v>218.338961257067</v>
      </c>
      <c r="J4534" s="6" t="n">
        <f aca="false">Sens!J4450</f>
        <v>233.777060923733</v>
      </c>
      <c r="K4534" s="6" t="n">
        <f aca="false">Sens!K4450</f>
        <v>278.8563119504</v>
      </c>
    </row>
    <row r="4535" customFormat="false" ht="17.15" hidden="false" customHeight="false" outlineLevel="0" collapsed="false">
      <c r="A4535" s="1" t="s">
        <v>849</v>
      </c>
      <c r="B4535" s="0" t="s">
        <v>95</v>
      </c>
      <c r="E4535" s="6" t="n">
        <f aca="false">Sens!E4458*cx_azo+Sens!E4465*cx_m365+Sens!E4466*cx_lic+(Sens!E4468+Sens!E4470)*cx_ind+Sens!E4473*cx_srch+(Sens!E4475+Sens!E4477)*cx_dev</f>
        <v>30.1846587067718</v>
      </c>
      <c r="F4535" s="6" t="n">
        <f aca="false">Sens!F4458*cx_azo+Sens!F4465*cx_m365+Sens!F4466*cx_lic+(Sens!F4468+Sens!F4470)*cx_ind+Sens!F4473*cx_srch+(Sens!F4475+Sens!F4477)*cx_dev</f>
        <v>35.4293472295625</v>
      </c>
      <c r="G4535" s="6" t="n">
        <f aca="false">Sens!G4458*cx_azo+Sens!G4465*cx_m365+Sens!G4466*cx_lic+(Sens!G4468+Sens!G4470)*cx_ind+Sens!G4473*cx_srch+(Sens!G4475+Sens!G4477)*cx_dev</f>
        <v>40.7028935703892</v>
      </c>
      <c r="H4535" s="6" t="n">
        <f aca="false">Sens!H4458*cx_azo+Sens!H4465*cx_m365+Sens!H4466*cx_lic+(Sens!H4468+Sens!H4470)*cx_ind+Sens!H4473*cx_srch+(Sens!H4475+Sens!H4477)*cx_dev</f>
        <v>46.0615136440897</v>
      </c>
      <c r="I4535" s="6" t="n">
        <f aca="false">Sens!I4458*cx_azo+Sens!I4465*cx_m365+Sens!I4466*cx_lic+(Sens!I4468+Sens!I4470)*cx_ind+Sens!I4473*cx_srch+(Sens!I4475+Sens!I4477)*cx_dev</f>
        <v>51.2234003116439</v>
      </c>
      <c r="J4535" s="6" t="n">
        <f aca="false">Sens!J4458*cx_azo+Sens!J4465*cx_m365+Sens!J4466*cx_lic+(Sens!J4468+Sens!J4470)*cx_ind+Sens!J4473*cx_srch+(Sens!J4475+Sens!J4477)*cx_dev</f>
        <v>55.9559132503738</v>
      </c>
      <c r="K4535" s="6" t="n">
        <f aca="false">Sens!K4458*cx_azo+Sens!K4465*cx_m365+Sens!K4466*cx_lic+(Sens!K4468+Sens!K4470)*cx_ind+Sens!K4473*cx_srch+(Sens!K4475+Sens!K4477)*cx_dev</f>
        <v>60.093702741994</v>
      </c>
    </row>
    <row r="4536" customFormat="false" ht="17.15" hidden="false" customHeight="false" outlineLevel="0" collapsed="false">
      <c r="A4536" s="1" t="s">
        <v>850</v>
      </c>
      <c r="B4536" s="0" t="s">
        <v>95</v>
      </c>
      <c r="E4536" s="6" t="n">
        <f aca="false">Q!M42</f>
        <v>145.3</v>
      </c>
      <c r="F4536" s="6" t="n">
        <f aca="false">Sens!F4534+Sens!F4535</f>
        <v>204.2</v>
      </c>
      <c r="G4536" s="6" t="n">
        <f aca="false">Sens!G4534+Sens!G4535</f>
        <v>224.277074053589</v>
      </c>
      <c r="H4536" s="6" t="n">
        <f aca="false">Sens!H4534+Sens!H4535</f>
        <v>234.14179955449</v>
      </c>
      <c r="I4536" s="6" t="n">
        <f aca="false">Sens!I4534+Sens!I4535</f>
        <v>269.562361568711</v>
      </c>
      <c r="J4536" s="6" t="n">
        <f aca="false">Sens!J4534+Sens!J4535</f>
        <v>289.732974174107</v>
      </c>
      <c r="K4536" s="6" t="n">
        <f aca="false">Sens!K4534+Sens!K4535</f>
        <v>338.950014692394</v>
      </c>
      <c r="L4536" s="1" t="s">
        <v>851</v>
      </c>
    </row>
    <row r="4537" customFormat="false" ht="15" hidden="false" customHeight="false" outlineLevel="0" collapsed="false">
      <c r="A4537" s="1" t="s">
        <v>852</v>
      </c>
      <c r="B4537" s="0" t="s">
        <v>95</v>
      </c>
      <c r="E4537" s="6" t="n">
        <f aca="false">fl_liab</f>
        <v>66.594</v>
      </c>
      <c r="F4537" s="6" t="n">
        <f aca="false">Sens!E4537-Sens!F4538</f>
        <v>62.46973</v>
      </c>
      <c r="G4537" s="6" t="n">
        <f aca="false">Sens!F4537-Sens!G4538</f>
        <v>57.98686785</v>
      </c>
      <c r="H4537" s="6" t="n">
        <f aca="false">Sens!G4537-Sens!H4538</f>
        <v>53.92827690325</v>
      </c>
      <c r="I4537" s="6" t="n">
        <f aca="false">Sens!H4537-Sens!I4538</f>
        <v>49.7850493638962</v>
      </c>
      <c r="J4537" s="6" t="n">
        <f aca="false">Sens!I4537-Sens!J4538</f>
        <v>45.4823765852716</v>
      </c>
      <c r="K4537" s="6" t="n">
        <f aca="false">Sens!J4537-Sens!K4538</f>
        <v>40.9860835316088</v>
      </c>
    </row>
    <row r="4538" customFormat="false" ht="15" hidden="false" customHeight="false" outlineLevel="0" collapsed="false">
      <c r="A4538" s="1" t="s">
        <v>853</v>
      </c>
      <c r="B4538" s="0" t="s">
        <v>95</v>
      </c>
      <c r="F4538" s="6" t="n">
        <f aca="false">fl_pay_27-Sens!E4537*fl_rate</f>
        <v>4.12427</v>
      </c>
      <c r="G4538" s="6" t="n">
        <f aca="false">fl_pay_28-Sens!F4537*fl_rate</f>
        <v>4.48286215</v>
      </c>
      <c r="H4538" s="6" t="n">
        <f aca="false">fl_pay_29-Sens!G4537*fl_rate</f>
        <v>4.05859094675</v>
      </c>
      <c r="I4538" s="6" t="n">
        <f aca="false">fl_pay_30-Sens!H4537*fl_rate</f>
        <v>4.14322753935375</v>
      </c>
      <c r="J4538" s="6" t="n">
        <f aca="false">fl_pay_31-Sens!I4537*fl_rate</f>
        <v>4.30267277862467</v>
      </c>
      <c r="K4538" s="6" t="n">
        <f aca="false">fl_pay_32-Sens!J4537*fl_rate</f>
        <v>4.49629305366278</v>
      </c>
    </row>
    <row r="4539" customFormat="false" ht="17.15" hidden="false" customHeight="false" outlineLevel="0" collapsed="false">
      <c r="A4539" s="1" t="s">
        <v>854</v>
      </c>
      <c r="B4539" s="0" t="s">
        <v>95</v>
      </c>
      <c r="E4539" s="6" t="n">
        <f aca="false">Q!M35-Q!M36-Q!M43</f>
        <v>63.886</v>
      </c>
      <c r="F4539" s="6" t="n">
        <f aca="false">Sens!F4533-Sens!F4536-Sens!F4538</f>
        <v>0.456952842532099</v>
      </c>
      <c r="G4539" s="6" t="n">
        <f aca="false">Sens!G4533-Sens!G4536-Sens!G4538</f>
        <v>29.8873628078538</v>
      </c>
      <c r="H4539" s="6" t="n">
        <f aca="false">Sens!H4533-Sens!H4536-Sens!H4538</f>
        <v>67.4741391062122</v>
      </c>
      <c r="I4539" s="6" t="n">
        <f aca="false">Sens!I4533-Sens!I4536-Sens!I4538</f>
        <v>78.936178690612</v>
      </c>
      <c r="J4539" s="6" t="n">
        <f aca="false">Sens!J4533-Sens!J4536-Sens!J4538</f>
        <v>104.710105869286</v>
      </c>
      <c r="K4539" s="6" t="n">
        <f aca="false">Sens!K4533-Sens!K4536-Sens!K4538</f>
        <v>100.18116431274</v>
      </c>
      <c r="L4539" s="11" t="s">
        <v>855</v>
      </c>
    </row>
    <row r="4540" customFormat="false" ht="15" hidden="false" customHeight="false" outlineLevel="0" collapsed="false">
      <c r="A4540" s="1" t="s">
        <v>856</v>
      </c>
      <c r="B4540" s="0" t="s">
        <v>73</v>
      </c>
      <c r="F4540" s="8" t="n">
        <f aca="false">dps_27</f>
        <v>3.85</v>
      </c>
      <c r="G4540" s="8" t="n">
        <f aca="false">Sens!F4540*(1+dps_g)</f>
        <v>4.158</v>
      </c>
      <c r="H4540" s="8" t="n">
        <f aca="false">Sens!G4540*(1+dps_g)</f>
        <v>4.49064</v>
      </c>
      <c r="I4540" s="8" t="n">
        <f aca="false">Sens!H4540*(1+dps_g)</f>
        <v>4.8498912</v>
      </c>
      <c r="J4540" s="8" t="n">
        <f aca="false">Sens!I4540*(1+dps_g)</f>
        <v>5.237882496</v>
      </c>
      <c r="K4540" s="8" t="n">
        <f aca="false">Sens!J4540*(1+dps_g)</f>
        <v>5.65691309568</v>
      </c>
    </row>
    <row r="4541" customFormat="false" ht="17.15" hidden="false" customHeight="false" outlineLevel="0" collapsed="false">
      <c r="A4541" s="1" t="s">
        <v>857</v>
      </c>
      <c r="B4541" s="0" t="s">
        <v>95</v>
      </c>
      <c r="E4541" s="6" t="n">
        <f aca="false">Q!M41</f>
        <v>26.445</v>
      </c>
      <c r="F4541" s="6" t="n">
        <f aca="false">Sens!F4540*Sens!E4550</f>
        <v>28.59395</v>
      </c>
      <c r="G4541" s="6" t="n">
        <f aca="false">Sens!G4540*Sens!F4550</f>
        <v>31.068576</v>
      </c>
      <c r="H4541" s="6" t="n">
        <f aca="false">Sens!H4540*Sens!G4550</f>
        <v>33.75614088</v>
      </c>
      <c r="I4541" s="6" t="n">
        <f aca="false">Sens!I4540*Sens!H4550</f>
        <v>36.5075713903995</v>
      </c>
      <c r="J4541" s="6" t="n">
        <f aca="false">Sens!J4540*Sens!I4550</f>
        <v>39.4965759499509</v>
      </c>
      <c r="K4541" s="6" t="n">
        <f aca="false">Sens!K4540*Sens!J4550</f>
        <v>42.743557251252</v>
      </c>
      <c r="L4541" s="1" t="s">
        <v>858</v>
      </c>
    </row>
    <row r="4542" customFormat="false" ht="15" hidden="false" customHeight="false" outlineLevel="0" collapsed="false">
      <c r="A4542" s="1" t="s">
        <v>859</v>
      </c>
      <c r="B4542" s="0" t="s">
        <v>95</v>
      </c>
      <c r="E4542" s="6" t="n">
        <f aca="false">Sens!E4539-Sens!E4541</f>
        <v>37.441</v>
      </c>
      <c r="F4542" s="6" t="n">
        <f aca="false">Sens!F4539-Sens!F4541</f>
        <v>-28.1369971574679</v>
      </c>
      <c r="G4542" s="6" t="n">
        <f aca="false">Sens!G4539-Sens!G4541</f>
        <v>-1.18121319214623</v>
      </c>
      <c r="H4542" s="6" t="n">
        <f aca="false">Sens!H4539-Sens!H4541</f>
        <v>33.7179982262122</v>
      </c>
      <c r="I4542" s="6" t="n">
        <f aca="false">Sens!I4539-Sens!I4541</f>
        <v>42.4286073002126</v>
      </c>
      <c r="J4542" s="6" t="n">
        <f aca="false">Sens!J4539-Sens!J4541</f>
        <v>65.2135299193353</v>
      </c>
      <c r="K4542" s="6" t="n">
        <f aca="false">Sens!K4539-Sens!K4541</f>
        <v>57.4376070614876</v>
      </c>
    </row>
    <row r="4543" customFormat="false" ht="15" hidden="false" customHeight="false" outlineLevel="0" collapsed="false">
      <c r="A4543" s="1" t="s">
        <v>860</v>
      </c>
      <c r="B4543" s="0" t="s">
        <v>95</v>
      </c>
      <c r="F4543" s="6" t="n">
        <f aca="false">debt_mat_27</f>
        <v>9.25</v>
      </c>
      <c r="G4543" s="6" t="n">
        <f aca="false">debt_mat_28</f>
        <v>0</v>
      </c>
      <c r="H4543" s="6" t="n">
        <f aca="false">debt_mat_29</f>
        <v>2.001</v>
      </c>
      <c r="I4543" s="6" t="n">
        <f aca="false">debt_mat_30</f>
        <v>0</v>
      </c>
      <c r="J4543" s="6" t="n">
        <f aca="false">debt_mat_31</f>
        <v>0.5</v>
      </c>
      <c r="K4543" s="6" t="n">
        <f aca="false">debt_mat_32</f>
        <v>0</v>
      </c>
    </row>
    <row r="4544" customFormat="false" ht="15" hidden="false" customHeight="false" outlineLevel="0" collapsed="false">
      <c r="A4544" s="1" t="s">
        <v>861</v>
      </c>
      <c r="B4544" s="0" t="s">
        <v>95</v>
      </c>
      <c r="E4544" s="6" t="n">
        <f aca="false">Q!M40</f>
        <v>22.271</v>
      </c>
      <c r="F4544" s="6" t="n">
        <f aca="false">MAX(0,MIN(bb_target,Sens!E4546+Sens!F4542-Sens!F4543-min_cash))</f>
        <v>0</v>
      </c>
      <c r="G4544" s="6" t="n">
        <f aca="false">MAX(0,MIN(bb_target,Sens!F4546+Sens!G4542-Sens!G4543-min_cash))</f>
        <v>0</v>
      </c>
      <c r="H4544" s="6" t="n">
        <f aca="false">MAX(0,MIN(bb_target,Sens!G4546+Sens!H4542-Sens!H4543-min_cash))</f>
        <v>22.271</v>
      </c>
      <c r="I4544" s="6" t="n">
        <f aca="false">MAX(0,MIN(bb_target,Sens!H4546+Sens!I4542-Sens!I4543-min_cash))</f>
        <v>22.271</v>
      </c>
      <c r="J4544" s="6" t="n">
        <f aca="false">MAX(0,MIN(bb_target,Sens!I4546+Sens!J4542-Sens!J4543-min_cash))</f>
        <v>22.271</v>
      </c>
      <c r="K4544" s="6" t="n">
        <f aca="false">MAX(0,MIN(bb_target,Sens!J4546+Sens!K4542-Sens!K4543-min_cash))</f>
        <v>22.271</v>
      </c>
    </row>
    <row r="4545" customFormat="false" ht="15" hidden="false" customHeight="false" outlineLevel="0" collapsed="false">
      <c r="A4545" s="1" t="s">
        <v>862</v>
      </c>
      <c r="B4545" s="0" t="s">
        <v>95</v>
      </c>
      <c r="F4545" s="6" t="n">
        <f aca="false">MAX(0,min_cash-(Sens!E4546+Sens!F4542-Sens!F4543-Sens!F4544))</f>
        <v>10.5439971574679</v>
      </c>
      <c r="G4545" s="6" t="n">
        <f aca="false">MAX(0,min_cash-(Sens!F4546+Sens!G4542-Sens!G4543-Sens!G4544))</f>
        <v>1.18121319214623</v>
      </c>
      <c r="H4545" s="6" t="n">
        <f aca="false">MAX(0,min_cash-(Sens!G4546+Sens!H4542-Sens!H4543-Sens!H4544))</f>
        <v>0</v>
      </c>
      <c r="I4545" s="6" t="n">
        <f aca="false">MAX(0,min_cash-(Sens!H4546+Sens!I4542-Sens!I4543-Sens!I4544))</f>
        <v>0</v>
      </c>
      <c r="J4545" s="6" t="n">
        <f aca="false">MAX(0,min_cash-(Sens!I4546+Sens!J4542-Sens!J4543-Sens!J4544))</f>
        <v>0</v>
      </c>
      <c r="K4545" s="6" t="n">
        <f aca="false">MAX(0,min_cash-(Sens!J4546+Sens!K4542-Sens!K4543-Sens!K4544))</f>
        <v>0</v>
      </c>
    </row>
    <row r="4546" customFormat="false" ht="15" hidden="false" customHeight="false" outlineLevel="0" collapsed="false">
      <c r="A4546" s="1" t="s">
        <v>863</v>
      </c>
      <c r="B4546" s="0" t="s">
        <v>95</v>
      </c>
      <c r="E4546" s="6" t="n">
        <f aca="false">cash_open</f>
        <v>76.843</v>
      </c>
      <c r="F4546" s="6" t="n">
        <f aca="false">Sens!E4546+Sens!F4542-Sens!F4543-Sens!F4544+Sens!F4545</f>
        <v>50</v>
      </c>
      <c r="G4546" s="6" t="n">
        <f aca="false">Sens!F4546+Sens!G4542-Sens!G4543-Sens!G4544+Sens!G4545</f>
        <v>50</v>
      </c>
      <c r="H4546" s="6" t="n">
        <f aca="false">Sens!G4546+Sens!H4542-Sens!H4543-Sens!H4544+Sens!H4545</f>
        <v>59.4459982262122</v>
      </c>
      <c r="I4546" s="6" t="n">
        <f aca="false">Sens!H4546+Sens!I4542-Sens!I4543-Sens!I4544+Sens!I4545</f>
        <v>79.6036055264248</v>
      </c>
      <c r="J4546" s="6" t="n">
        <f aca="false">Sens!I4546+Sens!J4542-Sens!J4543-Sens!J4544+Sens!J4545</f>
        <v>122.04613544576</v>
      </c>
      <c r="K4546" s="6" t="n">
        <f aca="false">Sens!J4546+Sens!K4542-Sens!K4543-Sens!K4544+Sens!K4545</f>
        <v>157.212742507248</v>
      </c>
    </row>
    <row r="4547" customFormat="false" ht="15" hidden="false" customHeight="false" outlineLevel="0" collapsed="false">
      <c r="A4547" s="1" t="s">
        <v>864</v>
      </c>
      <c r="B4547" s="0" t="s">
        <v>95</v>
      </c>
      <c r="E4547" s="6" t="n">
        <f aca="false">debt_face</f>
        <v>46.136</v>
      </c>
      <c r="F4547" s="6" t="n">
        <f aca="false">Sens!E4547-Sens!F4543+Sens!F4545</f>
        <v>47.4299971574679</v>
      </c>
      <c r="G4547" s="6" t="n">
        <f aca="false">Sens!F4547-Sens!G4543+Sens!G4545</f>
        <v>48.6112103496141</v>
      </c>
      <c r="H4547" s="6" t="n">
        <f aca="false">Sens!G4547-Sens!H4543+Sens!H4545</f>
        <v>46.6102103496141</v>
      </c>
      <c r="I4547" s="6" t="n">
        <f aca="false">Sens!H4547-Sens!I4543+Sens!I4545</f>
        <v>46.6102103496141</v>
      </c>
      <c r="J4547" s="6" t="n">
        <f aca="false">Sens!I4547-Sens!J4543+Sens!J4545</f>
        <v>46.1102103496141</v>
      </c>
      <c r="K4547" s="6" t="n">
        <f aca="false">Sens!J4547-Sens!K4543+Sens!K4545</f>
        <v>46.1102103496141</v>
      </c>
    </row>
    <row r="4548" customFormat="false" ht="15" hidden="false" customHeight="false" outlineLevel="0" collapsed="false">
      <c r="A4548" s="1" t="s">
        <v>865</v>
      </c>
      <c r="B4548" s="0" t="s">
        <v>95</v>
      </c>
      <c r="E4548" s="6" t="n">
        <f aca="false">Sens!E4546-Sens!E4547</f>
        <v>30.707</v>
      </c>
      <c r="F4548" s="6" t="n">
        <f aca="false">Sens!F4546-Sens!F4547</f>
        <v>2.5700028425321</v>
      </c>
      <c r="G4548" s="6" t="n">
        <f aca="false">Sens!G4546-Sens!G4547</f>
        <v>1.38878965038587</v>
      </c>
      <c r="H4548" s="6" t="n">
        <f aca="false">Sens!H4546-Sens!H4547</f>
        <v>12.8357878765981</v>
      </c>
      <c r="I4548" s="6" t="n">
        <f aca="false">Sens!I4546-Sens!I4547</f>
        <v>32.9933951768106</v>
      </c>
      <c r="J4548" s="6" t="n">
        <f aca="false">Sens!J4546-Sens!J4547</f>
        <v>75.9359250961459</v>
      </c>
      <c r="K4548" s="6" t="n">
        <f aca="false">Sens!K4546-Sens!K4547</f>
        <v>111.102532157634</v>
      </c>
    </row>
    <row r="4549" customFormat="false" ht="15" hidden="false" customHeight="false" outlineLevel="0" collapsed="false">
      <c r="A4549" s="1" t="s">
        <v>866</v>
      </c>
      <c r="B4549" s="0" t="s">
        <v>73</v>
      </c>
      <c r="F4549" s="27" t="n">
        <f aca="false">px*(1+bb_g)^(1-0.5)</f>
        <v>553.494156066711</v>
      </c>
      <c r="G4549" s="27" t="n">
        <f aca="false">px*(1+bb_g)^(2-0.5)</f>
        <v>597.773688552047</v>
      </c>
      <c r="H4549" s="27" t="n">
        <f aca="false">px*(1+bb_g)^(3-0.5)</f>
        <v>645.595583636211</v>
      </c>
      <c r="I4549" s="27" t="n">
        <f aca="false">px*(1+bb_g)^(4-0.5)</f>
        <v>697.243230327108</v>
      </c>
      <c r="J4549" s="27" t="n">
        <f aca="false">px*(1+bb_g)^(5-0.5)</f>
        <v>753.022688753277</v>
      </c>
      <c r="K4549" s="27" t="n">
        <f aca="false">px*(1+bb_g)^(6-0.5)</f>
        <v>813.264503853539</v>
      </c>
    </row>
    <row r="4550" customFormat="false" ht="15" hidden="false" customHeight="false" outlineLevel="0" collapsed="false">
      <c r="A4550" s="1" t="s">
        <v>867</v>
      </c>
      <c r="B4550" s="1" t="s">
        <v>79</v>
      </c>
      <c r="E4550" s="18" t="n">
        <f aca="false">sh_out26</f>
        <v>7.427</v>
      </c>
      <c r="F4550" s="18" t="n">
        <f aca="false">Sens!E4550+sh_iss-Sens!F4544/Sens!F4549</f>
        <v>7.472</v>
      </c>
      <c r="G4550" s="18" t="n">
        <f aca="false">Sens!F4550+sh_iss-Sens!G4544/Sens!G4549</f>
        <v>7.517</v>
      </c>
      <c r="H4550" s="18" t="n">
        <f aca="false">Sens!G4550+sh_iss-Sens!H4544/Sens!H4549</f>
        <v>7.5275031716999</v>
      </c>
      <c r="I4550" s="18" t="n">
        <f aca="false">Sens!H4550+sh_iss-Sens!I4544/Sens!I4549</f>
        <v>7.54056166401463</v>
      </c>
      <c r="J4550" s="18" t="n">
        <f aca="false">Sens!I4550+sh_iss-Sens!J4544/Sens!J4549</f>
        <v>7.55598619393567</v>
      </c>
      <c r="K4550" s="18" t="n">
        <f aca="false">Sens!J4550+sh_iss-Sens!K4544/Sens!K4549</f>
        <v>7.57360149941811</v>
      </c>
    </row>
    <row r="4551" customFormat="false" ht="15" hidden="false" customHeight="false" outlineLevel="0" collapsed="false">
      <c r="A4551" s="1" t="s">
        <v>868</v>
      </c>
      <c r="B4551" s="1" t="s">
        <v>79</v>
      </c>
      <c r="E4551" s="18" t="n">
        <f aca="false">sh_dil26</f>
        <v>7.453</v>
      </c>
      <c r="F4551" s="18" t="n">
        <f aca="false">(Sens!E4550+Sens!F4550)/2+dil_gap</f>
        <v>7.4735</v>
      </c>
      <c r="G4551" s="18" t="n">
        <f aca="false">(Sens!F4550+Sens!G4550)/2+dil_gap</f>
        <v>7.5185</v>
      </c>
      <c r="H4551" s="18" t="n">
        <f aca="false">(Sens!G4550+Sens!H4550)/2+dil_gap</f>
        <v>7.54625158584995</v>
      </c>
      <c r="I4551" s="18" t="n">
        <f aca="false">(Sens!H4550+Sens!I4550)/2+dil_gap</f>
        <v>7.55803241785726</v>
      </c>
      <c r="J4551" s="18" t="n">
        <f aca="false">(Sens!I4550+Sens!J4550)/2+dil_gap</f>
        <v>7.57227392897515</v>
      </c>
      <c r="K4551" s="18" t="n">
        <f aca="false">(Sens!J4550+Sens!K4550)/2+dil_gap</f>
        <v>7.58879384667689</v>
      </c>
    </row>
    <row r="4552" customFormat="false" ht="17.15" hidden="false" customHeight="false" outlineLevel="0" collapsed="false">
      <c r="A4552" s="1" t="s">
        <v>869</v>
      </c>
      <c r="B4552" s="0" t="s">
        <v>95</v>
      </c>
      <c r="C4552" s="6" t="n">
        <f aca="false">SUM(Sens!F4542:J4542)</f>
        <v>112.041925096146</v>
      </c>
    </row>
    <row r="4553" customFormat="false" ht="17.15" hidden="false" customHeight="false" outlineLevel="0" collapsed="false">
      <c r="A4553" s="1" t="s">
        <v>836</v>
      </c>
      <c r="B4553" s="1" t="s">
        <v>870</v>
      </c>
      <c r="C4553" s="30" t="str">
        <f aca="false">IF(SUM(Sens!F4545:J4545)&gt;0.05,"需要舉債 "&amp;TEXT(SUM(Sens!F4545:J4545),"0.0")&amp;" 十億美元","不需舉債")&amp;"；"&amp;IF(SUM(Sens!F4544:J4544)&lt;5*bb_target-0.05,"回購較每年 "&amp;TEXT(bb_target,"0.0")&amp;" 的目標少 "&amp;TEXT(5*bb_target-SUM(Sens!F4544:J4544),"0.0")&amp;" 十億美元（"&amp;TEXT(COUNTIF(Sens!F4544:J4544,"&lt;"&amp;(bb_target-0.05)),"0")&amp;" 年減少）","回購不減")</f>
        <v>需要舉債 11.7 十億美元；回購較每年 22.3 的目標少 44.5 十億美元（2 年減少）</v>
      </c>
    </row>
    <row r="4554" customFormat="false" ht="17.15" hidden="false" customHeight="false" outlineLevel="0" collapsed="false">
      <c r="A4554" s="3" t="s">
        <v>1243</v>
      </c>
    </row>
    <row r="4555" customFormat="false" ht="15" hidden="false" customHeight="false" outlineLevel="0" collapsed="false">
      <c r="A4555" s="4" t="s">
        <v>43</v>
      </c>
      <c r="B4555" s="4" t="s">
        <v>63</v>
      </c>
      <c r="C4555" s="19" t="s">
        <v>710</v>
      </c>
      <c r="D4555" s="19" t="s">
        <v>711</v>
      </c>
      <c r="E4555" s="19" t="s">
        <v>712</v>
      </c>
      <c r="F4555" s="19" t="s">
        <v>713</v>
      </c>
      <c r="G4555" s="19" t="s">
        <v>714</v>
      </c>
      <c r="H4555" s="19" t="s">
        <v>715</v>
      </c>
      <c r="I4555" s="19" t="s">
        <v>716</v>
      </c>
      <c r="J4555" s="19" t="s">
        <v>717</v>
      </c>
      <c r="K4555" s="19" t="s">
        <v>718</v>
      </c>
      <c r="L4555" s="4" t="s">
        <v>47</v>
      </c>
    </row>
    <row r="4556" customFormat="false" ht="17.15" hidden="false" customHeight="false" outlineLevel="0" collapsed="false">
      <c r="A4556" s="1" t="s">
        <v>938</v>
      </c>
      <c r="B4556" s="1" t="s">
        <v>213</v>
      </c>
      <c r="F4556" s="34" t="n">
        <f aca="false">1-0.5</f>
        <v>0.5</v>
      </c>
      <c r="G4556" s="34" t="n">
        <f aca="false">2-0.5</f>
        <v>1.5</v>
      </c>
      <c r="H4556" s="34" t="n">
        <f aca="false">3-0.5</f>
        <v>2.5</v>
      </c>
      <c r="I4556" s="34" t="n">
        <f aca="false">4-0.5</f>
        <v>3.5</v>
      </c>
      <c r="J4556" s="34" t="n">
        <f aca="false">5-0.5</f>
        <v>4.5</v>
      </c>
      <c r="K4556" s="34" t="n">
        <f aca="false">6-0.5</f>
        <v>5.5</v>
      </c>
    </row>
    <row r="4557" customFormat="false" ht="15" hidden="false" customHeight="false" outlineLevel="0" collapsed="false">
      <c r="A4557" s="1" t="s">
        <v>939</v>
      </c>
      <c r="B4557" s="0" t="s">
        <v>182</v>
      </c>
      <c r="F4557" s="18" t="n">
        <f aca="false">1/(1+wacc)^Sens!F4556</f>
        <v>0.949601579913219</v>
      </c>
      <c r="G4557" s="18" t="n">
        <f aca="false">1/(1+wacc)^Sens!G4556</f>
        <v>0.856296729956707</v>
      </c>
      <c r="H4557" s="18" t="n">
        <f aca="false">1/(1+wacc)^Sens!H4556</f>
        <v>0.772159719660069</v>
      </c>
      <c r="I4557" s="18" t="n">
        <f aca="false">1/(1+wacc)^Sens!I4556</f>
        <v>0.696289746073958</v>
      </c>
      <c r="J4557" s="18" t="n">
        <f aca="false">1/(1+wacc)^Sens!J4556</f>
        <v>0.627874516299776</v>
      </c>
      <c r="K4557" s="18" t="n">
        <f aca="false">1/(1+wacc)^Sens!K4556</f>
        <v>0.566181550771831</v>
      </c>
    </row>
    <row r="4558" customFormat="false" ht="15" hidden="false" customHeight="false" outlineLevel="0" collapsed="false">
      <c r="A4558" s="1" t="s">
        <v>940</v>
      </c>
      <c r="B4558" s="0" t="s">
        <v>95</v>
      </c>
      <c r="F4558" s="6" t="n">
        <f aca="false">Sens!F4539*Sens!F4557</f>
        <v>0.433923141214317</v>
      </c>
      <c r="G4558" s="6" t="n">
        <f aca="false">Sens!G4539*Sens!G4557</f>
        <v>25.5924510393949</v>
      </c>
      <c r="H4558" s="6" t="n">
        <f aca="false">Sens!H4539*Sens!H4557</f>
        <v>52.1008123365573</v>
      </c>
      <c r="I4558" s="6" t="n">
        <f aca="false">Sens!I4539*Sens!I4557</f>
        <v>54.9624518165348</v>
      </c>
      <c r="J4558" s="6" t="n">
        <f aca="false">Sens!J4539*Sens!J4557</f>
        <v>65.7448070743764</v>
      </c>
      <c r="K4558" s="6" t="n">
        <f aca="false">Sens!K4539*Sens!K4557</f>
        <v>56.7207269687145</v>
      </c>
    </row>
    <row r="4559" customFormat="false" ht="17.15" hidden="false" customHeight="false" outlineLevel="0" collapsed="false">
      <c r="A4559" s="1" t="s">
        <v>941</v>
      </c>
      <c r="B4559" s="0" t="s">
        <v>95</v>
      </c>
      <c r="C4559" s="6" t="n">
        <f aca="false">SUM(Sens!F4558:K4558)</f>
        <v>255.555172376792</v>
      </c>
    </row>
    <row r="4560" customFormat="false" ht="17.15" hidden="false" customHeight="false" outlineLevel="0" collapsed="false">
      <c r="A4560" s="1" t="s">
        <v>942</v>
      </c>
      <c r="B4560" s="0" t="s">
        <v>95</v>
      </c>
      <c r="C4560" s="6" t="n">
        <f aca="false">Sens!K4505*(1+g_tv)*(1-tax_f)</f>
        <v>210.87369262052</v>
      </c>
    </row>
    <row r="4561" customFormat="false" ht="17.15" hidden="false" customHeight="false" outlineLevel="0" collapsed="false">
      <c r="A4561" s="1" t="s">
        <v>943</v>
      </c>
      <c r="B4561" s="0" t="s">
        <v>95</v>
      </c>
      <c r="C4561" s="6" t="n">
        <f aca="false">Sens!$C$4560*(1-g_tv/(wacc+ronic_prem))</f>
        <v>152.815471581954</v>
      </c>
    </row>
    <row r="4562" customFormat="false" ht="17.15" hidden="false" customHeight="false" outlineLevel="0" collapsed="false">
      <c r="A4562" s="1" t="s">
        <v>944</v>
      </c>
      <c r="B4562" s="0" t="s">
        <v>95</v>
      </c>
      <c r="C4562" s="6" t="n">
        <f aca="false">Sens!$C$4561/(wacc-g_tv)</f>
        <v>1935.27403461886</v>
      </c>
    </row>
    <row r="4563" customFormat="false" ht="15" hidden="false" customHeight="false" outlineLevel="0" collapsed="false">
      <c r="A4563" s="1" t="s">
        <v>945</v>
      </c>
      <c r="B4563" s="0" t="s">
        <v>95</v>
      </c>
      <c r="C4563" s="6" t="n">
        <f aca="false">Sens!$C$4562/(1+wacc)^6</f>
        <v>1040.49407593979</v>
      </c>
    </row>
    <row r="4564" customFormat="false" ht="17.15" hidden="false" customHeight="false" outlineLevel="0" collapsed="false">
      <c r="A4564" s="0" t="s">
        <v>877</v>
      </c>
      <c r="B4564" s="0" t="s">
        <v>95</v>
      </c>
      <c r="C4564" s="6" t="n">
        <f aca="false">Sens!$C$4559+Sens!$C$4563</f>
        <v>1296.04924831659</v>
      </c>
    </row>
    <row r="4565" customFormat="false" ht="15" hidden="false" customHeight="false" outlineLevel="0" collapsed="false">
      <c r="A4565" s="1" t="s">
        <v>878</v>
      </c>
      <c r="B4565" s="0" t="s">
        <v>126</v>
      </c>
      <c r="C4565" s="7" t="n">
        <f aca="false">Sens!$C$4563/Sens!$C$4564</f>
        <v>0.802819859886707</v>
      </c>
    </row>
    <row r="4566" customFormat="false" ht="17.15" hidden="false" customHeight="false" outlineLevel="0" collapsed="false">
      <c r="A4566" s="1" t="s">
        <v>946</v>
      </c>
      <c r="B4566" s="0" t="s">
        <v>95</v>
      </c>
      <c r="C4566" s="6" t="n">
        <f aca="false">Sens!$C$4564+Sens!E4548+oai_v</f>
        <v>1497.15624831659</v>
      </c>
    </row>
    <row r="4567" customFormat="false" ht="17.15" hidden="false" customHeight="false" outlineLevel="0" collapsed="false">
      <c r="A4567" s="0" t="s">
        <v>883</v>
      </c>
      <c r="B4567" s="0" t="s">
        <v>73</v>
      </c>
      <c r="C4567" s="5" t="n">
        <f aca="false">Sens!$C$4566/sh_dil26</f>
        <v>200.879679097892</v>
      </c>
    </row>
    <row r="4568" customFormat="false" ht="17.15" hidden="false" customHeight="false" outlineLevel="0" collapsed="false">
      <c r="A4568" s="0" t="s">
        <v>947</v>
      </c>
      <c r="B4568" s="0" t="s">
        <v>73</v>
      </c>
      <c r="C4568" s="5" t="n">
        <f aca="false">Sens!$C$4567*(1+wacc)^t_roll</f>
        <v>230.40790130159</v>
      </c>
    </row>
    <row r="4569" customFormat="false" ht="17.15" hidden="false" customHeight="false" outlineLevel="0" collapsed="false">
      <c r="A4569" s="1" t="s">
        <v>948</v>
      </c>
      <c r="B4569" s="0" t="s">
        <v>126</v>
      </c>
      <c r="F4569" s="7" t="n">
        <f aca="false">Sens!F4529/(Sens!F4480-Sens!F4436)</f>
        <v>0.0686864325746334</v>
      </c>
      <c r="G4569" s="7" t="n">
        <f aca="false">Sens!G4529/(Sens!G4480-Sens!G4436)</f>
        <v>0.066267001590801</v>
      </c>
      <c r="H4569" s="7" t="n">
        <f aca="false">Sens!H4529/(Sens!H4480-Sens!H4436)</f>
        <v>0.0650366246750144</v>
      </c>
      <c r="I4569" s="7" t="n">
        <f aca="false">Sens!I4529/(Sens!I4480-Sens!I4436)</f>
        <v>0.0648573271390164</v>
      </c>
      <c r="J4569" s="7" t="n">
        <f aca="false">Sens!J4529/(Sens!J4480-Sens!J4436)</f>
        <v>0.0655189837669657</v>
      </c>
      <c r="K4569" s="7" t="n">
        <f aca="false">Sens!K4529/(Sens!K4480-Sens!K4436)</f>
        <v>0.0667878921367872</v>
      </c>
    </row>
    <row r="4570" customFormat="false" ht="17.15" hidden="false" customHeight="false" outlineLevel="0" collapsed="false">
      <c r="A4570" s="0" t="s">
        <v>949</v>
      </c>
      <c r="B4570" s="0" t="s">
        <v>95</v>
      </c>
      <c r="F4570" s="6" t="n">
        <f aca="false">Sens!F4465*(al_m365+Sens!F4569)</f>
        <v>78.4986969872395</v>
      </c>
      <c r="G4570" s="6" t="n">
        <f aca="false">Sens!G4465*(al_m365+Sens!G4569)</f>
        <v>88.3098056906507</v>
      </c>
      <c r="H4570" s="6" t="n">
        <f aca="false">Sens!H4465*(al_m365+Sens!H4569)</f>
        <v>98.2773562913015</v>
      </c>
      <c r="I4570" s="6" t="n">
        <f aca="false">Sens!I4465*(al_m365+Sens!I4569)</f>
        <v>107.762753675846</v>
      </c>
      <c r="J4570" s="6" t="n">
        <f aca="false">Sens!J4465*(al_m365+Sens!J4569)</f>
        <v>116.587414331333</v>
      </c>
      <c r="K4570" s="6" t="n">
        <f aca="false">Sens!K4465*(al_m365+Sens!K4569)</f>
        <v>125.041394489287</v>
      </c>
    </row>
    <row r="4571" customFormat="false" ht="17.15" hidden="false" customHeight="false" outlineLevel="0" collapsed="false">
      <c r="A4571" s="0" t="s">
        <v>950</v>
      </c>
      <c r="B4571" s="0" t="s">
        <v>95</v>
      </c>
      <c r="F4571" s="6" t="n">
        <f aca="false">Sens!F4466*(al_lic+Sens!F4569)</f>
        <v>31.9877845991607</v>
      </c>
      <c r="G4571" s="6" t="n">
        <f aca="false">Sens!G4466*(al_lic+Sens!G4569)</f>
        <v>33.243749427372</v>
      </c>
      <c r="H4571" s="6" t="n">
        <f aca="false">Sens!H4466*(al_lic+Sens!H4569)</f>
        <v>34.4137793872059</v>
      </c>
      <c r="I4571" s="6" t="n">
        <f aca="false">Sens!I4466*(al_lic+Sens!I4569)</f>
        <v>35.4787240806467</v>
      </c>
      <c r="J4571" s="6" t="n">
        <f aca="false">Sens!J4466*(al_lic+Sens!J4569)</f>
        <v>36.4160307520991</v>
      </c>
      <c r="K4571" s="6" t="n">
        <f aca="false">Sens!K4466*(al_lic+Sens!K4569)</f>
        <v>37.2021461938459</v>
      </c>
    </row>
    <row r="4572" customFormat="false" ht="17.15" hidden="false" customHeight="false" outlineLevel="0" collapsed="false">
      <c r="A4572" s="0" t="s">
        <v>951</v>
      </c>
      <c r="B4572" s="0" t="s">
        <v>95</v>
      </c>
      <c r="F4572" s="6" t="n">
        <f aca="false">Sens!F4468*(al_ind+Sens!F4569)</f>
        <v>8.24280380456612</v>
      </c>
      <c r="G4572" s="6" t="n">
        <f aca="false">Sens!G4468*(al_ind+Sens!G4569)</f>
        <v>8.9512770630031</v>
      </c>
      <c r="H4572" s="6" t="n">
        <f aca="false">Sens!H4468*(al_ind+Sens!H4569)</f>
        <v>9.70041215792393</v>
      </c>
      <c r="I4572" s="6" t="n">
        <f aca="false">Sens!I4468*(al_ind+Sens!I4569)</f>
        <v>10.4864435829487</v>
      </c>
      <c r="J4572" s="6" t="n">
        <f aca="false">Sens!J4468*(al_ind+Sens!J4569)</f>
        <v>11.3015744981253</v>
      </c>
      <c r="K4572" s="6" t="n">
        <f aca="false">Sens!K4468*(al_ind+Sens!K4569)</f>
        <v>12.1346647729291</v>
      </c>
    </row>
    <row r="4573" customFormat="false" ht="17.15" hidden="false" customHeight="false" outlineLevel="0" collapsed="false">
      <c r="A4573" s="0" t="s">
        <v>952</v>
      </c>
      <c r="B4573" s="0" t="s">
        <v>95</v>
      </c>
      <c r="F4573" s="6" t="n">
        <f aca="false">Sens!F4470*(al_fro+Sens!F4569)</f>
        <v>3.24439651632051</v>
      </c>
      <c r="G4573" s="6" t="n">
        <f aca="false">Sens!G4470*(al_fro+Sens!G4569)</f>
        <v>3.43676117771401</v>
      </c>
      <c r="H4573" s="6" t="n">
        <f aca="false">Sens!H4470*(al_fro+Sens!H4569)</f>
        <v>3.65544732248501</v>
      </c>
      <c r="I4573" s="6" t="n">
        <f aca="false">Sens!I4470*(al_fro+Sens!I4569)</f>
        <v>3.90262750850979</v>
      </c>
      <c r="J4573" s="6" t="n">
        <f aca="false">Sens!J4470*(al_fro+Sens!J4569)</f>
        <v>4.17975656810881</v>
      </c>
      <c r="K4573" s="6" t="n">
        <f aca="false">Sens!K4470*(al_fro+Sens!K4569)</f>
        <v>4.48786536733111</v>
      </c>
    </row>
    <row r="4574" customFormat="false" ht="17.15" hidden="false" customHeight="false" outlineLevel="0" collapsed="false">
      <c r="A4574" s="0" t="s">
        <v>953</v>
      </c>
      <c r="B4574" s="0" t="s">
        <v>95</v>
      </c>
      <c r="F4574" s="6" t="n">
        <f aca="false">Sens!F4473*(al_srch+Sens!F4569)</f>
        <v>10.1799817910968</v>
      </c>
      <c r="G4574" s="6" t="n">
        <f aca="false">Sens!G4473*(al_srch+Sens!G4569)</f>
        <v>11.1592643133754</v>
      </c>
      <c r="H4574" s="6" t="n">
        <f aca="false">Sens!H4473*(al_srch+Sens!H4569)</f>
        <v>12.1792194533398</v>
      </c>
      <c r="I4574" s="6" t="n">
        <f aca="false">Sens!I4473*(al_srch+Sens!I4569)</f>
        <v>13.2288881134521</v>
      </c>
      <c r="J4574" s="6" t="n">
        <f aca="false">Sens!J4473*(al_srch+Sens!J4569)</f>
        <v>14.2913670918582</v>
      </c>
      <c r="K4574" s="6" t="n">
        <f aca="false">Sens!K4473*(al_srch+Sens!K4569)</f>
        <v>15.3448485284362</v>
      </c>
    </row>
    <row r="4575" customFormat="false" ht="17.15" hidden="false" customHeight="false" outlineLevel="0" collapsed="false">
      <c r="A4575" s="0" t="s">
        <v>954</v>
      </c>
      <c r="B4575" s="0" t="s">
        <v>95</v>
      </c>
      <c r="F4575" s="6" t="n">
        <f aca="false">Sens!F4442</f>
        <v>39.4594407491938</v>
      </c>
      <c r="G4575" s="6" t="n">
        <f aca="false">Sens!G4442</f>
        <v>66.5527545578061</v>
      </c>
      <c r="H4575" s="6" t="n">
        <f aca="false">Sens!H4442</f>
        <v>95.219644983859</v>
      </c>
      <c r="I4575" s="6" t="n">
        <f aca="false">Sens!I4442</f>
        <v>124.031840462493</v>
      </c>
      <c r="J4575" s="6" t="n">
        <f aca="false">Sens!J4442</f>
        <v>152.919994097909</v>
      </c>
      <c r="K4575" s="6" t="n">
        <f aca="false">Sens!K4442</f>
        <v>181.852830263848</v>
      </c>
    </row>
    <row r="4576" customFormat="false" ht="17.15" hidden="false" customHeight="false" outlineLevel="0" collapsed="false">
      <c r="A4576" s="0" t="s">
        <v>955</v>
      </c>
      <c r="B4576" s="0" t="s">
        <v>95</v>
      </c>
      <c r="F4576" s="6" t="n">
        <f aca="false">Sens!F4502+Sens!F4453+Sens!F4569*(Sens!F4472-Sens!F4436)</f>
        <v>210.556562194508</v>
      </c>
      <c r="G4576" s="6" t="n">
        <f aca="false">Sens!G4502+Sens!G4453+Sens!G4569*(Sens!G4472-Sens!G4436)</f>
        <v>255.934044904952</v>
      </c>
      <c r="H4576" s="6" t="n">
        <f aca="false">Sens!H4502+Sens!H4453+Sens!H4569*(Sens!H4472-Sens!H4436)</f>
        <v>303.101483850384</v>
      </c>
      <c r="I4576" s="6" t="n">
        <f aca="false">Sens!I4502+Sens!I4453+Sens!I4569*(Sens!I4472-Sens!I4436)</f>
        <v>349.698606499557</v>
      </c>
      <c r="J4576" s="6" t="n">
        <f aca="false">Sens!J4502+Sens!J4453+Sens!J4569*(Sens!J4472-Sens!J4436)</f>
        <v>394.848484356474</v>
      </c>
      <c r="K4576" s="6" t="n">
        <f aca="false">Sens!K4502+Sens!K4453+Sens!K4569*(Sens!K4472-Sens!K4436)</f>
        <v>438.104148276056</v>
      </c>
    </row>
    <row r="4577" customFormat="false" ht="17.15" hidden="false" customHeight="false" outlineLevel="0" collapsed="false">
      <c r="A4577" s="0" t="s">
        <v>956</v>
      </c>
      <c r="B4577" s="0" t="s">
        <v>95</v>
      </c>
      <c r="F4577" s="6" t="n">
        <f aca="false">Sens!F4576-Sens!F4570-Sens!F4571-Sens!F4572-Sens!F4573-Sens!F4575</f>
        <v>49.123439538027</v>
      </c>
      <c r="G4577" s="6" t="n">
        <f aca="false">Sens!G4576-Sens!G4570-Sens!G4571-Sens!G4572-Sens!G4573-Sens!G4575</f>
        <v>55.4396969884061</v>
      </c>
      <c r="H4577" s="6" t="n">
        <f aca="false">Sens!H4576-Sens!H4570-Sens!H4571-Sens!H4572-Sens!H4573-Sens!H4575</f>
        <v>61.8348437076083</v>
      </c>
      <c r="I4577" s="6" t="n">
        <f aca="false">Sens!I4576-Sens!I4570-Sens!I4571-Sens!I4572-Sens!I4573-Sens!I4575</f>
        <v>68.036217189113</v>
      </c>
      <c r="J4577" s="6" t="n">
        <f aca="false">Sens!J4576-Sens!J4570-Sens!J4571-Sens!J4572-Sens!J4573-Sens!J4575</f>
        <v>73.4437141088982</v>
      </c>
      <c r="K4577" s="6" t="n">
        <f aca="false">Sens!K4576-Sens!K4570-Sens!K4571-Sens!K4572-Sens!K4573-Sens!K4575</f>
        <v>77.3852471888144</v>
      </c>
    </row>
    <row r="4578" customFormat="false" ht="17.15" hidden="false" customHeight="false" outlineLevel="0" collapsed="false">
      <c r="A4578" s="0" t="s">
        <v>957</v>
      </c>
      <c r="B4578" s="0" t="s">
        <v>95</v>
      </c>
      <c r="F4578" s="6" t="n">
        <f aca="false">Sens!F4504+Sens!F4569*Sens!F4479</f>
        <v>23.7697943901369</v>
      </c>
      <c r="G4578" s="6" t="n">
        <f aca="false">Sens!G4504+Sens!G4569*Sens!G4479</f>
        <v>24.331261048114</v>
      </c>
      <c r="H4578" s="6" t="n">
        <f aca="false">Sens!H4504+Sens!H4569*Sens!H4479</f>
        <v>25.1342423406419</v>
      </c>
      <c r="I4578" s="6" t="n">
        <f aca="false">Sens!I4504+Sens!I4569*Sens!I4479</f>
        <v>26.1495446421549</v>
      </c>
      <c r="J4578" s="6" t="n">
        <f aca="false">Sens!J4504+Sens!J4569*Sens!J4479</f>
        <v>27.3481502080811</v>
      </c>
      <c r="K4578" s="6" t="n">
        <f aca="false">Sens!K4504+Sens!K4569*Sens!K4479</f>
        <v>28.7026027133478</v>
      </c>
    </row>
    <row r="4579" customFormat="false" ht="17.15" hidden="false" customHeight="false" outlineLevel="0" collapsed="false">
      <c r="A4579" s="0" t="s">
        <v>958</v>
      </c>
      <c r="B4579" s="0" t="s">
        <v>95</v>
      </c>
      <c r="F4579" s="6" t="n">
        <f aca="false">(Sens!F4578-Sens!F4574)*Sens!F4475/(Sens!F4475+Sens!F4477)</f>
        <v>7.44980290393703</v>
      </c>
      <c r="G4579" s="6" t="n">
        <f aca="false">(Sens!G4578-Sens!G4574)*Sens!G4475/(Sens!G4475+Sens!G4477)</f>
        <v>7.09201461396229</v>
      </c>
      <c r="H4579" s="6" t="n">
        <f aca="false">(Sens!H4578-Sens!H4574)*Sens!H4475/(Sens!H4475+Sens!H4477)</f>
        <v>6.8809692168288</v>
      </c>
      <c r="I4579" s="6" t="n">
        <f aca="false">(Sens!I4578-Sens!I4574)*Sens!I4475/(Sens!I4475+Sens!I4477)</f>
        <v>6.80062182771623</v>
      </c>
      <c r="J4579" s="6" t="n">
        <f aca="false">(Sens!J4578-Sens!J4574)*Sens!J4475/(Sens!J4475+Sens!J4477)</f>
        <v>6.84119415814997</v>
      </c>
      <c r="K4579" s="6" t="n">
        <f aca="false">(Sens!K4578-Sens!K4574)*Sens!K4475/(Sens!K4475+Sens!K4477)</f>
        <v>6.99889008512965</v>
      </c>
    </row>
    <row r="4580" customFormat="false" ht="17.15" hidden="false" customHeight="false" outlineLevel="0" collapsed="false">
      <c r="A4580" s="0" t="s">
        <v>959</v>
      </c>
      <c r="B4580" s="0" t="s">
        <v>95</v>
      </c>
      <c r="F4580" s="6" t="n">
        <f aca="false">Sens!F4578-Sens!F4574-Sens!F4579</f>
        <v>6.14000969510312</v>
      </c>
      <c r="G4580" s="6" t="n">
        <f aca="false">Sens!G4578-Sens!G4574-Sens!G4579</f>
        <v>6.07998212077627</v>
      </c>
      <c r="H4580" s="6" t="n">
        <f aca="false">Sens!H4578-Sens!H4574-Sens!H4579</f>
        <v>6.07405367047327</v>
      </c>
      <c r="I4580" s="6" t="n">
        <f aca="false">Sens!I4578-Sens!I4574-Sens!I4579</f>
        <v>6.12003470098649</v>
      </c>
      <c r="J4580" s="6" t="n">
        <f aca="false">Sens!J4578-Sens!J4574-Sens!J4579</f>
        <v>6.21558895807294</v>
      </c>
      <c r="K4580" s="6" t="n">
        <f aca="false">Sens!K4578-Sens!K4574-Sens!K4579</f>
        <v>6.35886409978198</v>
      </c>
    </row>
    <row r="4581" customFormat="false" ht="17.15" hidden="false" customHeight="false" outlineLevel="0" collapsed="false">
      <c r="A4581" s="1" t="s">
        <v>960</v>
      </c>
      <c r="B4581" s="0" t="s">
        <v>95</v>
      </c>
      <c r="C4581" s="6" t="n">
        <f aca="false">(w_ntm28*Sens!G4575+(1-w_ntm28)*Sens!H4575)*m_ai*1</f>
        <v>454.922440830797</v>
      </c>
    </row>
    <row r="4582" customFormat="false" ht="17.15" hidden="false" customHeight="false" outlineLevel="0" collapsed="false">
      <c r="A4582" s="1" t="s">
        <v>961</v>
      </c>
      <c r="B4582" s="0" t="s">
        <v>95</v>
      </c>
      <c r="C4582" s="6" t="n">
        <f aca="false">(w_ntm28*Sens!G4577+(1-w_ntm28)*Sens!H4577)*m_cloud*1</f>
        <v>794.749076664173</v>
      </c>
    </row>
    <row r="4583" customFormat="false" ht="17.15" hidden="false" customHeight="false" outlineLevel="0" collapsed="false">
      <c r="A4583" s="1" t="s">
        <v>962</v>
      </c>
      <c r="B4583" s="0" t="s">
        <v>95</v>
      </c>
      <c r="C4583" s="6" t="n">
        <f aca="false">(w_ntm28*Sens!G4570+(1-w_ntm28)*Sens!H4570)*m_sw*1</f>
        <v>988.547672652094</v>
      </c>
    </row>
    <row r="4584" customFormat="false" ht="17.15" hidden="false" customHeight="false" outlineLevel="0" collapsed="false">
      <c r="A4584" s="1" t="s">
        <v>963</v>
      </c>
      <c r="B4584" s="0" t="s">
        <v>95</v>
      </c>
      <c r="C4584" s="6" t="n">
        <f aca="false">(w_ntm28*Sens!G4571+(1-w_ntm28)*Sens!H4571)*m_sw*1</f>
        <v>363.117661434282</v>
      </c>
    </row>
    <row r="4585" customFormat="false" ht="17.15" hidden="false" customHeight="false" outlineLevel="0" collapsed="false">
      <c r="A4585" s="1" t="s">
        <v>964</v>
      </c>
      <c r="B4585" s="0" t="s">
        <v>95</v>
      </c>
      <c r="C4585" s="6" t="n">
        <f aca="false">(w_ntm28*Sens!G4572+(1-w_ntm28)*Sens!H4572)*m_sw*1</f>
        <v>99.2894025954118</v>
      </c>
    </row>
    <row r="4586" customFormat="false" ht="17.15" hidden="false" customHeight="false" outlineLevel="0" collapsed="false">
      <c r="A4586" s="1" t="s">
        <v>965</v>
      </c>
      <c r="B4586" s="0" t="s">
        <v>95</v>
      </c>
      <c r="C4586" s="6" t="n">
        <f aca="false">(w_ntm28*Sens!G4573+(1-w_ntm28)*Sens!H4573)*m_sw*1</f>
        <v>37.8805648916295</v>
      </c>
    </row>
    <row r="4587" customFormat="false" ht="17.15" hidden="false" customHeight="false" outlineLevel="0" collapsed="false">
      <c r="A4587" s="1" t="s">
        <v>966</v>
      </c>
      <c r="B4587" s="0" t="s">
        <v>95</v>
      </c>
      <c r="C4587" s="6" t="n">
        <f aca="false">(w_ntm28*Sens!G4574+(1-w_ntm28)*Sens!H4574)*m_ads*1</f>
        <v>104.664819473916</v>
      </c>
    </row>
    <row r="4588" customFormat="false" ht="17.15" hidden="false" customHeight="false" outlineLevel="0" collapsed="false">
      <c r="A4588" s="1" t="s">
        <v>967</v>
      </c>
      <c r="B4588" s="0" t="s">
        <v>95</v>
      </c>
      <c r="C4588" s="6" t="n">
        <f aca="false">(w_ntm28*Sens!G4579+(1-w_ntm28)*Sens!H4579)*m_game*1</f>
        <v>88.7104201985522</v>
      </c>
    </row>
    <row r="4589" customFormat="false" ht="17.15" hidden="false" customHeight="false" outlineLevel="0" collapsed="false">
      <c r="A4589" s="1" t="s">
        <v>968</v>
      </c>
      <c r="B4589" s="0" t="s">
        <v>95</v>
      </c>
      <c r="C4589" s="6" t="n">
        <f aca="false">(w_ntm28*Sens!G4580+(1-w_ntm28)*Sens!H4580)*m_pc*1</f>
        <v>87.9496081595385</v>
      </c>
    </row>
    <row r="4590" customFormat="false" ht="17.15" hidden="false" customHeight="false" outlineLevel="0" collapsed="false">
      <c r="A4590" s="1" t="s">
        <v>969</v>
      </c>
      <c r="B4590" s="0" t="s">
        <v>95</v>
      </c>
      <c r="C4590" s="6" t="n">
        <f aca="false">Sens!$C$4581+Sens!$C$4582+Sens!$C$4583+Sens!$C$4584+Sens!$C$4585+Sens!$C$4586+Sens!$C$4587+Sens!$C$4588+Sens!$C$4589</f>
        <v>3019.83166690039</v>
      </c>
    </row>
    <row r="4591" customFormat="false" ht="17.15" hidden="false" customHeight="false" outlineLevel="0" collapsed="false">
      <c r="A4591" s="1" t="s">
        <v>903</v>
      </c>
      <c r="B4591" s="0" t="s">
        <v>95</v>
      </c>
      <c r="C4591" s="6" t="n">
        <f aca="false">Sens!F4548+oai_v-Sens!F4537</f>
        <v>110.500272842532</v>
      </c>
      <c r="L4591" s="1" t="s">
        <v>970</v>
      </c>
    </row>
    <row r="4592" customFormat="false" ht="15" hidden="false" customHeight="false" outlineLevel="0" collapsed="false">
      <c r="A4592" s="1" t="s">
        <v>904</v>
      </c>
      <c r="B4592" s="0" t="s">
        <v>73</v>
      </c>
      <c r="C4592" s="5" t="n">
        <f aca="false">(Sens!$C$4590+Sens!$C$4591)/Sens!F4550</f>
        <v>418.941640757886</v>
      </c>
    </row>
    <row r="4593" customFormat="false" ht="17.15" hidden="false" customHeight="false" outlineLevel="0" collapsed="false">
      <c r="A4593" s="1" t="s">
        <v>971</v>
      </c>
      <c r="B4593" s="0" t="s">
        <v>73</v>
      </c>
      <c r="C4593" s="5" t="n">
        <f aca="false">w_dcf*Sens!$C$4568+(1-w_dcf)*Sens!$C$4592</f>
        <v>324.674771029738</v>
      </c>
    </row>
    <row r="4594" customFormat="false" ht="17.15" hidden="false" customHeight="false" outlineLevel="0" collapsed="false">
      <c r="A4594" s="3" t="s">
        <v>1244</v>
      </c>
    </row>
    <row r="4595" customFormat="false" ht="15" hidden="false" customHeight="false" outlineLevel="0" collapsed="false">
      <c r="A4595" s="4" t="s">
        <v>43</v>
      </c>
      <c r="B4595" s="4" t="s">
        <v>63</v>
      </c>
      <c r="C4595" s="19" t="s">
        <v>710</v>
      </c>
      <c r="D4595" s="19" t="s">
        <v>711</v>
      </c>
      <c r="E4595" s="19" t="s">
        <v>712</v>
      </c>
      <c r="F4595" s="19" t="s">
        <v>713</v>
      </c>
      <c r="G4595" s="19" t="s">
        <v>714</v>
      </c>
      <c r="H4595" s="19" t="s">
        <v>715</v>
      </c>
      <c r="I4595" s="19" t="s">
        <v>716</v>
      </c>
      <c r="J4595" s="19" t="s">
        <v>717</v>
      </c>
      <c r="K4595" s="19" t="s">
        <v>718</v>
      </c>
      <c r="L4595" s="4" t="s">
        <v>47</v>
      </c>
    </row>
    <row r="4596" customFormat="false" ht="17.15" hidden="false" customHeight="false" outlineLevel="0" collapsed="false">
      <c r="A4596" s="1" t="s">
        <v>719</v>
      </c>
      <c r="B4596" s="0" t="s">
        <v>340</v>
      </c>
      <c r="C4596" s="27" t="n">
        <f aca="false">mw_ext_24</f>
        <v>640</v>
      </c>
      <c r="D4596" s="27" t="n">
        <f aca="false">mw_ext_25</f>
        <v>1630</v>
      </c>
      <c r="E4596" s="27" t="n">
        <f aca="false">mw_ext_26</f>
        <v>3250</v>
      </c>
      <c r="F4596" s="27" t="n">
        <f aca="false">MIN(1000000000,Sens!E4596+pace)</f>
        <v>5777.2</v>
      </c>
      <c r="G4596" s="27" t="n">
        <f aca="false">MIN(1000000000,Sens!F4596+pace)</f>
        <v>8304.4</v>
      </c>
      <c r="H4596" s="27" t="n">
        <f aca="false">MIN(1000000000,Sens!G4596+pace)</f>
        <v>10831.6</v>
      </c>
      <c r="I4596" s="27" t="n">
        <f aca="false">MIN(1000000000,Sens!H4596+pace)</f>
        <v>13358.8</v>
      </c>
      <c r="J4596" s="27" t="n">
        <f aca="false">MIN(1000000000,Sens!I4596+pace)</f>
        <v>15886</v>
      </c>
      <c r="K4596" s="27" t="n">
        <f aca="false">MIN(1000000000,Sens!J4596+pace)</f>
        <v>18413.2</v>
      </c>
      <c r="L4596" s="11" t="s">
        <v>720</v>
      </c>
    </row>
    <row r="4597" customFormat="false" ht="17.15" hidden="false" customHeight="false" outlineLevel="0" collapsed="false">
      <c r="A4597" s="1" t="s">
        <v>721</v>
      </c>
      <c r="B4597" s="0" t="s">
        <v>340</v>
      </c>
      <c r="C4597" s="27" t="n">
        <f aca="false">rent_ext_24</f>
        <v>150</v>
      </c>
      <c r="D4597" s="27" t="n">
        <f aca="false">rent_ext_25</f>
        <v>400</v>
      </c>
      <c r="E4597" s="27" t="n">
        <f aca="false">rent_ext_26</f>
        <v>550</v>
      </c>
      <c r="F4597" s="27" t="n">
        <f aca="false">rent_ext_f</f>
        <v>756</v>
      </c>
      <c r="G4597" s="27" t="n">
        <f aca="false">rent_ext_f</f>
        <v>756</v>
      </c>
      <c r="H4597" s="27" t="n">
        <f aca="false">rent_ext_f</f>
        <v>756</v>
      </c>
      <c r="I4597" s="27" t="n">
        <f aca="false">rent_ext_f</f>
        <v>756</v>
      </c>
      <c r="J4597" s="27" t="n">
        <f aca="false">rent_ext_f</f>
        <v>756</v>
      </c>
      <c r="K4597" s="27" t="n">
        <f aca="false">rent_ext_f</f>
        <v>756</v>
      </c>
      <c r="L4597" s="1" t="s">
        <v>722</v>
      </c>
    </row>
    <row r="4598" customFormat="false" ht="17.15" hidden="false" customHeight="false" outlineLevel="0" collapsed="false">
      <c r="A4598" s="1" t="s">
        <v>723</v>
      </c>
      <c r="B4598" s="0" t="s">
        <v>340</v>
      </c>
      <c r="C4598" s="27" t="n">
        <f aca="false">Sens!C4596-Sens!C4597</f>
        <v>490</v>
      </c>
      <c r="D4598" s="27" t="n">
        <f aca="false">Sens!D4596-Sens!D4597</f>
        <v>1230</v>
      </c>
      <c r="E4598" s="27" t="n">
        <f aca="false">Sens!E4596-Sens!E4597</f>
        <v>2700</v>
      </c>
      <c r="F4598" s="27" t="n">
        <f aca="false">Sens!F4596-Sens!F4597</f>
        <v>5021.2</v>
      </c>
      <c r="G4598" s="27" t="n">
        <f aca="false">Sens!G4596-Sens!G4597</f>
        <v>7548.4</v>
      </c>
      <c r="H4598" s="27" t="n">
        <f aca="false">Sens!H4596-Sens!H4597</f>
        <v>10075.6</v>
      </c>
      <c r="I4598" s="27" t="n">
        <f aca="false">Sens!I4596-Sens!I4597</f>
        <v>12602.8</v>
      </c>
      <c r="J4598" s="27" t="n">
        <f aca="false">Sens!J4596-Sens!J4597</f>
        <v>15130</v>
      </c>
      <c r="K4598" s="27" t="n">
        <f aca="false">Sens!K4596-Sens!K4597</f>
        <v>17657.2</v>
      </c>
    </row>
    <row r="4599" customFormat="false" ht="17.15" hidden="false" customHeight="false" outlineLevel="0" collapsed="false">
      <c r="A4599" s="1" t="s">
        <v>724</v>
      </c>
      <c r="B4599" s="0" t="s">
        <v>340</v>
      </c>
      <c r="C4599" s="27" t="n">
        <f aca="false">Sens!C4598/ext_sh</f>
        <v>816.666666666667</v>
      </c>
      <c r="D4599" s="27" t="n">
        <f aca="false">Sens!D4598/ext_sh</f>
        <v>2050</v>
      </c>
      <c r="E4599" s="27" t="n">
        <f aca="false">Sens!E4598/ext_sh</f>
        <v>4500</v>
      </c>
      <c r="F4599" s="27" t="n">
        <f aca="false">Sens!F4598/ext_sh</f>
        <v>8368.66666666667</v>
      </c>
      <c r="G4599" s="27" t="n">
        <f aca="false">Sens!G4598/ext_sh</f>
        <v>12580.6666666667</v>
      </c>
      <c r="H4599" s="27" t="n">
        <f aca="false">Sens!H4598/ext_sh</f>
        <v>16792.6666666667</v>
      </c>
      <c r="I4599" s="27" t="n">
        <f aca="false">Sens!I4598/ext_sh</f>
        <v>21004.6666666667</v>
      </c>
      <c r="J4599" s="27" t="n">
        <f aca="false">Sens!J4598/ext_sh</f>
        <v>25216.6666666667</v>
      </c>
      <c r="K4599" s="27" t="n">
        <f aca="false">Sens!K4598/ext_sh</f>
        <v>29428.6666666667</v>
      </c>
      <c r="L4599" s="1" t="s">
        <v>725</v>
      </c>
    </row>
    <row r="4600" customFormat="false" ht="17.15" hidden="false" customHeight="false" outlineLevel="0" collapsed="false">
      <c r="A4600" s="1" t="s">
        <v>726</v>
      </c>
      <c r="B4600" s="0" t="s">
        <v>340</v>
      </c>
      <c r="C4600" s="27" t="n">
        <f aca="false">Sens!C4599-Sens!C4598</f>
        <v>326.666666666667</v>
      </c>
      <c r="D4600" s="27" t="n">
        <f aca="false">Sens!D4599-Sens!D4598</f>
        <v>820</v>
      </c>
      <c r="E4600" s="27" t="n">
        <f aca="false">Sens!E4599-Sens!E4598</f>
        <v>1800</v>
      </c>
      <c r="F4600" s="27" t="n">
        <f aca="false">Sens!F4599-Sens!F4598</f>
        <v>3347.46666666667</v>
      </c>
      <c r="G4600" s="27" t="n">
        <f aca="false">Sens!G4599-Sens!G4598</f>
        <v>5032.26666666667</v>
      </c>
      <c r="H4600" s="27" t="n">
        <f aca="false">Sens!H4599-Sens!H4598</f>
        <v>6717.06666666667</v>
      </c>
      <c r="I4600" s="27" t="n">
        <f aca="false">Sens!I4599-Sens!I4598</f>
        <v>8401.86666666667</v>
      </c>
      <c r="J4600" s="27" t="n">
        <f aca="false">Sens!J4599-Sens!J4598</f>
        <v>10086.6666666667</v>
      </c>
      <c r="K4600" s="27" t="n">
        <f aca="false">Sens!K4599-Sens!K4598</f>
        <v>11771.4666666667</v>
      </c>
    </row>
    <row r="4601" customFormat="false" ht="17.15" hidden="false" customHeight="false" outlineLevel="0" collapsed="false">
      <c r="A4601" s="1" t="s">
        <v>727</v>
      </c>
      <c r="B4601" s="0" t="s">
        <v>340</v>
      </c>
      <c r="C4601" s="27" t="n">
        <f aca="false">Sens!C4599</f>
        <v>816.666666666667</v>
      </c>
      <c r="D4601" s="27" t="n">
        <f aca="false">Sens!D4599-Sens!C4599</f>
        <v>1233.33333333333</v>
      </c>
      <c r="E4601" s="27" t="n">
        <f aca="false">Sens!E4599-Sens!D4599</f>
        <v>2450</v>
      </c>
      <c r="F4601" s="27" t="n">
        <f aca="false">Sens!F4599-Sens!E4599</f>
        <v>3868.66666666667</v>
      </c>
      <c r="G4601" s="27" t="n">
        <f aca="false">Sens!G4599-Sens!F4599</f>
        <v>4212</v>
      </c>
      <c r="H4601" s="27" t="n">
        <f aca="false">Sens!H4599-Sens!G4599</f>
        <v>4212</v>
      </c>
      <c r="I4601" s="27" t="n">
        <f aca="false">Sens!I4599-Sens!H4599</f>
        <v>4212</v>
      </c>
      <c r="J4601" s="27" t="n">
        <f aca="false">Sens!J4599-Sens!I4599</f>
        <v>4212</v>
      </c>
      <c r="K4601" s="27" t="n">
        <f aca="false">Sens!K4599-Sens!J4599</f>
        <v>4212</v>
      </c>
    </row>
    <row r="4602" customFormat="false" ht="17.15" hidden="false" customHeight="false" outlineLevel="0" collapsed="false">
      <c r="A4602" s="1" t="s">
        <v>728</v>
      </c>
      <c r="B4602" s="0" t="s">
        <v>340</v>
      </c>
      <c r="D4602" s="27" t="n">
        <f aca="false">Sens!D4596-Sens!C4596</f>
        <v>990</v>
      </c>
      <c r="E4602" s="27" t="n">
        <f aca="false">Sens!E4596-Sens!D4596</f>
        <v>1620</v>
      </c>
      <c r="F4602" s="27" t="n">
        <f aca="false">Sens!F4596-Sens!E4596</f>
        <v>2527.2</v>
      </c>
      <c r="G4602" s="27" t="n">
        <f aca="false">Sens!G4596-Sens!F4596</f>
        <v>2527.2</v>
      </c>
      <c r="H4602" s="27" t="n">
        <f aca="false">Sens!H4596-Sens!G4596</f>
        <v>2527.2</v>
      </c>
      <c r="I4602" s="27" t="n">
        <f aca="false">Sens!I4596-Sens!H4596</f>
        <v>2527.2</v>
      </c>
      <c r="J4602" s="27" t="n">
        <f aca="false">Sens!J4596-Sens!I4596</f>
        <v>2527.2</v>
      </c>
      <c r="K4602" s="27" t="n">
        <f aca="false">Sens!K4596-Sens!J4596</f>
        <v>2527.2</v>
      </c>
    </row>
    <row r="4603" customFormat="false" ht="17.15" hidden="false" customHeight="false" outlineLevel="0" collapsed="false">
      <c r="A4603" s="1" t="s">
        <v>729</v>
      </c>
      <c r="B4603" s="0" t="s">
        <v>340</v>
      </c>
      <c r="C4603" s="27" t="n">
        <f aca="false">mix_h*Sens!C4596</f>
        <v>128</v>
      </c>
      <c r="D4603" s="27" t="n">
        <f aca="false">mix_h*Sens!D4596</f>
        <v>326</v>
      </c>
      <c r="E4603" s="27" t="n">
        <f aca="false">mix_h*Sens!E4596</f>
        <v>650</v>
      </c>
      <c r="F4603" s="27" t="n">
        <f aca="false">Sens!E4603</f>
        <v>650</v>
      </c>
      <c r="G4603" s="27" t="n">
        <f aca="false">Sens!F4603</f>
        <v>650</v>
      </c>
      <c r="H4603" s="27" t="n">
        <f aca="false">Sens!G4603</f>
        <v>650</v>
      </c>
      <c r="I4603" s="27" t="n">
        <f aca="false">Sens!H4603</f>
        <v>650</v>
      </c>
      <c r="J4603" s="27" t="n">
        <f aca="false">Sens!I4603</f>
        <v>650</v>
      </c>
      <c r="K4603" s="27" t="n">
        <f aca="false">Sens!J4603</f>
        <v>650</v>
      </c>
    </row>
    <row r="4604" customFormat="false" ht="17.15" hidden="false" customHeight="false" outlineLevel="0" collapsed="false">
      <c r="A4604" s="1" t="s">
        <v>730</v>
      </c>
      <c r="B4604" s="0" t="s">
        <v>340</v>
      </c>
      <c r="C4604" s="27" t="n">
        <f aca="false">mix_g2*Sens!C4596</f>
        <v>288</v>
      </c>
      <c r="D4604" s="27" t="n">
        <f aca="false">mix_g2*Sens!D4596</f>
        <v>733.5</v>
      </c>
      <c r="E4604" s="27" t="n">
        <f aca="false">mix_g2*Sens!E4596</f>
        <v>1462.5</v>
      </c>
      <c r="F4604" s="27" t="n">
        <f aca="false">Sens!E4604</f>
        <v>1462.5</v>
      </c>
      <c r="G4604" s="27" t="n">
        <f aca="false">Sens!F4604</f>
        <v>1462.5</v>
      </c>
      <c r="H4604" s="27" t="n">
        <f aca="false">Sens!G4604</f>
        <v>1462.5</v>
      </c>
      <c r="I4604" s="27" t="n">
        <f aca="false">Sens!H4604</f>
        <v>1462.5</v>
      </c>
      <c r="J4604" s="27" t="n">
        <f aca="false">Sens!I4604</f>
        <v>1462.5</v>
      </c>
      <c r="K4604" s="27" t="n">
        <f aca="false">Sens!J4604</f>
        <v>1462.5</v>
      </c>
    </row>
    <row r="4605" customFormat="false" ht="17.15" hidden="false" customHeight="false" outlineLevel="0" collapsed="false">
      <c r="A4605" s="1" t="s">
        <v>731</v>
      </c>
      <c r="B4605" s="0" t="s">
        <v>340</v>
      </c>
      <c r="C4605" s="27" t="n">
        <f aca="false">mix_g3*Sens!C4596</f>
        <v>224</v>
      </c>
      <c r="D4605" s="27" t="n">
        <f aca="false">mix_g3*Sens!D4596</f>
        <v>570.5</v>
      </c>
      <c r="E4605" s="27" t="n">
        <f aca="false">mix_g3*Sens!E4596</f>
        <v>1137.5</v>
      </c>
      <c r="F4605" s="27" t="n">
        <f aca="false">Sens!E4605+Sens!F4602*a_g3_27</f>
        <v>2906.54</v>
      </c>
      <c r="G4605" s="27" t="n">
        <f aca="false">Sens!F4605+Sens!G4602*a_g3_28</f>
        <v>3664.7</v>
      </c>
      <c r="H4605" s="27" t="n">
        <f aca="false">Sens!G4605+Sens!H4602*a_g3_29</f>
        <v>3917.42</v>
      </c>
      <c r="I4605" s="27" t="n">
        <f aca="false">Sens!H4605+Sens!I4602*a_g3_29</f>
        <v>4170.14</v>
      </c>
      <c r="J4605" s="27" t="n">
        <f aca="false">Sens!I4605+Sens!J4602*a_g3_29</f>
        <v>4422.86</v>
      </c>
      <c r="K4605" s="27" t="n">
        <f aca="false">Sens!J4605+Sens!K4602*a_g3_29</f>
        <v>4675.58</v>
      </c>
    </row>
    <row r="4606" customFormat="false" ht="17.15" hidden="false" customHeight="false" outlineLevel="0" collapsed="false">
      <c r="A4606" s="1" t="s">
        <v>732</v>
      </c>
      <c r="B4606" s="0" t="s">
        <v>340</v>
      </c>
      <c r="C4606" s="27" t="n">
        <f aca="false">0</f>
        <v>0</v>
      </c>
      <c r="D4606" s="27" t="n">
        <f aca="false">0</f>
        <v>0</v>
      </c>
      <c r="E4606" s="27" t="n">
        <f aca="false">0</f>
        <v>0</v>
      </c>
      <c r="F4606" s="27" t="n">
        <f aca="false">Sens!E4606+Sens!F4602*(1-a_g3_27)</f>
        <v>758.16</v>
      </c>
      <c r="G4606" s="27" t="n">
        <f aca="false">Sens!F4606+Sens!G4602*(1-a_g3_28)</f>
        <v>2527.2</v>
      </c>
      <c r="H4606" s="27" t="n">
        <f aca="false">Sens!G4606+Sens!H4602*(1-a_g3_29)</f>
        <v>4801.68</v>
      </c>
      <c r="I4606" s="27" t="n">
        <f aca="false">Sens!H4606+Sens!I4602*(1-a_g3_29)</f>
        <v>7076.16</v>
      </c>
      <c r="J4606" s="27" t="n">
        <f aca="false">Sens!I4606+Sens!J4602*(1-a_g3_29)</f>
        <v>9350.64</v>
      </c>
      <c r="K4606" s="27" t="n">
        <f aca="false">Sens!J4606+Sens!K4602*(1-a_g3_29)</f>
        <v>11625.12</v>
      </c>
    </row>
    <row r="4607" customFormat="false" ht="17.15" hidden="false" customHeight="false" outlineLevel="0" collapsed="false">
      <c r="A4607" s="1" t="s">
        <v>733</v>
      </c>
      <c r="B4607" s="0" t="s">
        <v>291</v>
      </c>
      <c r="C4607" s="18" t="n">
        <f aca="false">(Sens!C4603*tk_hold_h100+Sens!C4604*tk_hold_gb200+Sens!C4605*tk_hold_gb300+Sens!C4606*tk_hold_vr200)/Sens!C4596</f>
        <v>9.7235358126469</v>
      </c>
      <c r="D4607" s="18" t="n">
        <f aca="false">(Sens!D4603*tk_hold_h100+Sens!D4604*tk_hold_gb200+Sens!D4605*tk_hold_gb300+Sens!D4606*tk_hold_vr200)/Sens!D4596</f>
        <v>9.7235358126469</v>
      </c>
      <c r="E4607" s="18" t="n">
        <f aca="false">(Sens!E4603*tk_hold_h100+Sens!E4604*tk_hold_gb200+Sens!E4605*tk_hold_gb300+Sens!E4606*tk_hold_vr200)/Sens!E4596</f>
        <v>9.7235358126469</v>
      </c>
      <c r="F4607" s="18" t="n">
        <f aca="false">(Sens!F4603*tk_hold_h100+Sens!F4604*tk_hold_gb200+Sens!F4605*tk_hold_gb300+Sens!F4606*tk_hold_vr200)/Sens!F4596</f>
        <v>10.4079573161931</v>
      </c>
      <c r="G4607" s="18" t="n">
        <f aca="false">(Sens!G4603*tk_hold_h100+Sens!G4604*tk_hold_gb200+Sens!G4605*tk_hold_gb300+Sens!G4606*tk_hold_vr200)/Sens!G4596</f>
        <v>10.8388131109316</v>
      </c>
      <c r="H4607" s="18" t="n">
        <f aca="false">(Sens!H4603*tk_hold_h100+Sens!H4604*tk_hold_gb200+Sens!H4605*tk_hold_gb300+Sens!H4606*tk_hold_vr200)/Sens!H4596</f>
        <v>11.1311018388216</v>
      </c>
      <c r="I4607" s="18" t="n">
        <f aca="false">(Sens!I4603*tk_hold_h100+Sens!I4604*tk_hold_gb200+Sens!I4605*tk_hold_gb300+Sens!I4606*tk_hold_vr200)/Sens!I4596</f>
        <v>11.3128009818501</v>
      </c>
      <c r="J4607" s="18" t="n">
        <f aca="false">(Sens!J4603*tk_hold_h100+Sens!J4604*tk_hold_gb200+Sens!J4605*tk_hold_gb300+Sens!J4606*tk_hold_vr200)/Sens!J4596</f>
        <v>11.4366894646418</v>
      </c>
      <c r="K4607" s="18" t="n">
        <f aca="false">(Sens!K4603*tk_hold_h100+Sens!K4604*tk_hold_gb200+Sens!K4605*tk_hold_gb300+Sens!K4606*tk_hold_vr200)/Sens!K4596</f>
        <v>11.526570716348</v>
      </c>
    </row>
    <row r="4608" customFormat="false" ht="17.15" hidden="false" customHeight="false" outlineLevel="0" collapsed="false">
      <c r="A4608" s="0" t="s">
        <v>734</v>
      </c>
      <c r="B4608" s="0" t="s">
        <v>182</v>
      </c>
      <c r="C4608" s="18" t="n">
        <f aca="false">k_B</f>
        <v>1.17213932619116</v>
      </c>
      <c r="D4608" s="18" t="n">
        <f aca="false">k_B</f>
        <v>1.17213932619116</v>
      </c>
      <c r="E4608" s="18" t="n">
        <f aca="false">k_B</f>
        <v>1.17213932619116</v>
      </c>
      <c r="F4608" s="18" t="n">
        <f aca="false">(k_B+((ls_C*k_long+(1-ls_C)*k_spot)-k_B)*MIN(1,1/3))*1</f>
        <v>1.07843258004497</v>
      </c>
      <c r="G4608" s="18" t="n">
        <f aca="false">(k_B+((ls_C*k_long+(1-ls_C)*k_spot)-k_B)*MIN(1,2/3))*1</f>
        <v>0.984725833898784</v>
      </c>
      <c r="H4608" s="18" t="n">
        <f aca="false">(k_B+((ls_C*k_long+(1-ls_C)*k_spot)-k_B)*MIN(1,3/3))*1</f>
        <v>0.891019087752599</v>
      </c>
      <c r="I4608" s="18" t="n">
        <f aca="false">(k_B+((ls_C*k_long+(1-ls_C)*k_spot)-k_B)*MIN(1,4/3))*1</f>
        <v>0.891019087752599</v>
      </c>
      <c r="J4608" s="18" t="n">
        <f aca="false">(k_B+((ls_C*k_long+(1-ls_C)*k_spot)-k_B)*MIN(1,5/3))*1</f>
        <v>0.891019087752599</v>
      </c>
      <c r="K4608" s="18" t="n">
        <f aca="false">(k_B+((ls_C*k_long+(1-ls_C)*k_spot)-k_B)*MIN(1,6/3))*1</f>
        <v>0.891019087752599</v>
      </c>
      <c r="L4608" s="1" t="s">
        <v>735</v>
      </c>
    </row>
    <row r="4609" customFormat="false" ht="17.15" hidden="false" customHeight="false" outlineLevel="0" collapsed="false">
      <c r="A4609" s="1" t="s">
        <v>736</v>
      </c>
      <c r="B4609" s="0" t="s">
        <v>291</v>
      </c>
      <c r="C4609" s="18" t="n">
        <f aca="false">Sens!C4607*Sens!C4608*chip_f</f>
        <v>11.3973387156315</v>
      </c>
      <c r="D4609" s="18" t="n">
        <f aca="false">Sens!D4607*Sens!D4608*chip_f</f>
        <v>11.3973387156315</v>
      </c>
      <c r="E4609" s="18" t="n">
        <f aca="false">Sens!E4607*Sens!E4608*chip_f</f>
        <v>11.3973387156315</v>
      </c>
      <c r="F4609" s="18" t="n">
        <f aca="false">Sens!F4607*Sens!F4608*chip_f</f>
        <v>11.2242802615</v>
      </c>
      <c r="G4609" s="18" t="n">
        <f aca="false">Sens!G4607*Sens!G4608*chip_f</f>
        <v>10.6732592791352</v>
      </c>
      <c r="H4609" s="18" t="n">
        <f aca="false">Sens!H4607*Sens!H4608*chip_f</f>
        <v>9.91802420610807</v>
      </c>
      <c r="I4609" s="18" t="n">
        <f aca="false">Sens!I4607*Sens!I4608*chip_f</f>
        <v>10.0799216107748</v>
      </c>
      <c r="J4609" s="18" t="n">
        <f aca="false">Sens!J4607*Sens!J4608*chip_f</f>
        <v>10.1903086136949</v>
      </c>
      <c r="K4609" s="18" t="n">
        <f aca="false">Sens!K4607*Sens!K4608*chip_f</f>
        <v>10.2703945245962</v>
      </c>
      <c r="L4609" s="1" t="s">
        <v>737</v>
      </c>
    </row>
    <row r="4610" customFormat="false" ht="17.15" hidden="false" customHeight="false" outlineLevel="0" collapsed="false">
      <c r="A4610" s="0" t="s">
        <v>738</v>
      </c>
      <c r="B4610" s="0" t="s">
        <v>95</v>
      </c>
      <c r="D4610" s="6" t="n">
        <f aca="false">(Sens!C4596+Sens!D4596)/2*Sens!D4609/1000</f>
        <v>12.9359794422418</v>
      </c>
      <c r="E4610" s="6" t="n">
        <f aca="false">(Sens!D4596+Sens!E4596)/2*Sens!E4609/1000</f>
        <v>27.8095064661409</v>
      </c>
      <c r="F4610" s="6" t="n">
        <f aca="false">(Sens!E4596+Sens!F4596)/2*Sens!F4609/1000</f>
        <v>50.6619113883066</v>
      </c>
      <c r="G4610" s="6" t="n">
        <f aca="false">(Sens!F4596+Sens!G4596)/2*Sens!G4609/1000</f>
        <v>75.1482839325348</v>
      </c>
      <c r="H4610" s="6" t="n">
        <f aca="false">(Sens!G4596+Sens!H4596)/2*Sens!H4609/1000</f>
        <v>94.895655604042</v>
      </c>
      <c r="I4610" s="6" t="n">
        <f aca="false">(Sens!H4596+Sens!I4596)/2*Sens!I4609/1000</f>
        <v>121.918667866643</v>
      </c>
      <c r="J4610" s="6" t="n">
        <f aca="false">(Sens!I4596+Sens!J4596)/2*Sens!J4609/1000</f>
        <v>149.006768672892</v>
      </c>
      <c r="K4610" s="6" t="n">
        <f aca="false">(Sens!J4596+Sens!K4596)/2*Sens!K4609/1000</f>
        <v>176.133157939015</v>
      </c>
      <c r="L4610" s="11" t="s">
        <v>739</v>
      </c>
    </row>
    <row r="4611" customFormat="false" ht="17.15" hidden="false" customHeight="false" outlineLevel="0" collapsed="false">
      <c r="A4611" s="1" t="s">
        <v>740</v>
      </c>
      <c r="B4611" s="0" t="s">
        <v>291</v>
      </c>
      <c r="C4611" s="18" t="n">
        <f aca="false">(Sens!C4603*tk_opex_h100+Sens!C4604*tk_opex_gb200+Sens!C4605*tk_opex_gb300+Sens!C4606*tk_opex_vr200)/Sens!C4596</f>
        <v>1.88636041306092</v>
      </c>
      <c r="D4611" s="18" t="n">
        <f aca="false">(Sens!D4603*tk_opex_h100+Sens!D4604*tk_opex_gb200+Sens!D4605*tk_opex_gb300+Sens!D4606*tk_opex_vr200)/Sens!D4596</f>
        <v>1.88636041306092</v>
      </c>
      <c r="E4611" s="18" t="n">
        <f aca="false">(Sens!E4603*tk_opex_h100+Sens!E4604*tk_opex_gb200+Sens!E4605*tk_opex_gb300+Sens!E4606*tk_opex_vr200)/Sens!E4596</f>
        <v>1.88636041306092</v>
      </c>
      <c r="F4611" s="18" t="n">
        <f aca="false">(Sens!F4603*tk_opex_h100+Sens!F4604*tk_opex_gb200+Sens!F4605*tk_opex_gb300+Sens!F4606*tk_opex_vr200)/Sens!F4596</f>
        <v>1.9430236476499</v>
      </c>
      <c r="G4611" s="18" t="n">
        <f aca="false">(Sens!G4603*tk_opex_h100+Sens!G4604*tk_opex_gb200+Sens!G4605*tk_opex_gb300+Sens!G4606*tk_opex_vr200)/Sens!G4596</f>
        <v>1.9786941852423</v>
      </c>
      <c r="H4611" s="18" t="n">
        <f aca="false">(Sens!H4603*tk_opex_h100+Sens!H4604*tk_opex_gb200+Sens!H4605*tk_opex_gb300+Sens!H4606*tk_opex_vr200)/Sens!H4596</f>
        <v>2.00289275976156</v>
      </c>
      <c r="I4611" s="18" t="n">
        <f aca="false">(Sens!I4603*tk_opex_h100+Sens!I4604*tk_opex_gb200+Sens!I4605*tk_opex_gb300+Sens!I4606*tk_opex_vr200)/Sens!I4596</f>
        <v>2.01793562605478</v>
      </c>
      <c r="J4611" s="18" t="n">
        <f aca="false">(Sens!J4603*tk_opex_h100+Sens!J4604*tk_opex_gb200+Sens!J4605*tk_opex_gb300+Sens!J4606*tk_opex_vr200)/Sens!J4596</f>
        <v>2.02819234961902</v>
      </c>
      <c r="K4611" s="18" t="n">
        <f aca="false">(Sens!K4603*tk_opex_h100+Sens!K4604*tk_opex_gb200+Sens!K4605*tk_opex_gb300+Sens!K4606*tk_opex_vr200)/Sens!K4596</f>
        <v>2.0356336155994</v>
      </c>
    </row>
    <row r="4612" customFormat="false" ht="17.15" hidden="false" customHeight="false" outlineLevel="0" collapsed="false">
      <c r="A4612" s="0" t="s">
        <v>741</v>
      </c>
      <c r="B4612" s="0" t="s">
        <v>95</v>
      </c>
      <c r="D4612" s="6" t="n">
        <f aca="false">(Sens!C4599+Sens!D4599)/2*Sens!D4611/1000</f>
        <v>2.70378325872065</v>
      </c>
      <c r="E4612" s="6" t="n">
        <f aca="false">(Sens!D4599+Sens!E4599)/2*Sens!E4611/1000</f>
        <v>6.17783035277451</v>
      </c>
      <c r="F4612" s="6" t="n">
        <f aca="false">(Sens!E4599+Sens!F4599)/2*Sens!F4611/1000</f>
        <v>12.5020618235287</v>
      </c>
      <c r="G4612" s="6" t="n">
        <f aca="false">(Sens!F4599+Sens!G4599)/2*Sens!G4611/1000</f>
        <v>20.7261620256847</v>
      </c>
      <c r="H4612" s="6" t="n">
        <f aca="false">(Sens!G4599+Sens!H4599)/2*Sens!H4611/1000</f>
        <v>29.4158183316982</v>
      </c>
      <c r="I4612" s="6" t="n">
        <f aca="false">(Sens!H4599+Sens!I4599)/2*Sens!I4611/1000</f>
        <v>38.1362927516005</v>
      </c>
      <c r="J4612" s="6" t="n">
        <f aca="false">(Sens!I4599+Sens!J4599)/2*Sens!J4611/1000</f>
        <v>46.8728773279286</v>
      </c>
      <c r="K4612" s="6" t="n">
        <f aca="false">(Sens!J4599+Sens!K4599)/2*Sens!K4611/1000</f>
        <v>55.618938734484</v>
      </c>
    </row>
    <row r="4613" customFormat="false" ht="17.15" hidden="false" customHeight="false" outlineLevel="0" collapsed="false">
      <c r="A4613" s="0" t="s">
        <v>742</v>
      </c>
      <c r="B4613" s="0" t="s">
        <v>95</v>
      </c>
      <c r="D4613" s="6" t="n">
        <f aca="false">(Sens!C4597+Sens!D4597)/2*rent_mw/1000</f>
        <v>2.44475</v>
      </c>
      <c r="E4613" s="6" t="n">
        <f aca="false">(Sens!D4597+Sens!E4597)/2*rent_mw/1000</f>
        <v>4.22275</v>
      </c>
      <c r="F4613" s="6" t="n">
        <f aca="false">(Sens!E4597+Sens!F4597)/2*rent_mw/1000</f>
        <v>5.80517</v>
      </c>
      <c r="G4613" s="6" t="n">
        <f aca="false">(Sens!F4597+Sens!G4597)/2*rent_mw/1000</f>
        <v>6.72084</v>
      </c>
      <c r="H4613" s="6" t="n">
        <f aca="false">(Sens!G4597+Sens!H4597)/2*rent_mw/1000</f>
        <v>6.72084</v>
      </c>
      <c r="I4613" s="6" t="n">
        <f aca="false">(Sens!H4597+Sens!I4597)/2*rent_mw/1000</f>
        <v>6.72084</v>
      </c>
      <c r="J4613" s="6" t="n">
        <f aca="false">(Sens!I4597+Sens!J4597)/2*rent_mw/1000</f>
        <v>6.72084</v>
      </c>
      <c r="K4613" s="6" t="n">
        <f aca="false">(Sens!J4597+Sens!K4597)/2*rent_mw/1000</f>
        <v>6.72084</v>
      </c>
    </row>
    <row r="4614" customFormat="false" ht="17.15" hidden="false" customHeight="false" outlineLevel="0" collapsed="false">
      <c r="A4614" s="0" t="s">
        <v>743</v>
      </c>
      <c r="B4614" s="0" t="s">
        <v>95</v>
      </c>
      <c r="D4614" s="6" t="n">
        <f aca="false">(Sens!C4599+Sens!D4599)/2*(1-self_build)*fac_rent/1000</f>
        <v>0.853242375631075</v>
      </c>
      <c r="E4614" s="6" t="n">
        <f aca="false">(Sens!D4599+Sens!E4599)/2*(1-self_build)*fac_rent/1000</f>
        <v>1.94955961408728</v>
      </c>
      <c r="F4614" s="6" t="n">
        <f aca="false">(Sens!E4599+Sens!F4599)/2*(1-self_build)*fac_rent/1000</f>
        <v>3.83026455274573</v>
      </c>
      <c r="G4614" s="6" t="n">
        <f aca="false">(Sens!F4599+Sens!G4599)/2*(1-self_build)*fac_rent/1000</f>
        <v>6.23541590972812</v>
      </c>
      <c r="H4614" s="6" t="n">
        <f aca="false">(Sens!G4599+Sens!H4599)/2*(1-self_build)*fac_rent/1000</f>
        <v>8.74275792332679</v>
      </c>
      <c r="I4614" s="6" t="n">
        <f aca="false">(Sens!H4599+Sens!I4599)/2*(1-self_build)*fac_rent/1000</f>
        <v>11.2500999369255</v>
      </c>
      <c r="J4614" s="6" t="n">
        <f aca="false">(Sens!I4599+Sens!J4599)/2*(1-self_build)*fac_rent/1000</f>
        <v>13.7574419505241</v>
      </c>
      <c r="K4614" s="6" t="n">
        <f aca="false">(Sens!J4599+Sens!K4599)/2*(1-self_build)*fac_rent/1000</f>
        <v>16.2647839641228</v>
      </c>
      <c r="L4614" s="11" t="s">
        <v>744</v>
      </c>
    </row>
    <row r="4615" customFormat="false" ht="17.15" hidden="false" customHeight="false" outlineLevel="0" collapsed="false">
      <c r="A4615" s="1" t="s">
        <v>745</v>
      </c>
      <c r="B4615" s="0" t="s">
        <v>126</v>
      </c>
      <c r="D4615" s="7" t="n">
        <f aca="false">(Sens!C4598+Sens!D4598)/(Sens!C4599+Sens!D4599)</f>
        <v>0.6</v>
      </c>
      <c r="E4615" s="7" t="n">
        <f aca="false">(Sens!D4598+Sens!E4598)/(Sens!D4599+Sens!E4599)</f>
        <v>0.6</v>
      </c>
      <c r="F4615" s="7" t="n">
        <f aca="false">(Sens!E4598+Sens!F4598)/(Sens!E4599+Sens!F4599)</f>
        <v>0.6</v>
      </c>
      <c r="G4615" s="7" t="n">
        <f aca="false">(Sens!F4598+Sens!G4598)/(Sens!F4599+Sens!G4599)</f>
        <v>0.6</v>
      </c>
      <c r="H4615" s="7" t="n">
        <f aca="false">(Sens!G4598+Sens!H4598)/(Sens!G4599+Sens!H4599)</f>
        <v>0.6</v>
      </c>
      <c r="I4615" s="7" t="n">
        <f aca="false">(Sens!H4598+Sens!I4598)/(Sens!H4599+Sens!I4599)</f>
        <v>0.6</v>
      </c>
      <c r="J4615" s="7" t="n">
        <f aca="false">(Sens!I4598+Sens!J4598)/(Sens!I4599+Sens!J4599)</f>
        <v>0.6</v>
      </c>
      <c r="K4615" s="7" t="n">
        <f aca="false">(Sens!J4598+Sens!K4598)/(Sens!J4599+Sens!K4599)</f>
        <v>0.6</v>
      </c>
    </row>
    <row r="4616" customFormat="false" ht="17.15" hidden="false" customHeight="false" outlineLevel="0" collapsed="false">
      <c r="A4616" s="0" t="s">
        <v>746</v>
      </c>
      <c r="B4616" s="0" t="s">
        <v>95</v>
      </c>
      <c r="D4616" s="6" t="n">
        <f aca="false">Sens!D4610-Sens!D4615*(Sens!D4612+Sens!D4614)-Sens!D4613</f>
        <v>8.35701406163072</v>
      </c>
      <c r="E4616" s="6" t="n">
        <f aca="false">Sens!E4610-Sens!E4615*(Sens!E4612+Sens!E4614)-Sens!E4613</f>
        <v>18.7103224860238</v>
      </c>
      <c r="F4616" s="6" t="n">
        <f aca="false">Sens!F4610-Sens!F4615*(Sens!F4612+Sens!F4614)-Sens!F4613</f>
        <v>35.0573455625419</v>
      </c>
      <c r="G4616" s="6" t="n">
        <f aca="false">Sens!G4610-Sens!G4615*(Sens!G4612+Sens!G4614)-Sens!G4613</f>
        <v>52.2504971712871</v>
      </c>
      <c r="H4616" s="6" t="n">
        <f aca="false">Sens!H4610-Sens!H4615*(Sens!H4612+Sens!H4614)-Sens!H4613</f>
        <v>65.2796698510271</v>
      </c>
      <c r="I4616" s="6" t="n">
        <f aca="false">Sens!I4610-Sens!I4615*(Sens!I4612+Sens!I4614)-Sens!I4613</f>
        <v>85.5659922535278</v>
      </c>
      <c r="J4616" s="6" t="n">
        <f aca="false">Sens!J4610-Sens!J4615*(Sens!J4612+Sens!J4614)-Sens!J4613</f>
        <v>105.90773710582</v>
      </c>
      <c r="K4616" s="6" t="n">
        <f aca="false">Sens!K4610-Sens!K4615*(Sens!K4612+Sens!K4614)-Sens!K4613</f>
        <v>126.282084319851</v>
      </c>
    </row>
    <row r="4617" customFormat="false" ht="17.15" hidden="false" customHeight="false" outlineLevel="0" collapsed="false">
      <c r="A4617" s="1" t="s">
        <v>747</v>
      </c>
      <c r="B4617" s="0" t="s">
        <v>95</v>
      </c>
      <c r="D4617" s="6" t="n">
        <f aca="false">(1-Sens!D4615)*(Sens!D4612+Sens!D4614)</f>
        <v>1.42281025374069</v>
      </c>
      <c r="E4617" s="6" t="n">
        <f aca="false">(1-Sens!E4615)*(Sens!E4612+Sens!E4614)</f>
        <v>3.25095598674472</v>
      </c>
      <c r="F4617" s="6" t="n">
        <f aca="false">(1-Sens!F4615)*(Sens!F4612+Sens!F4614)</f>
        <v>6.53293055050977</v>
      </c>
      <c r="G4617" s="6" t="n">
        <f aca="false">(1-Sens!G4615)*(Sens!G4612+Sens!G4614)</f>
        <v>10.7846311741651</v>
      </c>
      <c r="H4617" s="6" t="n">
        <f aca="false">(1-Sens!H4615)*(Sens!H4612+Sens!H4614)</f>
        <v>15.26343050201</v>
      </c>
      <c r="I4617" s="6" t="n">
        <f aca="false">(1-Sens!I4615)*(Sens!I4612+Sens!I4614)</f>
        <v>19.7545570754104</v>
      </c>
      <c r="J4617" s="6" t="n">
        <f aca="false">(1-Sens!J4615)*(Sens!J4612+Sens!J4614)</f>
        <v>24.2521277113811</v>
      </c>
      <c r="K4617" s="6" t="n">
        <f aca="false">(1-Sens!K4615)*(Sens!K4612+Sens!K4614)</f>
        <v>28.7534890794427</v>
      </c>
    </row>
    <row r="4618" customFormat="false" ht="17.15" hidden="false" customHeight="false" outlineLevel="0" collapsed="false">
      <c r="A4618" s="1" t="s">
        <v>748</v>
      </c>
      <c r="B4618" s="0" t="s">
        <v>302</v>
      </c>
      <c r="C4618" s="8" t="n">
        <f aca="false">cxit_open</f>
        <v>27.5918995</v>
      </c>
      <c r="D4618" s="8" t="n">
        <f aca="false">cxit_open</f>
        <v>27.5918995</v>
      </c>
      <c r="E4618" s="8" t="n">
        <f aca="false">cxit_open</f>
        <v>27.5918995</v>
      </c>
      <c r="F4618" s="8" t="n">
        <f aca="false">(a_g3_27*tk_cxit_gb300+(1-a_g3_27)*tk_cxit_vr200)</f>
        <v>33.8419624</v>
      </c>
      <c r="G4618" s="8" t="n">
        <f aca="false">(a_g3_28*tk_cxit_gb300+(1-a_g3_28)*tk_cxit_vr200)</f>
        <v>35.9816136</v>
      </c>
      <c r="H4618" s="8" t="n">
        <f aca="false">(a_g3_29*tk_cxit_gb300+(1-a_g3_29)*tk_cxit_vr200)</f>
        <v>37.0514392</v>
      </c>
      <c r="I4618" s="8" t="n">
        <f aca="false">(a_g3_29*tk_cxit_gb300+(1-a_g3_29)*tk_cxit_vr200)</f>
        <v>37.0514392</v>
      </c>
      <c r="J4618" s="8" t="n">
        <f aca="false">(a_g3_29*tk_cxit_gb300+(1-a_g3_29)*tk_cxit_vr200)</f>
        <v>37.0514392</v>
      </c>
      <c r="K4618" s="8" t="n">
        <f aca="false">(a_g3_29*tk_cxit_gb300+(1-a_g3_29)*tk_cxit_vr200)</f>
        <v>37.0514392</v>
      </c>
      <c r="L4618" s="11" t="s">
        <v>749</v>
      </c>
    </row>
    <row r="4619" customFormat="false" ht="17.15" hidden="false" customHeight="false" outlineLevel="0" collapsed="false">
      <c r="A4619" s="0" t="s">
        <v>750</v>
      </c>
      <c r="B4619" s="0" t="s">
        <v>340</v>
      </c>
      <c r="F4619" s="27" t="n">
        <f aca="false">Sens!C4601*IF(3=life_it,1,0)+Sens!D4601*IF(2=life_it,1,0)+Sens!E4601*IF(1=life_it,1,0)</f>
        <v>0</v>
      </c>
      <c r="G4619" s="27" t="n">
        <f aca="false">Sens!C4601*IF(4=life_it,1,0)+Sens!D4601*IF(3=life_it,1,0)+Sens!E4601*IF(2=life_it,1,0)+Sens!F4601*IF(1=life_it,1,0)</f>
        <v>0</v>
      </c>
      <c r="H4619" s="27" t="n">
        <f aca="false">Sens!C4601*IF(5=life_it,1,0)+Sens!D4601*IF(4=life_it,1,0)+Sens!E4601*IF(3=life_it,1,0)+Sens!F4601*IF(2=life_it,1,0)+Sens!G4601*IF(1=life_it,1,0)</f>
        <v>0</v>
      </c>
      <c r="I4619" s="27" t="n">
        <f aca="false">Sens!C4601*IF(6=life_it,1,0)+Sens!D4601*IF(5=life_it,1,0)+Sens!E4601*IF(4=life_it,1,0)+Sens!F4601*IF(3=life_it,1,0)+Sens!G4601*IF(2=life_it,1,0)+Sens!H4601*IF(1=life_it,1,0)</f>
        <v>816.666666666667</v>
      </c>
      <c r="J4619" s="27" t="n">
        <f aca="false">Sens!C4601*IF(7=life_it,1,0)+Sens!D4601*IF(6=life_it,1,0)+Sens!E4601*IF(5=life_it,1,0)+Sens!F4601*IF(4=life_it,1,0)+Sens!G4601*IF(3=life_it,1,0)+Sens!H4601*IF(2=life_it,1,0)+Sens!I4601*IF(1=life_it,1,0)</f>
        <v>1233.33333333333</v>
      </c>
      <c r="K4619" s="27" t="n">
        <f aca="false">Sens!C4601*IF(8=life_it,1,0)+Sens!D4601*IF(7=life_it,1,0)+Sens!E4601*IF(6=life_it,1,0)+Sens!F4601*IF(5=life_it,1,0)+Sens!G4601*IF(4=life_it,1,0)+Sens!H4601*IF(3=life_it,1,0)+Sens!I4601*IF(2=life_it,1,0)+Sens!J4601*IF(1=life_it,1,0)</f>
        <v>2450</v>
      </c>
      <c r="L4619" s="1" t="s">
        <v>751</v>
      </c>
    </row>
    <row r="4620" customFormat="false" ht="17.15" hidden="false" customHeight="false" outlineLevel="0" collapsed="false">
      <c r="A4620" s="0" t="s">
        <v>752</v>
      </c>
      <c r="B4620" s="0" t="s">
        <v>95</v>
      </c>
      <c r="C4620" s="6" t="n">
        <f aca="false">Sens!C4601*Sens!C4618/1000</f>
        <v>22.5333845916667</v>
      </c>
      <c r="D4620" s="6" t="n">
        <f aca="false">Sens!D4601*Sens!D4618/1000</f>
        <v>34.0300093833333</v>
      </c>
      <c r="E4620" s="6" t="n">
        <f aca="false">Sens!E4601*Sens!E4618/1000</f>
        <v>67.600153775</v>
      </c>
      <c r="F4620" s="6" t="n">
        <f aca="false">(Sens!F4601+Sens!F4619)*Sens!F4618/1000</f>
        <v>130.923271871467</v>
      </c>
      <c r="G4620" s="6" t="n">
        <f aca="false">(Sens!G4601+Sens!G4619)*Sens!G4618/1000</f>
        <v>151.5545564832</v>
      </c>
      <c r="H4620" s="6" t="n">
        <f aca="false">(Sens!H4601+Sens!H4619)*Sens!H4618/1000</f>
        <v>156.0606619104</v>
      </c>
      <c r="I4620" s="6" t="n">
        <f aca="false">(Sens!I4601+Sens!I4619)*Sens!I4618/1000</f>
        <v>186.319337257067</v>
      </c>
      <c r="J4620" s="6" t="n">
        <f aca="false">(Sens!J4601+Sens!J4619)*Sens!J4618/1000</f>
        <v>201.757436923733</v>
      </c>
      <c r="K4620" s="6" t="n">
        <f aca="false">(Sens!K4601+Sens!K4619)*Sens!K4618/1000</f>
        <v>246.8366879504</v>
      </c>
    </row>
    <row r="4621" customFormat="false" ht="17.15" hidden="false" customHeight="false" outlineLevel="0" collapsed="false">
      <c r="A4621" s="0" t="s">
        <v>753</v>
      </c>
      <c r="B4621" s="0" t="s">
        <v>95</v>
      </c>
      <c r="C4621" s="6" t="n">
        <f aca="false">Sens!C4601*self_build*tk_cxfac/1000</f>
        <v>6.2083</v>
      </c>
      <c r="D4621" s="6" t="n">
        <f aca="false">Sens!D4601*self_build*tk_cxfac/1000</f>
        <v>9.3758</v>
      </c>
      <c r="E4621" s="6" t="n">
        <f aca="false">Sens!E4601*self_build*tk_cxfac/1000</f>
        <v>18.6249</v>
      </c>
      <c r="F4621" s="6" t="n">
        <f aca="false">Sens!F4601*self_build*tk_cxfac/1000</f>
        <v>29.409604</v>
      </c>
      <c r="G4621" s="6" t="n">
        <f aca="false">Sens!G4601*self_build*tk_cxfac/1000</f>
        <v>32.019624</v>
      </c>
      <c r="H4621" s="6" t="n">
        <f aca="false">Sens!H4601*self_build*tk_cxfac/1000</f>
        <v>32.019624</v>
      </c>
      <c r="I4621" s="6" t="n">
        <f aca="false">Sens!I4601*self_build*tk_cxfac/1000</f>
        <v>32.019624</v>
      </c>
      <c r="J4621" s="6" t="n">
        <f aca="false">Sens!J4601*self_build*tk_cxfac/1000</f>
        <v>32.019624</v>
      </c>
      <c r="K4621" s="6" t="n">
        <f aca="false">Sens!K4601*self_build*tk_cxfac/1000</f>
        <v>32.019624</v>
      </c>
    </row>
    <row r="4622" customFormat="false" ht="17.15" hidden="false" customHeight="false" outlineLevel="0" collapsed="false">
      <c r="A4622" s="0" t="s">
        <v>754</v>
      </c>
      <c r="B4622" s="0" t="s">
        <v>95</v>
      </c>
      <c r="F4622" s="6" t="n">
        <f aca="false">MAX(0,capex_floor27-Sens!F4620-Sens!F4621-Sens!F4709)</f>
        <v>8.51277689897088</v>
      </c>
      <c r="G4622" s="6" t="n">
        <f aca="false">0</f>
        <v>0</v>
      </c>
      <c r="H4622" s="6" t="n">
        <f aca="false">0</f>
        <v>0</v>
      </c>
      <c r="I4622" s="6" t="n">
        <f aca="false">0</f>
        <v>0</v>
      </c>
      <c r="J4622" s="6" t="n">
        <f aca="false">0</f>
        <v>0</v>
      </c>
      <c r="K4622" s="6" t="n">
        <f aca="false">0</f>
        <v>0</v>
      </c>
      <c r="L4622" s="1" t="s">
        <v>755</v>
      </c>
    </row>
    <row r="4623" customFormat="false" ht="17.15" hidden="false" customHeight="false" outlineLevel="0" collapsed="false">
      <c r="A4623" s="0" t="s">
        <v>756</v>
      </c>
      <c r="B4623" s="0" t="s">
        <v>95</v>
      </c>
      <c r="C4623" s="6" t="n">
        <f aca="false">Sens!C4620</f>
        <v>22.5333845916667</v>
      </c>
      <c r="D4623" s="6" t="n">
        <f aca="false">Sens!D4620</f>
        <v>34.0300093833333</v>
      </c>
      <c r="E4623" s="6" t="n">
        <f aca="false">Sens!E4620</f>
        <v>67.600153775</v>
      </c>
      <c r="F4623" s="6" t="n">
        <f aca="false">Sens!F4620+Sens!F4622</f>
        <v>139.436048770438</v>
      </c>
      <c r="G4623" s="6" t="n">
        <f aca="false">Sens!G4620+Sens!G4622</f>
        <v>151.5545564832</v>
      </c>
      <c r="H4623" s="6" t="n">
        <f aca="false">Sens!H4620+Sens!H4622</f>
        <v>156.0606619104</v>
      </c>
      <c r="I4623" s="6" t="n">
        <f aca="false">Sens!I4620+Sens!I4622</f>
        <v>186.319337257067</v>
      </c>
      <c r="J4623" s="6" t="n">
        <f aca="false">Sens!J4620+Sens!J4622</f>
        <v>201.757436923733</v>
      </c>
      <c r="K4623" s="6" t="n">
        <f aca="false">Sens!K4620+Sens!K4622</f>
        <v>246.8366879504</v>
      </c>
    </row>
    <row r="4624" customFormat="false" ht="17.15" hidden="false" customHeight="false" outlineLevel="0" collapsed="false">
      <c r="A4624" s="0" t="s">
        <v>757</v>
      </c>
      <c r="B4624" s="0" t="s">
        <v>95</v>
      </c>
      <c r="C4624" s="6" t="n">
        <f aca="false">Sens!C4623+Sens!C4621</f>
        <v>28.7416845916667</v>
      </c>
      <c r="D4624" s="6" t="n">
        <f aca="false">Sens!D4623+Sens!D4621</f>
        <v>43.4058093833333</v>
      </c>
      <c r="E4624" s="6" t="n">
        <f aca="false">Sens!E4623+Sens!E4621</f>
        <v>86.225053775</v>
      </c>
      <c r="F4624" s="6" t="n">
        <f aca="false">Sens!F4623+Sens!F4621</f>
        <v>168.845652770438</v>
      </c>
      <c r="G4624" s="6" t="n">
        <f aca="false">Sens!G4623+Sens!G4621</f>
        <v>183.5741804832</v>
      </c>
      <c r="H4624" s="6" t="n">
        <f aca="false">Sens!H4623+Sens!H4621</f>
        <v>188.0802859104</v>
      </c>
      <c r="I4624" s="6" t="n">
        <f aca="false">Sens!I4623+Sens!I4621</f>
        <v>218.338961257067</v>
      </c>
      <c r="J4624" s="6" t="n">
        <f aca="false">Sens!J4623+Sens!J4621</f>
        <v>233.777060923733</v>
      </c>
      <c r="K4624" s="6" t="n">
        <f aca="false">Sens!K4623+Sens!K4621</f>
        <v>278.8563119504</v>
      </c>
      <c r="L4624" s="11" t="s">
        <v>758</v>
      </c>
    </row>
    <row r="4625" customFormat="false" ht="17.15" hidden="false" customHeight="false" outlineLevel="0" collapsed="false">
      <c r="A4625" s="0" t="s">
        <v>759</v>
      </c>
      <c r="B4625" s="0" t="s">
        <v>95</v>
      </c>
      <c r="E4625" s="6" t="n">
        <f aca="false">(Sens!C4623*IF(2&lt;life_it,1,IF(2=life_it,0.5,0))+Sens!D4623*IF(1&lt;life_it,1,IF(1=life_it,0.5,0))+Sens!E4623*0.5)/life_it</f>
        <v>15.0605784770833</v>
      </c>
      <c r="F4625" s="6" t="n">
        <f aca="false">(Sens!C4623*IF(3&lt;life_it,1,IF(3=life_it,0.5,0))+Sens!D4623*IF(2&lt;life_it,1,IF(2=life_it,0.5,0))+Sens!E4623*IF(1&lt;life_it,1,IF(1=life_it,0.5,0))+Sens!F4623*0.5)/life_it</f>
        <v>32.3135953558698</v>
      </c>
      <c r="G4625" s="6" t="n">
        <f aca="false">(Sens!C4623*IF(4&lt;life_it,1,IF(4=life_it,0.5,0))+Sens!D4623*IF(3&lt;life_it,1,IF(3=life_it,0.5,0))+Sens!E4623*IF(2&lt;life_it,1,IF(2=life_it,0.5,0))+Sens!F4623*IF(1&lt;life_it,1,IF(1=life_it,0.5,0))+Sens!G4623*0.5)/life_it</f>
        <v>56.5628124603396</v>
      </c>
      <c r="H4625" s="6" t="n">
        <f aca="false">(Sens!C4623*IF(5&lt;life_it,1,IF(5=life_it,0.5,0))+Sens!D4623*IF(4&lt;life_it,1,IF(4=life_it,0.5,0))+Sens!E4623*IF(3&lt;life_it,1,IF(3=life_it,0.5,0))+Sens!F4623*IF(2&lt;life_it,1,IF(2=life_it,0.5,0))+Sens!G4623*IF(1&lt;life_it,1,IF(1=life_it,0.5,0))+Sens!H4623*0.5)/life_it</f>
        <v>82.1974139931396</v>
      </c>
      <c r="I4625" s="6" t="n">
        <f aca="false">(Sens!C4623*IF(6&lt;life_it,1,IF(6=life_it,0.5,0))+Sens!D4623*IF(5&lt;life_it,1,IF(5=life_it,0.5,0))+Sens!E4623*IF(4&lt;life_it,1,IF(4=life_it,0.5,0))+Sens!F4623*IF(3&lt;life_it,1,IF(3=life_it,0.5,0))+Sens!G4623*IF(2&lt;life_it,1,IF(2=life_it,0.5,0))+Sens!H4623*IF(1&lt;life_it,1,IF(1=life_it,0.5,0))+Sens!I4623*0.5)/life_it</f>
        <v>108.851298541123</v>
      </c>
      <c r="J4625" s="6" t="n">
        <f aca="false">(Sens!C4623*IF(7&lt;life_it,1,IF(7=life_it,0.5,0))+Sens!D4623*IF(6&lt;life_it,1,IF(6=life_it,0.5,0))+Sens!E4623*IF(5&lt;life_it,1,IF(5=life_it,0.5,0))+Sens!F4623*IF(4&lt;life_it,1,IF(4=life_it,0.5,0))+Sens!G4623*IF(3&lt;life_it,1,IF(3=life_it,0.5,0))+Sens!H4623*IF(2&lt;life_it,1,IF(2=life_it,0.5,0))+Sens!I4623*IF(1&lt;life_it,1,IF(1=life_it,0.5,0))+Sens!J4623*0.5)/life_it</f>
        <v>136.477413558273</v>
      </c>
      <c r="K4625" s="6" t="n">
        <f aca="false">(Sens!C4623*IF(8&lt;life_it,1,IF(8=life_it,0.5,0))+Sens!D4623*IF(7&lt;life_it,1,IF(7=life_it,0.5,0))+Sens!E4623*IF(6&lt;life_it,1,IF(6=life_it,0.5,0))+Sens!F4623*IF(5&lt;life_it,1,IF(5=life_it,0.5,0))+Sens!G4623*IF(4&lt;life_it,1,IF(4=life_it,0.5,0))+Sens!H4623*IF(3&lt;life_it,1,IF(3=life_it,0.5,0))+Sens!I4623*IF(2&lt;life_it,1,IF(2=life_it,0.5,0))+Sens!J4623*IF(1&lt;life_it,1,IF(1=life_it,0.5,0))+Sens!K4623*0.5)/life_it</f>
        <v>165.39107703459</v>
      </c>
    </row>
    <row r="4626" customFormat="false" ht="17.15" hidden="false" customHeight="false" outlineLevel="0" collapsed="false">
      <c r="A4626" s="0" t="s">
        <v>760</v>
      </c>
      <c r="B4626" s="0" t="s">
        <v>95</v>
      </c>
      <c r="E4626" s="6" t="n">
        <f aca="false">(Sens!C4621*IF(2&lt;life_fac,1,IF(2=life_fac,0.5,0))+Sens!D4621*IF(1&lt;life_fac,1,IF(1=life_fac,0.5,0))+Sens!E4621*0.5)/life_fac</f>
        <v>1.2448275</v>
      </c>
      <c r="F4626" s="6" t="n">
        <f aca="false">(Sens!C4621*IF(3&lt;life_fac,1,IF(3=life_fac,0.5,0))+Sens!D4621*IF(2&lt;life_fac,1,IF(2=life_fac,0.5,0))+Sens!E4621*IF(1&lt;life_fac,1,IF(1=life_fac,0.5,0))+Sens!F4621*0.5)/life_fac</f>
        <v>2.4456901</v>
      </c>
      <c r="G4626" s="6" t="n">
        <f aca="false">(Sens!C4621*IF(4&lt;life_fac,1,IF(4=life_fac,0.5,0))+Sens!D4621*IF(3&lt;life_fac,1,IF(3=life_fac,0.5,0))+Sens!E4621*IF(2&lt;life_fac,1,IF(2=life_fac,0.5,0))+Sens!F4621*IF(1&lt;life_fac,1,IF(1=life_fac,0.5,0))+Sens!G4621*0.5)/life_fac</f>
        <v>3.9814208</v>
      </c>
      <c r="H4626" s="6" t="n">
        <f aca="false">(Sens!C4621*IF(5&lt;life_fac,1,IF(5=life_fac,0.5,0))+Sens!D4621*IF(4&lt;life_fac,1,IF(4=life_fac,0.5,0))+Sens!E4621*IF(3&lt;life_fac,1,IF(3=life_fac,0.5,0))+Sens!F4621*IF(2&lt;life_fac,1,IF(2=life_fac,0.5,0))+Sens!G4621*IF(1&lt;life_fac,1,IF(1=life_fac,0.5,0))+Sens!H4621*0.5)/life_fac</f>
        <v>5.582402</v>
      </c>
      <c r="I4626" s="6" t="n">
        <f aca="false">(Sens!C4621*IF(6&lt;life_fac,1,IF(6=life_fac,0.5,0))+Sens!D4621*IF(5&lt;life_fac,1,IF(5=life_fac,0.5,0))+Sens!E4621*IF(4&lt;life_fac,1,IF(4=life_fac,0.5,0))+Sens!F4621*IF(3&lt;life_fac,1,IF(3=life_fac,0.5,0))+Sens!G4621*IF(2&lt;life_fac,1,IF(2=life_fac,0.5,0))+Sens!H4621*IF(1&lt;life_fac,1,IF(1=life_fac,0.5,0))+Sens!I4621*0.5)/life_fac</f>
        <v>7.1833832</v>
      </c>
      <c r="J4626" s="6" t="n">
        <f aca="false">(Sens!C4621*IF(7&lt;life_fac,1,IF(7=life_fac,0.5,0))+Sens!D4621*IF(6&lt;life_fac,1,IF(6=life_fac,0.5,0))+Sens!E4621*IF(5&lt;life_fac,1,IF(5=life_fac,0.5,0))+Sens!F4621*IF(4&lt;life_fac,1,IF(4=life_fac,0.5,0))+Sens!G4621*IF(3&lt;life_fac,1,IF(3=life_fac,0.5,0))+Sens!H4621*IF(2&lt;life_fac,1,IF(2=life_fac,0.5,0))+Sens!I4621*IF(1&lt;life_fac,1,IF(1=life_fac,0.5,0))+Sens!J4621*0.5)/life_fac</f>
        <v>8.7843644</v>
      </c>
      <c r="K4626" s="6" t="n">
        <f aca="false">(Sens!C4621*IF(8&lt;life_fac,1,IF(8=life_fac,0.5,0))+Sens!D4621*IF(7&lt;life_fac,1,IF(7=life_fac,0.5,0))+Sens!E4621*IF(6&lt;life_fac,1,IF(6=life_fac,0.5,0))+Sens!F4621*IF(5&lt;life_fac,1,IF(5=life_fac,0.5,0))+Sens!G4621*IF(4&lt;life_fac,1,IF(4=life_fac,0.5,0))+Sens!H4621*IF(3&lt;life_fac,1,IF(3=life_fac,0.5,0))+Sens!I4621*IF(2&lt;life_fac,1,IF(2=life_fac,0.5,0))+Sens!J4621*IF(1&lt;life_fac,1,IF(1=life_fac,0.5,0))+Sens!K4621*0.5)/life_fac</f>
        <v>10.3853456</v>
      </c>
    </row>
    <row r="4627" customFormat="false" ht="17.15" hidden="false" customHeight="false" outlineLevel="0" collapsed="false">
      <c r="A4627" s="0" t="s">
        <v>761</v>
      </c>
      <c r="B4627" s="0" t="s">
        <v>95</v>
      </c>
      <c r="E4627" s="6" t="n">
        <f aca="false">Sens!E4625+Sens!E4626</f>
        <v>16.3054059770833</v>
      </c>
      <c r="F4627" s="6" t="n">
        <f aca="false">Sens!F4625+Sens!F4626</f>
        <v>34.7592854558698</v>
      </c>
      <c r="G4627" s="6" t="n">
        <f aca="false">Sens!G4625+Sens!G4626</f>
        <v>60.5442332603396</v>
      </c>
      <c r="H4627" s="6" t="n">
        <f aca="false">Sens!H4625+Sens!H4626</f>
        <v>87.7798159931396</v>
      </c>
      <c r="I4627" s="6" t="n">
        <f aca="false">Sens!I4625+Sens!I4626</f>
        <v>116.034681741123</v>
      </c>
      <c r="J4627" s="6" t="n">
        <f aca="false">Sens!J4625+Sens!J4626</f>
        <v>145.261777958273</v>
      </c>
      <c r="K4627" s="6" t="n">
        <f aca="false">Sens!K4625+Sens!K4626</f>
        <v>175.77642263459</v>
      </c>
    </row>
    <row r="4628" customFormat="false" ht="17.15" hidden="false" customHeight="false" outlineLevel="0" collapsed="false">
      <c r="A4628" s="0" t="s">
        <v>762</v>
      </c>
      <c r="B4628" s="0" t="s">
        <v>95</v>
      </c>
      <c r="E4628" s="6" t="n">
        <f aca="false">Sens!E4616-Sens!E4615*Sens!E4627</f>
        <v>8.92707889977379</v>
      </c>
      <c r="F4628" s="6" t="n">
        <f aca="false">Sens!F4616-Sens!F4615*Sens!F4627</f>
        <v>14.2017742890201</v>
      </c>
      <c r="G4628" s="6" t="n">
        <f aca="false">Sens!G4616-Sens!G4615*Sens!G4627</f>
        <v>15.9239572150833</v>
      </c>
      <c r="H4628" s="6" t="n">
        <f aca="false">Sens!H4616-Sens!H4615*Sens!H4627</f>
        <v>12.6117802551433</v>
      </c>
      <c r="I4628" s="6" t="n">
        <f aca="false">Sens!I4616-Sens!I4615*Sens!I4627</f>
        <v>15.9451832088541</v>
      </c>
      <c r="J4628" s="6" t="n">
        <f aca="false">Sens!J4616-Sens!J4615*Sens!J4627</f>
        <v>18.7506703308565</v>
      </c>
      <c r="K4628" s="6" t="n">
        <f aca="false">Sens!K4616-Sens!K4615*Sens!K4627</f>
        <v>20.8162307390974</v>
      </c>
    </row>
    <row r="4629" customFormat="false" ht="17.15" hidden="false" customHeight="false" outlineLevel="0" collapsed="false">
      <c r="A4629" s="3" t="s">
        <v>1245</v>
      </c>
    </row>
    <row r="4630" customFormat="false" ht="15" hidden="false" customHeight="false" outlineLevel="0" collapsed="false">
      <c r="A4630" s="4" t="s">
        <v>43</v>
      </c>
      <c r="B4630" s="4" t="s">
        <v>63</v>
      </c>
      <c r="C4630" s="19" t="s">
        <v>710</v>
      </c>
      <c r="D4630" s="19" t="s">
        <v>711</v>
      </c>
      <c r="E4630" s="19" t="s">
        <v>712</v>
      </c>
      <c r="F4630" s="19" t="s">
        <v>713</v>
      </c>
      <c r="G4630" s="19" t="s">
        <v>714</v>
      </c>
      <c r="H4630" s="19" t="s">
        <v>715</v>
      </c>
      <c r="I4630" s="19" t="s">
        <v>716</v>
      </c>
      <c r="J4630" s="19" t="s">
        <v>717</v>
      </c>
      <c r="K4630" s="19" t="s">
        <v>718</v>
      </c>
      <c r="L4630" s="4" t="s">
        <v>47</v>
      </c>
    </row>
    <row r="4631" customFormat="false" ht="17.15" hidden="false" customHeight="false" outlineLevel="0" collapsed="false">
      <c r="A4631" s="0" t="s">
        <v>780</v>
      </c>
      <c r="B4631" s="0" t="s">
        <v>95</v>
      </c>
      <c r="D4631" s="6" t="n">
        <f aca="false">Sens!D4610</f>
        <v>12.9359794422418</v>
      </c>
      <c r="E4631" s="6" t="n">
        <f aca="false">Sens!E4610</f>
        <v>27.8095064661409</v>
      </c>
      <c r="F4631" s="6" t="n">
        <f aca="false">Sens!F4610</f>
        <v>50.6619113883066</v>
      </c>
      <c r="G4631" s="6" t="n">
        <f aca="false">Sens!G4610</f>
        <v>75.1482839325348</v>
      </c>
      <c r="H4631" s="6" t="n">
        <f aca="false">Sens!H4610</f>
        <v>94.895655604042</v>
      </c>
      <c r="I4631" s="6" t="n">
        <f aca="false">Sens!I4610</f>
        <v>121.918667866643</v>
      </c>
      <c r="J4631" s="6" t="n">
        <f aca="false">Sens!J4610</f>
        <v>149.006768672892</v>
      </c>
      <c r="K4631" s="6" t="n">
        <f aca="false">Sens!K4610</f>
        <v>176.133157939015</v>
      </c>
    </row>
    <row r="4632" customFormat="false" ht="17.15" hidden="false" customHeight="false" outlineLevel="0" collapsed="false">
      <c r="A4632" s="0" t="s">
        <v>781</v>
      </c>
      <c r="B4632" s="0" t="s">
        <v>95</v>
      </c>
      <c r="D4632" s="6" t="n">
        <f aca="false">Q!L6-Sens!D4631</f>
        <v>59.6740205577583</v>
      </c>
      <c r="E4632" s="6" t="n">
        <f aca="false">Q!M6-Sens!E4631</f>
        <v>74.1284935338591</v>
      </c>
      <c r="F4632" s="6" t="n">
        <f aca="false">Sens!E4632*(1+Sens!F4633)</f>
        <v>90.0799497373663</v>
      </c>
      <c r="G4632" s="6" t="n">
        <f aca="false">Sens!F4632*(1+Sens!G4633)</f>
        <v>107.02842520331</v>
      </c>
      <c r="H4632" s="6" t="n">
        <f aca="false">Sens!G4632*(1+Sens!H4633)</f>
        <v>124.271982585636</v>
      </c>
      <c r="I4632" s="6" t="n">
        <f aca="false">Sens!H4632*(1+Sens!I4633)</f>
        <v>140.933702381855</v>
      </c>
      <c r="J4632" s="6" t="n">
        <f aca="false">Sens!I4632*(1+Sens!J4633)</f>
        <v>156.018867314332</v>
      </c>
      <c r="K4632" s="6" t="n">
        <f aca="false">Sens!J4632*(1+Sens!K4633)</f>
        <v>168.500376699478</v>
      </c>
    </row>
    <row r="4633" customFormat="false" ht="15" hidden="false" customHeight="false" outlineLevel="0" collapsed="false">
      <c r="A4633" s="1" t="s">
        <v>782</v>
      </c>
      <c r="B4633" s="0" t="s">
        <v>126</v>
      </c>
      <c r="E4633" s="7" t="n">
        <f aca="false">Sens!E4632/Sens!D4632-1</f>
        <v>0.242223883039864</v>
      </c>
      <c r="F4633" s="7" t="n">
        <f aca="false">Sens!$E$4633+(glt_azo-Sens!$E$4633)*MIN(1,1/n_conv)</f>
        <v>0.215186569199887</v>
      </c>
      <c r="G4633" s="7" t="n">
        <f aca="false">Sens!$E$4633+(glt_azo-Sens!$E$4633)*MIN(1,2/n_conv)</f>
        <v>0.18814925535991</v>
      </c>
      <c r="H4633" s="7" t="n">
        <f aca="false">Sens!$E$4633+(glt_azo-Sens!$E$4633)*MIN(1,3/n_conv)</f>
        <v>0.161111941519932</v>
      </c>
      <c r="I4633" s="7" t="n">
        <f aca="false">Sens!$E$4633+(glt_azo-Sens!$E$4633)*MIN(1,4/n_conv)</f>
        <v>0.134074627679955</v>
      </c>
      <c r="J4633" s="7" t="n">
        <f aca="false">Sens!$E$4633+(glt_azo-Sens!$E$4633)*MIN(1,5/n_conv)</f>
        <v>0.107037313839977</v>
      </c>
      <c r="K4633" s="7" t="n">
        <f aca="false">Sens!$E$4633+(glt_azo-Sens!$E$4633)*MIN(1,6/n_conv)</f>
        <v>0.08</v>
      </c>
    </row>
    <row r="4634" customFormat="false" ht="15" hidden="false" customHeight="false" outlineLevel="0" collapsed="false">
      <c r="A4634" s="0" t="s">
        <v>783</v>
      </c>
      <c r="B4634" s="0" t="s">
        <v>95</v>
      </c>
      <c r="D4634" s="6" t="n">
        <f aca="false">Sens!D4631+Sens!D4632</f>
        <v>72.61</v>
      </c>
      <c r="E4634" s="6" t="n">
        <f aca="false">Sens!E4631+Sens!E4632</f>
        <v>101.938</v>
      </c>
      <c r="F4634" s="6" t="n">
        <f aca="false">Sens!F4631+Sens!F4632</f>
        <v>140.741861125673</v>
      </c>
      <c r="G4634" s="6" t="n">
        <f aca="false">Sens!G4631+Sens!G4632</f>
        <v>182.176709135845</v>
      </c>
      <c r="H4634" s="6" t="n">
        <f aca="false">Sens!H4631+Sens!H4632</f>
        <v>219.167638189678</v>
      </c>
      <c r="I4634" s="6" t="n">
        <f aca="false">Sens!I4631+Sens!I4632</f>
        <v>262.852370248498</v>
      </c>
      <c r="J4634" s="6" t="n">
        <f aca="false">Sens!J4631+Sens!J4632</f>
        <v>305.025635987223</v>
      </c>
      <c r="K4634" s="6" t="n">
        <f aca="false">Sens!K4631+Sens!K4632</f>
        <v>344.633534638493</v>
      </c>
    </row>
    <row r="4635" customFormat="false" ht="17.15" hidden="false" customHeight="false" outlineLevel="0" collapsed="false">
      <c r="A4635" s="0" t="s">
        <v>784</v>
      </c>
      <c r="B4635" s="1" t="s">
        <v>451</v>
      </c>
      <c r="C4635" s="27" t="n">
        <f aca="false">cop_s24</f>
        <v>1</v>
      </c>
      <c r="D4635" s="27" t="n">
        <f aca="false">cop_s25</f>
        <v>5</v>
      </c>
      <c r="E4635" s="27" t="n">
        <f aca="false">cop_s26</f>
        <v>30</v>
      </c>
      <c r="F4635" s="27" t="n">
        <f aca="false">Sens!E4635+IF(2027&lt;=2029,cop_add_C*0.5,cop_add_C*0.5*cop_tail)</f>
        <v>35</v>
      </c>
      <c r="G4635" s="27" t="n">
        <f aca="false">Sens!F4635+IF(2028&lt;=2029,cop_add_C*0.5,cop_add_C*0.5*cop_tail)</f>
        <v>40</v>
      </c>
      <c r="H4635" s="27" t="n">
        <f aca="false">Sens!G4635+IF(2029&lt;=2029,cop_add_C*0.5,cop_add_C*0.5*cop_tail)</f>
        <v>45</v>
      </c>
      <c r="I4635" s="27" t="n">
        <f aca="false">Sens!H4635+IF(2030&lt;=2029,cop_add_C*0.5,cop_add_C*0.5*cop_tail)</f>
        <v>47.5</v>
      </c>
      <c r="J4635" s="27" t="n">
        <f aca="false">Sens!I4635+IF(2031&lt;=2029,cop_add_C*0.5,cop_add_C*0.5*cop_tail)</f>
        <v>50</v>
      </c>
      <c r="K4635" s="27" t="n">
        <f aca="false">Sens!J4635+IF(2032&lt;=2029,cop_add_C*0.5,cop_add_C*0.5*cop_tail)</f>
        <v>52.5</v>
      </c>
    </row>
    <row r="4636" customFormat="false" ht="17.15" hidden="false" customHeight="false" outlineLevel="0" collapsed="false">
      <c r="A4636" s="0" t="s">
        <v>785</v>
      </c>
      <c r="B4636" s="0" t="s">
        <v>95</v>
      </c>
      <c r="D4636" s="6" t="n">
        <f aca="false">(Sens!C4635+Sens!D4635)/2*cop_px*12/1000</f>
        <v>0.9</v>
      </c>
      <c r="E4636" s="6" t="n">
        <f aca="false">(Sens!D4635+Sens!E4635)/2*cop_px*12/1000</f>
        <v>5.25</v>
      </c>
      <c r="F4636" s="6" t="n">
        <f aca="false">(Sens!E4635+Sens!F4635)/2*cop_px*12/1000</f>
        <v>9.75</v>
      </c>
      <c r="G4636" s="6" t="n">
        <f aca="false">(Sens!F4635+Sens!G4635)/2*cop_px*12/1000</f>
        <v>11.25</v>
      </c>
      <c r="H4636" s="6" t="n">
        <f aca="false">(Sens!G4635+Sens!H4635)/2*cop_px*12/1000</f>
        <v>12.75</v>
      </c>
      <c r="I4636" s="6" t="n">
        <f aca="false">(Sens!H4635+Sens!I4635)/2*cop_px*12/1000</f>
        <v>13.875</v>
      </c>
      <c r="J4636" s="6" t="n">
        <f aca="false">(Sens!I4635+Sens!J4635)/2*cop_px*12/1000</f>
        <v>14.625</v>
      </c>
      <c r="K4636" s="6" t="n">
        <f aca="false">(Sens!J4635+Sens!K4635)/2*cop_px*12/1000</f>
        <v>15.375</v>
      </c>
      <c r="L4636" s="1" t="s">
        <v>786</v>
      </c>
    </row>
    <row r="4637" customFormat="false" ht="17.15" hidden="false" customHeight="false" outlineLevel="0" collapsed="false">
      <c r="A4637" s="0" t="s">
        <v>787</v>
      </c>
      <c r="B4637" s="0" t="s">
        <v>95</v>
      </c>
      <c r="D4637" s="6" t="n">
        <f aca="false">Q!L7-Sens!D4636</f>
        <v>83.705</v>
      </c>
      <c r="E4637" s="6" t="n">
        <f aca="false">Q!M7-Sens!E4636</f>
        <v>95.049</v>
      </c>
      <c r="F4637" s="6" t="n">
        <f aca="false">Sens!E4637*(1+Sens!F4638)</f>
        <v>106.89238776686</v>
      </c>
      <c r="G4637" s="6" t="n">
        <f aca="false">Sens!F4637*(1+Sens!G4638)</f>
        <v>119.044168448684</v>
      </c>
      <c r="H4637" s="6" t="n">
        <f aca="false">Sens!G4637*(1+Sens!H4638)</f>
        <v>131.277359388781</v>
      </c>
      <c r="I4637" s="6" t="n">
        <f aca="false">Sens!H4637*(1+Sens!I4638)</f>
        <v>143.334028071957</v>
      </c>
      <c r="J4637" s="6" t="n">
        <f aca="false">Sens!I4637*(1+Sens!J4638)</f>
        <v>154.932702785465</v>
      </c>
      <c r="K4637" s="6" t="n">
        <f aca="false">Sens!J4637*(1+Sens!K4638)</f>
        <v>165.777991980448</v>
      </c>
    </row>
    <row r="4638" customFormat="false" ht="15" hidden="false" customHeight="false" outlineLevel="0" collapsed="false">
      <c r="A4638" s="1" t="s">
        <v>782</v>
      </c>
      <c r="B4638" s="0" t="s">
        <v>126</v>
      </c>
      <c r="E4638" s="7" t="n">
        <f aca="false">Sens!E4637/Sens!D4637-1</f>
        <v>0.135523564900544</v>
      </c>
      <c r="F4638" s="7" t="n">
        <f aca="false">Sens!$E$4638+(glt_m365b-Sens!$E$4638)*MIN(1,1/n_conv)</f>
        <v>0.124602970750453</v>
      </c>
      <c r="G4638" s="7" t="n">
        <f aca="false">Sens!$E$4638+(glt_m365b-Sens!$E$4638)*MIN(1,2/n_conv)</f>
        <v>0.113682376600363</v>
      </c>
      <c r="H4638" s="7" t="n">
        <f aca="false">Sens!$E$4638+(glt_m365b-Sens!$E$4638)*MIN(1,3/n_conv)</f>
        <v>0.102761782450272</v>
      </c>
      <c r="I4638" s="7" t="n">
        <f aca="false">Sens!$E$4638+(glt_m365b-Sens!$E$4638)*MIN(1,4/n_conv)</f>
        <v>0.0918411883001813</v>
      </c>
      <c r="J4638" s="7" t="n">
        <f aca="false">Sens!$E$4638+(glt_m365b-Sens!$E$4638)*MIN(1,5/n_conv)</f>
        <v>0.0809205941500906</v>
      </c>
      <c r="K4638" s="7" t="n">
        <f aca="false">Sens!$E$4638+(glt_m365b-Sens!$E$4638)*MIN(1,6/n_conv)</f>
        <v>0.07</v>
      </c>
    </row>
    <row r="4639" customFormat="false" ht="15" hidden="false" customHeight="false" outlineLevel="0" collapsed="false">
      <c r="A4639" s="0" t="s">
        <v>788</v>
      </c>
      <c r="B4639" s="0" t="s">
        <v>95</v>
      </c>
      <c r="D4639" s="6" t="n">
        <f aca="false">Sens!D4637+Sens!D4636</f>
        <v>84.605</v>
      </c>
      <c r="E4639" s="6" t="n">
        <f aca="false">Sens!E4637+Sens!E4636</f>
        <v>100.299</v>
      </c>
      <c r="F4639" s="6" t="n">
        <f aca="false">Sens!F4637+Sens!F4636</f>
        <v>116.64238776686</v>
      </c>
      <c r="G4639" s="6" t="n">
        <f aca="false">Sens!G4637+Sens!G4636</f>
        <v>130.294168448684</v>
      </c>
      <c r="H4639" s="6" t="n">
        <f aca="false">Sens!H4637+Sens!H4636</f>
        <v>144.027359388781</v>
      </c>
      <c r="I4639" s="6" t="n">
        <f aca="false">Sens!I4637+Sens!I4636</f>
        <v>157.209028071957</v>
      </c>
      <c r="J4639" s="6" t="n">
        <f aca="false">Sens!J4637+Sens!J4636</f>
        <v>169.557702785465</v>
      </c>
      <c r="K4639" s="6" t="n">
        <f aca="false">Sens!K4637+Sens!K4636</f>
        <v>181.152991980448</v>
      </c>
    </row>
    <row r="4640" customFormat="false" ht="15" hidden="false" customHeight="false" outlineLevel="0" collapsed="false">
      <c r="A4640" s="0" t="s">
        <v>789</v>
      </c>
      <c r="B4640" s="0" t="s">
        <v>95</v>
      </c>
      <c r="D4640" s="6" t="n">
        <f aca="false">Q!L8</f>
        <v>35.391</v>
      </c>
      <c r="E4640" s="6" t="n">
        <f aca="false">Q!M8</f>
        <v>37.285</v>
      </c>
      <c r="F4640" s="6" t="n">
        <f aca="false">Sens!E4640*(1+Sens!F4641)</f>
        <v>39.0720834331704</v>
      </c>
      <c r="G4640" s="6" t="n">
        <f aca="false">Sens!F4640*(1+Sens!G4641)</f>
        <v>40.726562953769</v>
      </c>
      <c r="H4640" s="6" t="n">
        <f aca="false">Sens!G4640*(1+Sens!H4641)</f>
        <v>42.2235987259198</v>
      </c>
      <c r="I4640" s="6" t="n">
        <f aca="false">Sens!H4640*(1+Sens!I4641)</f>
        <v>43.5397988077414</v>
      </c>
      <c r="J4640" s="6" t="n">
        <f aca="false">Sens!I4640*(1+Sens!J4641)</f>
        <v>44.653811225693</v>
      </c>
      <c r="K4640" s="6" t="n">
        <f aca="false">Sens!J4640*(1+Sens!K4641)</f>
        <v>45.5468874502068</v>
      </c>
    </row>
    <row r="4641" customFormat="false" ht="15" hidden="false" customHeight="false" outlineLevel="0" collapsed="false">
      <c r="A4641" s="1" t="s">
        <v>782</v>
      </c>
      <c r="B4641" s="0" t="s">
        <v>126</v>
      </c>
      <c r="E4641" s="7" t="n">
        <f aca="false">Sens!E4640/Sens!D4640-1</f>
        <v>0.0535164307309768</v>
      </c>
      <c r="F4641" s="7" t="n">
        <f aca="false">Sens!$E$4641+(glt_lic-Sens!$E$4641)*MIN(1,1/n_conv)</f>
        <v>0.0479303589424807</v>
      </c>
      <c r="G4641" s="7" t="n">
        <f aca="false">Sens!$E$4641+(glt_lic-Sens!$E$4641)*MIN(1,2/n_conv)</f>
        <v>0.0423442871539845</v>
      </c>
      <c r="H4641" s="7" t="n">
        <f aca="false">Sens!$E$4641+(glt_lic-Sens!$E$4641)*MIN(1,3/n_conv)</f>
        <v>0.0367582153654884</v>
      </c>
      <c r="I4641" s="7" t="n">
        <f aca="false">Sens!$E$4641+(glt_lic-Sens!$E$4641)*MIN(1,4/n_conv)</f>
        <v>0.0311721435769923</v>
      </c>
      <c r="J4641" s="7" t="n">
        <f aca="false">Sens!$E$4641+(glt_lic-Sens!$E$4641)*MIN(1,5/n_conv)</f>
        <v>0.0255860717884961</v>
      </c>
      <c r="K4641" s="7" t="n">
        <f aca="false">Sens!$E$4641+(glt_lic-Sens!$E$4641)*MIN(1,6/n_conv)</f>
        <v>0.02</v>
      </c>
    </row>
    <row r="4642" customFormat="false" ht="15" hidden="false" customHeight="false" outlineLevel="0" collapsed="false">
      <c r="A4642" s="0" t="s">
        <v>790</v>
      </c>
      <c r="B4642" s="0" t="s">
        <v>95</v>
      </c>
      <c r="D4642" s="6" t="n">
        <f aca="false">Q!L9</f>
        <v>18.417</v>
      </c>
      <c r="E4642" s="6" t="n">
        <f aca="false">Q!M9</f>
        <v>20.345</v>
      </c>
      <c r="F4642" s="6" t="n">
        <f aca="false">Sens!E4642*(1+Sens!F4643)</f>
        <v>22.3572203267814</v>
      </c>
      <c r="G4642" s="6" t="n">
        <f aca="false">Sens!F4642*(1+Sens!G4643)</f>
        <v>24.4392124437232</v>
      </c>
      <c r="H4642" s="6" t="n">
        <f aca="false">Sens!G4642*(1+Sens!H4643)</f>
        <v>26.5738052080665</v>
      </c>
      <c r="I4642" s="6" t="n">
        <f aca="false">Sens!H4642*(1+Sens!I4643)</f>
        <v>28.7412169166967</v>
      </c>
      <c r="J4642" s="6" t="n">
        <f aca="false">Sens!I4642*(1+Sens!J4643)</f>
        <v>30.9192545395413</v>
      </c>
      <c r="K4642" s="6" t="n">
        <f aca="false">Sens!J4642*(1+Sens!K4643)</f>
        <v>33.0836023573092</v>
      </c>
    </row>
    <row r="4643" customFormat="false" ht="15" hidden="false" customHeight="false" outlineLevel="0" collapsed="false">
      <c r="A4643" s="1" t="s">
        <v>782</v>
      </c>
      <c r="B4643" s="0" t="s">
        <v>126</v>
      </c>
      <c r="E4643" s="7" t="n">
        <f aca="false">Sens!E4642/Sens!D4642-1</f>
        <v>0.104685888038225</v>
      </c>
      <c r="F4643" s="7" t="n">
        <f aca="false">Sens!$E$4643+(glt_ind-Sens!$E$4643)*MIN(1,1/n_conv)</f>
        <v>0.0989049066985211</v>
      </c>
      <c r="G4643" s="7" t="n">
        <f aca="false">Sens!$E$4643+(glt_ind-Sens!$E$4643)*MIN(1,2/n_conv)</f>
        <v>0.0931239253588169</v>
      </c>
      <c r="H4643" s="7" t="n">
        <f aca="false">Sens!$E$4643+(glt_ind-Sens!$E$4643)*MIN(1,3/n_conv)</f>
        <v>0.0873429440191127</v>
      </c>
      <c r="I4643" s="7" t="n">
        <f aca="false">Sens!$E$4643+(glt_ind-Sens!$E$4643)*MIN(1,4/n_conv)</f>
        <v>0.0815619626794085</v>
      </c>
      <c r="J4643" s="7" t="n">
        <f aca="false">Sens!$E$4643+(glt_ind-Sens!$E$4643)*MIN(1,5/n_conv)</f>
        <v>0.0757809813397042</v>
      </c>
      <c r="K4643" s="7" t="n">
        <f aca="false">Sens!$E$4643+(glt_ind-Sens!$E$4643)*MIN(1,6/n_conv)</f>
        <v>0.07</v>
      </c>
    </row>
    <row r="4644" customFormat="false" ht="15" hidden="false" customHeight="false" outlineLevel="0" collapsed="false">
      <c r="A4644" s="0" t="s">
        <v>791</v>
      </c>
      <c r="B4644" s="0" t="s">
        <v>95</v>
      </c>
      <c r="D4644" s="6" t="n">
        <f aca="false">Q!L10</f>
        <v>7.76</v>
      </c>
      <c r="E4644" s="6" t="n">
        <f aca="false">Q!M10</f>
        <v>8.26</v>
      </c>
      <c r="F4644" s="6" t="n">
        <f aca="false">Sens!E4644*(1+Sens!F4645)</f>
        <v>8.79988041237113</v>
      </c>
      <c r="G4644" s="6" t="n">
        <f aca="false">Sens!F4644*(1+Sens!G4645)</f>
        <v>9.38321269125306</v>
      </c>
      <c r="H4644" s="6" t="n">
        <f aca="false">Sens!G4644*(1+Sens!H4645)</f>
        <v>10.0139193587476</v>
      </c>
      <c r="I4644" s="6" t="n">
        <f aca="false">Sens!H4644*(1+Sens!I4645)</f>
        <v>10.6963111830911</v>
      </c>
      <c r="J4644" s="6" t="n">
        <f aca="false">Sens!I4644*(1+Sens!J4645)</f>
        <v>11.4351285534696</v>
      </c>
      <c r="K4644" s="6" t="n">
        <f aca="false">Sens!J4644*(1+Sens!K4645)</f>
        <v>12.2355875522124</v>
      </c>
    </row>
    <row r="4645" customFormat="false" ht="15" hidden="false" customHeight="false" outlineLevel="0" collapsed="false">
      <c r="A4645" s="1" t="s">
        <v>782</v>
      </c>
      <c r="B4645" s="0" t="s">
        <v>126</v>
      </c>
      <c r="E4645" s="7" t="n">
        <f aca="false">Sens!E4644/Sens!D4644-1</f>
        <v>0.0644329896907216</v>
      </c>
      <c r="F4645" s="7" t="n">
        <f aca="false">Sens!$E$4645+(glt_fro-Sens!$E$4645)*MIN(1,1/n_conv)</f>
        <v>0.065360824742268</v>
      </c>
      <c r="G4645" s="7" t="n">
        <f aca="false">Sens!$E$4645+(glt_fro-Sens!$E$4645)*MIN(1,2/n_conv)</f>
        <v>0.0662886597938144</v>
      </c>
      <c r="H4645" s="7" t="n">
        <f aca="false">Sens!$E$4645+(glt_fro-Sens!$E$4645)*MIN(1,3/n_conv)</f>
        <v>0.0672164948453608</v>
      </c>
      <c r="I4645" s="7" t="n">
        <f aca="false">Sens!$E$4645+(glt_fro-Sens!$E$4645)*MIN(1,4/n_conv)</f>
        <v>0.0681443298969072</v>
      </c>
      <c r="J4645" s="7" t="n">
        <f aca="false">Sens!$E$4645+(glt_fro-Sens!$E$4645)*MIN(1,5/n_conv)</f>
        <v>0.0690721649484536</v>
      </c>
      <c r="K4645" s="7" t="n">
        <f aca="false">Sens!$E$4645+(glt_fro-Sens!$E$4645)*MIN(1,6/n_conv)</f>
        <v>0.07</v>
      </c>
    </row>
    <row r="4646" customFormat="false" ht="15" hidden="false" customHeight="false" outlineLevel="0" collapsed="false">
      <c r="A4646" s="0" t="s">
        <v>626</v>
      </c>
      <c r="B4646" s="0" t="s">
        <v>95</v>
      </c>
      <c r="D4646" s="6" t="n">
        <f aca="false">Sens!D4634+Sens!D4639+Sens!D4640+Sens!D4642+Sens!D4644</f>
        <v>218.783</v>
      </c>
      <c r="E4646" s="6" t="n">
        <f aca="false">Sens!E4634+Sens!E4639+Sens!E4640+Sens!E4642+Sens!E4644</f>
        <v>268.127</v>
      </c>
      <c r="F4646" s="6" t="n">
        <f aca="false">Sens!F4634+Sens!F4639+Sens!F4640+Sens!F4642+Sens!F4644</f>
        <v>327.613433064856</v>
      </c>
      <c r="G4646" s="6" t="n">
        <f aca="false">Sens!G4634+Sens!G4639+Sens!G4640+Sens!G4642+Sens!G4644</f>
        <v>387.019865673274</v>
      </c>
      <c r="H4646" s="6" t="n">
        <f aca="false">Sens!H4634+Sens!H4639+Sens!H4640+Sens!H4642+Sens!H4644</f>
        <v>442.006320871193</v>
      </c>
      <c r="I4646" s="6" t="n">
        <f aca="false">Sens!I4634+Sens!I4639+Sens!I4640+Sens!I4642+Sens!I4644</f>
        <v>503.038725227984</v>
      </c>
      <c r="J4646" s="6" t="n">
        <f aca="false">Sens!J4634+Sens!J4639+Sens!J4640+Sens!J4642+Sens!J4644</f>
        <v>561.591533091392</v>
      </c>
      <c r="K4646" s="6" t="n">
        <f aca="false">Sens!K4634+Sens!K4639+Sens!K4640+Sens!K4642+Sens!K4644</f>
        <v>616.652603978669</v>
      </c>
    </row>
    <row r="4647" customFormat="false" ht="15" hidden="false" customHeight="false" outlineLevel="0" collapsed="false">
      <c r="A4647" s="0" t="s">
        <v>792</v>
      </c>
      <c r="B4647" s="0" t="s">
        <v>95</v>
      </c>
      <c r="D4647" s="6" t="n">
        <f aca="false">Q!L13</f>
        <v>22.171</v>
      </c>
      <c r="E4647" s="6" t="n">
        <f aca="false">Q!M13</f>
        <v>24.835</v>
      </c>
      <c r="F4647" s="6" t="n">
        <f aca="false">Sens!E4647*(1+Sens!F4648)</f>
        <v>27.6114901218559</v>
      </c>
      <c r="G4647" s="6" t="n">
        <f aca="false">Sens!F4647*(1+Sens!G4648)</f>
        <v>30.4675667338515</v>
      </c>
      <c r="H4647" s="6" t="n">
        <f aca="false">Sens!G4647*(1+Sens!H4648)</f>
        <v>33.3643766955789</v>
      </c>
      <c r="I4647" s="6" t="n">
        <f aca="false">Sens!H4647*(1+Sens!I4648)</f>
        <v>36.2577016533691</v>
      </c>
      <c r="J4647" s="6" t="n">
        <f aca="false">Sens!I4647*(1+Sens!J4648)</f>
        <v>39.0988367952171</v>
      </c>
      <c r="K4647" s="6" t="n">
        <f aca="false">Sens!J4647*(1+Sens!K4648)</f>
        <v>41.8357553708823</v>
      </c>
    </row>
    <row r="4648" customFormat="false" ht="15" hidden="false" customHeight="false" outlineLevel="0" collapsed="false">
      <c r="A4648" s="1" t="s">
        <v>782</v>
      </c>
      <c r="B4648" s="0" t="s">
        <v>126</v>
      </c>
      <c r="E4648" s="7" t="n">
        <f aca="false">Sens!E4647/Sens!D4647-1</f>
        <v>0.120156961796942</v>
      </c>
      <c r="F4648" s="7" t="n">
        <f aca="false">Sens!$E$4648+(glt_srch-Sens!$E$4648)*MIN(1,1/n_conv)</f>
        <v>0.111797468164118</v>
      </c>
      <c r="G4648" s="7" t="n">
        <f aca="false">Sens!$E$4648+(glt_srch-Sens!$E$4648)*MIN(1,2/n_conv)</f>
        <v>0.103437974531295</v>
      </c>
      <c r="H4648" s="7" t="n">
        <f aca="false">Sens!$E$4648+(glt_srch-Sens!$E$4648)*MIN(1,3/n_conv)</f>
        <v>0.095078480898471</v>
      </c>
      <c r="I4648" s="7" t="n">
        <f aca="false">Sens!$E$4648+(glt_srch-Sens!$E$4648)*MIN(1,4/n_conv)</f>
        <v>0.0867189872656474</v>
      </c>
      <c r="J4648" s="7" t="n">
        <f aca="false">Sens!$E$4648+(glt_srch-Sens!$E$4648)*MIN(1,5/n_conv)</f>
        <v>0.0783594936328237</v>
      </c>
      <c r="K4648" s="7" t="n">
        <f aca="false">Sens!$E$4648+(glt_srch-Sens!$E$4648)*MIN(1,6/n_conv)</f>
        <v>0.07</v>
      </c>
    </row>
    <row r="4649" customFormat="false" ht="15" hidden="false" customHeight="false" outlineLevel="0" collapsed="false">
      <c r="A4649" s="0" t="s">
        <v>793</v>
      </c>
      <c r="B4649" s="0" t="s">
        <v>95</v>
      </c>
      <c r="D4649" s="6" t="n">
        <f aca="false">Q!L14</f>
        <v>23.455</v>
      </c>
      <c r="E4649" s="6" t="n">
        <f aca="false">Q!M14</f>
        <v>21.79</v>
      </c>
      <c r="F4649" s="6" t="n">
        <f aca="false">Sens!E4649*(1+Sens!F4650)</f>
        <v>20.5736277908051</v>
      </c>
      <c r="G4649" s="6" t="n">
        <f aca="false">Sens!F4649*(1+Sens!G4650)</f>
        <v>19.7371452817919</v>
      </c>
      <c r="H4649" s="6" t="n">
        <f aca="false">Sens!G4649*(1+Sens!H4650)</f>
        <v>19.2339764043138</v>
      </c>
      <c r="I4649" s="6" t="n">
        <f aca="false">Sens!H4649*(1+Sens!I4650)</f>
        <v>19.0353086852681</v>
      </c>
      <c r="J4649" s="6" t="n">
        <f aca="false">Sens!I4649*(1+Sens!J4650)</f>
        <v>19.1273539319129</v>
      </c>
      <c r="K4649" s="6" t="n">
        <f aca="false">Sens!J4649*(1+Sens!K4650)</f>
        <v>19.5099010105511</v>
      </c>
    </row>
    <row r="4650" customFormat="false" ht="15" hidden="false" customHeight="false" outlineLevel="0" collapsed="false">
      <c r="A4650" s="1" t="s">
        <v>782</v>
      </c>
      <c r="B4650" s="0" t="s">
        <v>126</v>
      </c>
      <c r="E4650" s="7" t="n">
        <f aca="false">Sens!E4649/Sens!D4649-1</f>
        <v>-0.0709869963760392</v>
      </c>
      <c r="F4650" s="7" t="n">
        <f aca="false">Sens!$E$4650+(glt_xbox-Sens!$E$4650)*MIN(1,1/n_conv)</f>
        <v>-0.0558224969800327</v>
      </c>
      <c r="G4650" s="7" t="n">
        <f aca="false">Sens!$E$4650+(glt_xbox-Sens!$E$4650)*MIN(1,2/n_conv)</f>
        <v>-0.0406579975840262</v>
      </c>
      <c r="H4650" s="7" t="n">
        <f aca="false">Sens!$E$4650+(glt_xbox-Sens!$E$4650)*MIN(1,3/n_conv)</f>
        <v>-0.0254934981880196</v>
      </c>
      <c r="I4650" s="7" t="n">
        <f aca="false">Sens!$E$4650+(glt_xbox-Sens!$E$4650)*MIN(1,4/n_conv)</f>
        <v>-0.0103289987920131</v>
      </c>
      <c r="J4650" s="7" t="n">
        <f aca="false">Sens!$E$4650+(glt_xbox-Sens!$E$4650)*MIN(1,5/n_conv)</f>
        <v>0.00483550060399347</v>
      </c>
      <c r="K4650" s="7" t="n">
        <f aca="false">Sens!$E$4650+(glt_xbox-Sens!$E$4650)*MIN(1,6/n_conv)</f>
        <v>0.02</v>
      </c>
    </row>
    <row r="4651" customFormat="false" ht="15" hidden="false" customHeight="false" outlineLevel="0" collapsed="false">
      <c r="A4651" s="0" t="s">
        <v>794</v>
      </c>
      <c r="B4651" s="0" t="s">
        <v>95</v>
      </c>
      <c r="D4651" s="6" t="n">
        <f aca="false">Q!L15</f>
        <v>17.315</v>
      </c>
      <c r="E4651" s="6" t="n">
        <f aca="false">Q!M15</f>
        <v>17.087</v>
      </c>
      <c r="F4651" s="6" t="n">
        <f aca="false">Sens!E4651*(1+Sens!F4652)</f>
        <v>16.9564585436519</v>
      </c>
      <c r="G4651" s="6" t="n">
        <f aca="false">Sens!F4651*(1+Sens!G4652)</f>
        <v>16.9206490624268</v>
      </c>
      <c r="H4651" s="6" t="n">
        <f aca="false">Sens!G4651*(1+Sens!H4652)</f>
        <v>16.9784519149849</v>
      </c>
      <c r="I4651" s="6" t="n">
        <f aca="false">Sens!H4651*(1+Sens!I4652)</f>
        <v>17.1303084701817</v>
      </c>
      <c r="J4651" s="6" t="n">
        <f aca="false">Sens!I4651*(1+Sens!J4652)</f>
        <v>17.3782189407267</v>
      </c>
      <c r="K4651" s="6" t="n">
        <f aca="false">Sens!J4651*(1+Sens!K4652)</f>
        <v>17.7257833195413</v>
      </c>
    </row>
    <row r="4652" customFormat="false" ht="15" hidden="false" customHeight="false" outlineLevel="0" collapsed="false">
      <c r="A4652" s="1" t="s">
        <v>782</v>
      </c>
      <c r="B4652" s="0" t="s">
        <v>126</v>
      </c>
      <c r="E4652" s="7" t="n">
        <f aca="false">Sens!E4651/Sens!D4651-1</f>
        <v>-0.0131677736066995</v>
      </c>
      <c r="F4652" s="7" t="n">
        <f aca="false">Sens!$E$4652+(glt_win-Sens!$E$4652)*MIN(1,1/n_conv)</f>
        <v>-0.00763981133891627</v>
      </c>
      <c r="G4652" s="7" t="n">
        <f aca="false">Sens!$E$4652+(glt_win-Sens!$E$4652)*MIN(1,2/n_conv)</f>
        <v>-0.00211184907113301</v>
      </c>
      <c r="H4652" s="7" t="n">
        <f aca="false">Sens!$E$4652+(glt_win-Sens!$E$4652)*MIN(1,3/n_conv)</f>
        <v>0.00341611319665024</v>
      </c>
      <c r="I4652" s="7" t="n">
        <f aca="false">Sens!$E$4652+(glt_win-Sens!$E$4652)*MIN(1,4/n_conv)</f>
        <v>0.00894407546443349</v>
      </c>
      <c r="J4652" s="7" t="n">
        <f aca="false">Sens!$E$4652+(glt_win-Sens!$E$4652)*MIN(1,5/n_conv)</f>
        <v>0.0144720377322168</v>
      </c>
      <c r="K4652" s="7" t="n">
        <f aca="false">Sens!$E$4652+(glt_win-Sens!$E$4652)*MIN(1,6/n_conv)</f>
        <v>0.02</v>
      </c>
    </row>
    <row r="4653" customFormat="false" ht="15" hidden="false" customHeight="false" outlineLevel="0" collapsed="false">
      <c r="A4653" s="0" t="s">
        <v>640</v>
      </c>
      <c r="B4653" s="0" t="s">
        <v>95</v>
      </c>
      <c r="D4653" s="6" t="n">
        <f aca="false">Sens!D4647+Sens!D4649+Sens!D4651</f>
        <v>62.941</v>
      </c>
      <c r="E4653" s="6" t="n">
        <f aca="false">Sens!E4647+Sens!E4649+Sens!E4651</f>
        <v>63.712</v>
      </c>
      <c r="F4653" s="6" t="n">
        <f aca="false">Sens!F4647+Sens!F4649+Sens!F4651</f>
        <v>65.1415764563129</v>
      </c>
      <c r="G4653" s="6" t="n">
        <f aca="false">Sens!G4647+Sens!G4649+Sens!G4651</f>
        <v>67.1253610780702</v>
      </c>
      <c r="H4653" s="6" t="n">
        <f aca="false">Sens!H4647+Sens!H4649+Sens!H4651</f>
        <v>69.5768050148776</v>
      </c>
      <c r="I4653" s="6" t="n">
        <f aca="false">Sens!I4647+Sens!I4649+Sens!I4651</f>
        <v>72.4233188088189</v>
      </c>
      <c r="J4653" s="6" t="n">
        <f aca="false">Sens!J4647+Sens!J4649+Sens!J4651</f>
        <v>75.6044096678567</v>
      </c>
      <c r="K4653" s="6" t="n">
        <f aca="false">Sens!K4647+Sens!K4649+Sens!K4651</f>
        <v>79.0714397009747</v>
      </c>
    </row>
    <row r="4654" customFormat="false" ht="15" hidden="false" customHeight="false" outlineLevel="0" collapsed="false">
      <c r="A4654" s="1" t="s">
        <v>795</v>
      </c>
      <c r="B4654" s="0" t="s">
        <v>95</v>
      </c>
      <c r="D4654" s="6" t="n">
        <f aca="false">Sens!D4646+Sens!D4653</f>
        <v>281.724</v>
      </c>
      <c r="E4654" s="6" t="n">
        <f aca="false">Sens!E4646+Sens!E4653</f>
        <v>331.839</v>
      </c>
      <c r="F4654" s="6" t="n">
        <f aca="false">Sens!F4646+Sens!F4653</f>
        <v>392.755009521169</v>
      </c>
      <c r="G4654" s="6" t="n">
        <f aca="false">Sens!G4646+Sens!G4653</f>
        <v>454.145226751344</v>
      </c>
      <c r="H4654" s="6" t="n">
        <f aca="false">Sens!H4646+Sens!H4653</f>
        <v>511.583125886071</v>
      </c>
      <c r="I4654" s="6" t="n">
        <f aca="false">Sens!I4646+Sens!I4653</f>
        <v>575.462044036803</v>
      </c>
      <c r="J4654" s="6" t="n">
        <f aca="false">Sens!J4646+Sens!J4653</f>
        <v>637.195942759249</v>
      </c>
      <c r="K4654" s="6" t="n">
        <f aca="false">Sens!K4646+Sens!K4653</f>
        <v>695.724043679644</v>
      </c>
    </row>
    <row r="4655" customFormat="false" ht="15" hidden="false" customHeight="false" outlineLevel="0" collapsed="false">
      <c r="A4655" s="22" t="s">
        <v>796</v>
      </c>
      <c r="B4655" s="28" t="s">
        <v>95</v>
      </c>
      <c r="C4655" s="28"/>
      <c r="D4655" s="23" t="n">
        <f aca="false">(Sens!D4634+Sens!D4639+Sens!D4640+Sens!D4642+Sens!D4644-Sens!D4646)+(Sens!D4647+Sens!D4649+Sens!D4651-Sens!D4653)+(Sens!D4646-Q!L5)+(Sens!D4653-Q!L12)+(Sens!D4634-Q!L6)+(Sens!D4639-Q!L7)</f>
        <v>0</v>
      </c>
      <c r="E4655" s="23" t="n">
        <f aca="false">(Sens!E4634+Sens!E4639+Sens!E4640+Sens!E4642+Sens!E4644-Sens!E4646)+(Sens!E4647+Sens!E4649+Sens!E4651-Sens!E4653)+(Sens!E4646-Q!M5)+(Sens!E4653-Q!M12)+(Sens!E4634-Q!M6)+(Sens!E4639-Q!M7)</f>
        <v>0</v>
      </c>
      <c r="F4655" s="23" t="n">
        <f aca="false">(Sens!F4634+Sens!F4639+Sens!F4640+Sens!F4642+Sens!F4644-Sens!F4646)+(Sens!F4647+Sens!F4649+Sens!F4651-Sens!F4653)</f>
        <v>0</v>
      </c>
      <c r="G4655" s="23" t="n">
        <f aca="false">(Sens!G4634+Sens!G4639+Sens!G4640+Sens!G4642+Sens!G4644-Sens!G4646)+(Sens!G4647+Sens!G4649+Sens!G4651-Sens!G4653)</f>
        <v>0</v>
      </c>
      <c r="H4655" s="23" t="n">
        <f aca="false">(Sens!H4634+Sens!H4639+Sens!H4640+Sens!H4642+Sens!H4644-Sens!H4646)+(Sens!H4647+Sens!H4649+Sens!H4651-Sens!H4653)</f>
        <v>0</v>
      </c>
      <c r="I4655" s="23" t="n">
        <f aca="false">(Sens!I4634+Sens!I4639+Sens!I4640+Sens!I4642+Sens!I4644-Sens!I4646)+(Sens!I4647+Sens!I4649+Sens!I4651-Sens!I4653)</f>
        <v>0</v>
      </c>
      <c r="J4655" s="23" t="n">
        <f aca="false">(Sens!J4634+Sens!J4639+Sens!J4640+Sens!J4642+Sens!J4644-Sens!J4646)+(Sens!J4647+Sens!J4649+Sens!J4651-Sens!J4653)</f>
        <v>0</v>
      </c>
      <c r="K4655" s="23" t="n">
        <f aca="false">(Sens!K4634+Sens!K4639+Sens!K4640+Sens!K4642+Sens!K4644-Sens!K4646)+(Sens!K4647+Sens!K4649+Sens!K4651-Sens!K4653)</f>
        <v>0</v>
      </c>
    </row>
    <row r="4656" customFormat="false" ht="17.15" hidden="false" customHeight="false" outlineLevel="0" collapsed="false">
      <c r="A4656" s="3" t="s">
        <v>1246</v>
      </c>
    </row>
    <row r="4657" customFormat="false" ht="15" hidden="false" customHeight="false" outlineLevel="0" collapsed="false">
      <c r="A4657" s="4" t="s">
        <v>43</v>
      </c>
      <c r="B4657" s="4" t="s">
        <v>63</v>
      </c>
      <c r="C4657" s="19" t="s">
        <v>710</v>
      </c>
      <c r="D4657" s="19" t="s">
        <v>711</v>
      </c>
      <c r="E4657" s="19" t="s">
        <v>712</v>
      </c>
      <c r="F4657" s="19" t="s">
        <v>713</v>
      </c>
      <c r="G4657" s="19" t="s">
        <v>714</v>
      </c>
      <c r="H4657" s="19" t="s">
        <v>715</v>
      </c>
      <c r="I4657" s="19" t="s">
        <v>716</v>
      </c>
      <c r="J4657" s="19" t="s">
        <v>717</v>
      </c>
      <c r="K4657" s="19" t="s">
        <v>718</v>
      </c>
      <c r="L4657" s="4" t="s">
        <v>47</v>
      </c>
    </row>
    <row r="4658" customFormat="false" ht="15" hidden="false" customHeight="false" outlineLevel="0" collapsed="false">
      <c r="A4658" s="0" t="s">
        <v>783</v>
      </c>
      <c r="B4658" s="0" t="s">
        <v>95</v>
      </c>
      <c r="D4658" s="6" t="n">
        <f aca="false">Sens!D4634</f>
        <v>72.61</v>
      </c>
      <c r="E4658" s="6" t="n">
        <f aca="false">Sens!E4634</f>
        <v>101.938</v>
      </c>
      <c r="F4658" s="6" t="n">
        <f aca="false">Sens!F4634</f>
        <v>140.741861125673</v>
      </c>
      <c r="G4658" s="6" t="n">
        <f aca="false">Sens!G4634</f>
        <v>182.176709135845</v>
      </c>
      <c r="H4658" s="6" t="n">
        <f aca="false">Sens!H4634</f>
        <v>219.167638189678</v>
      </c>
      <c r="I4658" s="6" t="n">
        <f aca="false">Sens!I4634</f>
        <v>262.852370248498</v>
      </c>
      <c r="J4658" s="6" t="n">
        <f aca="false">Sens!J4634</f>
        <v>305.025635987223</v>
      </c>
      <c r="K4658" s="6" t="n">
        <f aca="false">Sens!K4634</f>
        <v>344.633534638493</v>
      </c>
    </row>
    <row r="4659" customFormat="false" ht="17.15" hidden="false" customHeight="false" outlineLevel="0" collapsed="false">
      <c r="A4659" s="0" t="s">
        <v>780</v>
      </c>
      <c r="B4659" s="0" t="s">
        <v>95</v>
      </c>
      <c r="D4659" s="6" t="n">
        <f aca="false">Sens!D4631</f>
        <v>12.9359794422418</v>
      </c>
      <c r="E4659" s="6" t="n">
        <f aca="false">Sens!E4631</f>
        <v>27.8095064661409</v>
      </c>
      <c r="F4659" s="6" t="n">
        <f aca="false">Sens!F4631</f>
        <v>50.6619113883066</v>
      </c>
      <c r="G4659" s="6" t="n">
        <f aca="false">Sens!G4631</f>
        <v>75.1482839325348</v>
      </c>
      <c r="H4659" s="6" t="n">
        <f aca="false">Sens!H4631</f>
        <v>94.895655604042</v>
      </c>
      <c r="I4659" s="6" t="n">
        <f aca="false">Sens!I4631</f>
        <v>121.918667866643</v>
      </c>
      <c r="J4659" s="6" t="n">
        <f aca="false">Sens!J4631</f>
        <v>149.006768672892</v>
      </c>
      <c r="K4659" s="6" t="n">
        <f aca="false">Sens!K4631</f>
        <v>176.133157939015</v>
      </c>
    </row>
    <row r="4660" customFormat="false" ht="17.15" hidden="false" customHeight="false" outlineLevel="0" collapsed="false">
      <c r="A4660" s="0" t="s">
        <v>807</v>
      </c>
      <c r="B4660" s="0" t="s">
        <v>95</v>
      </c>
      <c r="D4660" s="6" t="n">
        <f aca="false">Sens!D4632</f>
        <v>59.6740205577583</v>
      </c>
      <c r="E4660" s="6" t="n">
        <f aca="false">Sens!E4632</f>
        <v>74.1284935338591</v>
      </c>
      <c r="F4660" s="6" t="n">
        <f aca="false">Sens!F4632</f>
        <v>90.0799497373663</v>
      </c>
      <c r="G4660" s="6" t="n">
        <f aca="false">Sens!G4632</f>
        <v>107.02842520331</v>
      </c>
      <c r="H4660" s="6" t="n">
        <f aca="false">Sens!H4632</f>
        <v>124.271982585636</v>
      </c>
      <c r="I4660" s="6" t="n">
        <f aca="false">Sens!I4632</f>
        <v>140.933702381855</v>
      </c>
      <c r="J4660" s="6" t="n">
        <f aca="false">Sens!J4632</f>
        <v>156.018867314332</v>
      </c>
      <c r="K4660" s="6" t="n">
        <f aca="false">Sens!K4632</f>
        <v>168.500376699478</v>
      </c>
    </row>
    <row r="4661" customFormat="false" ht="15" hidden="false" customHeight="false" outlineLevel="0" collapsed="false">
      <c r="A4661" s="0" t="s">
        <v>788</v>
      </c>
      <c r="B4661" s="0" t="s">
        <v>95</v>
      </c>
      <c r="D4661" s="6" t="n">
        <f aca="false">Sens!D4639</f>
        <v>84.605</v>
      </c>
      <c r="E4661" s="6" t="n">
        <f aca="false">Sens!E4639</f>
        <v>100.299</v>
      </c>
      <c r="F4661" s="6" t="n">
        <f aca="false">Sens!F4639</f>
        <v>116.64238776686</v>
      </c>
      <c r="G4661" s="6" t="n">
        <f aca="false">Sens!G4639</f>
        <v>130.294168448684</v>
      </c>
      <c r="H4661" s="6" t="n">
        <f aca="false">Sens!H4639</f>
        <v>144.027359388781</v>
      </c>
      <c r="I4661" s="6" t="n">
        <f aca="false">Sens!I4639</f>
        <v>157.209028071957</v>
      </c>
      <c r="J4661" s="6" t="n">
        <f aca="false">Sens!J4639</f>
        <v>169.557702785465</v>
      </c>
      <c r="K4661" s="6" t="n">
        <f aca="false">Sens!K4639</f>
        <v>181.152991980448</v>
      </c>
    </row>
    <row r="4662" customFormat="false" ht="17.15" hidden="false" customHeight="false" outlineLevel="0" collapsed="false">
      <c r="A4662" s="0" t="s">
        <v>808</v>
      </c>
      <c r="B4662" s="0" t="s">
        <v>95</v>
      </c>
      <c r="D4662" s="6" t="n">
        <f aca="false">Sens!D4637</f>
        <v>83.705</v>
      </c>
      <c r="E4662" s="6" t="n">
        <f aca="false">Sens!E4637</f>
        <v>95.049</v>
      </c>
      <c r="F4662" s="6" t="n">
        <f aca="false">Sens!F4637</f>
        <v>106.89238776686</v>
      </c>
      <c r="G4662" s="6" t="n">
        <f aca="false">Sens!G4637</f>
        <v>119.044168448684</v>
      </c>
      <c r="H4662" s="6" t="n">
        <f aca="false">Sens!H4637</f>
        <v>131.277359388781</v>
      </c>
      <c r="I4662" s="6" t="n">
        <f aca="false">Sens!I4637</f>
        <v>143.334028071957</v>
      </c>
      <c r="J4662" s="6" t="n">
        <f aca="false">Sens!J4637</f>
        <v>154.932702785465</v>
      </c>
      <c r="K4662" s="6" t="n">
        <f aca="false">Sens!K4637</f>
        <v>165.777991980448</v>
      </c>
    </row>
    <row r="4663" customFormat="false" ht="17.15" hidden="false" customHeight="false" outlineLevel="0" collapsed="false">
      <c r="A4663" s="0" t="s">
        <v>809</v>
      </c>
      <c r="B4663" s="0" t="s">
        <v>95</v>
      </c>
      <c r="D4663" s="6" t="n">
        <f aca="false">Sens!D4636</f>
        <v>0.9</v>
      </c>
      <c r="E4663" s="6" t="n">
        <f aca="false">Sens!E4636</f>
        <v>5.25</v>
      </c>
      <c r="F4663" s="6" t="n">
        <f aca="false">Sens!F4636</f>
        <v>9.75</v>
      </c>
      <c r="G4663" s="6" t="n">
        <f aca="false">Sens!G4636</f>
        <v>11.25</v>
      </c>
      <c r="H4663" s="6" t="n">
        <f aca="false">Sens!H4636</f>
        <v>12.75</v>
      </c>
      <c r="I4663" s="6" t="n">
        <f aca="false">Sens!I4636</f>
        <v>13.875</v>
      </c>
      <c r="J4663" s="6" t="n">
        <f aca="false">Sens!J4636</f>
        <v>14.625</v>
      </c>
      <c r="K4663" s="6" t="n">
        <f aca="false">Sens!K4636</f>
        <v>15.375</v>
      </c>
    </row>
    <row r="4664" customFormat="false" ht="15" hidden="false" customHeight="false" outlineLevel="0" collapsed="false">
      <c r="A4664" s="0" t="s">
        <v>789</v>
      </c>
      <c r="B4664" s="0" t="s">
        <v>95</v>
      </c>
      <c r="D4664" s="6" t="n">
        <f aca="false">Sens!D4640</f>
        <v>35.391</v>
      </c>
      <c r="E4664" s="6" t="n">
        <f aca="false">Sens!E4640</f>
        <v>37.285</v>
      </c>
      <c r="F4664" s="6" t="n">
        <f aca="false">Sens!F4640</f>
        <v>39.0720834331704</v>
      </c>
      <c r="G4664" s="6" t="n">
        <f aca="false">Sens!G4640</f>
        <v>40.726562953769</v>
      </c>
      <c r="H4664" s="6" t="n">
        <f aca="false">Sens!H4640</f>
        <v>42.2235987259198</v>
      </c>
      <c r="I4664" s="6" t="n">
        <f aca="false">Sens!I4640</f>
        <v>43.5397988077414</v>
      </c>
      <c r="J4664" s="6" t="n">
        <f aca="false">Sens!J4640</f>
        <v>44.653811225693</v>
      </c>
      <c r="K4664" s="6" t="n">
        <f aca="false">Sens!K4640</f>
        <v>45.5468874502068</v>
      </c>
    </row>
    <row r="4665" customFormat="false" ht="15" hidden="false" customHeight="false" outlineLevel="0" collapsed="false">
      <c r="A4665" s="0" t="s">
        <v>790</v>
      </c>
      <c r="B4665" s="0" t="s">
        <v>95</v>
      </c>
      <c r="D4665" s="6" t="n">
        <f aca="false">Sens!D4642</f>
        <v>18.417</v>
      </c>
      <c r="E4665" s="6" t="n">
        <f aca="false">Sens!E4642</f>
        <v>20.345</v>
      </c>
      <c r="F4665" s="6" t="n">
        <f aca="false">Sens!F4642</f>
        <v>22.3572203267814</v>
      </c>
      <c r="G4665" s="6" t="n">
        <f aca="false">Sens!G4642</f>
        <v>24.4392124437232</v>
      </c>
      <c r="H4665" s="6" t="n">
        <f aca="false">Sens!H4642</f>
        <v>26.5738052080665</v>
      </c>
      <c r="I4665" s="6" t="n">
        <f aca="false">Sens!I4642</f>
        <v>28.7412169166967</v>
      </c>
      <c r="J4665" s="6" t="n">
        <f aca="false">Sens!J4642</f>
        <v>30.9192545395413</v>
      </c>
      <c r="K4665" s="6" t="n">
        <f aca="false">Sens!K4642</f>
        <v>33.0836023573092</v>
      </c>
    </row>
    <row r="4666" customFormat="false" ht="15" hidden="false" customHeight="false" outlineLevel="0" collapsed="false">
      <c r="A4666" s="0" t="s">
        <v>791</v>
      </c>
      <c r="B4666" s="0" t="s">
        <v>95</v>
      </c>
      <c r="D4666" s="6" t="n">
        <f aca="false">Sens!D4644</f>
        <v>7.76</v>
      </c>
      <c r="E4666" s="6" t="n">
        <f aca="false">Sens!E4644</f>
        <v>8.26</v>
      </c>
      <c r="F4666" s="6" t="n">
        <f aca="false">Sens!F4644</f>
        <v>8.79988041237113</v>
      </c>
      <c r="G4666" s="6" t="n">
        <f aca="false">Sens!G4644</f>
        <v>9.38321269125306</v>
      </c>
      <c r="H4666" s="6" t="n">
        <f aca="false">Sens!H4644</f>
        <v>10.0139193587476</v>
      </c>
      <c r="I4666" s="6" t="n">
        <f aca="false">Sens!I4644</f>
        <v>10.6963111830911</v>
      </c>
      <c r="J4666" s="6" t="n">
        <f aca="false">Sens!J4644</f>
        <v>11.4351285534696</v>
      </c>
      <c r="K4666" s="6" t="n">
        <f aca="false">Sens!K4644</f>
        <v>12.2355875522124</v>
      </c>
    </row>
    <row r="4667" customFormat="false" ht="15" hidden="false" customHeight="false" outlineLevel="0" collapsed="false">
      <c r="A4667" s="0" t="s">
        <v>626</v>
      </c>
      <c r="B4667" s="0" t="s">
        <v>95</v>
      </c>
      <c r="D4667" s="6" t="n">
        <f aca="false">Sens!D4646</f>
        <v>218.783</v>
      </c>
      <c r="E4667" s="6" t="n">
        <f aca="false">Sens!E4646</f>
        <v>268.127</v>
      </c>
      <c r="F4667" s="6" t="n">
        <f aca="false">Sens!F4646</f>
        <v>327.613433064856</v>
      </c>
      <c r="G4667" s="6" t="n">
        <f aca="false">Sens!G4646</f>
        <v>387.019865673274</v>
      </c>
      <c r="H4667" s="6" t="n">
        <f aca="false">Sens!H4646</f>
        <v>442.006320871193</v>
      </c>
      <c r="I4667" s="6" t="n">
        <f aca="false">Sens!I4646</f>
        <v>503.038725227984</v>
      </c>
      <c r="J4667" s="6" t="n">
        <f aca="false">Sens!J4646</f>
        <v>561.591533091392</v>
      </c>
      <c r="K4667" s="6" t="n">
        <f aca="false">Sens!K4646</f>
        <v>616.652603978669</v>
      </c>
    </row>
    <row r="4668" customFormat="false" ht="15" hidden="false" customHeight="false" outlineLevel="0" collapsed="false">
      <c r="A4668" s="0" t="s">
        <v>792</v>
      </c>
      <c r="B4668" s="0" t="s">
        <v>95</v>
      </c>
      <c r="D4668" s="6" t="n">
        <f aca="false">Sens!D4647</f>
        <v>22.171</v>
      </c>
      <c r="E4668" s="6" t="n">
        <f aca="false">Sens!E4647</f>
        <v>24.835</v>
      </c>
      <c r="F4668" s="6" t="n">
        <f aca="false">Sens!F4647</f>
        <v>27.6114901218559</v>
      </c>
      <c r="G4668" s="6" t="n">
        <f aca="false">Sens!G4647</f>
        <v>30.4675667338515</v>
      </c>
      <c r="H4668" s="6" t="n">
        <f aca="false">Sens!H4647</f>
        <v>33.3643766955789</v>
      </c>
      <c r="I4668" s="6" t="n">
        <f aca="false">Sens!I4647</f>
        <v>36.2577016533691</v>
      </c>
      <c r="J4668" s="6" t="n">
        <f aca="false">Sens!J4647</f>
        <v>39.0988367952171</v>
      </c>
      <c r="K4668" s="6" t="n">
        <f aca="false">Sens!K4647</f>
        <v>41.8357553708823</v>
      </c>
    </row>
    <row r="4669" customFormat="false" ht="15" hidden="false" customHeight="false" outlineLevel="0" collapsed="false">
      <c r="A4669" s="0" t="s">
        <v>793</v>
      </c>
      <c r="B4669" s="0" t="s">
        <v>95</v>
      </c>
      <c r="D4669" s="6" t="n">
        <f aca="false">Sens!D4649</f>
        <v>23.455</v>
      </c>
      <c r="E4669" s="6" t="n">
        <f aca="false">Sens!E4649</f>
        <v>21.79</v>
      </c>
      <c r="F4669" s="6" t="n">
        <f aca="false">Sens!F4649</f>
        <v>20.5736277908051</v>
      </c>
      <c r="G4669" s="6" t="n">
        <f aca="false">Sens!G4649</f>
        <v>19.7371452817919</v>
      </c>
      <c r="H4669" s="6" t="n">
        <f aca="false">Sens!H4649</f>
        <v>19.2339764043138</v>
      </c>
      <c r="I4669" s="6" t="n">
        <f aca="false">Sens!I4649</f>
        <v>19.0353086852681</v>
      </c>
      <c r="J4669" s="6" t="n">
        <f aca="false">Sens!J4649</f>
        <v>19.1273539319129</v>
      </c>
      <c r="K4669" s="6" t="n">
        <f aca="false">Sens!K4649</f>
        <v>19.5099010105511</v>
      </c>
    </row>
    <row r="4670" customFormat="false" ht="15" hidden="false" customHeight="false" outlineLevel="0" collapsed="false">
      <c r="A4670" s="0" t="s">
        <v>794</v>
      </c>
      <c r="B4670" s="0" t="s">
        <v>95</v>
      </c>
      <c r="D4670" s="6" t="n">
        <f aca="false">Sens!D4651</f>
        <v>17.315</v>
      </c>
      <c r="E4670" s="6" t="n">
        <f aca="false">Sens!E4651</f>
        <v>17.087</v>
      </c>
      <c r="F4670" s="6" t="n">
        <f aca="false">Sens!F4651</f>
        <v>16.9564585436519</v>
      </c>
      <c r="G4670" s="6" t="n">
        <f aca="false">Sens!G4651</f>
        <v>16.9206490624268</v>
      </c>
      <c r="H4670" s="6" t="n">
        <f aca="false">Sens!H4651</f>
        <v>16.9784519149849</v>
      </c>
      <c r="I4670" s="6" t="n">
        <f aca="false">Sens!I4651</f>
        <v>17.1303084701817</v>
      </c>
      <c r="J4670" s="6" t="n">
        <f aca="false">Sens!J4651</f>
        <v>17.3782189407267</v>
      </c>
      <c r="K4670" s="6" t="n">
        <f aca="false">Sens!K4651</f>
        <v>17.7257833195413</v>
      </c>
    </row>
    <row r="4671" customFormat="false" ht="15" hidden="false" customHeight="false" outlineLevel="0" collapsed="false">
      <c r="A4671" s="0" t="s">
        <v>640</v>
      </c>
      <c r="B4671" s="0" t="s">
        <v>95</v>
      </c>
      <c r="D4671" s="6" t="n">
        <f aca="false">Sens!D4653</f>
        <v>62.941</v>
      </c>
      <c r="E4671" s="6" t="n">
        <f aca="false">Sens!E4653</f>
        <v>63.712</v>
      </c>
      <c r="F4671" s="6" t="n">
        <f aca="false">Sens!F4653</f>
        <v>65.1415764563129</v>
      </c>
      <c r="G4671" s="6" t="n">
        <f aca="false">Sens!G4653</f>
        <v>67.1253610780702</v>
      </c>
      <c r="H4671" s="6" t="n">
        <f aca="false">Sens!H4653</f>
        <v>69.5768050148776</v>
      </c>
      <c r="I4671" s="6" t="n">
        <f aca="false">Sens!I4653</f>
        <v>72.4233188088189</v>
      </c>
      <c r="J4671" s="6" t="n">
        <f aca="false">Sens!J4653</f>
        <v>75.6044096678567</v>
      </c>
      <c r="K4671" s="6" t="n">
        <f aca="false">Sens!K4653</f>
        <v>79.0714397009747</v>
      </c>
    </row>
    <row r="4672" customFormat="false" ht="15" hidden="false" customHeight="false" outlineLevel="0" collapsed="false">
      <c r="A4672" s="1" t="s">
        <v>810</v>
      </c>
      <c r="B4672" s="0" t="s">
        <v>95</v>
      </c>
      <c r="D4672" s="6" t="n">
        <f aca="false">Sens!D4654</f>
        <v>281.724</v>
      </c>
      <c r="E4672" s="6" t="n">
        <f aca="false">Sens!E4654</f>
        <v>331.839</v>
      </c>
      <c r="F4672" s="6" t="n">
        <f aca="false">Sens!F4654</f>
        <v>392.755009521169</v>
      </c>
      <c r="G4672" s="6" t="n">
        <f aca="false">Sens!G4654</f>
        <v>454.145226751344</v>
      </c>
      <c r="H4672" s="6" t="n">
        <f aca="false">Sens!H4654</f>
        <v>511.583125886071</v>
      </c>
      <c r="I4672" s="6" t="n">
        <f aca="false">Sens!I4654</f>
        <v>575.462044036803</v>
      </c>
      <c r="J4672" s="6" t="n">
        <f aca="false">Sens!J4654</f>
        <v>637.195942759249</v>
      </c>
      <c r="K4672" s="6" t="n">
        <f aca="false">Sens!K4654</f>
        <v>695.724043679644</v>
      </c>
    </row>
    <row r="4673" customFormat="false" ht="15" hidden="false" customHeight="false" outlineLevel="0" collapsed="false">
      <c r="A4673" s="1" t="s">
        <v>811</v>
      </c>
      <c r="B4673" s="0" t="s">
        <v>126</v>
      </c>
      <c r="E4673" s="7" t="n">
        <f aca="false">Sens!E4672/Sens!D4672-1</f>
        <v>0.177886867998467</v>
      </c>
      <c r="F4673" s="7" t="n">
        <f aca="false">Sens!F4672/Sens!E4672-1</f>
        <v>0.183570977254538</v>
      </c>
      <c r="G4673" s="7" t="n">
        <f aca="false">Sens!G4672/Sens!F4672-1</f>
        <v>0.156306643434084</v>
      </c>
      <c r="H4673" s="7" t="n">
        <f aca="false">Sens!H4672/Sens!G4672-1</f>
        <v>0.12647473924938</v>
      </c>
      <c r="I4673" s="7" t="n">
        <f aca="false">Sens!I4672/Sens!H4672-1</f>
        <v>0.12486517814694</v>
      </c>
      <c r="J4673" s="7" t="n">
        <f aca="false">Sens!J4672/Sens!I4672-1</f>
        <v>0.107277099093086</v>
      </c>
      <c r="K4673" s="7" t="n">
        <f aca="false">Sens!K4672/Sens!J4672-1</f>
        <v>0.0918525950855098</v>
      </c>
    </row>
    <row r="4674" customFormat="false" ht="17.15" hidden="false" customHeight="false" outlineLevel="0" collapsed="false">
      <c r="A4674" s="22" t="s">
        <v>812</v>
      </c>
      <c r="B4674" s="28" t="s">
        <v>95</v>
      </c>
      <c r="C4674" s="28"/>
      <c r="D4674" s="23" t="n">
        <f aca="false">(Sens!D4667+Sens!D4671-Sens!D4672)+(Sens!D4659+Sens!D4660-Sens!D4658)+(Sens!D4662+Sens!D4663-Sens!D4661)+(Sens!D4672-Q!L18)</f>
        <v>0</v>
      </c>
      <c r="E4674" s="23" t="n">
        <f aca="false">(Sens!E4667+Sens!E4671-Sens!E4672)+(Sens!E4659+Sens!E4660-Sens!E4658)+(Sens!E4662+Sens!E4663-Sens!E4661)+(Sens!E4672-Q!M18)</f>
        <v>0</v>
      </c>
      <c r="F4674" s="23" t="n">
        <f aca="false">(Sens!F4667+Sens!F4671-Sens!F4672)+(Sens!F4659+Sens!F4660-Sens!F4658)+(Sens!F4662+Sens!F4663-Sens!F4661)</f>
        <v>0</v>
      </c>
      <c r="G4674" s="23" t="n">
        <f aca="false">(Sens!G4667+Sens!G4671-Sens!G4672)+(Sens!G4659+Sens!G4660-Sens!G4658)+(Sens!G4662+Sens!G4663-Sens!G4661)</f>
        <v>0</v>
      </c>
      <c r="H4674" s="23" t="n">
        <f aca="false">(Sens!H4667+Sens!H4671-Sens!H4672)+(Sens!H4659+Sens!H4660-Sens!H4658)+(Sens!H4662+Sens!H4663-Sens!H4661)</f>
        <v>0</v>
      </c>
      <c r="I4674" s="23" t="n">
        <f aca="false">(Sens!I4667+Sens!I4671-Sens!I4672)+(Sens!I4659+Sens!I4660-Sens!I4658)+(Sens!I4662+Sens!I4663-Sens!I4661)</f>
        <v>0</v>
      </c>
      <c r="J4674" s="23" t="n">
        <f aca="false">(Sens!J4667+Sens!J4671-Sens!J4672)+(Sens!J4659+Sens!J4660-Sens!J4658)+(Sens!J4662+Sens!J4663-Sens!J4661)</f>
        <v>0</v>
      </c>
      <c r="K4674" s="23" t="n">
        <f aca="false">(Sens!K4667+Sens!K4671-Sens!K4672)+(Sens!K4659+Sens!K4660-Sens!K4658)+(Sens!K4662+Sens!K4663-Sens!K4661)</f>
        <v>0</v>
      </c>
    </row>
    <row r="4675" customFormat="false" ht="17.15" hidden="false" customHeight="false" outlineLevel="0" collapsed="false">
      <c r="A4675" s="0" t="s">
        <v>813</v>
      </c>
      <c r="B4675" s="0" t="s">
        <v>126</v>
      </c>
      <c r="E4675" s="7" t="n">
        <f aca="false">(Q!M21+Sens!E4612+Sens!E4613+Sens!E4614+Sens!E4627-Sens!E4610)/(Q!M5-Sens!E4610)</f>
        <v>0.570957350878296</v>
      </c>
      <c r="F4675" s="7" t="n">
        <f aca="false">Sens!$E$4675+dm_seg</f>
        <v>0.570957350878296</v>
      </c>
      <c r="G4675" s="7" t="n">
        <f aca="false">Sens!$E$4675+dm_seg</f>
        <v>0.570957350878296</v>
      </c>
      <c r="H4675" s="7" t="n">
        <f aca="false">Sens!$E$4675+dm_seg</f>
        <v>0.570957350878296</v>
      </c>
      <c r="I4675" s="7" t="n">
        <f aca="false">Sens!$E$4675+dm_seg</f>
        <v>0.570957350878296</v>
      </c>
      <c r="J4675" s="7" t="n">
        <f aca="false">Sens!$E$4675+dm_seg</f>
        <v>0.570957350878296</v>
      </c>
      <c r="K4675" s="7" t="n">
        <f aca="false">Sens!$E$4675+dm_seg</f>
        <v>0.570957350878296</v>
      </c>
      <c r="L4675" s="11" t="s">
        <v>814</v>
      </c>
    </row>
    <row r="4676" customFormat="false" ht="17.15" hidden="false" customHeight="false" outlineLevel="0" collapsed="false">
      <c r="A4676" s="0" t="s">
        <v>654</v>
      </c>
      <c r="B4676" s="0" t="s">
        <v>95</v>
      </c>
      <c r="D4676" s="6" t="n">
        <f aca="false">Q!L21</f>
        <v>110.814</v>
      </c>
      <c r="E4676" s="6" t="n">
        <f aca="false">Q!M21</f>
        <v>136.365</v>
      </c>
      <c r="F4676" s="6" t="n">
        <f aca="false">Sens!F4675*(Sens!F4646-Sens!F4610)+Sens!F4610-(Sens!F4612+Sens!F4613+Sens!F4614)-Sens!F4627</f>
        <v>151.892636694318</v>
      </c>
      <c r="G4676" s="6" t="n">
        <f aca="false">Sens!G4675*(Sens!G4646-Sens!G4610)+Sens!G4610-(Sens!G4612+Sens!G4613+Sens!G4614)-Sens!G4627</f>
        <v>158.987004861699</v>
      </c>
      <c r="H4676" s="6" t="n">
        <f aca="false">Sens!H4675*(Sens!H4646-Sens!H4610)+Sens!H4610-(Sens!H4612+Sens!H4613+Sens!H4614)-Sens!H4627</f>
        <v>160.421809258413</v>
      </c>
      <c r="I4676" s="6" t="n">
        <f aca="false">Sens!I4675*(Sens!I4646-Sens!I4610)+Sens!I4610-(Sens!I4612+Sens!I4613+Sens!I4614)-Sens!I4627</f>
        <v>167.38005175461</v>
      </c>
      <c r="J4676" s="6" t="n">
        <f aca="false">Sens!J4675*(Sens!J4646-Sens!J4610)+Sens!J4610-(Sens!J4612+Sens!J4613+Sens!J4614)-Sens!J4627</f>
        <v>171.962135541299</v>
      </c>
      <c r="K4676" s="6" t="n">
        <f aca="false">Sens!K4675*(Sens!K4646-Sens!K4610)+Sens!K4610-(Sens!K4612+Sens!K4613+Sens!K4614)-Sens!K4627</f>
        <v>173.269988526994</v>
      </c>
      <c r="L4676" s="1" t="s">
        <v>815</v>
      </c>
    </row>
    <row r="4677" customFormat="false" ht="17.15" hidden="false" customHeight="false" outlineLevel="0" collapsed="false">
      <c r="A4677" s="0" t="s">
        <v>816</v>
      </c>
      <c r="B4677" s="0" t="s">
        <v>126</v>
      </c>
      <c r="E4677" s="7" t="n">
        <f aca="false">Q!M22/Q!M12</f>
        <v>0.296207935710698</v>
      </c>
      <c r="F4677" s="7" t="n">
        <f aca="false">Sens!$E$4677+dm_seg</f>
        <v>0.296207935710698</v>
      </c>
      <c r="G4677" s="7" t="n">
        <f aca="false">Sens!$E$4677+dm_seg</f>
        <v>0.296207935710698</v>
      </c>
      <c r="H4677" s="7" t="n">
        <f aca="false">Sens!$E$4677+dm_seg</f>
        <v>0.296207935710698</v>
      </c>
      <c r="I4677" s="7" t="n">
        <f aca="false">Sens!$E$4677+dm_seg</f>
        <v>0.296207935710698</v>
      </c>
      <c r="J4677" s="7" t="n">
        <f aca="false">Sens!$E$4677+dm_seg</f>
        <v>0.296207935710698</v>
      </c>
      <c r="K4677" s="7" t="n">
        <f aca="false">Sens!$E$4677+dm_seg</f>
        <v>0.296207935710698</v>
      </c>
      <c r="L4677" s="11" t="s">
        <v>817</v>
      </c>
    </row>
    <row r="4678" customFormat="false" ht="17.15" hidden="false" customHeight="false" outlineLevel="0" collapsed="false">
      <c r="A4678" s="0" t="s">
        <v>656</v>
      </c>
      <c r="B4678" s="0" t="s">
        <v>95</v>
      </c>
      <c r="D4678" s="6" t="n">
        <f aca="false">Q!L22</f>
        <v>17.714</v>
      </c>
      <c r="E4678" s="6" t="n">
        <f aca="false">Q!M22</f>
        <v>18.872</v>
      </c>
      <c r="F4678" s="6" t="n">
        <f aca="false">Sens!F4653*Sens!F4677</f>
        <v>19.2954518910651</v>
      </c>
      <c r="G4678" s="6" t="n">
        <f aca="false">Sens!G4653*Sens!G4677</f>
        <v>19.8830646387704</v>
      </c>
      <c r="H4678" s="6" t="n">
        <f aca="false">Sens!H4653*Sens!H4677</f>
        <v>20.6092017868026</v>
      </c>
      <c r="I4678" s="6" t="n">
        <f aca="false">Sens!I4653*Sens!I4677</f>
        <v>21.452361761678</v>
      </c>
      <c r="J4678" s="6" t="n">
        <f aca="false">Sens!J4653*Sens!J4677</f>
        <v>22.3946261183418</v>
      </c>
      <c r="K4678" s="6" t="n">
        <f aca="false">Sens!K4653*Sens!K4677</f>
        <v>23.4215879274986</v>
      </c>
    </row>
    <row r="4679" customFormat="false" ht="15" hidden="false" customHeight="false" outlineLevel="0" collapsed="false">
      <c r="A4679" s="1" t="s">
        <v>818</v>
      </c>
      <c r="B4679" s="0" t="s">
        <v>95</v>
      </c>
      <c r="D4679" s="6" t="n">
        <f aca="false">Sens!D4676+Sens!D4678</f>
        <v>128.528</v>
      </c>
      <c r="E4679" s="6" t="n">
        <f aca="false">Sens!E4676+Sens!E4678</f>
        <v>155.237</v>
      </c>
      <c r="F4679" s="6" t="n">
        <f aca="false">Sens!F4676+Sens!F4678</f>
        <v>171.188088585383</v>
      </c>
      <c r="G4679" s="6" t="n">
        <f aca="false">Sens!G4676+Sens!G4678</f>
        <v>178.870069500469</v>
      </c>
      <c r="H4679" s="6" t="n">
        <f aca="false">Sens!H4676+Sens!H4678</f>
        <v>181.031011045216</v>
      </c>
      <c r="I4679" s="6" t="n">
        <f aca="false">Sens!I4676+Sens!I4678</f>
        <v>188.832413516288</v>
      </c>
      <c r="J4679" s="6" t="n">
        <f aca="false">Sens!J4676+Sens!J4678</f>
        <v>194.356761659641</v>
      </c>
      <c r="K4679" s="6" t="n">
        <f aca="false">Sens!K4676+Sens!K4678</f>
        <v>196.691576454493</v>
      </c>
    </row>
    <row r="4680" customFormat="false" ht="15" hidden="false" customHeight="false" outlineLevel="0" collapsed="false">
      <c r="A4680" s="22" t="s">
        <v>819</v>
      </c>
      <c r="B4680" s="28" t="s">
        <v>95</v>
      </c>
      <c r="C4680" s="28"/>
      <c r="D4680" s="23" t="n">
        <f aca="false">Sens!D4679-Q!L23</f>
        <v>0</v>
      </c>
      <c r="E4680" s="23" t="n">
        <f aca="false">Sens!E4679-Q!M23</f>
        <v>0</v>
      </c>
      <c r="F4680" s="28"/>
      <c r="G4680" s="28"/>
      <c r="H4680" s="28"/>
      <c r="I4680" s="28"/>
      <c r="J4680" s="28"/>
      <c r="K4680" s="28"/>
    </row>
    <row r="4681" customFormat="false" ht="15" hidden="false" customHeight="false" outlineLevel="0" collapsed="false">
      <c r="A4681" s="1" t="s">
        <v>820</v>
      </c>
      <c r="B4681" s="0" t="s">
        <v>126</v>
      </c>
      <c r="D4681" s="7" t="n">
        <f aca="false">Sens!D4679/Sens!D4672</f>
        <v>0.456219562408598</v>
      </c>
      <c r="E4681" s="7" t="n">
        <f aca="false">Sens!E4679/Sens!E4672</f>
        <v>0.467808184089272</v>
      </c>
      <c r="F4681" s="7" t="n">
        <f aca="false">Sens!F4679/Sens!F4672</f>
        <v>0.4358648125051</v>
      </c>
      <c r="G4681" s="7" t="n">
        <f aca="false">Sens!G4679/Sens!G4672</f>
        <v>0.393860947917449</v>
      </c>
      <c r="H4681" s="7" t="n">
        <f aca="false">Sens!H4679/Sens!H4672</f>
        <v>0.353864312337642</v>
      </c>
      <c r="I4681" s="7" t="n">
        <f aca="false">Sens!I4679/Sens!I4672</f>
        <v>0.328140518515607</v>
      </c>
      <c r="J4681" s="7" t="n">
        <f aca="false">Sens!J4679/Sens!J4672</f>
        <v>0.305018831127546</v>
      </c>
      <c r="K4681" s="7" t="n">
        <f aca="false">Sens!K4679/Sens!K4672</f>
        <v>0.282714933084967</v>
      </c>
    </row>
    <row r="4682" customFormat="false" ht="17.15" hidden="false" customHeight="false" outlineLevel="0" collapsed="false">
      <c r="A4682" s="1" t="s">
        <v>821</v>
      </c>
      <c r="B4682" s="0" t="s">
        <v>95</v>
      </c>
      <c r="E4682" s="6" t="n">
        <f aca="false">Sens!E4627</f>
        <v>16.3054059770833</v>
      </c>
      <c r="F4682" s="6" t="n">
        <f aca="false">Sens!F4627</f>
        <v>34.7592854558698</v>
      </c>
      <c r="G4682" s="6" t="n">
        <f aca="false">Sens!G4627</f>
        <v>60.5442332603396</v>
      </c>
      <c r="H4682" s="6" t="n">
        <f aca="false">Sens!H4627</f>
        <v>87.7798159931396</v>
      </c>
      <c r="I4682" s="6" t="n">
        <f aca="false">Sens!I4627</f>
        <v>116.034681741123</v>
      </c>
      <c r="J4682" s="6" t="n">
        <f aca="false">Sens!J4627</f>
        <v>145.261777958273</v>
      </c>
      <c r="K4682" s="6" t="n">
        <f aca="false">Sens!K4627</f>
        <v>175.77642263459</v>
      </c>
    </row>
    <row r="4683" customFormat="false" ht="17.15" hidden="false" customHeight="false" outlineLevel="0" collapsed="false">
      <c r="A4683" s="1" t="s">
        <v>822</v>
      </c>
      <c r="B4683" s="0" t="s">
        <v>95</v>
      </c>
      <c r="E4683" s="6" t="n">
        <f aca="false">Sens!E4703</f>
        <v>22.2285940229167</v>
      </c>
      <c r="F4683" s="6" t="n">
        <f aca="false">Sens!F4703</f>
        <v>23.5411693435813</v>
      </c>
      <c r="G4683" s="6" t="n">
        <f aca="false">Sens!G4703</f>
        <v>25.2348417662621</v>
      </c>
      <c r="H4683" s="6" t="n">
        <f aca="false">Sens!H4703</f>
        <v>27.2800089540448</v>
      </c>
      <c r="I4683" s="6" t="n">
        <f aca="false">Sens!I4703</f>
        <v>29.6255980898047</v>
      </c>
      <c r="J4683" s="6" t="n">
        <f aca="false">Sens!J4703</f>
        <v>32.2023796058616</v>
      </c>
      <c r="K4683" s="6" t="n">
        <f aca="false">Sens!K4703</f>
        <v>34.9277619194749</v>
      </c>
    </row>
    <row r="4684" customFormat="false" ht="17.15" hidden="false" customHeight="false" outlineLevel="0" collapsed="false">
      <c r="A4684" s="1" t="s">
        <v>823</v>
      </c>
      <c r="B4684" s="0" t="s">
        <v>95</v>
      </c>
      <c r="D4684" s="6" t="n">
        <f aca="false">Q!L27</f>
        <v>-4.901</v>
      </c>
      <c r="E4684" s="6" t="n">
        <f aca="false">Q!M27</f>
        <v>10.697</v>
      </c>
      <c r="F4684" s="6" t="n">
        <f aca="false">oie_f</f>
        <v>-0.4</v>
      </c>
      <c r="G4684" s="6" t="n">
        <f aca="false">oie_f</f>
        <v>-0.4</v>
      </c>
      <c r="H4684" s="6" t="n">
        <f aca="false">oie_f</f>
        <v>-0.4</v>
      </c>
      <c r="I4684" s="6" t="n">
        <f aca="false">oie_f</f>
        <v>-0.4</v>
      </c>
      <c r="J4684" s="6" t="n">
        <f aca="false">oie_f</f>
        <v>-0.4</v>
      </c>
      <c r="K4684" s="6" t="n">
        <f aca="false">oie_f</f>
        <v>-0.4</v>
      </c>
      <c r="L4684" s="11" t="s">
        <v>824</v>
      </c>
    </row>
    <row r="4685" customFormat="false" ht="15" hidden="false" customHeight="false" outlineLevel="0" collapsed="false">
      <c r="A4685" s="1" t="s">
        <v>666</v>
      </c>
      <c r="B4685" s="0" t="s">
        <v>95</v>
      </c>
      <c r="D4685" s="6" t="n">
        <f aca="false">Sens!D4679+Sens!D4684</f>
        <v>123.627</v>
      </c>
      <c r="E4685" s="6" t="n">
        <f aca="false">Sens!E4679+Sens!E4684</f>
        <v>165.934</v>
      </c>
      <c r="F4685" s="6" t="n">
        <f aca="false">Sens!F4679+Sens!F4684</f>
        <v>170.788088585383</v>
      </c>
      <c r="G4685" s="6" t="n">
        <f aca="false">Sens!G4679+Sens!G4684</f>
        <v>178.470069500469</v>
      </c>
      <c r="H4685" s="6" t="n">
        <f aca="false">Sens!H4679+Sens!H4684</f>
        <v>180.631011045216</v>
      </c>
      <c r="I4685" s="6" t="n">
        <f aca="false">Sens!I4679+Sens!I4684</f>
        <v>188.432413516288</v>
      </c>
      <c r="J4685" s="6" t="n">
        <f aca="false">Sens!J4679+Sens!J4684</f>
        <v>193.956761659641</v>
      </c>
      <c r="K4685" s="6" t="n">
        <f aca="false">Sens!K4679+Sens!K4684</f>
        <v>196.291576454493</v>
      </c>
    </row>
    <row r="4686" customFormat="false" ht="15" hidden="false" customHeight="false" outlineLevel="0" collapsed="false">
      <c r="A4686" s="1" t="s">
        <v>668</v>
      </c>
      <c r="B4686" s="0" t="s">
        <v>95</v>
      </c>
      <c r="D4686" s="6" t="n">
        <f aca="false">Q!L29</f>
        <v>21.795</v>
      </c>
      <c r="E4686" s="6" t="n">
        <f aca="false">Q!M29</f>
        <v>32.185</v>
      </c>
      <c r="F4686" s="6" t="n">
        <f aca="false">Sens!F4685*tax_f</f>
        <v>34.1576177170766</v>
      </c>
      <c r="G4686" s="6" t="n">
        <f aca="false">Sens!G4685*tax_f</f>
        <v>35.6940139000938</v>
      </c>
      <c r="H4686" s="6" t="n">
        <f aca="false">Sens!H4685*tax_f</f>
        <v>36.1262022090431</v>
      </c>
      <c r="I4686" s="6" t="n">
        <f aca="false">Sens!I4685*tax_f</f>
        <v>37.6864827032576</v>
      </c>
      <c r="J4686" s="6" t="n">
        <f aca="false">Sens!J4685*tax_f</f>
        <v>38.7913523319282</v>
      </c>
      <c r="K4686" s="6" t="n">
        <f aca="false">Sens!K4685*tax_f</f>
        <v>39.2583152908986</v>
      </c>
    </row>
    <row r="4687" customFormat="false" ht="15" hidden="false" customHeight="false" outlineLevel="0" collapsed="false">
      <c r="A4687" s="1" t="s">
        <v>825</v>
      </c>
      <c r="B4687" s="0" t="s">
        <v>95</v>
      </c>
      <c r="D4687" s="6" t="n">
        <f aca="false">Sens!D4685-Sens!D4686</f>
        <v>101.832</v>
      </c>
      <c r="E4687" s="6" t="n">
        <f aca="false">Sens!E4685-Sens!E4686</f>
        <v>133.749</v>
      </c>
      <c r="F4687" s="6" t="n">
        <f aca="false">Sens!F4685-Sens!F4686</f>
        <v>136.630470868306</v>
      </c>
      <c r="G4687" s="6" t="n">
        <f aca="false">Sens!G4685-Sens!G4686</f>
        <v>142.776055600375</v>
      </c>
      <c r="H4687" s="6" t="n">
        <f aca="false">Sens!H4685-Sens!H4686</f>
        <v>144.504808836173</v>
      </c>
      <c r="I4687" s="6" t="n">
        <f aca="false">Sens!I4685-Sens!I4686</f>
        <v>150.74593081303</v>
      </c>
      <c r="J4687" s="6" t="n">
        <f aca="false">Sens!J4685-Sens!J4686</f>
        <v>155.165409327713</v>
      </c>
      <c r="K4687" s="6" t="n">
        <f aca="false">Sens!K4685-Sens!K4686</f>
        <v>157.033261163594</v>
      </c>
    </row>
    <row r="4688" customFormat="false" ht="17.15" hidden="false" customHeight="false" outlineLevel="0" collapsed="false">
      <c r="A4688" s="1" t="s">
        <v>826</v>
      </c>
      <c r="B4688" s="1" t="s">
        <v>79</v>
      </c>
      <c r="D4688" s="18" t="n">
        <f aca="false">Q!L31</f>
        <v>7.465</v>
      </c>
      <c r="E4688" s="18" t="n">
        <f aca="false">Q!M31</f>
        <v>7.453</v>
      </c>
      <c r="F4688" s="18" t="n">
        <f aca="false">Sens!F4725</f>
        <v>7.4735</v>
      </c>
      <c r="G4688" s="18" t="n">
        <f aca="false">Sens!G4725</f>
        <v>7.5185</v>
      </c>
      <c r="H4688" s="18" t="n">
        <f aca="false">Sens!H4725</f>
        <v>7.55954520012257</v>
      </c>
      <c r="I4688" s="18" t="n">
        <f aca="false">Sens!I4725</f>
        <v>7.59480772351424</v>
      </c>
      <c r="J4688" s="18" t="n">
        <f aca="false">Sens!J4725</f>
        <v>7.61923731174385</v>
      </c>
      <c r="K4688" s="18" t="n">
        <f aca="false">Sens!K4725</f>
        <v>7.64429119070787</v>
      </c>
    </row>
    <row r="4689" customFormat="false" ht="17.15" hidden="false" customHeight="false" outlineLevel="0" collapsed="false">
      <c r="A4689" s="0" t="s">
        <v>827</v>
      </c>
      <c r="B4689" s="0" t="s">
        <v>73</v>
      </c>
      <c r="D4689" s="8" t="n">
        <f aca="false">Sens!D4687/Sens!D4688</f>
        <v>13.641259209645</v>
      </c>
      <c r="E4689" s="8" t="n">
        <f aca="false">Sens!E4687/Sens!E4688</f>
        <v>17.9456594659869</v>
      </c>
      <c r="F4689" s="8" t="n">
        <f aca="false">Sens!F4687/Sens!F4688</f>
        <v>18.2819924892361</v>
      </c>
      <c r="G4689" s="8" t="n">
        <f aca="false">Sens!G4687/Sens!G4688</f>
        <v>18.9899654984871</v>
      </c>
      <c r="H4689" s="8" t="n">
        <f aca="false">Sens!H4687/Sens!H4688</f>
        <v>19.1155426696608</v>
      </c>
      <c r="I4689" s="8" t="n">
        <f aca="false">Sens!I4687/Sens!I4688</f>
        <v>19.8485513130644</v>
      </c>
      <c r="J4689" s="8" t="n">
        <f aca="false">Sens!J4687/Sens!J4688</f>
        <v>20.3649529446405</v>
      </c>
      <c r="K4689" s="8" t="n">
        <f aca="false">Sens!K4687/Sens!K4688</f>
        <v>20.5425535534908</v>
      </c>
      <c r="L4689" s="1" t="s">
        <v>828</v>
      </c>
    </row>
    <row r="4690" customFormat="false" ht="17.15" hidden="false" customHeight="false" outlineLevel="0" collapsed="false">
      <c r="A4690" s="0" t="s">
        <v>829</v>
      </c>
      <c r="B4690" s="0" t="s">
        <v>126</v>
      </c>
      <c r="E4690" s="7" t="n">
        <f aca="false">Sens!E4689/Sens!D4689-1</f>
        <v>0.315542736208578</v>
      </c>
      <c r="F4690" s="7" t="n">
        <f aca="false">Sens!F4689/Sens!E4689-1</f>
        <v>0.0187417477684091</v>
      </c>
      <c r="G4690" s="7" t="n">
        <f aca="false">Sens!G4689/Sens!F4689-1</f>
        <v>0.0387251558968638</v>
      </c>
      <c r="H4690" s="7" t="n">
        <f aca="false">Sens!H4689/Sens!G4689-1</f>
        <v>0.00661281723675122</v>
      </c>
      <c r="I4690" s="7" t="n">
        <f aca="false">Sens!I4689/Sens!H4689-1</f>
        <v>0.0383462115656812</v>
      </c>
      <c r="J4690" s="7" t="n">
        <f aca="false">Sens!J4689/Sens!I4689-1</f>
        <v>0.0260170943174163</v>
      </c>
      <c r="K4690" s="7" t="n">
        <f aca="false">Sens!K4689/Sens!J4689-1</f>
        <v>0.00872089463369052</v>
      </c>
    </row>
    <row r="4691" customFormat="false" ht="17.15" hidden="false" customHeight="false" outlineLevel="0" collapsed="false">
      <c r="A4691" s="0" t="s">
        <v>763</v>
      </c>
      <c r="B4691" s="0" t="s">
        <v>95</v>
      </c>
      <c r="E4691" s="6" t="n">
        <f aca="false">Sens!E4636</f>
        <v>5.25</v>
      </c>
      <c r="F4691" s="6" t="n">
        <f aca="false">Sens!F4636</f>
        <v>9.75</v>
      </c>
      <c r="G4691" s="6" t="n">
        <f aca="false">Sens!G4636</f>
        <v>11.25</v>
      </c>
      <c r="H4691" s="6" t="n">
        <f aca="false">Sens!H4636</f>
        <v>12.75</v>
      </c>
      <c r="I4691" s="6" t="n">
        <f aca="false">Sens!I4636</f>
        <v>13.875</v>
      </c>
      <c r="J4691" s="6" t="n">
        <f aca="false">Sens!J4636</f>
        <v>14.625</v>
      </c>
      <c r="K4691" s="6" t="n">
        <f aca="false">Sens!K4636</f>
        <v>15.375</v>
      </c>
    </row>
    <row r="4692" customFormat="false" ht="17.15" hidden="false" customHeight="false" outlineLevel="0" collapsed="false">
      <c r="A4692" s="0" t="s">
        <v>764</v>
      </c>
      <c r="B4692" s="0" t="s">
        <v>95</v>
      </c>
      <c r="E4692" s="6" t="n">
        <f aca="false">Sens!E4616+Sens!E4691*Sens!E4675-Sens!E4617-Sens!E4627</f>
        <v>2.1514866143068</v>
      </c>
      <c r="F4692" s="6" t="n">
        <f aca="false">Sens!F4616+Sens!F4691*Sens!F4675-Sens!F4617-Sens!F4627</f>
        <v>-0.668036272774252</v>
      </c>
      <c r="G4692" s="6" t="n">
        <f aca="false">Sens!G4616+Sens!G4691*Sens!G4675-Sens!G4617-Sens!G4627</f>
        <v>-12.6550970658368</v>
      </c>
      <c r="H4692" s="6" t="n">
        <f aca="false">Sens!H4616+Sens!H4691*Sens!H4675-Sens!H4617-Sens!H4627</f>
        <v>-30.4838704204242</v>
      </c>
      <c r="I4692" s="6" t="n">
        <f aca="false">Sens!I4616+Sens!I4691*Sens!I4675-Sens!I4617-Sens!I4627</f>
        <v>-42.3012133195691</v>
      </c>
      <c r="J4692" s="6" t="n">
        <f aca="false">Sens!J4616+Sens!J4691*Sens!J4675-Sens!J4617-Sens!J4627</f>
        <v>-55.2559173072387</v>
      </c>
      <c r="K4692" s="6" t="n">
        <f aca="false">Sens!K4616+Sens!K4691*Sens!K4675-Sens!K4617-Sens!K4627</f>
        <v>-69.4693581244274</v>
      </c>
    </row>
    <row r="4693" customFormat="false" ht="17.15" hidden="false" customHeight="false" outlineLevel="0" collapsed="false">
      <c r="A4693" s="0" t="s">
        <v>765</v>
      </c>
      <c r="B4693" s="0" t="s">
        <v>95</v>
      </c>
      <c r="E4693" s="6" t="n">
        <f aca="false">Sens!E4599*(cxit_open+self_build*tk_cxfac)/1000*ai_net_open</f>
        <v>126.6980382</v>
      </c>
      <c r="F4693" s="6" t="n">
        <f aca="false">Sens!E4693+Sens!F4624-Sens!F4627</f>
        <v>260.784405514568</v>
      </c>
      <c r="G4693" s="6" t="n">
        <f aca="false">Sens!F4693+Sens!G4624-Sens!G4627</f>
        <v>383.814352737428</v>
      </c>
      <c r="H4693" s="6" t="n">
        <f aca="false">Sens!G4693+Sens!H4624-Sens!H4627</f>
        <v>484.114822654688</v>
      </c>
      <c r="I4693" s="6" t="n">
        <f aca="false">Sens!H4693+Sens!I4624-Sens!I4627</f>
        <v>586.419102170632</v>
      </c>
      <c r="J4693" s="6" t="n">
        <f aca="false">Sens!I4693+Sens!J4624-Sens!J4627</f>
        <v>674.934385136093</v>
      </c>
      <c r="K4693" s="6" t="n">
        <f aca="false">Sens!J4693+Sens!K4624-Sens!K4627</f>
        <v>778.014274451903</v>
      </c>
      <c r="L4693" s="1" t="s">
        <v>766</v>
      </c>
    </row>
    <row r="4694" customFormat="false" ht="17.15" hidden="false" customHeight="false" outlineLevel="0" collapsed="false">
      <c r="A4694" s="0" t="s">
        <v>767</v>
      </c>
      <c r="B4694" s="0" t="s">
        <v>126</v>
      </c>
      <c r="F4694" s="7" t="n">
        <f aca="false">Sens!F4692*(1-tax_f)/((Sens!E4693+Sens!F4693)/2)</f>
        <v>-0.0027584682965047</v>
      </c>
      <c r="G4694" s="7" t="n">
        <f aca="false">Sens!G4692*(1-tax_f)/((Sens!F4693+Sens!G4693)/2)</f>
        <v>-0.031412029648098</v>
      </c>
      <c r="H4694" s="7" t="n">
        <f aca="false">Sens!H4692*(1-tax_f)/((Sens!G4693+Sens!H4693)/2)</f>
        <v>-0.0561960515391632</v>
      </c>
      <c r="I4694" s="7" t="n">
        <f aca="false">Sens!I4692*(1-tax_f)/((Sens!H4693+Sens!I4693)/2)</f>
        <v>-0.0632226029850985</v>
      </c>
      <c r="J4694" s="7" t="n">
        <f aca="false">Sens!J4692*(1-tax_f)/((Sens!I4693+Sens!J4693)/2)</f>
        <v>-0.0700909527592904</v>
      </c>
      <c r="K4694" s="7" t="n">
        <f aca="false">Sens!K4692*(1-tax_f)/((Sens!J4693+Sens!K4693)/2)</f>
        <v>-0.0765002756742982</v>
      </c>
    </row>
    <row r="4695" customFormat="false" ht="17.15" hidden="false" customHeight="false" outlineLevel="0" collapsed="false">
      <c r="A4695" s="1" t="s">
        <v>768</v>
      </c>
      <c r="B4695" s="0" t="s">
        <v>126</v>
      </c>
      <c r="F4695" s="7" t="n">
        <f aca="false">Sens!F4628*(1-tax_f)/(Sens!F4615*(Sens!E4693+Sens!F4693)/2)</f>
        <v>0.0977370683972221</v>
      </c>
      <c r="G4695" s="7" t="n">
        <f aca="false">Sens!G4628*(1-tax_f)/(Sens!G4615*(Sens!F4693+Sens!G4693)/2)</f>
        <v>0.0658764624710747</v>
      </c>
      <c r="H4695" s="7" t="n">
        <f aca="false">Sens!H4628*(1-tax_f)/(Sens!H4615*(Sens!G4693+Sens!H4693)/2)</f>
        <v>0.038749030413134</v>
      </c>
      <c r="I4695" s="7" t="n">
        <f aca="false">Sens!I4628*(1-tax_f)/(Sens!I4615*(Sens!H4693+Sens!I4693)/2)</f>
        <v>0.0397189547859329</v>
      </c>
      <c r="J4695" s="7" t="n">
        <f aca="false">Sens!J4628*(1-tax_f)/(Sens!J4615*(Sens!I4693+Sens!J4693)/2)</f>
        <v>0.0396413757540051</v>
      </c>
      <c r="K4695" s="7" t="n">
        <f aca="false">Sens!K4628*(1-tax_f)/(Sens!K4615*(Sens!J4693+Sens!K4693)/2)</f>
        <v>0.0382050310389726</v>
      </c>
    </row>
    <row r="4696" customFormat="false" ht="17.15" hidden="false" customHeight="false" outlineLevel="0" collapsed="false">
      <c r="A4696" s="0" t="s">
        <v>769</v>
      </c>
      <c r="B4696" s="0" t="s">
        <v>208</v>
      </c>
      <c r="F4696" s="7" t="n">
        <f aca="false">Sens!F4694-wacc</f>
        <v>-0.111721689446759</v>
      </c>
      <c r="G4696" s="7" t="n">
        <f aca="false">Sens!G4694-wacc</f>
        <v>-0.140375250798352</v>
      </c>
      <c r="H4696" s="7" t="n">
        <f aca="false">Sens!H4694-wacc</f>
        <v>-0.165159272689417</v>
      </c>
      <c r="I4696" s="7" t="n">
        <f aca="false">Sens!I4694-wacc</f>
        <v>-0.172185824135353</v>
      </c>
      <c r="J4696" s="7" t="n">
        <f aca="false">Sens!J4694-wacc</f>
        <v>-0.179054173909544</v>
      </c>
      <c r="K4696" s="7" t="n">
        <f aca="false">Sens!K4694-wacc</f>
        <v>-0.185463496824552</v>
      </c>
    </row>
    <row r="4697" customFormat="false" ht="17.15" hidden="false" customHeight="false" outlineLevel="0" collapsed="false">
      <c r="A4697" s="0" t="s">
        <v>770</v>
      </c>
      <c r="B4697" s="0" t="s">
        <v>95</v>
      </c>
      <c r="F4697" s="6" t="n">
        <f aca="false">Sens!F4692*(1-tax_f)-wacc*(Sens!E4693+Sens!F4693)/2</f>
        <v>-21.645096621375</v>
      </c>
      <c r="G4697" s="6" t="n">
        <f aca="false">Sens!G4692*(1-tax_f)-wacc*(Sens!F4693+Sens!G4693)/2</f>
        <v>-45.2428561769651</v>
      </c>
      <c r="H4697" s="6" t="n">
        <f aca="false">Sens!H4692*(1-tax_f)-wacc*(Sens!G4693+Sens!H4693)/2</f>
        <v>-71.6732756768438</v>
      </c>
      <c r="I4697" s="6" t="n">
        <f aca="false">Sens!I4692*(1-tax_f)-wacc*(Sens!H4693+Sens!I4693)/2</f>
        <v>-92.1653830554507</v>
      </c>
      <c r="J4697" s="6" t="n">
        <f aca="false">Sens!J4692*(1-tax_f)-wacc*(Sens!I4693+Sens!J4693)/2</f>
        <v>-112.925303338814</v>
      </c>
      <c r="K4697" s="6" t="n">
        <f aca="false">Sens!K4692*(1-tax_f)-wacc*(Sens!J4693+Sens!K4693)/2</f>
        <v>-134.734469556868</v>
      </c>
    </row>
    <row r="4698" customFormat="false" ht="17.15" hidden="false" customHeight="false" outlineLevel="0" collapsed="false">
      <c r="A4698" s="1" t="s">
        <v>771</v>
      </c>
      <c r="B4698" s="0" t="s">
        <v>95</v>
      </c>
      <c r="F4698" s="6" t="n">
        <f aca="false">(Sens!E4600+Sens!F4600)/2*Sens!F4607/1000</f>
        <v>26.7873066765967</v>
      </c>
      <c r="G4698" s="6" t="n">
        <f aca="false">(Sens!F4600+Sens!G4600)/2*Sens!G4607/1000</f>
        <v>45.4131817597218</v>
      </c>
      <c r="H4698" s="6" t="n">
        <f aca="false">(Sens!G4600+Sens!H4600)/2*Sens!H4607/1000</f>
        <v>65.3915129357971</v>
      </c>
      <c r="I4698" s="6" t="n">
        <f aca="false">(Sens!H4600+Sens!I4600)/2*Sens!I4607/1000</f>
        <v>85.5187419289299</v>
      </c>
      <c r="J4698" s="6" t="n">
        <f aca="false">(Sens!I4600+Sens!J4600)/2*Sens!J4607/1000</f>
        <v>105.723807195006</v>
      </c>
      <c r="K4698" s="6" t="n">
        <f aca="false">(Sens!J4600+Sens!K4600)/2*Sens!K4607/1000</f>
        <v>125.974659797015</v>
      </c>
      <c r="L4698" s="1" t="s">
        <v>772</v>
      </c>
    </row>
    <row r="4699" customFormat="false" ht="17.15" hidden="false" customHeight="false" outlineLevel="0" collapsed="false">
      <c r="A4699" s="1" t="s">
        <v>773</v>
      </c>
      <c r="B4699" s="0" t="s">
        <v>126</v>
      </c>
      <c r="F4699" s="7" t="n">
        <f aca="false">(Sens!F4616+Sens!F4698-Sens!F4617-Sens!F4627)*(1-tax_f)/((Sens!E4693+Sens!F4693)/2)</f>
        <v>0.0848655171500825</v>
      </c>
      <c r="G4699" s="7" t="n">
        <f aca="false">(Sens!G4616+Sens!G4698-Sens!G4617-Sens!G4627)*(1-tax_f)/((Sens!F4693+Sens!G4693)/2)</f>
        <v>0.0653673353462067</v>
      </c>
      <c r="H4699" s="7" t="n">
        <f aca="false">(Sens!H4616+Sens!H4698-Sens!H4617-Sens!H4627)*(1-tax_f)/((Sens!G4693+Sens!H4693)/2)</f>
        <v>0.0509312272475555</v>
      </c>
      <c r="I4699" s="7" t="n">
        <f aca="false">(Sens!I4616+Sens!I4698-Sens!I4617-Sens!I4627)*(1-tax_f)/((Sens!H4693+Sens!I4693)/2)</f>
        <v>0.0527519878407346</v>
      </c>
      <c r="J4699" s="7" t="n">
        <f aca="false">(Sens!J4616+Sens!J4698-Sens!J4617-Sens!J4627)*(1-tax_f)/((Sens!I4693+Sens!J4693)/2)</f>
        <v>0.053425326435466</v>
      </c>
      <c r="K4699" s="7" t="n">
        <f aca="false">(Sens!K4616+Sens!K4698-Sens!K4617-Sens!K4627)*(1-tax_f)/((Sens!J4693+Sens!K4693)/2)</f>
        <v>0.0525572127690925</v>
      </c>
      <c r="L4699" s="1" t="s">
        <v>774</v>
      </c>
    </row>
    <row r="4700" customFormat="false" ht="17.15" hidden="false" customHeight="false" outlineLevel="0" collapsed="false">
      <c r="A4700" s="3" t="s">
        <v>1247</v>
      </c>
    </row>
    <row r="4701" customFormat="false" ht="15" hidden="false" customHeight="false" outlineLevel="0" collapsed="false">
      <c r="A4701" s="4" t="s">
        <v>43</v>
      </c>
      <c r="B4701" s="4" t="s">
        <v>63</v>
      </c>
      <c r="C4701" s="19" t="s">
        <v>710</v>
      </c>
      <c r="D4701" s="19" t="s">
        <v>711</v>
      </c>
      <c r="E4701" s="19" t="s">
        <v>712</v>
      </c>
      <c r="F4701" s="19" t="s">
        <v>713</v>
      </c>
      <c r="G4701" s="19" t="s">
        <v>714</v>
      </c>
      <c r="H4701" s="19" t="s">
        <v>715</v>
      </c>
      <c r="I4701" s="19" t="s">
        <v>716</v>
      </c>
      <c r="J4701" s="19" t="s">
        <v>717</v>
      </c>
      <c r="K4701" s="19" t="s">
        <v>718</v>
      </c>
      <c r="L4701" s="4" t="s">
        <v>47</v>
      </c>
    </row>
    <row r="4702" customFormat="false" ht="15" hidden="false" customHeight="false" outlineLevel="0" collapsed="false">
      <c r="A4702" s="1" t="s">
        <v>825</v>
      </c>
      <c r="B4702" s="0" t="s">
        <v>95</v>
      </c>
      <c r="F4702" s="6" t="n">
        <f aca="false">Sens!F4687</f>
        <v>136.630470868306</v>
      </c>
      <c r="G4702" s="6" t="n">
        <f aca="false">Sens!G4687</f>
        <v>142.776055600375</v>
      </c>
      <c r="H4702" s="6" t="n">
        <f aca="false">Sens!H4687</f>
        <v>144.504808836173</v>
      </c>
      <c r="I4702" s="6" t="n">
        <f aca="false">Sens!I4687</f>
        <v>150.74593081303</v>
      </c>
      <c r="J4702" s="6" t="n">
        <f aca="false">Sens!J4687</f>
        <v>155.165409327713</v>
      </c>
      <c r="K4702" s="6" t="n">
        <f aca="false">Sens!K4687</f>
        <v>157.033261163594</v>
      </c>
    </row>
    <row r="4703" customFormat="false" ht="17.15" hidden="false" customHeight="false" outlineLevel="0" collapsed="false">
      <c r="A4703" s="1" t="s">
        <v>843</v>
      </c>
      <c r="B4703" s="0" t="s">
        <v>95</v>
      </c>
      <c r="E4703" s="6" t="n">
        <f aca="false">Q!M38-Sens!E4627</f>
        <v>22.2285940229167</v>
      </c>
      <c r="F4703" s="6" t="n">
        <f aca="false">Sens!E4703*(1-1/life_nonai)+Sens!F4709/life_nonai</f>
        <v>23.5411693435813</v>
      </c>
      <c r="G4703" s="6" t="n">
        <f aca="false">Sens!F4703*(1-1/life_nonai)+Sens!G4709/life_nonai</f>
        <v>25.2348417662621</v>
      </c>
      <c r="H4703" s="6" t="n">
        <f aca="false">Sens!G4703*(1-1/life_nonai)+Sens!H4709/life_nonai</f>
        <v>27.2800089540448</v>
      </c>
      <c r="I4703" s="6" t="n">
        <f aca="false">Sens!H4703*(1-1/life_nonai)+Sens!I4709/life_nonai</f>
        <v>29.6255980898047</v>
      </c>
      <c r="J4703" s="6" t="n">
        <f aca="false">Sens!I4703*(1-1/life_nonai)+Sens!J4709/life_nonai</f>
        <v>32.2023796058616</v>
      </c>
      <c r="K4703" s="6" t="n">
        <f aca="false">Sens!J4703*(1-1/life_nonai)+Sens!K4709/life_nonai</f>
        <v>34.9277619194749</v>
      </c>
      <c r="L4703" s="11" t="s">
        <v>844</v>
      </c>
    </row>
    <row r="4704" customFormat="false" ht="17.15" hidden="false" customHeight="false" outlineLevel="0" collapsed="false">
      <c r="A4704" s="1" t="s">
        <v>845</v>
      </c>
      <c r="B4704" s="0" t="s">
        <v>95</v>
      </c>
      <c r="E4704" s="6" t="n">
        <f aca="false">Sens!E4627+Sens!E4703</f>
        <v>38.534</v>
      </c>
      <c r="F4704" s="6" t="n">
        <f aca="false">Sens!F4627+Sens!F4703</f>
        <v>58.300454799451</v>
      </c>
      <c r="G4704" s="6" t="n">
        <f aca="false">Sens!G4627+Sens!G4703</f>
        <v>85.7790750266017</v>
      </c>
      <c r="H4704" s="6" t="n">
        <f aca="false">Sens!H4627+Sens!H4703</f>
        <v>115.059824947184</v>
      </c>
      <c r="I4704" s="6" t="n">
        <f aca="false">Sens!I4627+Sens!I4703</f>
        <v>145.660279830928</v>
      </c>
      <c r="J4704" s="6" t="n">
        <f aca="false">Sens!J4627+Sens!J4703</f>
        <v>177.464157564135</v>
      </c>
      <c r="K4704" s="6" t="n">
        <f aca="false">Sens!K4627+Sens!K4703</f>
        <v>210.704184554064</v>
      </c>
    </row>
    <row r="4705" customFormat="false" ht="15" hidden="false" customHeight="false" outlineLevel="0" collapsed="false">
      <c r="A4705" s="1" t="s">
        <v>685</v>
      </c>
      <c r="B4705" s="0" t="s">
        <v>95</v>
      </c>
      <c r="F4705" s="6" t="n">
        <f aca="false">Sens!F4654*sbc_r</f>
        <v>14.6821979728425</v>
      </c>
      <c r="G4705" s="6" t="n">
        <f aca="false">Sens!G4654*sbc_r</f>
        <v>16.9771230562123</v>
      </c>
      <c r="H4705" s="6" t="n">
        <f aca="false">Sens!H4654*sbc_r</f>
        <v>19.1243002679513</v>
      </c>
      <c r="I4705" s="6" t="n">
        <f aca="false">Sens!I4654*sbc_r</f>
        <v>21.5122594278447</v>
      </c>
      <c r="J4705" s="6" t="n">
        <f aca="false">Sens!J4654*sbc_r</f>
        <v>23.8200322142017</v>
      </c>
      <c r="K4705" s="6" t="n">
        <f aca="false">Sens!K4654*sbc_r</f>
        <v>26.0079639880966</v>
      </c>
    </row>
    <row r="4706" customFormat="false" ht="17.15" hidden="false" customHeight="false" outlineLevel="0" collapsed="false">
      <c r="A4706" s="1" t="s">
        <v>846</v>
      </c>
      <c r="B4706" s="0" t="s">
        <v>95</v>
      </c>
      <c r="F4706" s="6" t="n">
        <f aca="false">wc27</f>
        <v>-4.895</v>
      </c>
      <c r="G4706" s="6" t="n">
        <f aca="false">0</f>
        <v>0</v>
      </c>
      <c r="H4706" s="6" t="n">
        <f aca="false">0</f>
        <v>0</v>
      </c>
      <c r="I4706" s="6" t="n">
        <f aca="false">0</f>
        <v>0</v>
      </c>
      <c r="J4706" s="6" t="n">
        <f aca="false">0</f>
        <v>0</v>
      </c>
      <c r="K4706" s="6" t="n">
        <f aca="false">0</f>
        <v>0</v>
      </c>
      <c r="L4706" s="11" t="s">
        <v>847</v>
      </c>
    </row>
    <row r="4707" customFormat="false" ht="15" hidden="false" customHeight="false" outlineLevel="0" collapsed="false">
      <c r="A4707" s="1" t="s">
        <v>678</v>
      </c>
      <c r="B4707" s="0" t="s">
        <v>95</v>
      </c>
      <c r="E4707" s="6" t="n">
        <f aca="false">Q!M35</f>
        <v>182.935</v>
      </c>
      <c r="F4707" s="6" t="n">
        <f aca="false">Sens!F4702+Sens!F4704+Sens!F4705+Sens!F4706</f>
        <v>204.7181236406</v>
      </c>
      <c r="G4707" s="6" t="n">
        <f aca="false">Sens!G4702+Sens!G4704+Sens!G4705+Sens!G4706</f>
        <v>245.532253683189</v>
      </c>
      <c r="H4707" s="6" t="n">
        <f aca="false">Sens!H4702+Sens!H4704+Sens!H4705+Sens!H4706</f>
        <v>278.688934051308</v>
      </c>
      <c r="I4707" s="6" t="n">
        <f aca="false">Sens!I4702+Sens!I4704+Sens!I4705+Sens!I4706</f>
        <v>317.918470071803</v>
      </c>
      <c r="J4707" s="6" t="n">
        <f aca="false">Sens!J4702+Sens!J4704+Sens!J4705+Sens!J4706</f>
        <v>356.449599106049</v>
      </c>
      <c r="K4707" s="6" t="n">
        <f aca="false">Sens!K4702+Sens!K4704+Sens!K4705+Sens!K4706</f>
        <v>393.745409705755</v>
      </c>
    </row>
    <row r="4708" customFormat="false" ht="17.15" hidden="false" customHeight="false" outlineLevel="0" collapsed="false">
      <c r="A4708" s="0" t="s">
        <v>848</v>
      </c>
      <c r="B4708" s="0" t="s">
        <v>95</v>
      </c>
      <c r="F4708" s="6" t="n">
        <f aca="false">Sens!F4624</f>
        <v>168.845652770438</v>
      </c>
      <c r="G4708" s="6" t="n">
        <f aca="false">Sens!G4624</f>
        <v>183.5741804832</v>
      </c>
      <c r="H4708" s="6" t="n">
        <f aca="false">Sens!H4624</f>
        <v>188.0802859104</v>
      </c>
      <c r="I4708" s="6" t="n">
        <f aca="false">Sens!I4624</f>
        <v>218.338961257067</v>
      </c>
      <c r="J4708" s="6" t="n">
        <f aca="false">Sens!J4624</f>
        <v>233.777060923733</v>
      </c>
      <c r="K4708" s="6" t="n">
        <f aca="false">Sens!K4624</f>
        <v>278.8563119504</v>
      </c>
    </row>
    <row r="4709" customFormat="false" ht="17.15" hidden="false" customHeight="false" outlineLevel="0" collapsed="false">
      <c r="A4709" s="1" t="s">
        <v>849</v>
      </c>
      <c r="B4709" s="0" t="s">
        <v>95</v>
      </c>
      <c r="E4709" s="6" t="n">
        <f aca="false">Sens!E4632*cx_azo+Sens!E4639*cx_m365+Sens!E4640*cx_lic+(Sens!E4642+Sens!E4644)*cx_ind+Sens!E4647*cx_srch+(Sens!E4649+Sens!E4651)*cx_dev</f>
        <v>30.1846587067718</v>
      </c>
      <c r="F4709" s="6" t="n">
        <f aca="false">Sens!F4632*cx_azo+Sens!F4639*cx_m365+Sens!F4640*cx_lic+(Sens!F4642+Sens!F4644)*cx_ind+Sens!F4647*cx_srch+(Sens!F4649+Sens!F4651)*cx_dev</f>
        <v>35.3543472295625</v>
      </c>
      <c r="G4709" s="6" t="n">
        <f aca="false">Sens!G4632*cx_azo+Sens!G4639*cx_m365+Sens!G4640*cx_lic+(Sens!G4642+Sens!G4644)*cx_ind+Sens!G4647*cx_srch+(Sens!G4649+Sens!G4651)*cx_dev</f>
        <v>40.4778935703892</v>
      </c>
      <c r="H4709" s="6" t="n">
        <f aca="false">Sens!H4632*cx_azo+Sens!H4639*cx_m365+Sens!H4640*cx_lic+(Sens!H4642+Sens!H4644)*cx_ind+Sens!H4647*cx_srch+(Sens!H4649+Sens!H4651)*cx_dev</f>
        <v>45.6865136440897</v>
      </c>
      <c r="I4709" s="6" t="n">
        <f aca="false">Sens!I4632*cx_azo+Sens!I4639*cx_m365+Sens!I4640*cx_lic+(Sens!I4642+Sens!I4644)*cx_ind+Sens!I4647*cx_srch+(Sens!I4649+Sens!I4651)*cx_dev</f>
        <v>50.7359003116439</v>
      </c>
      <c r="J4709" s="6" t="n">
        <f aca="false">Sens!J4632*cx_azo+Sens!J4639*cx_m365+Sens!J4640*cx_lic+(Sens!J4642+Sens!J4644)*cx_ind+Sens!J4647*cx_srch+(Sens!J4649+Sens!J4651)*cx_dev</f>
        <v>55.3934132503738</v>
      </c>
      <c r="K4709" s="6" t="n">
        <f aca="false">Sens!K4632*cx_azo+Sens!K4639*cx_m365+Sens!K4640*cx_lic+(Sens!K4642+Sens!K4644)*cx_ind+Sens!K4647*cx_srch+(Sens!K4649+Sens!K4651)*cx_dev</f>
        <v>59.456202741994</v>
      </c>
    </row>
    <row r="4710" customFormat="false" ht="17.15" hidden="false" customHeight="false" outlineLevel="0" collapsed="false">
      <c r="A4710" s="1" t="s">
        <v>850</v>
      </c>
      <c r="B4710" s="0" t="s">
        <v>95</v>
      </c>
      <c r="E4710" s="6" t="n">
        <f aca="false">Q!M42</f>
        <v>145.3</v>
      </c>
      <c r="F4710" s="6" t="n">
        <f aca="false">Sens!F4708+Sens!F4709</f>
        <v>204.2</v>
      </c>
      <c r="G4710" s="6" t="n">
        <f aca="false">Sens!G4708+Sens!G4709</f>
        <v>224.052074053589</v>
      </c>
      <c r="H4710" s="6" t="n">
        <f aca="false">Sens!H4708+Sens!H4709</f>
        <v>233.76679955449</v>
      </c>
      <c r="I4710" s="6" t="n">
        <f aca="false">Sens!I4708+Sens!I4709</f>
        <v>269.074861568711</v>
      </c>
      <c r="J4710" s="6" t="n">
        <f aca="false">Sens!J4708+Sens!J4709</f>
        <v>289.170474174107</v>
      </c>
      <c r="K4710" s="6" t="n">
        <f aca="false">Sens!K4708+Sens!K4709</f>
        <v>338.312514692394</v>
      </c>
      <c r="L4710" s="1" t="s">
        <v>851</v>
      </c>
    </row>
    <row r="4711" customFormat="false" ht="15" hidden="false" customHeight="false" outlineLevel="0" collapsed="false">
      <c r="A4711" s="1" t="s">
        <v>852</v>
      </c>
      <c r="B4711" s="0" t="s">
        <v>95</v>
      </c>
      <c r="E4711" s="6" t="n">
        <f aca="false">fl_liab</f>
        <v>66.594</v>
      </c>
      <c r="F4711" s="6" t="n">
        <f aca="false">Sens!E4711-Sens!F4712</f>
        <v>62.46973</v>
      </c>
      <c r="G4711" s="6" t="n">
        <f aca="false">Sens!F4711-Sens!G4712</f>
        <v>57.98686785</v>
      </c>
      <c r="H4711" s="6" t="n">
        <f aca="false">Sens!G4711-Sens!H4712</f>
        <v>53.92827690325</v>
      </c>
      <c r="I4711" s="6" t="n">
        <f aca="false">Sens!H4711-Sens!I4712</f>
        <v>49.7850493638962</v>
      </c>
      <c r="J4711" s="6" t="n">
        <f aca="false">Sens!I4711-Sens!J4712</f>
        <v>45.4823765852716</v>
      </c>
      <c r="K4711" s="6" t="n">
        <f aca="false">Sens!J4711-Sens!K4712</f>
        <v>40.9860835316088</v>
      </c>
    </row>
    <row r="4712" customFormat="false" ht="15" hidden="false" customHeight="false" outlineLevel="0" collapsed="false">
      <c r="A4712" s="1" t="s">
        <v>853</v>
      </c>
      <c r="B4712" s="0" t="s">
        <v>95</v>
      </c>
      <c r="F4712" s="6" t="n">
        <f aca="false">fl_pay_27-Sens!E4711*fl_rate</f>
        <v>4.12427</v>
      </c>
      <c r="G4712" s="6" t="n">
        <f aca="false">fl_pay_28-Sens!F4711*fl_rate</f>
        <v>4.48286215</v>
      </c>
      <c r="H4712" s="6" t="n">
        <f aca="false">fl_pay_29-Sens!G4711*fl_rate</f>
        <v>4.05859094675</v>
      </c>
      <c r="I4712" s="6" t="n">
        <f aca="false">fl_pay_30-Sens!H4711*fl_rate</f>
        <v>4.14322753935375</v>
      </c>
      <c r="J4712" s="6" t="n">
        <f aca="false">fl_pay_31-Sens!I4711*fl_rate</f>
        <v>4.30267277862467</v>
      </c>
      <c r="K4712" s="6" t="n">
        <f aca="false">fl_pay_32-Sens!J4711*fl_rate</f>
        <v>4.49629305366278</v>
      </c>
    </row>
    <row r="4713" customFormat="false" ht="17.15" hidden="false" customHeight="false" outlineLevel="0" collapsed="false">
      <c r="A4713" s="1" t="s">
        <v>854</v>
      </c>
      <c r="B4713" s="0" t="s">
        <v>95</v>
      </c>
      <c r="E4713" s="6" t="n">
        <f aca="false">Q!M35-Q!M36-Q!M43</f>
        <v>63.886</v>
      </c>
      <c r="F4713" s="6" t="n">
        <f aca="false">Sens!F4707-Sens!F4710-Sens!F4712</f>
        <v>-3.60614635940011</v>
      </c>
      <c r="G4713" s="6" t="n">
        <f aca="false">Sens!G4707-Sens!G4710-Sens!G4712</f>
        <v>16.9973174795999</v>
      </c>
      <c r="H4713" s="6" t="n">
        <f aca="false">Sens!H4707-Sens!H4710-Sens!H4712</f>
        <v>40.8635435500687</v>
      </c>
      <c r="I4713" s="6" t="n">
        <f aca="false">Sens!I4707-Sens!I4710-Sens!I4712</f>
        <v>44.7003809637381</v>
      </c>
      <c r="J4713" s="6" t="n">
        <f aca="false">Sens!J4707-Sens!J4710-Sens!J4712</f>
        <v>62.9764521533172</v>
      </c>
      <c r="K4713" s="6" t="n">
        <f aca="false">Sens!K4707-Sens!K4710-Sens!K4712</f>
        <v>50.9366019596986</v>
      </c>
      <c r="L4713" s="11" t="s">
        <v>855</v>
      </c>
    </row>
    <row r="4714" customFormat="false" ht="15" hidden="false" customHeight="false" outlineLevel="0" collapsed="false">
      <c r="A4714" s="1" t="s">
        <v>856</v>
      </c>
      <c r="B4714" s="0" t="s">
        <v>73</v>
      </c>
      <c r="F4714" s="8" t="n">
        <f aca="false">dps_27</f>
        <v>3.85</v>
      </c>
      <c r="G4714" s="8" t="n">
        <f aca="false">Sens!F4714*(1+dps_g)</f>
        <v>4.158</v>
      </c>
      <c r="H4714" s="8" t="n">
        <f aca="false">Sens!G4714*(1+dps_g)</f>
        <v>4.49064</v>
      </c>
      <c r="I4714" s="8" t="n">
        <f aca="false">Sens!H4714*(1+dps_g)</f>
        <v>4.8498912</v>
      </c>
      <c r="J4714" s="8" t="n">
        <f aca="false">Sens!I4714*(1+dps_g)</f>
        <v>5.237882496</v>
      </c>
      <c r="K4714" s="8" t="n">
        <f aca="false">Sens!J4714*(1+dps_g)</f>
        <v>5.65691309568</v>
      </c>
    </row>
    <row r="4715" customFormat="false" ht="17.15" hidden="false" customHeight="false" outlineLevel="0" collapsed="false">
      <c r="A4715" s="1" t="s">
        <v>857</v>
      </c>
      <c r="B4715" s="0" t="s">
        <v>95</v>
      </c>
      <c r="E4715" s="6" t="n">
        <f aca="false">Q!M41</f>
        <v>26.445</v>
      </c>
      <c r="F4715" s="6" t="n">
        <f aca="false">Sens!F4714*Sens!E4724</f>
        <v>28.59395</v>
      </c>
      <c r="G4715" s="6" t="n">
        <f aca="false">Sens!G4714*Sens!F4724</f>
        <v>31.068576</v>
      </c>
      <c r="H4715" s="6" t="n">
        <f aca="false">Sens!H4714*Sens!G4724</f>
        <v>33.75614088</v>
      </c>
      <c r="I4715" s="6" t="n">
        <f aca="false">Sens!I4714*Sens!H4724</f>
        <v>36.6365165561534</v>
      </c>
      <c r="J4715" s="6" t="n">
        <f aca="false">Sens!J4714*Sens!I4724</f>
        <v>39.742564630508</v>
      </c>
      <c r="K4715" s="6" t="n">
        <f aca="false">Sens!K4714*Sens!J4724</f>
        <v>43.0092250262537</v>
      </c>
      <c r="L4715" s="1" t="s">
        <v>858</v>
      </c>
    </row>
    <row r="4716" customFormat="false" ht="15" hidden="false" customHeight="false" outlineLevel="0" collapsed="false">
      <c r="A4716" s="1" t="s">
        <v>859</v>
      </c>
      <c r="B4716" s="0" t="s">
        <v>95</v>
      </c>
      <c r="E4716" s="6" t="n">
        <f aca="false">Sens!E4713-Sens!E4715</f>
        <v>37.441</v>
      </c>
      <c r="F4716" s="6" t="n">
        <f aca="false">Sens!F4713-Sens!F4715</f>
        <v>-32.2000963594001</v>
      </c>
      <c r="G4716" s="6" t="n">
        <f aca="false">Sens!G4713-Sens!G4715</f>
        <v>-14.0712585204001</v>
      </c>
      <c r="H4716" s="6" t="n">
        <f aca="false">Sens!H4713-Sens!H4715</f>
        <v>7.10740267006872</v>
      </c>
      <c r="I4716" s="6" t="n">
        <f aca="false">Sens!I4713-Sens!I4715</f>
        <v>8.06386440758471</v>
      </c>
      <c r="J4716" s="6" t="n">
        <f aca="false">Sens!J4713-Sens!J4715</f>
        <v>23.2338875228092</v>
      </c>
      <c r="K4716" s="6" t="n">
        <f aca="false">Sens!K4713-Sens!K4715</f>
        <v>7.92737693344495</v>
      </c>
    </row>
    <row r="4717" customFormat="false" ht="15" hidden="false" customHeight="false" outlineLevel="0" collapsed="false">
      <c r="A4717" s="1" t="s">
        <v>860</v>
      </c>
      <c r="B4717" s="0" t="s">
        <v>95</v>
      </c>
      <c r="F4717" s="6" t="n">
        <f aca="false">debt_mat_27</f>
        <v>9.25</v>
      </c>
      <c r="G4717" s="6" t="n">
        <f aca="false">debt_mat_28</f>
        <v>0</v>
      </c>
      <c r="H4717" s="6" t="n">
        <f aca="false">debt_mat_29</f>
        <v>2.001</v>
      </c>
      <c r="I4717" s="6" t="n">
        <f aca="false">debt_mat_30</f>
        <v>0</v>
      </c>
      <c r="J4717" s="6" t="n">
        <f aca="false">debt_mat_31</f>
        <v>0.5</v>
      </c>
      <c r="K4717" s="6" t="n">
        <f aca="false">debt_mat_32</f>
        <v>0</v>
      </c>
    </row>
    <row r="4718" customFormat="false" ht="15" hidden="false" customHeight="false" outlineLevel="0" collapsed="false">
      <c r="A4718" s="1" t="s">
        <v>861</v>
      </c>
      <c r="B4718" s="0" t="s">
        <v>95</v>
      </c>
      <c r="E4718" s="6" t="n">
        <f aca="false">Q!M40</f>
        <v>22.271</v>
      </c>
      <c r="F4718" s="6" t="n">
        <f aca="false">MAX(0,MIN(bb_target,Sens!E4720+Sens!F4716-Sens!F4717-min_cash))</f>
        <v>0</v>
      </c>
      <c r="G4718" s="6" t="n">
        <f aca="false">MAX(0,MIN(bb_target,Sens!F4720+Sens!G4716-Sens!G4717-min_cash))</f>
        <v>0</v>
      </c>
      <c r="H4718" s="6" t="n">
        <f aca="false">MAX(0,MIN(bb_target,Sens!G4720+Sens!H4716-Sens!H4717-min_cash))</f>
        <v>5.10640267006873</v>
      </c>
      <c r="I4718" s="6" t="n">
        <f aca="false">MAX(0,MIN(bb_target,Sens!H4720+Sens!I4716-Sens!I4717-min_cash))</f>
        <v>8.06386440758471</v>
      </c>
      <c r="J4718" s="6" t="n">
        <f aca="false">MAX(0,MIN(bb_target,Sens!I4720+Sens!J4716-Sens!J4717-min_cash))</f>
        <v>22.271</v>
      </c>
      <c r="K4718" s="6" t="n">
        <f aca="false">MAX(0,MIN(bb_target,Sens!J4720+Sens!K4716-Sens!K4717-min_cash))</f>
        <v>8.39026445625419</v>
      </c>
    </row>
    <row r="4719" customFormat="false" ht="15" hidden="false" customHeight="false" outlineLevel="0" collapsed="false">
      <c r="A4719" s="1" t="s">
        <v>862</v>
      </c>
      <c r="B4719" s="0" t="s">
        <v>95</v>
      </c>
      <c r="F4719" s="6" t="n">
        <f aca="false">MAX(0,min_cash-(Sens!E4720+Sens!F4716-Sens!F4717-Sens!F4718))</f>
        <v>14.6070963594001</v>
      </c>
      <c r="G4719" s="6" t="n">
        <f aca="false">MAX(0,min_cash-(Sens!F4720+Sens!G4716-Sens!G4717-Sens!G4718))</f>
        <v>14.0712585204001</v>
      </c>
      <c r="H4719" s="6" t="n">
        <f aca="false">MAX(0,min_cash-(Sens!G4720+Sens!H4716-Sens!H4717-Sens!H4718))</f>
        <v>0</v>
      </c>
      <c r="I4719" s="6" t="n">
        <f aca="false">MAX(0,min_cash-(Sens!H4720+Sens!I4716-Sens!I4717-Sens!I4718))</f>
        <v>0</v>
      </c>
      <c r="J4719" s="6" t="n">
        <f aca="false">MAX(0,min_cash-(Sens!I4720+Sens!J4716-Sens!J4717-Sens!J4718))</f>
        <v>0</v>
      </c>
      <c r="K4719" s="6" t="n">
        <f aca="false">MAX(0,min_cash-(Sens!J4720+Sens!K4716-Sens!K4717-Sens!K4718))</f>
        <v>0</v>
      </c>
    </row>
    <row r="4720" customFormat="false" ht="15" hidden="false" customHeight="false" outlineLevel="0" collapsed="false">
      <c r="A4720" s="1" t="s">
        <v>863</v>
      </c>
      <c r="B4720" s="0" t="s">
        <v>95</v>
      </c>
      <c r="E4720" s="6" t="n">
        <f aca="false">cash_open</f>
        <v>76.843</v>
      </c>
      <c r="F4720" s="6" t="n">
        <f aca="false">Sens!E4720+Sens!F4716-Sens!F4717-Sens!F4718+Sens!F4719</f>
        <v>50</v>
      </c>
      <c r="G4720" s="6" t="n">
        <f aca="false">Sens!F4720+Sens!G4716-Sens!G4717-Sens!G4718+Sens!G4719</f>
        <v>50</v>
      </c>
      <c r="H4720" s="6" t="n">
        <f aca="false">Sens!G4720+Sens!H4716-Sens!H4717-Sens!H4718+Sens!H4719</f>
        <v>50</v>
      </c>
      <c r="I4720" s="6" t="n">
        <f aca="false">Sens!H4720+Sens!I4716-Sens!I4717-Sens!I4718+Sens!I4719</f>
        <v>50</v>
      </c>
      <c r="J4720" s="6" t="n">
        <f aca="false">Sens!I4720+Sens!J4716-Sens!J4717-Sens!J4718+Sens!J4719</f>
        <v>50.4628875228092</v>
      </c>
      <c r="K4720" s="6" t="n">
        <f aca="false">Sens!J4720+Sens!K4716-Sens!K4717-Sens!K4718+Sens!K4719</f>
        <v>50</v>
      </c>
    </row>
    <row r="4721" customFormat="false" ht="15" hidden="false" customHeight="false" outlineLevel="0" collapsed="false">
      <c r="A4721" s="1" t="s">
        <v>864</v>
      </c>
      <c r="B4721" s="0" t="s">
        <v>95</v>
      </c>
      <c r="E4721" s="6" t="n">
        <f aca="false">debt_face</f>
        <v>46.136</v>
      </c>
      <c r="F4721" s="6" t="n">
        <f aca="false">Sens!E4721-Sens!F4717+Sens!F4719</f>
        <v>51.4930963594001</v>
      </c>
      <c r="G4721" s="6" t="n">
        <f aca="false">Sens!F4721-Sens!G4717+Sens!G4719</f>
        <v>65.5643548798002</v>
      </c>
      <c r="H4721" s="6" t="n">
        <f aca="false">Sens!G4721-Sens!H4717+Sens!H4719</f>
        <v>63.5633548798002</v>
      </c>
      <c r="I4721" s="6" t="n">
        <f aca="false">Sens!H4721-Sens!I4717+Sens!I4719</f>
        <v>63.5633548798002</v>
      </c>
      <c r="J4721" s="6" t="n">
        <f aca="false">Sens!I4721-Sens!J4717+Sens!J4719</f>
        <v>63.0633548798002</v>
      </c>
      <c r="K4721" s="6" t="n">
        <f aca="false">Sens!J4721-Sens!K4717+Sens!K4719</f>
        <v>63.0633548798002</v>
      </c>
    </row>
    <row r="4722" customFormat="false" ht="15" hidden="false" customHeight="false" outlineLevel="0" collapsed="false">
      <c r="A4722" s="1" t="s">
        <v>865</v>
      </c>
      <c r="B4722" s="0" t="s">
        <v>95</v>
      </c>
      <c r="E4722" s="6" t="n">
        <f aca="false">Sens!E4720-Sens!E4721</f>
        <v>30.707</v>
      </c>
      <c r="F4722" s="6" t="n">
        <f aca="false">Sens!F4720-Sens!F4721</f>
        <v>-1.49309635940011</v>
      </c>
      <c r="G4722" s="6" t="n">
        <f aca="false">Sens!G4720-Sens!G4721</f>
        <v>-15.5643548798002</v>
      </c>
      <c r="H4722" s="6" t="n">
        <f aca="false">Sens!H4720-Sens!H4721</f>
        <v>-13.5633548798002</v>
      </c>
      <c r="I4722" s="6" t="n">
        <f aca="false">Sens!I4720-Sens!I4721</f>
        <v>-13.5633548798002</v>
      </c>
      <c r="J4722" s="6" t="n">
        <f aca="false">Sens!J4720-Sens!J4721</f>
        <v>-12.6004673569909</v>
      </c>
      <c r="K4722" s="6" t="n">
        <f aca="false">Sens!K4720-Sens!K4721</f>
        <v>-13.0633548798002</v>
      </c>
    </row>
    <row r="4723" customFormat="false" ht="15" hidden="false" customHeight="false" outlineLevel="0" collapsed="false">
      <c r="A4723" s="1" t="s">
        <v>866</v>
      </c>
      <c r="B4723" s="0" t="s">
        <v>73</v>
      </c>
      <c r="F4723" s="27" t="n">
        <f aca="false">px*(1+bb_g)^(1-0.5)</f>
        <v>553.494156066711</v>
      </c>
      <c r="G4723" s="27" t="n">
        <f aca="false">px*(1+bb_g)^(2-0.5)</f>
        <v>597.773688552047</v>
      </c>
      <c r="H4723" s="27" t="n">
        <f aca="false">px*(1+bb_g)^(3-0.5)</f>
        <v>645.595583636211</v>
      </c>
      <c r="I4723" s="27" t="n">
        <f aca="false">px*(1+bb_g)^(4-0.5)</f>
        <v>697.243230327108</v>
      </c>
      <c r="J4723" s="27" t="n">
        <f aca="false">px*(1+bb_g)^(5-0.5)</f>
        <v>753.022688753277</v>
      </c>
      <c r="K4723" s="27" t="n">
        <f aca="false">px*(1+bb_g)^(6-0.5)</f>
        <v>813.264503853539</v>
      </c>
    </row>
    <row r="4724" customFormat="false" ht="15" hidden="false" customHeight="false" outlineLevel="0" collapsed="false">
      <c r="A4724" s="1" t="s">
        <v>867</v>
      </c>
      <c r="B4724" s="1" t="s">
        <v>79</v>
      </c>
      <c r="E4724" s="18" t="n">
        <f aca="false">sh_out26</f>
        <v>7.427</v>
      </c>
      <c r="F4724" s="18" t="n">
        <f aca="false">Sens!E4724+sh_iss-Sens!F4718/Sens!F4723</f>
        <v>7.472</v>
      </c>
      <c r="G4724" s="18" t="n">
        <f aca="false">Sens!F4724+sh_iss-Sens!G4718/Sens!G4723</f>
        <v>7.517</v>
      </c>
      <c r="H4724" s="18" t="n">
        <f aca="false">Sens!G4724+sh_iss-Sens!H4718/Sens!H4723</f>
        <v>7.55409040024514</v>
      </c>
      <c r="I4724" s="18" t="n">
        <f aca="false">Sens!H4724+sh_iss-Sens!I4718/Sens!I4723</f>
        <v>7.58752504678333</v>
      </c>
      <c r="J4724" s="18" t="n">
        <f aca="false">Sens!I4724+sh_iss-Sens!J4718/Sens!J4723</f>
        <v>7.60294957670437</v>
      </c>
      <c r="K4724" s="18" t="n">
        <f aca="false">Sens!J4724+sh_iss-Sens!K4718/Sens!K4723</f>
        <v>7.63763280471138</v>
      </c>
    </row>
    <row r="4725" customFormat="false" ht="15" hidden="false" customHeight="false" outlineLevel="0" collapsed="false">
      <c r="A4725" s="1" t="s">
        <v>868</v>
      </c>
      <c r="B4725" s="1" t="s">
        <v>79</v>
      </c>
      <c r="E4725" s="18" t="n">
        <f aca="false">sh_dil26</f>
        <v>7.453</v>
      </c>
      <c r="F4725" s="18" t="n">
        <f aca="false">(Sens!E4724+Sens!F4724)/2+dil_gap</f>
        <v>7.4735</v>
      </c>
      <c r="G4725" s="18" t="n">
        <f aca="false">(Sens!F4724+Sens!G4724)/2+dil_gap</f>
        <v>7.5185</v>
      </c>
      <c r="H4725" s="18" t="n">
        <f aca="false">(Sens!G4724+Sens!H4724)/2+dil_gap</f>
        <v>7.55954520012257</v>
      </c>
      <c r="I4725" s="18" t="n">
        <f aca="false">(Sens!H4724+Sens!I4724)/2+dil_gap</f>
        <v>7.59480772351424</v>
      </c>
      <c r="J4725" s="18" t="n">
        <f aca="false">(Sens!I4724+Sens!J4724)/2+dil_gap</f>
        <v>7.61923731174385</v>
      </c>
      <c r="K4725" s="18" t="n">
        <f aca="false">(Sens!J4724+Sens!K4724)/2+dil_gap</f>
        <v>7.64429119070787</v>
      </c>
    </row>
    <row r="4726" customFormat="false" ht="17.15" hidden="false" customHeight="false" outlineLevel="0" collapsed="false">
      <c r="A4726" s="1" t="s">
        <v>869</v>
      </c>
      <c r="B4726" s="0" t="s">
        <v>95</v>
      </c>
      <c r="C4726" s="6" t="n">
        <f aca="false">SUM(Sens!F4716:J4716)</f>
        <v>-7.86620027933749</v>
      </c>
    </row>
    <row r="4727" customFormat="false" ht="17.15" hidden="false" customHeight="false" outlineLevel="0" collapsed="false">
      <c r="A4727" s="1" t="s">
        <v>836</v>
      </c>
      <c r="B4727" s="1" t="s">
        <v>870</v>
      </c>
      <c r="C4727" s="30" t="str">
        <f aca="false">IF(SUM(Sens!F4719:J4719)&gt;0.05,"需要舉債 "&amp;TEXT(SUM(Sens!F4719:J4719),"0.0")&amp;" 十億美元","不需舉債")&amp;"；"&amp;IF(SUM(Sens!F4718:J4718)&lt;5*bb_target-0.05,"回購較每年 "&amp;TEXT(bb_target,"0.0")&amp;" 的目標少 "&amp;TEXT(5*bb_target-SUM(Sens!F4718:J4718),"0.0")&amp;" 十億美元（"&amp;TEXT(COUNTIF(Sens!F4718:J4718,"&lt;"&amp;(bb_target-0.05)),"0")&amp;" 年減少）","回購不減")</f>
        <v>需要舉債 28.7 十億美元；回購較每年 22.3 的目標少 75.9 十億美元（4 年減少）</v>
      </c>
    </row>
    <row r="4728" customFormat="false" ht="17.15" hidden="false" customHeight="false" outlineLevel="0" collapsed="false">
      <c r="A4728" s="3" t="s">
        <v>1248</v>
      </c>
    </row>
    <row r="4729" customFormat="false" ht="15" hidden="false" customHeight="false" outlineLevel="0" collapsed="false">
      <c r="A4729" s="4" t="s">
        <v>43</v>
      </c>
      <c r="B4729" s="4" t="s">
        <v>63</v>
      </c>
      <c r="C4729" s="19" t="s">
        <v>710</v>
      </c>
      <c r="D4729" s="19" t="s">
        <v>711</v>
      </c>
      <c r="E4729" s="19" t="s">
        <v>712</v>
      </c>
      <c r="F4729" s="19" t="s">
        <v>713</v>
      </c>
      <c r="G4729" s="19" t="s">
        <v>714</v>
      </c>
      <c r="H4729" s="19" t="s">
        <v>715</v>
      </c>
      <c r="I4729" s="19" t="s">
        <v>716</v>
      </c>
      <c r="J4729" s="19" t="s">
        <v>717</v>
      </c>
      <c r="K4729" s="19" t="s">
        <v>718</v>
      </c>
      <c r="L4729" s="4" t="s">
        <v>47</v>
      </c>
    </row>
    <row r="4730" customFormat="false" ht="17.15" hidden="false" customHeight="false" outlineLevel="0" collapsed="false">
      <c r="A4730" s="1" t="s">
        <v>938</v>
      </c>
      <c r="B4730" s="1" t="s">
        <v>213</v>
      </c>
      <c r="F4730" s="34" t="n">
        <f aca="false">1-0.5</f>
        <v>0.5</v>
      </c>
      <c r="G4730" s="34" t="n">
        <f aca="false">2-0.5</f>
        <v>1.5</v>
      </c>
      <c r="H4730" s="34" t="n">
        <f aca="false">3-0.5</f>
        <v>2.5</v>
      </c>
      <c r="I4730" s="34" t="n">
        <f aca="false">4-0.5</f>
        <v>3.5</v>
      </c>
      <c r="J4730" s="34" t="n">
        <f aca="false">5-0.5</f>
        <v>4.5</v>
      </c>
      <c r="K4730" s="34" t="n">
        <f aca="false">6-0.5</f>
        <v>5.5</v>
      </c>
    </row>
    <row r="4731" customFormat="false" ht="15" hidden="false" customHeight="false" outlineLevel="0" collapsed="false">
      <c r="A4731" s="1" t="s">
        <v>939</v>
      </c>
      <c r="B4731" s="0" t="s">
        <v>182</v>
      </c>
      <c r="F4731" s="18" t="n">
        <f aca="false">1/(1+wacc)^Sens!F4730</f>
        <v>0.949601579913219</v>
      </c>
      <c r="G4731" s="18" t="n">
        <f aca="false">1/(1+wacc)^Sens!G4730</f>
        <v>0.856296729956707</v>
      </c>
      <c r="H4731" s="18" t="n">
        <f aca="false">1/(1+wacc)^Sens!H4730</f>
        <v>0.772159719660069</v>
      </c>
      <c r="I4731" s="18" t="n">
        <f aca="false">1/(1+wacc)^Sens!I4730</f>
        <v>0.696289746073958</v>
      </c>
      <c r="J4731" s="18" t="n">
        <f aca="false">1/(1+wacc)^Sens!J4730</f>
        <v>0.627874516299776</v>
      </c>
      <c r="K4731" s="18" t="n">
        <f aca="false">1/(1+wacc)^Sens!K4730</f>
        <v>0.566181550771831</v>
      </c>
    </row>
    <row r="4732" customFormat="false" ht="15" hidden="false" customHeight="false" outlineLevel="0" collapsed="false">
      <c r="A4732" s="1" t="s">
        <v>940</v>
      </c>
      <c r="B4732" s="0" t="s">
        <v>95</v>
      </c>
      <c r="F4732" s="6" t="n">
        <f aca="false">Sens!F4713*Sens!F4731</f>
        <v>-3.42440228028464</v>
      </c>
      <c r="G4732" s="6" t="n">
        <f aca="false">Sens!G4713*Sens!G4731</f>
        <v>14.5547473758174</v>
      </c>
      <c r="H4732" s="6" t="n">
        <f aca="false">Sens!H4713*Sens!H4731</f>
        <v>31.5531823319381</v>
      </c>
      <c r="I4732" s="6" t="n">
        <f aca="false">Sens!I4713*Sens!I4731</f>
        <v>31.1244169106504</v>
      </c>
      <c r="J4732" s="6" t="n">
        <f aca="false">Sens!J4713*Sens!J4731</f>
        <v>39.5413094340401</v>
      </c>
      <c r="K4732" s="6" t="n">
        <f aca="false">Sens!K4713*Sens!K4731</f>
        <v>28.8393642885897</v>
      </c>
    </row>
    <row r="4733" customFormat="false" ht="17.15" hidden="false" customHeight="false" outlineLevel="0" collapsed="false">
      <c r="A4733" s="1" t="s">
        <v>941</v>
      </c>
      <c r="B4733" s="0" t="s">
        <v>95</v>
      </c>
      <c r="C4733" s="6" t="n">
        <f aca="false">SUM(Sens!F4732:K4732)</f>
        <v>142.188618060751</v>
      </c>
    </row>
    <row r="4734" customFormat="false" ht="17.15" hidden="false" customHeight="false" outlineLevel="0" collapsed="false">
      <c r="A4734" s="1" t="s">
        <v>942</v>
      </c>
      <c r="B4734" s="0" t="s">
        <v>95</v>
      </c>
      <c r="C4734" s="6" t="n">
        <f aca="false">Sens!K4679*(1+g_tv)*(1-tax_f)</f>
        <v>162.073858998502</v>
      </c>
    </row>
    <row r="4735" customFormat="false" ht="17.15" hidden="false" customHeight="false" outlineLevel="0" collapsed="false">
      <c r="A4735" s="1" t="s">
        <v>943</v>
      </c>
      <c r="B4735" s="0" t="s">
        <v>95</v>
      </c>
      <c r="C4735" s="6" t="n">
        <f aca="false">Sens!$C$4734*(1-g_tv/(wacc+ronic_prem))</f>
        <v>117.45131830424</v>
      </c>
    </row>
    <row r="4736" customFormat="false" ht="17.15" hidden="false" customHeight="false" outlineLevel="0" collapsed="false">
      <c r="A4736" s="1" t="s">
        <v>944</v>
      </c>
      <c r="B4736" s="0" t="s">
        <v>95</v>
      </c>
      <c r="C4736" s="6" t="n">
        <f aca="false">Sens!$C$4735/(wacc-g_tv)</f>
        <v>1487.41802314206</v>
      </c>
    </row>
    <row r="4737" customFormat="false" ht="15" hidden="false" customHeight="false" outlineLevel="0" collapsed="false">
      <c r="A4737" s="1" t="s">
        <v>945</v>
      </c>
      <c r="B4737" s="0" t="s">
        <v>95</v>
      </c>
      <c r="C4737" s="6" t="n">
        <f aca="false">Sens!$C$4736/(1+wacc)^6</f>
        <v>799.705681903695</v>
      </c>
    </row>
    <row r="4738" customFormat="false" ht="17.15" hidden="false" customHeight="false" outlineLevel="0" collapsed="false">
      <c r="A4738" s="0" t="s">
        <v>877</v>
      </c>
      <c r="B4738" s="0" t="s">
        <v>95</v>
      </c>
      <c r="C4738" s="6" t="n">
        <f aca="false">Sens!$C$4733+Sens!$C$4737</f>
        <v>941.894299964446</v>
      </c>
    </row>
    <row r="4739" customFormat="false" ht="15" hidden="false" customHeight="false" outlineLevel="0" collapsed="false">
      <c r="A4739" s="1" t="s">
        <v>878</v>
      </c>
      <c r="B4739" s="0" t="s">
        <v>126</v>
      </c>
      <c r="C4739" s="7" t="n">
        <f aca="false">Sens!$C$4737/Sens!$C$4738</f>
        <v>0.84903972975936</v>
      </c>
    </row>
    <row r="4740" customFormat="false" ht="17.15" hidden="false" customHeight="false" outlineLevel="0" collapsed="false">
      <c r="A4740" s="1" t="s">
        <v>946</v>
      </c>
      <c r="B4740" s="0" t="s">
        <v>95</v>
      </c>
      <c r="C4740" s="6" t="n">
        <f aca="false">Sens!$C$4738+Sens!E4722+oai_v</f>
        <v>1143.00129996445</v>
      </c>
    </row>
    <row r="4741" customFormat="false" ht="17.15" hidden="false" customHeight="false" outlineLevel="0" collapsed="false">
      <c r="A4741" s="0" t="s">
        <v>883</v>
      </c>
      <c r="B4741" s="0" t="s">
        <v>73</v>
      </c>
      <c r="C4741" s="5" t="n">
        <f aca="false">Sens!$C$4740/sh_dil26</f>
        <v>153.361237080967</v>
      </c>
    </row>
    <row r="4742" customFormat="false" ht="17.15" hidden="false" customHeight="false" outlineLevel="0" collapsed="false">
      <c r="A4742" s="0" t="s">
        <v>947</v>
      </c>
      <c r="B4742" s="0" t="s">
        <v>73</v>
      </c>
      <c r="C4742" s="5" t="n">
        <f aca="false">Sens!$C$4741*(1+wacc)^t_roll</f>
        <v>175.904506297133</v>
      </c>
    </row>
    <row r="4743" customFormat="false" ht="17.15" hidden="false" customHeight="false" outlineLevel="0" collapsed="false">
      <c r="A4743" s="1" t="s">
        <v>948</v>
      </c>
      <c r="B4743" s="0" t="s">
        <v>126</v>
      </c>
      <c r="F4743" s="7" t="n">
        <f aca="false">Sens!F4703/(Sens!F4654-Sens!F4610)</f>
        <v>0.068815095867378</v>
      </c>
      <c r="G4743" s="7" t="n">
        <f aca="false">Sens!G4703/(Sens!G4654-Sens!G4610)</f>
        <v>0.0665832330429281</v>
      </c>
      <c r="H4743" s="7" t="n">
        <f aca="false">Sens!H4703/(Sens!H4654-Sens!H4610)</f>
        <v>0.0654687527215079</v>
      </c>
      <c r="I4743" s="7" t="n">
        <f aca="false">Sens!I4703/(Sens!I4654-Sens!I4610)</f>
        <v>0.0653203191720517</v>
      </c>
      <c r="J4743" s="7" t="n">
        <f aca="false">Sens!J4703/(Sens!J4654-Sens!J4610)</f>
        <v>0.0659629121561906</v>
      </c>
      <c r="K4743" s="7" t="n">
        <f aca="false">Sens!K4703/(Sens!K4654-Sens!K4610)</f>
        <v>0.0672216601137808</v>
      </c>
    </row>
    <row r="4744" customFormat="false" ht="17.15" hidden="false" customHeight="false" outlineLevel="0" collapsed="false">
      <c r="A4744" s="0" t="s">
        <v>949</v>
      </c>
      <c r="B4744" s="0" t="s">
        <v>95</v>
      </c>
      <c r="F4744" s="6" t="n">
        <f aca="false">Sens!F4639*(al_m365+Sens!F4743)</f>
        <v>78.0121897564922</v>
      </c>
      <c r="G4744" s="6" t="n">
        <f aca="false">Sens!G4639*(al_m365+Sens!G4743)</f>
        <v>86.8519080511636</v>
      </c>
      <c r="H4744" s="6" t="n">
        <f aca="false">Sens!H4639*(al_m365+Sens!H4743)</f>
        <v>95.8457072102245</v>
      </c>
      <c r="I4744" s="6" t="n">
        <f aca="false">Sens!I4639*(al_m365+Sens!I4743)</f>
        <v>104.594360733562</v>
      </c>
      <c r="J4744" s="6" t="n">
        <f aca="false">Sens!J4639*(al_m365+Sens!J4743)</f>
        <v>112.919141525522</v>
      </c>
      <c r="K4744" s="6" t="n">
        <f aca="false">Sens!K4639*(al_m365+Sens!K4743)</f>
        <v>120.869200043773</v>
      </c>
    </row>
    <row r="4745" customFormat="false" ht="17.15" hidden="false" customHeight="false" outlineLevel="0" collapsed="false">
      <c r="A4745" s="0" t="s">
        <v>950</v>
      </c>
      <c r="B4745" s="0" t="s">
        <v>95</v>
      </c>
      <c r="F4745" s="6" t="n">
        <f aca="false">Sens!F4640*(al_lic+Sens!F4743)</f>
        <v>31.9928117420696</v>
      </c>
      <c r="G4745" s="6" t="n">
        <f aca="false">Sens!G4640*(al_lic+Sens!G4743)</f>
        <v>33.256628447515</v>
      </c>
      <c r="H4745" s="6" t="n">
        <f aca="false">Sens!H4640*(al_lic+Sens!H4743)</f>
        <v>34.4320253884392</v>
      </c>
      <c r="I4745" s="6" t="n">
        <f aca="false">Sens!I4640*(al_lic+Sens!I4743)</f>
        <v>35.4988826606147</v>
      </c>
      <c r="J4745" s="6" t="n">
        <f aca="false">Sens!J4640*(al_lic+Sens!J4743)</f>
        <v>36.4358538465892</v>
      </c>
      <c r="K4745" s="6" t="n">
        <f aca="false">Sens!K4640*(al_lic+Sens!K4743)</f>
        <v>37.2219029750736</v>
      </c>
    </row>
    <row r="4746" customFormat="false" ht="17.15" hidden="false" customHeight="false" outlineLevel="0" collapsed="false">
      <c r="A4746" s="0" t="s">
        <v>951</v>
      </c>
      <c r="B4746" s="0" t="s">
        <v>95</v>
      </c>
      <c r="F4746" s="6" t="n">
        <f aca="false">Sens!F4642*(al_ind+Sens!F4743)</f>
        <v>8.24568035814998</v>
      </c>
      <c r="G4746" s="6" t="n">
        <f aca="false">Sens!G4642*(al_ind+Sens!G4743)</f>
        <v>8.95900551064302</v>
      </c>
      <c r="H4746" s="6" t="n">
        <f aca="false">Sens!H4642*(al_ind+Sens!H4743)</f>
        <v>9.71189544445639</v>
      </c>
      <c r="I4746" s="6" t="n">
        <f aca="false">Sens!I4642*(al_ind+Sens!I4743)</f>
        <v>10.4997505374008</v>
      </c>
      <c r="J4746" s="6" t="n">
        <f aca="false">Sens!J4642*(al_ind+Sens!J4743)</f>
        <v>11.3153004329891</v>
      </c>
      <c r="K4746" s="6" t="n">
        <f aca="false">Sens!K4642*(al_ind+Sens!K4743)</f>
        <v>12.1490153801953</v>
      </c>
    </row>
    <row r="4747" customFormat="false" ht="17.15" hidden="false" customHeight="false" outlineLevel="0" collapsed="false">
      <c r="A4747" s="0" t="s">
        <v>952</v>
      </c>
      <c r="B4747" s="0" t="s">
        <v>95</v>
      </c>
      <c r="F4747" s="6" t="n">
        <f aca="false">Sens!F4644*(al_fro+Sens!F4743)</f>
        <v>3.24552873791012</v>
      </c>
      <c r="G4747" s="6" t="n">
        <f aca="false">Sens!G4644*(al_fro+Sens!G4743)</f>
        <v>3.43972844468898</v>
      </c>
      <c r="H4747" s="6" t="n">
        <f aca="false">Sens!H4644*(al_fro+Sens!H4743)</f>
        <v>3.65977461789524</v>
      </c>
      <c r="I4747" s="6" t="n">
        <f aca="false">Sens!I4644*(al_fro+Sens!I4743)</f>
        <v>3.90757981537043</v>
      </c>
      <c r="J4747" s="6" t="n">
        <f aca="false">Sens!J4644*(al_fro+Sens!J4743)</f>
        <v>4.18483294630813</v>
      </c>
      <c r="K4747" s="6" t="n">
        <f aca="false">Sens!K4644*(al_fro+Sens!K4743)</f>
        <v>4.49317277339096</v>
      </c>
    </row>
    <row r="4748" customFormat="false" ht="17.15" hidden="false" customHeight="false" outlineLevel="0" collapsed="false">
      <c r="A4748" s="0" t="s">
        <v>953</v>
      </c>
      <c r="B4748" s="0" t="s">
        <v>95</v>
      </c>
      <c r="F4748" s="6" t="n">
        <f aca="false">Sens!F4647*(al_srch+Sens!F4743)</f>
        <v>10.1835343763334</v>
      </c>
      <c r="G4748" s="6" t="n">
        <f aca="false">Sens!G4647*(al_srch+Sens!G4743)</f>
        <v>11.1688991162464</v>
      </c>
      <c r="H4748" s="6" t="n">
        <f aca="false">Sens!H4647*(al_srch+Sens!H4743)</f>
        <v>12.1936371362638</v>
      </c>
      <c r="I4748" s="6" t="n">
        <f aca="false">Sens!I4647*(al_srch+Sens!I4743)</f>
        <v>13.2456751404538</v>
      </c>
      <c r="J4748" s="6" t="n">
        <f aca="false">Sens!J4647*(al_srch+Sens!J4743)</f>
        <v>14.3087241754973</v>
      </c>
      <c r="K4748" s="6" t="n">
        <f aca="false">Sens!K4647*(al_srch+Sens!K4743)</f>
        <v>15.3629955394094</v>
      </c>
    </row>
    <row r="4749" customFormat="false" ht="17.15" hidden="false" customHeight="false" outlineLevel="0" collapsed="false">
      <c r="A4749" s="0" t="s">
        <v>954</v>
      </c>
      <c r="B4749" s="0" t="s">
        <v>95</v>
      </c>
      <c r="F4749" s="6" t="n">
        <f aca="false">Sens!F4616</f>
        <v>35.0573455625419</v>
      </c>
      <c r="G4749" s="6" t="n">
        <f aca="false">Sens!G4616</f>
        <v>52.2504971712871</v>
      </c>
      <c r="H4749" s="6" t="n">
        <f aca="false">Sens!H4616</f>
        <v>65.2796698510271</v>
      </c>
      <c r="I4749" s="6" t="n">
        <f aca="false">Sens!I4616</f>
        <v>85.5659922535278</v>
      </c>
      <c r="J4749" s="6" t="n">
        <f aca="false">Sens!J4616</f>
        <v>105.90773710582</v>
      </c>
      <c r="K4749" s="6" t="n">
        <f aca="false">Sens!K4616</f>
        <v>126.282084319851</v>
      </c>
    </row>
    <row r="4750" customFormat="false" ht="17.15" hidden="false" customHeight="false" outlineLevel="0" collapsed="false">
      <c r="A4750" s="0" t="s">
        <v>955</v>
      </c>
      <c r="B4750" s="0" t="s">
        <v>95</v>
      </c>
      <c r="F4750" s="6" t="n">
        <f aca="false">Sens!F4676+Sens!F4627+Sens!F4743*(Sens!F4646-Sens!F4610)</f>
        <v>205.710367664976</v>
      </c>
      <c r="G4750" s="6" t="n">
        <f aca="false">Sens!G4676+Sens!G4627+Sens!G4743*(Sens!G4646-Sens!G4610)</f>
        <v>240.296656328549</v>
      </c>
      <c r="H4750" s="6" t="n">
        <f aca="false">Sens!H4676+Sens!H4627+Sens!H4743*(Sens!H4646-Sens!H4610)</f>
        <v>270.926527562926</v>
      </c>
      <c r="I4750" s="6" t="n">
        <f aca="false">Sens!I4676+Sens!I4627+Sens!I4743*(Sens!I4646-Sens!I4610)</f>
        <v>308.309617285446</v>
      </c>
      <c r="J4750" s="6" t="n">
        <f aca="false">Sens!J4676+Sens!J4627+Sens!J4743*(Sens!J4646-Sens!J4610)</f>
        <v>344.439206071892</v>
      </c>
      <c r="K4750" s="6" t="n">
        <f aca="false">Sens!K4676+Sens!K4627+Sens!K4743*(Sens!K4646-Sens!K4610)</f>
        <v>378.658859636772</v>
      </c>
    </row>
    <row r="4751" customFormat="false" ht="17.15" hidden="false" customHeight="false" outlineLevel="0" collapsed="false">
      <c r="A4751" s="0" t="s">
        <v>956</v>
      </c>
      <c r="B4751" s="0" t="s">
        <v>95</v>
      </c>
      <c r="F4751" s="6" t="n">
        <f aca="false">Sens!F4750-Sens!F4744-Sens!F4745-Sens!F4746-Sens!F4747-Sens!F4749</f>
        <v>49.1568115078117</v>
      </c>
      <c r="G4751" s="6" t="n">
        <f aca="false">Sens!G4750-Sens!G4744-Sens!G4745-Sens!G4746-Sens!G4747-Sens!G4749</f>
        <v>55.5388887032508</v>
      </c>
      <c r="H4751" s="6" t="n">
        <f aca="false">Sens!H4750-Sens!H4744-Sens!H4745-Sens!H4746-Sens!H4747-Sens!H4749</f>
        <v>61.9974550508834</v>
      </c>
      <c r="I4751" s="6" t="n">
        <f aca="false">Sens!I4750-Sens!I4744-Sens!I4745-Sens!I4746-Sens!I4747-Sens!I4749</f>
        <v>68.2430512849702</v>
      </c>
      <c r="J4751" s="6" t="n">
        <f aca="false">Sens!J4750-Sens!J4744-Sens!J4745-Sens!J4746-Sens!J4747-Sens!J4749</f>
        <v>73.6763402146633</v>
      </c>
      <c r="K4751" s="6" t="n">
        <f aca="false">Sens!K4750-Sens!K4744-Sens!K4745-Sens!K4746-Sens!K4747-Sens!K4749</f>
        <v>77.6434841444887</v>
      </c>
    </row>
    <row r="4752" customFormat="false" ht="17.15" hidden="false" customHeight="false" outlineLevel="0" collapsed="false">
      <c r="A4752" s="0" t="s">
        <v>957</v>
      </c>
      <c r="B4752" s="0" t="s">
        <v>95</v>
      </c>
      <c r="F4752" s="6" t="n">
        <f aca="false">Sens!F4678+Sens!F4743*Sens!F4653</f>
        <v>23.7781757198584</v>
      </c>
      <c r="G4752" s="6" t="n">
        <f aca="false">Sens!G4678+Sens!G4743*Sens!G4653</f>
        <v>24.3524881985223</v>
      </c>
      <c r="H4752" s="6" t="n">
        <f aca="false">Sens!H4678+Sens!H4743*Sens!H4653</f>
        <v>25.1643084294742</v>
      </c>
      <c r="I4752" s="6" t="n">
        <f aca="false">Sens!I4678+Sens!I4743*Sens!I4653</f>
        <v>26.1830760617693</v>
      </c>
      <c r="J4752" s="6" t="n">
        <f aca="false">Sens!J4678+Sens!J4743*Sens!J4653</f>
        <v>27.3817131518833</v>
      </c>
      <c r="K4752" s="6" t="n">
        <f aca="false">Sens!K4678+Sens!K4743*Sens!K4653</f>
        <v>28.7369013717849</v>
      </c>
    </row>
    <row r="4753" customFormat="false" ht="17.15" hidden="false" customHeight="false" outlineLevel="0" collapsed="false">
      <c r="A4753" s="0" t="s">
        <v>958</v>
      </c>
      <c r="B4753" s="0" t="s">
        <v>95</v>
      </c>
      <c r="F4753" s="6" t="n">
        <f aca="false">(Sens!F4752-Sens!F4748)*Sens!F4649/(Sens!F4649+Sens!F4651)</f>
        <v>7.4524499746323</v>
      </c>
      <c r="G4753" s="6" t="n">
        <f aca="false">(Sens!G4752-Sens!G4748)*Sens!G4649/(Sens!G4649+Sens!G4651)</f>
        <v>7.0982561200756</v>
      </c>
      <c r="H4753" s="6" t="n">
        <f aca="false">(Sens!H4752-Sens!H4748)*Sens!H4649/(Sens!H4649+Sens!H4651)</f>
        <v>6.8892807574787</v>
      </c>
      <c r="I4753" s="6" t="n">
        <f aca="false">(Sens!I4752-Sens!I4748)*Sens!I4649/(Sens!I4649+Sens!I4651)</f>
        <v>6.80943502398388</v>
      </c>
      <c r="J4753" s="6" t="n">
        <f aca="false">(Sens!J4752-Sens!J4748)*Sens!J4649/(Sens!J4649+Sens!J4651)</f>
        <v>6.8496853335711</v>
      </c>
      <c r="K4753" s="6" t="n">
        <f aca="false">(Sens!K4752-Sens!K4748)*Sens!K4649/(Sens!K4649+Sens!K4651)</f>
        <v>7.00735285542235</v>
      </c>
    </row>
    <row r="4754" customFormat="false" ht="17.15" hidden="false" customHeight="false" outlineLevel="0" collapsed="false">
      <c r="A4754" s="0" t="s">
        <v>959</v>
      </c>
      <c r="B4754" s="0" t="s">
        <v>95</v>
      </c>
      <c r="F4754" s="6" t="n">
        <f aca="false">Sens!F4752-Sens!F4748-Sens!F4753</f>
        <v>6.14219136889263</v>
      </c>
      <c r="G4754" s="6" t="n">
        <f aca="false">Sens!G4752-Sens!G4748-Sens!G4753</f>
        <v>6.08533296220021</v>
      </c>
      <c r="H4754" s="6" t="n">
        <f aca="false">Sens!H4752-Sens!H4748-Sens!H4753</f>
        <v>6.08139053573178</v>
      </c>
      <c r="I4754" s="6" t="n">
        <f aca="false">Sens!I4752-Sens!I4748-Sens!I4753</f>
        <v>6.12796589733162</v>
      </c>
      <c r="J4754" s="6" t="n">
        <f aca="false">Sens!J4752-Sens!J4748-Sens!J4753</f>
        <v>6.2233036428149</v>
      </c>
      <c r="K4754" s="6" t="n">
        <f aca="false">Sens!K4752-Sens!K4748-Sens!K4753</f>
        <v>6.36655297695313</v>
      </c>
    </row>
    <row r="4755" customFormat="false" ht="17.15" hidden="false" customHeight="false" outlineLevel="0" collapsed="false">
      <c r="A4755" s="1" t="s">
        <v>960</v>
      </c>
      <c r="B4755" s="0" t="s">
        <v>95</v>
      </c>
      <c r="C4755" s="6" t="n">
        <f aca="false">(w_ntm28*Sens!G4749+(1-w_ntm28)*Sens!H4749)*m_ai*1</f>
        <v>338.776008390068</v>
      </c>
    </row>
    <row r="4756" customFormat="false" ht="17.15" hidden="false" customHeight="false" outlineLevel="0" collapsed="false">
      <c r="A4756" s="1" t="s">
        <v>961</v>
      </c>
      <c r="B4756" s="0" t="s">
        <v>95</v>
      </c>
      <c r="C4756" s="6" t="n">
        <f aca="false">(w_ntm28*Sens!G4751+(1-w_ntm28)*Sens!H4751)*m_cloud*1</f>
        <v>796.403254638009</v>
      </c>
    </row>
    <row r="4757" customFormat="false" ht="17.15" hidden="false" customHeight="false" outlineLevel="0" collapsed="false">
      <c r="A4757" s="1" t="s">
        <v>962</v>
      </c>
      <c r="B4757" s="0" t="s">
        <v>95</v>
      </c>
      <c r="C4757" s="6" t="n">
        <f aca="false">(w_ntm28*Sens!G4744+(1-w_ntm28)*Sens!H4744)*m_sw*1</f>
        <v>969.402518317792</v>
      </c>
    </row>
    <row r="4758" customFormat="false" ht="17.15" hidden="false" customHeight="false" outlineLevel="0" collapsed="false">
      <c r="A4758" s="1" t="s">
        <v>963</v>
      </c>
      <c r="B4758" s="0" t="s">
        <v>95</v>
      </c>
      <c r="C4758" s="6" t="n">
        <f aca="false">(w_ntm28*Sens!G4745+(1-w_ntm28)*Sens!H4745)*m_sw*1</f>
        <v>363.275493703063</v>
      </c>
    </row>
    <row r="4759" customFormat="false" ht="17.15" hidden="false" customHeight="false" outlineLevel="0" collapsed="false">
      <c r="A4759" s="1" t="s">
        <v>964</v>
      </c>
      <c r="B4759" s="0" t="s">
        <v>95</v>
      </c>
      <c r="C4759" s="6" t="n">
        <f aca="false">(w_ntm28*Sens!G4746+(1-w_ntm28)*Sens!H4746)*m_sw*1</f>
        <v>99.3859798756344</v>
      </c>
    </row>
    <row r="4760" customFormat="false" ht="17.15" hidden="false" customHeight="false" outlineLevel="0" collapsed="false">
      <c r="A4760" s="1" t="s">
        <v>965</v>
      </c>
      <c r="B4760" s="0" t="s">
        <v>95</v>
      </c>
      <c r="C4760" s="6" t="n">
        <f aca="false">(w_ntm28*Sens!G4747+(1-w_ntm28)*Sens!H4747)*m_sw*1</f>
        <v>37.9173599235562</v>
      </c>
    </row>
    <row r="4761" customFormat="false" ht="17.15" hidden="false" customHeight="false" outlineLevel="0" collapsed="false">
      <c r="A4761" s="1" t="s">
        <v>966</v>
      </c>
      <c r="B4761" s="0" t="s">
        <v>95</v>
      </c>
      <c r="C4761" s="6" t="n">
        <f aca="false">(w_ntm28*Sens!G4748+(1-w_ntm28)*Sens!H4748)*m_ads*1</f>
        <v>104.766678830534</v>
      </c>
    </row>
    <row r="4762" customFormat="false" ht="17.15" hidden="false" customHeight="false" outlineLevel="0" collapsed="false">
      <c r="A4762" s="1" t="s">
        <v>967</v>
      </c>
      <c r="B4762" s="0" t="s">
        <v>95</v>
      </c>
      <c r="C4762" s="6" t="n">
        <f aca="false">(w_ntm28*Sens!G4753+(1-w_ntm28)*Sens!H4753)*m_game*1</f>
        <v>88.7977026269859</v>
      </c>
    </row>
    <row r="4763" customFormat="false" ht="17.15" hidden="false" customHeight="false" outlineLevel="0" collapsed="false">
      <c r="A4763" s="1" t="s">
        <v>968</v>
      </c>
      <c r="B4763" s="0" t="s">
        <v>95</v>
      </c>
      <c r="C4763" s="6" t="n">
        <f aca="false">(w_ntm28*Sens!G4754+(1-w_ntm28)*Sens!H4754)*m_pc*1</f>
        <v>88.0363254000294</v>
      </c>
    </row>
    <row r="4764" customFormat="false" ht="17.15" hidden="false" customHeight="false" outlineLevel="0" collapsed="false">
      <c r="A4764" s="1" t="s">
        <v>969</v>
      </c>
      <c r="B4764" s="0" t="s">
        <v>95</v>
      </c>
      <c r="C4764" s="6" t="n">
        <f aca="false">Sens!$C$4755+Sens!$C$4756+Sens!$C$4757+Sens!$C$4758+Sens!$C$4759+Sens!$C$4760+Sens!$C$4761+Sens!$C$4762+Sens!$C$4763</f>
        <v>2886.76132170567</v>
      </c>
    </row>
    <row r="4765" customFormat="false" ht="17.15" hidden="false" customHeight="false" outlineLevel="0" collapsed="false">
      <c r="A4765" s="1" t="s">
        <v>903</v>
      </c>
      <c r="B4765" s="0" t="s">
        <v>95</v>
      </c>
      <c r="C4765" s="6" t="n">
        <f aca="false">Sens!F4722+oai_v-Sens!F4711</f>
        <v>106.4371736406</v>
      </c>
      <c r="L4765" s="1" t="s">
        <v>970</v>
      </c>
    </row>
    <row r="4766" customFormat="false" ht="15" hidden="false" customHeight="false" outlineLevel="0" collapsed="false">
      <c r="A4766" s="1" t="s">
        <v>904</v>
      </c>
      <c r="B4766" s="0" t="s">
        <v>73</v>
      </c>
      <c r="C4766" s="5" t="n">
        <f aca="false">(Sens!$C$4764+Sens!$C$4765)/Sens!F4724</f>
        <v>400.588663724073</v>
      </c>
    </row>
    <row r="4767" customFormat="false" ht="17.15" hidden="false" customHeight="false" outlineLevel="0" collapsed="false">
      <c r="A4767" s="1" t="s">
        <v>971</v>
      </c>
      <c r="B4767" s="0" t="s">
        <v>73</v>
      </c>
      <c r="C4767" s="5" t="n">
        <f aca="false">w_dcf*Sens!$C$4742+(1-w_dcf)*Sens!$C$4766</f>
        <v>288.246585010603</v>
      </c>
    </row>
    <row r="4768" customFormat="false" ht="17.15" hidden="false" customHeight="false" outlineLevel="0" collapsed="false">
      <c r="A4768" s="3" t="s">
        <v>1249</v>
      </c>
    </row>
    <row r="4769" customFormat="false" ht="15" hidden="false" customHeight="false" outlineLevel="0" collapsed="false">
      <c r="A4769" s="4" t="s">
        <v>43</v>
      </c>
      <c r="B4769" s="4" t="s">
        <v>63</v>
      </c>
      <c r="C4769" s="19" t="s">
        <v>710</v>
      </c>
      <c r="D4769" s="19" t="s">
        <v>711</v>
      </c>
      <c r="E4769" s="19" t="s">
        <v>712</v>
      </c>
      <c r="F4769" s="19" t="s">
        <v>713</v>
      </c>
      <c r="G4769" s="19" t="s">
        <v>714</v>
      </c>
      <c r="H4769" s="19" t="s">
        <v>715</v>
      </c>
      <c r="I4769" s="19" t="s">
        <v>716</v>
      </c>
      <c r="J4769" s="19" t="s">
        <v>717</v>
      </c>
      <c r="K4769" s="19" t="s">
        <v>718</v>
      </c>
      <c r="L4769" s="4" t="s">
        <v>47</v>
      </c>
    </row>
    <row r="4770" customFormat="false" ht="17.15" hidden="false" customHeight="false" outlineLevel="0" collapsed="false">
      <c r="A4770" s="1" t="s">
        <v>719</v>
      </c>
      <c r="B4770" s="0" t="s">
        <v>340</v>
      </c>
      <c r="C4770" s="27" t="n">
        <f aca="false">mw_ext_24</f>
        <v>640</v>
      </c>
      <c r="D4770" s="27" t="n">
        <f aca="false">mw_ext_25</f>
        <v>1630</v>
      </c>
      <c r="E4770" s="27" t="n">
        <f aca="false">mw_ext_26</f>
        <v>3250</v>
      </c>
      <c r="F4770" s="27" t="n">
        <f aca="false">MIN(1000000000,Sens!E4770+pace)</f>
        <v>5777.2</v>
      </c>
      <c r="G4770" s="27" t="n">
        <f aca="false">MIN(1000000000,Sens!F4770+pace)</f>
        <v>8304.4</v>
      </c>
      <c r="H4770" s="27" t="n">
        <f aca="false">MIN(1000000000,Sens!G4770+pace)</f>
        <v>10831.6</v>
      </c>
      <c r="I4770" s="27" t="n">
        <f aca="false">MIN(1000000000,Sens!H4770+pace)</f>
        <v>13358.8</v>
      </c>
      <c r="J4770" s="27" t="n">
        <f aca="false">MIN(1000000000,Sens!I4770+pace)</f>
        <v>15886</v>
      </c>
      <c r="K4770" s="27" t="n">
        <f aca="false">MIN(1000000000,Sens!J4770+pace)</f>
        <v>18413.2</v>
      </c>
      <c r="L4770" s="11" t="s">
        <v>720</v>
      </c>
    </row>
    <row r="4771" customFormat="false" ht="17.15" hidden="false" customHeight="false" outlineLevel="0" collapsed="false">
      <c r="A4771" s="1" t="s">
        <v>721</v>
      </c>
      <c r="B4771" s="0" t="s">
        <v>340</v>
      </c>
      <c r="C4771" s="27" t="n">
        <f aca="false">rent_ext_24</f>
        <v>150</v>
      </c>
      <c r="D4771" s="27" t="n">
        <f aca="false">rent_ext_25</f>
        <v>400</v>
      </c>
      <c r="E4771" s="27" t="n">
        <f aca="false">rent_ext_26</f>
        <v>550</v>
      </c>
      <c r="F4771" s="27" t="n">
        <f aca="false">rent_ext_f</f>
        <v>756</v>
      </c>
      <c r="G4771" s="27" t="n">
        <f aca="false">rent_ext_f</f>
        <v>756</v>
      </c>
      <c r="H4771" s="27" t="n">
        <f aca="false">rent_ext_f</f>
        <v>756</v>
      </c>
      <c r="I4771" s="27" t="n">
        <f aca="false">rent_ext_f</f>
        <v>756</v>
      </c>
      <c r="J4771" s="27" t="n">
        <f aca="false">rent_ext_f</f>
        <v>756</v>
      </c>
      <c r="K4771" s="27" t="n">
        <f aca="false">rent_ext_f</f>
        <v>756</v>
      </c>
      <c r="L4771" s="1" t="s">
        <v>722</v>
      </c>
    </row>
    <row r="4772" customFormat="false" ht="17.15" hidden="false" customHeight="false" outlineLevel="0" collapsed="false">
      <c r="A4772" s="1" t="s">
        <v>723</v>
      </c>
      <c r="B4772" s="0" t="s">
        <v>340</v>
      </c>
      <c r="C4772" s="27" t="n">
        <f aca="false">Sens!C4770-Sens!C4771</f>
        <v>490</v>
      </c>
      <c r="D4772" s="27" t="n">
        <f aca="false">Sens!D4770-Sens!D4771</f>
        <v>1230</v>
      </c>
      <c r="E4772" s="27" t="n">
        <f aca="false">Sens!E4770-Sens!E4771</f>
        <v>2700</v>
      </c>
      <c r="F4772" s="27" t="n">
        <f aca="false">Sens!F4770-Sens!F4771</f>
        <v>5021.2</v>
      </c>
      <c r="G4772" s="27" t="n">
        <f aca="false">Sens!G4770-Sens!G4771</f>
        <v>7548.4</v>
      </c>
      <c r="H4772" s="27" t="n">
        <f aca="false">Sens!H4770-Sens!H4771</f>
        <v>10075.6</v>
      </c>
      <c r="I4772" s="27" t="n">
        <f aca="false">Sens!I4770-Sens!I4771</f>
        <v>12602.8</v>
      </c>
      <c r="J4772" s="27" t="n">
        <f aca="false">Sens!J4770-Sens!J4771</f>
        <v>15130</v>
      </c>
      <c r="K4772" s="27" t="n">
        <f aca="false">Sens!K4770-Sens!K4771</f>
        <v>17657.2</v>
      </c>
    </row>
    <row r="4773" customFormat="false" ht="17.15" hidden="false" customHeight="false" outlineLevel="0" collapsed="false">
      <c r="A4773" s="1" t="s">
        <v>724</v>
      </c>
      <c r="B4773" s="0" t="s">
        <v>340</v>
      </c>
      <c r="C4773" s="27" t="n">
        <f aca="false">Sens!C4772/ext_sh</f>
        <v>816.666666666667</v>
      </c>
      <c r="D4773" s="27" t="n">
        <f aca="false">Sens!D4772/ext_sh</f>
        <v>2050</v>
      </c>
      <c r="E4773" s="27" t="n">
        <f aca="false">Sens!E4772/ext_sh</f>
        <v>4500</v>
      </c>
      <c r="F4773" s="27" t="n">
        <f aca="false">Sens!F4772/ext_sh</f>
        <v>8368.66666666667</v>
      </c>
      <c r="G4773" s="27" t="n">
        <f aca="false">Sens!G4772/ext_sh</f>
        <v>12580.6666666667</v>
      </c>
      <c r="H4773" s="27" t="n">
        <f aca="false">Sens!H4772/ext_sh</f>
        <v>16792.6666666667</v>
      </c>
      <c r="I4773" s="27" t="n">
        <f aca="false">Sens!I4772/ext_sh</f>
        <v>21004.6666666667</v>
      </c>
      <c r="J4773" s="27" t="n">
        <f aca="false">Sens!J4772/ext_sh</f>
        <v>25216.6666666667</v>
      </c>
      <c r="K4773" s="27" t="n">
        <f aca="false">Sens!K4772/ext_sh</f>
        <v>29428.6666666667</v>
      </c>
      <c r="L4773" s="1" t="s">
        <v>725</v>
      </c>
    </row>
    <row r="4774" customFormat="false" ht="17.15" hidden="false" customHeight="false" outlineLevel="0" collapsed="false">
      <c r="A4774" s="1" t="s">
        <v>726</v>
      </c>
      <c r="B4774" s="0" t="s">
        <v>340</v>
      </c>
      <c r="C4774" s="27" t="n">
        <f aca="false">Sens!C4773-Sens!C4772</f>
        <v>326.666666666667</v>
      </c>
      <c r="D4774" s="27" t="n">
        <f aca="false">Sens!D4773-Sens!D4772</f>
        <v>820</v>
      </c>
      <c r="E4774" s="27" t="n">
        <f aca="false">Sens!E4773-Sens!E4772</f>
        <v>1800</v>
      </c>
      <c r="F4774" s="27" t="n">
        <f aca="false">Sens!F4773-Sens!F4772</f>
        <v>3347.46666666667</v>
      </c>
      <c r="G4774" s="27" t="n">
        <f aca="false">Sens!G4773-Sens!G4772</f>
        <v>5032.26666666667</v>
      </c>
      <c r="H4774" s="27" t="n">
        <f aca="false">Sens!H4773-Sens!H4772</f>
        <v>6717.06666666667</v>
      </c>
      <c r="I4774" s="27" t="n">
        <f aca="false">Sens!I4773-Sens!I4772</f>
        <v>8401.86666666667</v>
      </c>
      <c r="J4774" s="27" t="n">
        <f aca="false">Sens!J4773-Sens!J4772</f>
        <v>10086.6666666667</v>
      </c>
      <c r="K4774" s="27" t="n">
        <f aca="false">Sens!K4773-Sens!K4772</f>
        <v>11771.4666666667</v>
      </c>
    </row>
    <row r="4775" customFormat="false" ht="17.15" hidden="false" customHeight="false" outlineLevel="0" collapsed="false">
      <c r="A4775" s="1" t="s">
        <v>727</v>
      </c>
      <c r="B4775" s="0" t="s">
        <v>340</v>
      </c>
      <c r="C4775" s="27" t="n">
        <f aca="false">Sens!C4773</f>
        <v>816.666666666667</v>
      </c>
      <c r="D4775" s="27" t="n">
        <f aca="false">Sens!D4773-Sens!C4773</f>
        <v>1233.33333333333</v>
      </c>
      <c r="E4775" s="27" t="n">
        <f aca="false">Sens!E4773-Sens!D4773</f>
        <v>2450</v>
      </c>
      <c r="F4775" s="27" t="n">
        <f aca="false">Sens!F4773-Sens!E4773</f>
        <v>3868.66666666667</v>
      </c>
      <c r="G4775" s="27" t="n">
        <f aca="false">Sens!G4773-Sens!F4773</f>
        <v>4212</v>
      </c>
      <c r="H4775" s="27" t="n">
        <f aca="false">Sens!H4773-Sens!G4773</f>
        <v>4212</v>
      </c>
      <c r="I4775" s="27" t="n">
        <f aca="false">Sens!I4773-Sens!H4773</f>
        <v>4212</v>
      </c>
      <c r="J4775" s="27" t="n">
        <f aca="false">Sens!J4773-Sens!I4773</f>
        <v>4212</v>
      </c>
      <c r="K4775" s="27" t="n">
        <f aca="false">Sens!K4773-Sens!J4773</f>
        <v>4212</v>
      </c>
    </row>
    <row r="4776" customFormat="false" ht="17.15" hidden="false" customHeight="false" outlineLevel="0" collapsed="false">
      <c r="A4776" s="1" t="s">
        <v>728</v>
      </c>
      <c r="B4776" s="0" t="s">
        <v>340</v>
      </c>
      <c r="D4776" s="27" t="n">
        <f aca="false">Sens!D4770-Sens!C4770</f>
        <v>990</v>
      </c>
      <c r="E4776" s="27" t="n">
        <f aca="false">Sens!E4770-Sens!D4770</f>
        <v>1620</v>
      </c>
      <c r="F4776" s="27" t="n">
        <f aca="false">Sens!F4770-Sens!E4770</f>
        <v>2527.2</v>
      </c>
      <c r="G4776" s="27" t="n">
        <f aca="false">Sens!G4770-Sens!F4770</f>
        <v>2527.2</v>
      </c>
      <c r="H4776" s="27" t="n">
        <f aca="false">Sens!H4770-Sens!G4770</f>
        <v>2527.2</v>
      </c>
      <c r="I4776" s="27" t="n">
        <f aca="false">Sens!I4770-Sens!H4770</f>
        <v>2527.2</v>
      </c>
      <c r="J4776" s="27" t="n">
        <f aca="false">Sens!J4770-Sens!I4770</f>
        <v>2527.2</v>
      </c>
      <c r="K4776" s="27" t="n">
        <f aca="false">Sens!K4770-Sens!J4770</f>
        <v>2527.2</v>
      </c>
    </row>
    <row r="4777" customFormat="false" ht="17.15" hidden="false" customHeight="false" outlineLevel="0" collapsed="false">
      <c r="A4777" s="1" t="s">
        <v>729</v>
      </c>
      <c r="B4777" s="0" t="s">
        <v>340</v>
      </c>
      <c r="C4777" s="27" t="n">
        <f aca="false">mix_h*Sens!C4770</f>
        <v>128</v>
      </c>
      <c r="D4777" s="27" t="n">
        <f aca="false">mix_h*Sens!D4770</f>
        <v>326</v>
      </c>
      <c r="E4777" s="27" t="n">
        <f aca="false">mix_h*Sens!E4770</f>
        <v>650</v>
      </c>
      <c r="F4777" s="27" t="n">
        <f aca="false">Sens!E4777</f>
        <v>650</v>
      </c>
      <c r="G4777" s="27" t="n">
        <f aca="false">Sens!F4777</f>
        <v>650</v>
      </c>
      <c r="H4777" s="27" t="n">
        <f aca="false">Sens!G4777</f>
        <v>650</v>
      </c>
      <c r="I4777" s="27" t="n">
        <f aca="false">Sens!H4777</f>
        <v>650</v>
      </c>
      <c r="J4777" s="27" t="n">
        <f aca="false">Sens!I4777</f>
        <v>650</v>
      </c>
      <c r="K4777" s="27" t="n">
        <f aca="false">Sens!J4777</f>
        <v>650</v>
      </c>
    </row>
    <row r="4778" customFormat="false" ht="17.15" hidden="false" customHeight="false" outlineLevel="0" collapsed="false">
      <c r="A4778" s="1" t="s">
        <v>730</v>
      </c>
      <c r="B4778" s="0" t="s">
        <v>340</v>
      </c>
      <c r="C4778" s="27" t="n">
        <f aca="false">mix_g2*Sens!C4770</f>
        <v>288</v>
      </c>
      <c r="D4778" s="27" t="n">
        <f aca="false">mix_g2*Sens!D4770</f>
        <v>733.5</v>
      </c>
      <c r="E4778" s="27" t="n">
        <f aca="false">mix_g2*Sens!E4770</f>
        <v>1462.5</v>
      </c>
      <c r="F4778" s="27" t="n">
        <f aca="false">Sens!E4778</f>
        <v>1462.5</v>
      </c>
      <c r="G4778" s="27" t="n">
        <f aca="false">Sens!F4778</f>
        <v>1462.5</v>
      </c>
      <c r="H4778" s="27" t="n">
        <f aca="false">Sens!G4778</f>
        <v>1462.5</v>
      </c>
      <c r="I4778" s="27" t="n">
        <f aca="false">Sens!H4778</f>
        <v>1462.5</v>
      </c>
      <c r="J4778" s="27" t="n">
        <f aca="false">Sens!I4778</f>
        <v>1462.5</v>
      </c>
      <c r="K4778" s="27" t="n">
        <f aca="false">Sens!J4778</f>
        <v>1462.5</v>
      </c>
    </row>
    <row r="4779" customFormat="false" ht="17.15" hidden="false" customHeight="false" outlineLevel="0" collapsed="false">
      <c r="A4779" s="1" t="s">
        <v>731</v>
      </c>
      <c r="B4779" s="0" t="s">
        <v>340</v>
      </c>
      <c r="C4779" s="27" t="n">
        <f aca="false">mix_g3*Sens!C4770</f>
        <v>224</v>
      </c>
      <c r="D4779" s="27" t="n">
        <f aca="false">mix_g3*Sens!D4770</f>
        <v>570.5</v>
      </c>
      <c r="E4779" s="27" t="n">
        <f aca="false">mix_g3*Sens!E4770</f>
        <v>1137.5</v>
      </c>
      <c r="F4779" s="27" t="n">
        <f aca="false">Sens!E4779+Sens!F4776*a_g3_27</f>
        <v>2906.54</v>
      </c>
      <c r="G4779" s="27" t="n">
        <f aca="false">Sens!F4779+Sens!G4776*a_g3_28</f>
        <v>3664.7</v>
      </c>
      <c r="H4779" s="27" t="n">
        <f aca="false">Sens!G4779+Sens!H4776*a_g3_29</f>
        <v>3917.42</v>
      </c>
      <c r="I4779" s="27" t="n">
        <f aca="false">Sens!H4779+Sens!I4776*a_g3_29</f>
        <v>4170.14</v>
      </c>
      <c r="J4779" s="27" t="n">
        <f aca="false">Sens!I4779+Sens!J4776*a_g3_29</f>
        <v>4422.86</v>
      </c>
      <c r="K4779" s="27" t="n">
        <f aca="false">Sens!J4779+Sens!K4776*a_g3_29</f>
        <v>4675.58</v>
      </c>
    </row>
    <row r="4780" customFormat="false" ht="17.15" hidden="false" customHeight="false" outlineLevel="0" collapsed="false">
      <c r="A4780" s="1" t="s">
        <v>732</v>
      </c>
      <c r="B4780" s="0" t="s">
        <v>340</v>
      </c>
      <c r="C4780" s="27" t="n">
        <f aca="false">0</f>
        <v>0</v>
      </c>
      <c r="D4780" s="27" t="n">
        <f aca="false">0</f>
        <v>0</v>
      </c>
      <c r="E4780" s="27" t="n">
        <f aca="false">0</f>
        <v>0</v>
      </c>
      <c r="F4780" s="27" t="n">
        <f aca="false">Sens!E4780+Sens!F4776*(1-a_g3_27)</f>
        <v>758.16</v>
      </c>
      <c r="G4780" s="27" t="n">
        <f aca="false">Sens!F4780+Sens!G4776*(1-a_g3_28)</f>
        <v>2527.2</v>
      </c>
      <c r="H4780" s="27" t="n">
        <f aca="false">Sens!G4780+Sens!H4776*(1-a_g3_29)</f>
        <v>4801.68</v>
      </c>
      <c r="I4780" s="27" t="n">
        <f aca="false">Sens!H4780+Sens!I4776*(1-a_g3_29)</f>
        <v>7076.16</v>
      </c>
      <c r="J4780" s="27" t="n">
        <f aca="false">Sens!I4780+Sens!J4776*(1-a_g3_29)</f>
        <v>9350.64</v>
      </c>
      <c r="K4780" s="27" t="n">
        <f aca="false">Sens!J4780+Sens!K4776*(1-a_g3_29)</f>
        <v>11625.12</v>
      </c>
    </row>
    <row r="4781" customFormat="false" ht="17.15" hidden="false" customHeight="false" outlineLevel="0" collapsed="false">
      <c r="A4781" s="1" t="s">
        <v>733</v>
      </c>
      <c r="B4781" s="0" t="s">
        <v>291</v>
      </c>
      <c r="C4781" s="18" t="n">
        <f aca="false">(Sens!C4777*tk_hold_h100+Sens!C4778*tk_hold_gb200+Sens!C4779*tk_hold_gb300+Sens!C4780*tk_hold_vr200)/Sens!C4770</f>
        <v>9.7235358126469</v>
      </c>
      <c r="D4781" s="18" t="n">
        <f aca="false">(Sens!D4777*tk_hold_h100+Sens!D4778*tk_hold_gb200+Sens!D4779*tk_hold_gb300+Sens!D4780*tk_hold_vr200)/Sens!D4770</f>
        <v>9.7235358126469</v>
      </c>
      <c r="E4781" s="18" t="n">
        <f aca="false">(Sens!E4777*tk_hold_h100+Sens!E4778*tk_hold_gb200+Sens!E4779*tk_hold_gb300+Sens!E4780*tk_hold_vr200)/Sens!E4770</f>
        <v>9.7235358126469</v>
      </c>
      <c r="F4781" s="18" t="n">
        <f aca="false">(Sens!F4777*tk_hold_h100+Sens!F4778*tk_hold_gb200+Sens!F4779*tk_hold_gb300+Sens!F4780*tk_hold_vr200)/Sens!F4770</f>
        <v>10.4079573161931</v>
      </c>
      <c r="G4781" s="18" t="n">
        <f aca="false">(Sens!G4777*tk_hold_h100+Sens!G4778*tk_hold_gb200+Sens!G4779*tk_hold_gb300+Sens!G4780*tk_hold_vr200)/Sens!G4770</f>
        <v>10.8388131109316</v>
      </c>
      <c r="H4781" s="18" t="n">
        <f aca="false">(Sens!H4777*tk_hold_h100+Sens!H4778*tk_hold_gb200+Sens!H4779*tk_hold_gb300+Sens!H4780*tk_hold_vr200)/Sens!H4770</f>
        <v>11.1311018388216</v>
      </c>
      <c r="I4781" s="18" t="n">
        <f aca="false">(Sens!I4777*tk_hold_h100+Sens!I4778*tk_hold_gb200+Sens!I4779*tk_hold_gb300+Sens!I4780*tk_hold_vr200)/Sens!I4770</f>
        <v>11.3128009818501</v>
      </c>
      <c r="J4781" s="18" t="n">
        <f aca="false">(Sens!J4777*tk_hold_h100+Sens!J4778*tk_hold_gb200+Sens!J4779*tk_hold_gb300+Sens!J4780*tk_hold_vr200)/Sens!J4770</f>
        <v>11.4366894646418</v>
      </c>
      <c r="K4781" s="18" t="n">
        <f aca="false">(Sens!K4777*tk_hold_h100+Sens!K4778*tk_hold_gb200+Sens!K4779*tk_hold_gb300+Sens!K4780*tk_hold_vr200)/Sens!K4770</f>
        <v>11.526570716348</v>
      </c>
    </row>
    <row r="4782" customFormat="false" ht="17.15" hidden="false" customHeight="false" outlineLevel="0" collapsed="false">
      <c r="A4782" s="0" t="s">
        <v>734</v>
      </c>
      <c r="B4782" s="0" t="s">
        <v>182</v>
      </c>
      <c r="C4782" s="18" t="n">
        <f aca="false">k_B</f>
        <v>1.17213932619116</v>
      </c>
      <c r="D4782" s="18" t="n">
        <f aca="false">k_B</f>
        <v>1.17213932619116</v>
      </c>
      <c r="E4782" s="18" t="n">
        <f aca="false">k_B</f>
        <v>1.17213932619116</v>
      </c>
      <c r="F4782" s="18" t="n">
        <f aca="false">(k_B+((ls_A*k_long+(1-ls_A)*k_spot)-k_B)*MIN(1,1/3))*1</f>
        <v>1.25022828131298</v>
      </c>
      <c r="G4782" s="18" t="n">
        <f aca="false">(k_B+((ls_A*k_long+(1-ls_A)*k_spot)-k_B)*MIN(1,2/3))*1</f>
        <v>1.3283172364348</v>
      </c>
      <c r="H4782" s="18" t="n">
        <f aca="false">(k_B+((ls_A*k_long+(1-ls_A)*k_spot)-k_B)*MIN(1,3/3))*1</f>
        <v>1.40640619155662</v>
      </c>
      <c r="I4782" s="18" t="n">
        <f aca="false">(k_B+((ls_A*k_long+(1-ls_A)*k_spot)-k_B)*MIN(1,4/3))*1</f>
        <v>1.40640619155662</v>
      </c>
      <c r="J4782" s="18" t="n">
        <f aca="false">(k_B+((ls_A*k_long+(1-ls_A)*k_spot)-k_B)*MIN(1,5/3))*1</f>
        <v>1.40640619155662</v>
      </c>
      <c r="K4782" s="18" t="n">
        <f aca="false">(k_B+((ls_A*k_long+(1-ls_A)*k_spot)-k_B)*MIN(1,6/3))*1</f>
        <v>1.40640619155662</v>
      </c>
      <c r="L4782" s="1" t="s">
        <v>735</v>
      </c>
    </row>
    <row r="4783" customFormat="false" ht="17.15" hidden="false" customHeight="false" outlineLevel="0" collapsed="false">
      <c r="A4783" s="1" t="s">
        <v>736</v>
      </c>
      <c r="B4783" s="0" t="s">
        <v>291</v>
      </c>
      <c r="C4783" s="18" t="n">
        <f aca="false">Sens!C4781*Sens!C4782*chip_f</f>
        <v>11.3973387156315</v>
      </c>
      <c r="D4783" s="18" t="n">
        <f aca="false">Sens!D4781*Sens!D4782*chip_f</f>
        <v>11.3973387156315</v>
      </c>
      <c r="E4783" s="18" t="n">
        <f aca="false">Sens!E4781*Sens!E4782*chip_f</f>
        <v>11.3973387156315</v>
      </c>
      <c r="F4783" s="18" t="n">
        <f aca="false">Sens!F4781*Sens!F4782*chip_f</f>
        <v>13.0123225874029</v>
      </c>
      <c r="G4783" s="18" t="n">
        <f aca="false">Sens!G4781*Sens!G4782*chip_f</f>
        <v>14.3973822777458</v>
      </c>
      <c r="H4783" s="18" t="n">
        <f aca="false">Sens!H4781*Sens!H4782*chip_f</f>
        <v>15.6548505449659</v>
      </c>
      <c r="I4783" s="18" t="n">
        <f aca="false">Sens!I4781*Sens!I4782*chip_f</f>
        <v>15.9103933447218</v>
      </c>
      <c r="J4783" s="18" t="n">
        <f aca="false">Sens!J4781*Sens!J4782*chip_f</f>
        <v>16.0846308739825</v>
      </c>
      <c r="K4783" s="18" t="n">
        <f aca="false">Sens!K4781*Sens!K4782*chip_f</f>
        <v>16.211040422887</v>
      </c>
      <c r="L4783" s="1" t="s">
        <v>737</v>
      </c>
    </row>
    <row r="4784" customFormat="false" ht="17.15" hidden="false" customHeight="false" outlineLevel="0" collapsed="false">
      <c r="A4784" s="0" t="s">
        <v>738</v>
      </c>
      <c r="B4784" s="0" t="s">
        <v>95</v>
      </c>
      <c r="D4784" s="6" t="n">
        <f aca="false">(Sens!C4770+Sens!D4770)/2*Sens!D4783/1000</f>
        <v>12.9359794422418</v>
      </c>
      <c r="E4784" s="6" t="n">
        <f aca="false">(Sens!D4770+Sens!E4770)/2*Sens!E4783/1000</f>
        <v>27.8095064661409</v>
      </c>
      <c r="F4784" s="6" t="n">
        <f aca="false">(Sens!E4770+Sens!F4770)/2*Sens!F4783/1000</f>
        <v>58.7324192305018</v>
      </c>
      <c r="G4784" s="6" t="n">
        <f aca="false">(Sens!F4770+Sens!G4770)/2*Sens!G4783/1000</f>
        <v>101.369089141153</v>
      </c>
      <c r="H4784" s="6" t="n">
        <f aca="false">(Sens!G4770+Sens!H4770)/2*Sens!H4783/1000</f>
        <v>149.785610014234</v>
      </c>
      <c r="I4784" s="6" t="n">
        <f aca="false">(Sens!H4770+Sens!I4770)/2*Sens!I4783/1000</f>
        <v>192.439389583079</v>
      </c>
      <c r="J4784" s="6" t="n">
        <f aca="false">(Sens!I4770+Sens!J4770)/2*Sens!J4783/1000</f>
        <v>235.195906491722</v>
      </c>
      <c r="K4784" s="6" t="n">
        <f aca="false">(Sens!J4770+Sens!K4770)/2*Sens!K4783/1000</f>
        <v>278.012858836343</v>
      </c>
      <c r="L4784" s="11" t="s">
        <v>739</v>
      </c>
    </row>
    <row r="4785" customFormat="false" ht="17.15" hidden="false" customHeight="false" outlineLevel="0" collapsed="false">
      <c r="A4785" s="1" t="s">
        <v>740</v>
      </c>
      <c r="B4785" s="0" t="s">
        <v>291</v>
      </c>
      <c r="C4785" s="18" t="n">
        <f aca="false">(Sens!C4777*tk_opex_h100+Sens!C4778*tk_opex_gb200+Sens!C4779*tk_opex_gb300+Sens!C4780*tk_opex_vr200)/Sens!C4770</f>
        <v>1.88636041306092</v>
      </c>
      <c r="D4785" s="18" t="n">
        <f aca="false">(Sens!D4777*tk_opex_h100+Sens!D4778*tk_opex_gb200+Sens!D4779*tk_opex_gb300+Sens!D4780*tk_opex_vr200)/Sens!D4770</f>
        <v>1.88636041306092</v>
      </c>
      <c r="E4785" s="18" t="n">
        <f aca="false">(Sens!E4777*tk_opex_h100+Sens!E4778*tk_opex_gb200+Sens!E4779*tk_opex_gb300+Sens!E4780*tk_opex_vr200)/Sens!E4770</f>
        <v>1.88636041306092</v>
      </c>
      <c r="F4785" s="18" t="n">
        <f aca="false">(Sens!F4777*tk_opex_h100+Sens!F4778*tk_opex_gb200+Sens!F4779*tk_opex_gb300+Sens!F4780*tk_opex_vr200)/Sens!F4770</f>
        <v>1.9430236476499</v>
      </c>
      <c r="G4785" s="18" t="n">
        <f aca="false">(Sens!G4777*tk_opex_h100+Sens!G4778*tk_opex_gb200+Sens!G4779*tk_opex_gb300+Sens!G4780*tk_opex_vr200)/Sens!G4770</f>
        <v>1.9786941852423</v>
      </c>
      <c r="H4785" s="18" t="n">
        <f aca="false">(Sens!H4777*tk_opex_h100+Sens!H4778*tk_opex_gb200+Sens!H4779*tk_opex_gb300+Sens!H4780*tk_opex_vr200)/Sens!H4770</f>
        <v>2.00289275976156</v>
      </c>
      <c r="I4785" s="18" t="n">
        <f aca="false">(Sens!I4777*tk_opex_h100+Sens!I4778*tk_opex_gb200+Sens!I4779*tk_opex_gb300+Sens!I4780*tk_opex_vr200)/Sens!I4770</f>
        <v>2.01793562605478</v>
      </c>
      <c r="J4785" s="18" t="n">
        <f aca="false">(Sens!J4777*tk_opex_h100+Sens!J4778*tk_opex_gb200+Sens!J4779*tk_opex_gb300+Sens!J4780*tk_opex_vr200)/Sens!J4770</f>
        <v>2.02819234961902</v>
      </c>
      <c r="K4785" s="18" t="n">
        <f aca="false">(Sens!K4777*tk_opex_h100+Sens!K4778*tk_opex_gb200+Sens!K4779*tk_opex_gb300+Sens!K4780*tk_opex_vr200)/Sens!K4770</f>
        <v>2.0356336155994</v>
      </c>
    </row>
    <row r="4786" customFormat="false" ht="17.15" hidden="false" customHeight="false" outlineLevel="0" collapsed="false">
      <c r="A4786" s="0" t="s">
        <v>741</v>
      </c>
      <c r="B4786" s="0" t="s">
        <v>95</v>
      </c>
      <c r="D4786" s="6" t="n">
        <f aca="false">(Sens!C4773+Sens!D4773)/2*Sens!D4785/1000</f>
        <v>2.70378325872065</v>
      </c>
      <c r="E4786" s="6" t="n">
        <f aca="false">(Sens!D4773+Sens!E4773)/2*Sens!E4785/1000</f>
        <v>6.17783035277451</v>
      </c>
      <c r="F4786" s="6" t="n">
        <f aca="false">(Sens!E4773+Sens!F4773)/2*Sens!F4785/1000</f>
        <v>12.5020618235287</v>
      </c>
      <c r="G4786" s="6" t="n">
        <f aca="false">(Sens!F4773+Sens!G4773)/2*Sens!G4785/1000</f>
        <v>20.7261620256847</v>
      </c>
      <c r="H4786" s="6" t="n">
        <f aca="false">(Sens!G4773+Sens!H4773)/2*Sens!H4785/1000</f>
        <v>29.4158183316982</v>
      </c>
      <c r="I4786" s="6" t="n">
        <f aca="false">(Sens!H4773+Sens!I4773)/2*Sens!I4785/1000</f>
        <v>38.1362927516005</v>
      </c>
      <c r="J4786" s="6" t="n">
        <f aca="false">(Sens!I4773+Sens!J4773)/2*Sens!J4785/1000</f>
        <v>46.8728773279286</v>
      </c>
      <c r="K4786" s="6" t="n">
        <f aca="false">(Sens!J4773+Sens!K4773)/2*Sens!K4785/1000</f>
        <v>55.618938734484</v>
      </c>
    </row>
    <row r="4787" customFormat="false" ht="17.15" hidden="false" customHeight="false" outlineLevel="0" collapsed="false">
      <c r="A4787" s="0" t="s">
        <v>742</v>
      </c>
      <c r="B4787" s="0" t="s">
        <v>95</v>
      </c>
      <c r="D4787" s="6" t="n">
        <f aca="false">(Sens!C4771+Sens!D4771)/2*rent_mw/1000</f>
        <v>2.44475</v>
      </c>
      <c r="E4787" s="6" t="n">
        <f aca="false">(Sens!D4771+Sens!E4771)/2*rent_mw/1000</f>
        <v>4.22275</v>
      </c>
      <c r="F4787" s="6" t="n">
        <f aca="false">(Sens!E4771+Sens!F4771)/2*rent_mw/1000</f>
        <v>5.80517</v>
      </c>
      <c r="G4787" s="6" t="n">
        <f aca="false">(Sens!F4771+Sens!G4771)/2*rent_mw/1000</f>
        <v>6.72084</v>
      </c>
      <c r="H4787" s="6" t="n">
        <f aca="false">(Sens!G4771+Sens!H4771)/2*rent_mw/1000</f>
        <v>6.72084</v>
      </c>
      <c r="I4787" s="6" t="n">
        <f aca="false">(Sens!H4771+Sens!I4771)/2*rent_mw/1000</f>
        <v>6.72084</v>
      </c>
      <c r="J4787" s="6" t="n">
        <f aca="false">(Sens!I4771+Sens!J4771)/2*rent_mw/1000</f>
        <v>6.72084</v>
      </c>
      <c r="K4787" s="6" t="n">
        <f aca="false">(Sens!J4771+Sens!K4771)/2*rent_mw/1000</f>
        <v>6.72084</v>
      </c>
    </row>
    <row r="4788" customFormat="false" ht="17.15" hidden="false" customHeight="false" outlineLevel="0" collapsed="false">
      <c r="A4788" s="0" t="s">
        <v>743</v>
      </c>
      <c r="B4788" s="0" t="s">
        <v>95</v>
      </c>
      <c r="D4788" s="6" t="n">
        <f aca="false">(Sens!C4773+Sens!D4773)/2*(1-self_build)*fac_rent/1000</f>
        <v>0.853242375631075</v>
      </c>
      <c r="E4788" s="6" t="n">
        <f aca="false">(Sens!D4773+Sens!E4773)/2*(1-self_build)*fac_rent/1000</f>
        <v>1.94955961408728</v>
      </c>
      <c r="F4788" s="6" t="n">
        <f aca="false">(Sens!E4773+Sens!F4773)/2*(1-self_build)*fac_rent/1000</f>
        <v>3.83026455274573</v>
      </c>
      <c r="G4788" s="6" t="n">
        <f aca="false">(Sens!F4773+Sens!G4773)/2*(1-self_build)*fac_rent/1000</f>
        <v>6.23541590972812</v>
      </c>
      <c r="H4788" s="6" t="n">
        <f aca="false">(Sens!G4773+Sens!H4773)/2*(1-self_build)*fac_rent/1000</f>
        <v>8.74275792332679</v>
      </c>
      <c r="I4788" s="6" t="n">
        <f aca="false">(Sens!H4773+Sens!I4773)/2*(1-self_build)*fac_rent/1000</f>
        <v>11.2500999369255</v>
      </c>
      <c r="J4788" s="6" t="n">
        <f aca="false">(Sens!I4773+Sens!J4773)/2*(1-self_build)*fac_rent/1000</f>
        <v>13.7574419505241</v>
      </c>
      <c r="K4788" s="6" t="n">
        <f aca="false">(Sens!J4773+Sens!K4773)/2*(1-self_build)*fac_rent/1000</f>
        <v>16.2647839641228</v>
      </c>
      <c r="L4788" s="11" t="s">
        <v>744</v>
      </c>
    </row>
    <row r="4789" customFormat="false" ht="17.15" hidden="false" customHeight="false" outlineLevel="0" collapsed="false">
      <c r="A4789" s="1" t="s">
        <v>745</v>
      </c>
      <c r="B4789" s="0" t="s">
        <v>126</v>
      </c>
      <c r="D4789" s="7" t="n">
        <f aca="false">(Sens!C4772+Sens!D4772)/(Sens!C4773+Sens!D4773)</f>
        <v>0.6</v>
      </c>
      <c r="E4789" s="7" t="n">
        <f aca="false">(Sens!D4772+Sens!E4772)/(Sens!D4773+Sens!E4773)</f>
        <v>0.6</v>
      </c>
      <c r="F4789" s="7" t="n">
        <f aca="false">(Sens!E4772+Sens!F4772)/(Sens!E4773+Sens!F4773)</f>
        <v>0.6</v>
      </c>
      <c r="G4789" s="7" t="n">
        <f aca="false">(Sens!F4772+Sens!G4772)/(Sens!F4773+Sens!G4773)</f>
        <v>0.6</v>
      </c>
      <c r="H4789" s="7" t="n">
        <f aca="false">(Sens!G4772+Sens!H4772)/(Sens!G4773+Sens!H4773)</f>
        <v>0.6</v>
      </c>
      <c r="I4789" s="7" t="n">
        <f aca="false">(Sens!H4772+Sens!I4772)/(Sens!H4773+Sens!I4773)</f>
        <v>0.6</v>
      </c>
      <c r="J4789" s="7" t="n">
        <f aca="false">(Sens!I4772+Sens!J4772)/(Sens!I4773+Sens!J4773)</f>
        <v>0.6</v>
      </c>
      <c r="K4789" s="7" t="n">
        <f aca="false">(Sens!J4772+Sens!K4772)/(Sens!J4773+Sens!K4773)</f>
        <v>0.6</v>
      </c>
    </row>
    <row r="4790" customFormat="false" ht="17.15" hidden="false" customHeight="false" outlineLevel="0" collapsed="false">
      <c r="A4790" s="0" t="s">
        <v>746</v>
      </c>
      <c r="B4790" s="0" t="s">
        <v>95</v>
      </c>
      <c r="D4790" s="6" t="n">
        <f aca="false">Sens!D4784-Sens!D4789*(Sens!D4786+Sens!D4788)-Sens!D4787</f>
        <v>8.35701406163072</v>
      </c>
      <c r="E4790" s="6" t="n">
        <f aca="false">Sens!E4784-Sens!E4789*(Sens!E4786+Sens!E4788)-Sens!E4787</f>
        <v>18.7103224860238</v>
      </c>
      <c r="F4790" s="6" t="n">
        <f aca="false">Sens!F4784-Sens!F4789*(Sens!F4786+Sens!F4788)-Sens!F4787</f>
        <v>43.1278534047371</v>
      </c>
      <c r="G4790" s="6" t="n">
        <f aca="false">Sens!G4784-Sens!G4789*(Sens!G4786+Sens!G4788)-Sens!G4787</f>
        <v>78.4713023799053</v>
      </c>
      <c r="H4790" s="6" t="n">
        <f aca="false">Sens!H4784-Sens!H4789*(Sens!H4786+Sens!H4788)-Sens!H4787</f>
        <v>120.169624261219</v>
      </c>
      <c r="I4790" s="6" t="n">
        <f aca="false">Sens!I4784-Sens!I4789*(Sens!I4786+Sens!I4788)-Sens!I4787</f>
        <v>156.086713969963</v>
      </c>
      <c r="J4790" s="6" t="n">
        <f aca="false">Sens!J4784-Sens!J4789*(Sens!J4786+Sens!J4788)-Sens!J4787</f>
        <v>192.09687492465</v>
      </c>
      <c r="K4790" s="6" t="n">
        <f aca="false">Sens!K4784-Sens!K4789*(Sens!K4786+Sens!K4788)-Sens!K4787</f>
        <v>228.161785217179</v>
      </c>
    </row>
    <row r="4791" customFormat="false" ht="17.15" hidden="false" customHeight="false" outlineLevel="0" collapsed="false">
      <c r="A4791" s="1" t="s">
        <v>747</v>
      </c>
      <c r="B4791" s="0" t="s">
        <v>95</v>
      </c>
      <c r="D4791" s="6" t="n">
        <f aca="false">(1-Sens!D4789)*(Sens!D4786+Sens!D4788)</f>
        <v>1.42281025374069</v>
      </c>
      <c r="E4791" s="6" t="n">
        <f aca="false">(1-Sens!E4789)*(Sens!E4786+Sens!E4788)</f>
        <v>3.25095598674472</v>
      </c>
      <c r="F4791" s="6" t="n">
        <f aca="false">(1-Sens!F4789)*(Sens!F4786+Sens!F4788)</f>
        <v>6.53293055050977</v>
      </c>
      <c r="G4791" s="6" t="n">
        <f aca="false">(1-Sens!G4789)*(Sens!G4786+Sens!G4788)</f>
        <v>10.7846311741651</v>
      </c>
      <c r="H4791" s="6" t="n">
        <f aca="false">(1-Sens!H4789)*(Sens!H4786+Sens!H4788)</f>
        <v>15.26343050201</v>
      </c>
      <c r="I4791" s="6" t="n">
        <f aca="false">(1-Sens!I4789)*(Sens!I4786+Sens!I4788)</f>
        <v>19.7545570754104</v>
      </c>
      <c r="J4791" s="6" t="n">
        <f aca="false">(1-Sens!J4789)*(Sens!J4786+Sens!J4788)</f>
        <v>24.2521277113811</v>
      </c>
      <c r="K4791" s="6" t="n">
        <f aca="false">(1-Sens!K4789)*(Sens!K4786+Sens!K4788)</f>
        <v>28.7534890794427</v>
      </c>
    </row>
    <row r="4792" customFormat="false" ht="17.15" hidden="false" customHeight="false" outlineLevel="0" collapsed="false">
      <c r="A4792" s="1" t="s">
        <v>748</v>
      </c>
      <c r="B4792" s="0" t="s">
        <v>302</v>
      </c>
      <c r="C4792" s="8" t="n">
        <f aca="false">cxit_open</f>
        <v>27.5918995</v>
      </c>
      <c r="D4792" s="8" t="n">
        <f aca="false">cxit_open</f>
        <v>27.5918995</v>
      </c>
      <c r="E4792" s="8" t="n">
        <f aca="false">cxit_open</f>
        <v>27.5918995</v>
      </c>
      <c r="F4792" s="8" t="n">
        <f aca="false">(a_g3_27*tk_cxit_gb300+(1-a_g3_27)*tk_cxit_vr200)</f>
        <v>33.8419624</v>
      </c>
      <c r="G4792" s="8" t="n">
        <f aca="false">(a_g3_28*tk_cxit_gb300+(1-a_g3_28)*tk_cxit_vr200)</f>
        <v>35.9816136</v>
      </c>
      <c r="H4792" s="8" t="n">
        <f aca="false">(a_g3_29*tk_cxit_gb300+(1-a_g3_29)*tk_cxit_vr200)</f>
        <v>37.0514392</v>
      </c>
      <c r="I4792" s="8" t="n">
        <f aca="false">(a_g3_29*tk_cxit_gb300+(1-a_g3_29)*tk_cxit_vr200)</f>
        <v>37.0514392</v>
      </c>
      <c r="J4792" s="8" t="n">
        <f aca="false">(a_g3_29*tk_cxit_gb300+(1-a_g3_29)*tk_cxit_vr200)</f>
        <v>37.0514392</v>
      </c>
      <c r="K4792" s="8" t="n">
        <f aca="false">(a_g3_29*tk_cxit_gb300+(1-a_g3_29)*tk_cxit_vr200)</f>
        <v>37.0514392</v>
      </c>
      <c r="L4792" s="11" t="s">
        <v>749</v>
      </c>
    </row>
    <row r="4793" customFormat="false" ht="17.15" hidden="false" customHeight="false" outlineLevel="0" collapsed="false">
      <c r="A4793" s="0" t="s">
        <v>750</v>
      </c>
      <c r="B4793" s="0" t="s">
        <v>340</v>
      </c>
      <c r="F4793" s="27" t="n">
        <f aca="false">Sens!C4775*IF(3=life_it,1,0)+Sens!D4775*IF(2=life_it,1,0)+Sens!E4775*IF(1=life_it,1,0)</f>
        <v>0</v>
      </c>
      <c r="G4793" s="27" t="n">
        <f aca="false">Sens!C4775*IF(4=life_it,1,0)+Sens!D4775*IF(3=life_it,1,0)+Sens!E4775*IF(2=life_it,1,0)+Sens!F4775*IF(1=life_it,1,0)</f>
        <v>0</v>
      </c>
      <c r="H4793" s="27" t="n">
        <f aca="false">Sens!C4775*IF(5=life_it,1,0)+Sens!D4775*IF(4=life_it,1,0)+Sens!E4775*IF(3=life_it,1,0)+Sens!F4775*IF(2=life_it,1,0)+Sens!G4775*IF(1=life_it,1,0)</f>
        <v>0</v>
      </c>
      <c r="I4793" s="27" t="n">
        <f aca="false">Sens!C4775*IF(6=life_it,1,0)+Sens!D4775*IF(5=life_it,1,0)+Sens!E4775*IF(4=life_it,1,0)+Sens!F4775*IF(3=life_it,1,0)+Sens!G4775*IF(2=life_it,1,0)+Sens!H4775*IF(1=life_it,1,0)</f>
        <v>816.666666666667</v>
      </c>
      <c r="J4793" s="27" t="n">
        <f aca="false">Sens!C4775*IF(7=life_it,1,0)+Sens!D4775*IF(6=life_it,1,0)+Sens!E4775*IF(5=life_it,1,0)+Sens!F4775*IF(4=life_it,1,0)+Sens!G4775*IF(3=life_it,1,0)+Sens!H4775*IF(2=life_it,1,0)+Sens!I4775*IF(1=life_it,1,0)</f>
        <v>1233.33333333333</v>
      </c>
      <c r="K4793" s="27" t="n">
        <f aca="false">Sens!C4775*IF(8=life_it,1,0)+Sens!D4775*IF(7=life_it,1,0)+Sens!E4775*IF(6=life_it,1,0)+Sens!F4775*IF(5=life_it,1,0)+Sens!G4775*IF(4=life_it,1,0)+Sens!H4775*IF(3=life_it,1,0)+Sens!I4775*IF(2=life_it,1,0)+Sens!J4775*IF(1=life_it,1,0)</f>
        <v>2450</v>
      </c>
      <c r="L4793" s="1" t="s">
        <v>751</v>
      </c>
    </row>
    <row r="4794" customFormat="false" ht="17.15" hidden="false" customHeight="false" outlineLevel="0" collapsed="false">
      <c r="A4794" s="0" t="s">
        <v>752</v>
      </c>
      <c r="B4794" s="0" t="s">
        <v>95</v>
      </c>
      <c r="C4794" s="6" t="n">
        <f aca="false">Sens!C4775*Sens!C4792/1000</f>
        <v>22.5333845916667</v>
      </c>
      <c r="D4794" s="6" t="n">
        <f aca="false">Sens!D4775*Sens!D4792/1000</f>
        <v>34.0300093833333</v>
      </c>
      <c r="E4794" s="6" t="n">
        <f aca="false">Sens!E4775*Sens!E4792/1000</f>
        <v>67.600153775</v>
      </c>
      <c r="F4794" s="6" t="n">
        <f aca="false">(Sens!F4775+Sens!F4793)*Sens!F4792/1000</f>
        <v>130.923271871467</v>
      </c>
      <c r="G4794" s="6" t="n">
        <f aca="false">(Sens!G4775+Sens!G4793)*Sens!G4792/1000</f>
        <v>151.5545564832</v>
      </c>
      <c r="H4794" s="6" t="n">
        <f aca="false">(Sens!H4775+Sens!H4793)*Sens!H4792/1000</f>
        <v>156.0606619104</v>
      </c>
      <c r="I4794" s="6" t="n">
        <f aca="false">(Sens!I4775+Sens!I4793)*Sens!I4792/1000</f>
        <v>186.319337257067</v>
      </c>
      <c r="J4794" s="6" t="n">
        <f aca="false">(Sens!J4775+Sens!J4793)*Sens!J4792/1000</f>
        <v>201.757436923733</v>
      </c>
      <c r="K4794" s="6" t="n">
        <f aca="false">(Sens!K4775+Sens!K4793)*Sens!K4792/1000</f>
        <v>246.8366879504</v>
      </c>
    </row>
    <row r="4795" customFormat="false" ht="17.15" hidden="false" customHeight="false" outlineLevel="0" collapsed="false">
      <c r="A4795" s="0" t="s">
        <v>753</v>
      </c>
      <c r="B4795" s="0" t="s">
        <v>95</v>
      </c>
      <c r="C4795" s="6" t="n">
        <f aca="false">Sens!C4775*self_build*tk_cxfac/1000</f>
        <v>6.2083</v>
      </c>
      <c r="D4795" s="6" t="n">
        <f aca="false">Sens!D4775*self_build*tk_cxfac/1000</f>
        <v>9.3758</v>
      </c>
      <c r="E4795" s="6" t="n">
        <f aca="false">Sens!E4775*self_build*tk_cxfac/1000</f>
        <v>18.6249</v>
      </c>
      <c r="F4795" s="6" t="n">
        <f aca="false">Sens!F4775*self_build*tk_cxfac/1000</f>
        <v>29.409604</v>
      </c>
      <c r="G4795" s="6" t="n">
        <f aca="false">Sens!G4775*self_build*tk_cxfac/1000</f>
        <v>32.019624</v>
      </c>
      <c r="H4795" s="6" t="n">
        <f aca="false">Sens!H4775*self_build*tk_cxfac/1000</f>
        <v>32.019624</v>
      </c>
      <c r="I4795" s="6" t="n">
        <f aca="false">Sens!I4775*self_build*tk_cxfac/1000</f>
        <v>32.019624</v>
      </c>
      <c r="J4795" s="6" t="n">
        <f aca="false">Sens!J4775*self_build*tk_cxfac/1000</f>
        <v>32.019624</v>
      </c>
      <c r="K4795" s="6" t="n">
        <f aca="false">Sens!K4775*self_build*tk_cxfac/1000</f>
        <v>32.019624</v>
      </c>
    </row>
    <row r="4796" customFormat="false" ht="17.15" hidden="false" customHeight="false" outlineLevel="0" collapsed="false">
      <c r="A4796" s="0" t="s">
        <v>754</v>
      </c>
      <c r="B4796" s="0" t="s">
        <v>95</v>
      </c>
      <c r="F4796" s="6" t="n">
        <f aca="false">MAX(0,capex_floor27-Sens!F4794-Sens!F4795-Sens!F4883)</f>
        <v>7.91277689897088</v>
      </c>
      <c r="G4796" s="6" t="n">
        <f aca="false">0</f>
        <v>0</v>
      </c>
      <c r="H4796" s="6" t="n">
        <f aca="false">0</f>
        <v>0</v>
      </c>
      <c r="I4796" s="6" t="n">
        <f aca="false">0</f>
        <v>0</v>
      </c>
      <c r="J4796" s="6" t="n">
        <f aca="false">0</f>
        <v>0</v>
      </c>
      <c r="K4796" s="6" t="n">
        <f aca="false">0</f>
        <v>0</v>
      </c>
      <c r="L4796" s="1" t="s">
        <v>755</v>
      </c>
    </row>
    <row r="4797" customFormat="false" ht="17.15" hidden="false" customHeight="false" outlineLevel="0" collapsed="false">
      <c r="A4797" s="0" t="s">
        <v>756</v>
      </c>
      <c r="B4797" s="0" t="s">
        <v>95</v>
      </c>
      <c r="C4797" s="6" t="n">
        <f aca="false">Sens!C4794</f>
        <v>22.5333845916667</v>
      </c>
      <c r="D4797" s="6" t="n">
        <f aca="false">Sens!D4794</f>
        <v>34.0300093833333</v>
      </c>
      <c r="E4797" s="6" t="n">
        <f aca="false">Sens!E4794</f>
        <v>67.600153775</v>
      </c>
      <c r="F4797" s="6" t="n">
        <f aca="false">Sens!F4794+Sens!F4796</f>
        <v>138.836048770438</v>
      </c>
      <c r="G4797" s="6" t="n">
        <f aca="false">Sens!G4794+Sens!G4796</f>
        <v>151.5545564832</v>
      </c>
      <c r="H4797" s="6" t="n">
        <f aca="false">Sens!H4794+Sens!H4796</f>
        <v>156.0606619104</v>
      </c>
      <c r="I4797" s="6" t="n">
        <f aca="false">Sens!I4794+Sens!I4796</f>
        <v>186.319337257067</v>
      </c>
      <c r="J4797" s="6" t="n">
        <f aca="false">Sens!J4794+Sens!J4796</f>
        <v>201.757436923733</v>
      </c>
      <c r="K4797" s="6" t="n">
        <f aca="false">Sens!K4794+Sens!K4796</f>
        <v>246.8366879504</v>
      </c>
    </row>
    <row r="4798" customFormat="false" ht="17.15" hidden="false" customHeight="false" outlineLevel="0" collapsed="false">
      <c r="A4798" s="0" t="s">
        <v>757</v>
      </c>
      <c r="B4798" s="0" t="s">
        <v>95</v>
      </c>
      <c r="C4798" s="6" t="n">
        <f aca="false">Sens!C4797+Sens!C4795</f>
        <v>28.7416845916667</v>
      </c>
      <c r="D4798" s="6" t="n">
        <f aca="false">Sens!D4797+Sens!D4795</f>
        <v>43.4058093833333</v>
      </c>
      <c r="E4798" s="6" t="n">
        <f aca="false">Sens!E4797+Sens!E4795</f>
        <v>86.225053775</v>
      </c>
      <c r="F4798" s="6" t="n">
        <f aca="false">Sens!F4797+Sens!F4795</f>
        <v>168.245652770438</v>
      </c>
      <c r="G4798" s="6" t="n">
        <f aca="false">Sens!G4797+Sens!G4795</f>
        <v>183.5741804832</v>
      </c>
      <c r="H4798" s="6" t="n">
        <f aca="false">Sens!H4797+Sens!H4795</f>
        <v>188.0802859104</v>
      </c>
      <c r="I4798" s="6" t="n">
        <f aca="false">Sens!I4797+Sens!I4795</f>
        <v>218.338961257067</v>
      </c>
      <c r="J4798" s="6" t="n">
        <f aca="false">Sens!J4797+Sens!J4795</f>
        <v>233.777060923733</v>
      </c>
      <c r="K4798" s="6" t="n">
        <f aca="false">Sens!K4797+Sens!K4795</f>
        <v>278.8563119504</v>
      </c>
      <c r="L4798" s="11" t="s">
        <v>758</v>
      </c>
    </row>
    <row r="4799" customFormat="false" ht="17.15" hidden="false" customHeight="false" outlineLevel="0" collapsed="false">
      <c r="A4799" s="0" t="s">
        <v>759</v>
      </c>
      <c r="B4799" s="0" t="s">
        <v>95</v>
      </c>
      <c r="E4799" s="6" t="n">
        <f aca="false">(Sens!C4797*IF(2&lt;life_it,1,IF(2=life_it,0.5,0))+Sens!D4797*IF(1&lt;life_it,1,IF(1=life_it,0.5,0))+Sens!E4797*0.5)/life_it</f>
        <v>15.0605784770833</v>
      </c>
      <c r="F4799" s="6" t="n">
        <f aca="false">(Sens!C4797*IF(3&lt;life_it,1,IF(3=life_it,0.5,0))+Sens!D4797*IF(2&lt;life_it,1,IF(2=life_it,0.5,0))+Sens!E4797*IF(1&lt;life_it,1,IF(1=life_it,0.5,0))+Sens!F4797*0.5)/life_it</f>
        <v>32.2635953558698</v>
      </c>
      <c r="G4799" s="6" t="n">
        <f aca="false">(Sens!C4797*IF(4&lt;life_it,1,IF(4=life_it,0.5,0))+Sens!D4797*IF(3&lt;life_it,1,IF(3=life_it,0.5,0))+Sens!E4797*IF(2&lt;life_it,1,IF(2=life_it,0.5,0))+Sens!F4797*IF(1&lt;life_it,1,IF(1=life_it,0.5,0))+Sens!G4797*0.5)/life_it</f>
        <v>56.4628124603396</v>
      </c>
      <c r="H4799" s="6" t="n">
        <f aca="false">(Sens!C4797*IF(5&lt;life_it,1,IF(5=life_it,0.5,0))+Sens!D4797*IF(4&lt;life_it,1,IF(4=life_it,0.5,0))+Sens!E4797*IF(3&lt;life_it,1,IF(3=life_it,0.5,0))+Sens!F4797*IF(2&lt;life_it,1,IF(2=life_it,0.5,0))+Sens!G4797*IF(1&lt;life_it,1,IF(1=life_it,0.5,0))+Sens!H4797*0.5)/life_it</f>
        <v>82.0974139931396</v>
      </c>
      <c r="I4799" s="6" t="n">
        <f aca="false">(Sens!C4797*IF(6&lt;life_it,1,IF(6=life_it,0.5,0))+Sens!D4797*IF(5&lt;life_it,1,IF(5=life_it,0.5,0))+Sens!E4797*IF(4&lt;life_it,1,IF(4=life_it,0.5,0))+Sens!F4797*IF(3&lt;life_it,1,IF(3=life_it,0.5,0))+Sens!G4797*IF(2&lt;life_it,1,IF(2=life_it,0.5,0))+Sens!H4797*IF(1&lt;life_it,1,IF(1=life_it,0.5,0))+Sens!I4797*0.5)/life_it</f>
        <v>108.751298541123</v>
      </c>
      <c r="J4799" s="6" t="n">
        <f aca="false">(Sens!C4797*IF(7&lt;life_it,1,IF(7=life_it,0.5,0))+Sens!D4797*IF(6&lt;life_it,1,IF(6=life_it,0.5,0))+Sens!E4797*IF(5&lt;life_it,1,IF(5=life_it,0.5,0))+Sens!F4797*IF(4&lt;life_it,1,IF(4=life_it,0.5,0))+Sens!G4797*IF(3&lt;life_it,1,IF(3=life_it,0.5,0))+Sens!H4797*IF(2&lt;life_it,1,IF(2=life_it,0.5,0))+Sens!I4797*IF(1&lt;life_it,1,IF(1=life_it,0.5,0))+Sens!J4797*0.5)/life_it</f>
        <v>136.377413558273</v>
      </c>
      <c r="K4799" s="6" t="n">
        <f aca="false">(Sens!C4797*IF(8&lt;life_it,1,IF(8=life_it,0.5,0))+Sens!D4797*IF(7&lt;life_it,1,IF(7=life_it,0.5,0))+Sens!E4797*IF(6&lt;life_it,1,IF(6=life_it,0.5,0))+Sens!F4797*IF(5&lt;life_it,1,IF(5=life_it,0.5,0))+Sens!G4797*IF(4&lt;life_it,1,IF(4=life_it,0.5,0))+Sens!H4797*IF(3&lt;life_it,1,IF(3=life_it,0.5,0))+Sens!I4797*IF(2&lt;life_it,1,IF(2=life_it,0.5,0))+Sens!J4797*IF(1&lt;life_it,1,IF(1=life_it,0.5,0))+Sens!K4797*0.5)/life_it</f>
        <v>165.29107703459</v>
      </c>
    </row>
    <row r="4800" customFormat="false" ht="17.15" hidden="false" customHeight="false" outlineLevel="0" collapsed="false">
      <c r="A4800" s="0" t="s">
        <v>760</v>
      </c>
      <c r="B4800" s="0" t="s">
        <v>95</v>
      </c>
      <c r="E4800" s="6" t="n">
        <f aca="false">(Sens!C4795*IF(2&lt;life_fac,1,IF(2=life_fac,0.5,0))+Sens!D4795*IF(1&lt;life_fac,1,IF(1=life_fac,0.5,0))+Sens!E4795*0.5)/life_fac</f>
        <v>1.2448275</v>
      </c>
      <c r="F4800" s="6" t="n">
        <f aca="false">(Sens!C4795*IF(3&lt;life_fac,1,IF(3=life_fac,0.5,0))+Sens!D4795*IF(2&lt;life_fac,1,IF(2=life_fac,0.5,0))+Sens!E4795*IF(1&lt;life_fac,1,IF(1=life_fac,0.5,0))+Sens!F4795*0.5)/life_fac</f>
        <v>2.4456901</v>
      </c>
      <c r="G4800" s="6" t="n">
        <f aca="false">(Sens!C4795*IF(4&lt;life_fac,1,IF(4=life_fac,0.5,0))+Sens!D4795*IF(3&lt;life_fac,1,IF(3=life_fac,0.5,0))+Sens!E4795*IF(2&lt;life_fac,1,IF(2=life_fac,0.5,0))+Sens!F4795*IF(1&lt;life_fac,1,IF(1=life_fac,0.5,0))+Sens!G4795*0.5)/life_fac</f>
        <v>3.9814208</v>
      </c>
      <c r="H4800" s="6" t="n">
        <f aca="false">(Sens!C4795*IF(5&lt;life_fac,1,IF(5=life_fac,0.5,0))+Sens!D4795*IF(4&lt;life_fac,1,IF(4=life_fac,0.5,0))+Sens!E4795*IF(3&lt;life_fac,1,IF(3=life_fac,0.5,0))+Sens!F4795*IF(2&lt;life_fac,1,IF(2=life_fac,0.5,0))+Sens!G4795*IF(1&lt;life_fac,1,IF(1=life_fac,0.5,0))+Sens!H4795*0.5)/life_fac</f>
        <v>5.582402</v>
      </c>
      <c r="I4800" s="6" t="n">
        <f aca="false">(Sens!C4795*IF(6&lt;life_fac,1,IF(6=life_fac,0.5,0))+Sens!D4795*IF(5&lt;life_fac,1,IF(5=life_fac,0.5,0))+Sens!E4795*IF(4&lt;life_fac,1,IF(4=life_fac,0.5,0))+Sens!F4795*IF(3&lt;life_fac,1,IF(3=life_fac,0.5,0))+Sens!G4795*IF(2&lt;life_fac,1,IF(2=life_fac,0.5,0))+Sens!H4795*IF(1&lt;life_fac,1,IF(1=life_fac,0.5,0))+Sens!I4795*0.5)/life_fac</f>
        <v>7.1833832</v>
      </c>
      <c r="J4800" s="6" t="n">
        <f aca="false">(Sens!C4795*IF(7&lt;life_fac,1,IF(7=life_fac,0.5,0))+Sens!D4795*IF(6&lt;life_fac,1,IF(6=life_fac,0.5,0))+Sens!E4795*IF(5&lt;life_fac,1,IF(5=life_fac,0.5,0))+Sens!F4795*IF(4&lt;life_fac,1,IF(4=life_fac,0.5,0))+Sens!G4795*IF(3&lt;life_fac,1,IF(3=life_fac,0.5,0))+Sens!H4795*IF(2&lt;life_fac,1,IF(2=life_fac,0.5,0))+Sens!I4795*IF(1&lt;life_fac,1,IF(1=life_fac,0.5,0))+Sens!J4795*0.5)/life_fac</f>
        <v>8.7843644</v>
      </c>
      <c r="K4800" s="6" t="n">
        <f aca="false">(Sens!C4795*IF(8&lt;life_fac,1,IF(8=life_fac,0.5,0))+Sens!D4795*IF(7&lt;life_fac,1,IF(7=life_fac,0.5,0))+Sens!E4795*IF(6&lt;life_fac,1,IF(6=life_fac,0.5,0))+Sens!F4795*IF(5&lt;life_fac,1,IF(5=life_fac,0.5,0))+Sens!G4795*IF(4&lt;life_fac,1,IF(4=life_fac,0.5,0))+Sens!H4795*IF(3&lt;life_fac,1,IF(3=life_fac,0.5,0))+Sens!I4795*IF(2&lt;life_fac,1,IF(2=life_fac,0.5,0))+Sens!J4795*IF(1&lt;life_fac,1,IF(1=life_fac,0.5,0))+Sens!K4795*0.5)/life_fac</f>
        <v>10.3853456</v>
      </c>
    </row>
    <row r="4801" customFormat="false" ht="17.15" hidden="false" customHeight="false" outlineLevel="0" collapsed="false">
      <c r="A4801" s="0" t="s">
        <v>761</v>
      </c>
      <c r="B4801" s="0" t="s">
        <v>95</v>
      </c>
      <c r="E4801" s="6" t="n">
        <f aca="false">Sens!E4799+Sens!E4800</f>
        <v>16.3054059770833</v>
      </c>
      <c r="F4801" s="6" t="n">
        <f aca="false">Sens!F4799+Sens!F4800</f>
        <v>34.7092854558698</v>
      </c>
      <c r="G4801" s="6" t="n">
        <f aca="false">Sens!G4799+Sens!G4800</f>
        <v>60.4442332603396</v>
      </c>
      <c r="H4801" s="6" t="n">
        <f aca="false">Sens!H4799+Sens!H4800</f>
        <v>87.6798159931396</v>
      </c>
      <c r="I4801" s="6" t="n">
        <f aca="false">Sens!I4799+Sens!I4800</f>
        <v>115.934681741123</v>
      </c>
      <c r="J4801" s="6" t="n">
        <f aca="false">Sens!J4799+Sens!J4800</f>
        <v>145.161777958273</v>
      </c>
      <c r="K4801" s="6" t="n">
        <f aca="false">Sens!K4799+Sens!K4800</f>
        <v>175.67642263459</v>
      </c>
    </row>
    <row r="4802" customFormat="false" ht="17.15" hidden="false" customHeight="false" outlineLevel="0" collapsed="false">
      <c r="A4802" s="0" t="s">
        <v>762</v>
      </c>
      <c r="B4802" s="0" t="s">
        <v>95</v>
      </c>
      <c r="E4802" s="6" t="n">
        <f aca="false">Sens!E4790-Sens!E4789*Sens!E4801</f>
        <v>8.92707889977379</v>
      </c>
      <c r="F4802" s="6" t="n">
        <f aca="false">Sens!F4790-Sens!F4789*Sens!F4801</f>
        <v>22.3022821312152</v>
      </c>
      <c r="G4802" s="6" t="n">
        <f aca="false">Sens!G4790-Sens!G4789*Sens!G4801</f>
        <v>42.2047624237015</v>
      </c>
      <c r="H4802" s="6" t="n">
        <f aca="false">Sens!H4790-Sens!H4789*Sens!H4801</f>
        <v>67.5617346653351</v>
      </c>
      <c r="I4802" s="6" t="n">
        <f aca="false">Sens!I4790-Sens!I4789*Sens!I4801</f>
        <v>86.5259049252897</v>
      </c>
      <c r="J4802" s="6" t="n">
        <f aca="false">Sens!J4790-Sens!J4789*Sens!J4801</f>
        <v>104.999808149687</v>
      </c>
      <c r="K4802" s="6" t="n">
        <f aca="false">Sens!K4790-Sens!K4789*Sens!K4801</f>
        <v>122.755931636425</v>
      </c>
    </row>
    <row r="4803" customFormat="false" ht="17.15" hidden="false" customHeight="false" outlineLevel="0" collapsed="false">
      <c r="A4803" s="3" t="s">
        <v>1250</v>
      </c>
    </row>
    <row r="4804" customFormat="false" ht="15" hidden="false" customHeight="false" outlineLevel="0" collapsed="false">
      <c r="A4804" s="4" t="s">
        <v>43</v>
      </c>
      <c r="B4804" s="4" t="s">
        <v>63</v>
      </c>
      <c r="C4804" s="19" t="s">
        <v>710</v>
      </c>
      <c r="D4804" s="19" t="s">
        <v>711</v>
      </c>
      <c r="E4804" s="19" t="s">
        <v>712</v>
      </c>
      <c r="F4804" s="19" t="s">
        <v>713</v>
      </c>
      <c r="G4804" s="19" t="s">
        <v>714</v>
      </c>
      <c r="H4804" s="19" t="s">
        <v>715</v>
      </c>
      <c r="I4804" s="19" t="s">
        <v>716</v>
      </c>
      <c r="J4804" s="19" t="s">
        <v>717</v>
      </c>
      <c r="K4804" s="19" t="s">
        <v>718</v>
      </c>
      <c r="L4804" s="4" t="s">
        <v>47</v>
      </c>
    </row>
    <row r="4805" customFormat="false" ht="17.15" hidden="false" customHeight="false" outlineLevel="0" collapsed="false">
      <c r="A4805" s="0" t="s">
        <v>780</v>
      </c>
      <c r="B4805" s="0" t="s">
        <v>95</v>
      </c>
      <c r="D4805" s="6" t="n">
        <f aca="false">Sens!D4784</f>
        <v>12.9359794422418</v>
      </c>
      <c r="E4805" s="6" t="n">
        <f aca="false">Sens!E4784</f>
        <v>27.8095064661409</v>
      </c>
      <c r="F4805" s="6" t="n">
        <f aca="false">Sens!F4784</f>
        <v>58.7324192305018</v>
      </c>
      <c r="G4805" s="6" t="n">
        <f aca="false">Sens!G4784</f>
        <v>101.369089141153</v>
      </c>
      <c r="H4805" s="6" t="n">
        <f aca="false">Sens!H4784</f>
        <v>149.785610014234</v>
      </c>
      <c r="I4805" s="6" t="n">
        <f aca="false">Sens!I4784</f>
        <v>192.439389583079</v>
      </c>
      <c r="J4805" s="6" t="n">
        <f aca="false">Sens!J4784</f>
        <v>235.195906491722</v>
      </c>
      <c r="K4805" s="6" t="n">
        <f aca="false">Sens!K4784</f>
        <v>278.012858836343</v>
      </c>
    </row>
    <row r="4806" customFormat="false" ht="17.15" hidden="false" customHeight="false" outlineLevel="0" collapsed="false">
      <c r="A4806" s="0" t="s">
        <v>781</v>
      </c>
      <c r="B4806" s="0" t="s">
        <v>95</v>
      </c>
      <c r="D4806" s="6" t="n">
        <f aca="false">Q!L6-Sens!D4805</f>
        <v>59.6740205577583</v>
      </c>
      <c r="E4806" s="6" t="n">
        <f aca="false">Q!M6-Sens!E4805</f>
        <v>74.1284935338591</v>
      </c>
      <c r="F4806" s="6" t="n">
        <f aca="false">Sens!E4806*(1+Sens!F4807)</f>
        <v>90.0799497373663</v>
      </c>
      <c r="G4806" s="6" t="n">
        <f aca="false">Sens!F4806*(1+Sens!G4807)</f>
        <v>107.02842520331</v>
      </c>
      <c r="H4806" s="6" t="n">
        <f aca="false">Sens!G4806*(1+Sens!H4807)</f>
        <v>124.271982585636</v>
      </c>
      <c r="I4806" s="6" t="n">
        <f aca="false">Sens!H4806*(1+Sens!I4807)</f>
        <v>140.933702381855</v>
      </c>
      <c r="J4806" s="6" t="n">
        <f aca="false">Sens!I4806*(1+Sens!J4807)</f>
        <v>156.018867314332</v>
      </c>
      <c r="K4806" s="6" t="n">
        <f aca="false">Sens!J4806*(1+Sens!K4807)</f>
        <v>168.500376699478</v>
      </c>
    </row>
    <row r="4807" customFormat="false" ht="15" hidden="false" customHeight="false" outlineLevel="0" collapsed="false">
      <c r="A4807" s="1" t="s">
        <v>782</v>
      </c>
      <c r="B4807" s="0" t="s">
        <v>126</v>
      </c>
      <c r="E4807" s="7" t="n">
        <f aca="false">Sens!E4806/Sens!D4806-1</f>
        <v>0.242223883039864</v>
      </c>
      <c r="F4807" s="7" t="n">
        <f aca="false">Sens!$E$4807+(glt_azo-Sens!$E$4807)*MIN(1,1/n_conv)</f>
        <v>0.215186569199887</v>
      </c>
      <c r="G4807" s="7" t="n">
        <f aca="false">Sens!$E$4807+(glt_azo-Sens!$E$4807)*MIN(1,2/n_conv)</f>
        <v>0.18814925535991</v>
      </c>
      <c r="H4807" s="7" t="n">
        <f aca="false">Sens!$E$4807+(glt_azo-Sens!$E$4807)*MIN(1,3/n_conv)</f>
        <v>0.161111941519932</v>
      </c>
      <c r="I4807" s="7" t="n">
        <f aca="false">Sens!$E$4807+(glt_azo-Sens!$E$4807)*MIN(1,4/n_conv)</f>
        <v>0.134074627679955</v>
      </c>
      <c r="J4807" s="7" t="n">
        <f aca="false">Sens!$E$4807+(glt_azo-Sens!$E$4807)*MIN(1,5/n_conv)</f>
        <v>0.107037313839977</v>
      </c>
      <c r="K4807" s="7" t="n">
        <f aca="false">Sens!$E$4807+(glt_azo-Sens!$E$4807)*MIN(1,6/n_conv)</f>
        <v>0.08</v>
      </c>
    </row>
    <row r="4808" customFormat="false" ht="15" hidden="false" customHeight="false" outlineLevel="0" collapsed="false">
      <c r="A4808" s="0" t="s">
        <v>783</v>
      </c>
      <c r="B4808" s="0" t="s">
        <v>95</v>
      </c>
      <c r="D4808" s="6" t="n">
        <f aca="false">Sens!D4805+Sens!D4806</f>
        <v>72.61</v>
      </c>
      <c r="E4808" s="6" t="n">
        <f aca="false">Sens!E4805+Sens!E4806</f>
        <v>101.938</v>
      </c>
      <c r="F4808" s="6" t="n">
        <f aca="false">Sens!F4805+Sens!F4806</f>
        <v>148.812368967868</v>
      </c>
      <c r="G4808" s="6" t="n">
        <f aca="false">Sens!G4805+Sens!G4806</f>
        <v>208.397514344463</v>
      </c>
      <c r="H4808" s="6" t="n">
        <f aca="false">Sens!H4805+Sens!H4806</f>
        <v>274.05759259987</v>
      </c>
      <c r="I4808" s="6" t="n">
        <f aca="false">Sens!I4805+Sens!I4806</f>
        <v>333.373091964934</v>
      </c>
      <c r="J4808" s="6" t="n">
        <f aca="false">Sens!J4805+Sens!J4806</f>
        <v>391.214773806054</v>
      </c>
      <c r="K4808" s="6" t="n">
        <f aca="false">Sens!K4805+Sens!K4806</f>
        <v>446.513235535821</v>
      </c>
    </row>
    <row r="4809" customFormat="false" ht="17.15" hidden="false" customHeight="false" outlineLevel="0" collapsed="false">
      <c r="A4809" s="0" t="s">
        <v>784</v>
      </c>
      <c r="B4809" s="1" t="s">
        <v>451</v>
      </c>
      <c r="C4809" s="27" t="n">
        <f aca="false">cop_s24</f>
        <v>1</v>
      </c>
      <c r="D4809" s="27" t="n">
        <f aca="false">cop_s25</f>
        <v>5</v>
      </c>
      <c r="E4809" s="27" t="n">
        <f aca="false">cop_s26</f>
        <v>30</v>
      </c>
      <c r="F4809" s="27" t="n">
        <f aca="false">Sens!E4809+IF(2027&lt;=2029,cop_add_A*1.5,cop_add_A*1.5*cop_tail)</f>
        <v>75</v>
      </c>
      <c r="G4809" s="27" t="n">
        <f aca="false">Sens!F4809+IF(2028&lt;=2029,cop_add_A*1.5,cop_add_A*1.5*cop_tail)</f>
        <v>120</v>
      </c>
      <c r="H4809" s="27" t="n">
        <f aca="false">Sens!G4809+IF(2029&lt;=2029,cop_add_A*1.5,cop_add_A*1.5*cop_tail)</f>
        <v>165</v>
      </c>
      <c r="I4809" s="27" t="n">
        <f aca="false">Sens!H4809+IF(2030&lt;=2029,cop_add_A*1.5,cop_add_A*1.5*cop_tail)</f>
        <v>187.5</v>
      </c>
      <c r="J4809" s="27" t="n">
        <f aca="false">Sens!I4809+IF(2031&lt;=2029,cop_add_A*1.5,cop_add_A*1.5*cop_tail)</f>
        <v>210</v>
      </c>
      <c r="K4809" s="27" t="n">
        <f aca="false">Sens!J4809+IF(2032&lt;=2029,cop_add_A*1.5,cop_add_A*1.5*cop_tail)</f>
        <v>232.5</v>
      </c>
    </row>
    <row r="4810" customFormat="false" ht="17.15" hidden="false" customHeight="false" outlineLevel="0" collapsed="false">
      <c r="A4810" s="0" t="s">
        <v>785</v>
      </c>
      <c r="B4810" s="0" t="s">
        <v>95</v>
      </c>
      <c r="D4810" s="6" t="n">
        <f aca="false">(Sens!C4809+Sens!D4809)/2*cop_px*12/1000</f>
        <v>0.9</v>
      </c>
      <c r="E4810" s="6" t="n">
        <f aca="false">(Sens!D4809+Sens!E4809)/2*cop_px*12/1000</f>
        <v>5.25</v>
      </c>
      <c r="F4810" s="6" t="n">
        <f aca="false">(Sens!E4809+Sens!F4809)/2*cop_px*12/1000</f>
        <v>15.75</v>
      </c>
      <c r="G4810" s="6" t="n">
        <f aca="false">(Sens!F4809+Sens!G4809)/2*cop_px*12/1000</f>
        <v>29.25</v>
      </c>
      <c r="H4810" s="6" t="n">
        <f aca="false">(Sens!G4809+Sens!H4809)/2*cop_px*12/1000</f>
        <v>42.75</v>
      </c>
      <c r="I4810" s="6" t="n">
        <f aca="false">(Sens!H4809+Sens!I4809)/2*cop_px*12/1000</f>
        <v>52.875</v>
      </c>
      <c r="J4810" s="6" t="n">
        <f aca="false">(Sens!I4809+Sens!J4809)/2*cop_px*12/1000</f>
        <v>59.625</v>
      </c>
      <c r="K4810" s="6" t="n">
        <f aca="false">(Sens!J4809+Sens!K4809)/2*cop_px*12/1000</f>
        <v>66.375</v>
      </c>
      <c r="L4810" s="1" t="s">
        <v>786</v>
      </c>
    </row>
    <row r="4811" customFormat="false" ht="17.15" hidden="false" customHeight="false" outlineLevel="0" collapsed="false">
      <c r="A4811" s="0" t="s">
        <v>787</v>
      </c>
      <c r="B4811" s="0" t="s">
        <v>95</v>
      </c>
      <c r="D4811" s="6" t="n">
        <f aca="false">Q!L7-Sens!D4810</f>
        <v>83.705</v>
      </c>
      <c r="E4811" s="6" t="n">
        <f aca="false">Q!M7-Sens!E4810</f>
        <v>95.049</v>
      </c>
      <c r="F4811" s="6" t="n">
        <f aca="false">Sens!E4811*(1+Sens!F4812)</f>
        <v>106.89238776686</v>
      </c>
      <c r="G4811" s="6" t="n">
        <f aca="false">Sens!F4811*(1+Sens!G4812)</f>
        <v>119.044168448684</v>
      </c>
      <c r="H4811" s="6" t="n">
        <f aca="false">Sens!G4811*(1+Sens!H4812)</f>
        <v>131.277359388781</v>
      </c>
      <c r="I4811" s="6" t="n">
        <f aca="false">Sens!H4811*(1+Sens!I4812)</f>
        <v>143.334028071957</v>
      </c>
      <c r="J4811" s="6" t="n">
        <f aca="false">Sens!I4811*(1+Sens!J4812)</f>
        <v>154.932702785465</v>
      </c>
      <c r="K4811" s="6" t="n">
        <f aca="false">Sens!J4811*(1+Sens!K4812)</f>
        <v>165.777991980448</v>
      </c>
    </row>
    <row r="4812" customFormat="false" ht="15" hidden="false" customHeight="false" outlineLevel="0" collapsed="false">
      <c r="A4812" s="1" t="s">
        <v>782</v>
      </c>
      <c r="B4812" s="0" t="s">
        <v>126</v>
      </c>
      <c r="E4812" s="7" t="n">
        <f aca="false">Sens!E4811/Sens!D4811-1</f>
        <v>0.135523564900544</v>
      </c>
      <c r="F4812" s="7" t="n">
        <f aca="false">Sens!$E$4812+(glt_m365b-Sens!$E$4812)*MIN(1,1/n_conv)</f>
        <v>0.124602970750453</v>
      </c>
      <c r="G4812" s="7" t="n">
        <f aca="false">Sens!$E$4812+(glt_m365b-Sens!$E$4812)*MIN(1,2/n_conv)</f>
        <v>0.113682376600363</v>
      </c>
      <c r="H4812" s="7" t="n">
        <f aca="false">Sens!$E$4812+(glt_m365b-Sens!$E$4812)*MIN(1,3/n_conv)</f>
        <v>0.102761782450272</v>
      </c>
      <c r="I4812" s="7" t="n">
        <f aca="false">Sens!$E$4812+(glt_m365b-Sens!$E$4812)*MIN(1,4/n_conv)</f>
        <v>0.0918411883001813</v>
      </c>
      <c r="J4812" s="7" t="n">
        <f aca="false">Sens!$E$4812+(glt_m365b-Sens!$E$4812)*MIN(1,5/n_conv)</f>
        <v>0.0809205941500906</v>
      </c>
      <c r="K4812" s="7" t="n">
        <f aca="false">Sens!$E$4812+(glt_m365b-Sens!$E$4812)*MIN(1,6/n_conv)</f>
        <v>0.07</v>
      </c>
    </row>
    <row r="4813" customFormat="false" ht="15" hidden="false" customHeight="false" outlineLevel="0" collapsed="false">
      <c r="A4813" s="0" t="s">
        <v>788</v>
      </c>
      <c r="B4813" s="0" t="s">
        <v>95</v>
      </c>
      <c r="D4813" s="6" t="n">
        <f aca="false">Sens!D4811+Sens!D4810</f>
        <v>84.605</v>
      </c>
      <c r="E4813" s="6" t="n">
        <f aca="false">Sens!E4811+Sens!E4810</f>
        <v>100.299</v>
      </c>
      <c r="F4813" s="6" t="n">
        <f aca="false">Sens!F4811+Sens!F4810</f>
        <v>122.64238776686</v>
      </c>
      <c r="G4813" s="6" t="n">
        <f aca="false">Sens!G4811+Sens!G4810</f>
        <v>148.294168448684</v>
      </c>
      <c r="H4813" s="6" t="n">
        <f aca="false">Sens!H4811+Sens!H4810</f>
        <v>174.027359388781</v>
      </c>
      <c r="I4813" s="6" t="n">
        <f aca="false">Sens!I4811+Sens!I4810</f>
        <v>196.209028071957</v>
      </c>
      <c r="J4813" s="6" t="n">
        <f aca="false">Sens!J4811+Sens!J4810</f>
        <v>214.557702785465</v>
      </c>
      <c r="K4813" s="6" t="n">
        <f aca="false">Sens!K4811+Sens!K4810</f>
        <v>232.152991980448</v>
      </c>
    </row>
    <row r="4814" customFormat="false" ht="15" hidden="false" customHeight="false" outlineLevel="0" collapsed="false">
      <c r="A4814" s="0" t="s">
        <v>789</v>
      </c>
      <c r="B4814" s="0" t="s">
        <v>95</v>
      </c>
      <c r="D4814" s="6" t="n">
        <f aca="false">Q!L8</f>
        <v>35.391</v>
      </c>
      <c r="E4814" s="6" t="n">
        <f aca="false">Q!M8</f>
        <v>37.285</v>
      </c>
      <c r="F4814" s="6" t="n">
        <f aca="false">Sens!E4814*(1+Sens!F4815)</f>
        <v>39.0720834331704</v>
      </c>
      <c r="G4814" s="6" t="n">
        <f aca="false">Sens!F4814*(1+Sens!G4815)</f>
        <v>40.726562953769</v>
      </c>
      <c r="H4814" s="6" t="n">
        <f aca="false">Sens!G4814*(1+Sens!H4815)</f>
        <v>42.2235987259198</v>
      </c>
      <c r="I4814" s="6" t="n">
        <f aca="false">Sens!H4814*(1+Sens!I4815)</f>
        <v>43.5397988077414</v>
      </c>
      <c r="J4814" s="6" t="n">
        <f aca="false">Sens!I4814*(1+Sens!J4815)</f>
        <v>44.653811225693</v>
      </c>
      <c r="K4814" s="6" t="n">
        <f aca="false">Sens!J4814*(1+Sens!K4815)</f>
        <v>45.5468874502068</v>
      </c>
    </row>
    <row r="4815" customFormat="false" ht="15" hidden="false" customHeight="false" outlineLevel="0" collapsed="false">
      <c r="A4815" s="1" t="s">
        <v>782</v>
      </c>
      <c r="B4815" s="0" t="s">
        <v>126</v>
      </c>
      <c r="E4815" s="7" t="n">
        <f aca="false">Sens!E4814/Sens!D4814-1</f>
        <v>0.0535164307309768</v>
      </c>
      <c r="F4815" s="7" t="n">
        <f aca="false">Sens!$E$4815+(glt_lic-Sens!$E$4815)*MIN(1,1/n_conv)</f>
        <v>0.0479303589424807</v>
      </c>
      <c r="G4815" s="7" t="n">
        <f aca="false">Sens!$E$4815+(glt_lic-Sens!$E$4815)*MIN(1,2/n_conv)</f>
        <v>0.0423442871539845</v>
      </c>
      <c r="H4815" s="7" t="n">
        <f aca="false">Sens!$E$4815+(glt_lic-Sens!$E$4815)*MIN(1,3/n_conv)</f>
        <v>0.0367582153654884</v>
      </c>
      <c r="I4815" s="7" t="n">
        <f aca="false">Sens!$E$4815+(glt_lic-Sens!$E$4815)*MIN(1,4/n_conv)</f>
        <v>0.0311721435769923</v>
      </c>
      <c r="J4815" s="7" t="n">
        <f aca="false">Sens!$E$4815+(glt_lic-Sens!$E$4815)*MIN(1,5/n_conv)</f>
        <v>0.0255860717884961</v>
      </c>
      <c r="K4815" s="7" t="n">
        <f aca="false">Sens!$E$4815+(glt_lic-Sens!$E$4815)*MIN(1,6/n_conv)</f>
        <v>0.02</v>
      </c>
    </row>
    <row r="4816" customFormat="false" ht="15" hidden="false" customHeight="false" outlineLevel="0" collapsed="false">
      <c r="A4816" s="0" t="s">
        <v>790</v>
      </c>
      <c r="B4816" s="0" t="s">
        <v>95</v>
      </c>
      <c r="D4816" s="6" t="n">
        <f aca="false">Q!L9</f>
        <v>18.417</v>
      </c>
      <c r="E4816" s="6" t="n">
        <f aca="false">Q!M9</f>
        <v>20.345</v>
      </c>
      <c r="F4816" s="6" t="n">
        <f aca="false">Sens!E4816*(1+Sens!F4817)</f>
        <v>22.3572203267814</v>
      </c>
      <c r="G4816" s="6" t="n">
        <f aca="false">Sens!F4816*(1+Sens!G4817)</f>
        <v>24.4392124437232</v>
      </c>
      <c r="H4816" s="6" t="n">
        <f aca="false">Sens!G4816*(1+Sens!H4817)</f>
        <v>26.5738052080665</v>
      </c>
      <c r="I4816" s="6" t="n">
        <f aca="false">Sens!H4816*(1+Sens!I4817)</f>
        <v>28.7412169166967</v>
      </c>
      <c r="J4816" s="6" t="n">
        <f aca="false">Sens!I4816*(1+Sens!J4817)</f>
        <v>30.9192545395413</v>
      </c>
      <c r="K4816" s="6" t="n">
        <f aca="false">Sens!J4816*(1+Sens!K4817)</f>
        <v>33.0836023573092</v>
      </c>
    </row>
    <row r="4817" customFormat="false" ht="15" hidden="false" customHeight="false" outlineLevel="0" collapsed="false">
      <c r="A4817" s="1" t="s">
        <v>782</v>
      </c>
      <c r="B4817" s="0" t="s">
        <v>126</v>
      </c>
      <c r="E4817" s="7" t="n">
        <f aca="false">Sens!E4816/Sens!D4816-1</f>
        <v>0.104685888038225</v>
      </c>
      <c r="F4817" s="7" t="n">
        <f aca="false">Sens!$E$4817+(glt_ind-Sens!$E$4817)*MIN(1,1/n_conv)</f>
        <v>0.0989049066985211</v>
      </c>
      <c r="G4817" s="7" t="n">
        <f aca="false">Sens!$E$4817+(glt_ind-Sens!$E$4817)*MIN(1,2/n_conv)</f>
        <v>0.0931239253588169</v>
      </c>
      <c r="H4817" s="7" t="n">
        <f aca="false">Sens!$E$4817+(glt_ind-Sens!$E$4817)*MIN(1,3/n_conv)</f>
        <v>0.0873429440191127</v>
      </c>
      <c r="I4817" s="7" t="n">
        <f aca="false">Sens!$E$4817+(glt_ind-Sens!$E$4817)*MIN(1,4/n_conv)</f>
        <v>0.0815619626794085</v>
      </c>
      <c r="J4817" s="7" t="n">
        <f aca="false">Sens!$E$4817+(glt_ind-Sens!$E$4817)*MIN(1,5/n_conv)</f>
        <v>0.0757809813397042</v>
      </c>
      <c r="K4817" s="7" t="n">
        <f aca="false">Sens!$E$4817+(glt_ind-Sens!$E$4817)*MIN(1,6/n_conv)</f>
        <v>0.07</v>
      </c>
    </row>
    <row r="4818" customFormat="false" ht="15" hidden="false" customHeight="false" outlineLevel="0" collapsed="false">
      <c r="A4818" s="0" t="s">
        <v>791</v>
      </c>
      <c r="B4818" s="0" t="s">
        <v>95</v>
      </c>
      <c r="D4818" s="6" t="n">
        <f aca="false">Q!L10</f>
        <v>7.76</v>
      </c>
      <c r="E4818" s="6" t="n">
        <f aca="false">Q!M10</f>
        <v>8.26</v>
      </c>
      <c r="F4818" s="6" t="n">
        <f aca="false">Sens!E4818*(1+Sens!F4819)</f>
        <v>8.79988041237113</v>
      </c>
      <c r="G4818" s="6" t="n">
        <f aca="false">Sens!F4818*(1+Sens!G4819)</f>
        <v>9.38321269125306</v>
      </c>
      <c r="H4818" s="6" t="n">
        <f aca="false">Sens!G4818*(1+Sens!H4819)</f>
        <v>10.0139193587476</v>
      </c>
      <c r="I4818" s="6" t="n">
        <f aca="false">Sens!H4818*(1+Sens!I4819)</f>
        <v>10.6963111830911</v>
      </c>
      <c r="J4818" s="6" t="n">
        <f aca="false">Sens!I4818*(1+Sens!J4819)</f>
        <v>11.4351285534696</v>
      </c>
      <c r="K4818" s="6" t="n">
        <f aca="false">Sens!J4818*(1+Sens!K4819)</f>
        <v>12.2355875522124</v>
      </c>
    </row>
    <row r="4819" customFormat="false" ht="15" hidden="false" customHeight="false" outlineLevel="0" collapsed="false">
      <c r="A4819" s="1" t="s">
        <v>782</v>
      </c>
      <c r="B4819" s="0" t="s">
        <v>126</v>
      </c>
      <c r="E4819" s="7" t="n">
        <f aca="false">Sens!E4818/Sens!D4818-1</f>
        <v>0.0644329896907216</v>
      </c>
      <c r="F4819" s="7" t="n">
        <f aca="false">Sens!$E$4819+(glt_fro-Sens!$E$4819)*MIN(1,1/n_conv)</f>
        <v>0.065360824742268</v>
      </c>
      <c r="G4819" s="7" t="n">
        <f aca="false">Sens!$E$4819+(glt_fro-Sens!$E$4819)*MIN(1,2/n_conv)</f>
        <v>0.0662886597938144</v>
      </c>
      <c r="H4819" s="7" t="n">
        <f aca="false">Sens!$E$4819+(glt_fro-Sens!$E$4819)*MIN(1,3/n_conv)</f>
        <v>0.0672164948453608</v>
      </c>
      <c r="I4819" s="7" t="n">
        <f aca="false">Sens!$E$4819+(glt_fro-Sens!$E$4819)*MIN(1,4/n_conv)</f>
        <v>0.0681443298969072</v>
      </c>
      <c r="J4819" s="7" t="n">
        <f aca="false">Sens!$E$4819+(glt_fro-Sens!$E$4819)*MIN(1,5/n_conv)</f>
        <v>0.0690721649484536</v>
      </c>
      <c r="K4819" s="7" t="n">
        <f aca="false">Sens!$E$4819+(glt_fro-Sens!$E$4819)*MIN(1,6/n_conv)</f>
        <v>0.07</v>
      </c>
    </row>
    <row r="4820" customFormat="false" ht="15" hidden="false" customHeight="false" outlineLevel="0" collapsed="false">
      <c r="A4820" s="0" t="s">
        <v>626</v>
      </c>
      <c r="B4820" s="0" t="s">
        <v>95</v>
      </c>
      <c r="D4820" s="6" t="n">
        <f aca="false">Sens!D4808+Sens!D4813+Sens!D4814+Sens!D4816+Sens!D4818</f>
        <v>218.783</v>
      </c>
      <c r="E4820" s="6" t="n">
        <f aca="false">Sens!E4808+Sens!E4813+Sens!E4814+Sens!E4816+Sens!E4818</f>
        <v>268.127</v>
      </c>
      <c r="F4820" s="6" t="n">
        <f aca="false">Sens!F4808+Sens!F4813+Sens!F4814+Sens!F4816+Sens!F4818</f>
        <v>341.683940907051</v>
      </c>
      <c r="G4820" s="6" t="n">
        <f aca="false">Sens!G4808+Sens!G4813+Sens!G4814+Sens!G4816+Sens!G4818</f>
        <v>431.240670881892</v>
      </c>
      <c r="H4820" s="6" t="n">
        <f aca="false">Sens!H4808+Sens!H4813+Sens!H4814+Sens!H4816+Sens!H4818</f>
        <v>526.896275281385</v>
      </c>
      <c r="I4820" s="6" t="n">
        <f aca="false">Sens!I4808+Sens!I4813+Sens!I4814+Sens!I4816+Sens!I4818</f>
        <v>612.55944694442</v>
      </c>
      <c r="J4820" s="6" t="n">
        <f aca="false">Sens!J4808+Sens!J4813+Sens!J4814+Sens!J4816+Sens!J4818</f>
        <v>692.780670910223</v>
      </c>
      <c r="K4820" s="6" t="n">
        <f aca="false">Sens!K4808+Sens!K4813+Sens!K4814+Sens!K4816+Sens!K4818</f>
        <v>769.532304875998</v>
      </c>
    </row>
    <row r="4821" customFormat="false" ht="15" hidden="false" customHeight="false" outlineLevel="0" collapsed="false">
      <c r="A4821" s="0" t="s">
        <v>792</v>
      </c>
      <c r="B4821" s="0" t="s">
        <v>95</v>
      </c>
      <c r="D4821" s="6" t="n">
        <f aca="false">Q!L13</f>
        <v>22.171</v>
      </c>
      <c r="E4821" s="6" t="n">
        <f aca="false">Q!M13</f>
        <v>24.835</v>
      </c>
      <c r="F4821" s="6" t="n">
        <f aca="false">Sens!E4821*(1+Sens!F4822)</f>
        <v>27.6114901218559</v>
      </c>
      <c r="G4821" s="6" t="n">
        <f aca="false">Sens!F4821*(1+Sens!G4822)</f>
        <v>30.4675667338515</v>
      </c>
      <c r="H4821" s="6" t="n">
        <f aca="false">Sens!G4821*(1+Sens!H4822)</f>
        <v>33.3643766955789</v>
      </c>
      <c r="I4821" s="6" t="n">
        <f aca="false">Sens!H4821*(1+Sens!I4822)</f>
        <v>36.2577016533691</v>
      </c>
      <c r="J4821" s="6" t="n">
        <f aca="false">Sens!I4821*(1+Sens!J4822)</f>
        <v>39.0988367952171</v>
      </c>
      <c r="K4821" s="6" t="n">
        <f aca="false">Sens!J4821*(1+Sens!K4822)</f>
        <v>41.8357553708823</v>
      </c>
    </row>
    <row r="4822" customFormat="false" ht="15" hidden="false" customHeight="false" outlineLevel="0" collapsed="false">
      <c r="A4822" s="1" t="s">
        <v>782</v>
      </c>
      <c r="B4822" s="0" t="s">
        <v>126</v>
      </c>
      <c r="E4822" s="7" t="n">
        <f aca="false">Sens!E4821/Sens!D4821-1</f>
        <v>0.120156961796942</v>
      </c>
      <c r="F4822" s="7" t="n">
        <f aca="false">Sens!$E$4822+(glt_srch-Sens!$E$4822)*MIN(1,1/n_conv)</f>
        <v>0.111797468164118</v>
      </c>
      <c r="G4822" s="7" t="n">
        <f aca="false">Sens!$E$4822+(glt_srch-Sens!$E$4822)*MIN(1,2/n_conv)</f>
        <v>0.103437974531295</v>
      </c>
      <c r="H4822" s="7" t="n">
        <f aca="false">Sens!$E$4822+(glt_srch-Sens!$E$4822)*MIN(1,3/n_conv)</f>
        <v>0.095078480898471</v>
      </c>
      <c r="I4822" s="7" t="n">
        <f aca="false">Sens!$E$4822+(glt_srch-Sens!$E$4822)*MIN(1,4/n_conv)</f>
        <v>0.0867189872656474</v>
      </c>
      <c r="J4822" s="7" t="n">
        <f aca="false">Sens!$E$4822+(glt_srch-Sens!$E$4822)*MIN(1,5/n_conv)</f>
        <v>0.0783594936328237</v>
      </c>
      <c r="K4822" s="7" t="n">
        <f aca="false">Sens!$E$4822+(glt_srch-Sens!$E$4822)*MIN(1,6/n_conv)</f>
        <v>0.07</v>
      </c>
    </row>
    <row r="4823" customFormat="false" ht="15" hidden="false" customHeight="false" outlineLevel="0" collapsed="false">
      <c r="A4823" s="0" t="s">
        <v>793</v>
      </c>
      <c r="B4823" s="0" t="s">
        <v>95</v>
      </c>
      <c r="D4823" s="6" t="n">
        <f aca="false">Q!L14</f>
        <v>23.455</v>
      </c>
      <c r="E4823" s="6" t="n">
        <f aca="false">Q!M14</f>
        <v>21.79</v>
      </c>
      <c r="F4823" s="6" t="n">
        <f aca="false">Sens!E4823*(1+Sens!F4824)</f>
        <v>20.5736277908051</v>
      </c>
      <c r="G4823" s="6" t="n">
        <f aca="false">Sens!F4823*(1+Sens!G4824)</f>
        <v>19.7371452817919</v>
      </c>
      <c r="H4823" s="6" t="n">
        <f aca="false">Sens!G4823*(1+Sens!H4824)</f>
        <v>19.2339764043138</v>
      </c>
      <c r="I4823" s="6" t="n">
        <f aca="false">Sens!H4823*(1+Sens!I4824)</f>
        <v>19.0353086852681</v>
      </c>
      <c r="J4823" s="6" t="n">
        <f aca="false">Sens!I4823*(1+Sens!J4824)</f>
        <v>19.1273539319129</v>
      </c>
      <c r="K4823" s="6" t="n">
        <f aca="false">Sens!J4823*(1+Sens!K4824)</f>
        <v>19.5099010105511</v>
      </c>
    </row>
    <row r="4824" customFormat="false" ht="15" hidden="false" customHeight="false" outlineLevel="0" collapsed="false">
      <c r="A4824" s="1" t="s">
        <v>782</v>
      </c>
      <c r="B4824" s="0" t="s">
        <v>126</v>
      </c>
      <c r="E4824" s="7" t="n">
        <f aca="false">Sens!E4823/Sens!D4823-1</f>
        <v>-0.0709869963760392</v>
      </c>
      <c r="F4824" s="7" t="n">
        <f aca="false">Sens!$E$4824+(glt_xbox-Sens!$E$4824)*MIN(1,1/n_conv)</f>
        <v>-0.0558224969800327</v>
      </c>
      <c r="G4824" s="7" t="n">
        <f aca="false">Sens!$E$4824+(glt_xbox-Sens!$E$4824)*MIN(1,2/n_conv)</f>
        <v>-0.0406579975840262</v>
      </c>
      <c r="H4824" s="7" t="n">
        <f aca="false">Sens!$E$4824+(glt_xbox-Sens!$E$4824)*MIN(1,3/n_conv)</f>
        <v>-0.0254934981880196</v>
      </c>
      <c r="I4824" s="7" t="n">
        <f aca="false">Sens!$E$4824+(glt_xbox-Sens!$E$4824)*MIN(1,4/n_conv)</f>
        <v>-0.0103289987920131</v>
      </c>
      <c r="J4824" s="7" t="n">
        <f aca="false">Sens!$E$4824+(glt_xbox-Sens!$E$4824)*MIN(1,5/n_conv)</f>
        <v>0.00483550060399347</v>
      </c>
      <c r="K4824" s="7" t="n">
        <f aca="false">Sens!$E$4824+(glt_xbox-Sens!$E$4824)*MIN(1,6/n_conv)</f>
        <v>0.02</v>
      </c>
    </row>
    <row r="4825" customFormat="false" ht="15" hidden="false" customHeight="false" outlineLevel="0" collapsed="false">
      <c r="A4825" s="0" t="s">
        <v>794</v>
      </c>
      <c r="B4825" s="0" t="s">
        <v>95</v>
      </c>
      <c r="D4825" s="6" t="n">
        <f aca="false">Q!L15</f>
        <v>17.315</v>
      </c>
      <c r="E4825" s="6" t="n">
        <f aca="false">Q!M15</f>
        <v>17.087</v>
      </c>
      <c r="F4825" s="6" t="n">
        <f aca="false">Sens!E4825*(1+Sens!F4826)</f>
        <v>16.9564585436519</v>
      </c>
      <c r="G4825" s="6" t="n">
        <f aca="false">Sens!F4825*(1+Sens!G4826)</f>
        <v>16.9206490624268</v>
      </c>
      <c r="H4825" s="6" t="n">
        <f aca="false">Sens!G4825*(1+Sens!H4826)</f>
        <v>16.9784519149849</v>
      </c>
      <c r="I4825" s="6" t="n">
        <f aca="false">Sens!H4825*(1+Sens!I4826)</f>
        <v>17.1303084701817</v>
      </c>
      <c r="J4825" s="6" t="n">
        <f aca="false">Sens!I4825*(1+Sens!J4826)</f>
        <v>17.3782189407267</v>
      </c>
      <c r="K4825" s="6" t="n">
        <f aca="false">Sens!J4825*(1+Sens!K4826)</f>
        <v>17.7257833195413</v>
      </c>
    </row>
    <row r="4826" customFormat="false" ht="15" hidden="false" customHeight="false" outlineLevel="0" collapsed="false">
      <c r="A4826" s="1" t="s">
        <v>782</v>
      </c>
      <c r="B4826" s="0" t="s">
        <v>126</v>
      </c>
      <c r="E4826" s="7" t="n">
        <f aca="false">Sens!E4825/Sens!D4825-1</f>
        <v>-0.0131677736066995</v>
      </c>
      <c r="F4826" s="7" t="n">
        <f aca="false">Sens!$E$4826+(glt_win-Sens!$E$4826)*MIN(1,1/n_conv)</f>
        <v>-0.00763981133891627</v>
      </c>
      <c r="G4826" s="7" t="n">
        <f aca="false">Sens!$E$4826+(glt_win-Sens!$E$4826)*MIN(1,2/n_conv)</f>
        <v>-0.00211184907113301</v>
      </c>
      <c r="H4826" s="7" t="n">
        <f aca="false">Sens!$E$4826+(glt_win-Sens!$E$4826)*MIN(1,3/n_conv)</f>
        <v>0.00341611319665024</v>
      </c>
      <c r="I4826" s="7" t="n">
        <f aca="false">Sens!$E$4826+(glt_win-Sens!$E$4826)*MIN(1,4/n_conv)</f>
        <v>0.00894407546443349</v>
      </c>
      <c r="J4826" s="7" t="n">
        <f aca="false">Sens!$E$4826+(glt_win-Sens!$E$4826)*MIN(1,5/n_conv)</f>
        <v>0.0144720377322168</v>
      </c>
      <c r="K4826" s="7" t="n">
        <f aca="false">Sens!$E$4826+(glt_win-Sens!$E$4826)*MIN(1,6/n_conv)</f>
        <v>0.02</v>
      </c>
    </row>
    <row r="4827" customFormat="false" ht="15" hidden="false" customHeight="false" outlineLevel="0" collapsed="false">
      <c r="A4827" s="0" t="s">
        <v>640</v>
      </c>
      <c r="B4827" s="0" t="s">
        <v>95</v>
      </c>
      <c r="D4827" s="6" t="n">
        <f aca="false">Sens!D4821+Sens!D4823+Sens!D4825</f>
        <v>62.941</v>
      </c>
      <c r="E4827" s="6" t="n">
        <f aca="false">Sens!E4821+Sens!E4823+Sens!E4825</f>
        <v>63.712</v>
      </c>
      <c r="F4827" s="6" t="n">
        <f aca="false">Sens!F4821+Sens!F4823+Sens!F4825</f>
        <v>65.1415764563129</v>
      </c>
      <c r="G4827" s="6" t="n">
        <f aca="false">Sens!G4821+Sens!G4823+Sens!G4825</f>
        <v>67.1253610780702</v>
      </c>
      <c r="H4827" s="6" t="n">
        <f aca="false">Sens!H4821+Sens!H4823+Sens!H4825</f>
        <v>69.5768050148776</v>
      </c>
      <c r="I4827" s="6" t="n">
        <f aca="false">Sens!I4821+Sens!I4823+Sens!I4825</f>
        <v>72.4233188088189</v>
      </c>
      <c r="J4827" s="6" t="n">
        <f aca="false">Sens!J4821+Sens!J4823+Sens!J4825</f>
        <v>75.6044096678567</v>
      </c>
      <c r="K4827" s="6" t="n">
        <f aca="false">Sens!K4821+Sens!K4823+Sens!K4825</f>
        <v>79.0714397009747</v>
      </c>
    </row>
    <row r="4828" customFormat="false" ht="15" hidden="false" customHeight="false" outlineLevel="0" collapsed="false">
      <c r="A4828" s="1" t="s">
        <v>795</v>
      </c>
      <c r="B4828" s="0" t="s">
        <v>95</v>
      </c>
      <c r="D4828" s="6" t="n">
        <f aca="false">Sens!D4820+Sens!D4827</f>
        <v>281.724</v>
      </c>
      <c r="E4828" s="6" t="n">
        <f aca="false">Sens!E4820+Sens!E4827</f>
        <v>331.839</v>
      </c>
      <c r="F4828" s="6" t="n">
        <f aca="false">Sens!F4820+Sens!F4827</f>
        <v>406.825517363364</v>
      </c>
      <c r="G4828" s="6" t="n">
        <f aca="false">Sens!G4820+Sens!G4827</f>
        <v>498.366031959962</v>
      </c>
      <c r="H4828" s="6" t="n">
        <f aca="false">Sens!H4820+Sens!H4827</f>
        <v>596.473080296262</v>
      </c>
      <c r="I4828" s="6" t="n">
        <f aca="false">Sens!I4820+Sens!I4827</f>
        <v>684.982765753239</v>
      </c>
      <c r="J4828" s="6" t="n">
        <f aca="false">Sens!J4820+Sens!J4827</f>
        <v>768.385080578079</v>
      </c>
      <c r="K4828" s="6" t="n">
        <f aca="false">Sens!K4820+Sens!K4827</f>
        <v>848.603744576972</v>
      </c>
    </row>
    <row r="4829" customFormat="false" ht="15" hidden="false" customHeight="false" outlineLevel="0" collapsed="false">
      <c r="A4829" s="22" t="s">
        <v>796</v>
      </c>
      <c r="B4829" s="28" t="s">
        <v>95</v>
      </c>
      <c r="C4829" s="28"/>
      <c r="D4829" s="23" t="n">
        <f aca="false">(Sens!D4808+Sens!D4813+Sens!D4814+Sens!D4816+Sens!D4818-Sens!D4820)+(Sens!D4821+Sens!D4823+Sens!D4825-Sens!D4827)+(Sens!D4820-Q!L5)+(Sens!D4827-Q!L12)+(Sens!D4808-Q!L6)+(Sens!D4813-Q!L7)</f>
        <v>0</v>
      </c>
      <c r="E4829" s="23" t="n">
        <f aca="false">(Sens!E4808+Sens!E4813+Sens!E4814+Sens!E4816+Sens!E4818-Sens!E4820)+(Sens!E4821+Sens!E4823+Sens!E4825-Sens!E4827)+(Sens!E4820-Q!M5)+(Sens!E4827-Q!M12)+(Sens!E4808-Q!M6)+(Sens!E4813-Q!M7)</f>
        <v>0</v>
      </c>
      <c r="F4829" s="23" t="n">
        <f aca="false">(Sens!F4808+Sens!F4813+Sens!F4814+Sens!F4816+Sens!F4818-Sens!F4820)+(Sens!F4821+Sens!F4823+Sens!F4825-Sens!F4827)</f>
        <v>0</v>
      </c>
      <c r="G4829" s="23" t="n">
        <f aca="false">(Sens!G4808+Sens!G4813+Sens!G4814+Sens!G4816+Sens!G4818-Sens!G4820)+(Sens!G4821+Sens!G4823+Sens!G4825-Sens!G4827)</f>
        <v>0</v>
      </c>
      <c r="H4829" s="23" t="n">
        <f aca="false">(Sens!H4808+Sens!H4813+Sens!H4814+Sens!H4816+Sens!H4818-Sens!H4820)+(Sens!H4821+Sens!H4823+Sens!H4825-Sens!H4827)</f>
        <v>0</v>
      </c>
      <c r="I4829" s="23" t="n">
        <f aca="false">(Sens!I4808+Sens!I4813+Sens!I4814+Sens!I4816+Sens!I4818-Sens!I4820)+(Sens!I4821+Sens!I4823+Sens!I4825-Sens!I4827)</f>
        <v>0</v>
      </c>
      <c r="J4829" s="23" t="n">
        <f aca="false">(Sens!J4808+Sens!J4813+Sens!J4814+Sens!J4816+Sens!J4818-Sens!J4820)+(Sens!J4821+Sens!J4823+Sens!J4825-Sens!J4827)</f>
        <v>0</v>
      </c>
      <c r="K4829" s="23" t="n">
        <f aca="false">(Sens!K4808+Sens!K4813+Sens!K4814+Sens!K4816+Sens!K4818-Sens!K4820)+(Sens!K4821+Sens!K4823+Sens!K4825-Sens!K4827)</f>
        <v>0</v>
      </c>
    </row>
    <row r="4830" customFormat="false" ht="17.15" hidden="false" customHeight="false" outlineLevel="0" collapsed="false">
      <c r="A4830" s="3" t="s">
        <v>1251</v>
      </c>
    </row>
    <row r="4831" customFormat="false" ht="15" hidden="false" customHeight="false" outlineLevel="0" collapsed="false">
      <c r="A4831" s="4" t="s">
        <v>43</v>
      </c>
      <c r="B4831" s="4" t="s">
        <v>63</v>
      </c>
      <c r="C4831" s="19" t="s">
        <v>710</v>
      </c>
      <c r="D4831" s="19" t="s">
        <v>711</v>
      </c>
      <c r="E4831" s="19" t="s">
        <v>712</v>
      </c>
      <c r="F4831" s="19" t="s">
        <v>713</v>
      </c>
      <c r="G4831" s="19" t="s">
        <v>714</v>
      </c>
      <c r="H4831" s="19" t="s">
        <v>715</v>
      </c>
      <c r="I4831" s="19" t="s">
        <v>716</v>
      </c>
      <c r="J4831" s="19" t="s">
        <v>717</v>
      </c>
      <c r="K4831" s="19" t="s">
        <v>718</v>
      </c>
      <c r="L4831" s="4" t="s">
        <v>47</v>
      </c>
    </row>
    <row r="4832" customFormat="false" ht="15" hidden="false" customHeight="false" outlineLevel="0" collapsed="false">
      <c r="A4832" s="0" t="s">
        <v>783</v>
      </c>
      <c r="B4832" s="0" t="s">
        <v>95</v>
      </c>
      <c r="D4832" s="6" t="n">
        <f aca="false">Sens!D4808</f>
        <v>72.61</v>
      </c>
      <c r="E4832" s="6" t="n">
        <f aca="false">Sens!E4808</f>
        <v>101.938</v>
      </c>
      <c r="F4832" s="6" t="n">
        <f aca="false">Sens!F4808</f>
        <v>148.812368967868</v>
      </c>
      <c r="G4832" s="6" t="n">
        <f aca="false">Sens!G4808</f>
        <v>208.397514344463</v>
      </c>
      <c r="H4832" s="6" t="n">
        <f aca="false">Sens!H4808</f>
        <v>274.05759259987</v>
      </c>
      <c r="I4832" s="6" t="n">
        <f aca="false">Sens!I4808</f>
        <v>333.373091964934</v>
      </c>
      <c r="J4832" s="6" t="n">
        <f aca="false">Sens!J4808</f>
        <v>391.214773806054</v>
      </c>
      <c r="K4832" s="6" t="n">
        <f aca="false">Sens!K4808</f>
        <v>446.513235535821</v>
      </c>
    </row>
    <row r="4833" customFormat="false" ht="17.15" hidden="false" customHeight="false" outlineLevel="0" collapsed="false">
      <c r="A4833" s="0" t="s">
        <v>780</v>
      </c>
      <c r="B4833" s="0" t="s">
        <v>95</v>
      </c>
      <c r="D4833" s="6" t="n">
        <f aca="false">Sens!D4805</f>
        <v>12.9359794422418</v>
      </c>
      <c r="E4833" s="6" t="n">
        <f aca="false">Sens!E4805</f>
        <v>27.8095064661409</v>
      </c>
      <c r="F4833" s="6" t="n">
        <f aca="false">Sens!F4805</f>
        <v>58.7324192305018</v>
      </c>
      <c r="G4833" s="6" t="n">
        <f aca="false">Sens!G4805</f>
        <v>101.369089141153</v>
      </c>
      <c r="H4833" s="6" t="n">
        <f aca="false">Sens!H4805</f>
        <v>149.785610014234</v>
      </c>
      <c r="I4833" s="6" t="n">
        <f aca="false">Sens!I4805</f>
        <v>192.439389583079</v>
      </c>
      <c r="J4833" s="6" t="n">
        <f aca="false">Sens!J4805</f>
        <v>235.195906491722</v>
      </c>
      <c r="K4833" s="6" t="n">
        <f aca="false">Sens!K4805</f>
        <v>278.012858836343</v>
      </c>
    </row>
    <row r="4834" customFormat="false" ht="17.15" hidden="false" customHeight="false" outlineLevel="0" collapsed="false">
      <c r="A4834" s="0" t="s">
        <v>807</v>
      </c>
      <c r="B4834" s="0" t="s">
        <v>95</v>
      </c>
      <c r="D4834" s="6" t="n">
        <f aca="false">Sens!D4806</f>
        <v>59.6740205577583</v>
      </c>
      <c r="E4834" s="6" t="n">
        <f aca="false">Sens!E4806</f>
        <v>74.1284935338591</v>
      </c>
      <c r="F4834" s="6" t="n">
        <f aca="false">Sens!F4806</f>
        <v>90.0799497373663</v>
      </c>
      <c r="G4834" s="6" t="n">
        <f aca="false">Sens!G4806</f>
        <v>107.02842520331</v>
      </c>
      <c r="H4834" s="6" t="n">
        <f aca="false">Sens!H4806</f>
        <v>124.271982585636</v>
      </c>
      <c r="I4834" s="6" t="n">
        <f aca="false">Sens!I4806</f>
        <v>140.933702381855</v>
      </c>
      <c r="J4834" s="6" t="n">
        <f aca="false">Sens!J4806</f>
        <v>156.018867314332</v>
      </c>
      <c r="K4834" s="6" t="n">
        <f aca="false">Sens!K4806</f>
        <v>168.500376699478</v>
      </c>
    </row>
    <row r="4835" customFormat="false" ht="15" hidden="false" customHeight="false" outlineLevel="0" collapsed="false">
      <c r="A4835" s="0" t="s">
        <v>788</v>
      </c>
      <c r="B4835" s="0" t="s">
        <v>95</v>
      </c>
      <c r="D4835" s="6" t="n">
        <f aca="false">Sens!D4813</f>
        <v>84.605</v>
      </c>
      <c r="E4835" s="6" t="n">
        <f aca="false">Sens!E4813</f>
        <v>100.299</v>
      </c>
      <c r="F4835" s="6" t="n">
        <f aca="false">Sens!F4813</f>
        <v>122.64238776686</v>
      </c>
      <c r="G4835" s="6" t="n">
        <f aca="false">Sens!G4813</f>
        <v>148.294168448684</v>
      </c>
      <c r="H4835" s="6" t="n">
        <f aca="false">Sens!H4813</f>
        <v>174.027359388781</v>
      </c>
      <c r="I4835" s="6" t="n">
        <f aca="false">Sens!I4813</f>
        <v>196.209028071957</v>
      </c>
      <c r="J4835" s="6" t="n">
        <f aca="false">Sens!J4813</f>
        <v>214.557702785465</v>
      </c>
      <c r="K4835" s="6" t="n">
        <f aca="false">Sens!K4813</f>
        <v>232.152991980448</v>
      </c>
    </row>
    <row r="4836" customFormat="false" ht="17.15" hidden="false" customHeight="false" outlineLevel="0" collapsed="false">
      <c r="A4836" s="0" t="s">
        <v>808</v>
      </c>
      <c r="B4836" s="0" t="s">
        <v>95</v>
      </c>
      <c r="D4836" s="6" t="n">
        <f aca="false">Sens!D4811</f>
        <v>83.705</v>
      </c>
      <c r="E4836" s="6" t="n">
        <f aca="false">Sens!E4811</f>
        <v>95.049</v>
      </c>
      <c r="F4836" s="6" t="n">
        <f aca="false">Sens!F4811</f>
        <v>106.89238776686</v>
      </c>
      <c r="G4836" s="6" t="n">
        <f aca="false">Sens!G4811</f>
        <v>119.044168448684</v>
      </c>
      <c r="H4836" s="6" t="n">
        <f aca="false">Sens!H4811</f>
        <v>131.277359388781</v>
      </c>
      <c r="I4836" s="6" t="n">
        <f aca="false">Sens!I4811</f>
        <v>143.334028071957</v>
      </c>
      <c r="J4836" s="6" t="n">
        <f aca="false">Sens!J4811</f>
        <v>154.932702785465</v>
      </c>
      <c r="K4836" s="6" t="n">
        <f aca="false">Sens!K4811</f>
        <v>165.777991980448</v>
      </c>
    </row>
    <row r="4837" customFormat="false" ht="17.15" hidden="false" customHeight="false" outlineLevel="0" collapsed="false">
      <c r="A4837" s="0" t="s">
        <v>809</v>
      </c>
      <c r="B4837" s="0" t="s">
        <v>95</v>
      </c>
      <c r="D4837" s="6" t="n">
        <f aca="false">Sens!D4810</f>
        <v>0.9</v>
      </c>
      <c r="E4837" s="6" t="n">
        <f aca="false">Sens!E4810</f>
        <v>5.25</v>
      </c>
      <c r="F4837" s="6" t="n">
        <f aca="false">Sens!F4810</f>
        <v>15.75</v>
      </c>
      <c r="G4837" s="6" t="n">
        <f aca="false">Sens!G4810</f>
        <v>29.25</v>
      </c>
      <c r="H4837" s="6" t="n">
        <f aca="false">Sens!H4810</f>
        <v>42.75</v>
      </c>
      <c r="I4837" s="6" t="n">
        <f aca="false">Sens!I4810</f>
        <v>52.875</v>
      </c>
      <c r="J4837" s="6" t="n">
        <f aca="false">Sens!J4810</f>
        <v>59.625</v>
      </c>
      <c r="K4837" s="6" t="n">
        <f aca="false">Sens!K4810</f>
        <v>66.375</v>
      </c>
    </row>
    <row r="4838" customFormat="false" ht="15" hidden="false" customHeight="false" outlineLevel="0" collapsed="false">
      <c r="A4838" s="0" t="s">
        <v>789</v>
      </c>
      <c r="B4838" s="0" t="s">
        <v>95</v>
      </c>
      <c r="D4838" s="6" t="n">
        <f aca="false">Sens!D4814</f>
        <v>35.391</v>
      </c>
      <c r="E4838" s="6" t="n">
        <f aca="false">Sens!E4814</f>
        <v>37.285</v>
      </c>
      <c r="F4838" s="6" t="n">
        <f aca="false">Sens!F4814</f>
        <v>39.0720834331704</v>
      </c>
      <c r="G4838" s="6" t="n">
        <f aca="false">Sens!G4814</f>
        <v>40.726562953769</v>
      </c>
      <c r="H4838" s="6" t="n">
        <f aca="false">Sens!H4814</f>
        <v>42.2235987259198</v>
      </c>
      <c r="I4838" s="6" t="n">
        <f aca="false">Sens!I4814</f>
        <v>43.5397988077414</v>
      </c>
      <c r="J4838" s="6" t="n">
        <f aca="false">Sens!J4814</f>
        <v>44.653811225693</v>
      </c>
      <c r="K4838" s="6" t="n">
        <f aca="false">Sens!K4814</f>
        <v>45.5468874502068</v>
      </c>
    </row>
    <row r="4839" customFormat="false" ht="15" hidden="false" customHeight="false" outlineLevel="0" collapsed="false">
      <c r="A4839" s="0" t="s">
        <v>790</v>
      </c>
      <c r="B4839" s="0" t="s">
        <v>95</v>
      </c>
      <c r="D4839" s="6" t="n">
        <f aca="false">Sens!D4816</f>
        <v>18.417</v>
      </c>
      <c r="E4839" s="6" t="n">
        <f aca="false">Sens!E4816</f>
        <v>20.345</v>
      </c>
      <c r="F4839" s="6" t="n">
        <f aca="false">Sens!F4816</f>
        <v>22.3572203267814</v>
      </c>
      <c r="G4839" s="6" t="n">
        <f aca="false">Sens!G4816</f>
        <v>24.4392124437232</v>
      </c>
      <c r="H4839" s="6" t="n">
        <f aca="false">Sens!H4816</f>
        <v>26.5738052080665</v>
      </c>
      <c r="I4839" s="6" t="n">
        <f aca="false">Sens!I4816</f>
        <v>28.7412169166967</v>
      </c>
      <c r="J4839" s="6" t="n">
        <f aca="false">Sens!J4816</f>
        <v>30.9192545395413</v>
      </c>
      <c r="K4839" s="6" t="n">
        <f aca="false">Sens!K4816</f>
        <v>33.0836023573092</v>
      </c>
    </row>
    <row r="4840" customFormat="false" ht="15" hidden="false" customHeight="false" outlineLevel="0" collapsed="false">
      <c r="A4840" s="0" t="s">
        <v>791</v>
      </c>
      <c r="B4840" s="0" t="s">
        <v>95</v>
      </c>
      <c r="D4840" s="6" t="n">
        <f aca="false">Sens!D4818</f>
        <v>7.76</v>
      </c>
      <c r="E4840" s="6" t="n">
        <f aca="false">Sens!E4818</f>
        <v>8.26</v>
      </c>
      <c r="F4840" s="6" t="n">
        <f aca="false">Sens!F4818</f>
        <v>8.79988041237113</v>
      </c>
      <c r="G4840" s="6" t="n">
        <f aca="false">Sens!G4818</f>
        <v>9.38321269125306</v>
      </c>
      <c r="H4840" s="6" t="n">
        <f aca="false">Sens!H4818</f>
        <v>10.0139193587476</v>
      </c>
      <c r="I4840" s="6" t="n">
        <f aca="false">Sens!I4818</f>
        <v>10.6963111830911</v>
      </c>
      <c r="J4840" s="6" t="n">
        <f aca="false">Sens!J4818</f>
        <v>11.4351285534696</v>
      </c>
      <c r="K4840" s="6" t="n">
        <f aca="false">Sens!K4818</f>
        <v>12.2355875522124</v>
      </c>
    </row>
    <row r="4841" customFormat="false" ht="15" hidden="false" customHeight="false" outlineLevel="0" collapsed="false">
      <c r="A4841" s="0" t="s">
        <v>626</v>
      </c>
      <c r="B4841" s="0" t="s">
        <v>95</v>
      </c>
      <c r="D4841" s="6" t="n">
        <f aca="false">Sens!D4820</f>
        <v>218.783</v>
      </c>
      <c r="E4841" s="6" t="n">
        <f aca="false">Sens!E4820</f>
        <v>268.127</v>
      </c>
      <c r="F4841" s="6" t="n">
        <f aca="false">Sens!F4820</f>
        <v>341.683940907051</v>
      </c>
      <c r="G4841" s="6" t="n">
        <f aca="false">Sens!G4820</f>
        <v>431.240670881892</v>
      </c>
      <c r="H4841" s="6" t="n">
        <f aca="false">Sens!H4820</f>
        <v>526.896275281385</v>
      </c>
      <c r="I4841" s="6" t="n">
        <f aca="false">Sens!I4820</f>
        <v>612.55944694442</v>
      </c>
      <c r="J4841" s="6" t="n">
        <f aca="false">Sens!J4820</f>
        <v>692.780670910223</v>
      </c>
      <c r="K4841" s="6" t="n">
        <f aca="false">Sens!K4820</f>
        <v>769.532304875998</v>
      </c>
    </row>
    <row r="4842" customFormat="false" ht="15" hidden="false" customHeight="false" outlineLevel="0" collapsed="false">
      <c r="A4842" s="0" t="s">
        <v>792</v>
      </c>
      <c r="B4842" s="0" t="s">
        <v>95</v>
      </c>
      <c r="D4842" s="6" t="n">
        <f aca="false">Sens!D4821</f>
        <v>22.171</v>
      </c>
      <c r="E4842" s="6" t="n">
        <f aca="false">Sens!E4821</f>
        <v>24.835</v>
      </c>
      <c r="F4842" s="6" t="n">
        <f aca="false">Sens!F4821</f>
        <v>27.6114901218559</v>
      </c>
      <c r="G4842" s="6" t="n">
        <f aca="false">Sens!G4821</f>
        <v>30.4675667338515</v>
      </c>
      <c r="H4842" s="6" t="n">
        <f aca="false">Sens!H4821</f>
        <v>33.3643766955789</v>
      </c>
      <c r="I4842" s="6" t="n">
        <f aca="false">Sens!I4821</f>
        <v>36.2577016533691</v>
      </c>
      <c r="J4842" s="6" t="n">
        <f aca="false">Sens!J4821</f>
        <v>39.0988367952171</v>
      </c>
      <c r="K4842" s="6" t="n">
        <f aca="false">Sens!K4821</f>
        <v>41.8357553708823</v>
      </c>
    </row>
    <row r="4843" customFormat="false" ht="15" hidden="false" customHeight="false" outlineLevel="0" collapsed="false">
      <c r="A4843" s="0" t="s">
        <v>793</v>
      </c>
      <c r="B4843" s="0" t="s">
        <v>95</v>
      </c>
      <c r="D4843" s="6" t="n">
        <f aca="false">Sens!D4823</f>
        <v>23.455</v>
      </c>
      <c r="E4843" s="6" t="n">
        <f aca="false">Sens!E4823</f>
        <v>21.79</v>
      </c>
      <c r="F4843" s="6" t="n">
        <f aca="false">Sens!F4823</f>
        <v>20.5736277908051</v>
      </c>
      <c r="G4843" s="6" t="n">
        <f aca="false">Sens!G4823</f>
        <v>19.7371452817919</v>
      </c>
      <c r="H4843" s="6" t="n">
        <f aca="false">Sens!H4823</f>
        <v>19.2339764043138</v>
      </c>
      <c r="I4843" s="6" t="n">
        <f aca="false">Sens!I4823</f>
        <v>19.0353086852681</v>
      </c>
      <c r="J4843" s="6" t="n">
        <f aca="false">Sens!J4823</f>
        <v>19.1273539319129</v>
      </c>
      <c r="K4843" s="6" t="n">
        <f aca="false">Sens!K4823</f>
        <v>19.5099010105511</v>
      </c>
    </row>
    <row r="4844" customFormat="false" ht="15" hidden="false" customHeight="false" outlineLevel="0" collapsed="false">
      <c r="A4844" s="0" t="s">
        <v>794</v>
      </c>
      <c r="B4844" s="0" t="s">
        <v>95</v>
      </c>
      <c r="D4844" s="6" t="n">
        <f aca="false">Sens!D4825</f>
        <v>17.315</v>
      </c>
      <c r="E4844" s="6" t="n">
        <f aca="false">Sens!E4825</f>
        <v>17.087</v>
      </c>
      <c r="F4844" s="6" t="n">
        <f aca="false">Sens!F4825</f>
        <v>16.9564585436519</v>
      </c>
      <c r="G4844" s="6" t="n">
        <f aca="false">Sens!G4825</f>
        <v>16.9206490624268</v>
      </c>
      <c r="H4844" s="6" t="n">
        <f aca="false">Sens!H4825</f>
        <v>16.9784519149849</v>
      </c>
      <c r="I4844" s="6" t="n">
        <f aca="false">Sens!I4825</f>
        <v>17.1303084701817</v>
      </c>
      <c r="J4844" s="6" t="n">
        <f aca="false">Sens!J4825</f>
        <v>17.3782189407267</v>
      </c>
      <c r="K4844" s="6" t="n">
        <f aca="false">Sens!K4825</f>
        <v>17.7257833195413</v>
      </c>
    </row>
    <row r="4845" customFormat="false" ht="15" hidden="false" customHeight="false" outlineLevel="0" collapsed="false">
      <c r="A4845" s="0" t="s">
        <v>640</v>
      </c>
      <c r="B4845" s="0" t="s">
        <v>95</v>
      </c>
      <c r="D4845" s="6" t="n">
        <f aca="false">Sens!D4827</f>
        <v>62.941</v>
      </c>
      <c r="E4845" s="6" t="n">
        <f aca="false">Sens!E4827</f>
        <v>63.712</v>
      </c>
      <c r="F4845" s="6" t="n">
        <f aca="false">Sens!F4827</f>
        <v>65.1415764563129</v>
      </c>
      <c r="G4845" s="6" t="n">
        <f aca="false">Sens!G4827</f>
        <v>67.1253610780702</v>
      </c>
      <c r="H4845" s="6" t="n">
        <f aca="false">Sens!H4827</f>
        <v>69.5768050148776</v>
      </c>
      <c r="I4845" s="6" t="n">
        <f aca="false">Sens!I4827</f>
        <v>72.4233188088189</v>
      </c>
      <c r="J4845" s="6" t="n">
        <f aca="false">Sens!J4827</f>
        <v>75.6044096678567</v>
      </c>
      <c r="K4845" s="6" t="n">
        <f aca="false">Sens!K4827</f>
        <v>79.0714397009747</v>
      </c>
    </row>
    <row r="4846" customFormat="false" ht="15" hidden="false" customHeight="false" outlineLevel="0" collapsed="false">
      <c r="A4846" s="1" t="s">
        <v>810</v>
      </c>
      <c r="B4846" s="0" t="s">
        <v>95</v>
      </c>
      <c r="D4846" s="6" t="n">
        <f aca="false">Sens!D4828</f>
        <v>281.724</v>
      </c>
      <c r="E4846" s="6" t="n">
        <f aca="false">Sens!E4828</f>
        <v>331.839</v>
      </c>
      <c r="F4846" s="6" t="n">
        <f aca="false">Sens!F4828</f>
        <v>406.825517363364</v>
      </c>
      <c r="G4846" s="6" t="n">
        <f aca="false">Sens!G4828</f>
        <v>498.366031959962</v>
      </c>
      <c r="H4846" s="6" t="n">
        <f aca="false">Sens!H4828</f>
        <v>596.473080296262</v>
      </c>
      <c r="I4846" s="6" t="n">
        <f aca="false">Sens!I4828</f>
        <v>684.982765753239</v>
      </c>
      <c r="J4846" s="6" t="n">
        <f aca="false">Sens!J4828</f>
        <v>768.385080578079</v>
      </c>
      <c r="K4846" s="6" t="n">
        <f aca="false">Sens!K4828</f>
        <v>848.603744576972</v>
      </c>
    </row>
    <row r="4847" customFormat="false" ht="15" hidden="false" customHeight="false" outlineLevel="0" collapsed="false">
      <c r="A4847" s="1" t="s">
        <v>811</v>
      </c>
      <c r="B4847" s="0" t="s">
        <v>126</v>
      </c>
      <c r="E4847" s="7" t="n">
        <f aca="false">Sens!E4846/Sens!D4846-1</f>
        <v>0.177886867998467</v>
      </c>
      <c r="F4847" s="7" t="n">
        <f aca="false">Sens!F4846/Sens!E4846-1</f>
        <v>0.225972587198502</v>
      </c>
      <c r="G4847" s="7" t="n">
        <f aca="false">Sens!G4846/Sens!F4846-1</f>
        <v>0.225011732769057</v>
      </c>
      <c r="H4847" s="7" t="n">
        <f aca="false">Sens!H4846/Sens!G4846-1</f>
        <v>0.19685741411883</v>
      </c>
      <c r="I4847" s="7" t="n">
        <f aca="false">Sens!I4846/Sens!H4846-1</f>
        <v>0.148388399042275</v>
      </c>
      <c r="J4847" s="7" t="n">
        <f aca="false">Sens!J4846/Sens!I4846-1</f>
        <v>0.121758267499077</v>
      </c>
      <c r="K4847" s="7" t="n">
        <f aca="false">Sens!K4846/Sens!J4846-1</f>
        <v>0.104399039005992</v>
      </c>
    </row>
    <row r="4848" customFormat="false" ht="17.15" hidden="false" customHeight="false" outlineLevel="0" collapsed="false">
      <c r="A4848" s="22" t="s">
        <v>812</v>
      </c>
      <c r="B4848" s="28" t="s">
        <v>95</v>
      </c>
      <c r="C4848" s="28"/>
      <c r="D4848" s="23" t="n">
        <f aca="false">(Sens!D4841+Sens!D4845-Sens!D4846)+(Sens!D4833+Sens!D4834-Sens!D4832)+(Sens!D4836+Sens!D4837-Sens!D4835)+(Sens!D4846-Q!L18)</f>
        <v>0</v>
      </c>
      <c r="E4848" s="23" t="n">
        <f aca="false">(Sens!E4841+Sens!E4845-Sens!E4846)+(Sens!E4833+Sens!E4834-Sens!E4832)+(Sens!E4836+Sens!E4837-Sens!E4835)+(Sens!E4846-Q!M18)</f>
        <v>0</v>
      </c>
      <c r="F4848" s="23" t="n">
        <f aca="false">(Sens!F4841+Sens!F4845-Sens!F4846)+(Sens!F4833+Sens!F4834-Sens!F4832)+(Sens!F4836+Sens!F4837-Sens!F4835)</f>
        <v>0</v>
      </c>
      <c r="G4848" s="23" t="n">
        <f aca="false">(Sens!G4841+Sens!G4845-Sens!G4846)+(Sens!G4833+Sens!G4834-Sens!G4832)+(Sens!G4836+Sens!G4837-Sens!G4835)</f>
        <v>0</v>
      </c>
      <c r="H4848" s="23" t="n">
        <f aca="false">(Sens!H4841+Sens!H4845-Sens!H4846)+(Sens!H4833+Sens!H4834-Sens!H4832)+(Sens!H4836+Sens!H4837-Sens!H4835)</f>
        <v>0</v>
      </c>
      <c r="I4848" s="23" t="n">
        <f aca="false">(Sens!I4841+Sens!I4845-Sens!I4846)+(Sens!I4833+Sens!I4834-Sens!I4832)+(Sens!I4836+Sens!I4837-Sens!I4835)</f>
        <v>0</v>
      </c>
      <c r="J4848" s="23" t="n">
        <f aca="false">(Sens!J4841+Sens!J4845-Sens!J4846)+(Sens!J4833+Sens!J4834-Sens!J4832)+(Sens!J4836+Sens!J4837-Sens!J4835)</f>
        <v>0</v>
      </c>
      <c r="K4848" s="23" t="n">
        <f aca="false">(Sens!K4841+Sens!K4845-Sens!K4846)+(Sens!K4833+Sens!K4834-Sens!K4832)+(Sens!K4836+Sens!K4837-Sens!K4835)</f>
        <v>0</v>
      </c>
    </row>
    <row r="4849" customFormat="false" ht="17.15" hidden="false" customHeight="false" outlineLevel="0" collapsed="false">
      <c r="A4849" s="0" t="s">
        <v>813</v>
      </c>
      <c r="B4849" s="0" t="s">
        <v>126</v>
      </c>
      <c r="E4849" s="7" t="n">
        <f aca="false">(Q!M21+Sens!E4786+Sens!E4787+Sens!E4788+Sens!E4801-Sens!E4784)/(Q!M5-Sens!E4784)</f>
        <v>0.570957350878296</v>
      </c>
      <c r="F4849" s="7" t="n">
        <f aca="false">Sens!$E$4849+dm_seg</f>
        <v>0.570957350878296</v>
      </c>
      <c r="G4849" s="7" t="n">
        <f aca="false">Sens!$E$4849+dm_seg</f>
        <v>0.570957350878296</v>
      </c>
      <c r="H4849" s="7" t="n">
        <f aca="false">Sens!$E$4849+dm_seg</f>
        <v>0.570957350878296</v>
      </c>
      <c r="I4849" s="7" t="n">
        <f aca="false">Sens!$E$4849+dm_seg</f>
        <v>0.570957350878296</v>
      </c>
      <c r="J4849" s="7" t="n">
        <f aca="false">Sens!$E$4849+dm_seg</f>
        <v>0.570957350878296</v>
      </c>
      <c r="K4849" s="7" t="n">
        <f aca="false">Sens!$E$4849+dm_seg</f>
        <v>0.570957350878296</v>
      </c>
      <c r="L4849" s="11" t="s">
        <v>814</v>
      </c>
    </row>
    <row r="4850" customFormat="false" ht="17.15" hidden="false" customHeight="false" outlineLevel="0" collapsed="false">
      <c r="A4850" s="0" t="s">
        <v>654</v>
      </c>
      <c r="B4850" s="0" t="s">
        <v>95</v>
      </c>
      <c r="D4850" s="6" t="n">
        <f aca="false">Q!L21</f>
        <v>110.814</v>
      </c>
      <c r="E4850" s="6" t="n">
        <f aca="false">Q!M21</f>
        <v>136.365</v>
      </c>
      <c r="F4850" s="6" t="n">
        <f aca="false">Sens!F4849*(Sens!F4820-Sens!F4784)+Sens!F4784-(Sens!F4786+Sens!F4787+Sens!F4788)-Sens!F4801</f>
        <v>163.438888641783</v>
      </c>
      <c r="G4850" s="6" t="n">
        <f aca="false">Sens!G4849*(Sens!G4820-Sens!G4784)+Sens!G4784-(Sens!G4786+Sens!G4787+Sens!G4788)-Sens!G4801</f>
        <v>195.585042386126</v>
      </c>
      <c r="H4850" s="6" t="n">
        <f aca="false">Sens!H4849*(Sens!H4820-Sens!H4784)+Sens!H4784-(Sens!H4786+Sens!H4787+Sens!H4788)-Sens!H4801</f>
        <v>232.540484194954</v>
      </c>
      <c r="I4850" s="6" t="n">
        <f aca="false">Sens!I4849*(Sens!I4820-Sens!I4784)+Sens!I4784-(Sens!I4786+Sens!I4787+Sens!I4788)-Sens!I4801</f>
        <v>260.268110155299</v>
      </c>
      <c r="J4850" s="6" t="n">
        <f aca="false">Sens!J4849*(Sens!J4820-Sens!J4784)+Sens!J4784-(Sens!J4786+Sens!J4787+Sens!J4788)-Sens!J4801</f>
        <v>283.944354149653</v>
      </c>
      <c r="K4850" s="6" t="n">
        <f aca="false">Sens!K4849*(Sens!K4820-Sens!K4784)+Sens!K4784-(Sens!K4786+Sens!K4787+Sens!K4788)-Sens!K4801</f>
        <v>304.368514319115</v>
      </c>
      <c r="L4850" s="1" t="s">
        <v>815</v>
      </c>
    </row>
    <row r="4851" customFormat="false" ht="17.15" hidden="false" customHeight="false" outlineLevel="0" collapsed="false">
      <c r="A4851" s="0" t="s">
        <v>816</v>
      </c>
      <c r="B4851" s="0" t="s">
        <v>126</v>
      </c>
      <c r="E4851" s="7" t="n">
        <f aca="false">Q!M22/Q!M12</f>
        <v>0.296207935710698</v>
      </c>
      <c r="F4851" s="7" t="n">
        <f aca="false">Sens!$E$4851+dm_seg</f>
        <v>0.296207935710698</v>
      </c>
      <c r="G4851" s="7" t="n">
        <f aca="false">Sens!$E$4851+dm_seg</f>
        <v>0.296207935710698</v>
      </c>
      <c r="H4851" s="7" t="n">
        <f aca="false">Sens!$E$4851+dm_seg</f>
        <v>0.296207935710698</v>
      </c>
      <c r="I4851" s="7" t="n">
        <f aca="false">Sens!$E$4851+dm_seg</f>
        <v>0.296207935710698</v>
      </c>
      <c r="J4851" s="7" t="n">
        <f aca="false">Sens!$E$4851+dm_seg</f>
        <v>0.296207935710698</v>
      </c>
      <c r="K4851" s="7" t="n">
        <f aca="false">Sens!$E$4851+dm_seg</f>
        <v>0.296207935710698</v>
      </c>
      <c r="L4851" s="11" t="s">
        <v>817</v>
      </c>
    </row>
    <row r="4852" customFormat="false" ht="17.15" hidden="false" customHeight="false" outlineLevel="0" collapsed="false">
      <c r="A4852" s="0" t="s">
        <v>656</v>
      </c>
      <c r="B4852" s="0" t="s">
        <v>95</v>
      </c>
      <c r="D4852" s="6" t="n">
        <f aca="false">Q!L22</f>
        <v>17.714</v>
      </c>
      <c r="E4852" s="6" t="n">
        <f aca="false">Q!M22</f>
        <v>18.872</v>
      </c>
      <c r="F4852" s="6" t="n">
        <f aca="false">Sens!F4827*Sens!F4851</f>
        <v>19.2954518910651</v>
      </c>
      <c r="G4852" s="6" t="n">
        <f aca="false">Sens!G4827*Sens!G4851</f>
        <v>19.8830646387704</v>
      </c>
      <c r="H4852" s="6" t="n">
        <f aca="false">Sens!H4827*Sens!H4851</f>
        <v>20.6092017868026</v>
      </c>
      <c r="I4852" s="6" t="n">
        <f aca="false">Sens!I4827*Sens!I4851</f>
        <v>21.452361761678</v>
      </c>
      <c r="J4852" s="6" t="n">
        <f aca="false">Sens!J4827*Sens!J4851</f>
        <v>22.3946261183418</v>
      </c>
      <c r="K4852" s="6" t="n">
        <f aca="false">Sens!K4827*Sens!K4851</f>
        <v>23.4215879274986</v>
      </c>
    </row>
    <row r="4853" customFormat="false" ht="15" hidden="false" customHeight="false" outlineLevel="0" collapsed="false">
      <c r="A4853" s="1" t="s">
        <v>818</v>
      </c>
      <c r="B4853" s="0" t="s">
        <v>95</v>
      </c>
      <c r="D4853" s="6" t="n">
        <f aca="false">Sens!D4850+Sens!D4852</f>
        <v>128.528</v>
      </c>
      <c r="E4853" s="6" t="n">
        <f aca="false">Sens!E4850+Sens!E4852</f>
        <v>155.237</v>
      </c>
      <c r="F4853" s="6" t="n">
        <f aca="false">Sens!F4850+Sens!F4852</f>
        <v>182.734340532848</v>
      </c>
      <c r="G4853" s="6" t="n">
        <f aca="false">Sens!G4850+Sens!G4852</f>
        <v>215.468107024897</v>
      </c>
      <c r="H4853" s="6" t="n">
        <f aca="false">Sens!H4850+Sens!H4852</f>
        <v>253.149685981756</v>
      </c>
      <c r="I4853" s="6" t="n">
        <f aca="false">Sens!I4850+Sens!I4852</f>
        <v>281.720471916977</v>
      </c>
      <c r="J4853" s="6" t="n">
        <f aca="false">Sens!J4850+Sens!J4852</f>
        <v>306.338980267994</v>
      </c>
      <c r="K4853" s="6" t="n">
        <f aca="false">Sens!K4850+Sens!K4852</f>
        <v>327.790102246614</v>
      </c>
    </row>
    <row r="4854" customFormat="false" ht="15" hidden="false" customHeight="false" outlineLevel="0" collapsed="false">
      <c r="A4854" s="22" t="s">
        <v>819</v>
      </c>
      <c r="B4854" s="28" t="s">
        <v>95</v>
      </c>
      <c r="C4854" s="28"/>
      <c r="D4854" s="23" t="n">
        <f aca="false">Sens!D4853-Q!L23</f>
        <v>0</v>
      </c>
      <c r="E4854" s="23" t="n">
        <f aca="false">Sens!E4853-Q!M23</f>
        <v>0</v>
      </c>
      <c r="F4854" s="28"/>
      <c r="G4854" s="28"/>
      <c r="H4854" s="28"/>
      <c r="I4854" s="28"/>
      <c r="J4854" s="28"/>
      <c r="K4854" s="28"/>
    </row>
    <row r="4855" customFormat="false" ht="15" hidden="false" customHeight="false" outlineLevel="0" collapsed="false">
      <c r="A4855" s="1" t="s">
        <v>820</v>
      </c>
      <c r="B4855" s="0" t="s">
        <v>126</v>
      </c>
      <c r="D4855" s="7" t="n">
        <f aca="false">Sens!D4853/Sens!D4846</f>
        <v>0.456219562408598</v>
      </c>
      <c r="E4855" s="7" t="n">
        <f aca="false">Sens!E4853/Sens!E4846</f>
        <v>0.467808184089272</v>
      </c>
      <c r="F4855" s="7" t="n">
        <f aca="false">Sens!F4853/Sens!F4846</f>
        <v>0.449171285314523</v>
      </c>
      <c r="G4855" s="7" t="n">
        <f aca="false">Sens!G4853/Sens!G4846</f>
        <v>0.432349103283602</v>
      </c>
      <c r="H4855" s="7" t="n">
        <f aca="false">Sens!H4853/Sens!H4846</f>
        <v>0.424410915335893</v>
      </c>
      <c r="I4855" s="7" t="n">
        <f aca="false">Sens!I4853/Sens!I4846</f>
        <v>0.411281109543222</v>
      </c>
      <c r="J4855" s="7" t="n">
        <f aca="false">Sens!J4853/Sens!J4846</f>
        <v>0.398678980124818</v>
      </c>
      <c r="K4855" s="7" t="n">
        <f aca="false">Sens!K4853/Sens!K4846</f>
        <v>0.38626992202352</v>
      </c>
    </row>
    <row r="4856" customFormat="false" ht="17.15" hidden="false" customHeight="false" outlineLevel="0" collapsed="false">
      <c r="A4856" s="1" t="s">
        <v>821</v>
      </c>
      <c r="B4856" s="0" t="s">
        <v>95</v>
      </c>
      <c r="E4856" s="6" t="n">
        <f aca="false">Sens!E4801</f>
        <v>16.3054059770833</v>
      </c>
      <c r="F4856" s="6" t="n">
        <f aca="false">Sens!F4801</f>
        <v>34.7092854558698</v>
      </c>
      <c r="G4856" s="6" t="n">
        <f aca="false">Sens!G4801</f>
        <v>60.4442332603396</v>
      </c>
      <c r="H4856" s="6" t="n">
        <f aca="false">Sens!H4801</f>
        <v>87.6798159931396</v>
      </c>
      <c r="I4856" s="6" t="n">
        <f aca="false">Sens!I4801</f>
        <v>115.934681741123</v>
      </c>
      <c r="J4856" s="6" t="n">
        <f aca="false">Sens!J4801</f>
        <v>145.161777958273</v>
      </c>
      <c r="K4856" s="6" t="n">
        <f aca="false">Sens!K4801</f>
        <v>175.67642263459</v>
      </c>
    </row>
    <row r="4857" customFormat="false" ht="17.15" hidden="false" customHeight="false" outlineLevel="0" collapsed="false">
      <c r="A4857" s="1" t="s">
        <v>822</v>
      </c>
      <c r="B4857" s="0" t="s">
        <v>95</v>
      </c>
      <c r="E4857" s="6" t="n">
        <f aca="false">Sens!E4877</f>
        <v>22.2285940229167</v>
      </c>
      <c r="F4857" s="6" t="n">
        <f aca="false">Sens!F4877</f>
        <v>23.6011693435812</v>
      </c>
      <c r="G4857" s="6" t="n">
        <f aca="false">Sens!G4877</f>
        <v>25.468841766262</v>
      </c>
      <c r="H4857" s="6" t="n">
        <f aca="false">Sens!H4877</f>
        <v>27.7906089540448</v>
      </c>
      <c r="I4857" s="6" t="n">
        <f aca="false">Sens!I4877</f>
        <v>30.4751380898047</v>
      </c>
      <c r="J4857" s="6" t="n">
        <f aca="false">Sens!J4877</f>
        <v>33.4169656058616</v>
      </c>
      <c r="K4857" s="6" t="n">
        <f aca="false">Sens!K4877</f>
        <v>36.5308893194749</v>
      </c>
    </row>
    <row r="4858" customFormat="false" ht="17.15" hidden="false" customHeight="false" outlineLevel="0" collapsed="false">
      <c r="A4858" s="1" t="s">
        <v>823</v>
      </c>
      <c r="B4858" s="0" t="s">
        <v>95</v>
      </c>
      <c r="D4858" s="6" t="n">
        <f aca="false">Q!L27</f>
        <v>-4.901</v>
      </c>
      <c r="E4858" s="6" t="n">
        <f aca="false">Q!M27</f>
        <v>10.697</v>
      </c>
      <c r="F4858" s="6" t="n">
        <f aca="false">oie_f</f>
        <v>-0.4</v>
      </c>
      <c r="G4858" s="6" t="n">
        <f aca="false">oie_f</f>
        <v>-0.4</v>
      </c>
      <c r="H4858" s="6" t="n">
        <f aca="false">oie_f</f>
        <v>-0.4</v>
      </c>
      <c r="I4858" s="6" t="n">
        <f aca="false">oie_f</f>
        <v>-0.4</v>
      </c>
      <c r="J4858" s="6" t="n">
        <f aca="false">oie_f</f>
        <v>-0.4</v>
      </c>
      <c r="K4858" s="6" t="n">
        <f aca="false">oie_f</f>
        <v>-0.4</v>
      </c>
      <c r="L4858" s="11" t="s">
        <v>824</v>
      </c>
    </row>
    <row r="4859" customFormat="false" ht="15" hidden="false" customHeight="false" outlineLevel="0" collapsed="false">
      <c r="A4859" s="1" t="s">
        <v>666</v>
      </c>
      <c r="B4859" s="0" t="s">
        <v>95</v>
      </c>
      <c r="D4859" s="6" t="n">
        <f aca="false">Sens!D4853+Sens!D4858</f>
        <v>123.627</v>
      </c>
      <c r="E4859" s="6" t="n">
        <f aca="false">Sens!E4853+Sens!E4858</f>
        <v>165.934</v>
      </c>
      <c r="F4859" s="6" t="n">
        <f aca="false">Sens!F4853+Sens!F4858</f>
        <v>182.334340532848</v>
      </c>
      <c r="G4859" s="6" t="n">
        <f aca="false">Sens!G4853+Sens!G4858</f>
        <v>215.068107024897</v>
      </c>
      <c r="H4859" s="6" t="n">
        <f aca="false">Sens!H4853+Sens!H4858</f>
        <v>252.749685981756</v>
      </c>
      <c r="I4859" s="6" t="n">
        <f aca="false">Sens!I4853+Sens!I4858</f>
        <v>281.320471916977</v>
      </c>
      <c r="J4859" s="6" t="n">
        <f aca="false">Sens!J4853+Sens!J4858</f>
        <v>305.938980267994</v>
      </c>
      <c r="K4859" s="6" t="n">
        <f aca="false">Sens!K4853+Sens!K4858</f>
        <v>327.390102246614</v>
      </c>
    </row>
    <row r="4860" customFormat="false" ht="15" hidden="false" customHeight="false" outlineLevel="0" collapsed="false">
      <c r="A4860" s="1" t="s">
        <v>668</v>
      </c>
      <c r="B4860" s="0" t="s">
        <v>95</v>
      </c>
      <c r="D4860" s="6" t="n">
        <f aca="false">Q!L29</f>
        <v>21.795</v>
      </c>
      <c r="E4860" s="6" t="n">
        <f aca="false">Q!M29</f>
        <v>32.185</v>
      </c>
      <c r="F4860" s="6" t="n">
        <f aca="false">Sens!F4859*tax_f</f>
        <v>36.4668681065696</v>
      </c>
      <c r="G4860" s="6" t="n">
        <f aca="false">Sens!G4859*tax_f</f>
        <v>43.0136214049793</v>
      </c>
      <c r="H4860" s="6" t="n">
        <f aca="false">Sens!H4859*tax_f</f>
        <v>50.5499371963513</v>
      </c>
      <c r="I4860" s="6" t="n">
        <f aca="false">Sens!I4859*tax_f</f>
        <v>56.2640943833954</v>
      </c>
      <c r="J4860" s="6" t="n">
        <f aca="false">Sens!J4859*tax_f</f>
        <v>61.1877960535989</v>
      </c>
      <c r="K4860" s="6" t="n">
        <f aca="false">Sens!K4859*tax_f</f>
        <v>65.4780204493228</v>
      </c>
    </row>
    <row r="4861" customFormat="false" ht="15" hidden="false" customHeight="false" outlineLevel="0" collapsed="false">
      <c r="A4861" s="1" t="s">
        <v>825</v>
      </c>
      <c r="B4861" s="0" t="s">
        <v>95</v>
      </c>
      <c r="D4861" s="6" t="n">
        <f aca="false">Sens!D4859-Sens!D4860</f>
        <v>101.832</v>
      </c>
      <c r="E4861" s="6" t="n">
        <f aca="false">Sens!E4859-Sens!E4860</f>
        <v>133.749</v>
      </c>
      <c r="F4861" s="6" t="n">
        <f aca="false">Sens!F4859-Sens!F4860</f>
        <v>145.867472426278</v>
      </c>
      <c r="G4861" s="6" t="n">
        <f aca="false">Sens!G4859-Sens!G4860</f>
        <v>172.054485619917</v>
      </c>
      <c r="H4861" s="6" t="n">
        <f aca="false">Sens!H4859-Sens!H4860</f>
        <v>202.199748785405</v>
      </c>
      <c r="I4861" s="6" t="n">
        <f aca="false">Sens!I4859-Sens!I4860</f>
        <v>225.056377533582</v>
      </c>
      <c r="J4861" s="6" t="n">
        <f aca="false">Sens!J4859-Sens!J4860</f>
        <v>244.751184214396</v>
      </c>
      <c r="K4861" s="6" t="n">
        <f aca="false">Sens!K4859-Sens!K4860</f>
        <v>261.912081797291</v>
      </c>
    </row>
    <row r="4862" customFormat="false" ht="17.15" hidden="false" customHeight="false" outlineLevel="0" collapsed="false">
      <c r="A4862" s="1" t="s">
        <v>826</v>
      </c>
      <c r="B4862" s="1" t="s">
        <v>79</v>
      </c>
      <c r="D4862" s="18" t="n">
        <f aca="false">Q!L31</f>
        <v>7.465</v>
      </c>
      <c r="E4862" s="18" t="n">
        <f aca="false">Q!M31</f>
        <v>7.453</v>
      </c>
      <c r="F4862" s="18" t="n">
        <f aca="false">Sens!F4899</f>
        <v>7.4735</v>
      </c>
      <c r="G4862" s="18" t="n">
        <f aca="false">Sens!G4899</f>
        <v>7.50579095989859</v>
      </c>
      <c r="H4862" s="18" t="n">
        <f aca="false">Sens!H4899</f>
        <v>7.52083350564713</v>
      </c>
      <c r="I4862" s="18" t="n">
        <f aca="false">Sens!I4899</f>
        <v>7.53261433765444</v>
      </c>
      <c r="J4862" s="18" t="n">
        <f aca="false">Sens!J4899</f>
        <v>7.54685584877233</v>
      </c>
      <c r="K4862" s="18" t="n">
        <f aca="false">Sens!K4899</f>
        <v>7.56337576647407</v>
      </c>
    </row>
    <row r="4863" customFormat="false" ht="17.15" hidden="false" customHeight="false" outlineLevel="0" collapsed="false">
      <c r="A4863" s="0" t="s">
        <v>827</v>
      </c>
      <c r="B4863" s="0" t="s">
        <v>73</v>
      </c>
      <c r="D4863" s="8" t="n">
        <f aca="false">Sens!D4861/Sens!D4862</f>
        <v>13.641259209645</v>
      </c>
      <c r="E4863" s="8" t="n">
        <f aca="false">Sens!E4861/Sens!E4862</f>
        <v>17.9456594659869</v>
      </c>
      <c r="F4863" s="8" t="n">
        <f aca="false">Sens!F4861/Sens!F4862</f>
        <v>19.517959781398</v>
      </c>
      <c r="G4863" s="8" t="n">
        <f aca="false">Sens!G4861/Sens!G4862</f>
        <v>22.9228986710605</v>
      </c>
      <c r="H4863" s="8" t="n">
        <f aca="false">Sens!H4861/Sens!H4862</f>
        <v>26.8852845410792</v>
      </c>
      <c r="I4863" s="8" t="n">
        <f aca="false">Sens!I4861/Sens!I4862</f>
        <v>29.8775919548354</v>
      </c>
      <c r="J4863" s="8" t="n">
        <f aca="false">Sens!J4861/Sens!J4862</f>
        <v>32.43088103428</v>
      </c>
      <c r="K4863" s="8" t="n">
        <f aca="false">Sens!K4861/Sens!K4862</f>
        <v>34.6289923817167</v>
      </c>
      <c r="L4863" s="1" t="s">
        <v>828</v>
      </c>
    </row>
    <row r="4864" customFormat="false" ht="17.15" hidden="false" customHeight="false" outlineLevel="0" collapsed="false">
      <c r="A4864" s="0" t="s">
        <v>829</v>
      </c>
      <c r="B4864" s="0" t="s">
        <v>126</v>
      </c>
      <c r="E4864" s="7" t="n">
        <f aca="false">Sens!E4863/Sens!D4863-1</f>
        <v>0.315542736208578</v>
      </c>
      <c r="F4864" s="7" t="n">
        <f aca="false">Sens!F4863/Sens!E4863-1</f>
        <v>0.0876145186189024</v>
      </c>
      <c r="G4864" s="7" t="n">
        <f aca="false">Sens!G4863/Sens!F4863-1</f>
        <v>0.174451578330825</v>
      </c>
      <c r="H4864" s="7" t="n">
        <f aca="false">Sens!H4863/Sens!G4863-1</f>
        <v>0.172857103583548</v>
      </c>
      <c r="I4864" s="7" t="n">
        <f aca="false">Sens!I4863/Sens!H4863-1</f>
        <v>0.11129907921131</v>
      </c>
      <c r="J4864" s="7" t="n">
        <f aca="false">Sens!J4863/Sens!I4863-1</f>
        <v>0.0854583288808668</v>
      </c>
      <c r="K4864" s="7" t="n">
        <f aca="false">Sens!K4863/Sens!J4863-1</f>
        <v>0.0677783420411324</v>
      </c>
    </row>
    <row r="4865" customFormat="false" ht="17.15" hidden="false" customHeight="false" outlineLevel="0" collapsed="false">
      <c r="A4865" s="0" t="s">
        <v>763</v>
      </c>
      <c r="B4865" s="0" t="s">
        <v>95</v>
      </c>
      <c r="E4865" s="6" t="n">
        <f aca="false">Sens!E4810</f>
        <v>5.25</v>
      </c>
      <c r="F4865" s="6" t="n">
        <f aca="false">Sens!F4810</f>
        <v>15.75</v>
      </c>
      <c r="G4865" s="6" t="n">
        <f aca="false">Sens!G4810</f>
        <v>29.25</v>
      </c>
      <c r="H4865" s="6" t="n">
        <f aca="false">Sens!H4810</f>
        <v>42.75</v>
      </c>
      <c r="I4865" s="6" t="n">
        <f aca="false">Sens!I4810</f>
        <v>52.875</v>
      </c>
      <c r="J4865" s="6" t="n">
        <f aca="false">Sens!J4810</f>
        <v>59.625</v>
      </c>
      <c r="K4865" s="6" t="n">
        <f aca="false">Sens!K4810</f>
        <v>66.375</v>
      </c>
    </row>
    <row r="4866" customFormat="false" ht="17.15" hidden="false" customHeight="false" outlineLevel="0" collapsed="false">
      <c r="A4866" s="0" t="s">
        <v>764</v>
      </c>
      <c r="B4866" s="0" t="s">
        <v>95</v>
      </c>
      <c r="E4866" s="6" t="n">
        <f aca="false">Sens!E4790+Sens!E4865*Sens!E4849-Sens!E4791-Sens!E4801</f>
        <v>2.1514866143068</v>
      </c>
      <c r="F4866" s="6" t="n">
        <f aca="false">Sens!F4790+Sens!F4865*Sens!F4849-Sens!F4791-Sens!F4801</f>
        <v>10.8782156746907</v>
      </c>
      <c r="G4866" s="6" t="n">
        <f aca="false">Sens!G4790+Sens!G4865*Sens!G4849-Sens!G4791-Sens!G4801</f>
        <v>23.9429404585907</v>
      </c>
      <c r="H4866" s="6" t="n">
        <f aca="false">Sens!H4790+Sens!H4865*Sens!H4849-Sens!H4791-Sens!H4801</f>
        <v>41.6348045161165</v>
      </c>
      <c r="I4866" s="6" t="n">
        <f aca="false">Sens!I4790+Sens!I4865*Sens!I4849-Sens!I4791-Sens!I4801</f>
        <v>50.5868450811201</v>
      </c>
      <c r="J4866" s="6" t="n">
        <f aca="false">Sens!J4790+Sens!J4865*Sens!J4849-Sens!J4791-Sens!J4801</f>
        <v>56.7263013011148</v>
      </c>
      <c r="K4866" s="6" t="n">
        <f aca="false">Sens!K4790+Sens!K4865*Sens!K4849-Sens!K4791-Sens!K4801</f>
        <v>61.6291676676937</v>
      </c>
    </row>
    <row r="4867" customFormat="false" ht="17.15" hidden="false" customHeight="false" outlineLevel="0" collapsed="false">
      <c r="A4867" s="0" t="s">
        <v>765</v>
      </c>
      <c r="B4867" s="0" t="s">
        <v>95</v>
      </c>
      <c r="E4867" s="6" t="n">
        <f aca="false">Sens!E4773*(cxit_open+self_build*tk_cxfac)/1000*ai_net_open</f>
        <v>126.6980382</v>
      </c>
      <c r="F4867" s="6" t="n">
        <f aca="false">Sens!E4867+Sens!F4798-Sens!F4801</f>
        <v>260.234405514568</v>
      </c>
      <c r="G4867" s="6" t="n">
        <f aca="false">Sens!F4867+Sens!G4798-Sens!G4801</f>
        <v>383.364352737428</v>
      </c>
      <c r="H4867" s="6" t="n">
        <f aca="false">Sens!G4867+Sens!H4798-Sens!H4801</f>
        <v>483.764822654688</v>
      </c>
      <c r="I4867" s="6" t="n">
        <f aca="false">Sens!H4867+Sens!I4798-Sens!I4801</f>
        <v>586.169102170632</v>
      </c>
      <c r="J4867" s="6" t="n">
        <f aca="false">Sens!I4867+Sens!J4798-Sens!J4801</f>
        <v>674.784385136093</v>
      </c>
      <c r="K4867" s="6" t="n">
        <f aca="false">Sens!J4867+Sens!K4798-Sens!K4801</f>
        <v>777.964274451903</v>
      </c>
      <c r="L4867" s="1" t="s">
        <v>766</v>
      </c>
    </row>
    <row r="4868" customFormat="false" ht="17.15" hidden="false" customHeight="false" outlineLevel="0" collapsed="false">
      <c r="A4868" s="0" t="s">
        <v>767</v>
      </c>
      <c r="B4868" s="0" t="s">
        <v>126</v>
      </c>
      <c r="F4868" s="7" t="n">
        <f aca="false">Sens!F4866*(1-tax_f)/((Sens!E4867+Sens!F4867)/2)</f>
        <v>0.0449823873966603</v>
      </c>
      <c r="G4868" s="7" t="n">
        <f aca="false">Sens!G4866*(1-tax_f)/((Sens!F4867+Sens!G4867)/2)</f>
        <v>0.0595226517182709</v>
      </c>
      <c r="H4868" s="7" t="n">
        <f aca="false">Sens!H4866*(1-tax_f)/((Sens!G4867+Sens!H4867)/2)</f>
        <v>0.0768232566914413</v>
      </c>
      <c r="I4868" s="7" t="n">
        <f aca="false">Sens!I4866*(1-tax_f)/((Sens!H4867+Sens!I4867)/2)</f>
        <v>0.0756485519823164</v>
      </c>
      <c r="J4868" s="7" t="n">
        <f aca="false">Sens!J4866*(1-tax_f)/((Sens!I4867+Sens!J4867)/2)</f>
        <v>0.0719789294335057</v>
      </c>
      <c r="K4868" s="7" t="n">
        <f aca="false">Sens!K4866*(1-tax_f)/((Sens!J4867+Sens!K4867)/2)</f>
        <v>0.0678759313371352</v>
      </c>
    </row>
    <row r="4869" customFormat="false" ht="17.15" hidden="false" customHeight="false" outlineLevel="0" collapsed="false">
      <c r="A4869" s="1" t="s">
        <v>768</v>
      </c>
      <c r="B4869" s="0" t="s">
        <v>126</v>
      </c>
      <c r="F4869" s="7" t="n">
        <f aca="false">Sens!F4802*(1-tax_f)/(Sens!F4789*(Sens!E4867+Sens!F4867)/2)</f>
        <v>0.15370319371249</v>
      </c>
      <c r="G4869" s="7" t="n">
        <f aca="false">Sens!G4802*(1-tax_f)/(Sens!G4789*(Sens!F4867+Sens!G4867)/2)</f>
        <v>0.174869873017692</v>
      </c>
      <c r="H4869" s="7" t="n">
        <f aca="false">Sens!H4802*(1-tax_f)/(Sens!H4789*(Sens!G4867+Sens!H4867)/2)</f>
        <v>0.207771380420635</v>
      </c>
      <c r="I4869" s="7" t="n">
        <f aca="false">Sens!I4802*(1-tax_f)/(Sens!I4789*(Sens!H4867+Sens!I4867)/2)</f>
        <v>0.215654201735037</v>
      </c>
      <c r="J4869" s="7" t="n">
        <f aca="false">Sens!J4802*(1-tax_f)/(Sens!J4789*(Sens!I4867+Sens!J4867)/2)</f>
        <v>0.222053780109857</v>
      </c>
      <c r="K4869" s="7" t="n">
        <f aca="false">Sens!K4802*(1-tax_f)/(Sens!K4789*(Sens!J4867+Sens!K4867)/2)</f>
        <v>0.225330891802926</v>
      </c>
    </row>
    <row r="4870" customFormat="false" ht="17.15" hidden="false" customHeight="false" outlineLevel="0" collapsed="false">
      <c r="A4870" s="0" t="s">
        <v>769</v>
      </c>
      <c r="B4870" s="0" t="s">
        <v>208</v>
      </c>
      <c r="F4870" s="7" t="n">
        <f aca="false">Sens!F4868-wacc</f>
        <v>-0.0639808337535937</v>
      </c>
      <c r="G4870" s="7" t="n">
        <f aca="false">Sens!G4868-wacc</f>
        <v>-0.0494405694319831</v>
      </c>
      <c r="H4870" s="7" t="n">
        <f aca="false">Sens!H4868-wacc</f>
        <v>-0.0321399644588127</v>
      </c>
      <c r="I4870" s="7" t="n">
        <f aca="false">Sens!I4868-wacc</f>
        <v>-0.0333146691679375</v>
      </c>
      <c r="J4870" s="7" t="n">
        <f aca="false">Sens!J4868-wacc</f>
        <v>-0.0369842917167483</v>
      </c>
      <c r="K4870" s="7" t="n">
        <f aca="false">Sens!K4868-wacc</f>
        <v>-0.0410872898131188</v>
      </c>
    </row>
    <row r="4871" customFormat="false" ht="17.15" hidden="false" customHeight="false" outlineLevel="0" collapsed="false">
      <c r="A4871" s="0" t="s">
        <v>770</v>
      </c>
      <c r="B4871" s="0" t="s">
        <v>95</v>
      </c>
      <c r="F4871" s="6" t="n">
        <f aca="false">Sens!F4866*(1-tax_f)-wacc*(Sens!E4867+Sens!F4867)/2</f>
        <v>-12.3781301775868</v>
      </c>
      <c r="G4871" s="6" t="n">
        <f aca="false">Sens!G4866*(1-tax_f)-wacc*(Sens!F4867+Sens!G4867)/2</f>
        <v>-15.909944546848</v>
      </c>
      <c r="H4871" s="6" t="n">
        <f aca="false">Sens!H4866*(1-tax_f)-wacc*(Sens!G4867+Sens!H4867)/2</f>
        <v>-13.9347504391511</v>
      </c>
      <c r="I4871" s="6" t="n">
        <f aca="false">Sens!I4866*(1-tax_f)-wacc*(Sens!H4867+Sens!I4867)/2</f>
        <v>-17.8222473685543</v>
      </c>
      <c r="J4871" s="6" t="n">
        <f aca="false">Sens!J4866*(1-tax_f)-wacc*(Sens!I4867+Sens!J4867)/2</f>
        <v>-23.3177358079015</v>
      </c>
      <c r="K4871" s="6" t="n">
        <f aca="false">Sens!K4866*(1-tax_f)-wacc*(Sens!J4867+Sens!K4867)/2</f>
        <v>-29.8447526010559</v>
      </c>
    </row>
    <row r="4872" customFormat="false" ht="17.15" hidden="false" customHeight="false" outlineLevel="0" collapsed="false">
      <c r="A4872" s="1" t="s">
        <v>771</v>
      </c>
      <c r="B4872" s="0" t="s">
        <v>95</v>
      </c>
      <c r="F4872" s="6" t="n">
        <f aca="false">(Sens!E4774+Sens!F4774)/2*Sens!F4781/1000</f>
        <v>26.7873066765967</v>
      </c>
      <c r="G4872" s="6" t="n">
        <f aca="false">(Sens!F4774+Sens!G4774)/2*Sens!G4781/1000</f>
        <v>45.4131817597218</v>
      </c>
      <c r="H4872" s="6" t="n">
        <f aca="false">(Sens!G4774+Sens!H4774)/2*Sens!H4781/1000</f>
        <v>65.3915129357971</v>
      </c>
      <c r="I4872" s="6" t="n">
        <f aca="false">(Sens!H4774+Sens!I4774)/2*Sens!I4781/1000</f>
        <v>85.5187419289299</v>
      </c>
      <c r="J4872" s="6" t="n">
        <f aca="false">(Sens!I4774+Sens!J4774)/2*Sens!J4781/1000</f>
        <v>105.723807195006</v>
      </c>
      <c r="K4872" s="6" t="n">
        <f aca="false">(Sens!J4774+Sens!K4774)/2*Sens!K4781/1000</f>
        <v>125.974659797015</v>
      </c>
      <c r="L4872" s="1" t="s">
        <v>772</v>
      </c>
    </row>
    <row r="4873" customFormat="false" ht="17.15" hidden="false" customHeight="false" outlineLevel="0" collapsed="false">
      <c r="A4873" s="1" t="s">
        <v>773</v>
      </c>
      <c r="B4873" s="0" t="s">
        <v>126</v>
      </c>
      <c r="F4873" s="7" t="n">
        <f aca="false">(Sens!F4790+Sens!F4872-Sens!F4791-Sens!F4801)*(1-tax_f)/((Sens!E4867+Sens!F4867)/2)</f>
        <v>0.118565168843193</v>
      </c>
      <c r="G4873" s="7" t="n">
        <f aca="false">(Sens!G4790+Sens!G4872-Sens!G4791-Sens!G4801)*(1-tax_f)/((Sens!F4867+Sens!G4867)/2)</f>
        <v>0.130902974016008</v>
      </c>
      <c r="H4873" s="7" t="n">
        <f aca="false">(Sens!H4790+Sens!H4872-Sens!H4791-Sens!H4801)*(1-tax_f)/((Sens!G4867+Sens!H4867)/2)</f>
        <v>0.15244398282783</v>
      </c>
      <c r="I4873" s="7" t="n">
        <f aca="false">(Sens!I4790+Sens!I4872-Sens!I4791-Sens!I4801)*(1-tax_f)/((Sens!H4867+Sens!I4867)/2)</f>
        <v>0.158389170956929</v>
      </c>
      <c r="J4873" s="7" t="n">
        <f aca="false">(Sens!J4790+Sens!J4872-Sens!J4791-Sens!J4801)*(1-tax_f)/((Sens!I4867+Sens!J4867)/2)</f>
        <v>0.162932926859044</v>
      </c>
      <c r="K4873" s="7" t="n">
        <f aca="false">(Sens!K4790+Sens!K4872-Sens!K4791-Sens!K4801)*(1-tax_f)/((Sens!J4867+Sens!K4867)/2)</f>
        <v>0.164880863389122</v>
      </c>
      <c r="L4873" s="1" t="s">
        <v>774</v>
      </c>
    </row>
    <row r="4874" customFormat="false" ht="17.15" hidden="false" customHeight="false" outlineLevel="0" collapsed="false">
      <c r="A4874" s="3" t="s">
        <v>1252</v>
      </c>
    </row>
    <row r="4875" customFormat="false" ht="15" hidden="false" customHeight="false" outlineLevel="0" collapsed="false">
      <c r="A4875" s="4" t="s">
        <v>43</v>
      </c>
      <c r="B4875" s="4" t="s">
        <v>63</v>
      </c>
      <c r="C4875" s="19" t="s">
        <v>710</v>
      </c>
      <c r="D4875" s="19" t="s">
        <v>711</v>
      </c>
      <c r="E4875" s="19" t="s">
        <v>712</v>
      </c>
      <c r="F4875" s="19" t="s">
        <v>713</v>
      </c>
      <c r="G4875" s="19" t="s">
        <v>714</v>
      </c>
      <c r="H4875" s="19" t="s">
        <v>715</v>
      </c>
      <c r="I4875" s="19" t="s">
        <v>716</v>
      </c>
      <c r="J4875" s="19" t="s">
        <v>717</v>
      </c>
      <c r="K4875" s="19" t="s">
        <v>718</v>
      </c>
      <c r="L4875" s="4" t="s">
        <v>47</v>
      </c>
    </row>
    <row r="4876" customFormat="false" ht="15" hidden="false" customHeight="false" outlineLevel="0" collapsed="false">
      <c r="A4876" s="1" t="s">
        <v>825</v>
      </c>
      <c r="B4876" s="0" t="s">
        <v>95</v>
      </c>
      <c r="F4876" s="6" t="n">
        <f aca="false">Sens!F4861</f>
        <v>145.867472426278</v>
      </c>
      <c r="G4876" s="6" t="n">
        <f aca="false">Sens!G4861</f>
        <v>172.054485619917</v>
      </c>
      <c r="H4876" s="6" t="n">
        <f aca="false">Sens!H4861</f>
        <v>202.199748785405</v>
      </c>
      <c r="I4876" s="6" t="n">
        <f aca="false">Sens!I4861</f>
        <v>225.056377533582</v>
      </c>
      <c r="J4876" s="6" t="n">
        <f aca="false">Sens!J4861</f>
        <v>244.751184214396</v>
      </c>
      <c r="K4876" s="6" t="n">
        <f aca="false">Sens!K4861</f>
        <v>261.912081797291</v>
      </c>
    </row>
    <row r="4877" customFormat="false" ht="17.15" hidden="false" customHeight="false" outlineLevel="0" collapsed="false">
      <c r="A4877" s="1" t="s">
        <v>843</v>
      </c>
      <c r="B4877" s="0" t="s">
        <v>95</v>
      </c>
      <c r="E4877" s="6" t="n">
        <f aca="false">Q!M38-Sens!E4801</f>
        <v>22.2285940229167</v>
      </c>
      <c r="F4877" s="6" t="n">
        <f aca="false">Sens!E4877*(1-1/life_nonai)+Sens!F4883/life_nonai</f>
        <v>23.6011693435812</v>
      </c>
      <c r="G4877" s="6" t="n">
        <f aca="false">Sens!F4877*(1-1/life_nonai)+Sens!G4883/life_nonai</f>
        <v>25.468841766262</v>
      </c>
      <c r="H4877" s="6" t="n">
        <f aca="false">Sens!G4877*(1-1/life_nonai)+Sens!H4883/life_nonai</f>
        <v>27.7906089540448</v>
      </c>
      <c r="I4877" s="6" t="n">
        <f aca="false">Sens!H4877*(1-1/life_nonai)+Sens!I4883/life_nonai</f>
        <v>30.4751380898047</v>
      </c>
      <c r="J4877" s="6" t="n">
        <f aca="false">Sens!I4877*(1-1/life_nonai)+Sens!J4883/life_nonai</f>
        <v>33.4169656058616</v>
      </c>
      <c r="K4877" s="6" t="n">
        <f aca="false">Sens!J4877*(1-1/life_nonai)+Sens!K4883/life_nonai</f>
        <v>36.5308893194749</v>
      </c>
      <c r="L4877" s="11" t="s">
        <v>844</v>
      </c>
    </row>
    <row r="4878" customFormat="false" ht="17.15" hidden="false" customHeight="false" outlineLevel="0" collapsed="false">
      <c r="A4878" s="1" t="s">
        <v>845</v>
      </c>
      <c r="B4878" s="0" t="s">
        <v>95</v>
      </c>
      <c r="E4878" s="6" t="n">
        <f aca="false">Sens!E4801+Sens!E4877</f>
        <v>38.534</v>
      </c>
      <c r="F4878" s="6" t="n">
        <f aca="false">Sens!F4801+Sens!F4877</f>
        <v>58.310454799451</v>
      </c>
      <c r="G4878" s="6" t="n">
        <f aca="false">Sens!G4801+Sens!G4877</f>
        <v>85.9130750266016</v>
      </c>
      <c r="H4878" s="6" t="n">
        <f aca="false">Sens!H4801+Sens!H4877</f>
        <v>115.470424947184</v>
      </c>
      <c r="I4878" s="6" t="n">
        <f aca="false">Sens!I4801+Sens!I4877</f>
        <v>146.409819830928</v>
      </c>
      <c r="J4878" s="6" t="n">
        <f aca="false">Sens!J4801+Sens!J4877</f>
        <v>178.578743564135</v>
      </c>
      <c r="K4878" s="6" t="n">
        <f aca="false">Sens!K4801+Sens!K4877</f>
        <v>212.207311954064</v>
      </c>
    </row>
    <row r="4879" customFormat="false" ht="15" hidden="false" customHeight="false" outlineLevel="0" collapsed="false">
      <c r="A4879" s="1" t="s">
        <v>685</v>
      </c>
      <c r="B4879" s="0" t="s">
        <v>95</v>
      </c>
      <c r="F4879" s="6" t="n">
        <f aca="false">Sens!F4828*sbc_r</f>
        <v>15.2081899441974</v>
      </c>
      <c r="G4879" s="6" t="n">
        <f aca="false">Sens!G4828*sbc_r</f>
        <v>18.6302111158222</v>
      </c>
      <c r="H4879" s="6" t="n">
        <f aca="false">Sens!H4828*sbc_r</f>
        <v>22.2977063005709</v>
      </c>
      <c r="I4879" s="6" t="n">
        <f aca="false">Sens!I4828*sbc_r</f>
        <v>25.6064272408274</v>
      </c>
      <c r="J4879" s="6" t="n">
        <f aca="false">Sens!J4828*sbc_r</f>
        <v>28.7242214585117</v>
      </c>
      <c r="K4879" s="6" t="n">
        <f aca="false">Sens!K4828*sbc_r</f>
        <v>31.7230025749756</v>
      </c>
    </row>
    <row r="4880" customFormat="false" ht="17.15" hidden="false" customHeight="false" outlineLevel="0" collapsed="false">
      <c r="A4880" s="1" t="s">
        <v>846</v>
      </c>
      <c r="B4880" s="0" t="s">
        <v>95</v>
      </c>
      <c r="F4880" s="6" t="n">
        <f aca="false">wc27</f>
        <v>-4.895</v>
      </c>
      <c r="G4880" s="6" t="n">
        <f aca="false">0</f>
        <v>0</v>
      </c>
      <c r="H4880" s="6" t="n">
        <f aca="false">0</f>
        <v>0</v>
      </c>
      <c r="I4880" s="6" t="n">
        <f aca="false">0</f>
        <v>0</v>
      </c>
      <c r="J4880" s="6" t="n">
        <f aca="false">0</f>
        <v>0</v>
      </c>
      <c r="K4880" s="6" t="n">
        <f aca="false">0</f>
        <v>0</v>
      </c>
      <c r="L4880" s="11" t="s">
        <v>847</v>
      </c>
    </row>
    <row r="4881" customFormat="false" ht="15" hidden="false" customHeight="false" outlineLevel="0" collapsed="false">
      <c r="A4881" s="1" t="s">
        <v>678</v>
      </c>
      <c r="B4881" s="0" t="s">
        <v>95</v>
      </c>
      <c r="E4881" s="6" t="n">
        <f aca="false">Q!M35</f>
        <v>182.935</v>
      </c>
      <c r="F4881" s="6" t="n">
        <f aca="false">Sens!F4876+Sens!F4878+Sens!F4879+Sens!F4880</f>
        <v>214.491117169927</v>
      </c>
      <c r="G4881" s="6" t="n">
        <f aca="false">Sens!G4876+Sens!G4878+Sens!G4879+Sens!G4880</f>
        <v>276.597771762341</v>
      </c>
      <c r="H4881" s="6" t="n">
        <f aca="false">Sens!H4876+Sens!H4878+Sens!H4879+Sens!H4880</f>
        <v>339.96788003316</v>
      </c>
      <c r="I4881" s="6" t="n">
        <f aca="false">Sens!I4876+Sens!I4878+Sens!I4879+Sens!I4880</f>
        <v>397.072624605337</v>
      </c>
      <c r="J4881" s="6" t="n">
        <f aca="false">Sens!J4876+Sens!J4878+Sens!J4879+Sens!J4880</f>
        <v>452.054149237042</v>
      </c>
      <c r="K4881" s="6" t="n">
        <f aca="false">Sens!K4876+Sens!K4878+Sens!K4879+Sens!K4880</f>
        <v>505.842396326331</v>
      </c>
    </row>
    <row r="4882" customFormat="false" ht="17.15" hidden="false" customHeight="false" outlineLevel="0" collapsed="false">
      <c r="A4882" s="0" t="s">
        <v>848</v>
      </c>
      <c r="B4882" s="0" t="s">
        <v>95</v>
      </c>
      <c r="F4882" s="6" t="n">
        <f aca="false">Sens!F4798</f>
        <v>168.245652770438</v>
      </c>
      <c r="G4882" s="6" t="n">
        <f aca="false">Sens!G4798</f>
        <v>183.5741804832</v>
      </c>
      <c r="H4882" s="6" t="n">
        <f aca="false">Sens!H4798</f>
        <v>188.0802859104</v>
      </c>
      <c r="I4882" s="6" t="n">
        <f aca="false">Sens!I4798</f>
        <v>218.338961257067</v>
      </c>
      <c r="J4882" s="6" t="n">
        <f aca="false">Sens!J4798</f>
        <v>233.777060923733</v>
      </c>
      <c r="K4882" s="6" t="n">
        <f aca="false">Sens!K4798</f>
        <v>278.8563119504</v>
      </c>
    </row>
    <row r="4883" customFormat="false" ht="17.15" hidden="false" customHeight="false" outlineLevel="0" collapsed="false">
      <c r="A4883" s="1" t="s">
        <v>849</v>
      </c>
      <c r="B4883" s="0" t="s">
        <v>95</v>
      </c>
      <c r="E4883" s="6" t="n">
        <f aca="false">Sens!E4806*cx_azo+Sens!E4813*cx_m365+Sens!E4814*cx_lic+(Sens!E4816+Sens!E4818)*cx_ind+Sens!E4821*cx_srch+(Sens!E4823+Sens!E4825)*cx_dev</f>
        <v>30.1846587067718</v>
      </c>
      <c r="F4883" s="6" t="n">
        <f aca="false">Sens!F4806*cx_azo+Sens!F4813*cx_m365+Sens!F4814*cx_lic+(Sens!F4816+Sens!F4818)*cx_ind+Sens!F4821*cx_srch+(Sens!F4823+Sens!F4825)*cx_dev</f>
        <v>35.9543472295625</v>
      </c>
      <c r="G4883" s="6" t="n">
        <f aca="false">Sens!G4806*cx_azo+Sens!G4813*cx_m365+Sens!G4814*cx_lic+(Sens!G4816+Sens!G4818)*cx_ind+Sens!G4821*cx_srch+(Sens!G4823+Sens!G4825)*cx_dev</f>
        <v>42.2778935703892</v>
      </c>
      <c r="H4883" s="6" t="n">
        <f aca="false">Sens!H4806*cx_azo+Sens!H4813*cx_m365+Sens!H4814*cx_lic+(Sens!H4816+Sens!H4818)*cx_ind+Sens!H4821*cx_srch+(Sens!H4823+Sens!H4825)*cx_dev</f>
        <v>48.6865136440897</v>
      </c>
      <c r="I4883" s="6" t="n">
        <f aca="false">Sens!I4806*cx_azo+Sens!I4813*cx_m365+Sens!I4814*cx_lic+(Sens!I4816+Sens!I4818)*cx_ind+Sens!I4821*cx_srch+(Sens!I4823+Sens!I4825)*cx_dev</f>
        <v>54.6359003116439</v>
      </c>
      <c r="J4883" s="6" t="n">
        <f aca="false">Sens!J4806*cx_azo+Sens!J4813*cx_m365+Sens!J4814*cx_lic+(Sens!J4816+Sens!J4818)*cx_ind+Sens!J4821*cx_srch+(Sens!J4823+Sens!J4825)*cx_dev</f>
        <v>59.8934132503738</v>
      </c>
      <c r="K4883" s="6" t="n">
        <f aca="false">Sens!K4806*cx_azo+Sens!K4813*cx_m365+Sens!K4814*cx_lic+(Sens!K4816+Sens!K4818)*cx_ind+Sens!K4821*cx_srch+(Sens!K4823+Sens!K4825)*cx_dev</f>
        <v>64.556202741994</v>
      </c>
    </row>
    <row r="4884" customFormat="false" ht="17.15" hidden="false" customHeight="false" outlineLevel="0" collapsed="false">
      <c r="A4884" s="1" t="s">
        <v>850</v>
      </c>
      <c r="B4884" s="0" t="s">
        <v>95</v>
      </c>
      <c r="E4884" s="6" t="n">
        <f aca="false">Q!M42</f>
        <v>145.3</v>
      </c>
      <c r="F4884" s="6" t="n">
        <f aca="false">Sens!F4882+Sens!F4883</f>
        <v>204.2</v>
      </c>
      <c r="G4884" s="6" t="n">
        <f aca="false">Sens!G4882+Sens!G4883</f>
        <v>225.852074053589</v>
      </c>
      <c r="H4884" s="6" t="n">
        <f aca="false">Sens!H4882+Sens!H4883</f>
        <v>236.76679955449</v>
      </c>
      <c r="I4884" s="6" t="n">
        <f aca="false">Sens!I4882+Sens!I4883</f>
        <v>272.974861568711</v>
      </c>
      <c r="J4884" s="6" t="n">
        <f aca="false">Sens!J4882+Sens!J4883</f>
        <v>293.670474174107</v>
      </c>
      <c r="K4884" s="6" t="n">
        <f aca="false">Sens!K4882+Sens!K4883</f>
        <v>343.412514692394</v>
      </c>
      <c r="L4884" s="1" t="s">
        <v>851</v>
      </c>
    </row>
    <row r="4885" customFormat="false" ht="15" hidden="false" customHeight="false" outlineLevel="0" collapsed="false">
      <c r="A4885" s="1" t="s">
        <v>852</v>
      </c>
      <c r="B4885" s="0" t="s">
        <v>95</v>
      </c>
      <c r="E4885" s="6" t="n">
        <f aca="false">fl_liab</f>
        <v>66.594</v>
      </c>
      <c r="F4885" s="6" t="n">
        <f aca="false">Sens!E4885-Sens!F4886</f>
        <v>62.46973</v>
      </c>
      <c r="G4885" s="6" t="n">
        <f aca="false">Sens!F4885-Sens!G4886</f>
        <v>57.98686785</v>
      </c>
      <c r="H4885" s="6" t="n">
        <f aca="false">Sens!G4885-Sens!H4886</f>
        <v>53.92827690325</v>
      </c>
      <c r="I4885" s="6" t="n">
        <f aca="false">Sens!H4885-Sens!I4886</f>
        <v>49.7850493638962</v>
      </c>
      <c r="J4885" s="6" t="n">
        <f aca="false">Sens!I4885-Sens!J4886</f>
        <v>45.4823765852716</v>
      </c>
      <c r="K4885" s="6" t="n">
        <f aca="false">Sens!J4885-Sens!K4886</f>
        <v>40.9860835316088</v>
      </c>
    </row>
    <row r="4886" customFormat="false" ht="15" hidden="false" customHeight="false" outlineLevel="0" collapsed="false">
      <c r="A4886" s="1" t="s">
        <v>853</v>
      </c>
      <c r="B4886" s="0" t="s">
        <v>95</v>
      </c>
      <c r="F4886" s="6" t="n">
        <f aca="false">fl_pay_27-Sens!E4885*fl_rate</f>
        <v>4.12427</v>
      </c>
      <c r="G4886" s="6" t="n">
        <f aca="false">fl_pay_28-Sens!F4885*fl_rate</f>
        <v>4.48286215</v>
      </c>
      <c r="H4886" s="6" t="n">
        <f aca="false">fl_pay_29-Sens!G4885*fl_rate</f>
        <v>4.05859094675</v>
      </c>
      <c r="I4886" s="6" t="n">
        <f aca="false">fl_pay_30-Sens!H4885*fl_rate</f>
        <v>4.14322753935375</v>
      </c>
      <c r="J4886" s="6" t="n">
        <f aca="false">fl_pay_31-Sens!I4885*fl_rate</f>
        <v>4.30267277862467</v>
      </c>
      <c r="K4886" s="6" t="n">
        <f aca="false">fl_pay_32-Sens!J4885*fl_rate</f>
        <v>4.49629305366278</v>
      </c>
    </row>
    <row r="4887" customFormat="false" ht="17.15" hidden="false" customHeight="false" outlineLevel="0" collapsed="false">
      <c r="A4887" s="1" t="s">
        <v>854</v>
      </c>
      <c r="B4887" s="0" t="s">
        <v>95</v>
      </c>
      <c r="E4887" s="6" t="n">
        <f aca="false">Q!M35-Q!M36-Q!M43</f>
        <v>63.886</v>
      </c>
      <c r="F4887" s="6" t="n">
        <f aca="false">Sens!F4881-Sens!F4884-Sens!F4886</f>
        <v>6.16684716992668</v>
      </c>
      <c r="G4887" s="6" t="n">
        <f aca="false">Sens!G4881-Sens!G4884-Sens!G4886</f>
        <v>46.2628355587519</v>
      </c>
      <c r="H4887" s="6" t="n">
        <f aca="false">Sens!H4881-Sens!H4884-Sens!H4886</f>
        <v>99.1424895319207</v>
      </c>
      <c r="I4887" s="6" t="n">
        <f aca="false">Sens!I4881-Sens!I4884-Sens!I4886</f>
        <v>119.954535497272</v>
      </c>
      <c r="J4887" s="6" t="n">
        <f aca="false">Sens!J4881-Sens!J4884-Sens!J4886</f>
        <v>154.08100228431</v>
      </c>
      <c r="K4887" s="6" t="n">
        <f aca="false">Sens!K4881-Sens!K4884-Sens!K4886</f>
        <v>157.933588580275</v>
      </c>
      <c r="L4887" s="11" t="s">
        <v>855</v>
      </c>
    </row>
    <row r="4888" customFormat="false" ht="15" hidden="false" customHeight="false" outlineLevel="0" collapsed="false">
      <c r="A4888" s="1" t="s">
        <v>856</v>
      </c>
      <c r="B4888" s="0" t="s">
        <v>73</v>
      </c>
      <c r="F4888" s="8" t="n">
        <f aca="false">dps_27</f>
        <v>3.85</v>
      </c>
      <c r="G4888" s="8" t="n">
        <f aca="false">Sens!F4888*(1+dps_g)</f>
        <v>4.158</v>
      </c>
      <c r="H4888" s="8" t="n">
        <f aca="false">Sens!G4888*(1+dps_g)</f>
        <v>4.49064</v>
      </c>
      <c r="I4888" s="8" t="n">
        <f aca="false">Sens!H4888*(1+dps_g)</f>
        <v>4.8498912</v>
      </c>
      <c r="J4888" s="8" t="n">
        <f aca="false">Sens!I4888*(1+dps_g)</f>
        <v>5.237882496</v>
      </c>
      <c r="K4888" s="8" t="n">
        <f aca="false">Sens!J4888*(1+dps_g)</f>
        <v>5.65691309568</v>
      </c>
    </row>
    <row r="4889" customFormat="false" ht="17.15" hidden="false" customHeight="false" outlineLevel="0" collapsed="false">
      <c r="A4889" s="1" t="s">
        <v>857</v>
      </c>
      <c r="B4889" s="0" t="s">
        <v>95</v>
      </c>
      <c r="E4889" s="6" t="n">
        <f aca="false">Q!M41</f>
        <v>26.445</v>
      </c>
      <c r="F4889" s="6" t="n">
        <f aca="false">Sens!F4888*Sens!E4898</f>
        <v>28.59395</v>
      </c>
      <c r="G4889" s="6" t="n">
        <f aca="false">Sens!G4888*Sens!F4898</f>
        <v>31.068576</v>
      </c>
      <c r="H4889" s="6" t="n">
        <f aca="false">Sens!H4888*Sens!G4898</f>
        <v>33.641997432318</v>
      </c>
      <c r="I4889" s="6" t="n">
        <f aca="false">Sens!I4888*Sens!H4898</f>
        <v>36.3842964669029</v>
      </c>
      <c r="J4889" s="6" t="n">
        <f aca="false">Sens!J4888*Sens!I4898</f>
        <v>39.3634390325746</v>
      </c>
      <c r="K4889" s="6" t="n">
        <f aca="false">Sens!K4888*Sens!J4898</f>
        <v>42.5997693804856</v>
      </c>
      <c r="L4889" s="1" t="s">
        <v>858</v>
      </c>
    </row>
    <row r="4890" customFormat="false" ht="15" hidden="false" customHeight="false" outlineLevel="0" collapsed="false">
      <c r="A4890" s="1" t="s">
        <v>859</v>
      </c>
      <c r="B4890" s="0" t="s">
        <v>95</v>
      </c>
      <c r="E4890" s="6" t="n">
        <f aca="false">Sens!E4887-Sens!E4889</f>
        <v>37.441</v>
      </c>
      <c r="F4890" s="6" t="n">
        <f aca="false">Sens!F4887-Sens!F4889</f>
        <v>-22.4271028300733</v>
      </c>
      <c r="G4890" s="6" t="n">
        <f aca="false">Sens!G4887-Sens!G4889</f>
        <v>15.1942595587519</v>
      </c>
      <c r="H4890" s="6" t="n">
        <f aca="false">Sens!H4887-Sens!H4889</f>
        <v>65.5004920996027</v>
      </c>
      <c r="I4890" s="6" t="n">
        <f aca="false">Sens!I4887-Sens!I4889</f>
        <v>83.5702390303695</v>
      </c>
      <c r="J4890" s="6" t="n">
        <f aca="false">Sens!J4887-Sens!J4889</f>
        <v>114.717563251736</v>
      </c>
      <c r="K4890" s="6" t="n">
        <f aca="false">Sens!K4887-Sens!K4889</f>
        <v>115.333819199789</v>
      </c>
    </row>
    <row r="4891" customFormat="false" ht="15" hidden="false" customHeight="false" outlineLevel="0" collapsed="false">
      <c r="A4891" s="1" t="s">
        <v>860</v>
      </c>
      <c r="B4891" s="0" t="s">
        <v>95</v>
      </c>
      <c r="F4891" s="6" t="n">
        <f aca="false">debt_mat_27</f>
        <v>9.25</v>
      </c>
      <c r="G4891" s="6" t="n">
        <f aca="false">debt_mat_28</f>
        <v>0</v>
      </c>
      <c r="H4891" s="6" t="n">
        <f aca="false">debt_mat_29</f>
        <v>2.001</v>
      </c>
      <c r="I4891" s="6" t="n">
        <f aca="false">debt_mat_30</f>
        <v>0</v>
      </c>
      <c r="J4891" s="6" t="n">
        <f aca="false">debt_mat_31</f>
        <v>0.5</v>
      </c>
      <c r="K4891" s="6" t="n">
        <f aca="false">debt_mat_32</f>
        <v>0</v>
      </c>
    </row>
    <row r="4892" customFormat="false" ht="15" hidden="false" customHeight="false" outlineLevel="0" collapsed="false">
      <c r="A4892" s="1" t="s">
        <v>861</v>
      </c>
      <c r="B4892" s="0" t="s">
        <v>95</v>
      </c>
      <c r="E4892" s="6" t="n">
        <f aca="false">Q!M40</f>
        <v>22.271</v>
      </c>
      <c r="F4892" s="6" t="n">
        <f aca="false">MAX(0,MIN(bb_target,Sens!E4894+Sens!F4890-Sens!F4891-min_cash))</f>
        <v>0</v>
      </c>
      <c r="G4892" s="6" t="n">
        <f aca="false">MAX(0,MIN(bb_target,Sens!F4894+Sens!G4890-Sens!G4891-min_cash))</f>
        <v>15.1942595587519</v>
      </c>
      <c r="H4892" s="6" t="n">
        <f aca="false">MAX(0,MIN(bb_target,Sens!G4894+Sens!H4890-Sens!H4891-min_cash))</f>
        <v>22.271</v>
      </c>
      <c r="I4892" s="6" t="n">
        <f aca="false">MAX(0,MIN(bb_target,Sens!H4894+Sens!I4890-Sens!I4891-min_cash))</f>
        <v>22.271</v>
      </c>
      <c r="J4892" s="6" t="n">
        <f aca="false">MAX(0,MIN(bb_target,Sens!I4894+Sens!J4890-Sens!J4891-min_cash))</f>
        <v>22.271</v>
      </c>
      <c r="K4892" s="6" t="n">
        <f aca="false">MAX(0,MIN(bb_target,Sens!J4894+Sens!K4890-Sens!K4891-min_cash))</f>
        <v>22.271</v>
      </c>
    </row>
    <row r="4893" customFormat="false" ht="15" hidden="false" customHeight="false" outlineLevel="0" collapsed="false">
      <c r="A4893" s="1" t="s">
        <v>862</v>
      </c>
      <c r="B4893" s="0" t="s">
        <v>95</v>
      </c>
      <c r="F4893" s="6" t="n">
        <f aca="false">MAX(0,min_cash-(Sens!E4894+Sens!F4890-Sens!F4891-Sens!F4892))</f>
        <v>4.83410283007332</v>
      </c>
      <c r="G4893" s="6" t="n">
        <f aca="false">MAX(0,min_cash-(Sens!F4894+Sens!G4890-Sens!G4891-Sens!G4892))</f>
        <v>0</v>
      </c>
      <c r="H4893" s="6" t="n">
        <f aca="false">MAX(0,min_cash-(Sens!G4894+Sens!H4890-Sens!H4891-Sens!H4892))</f>
        <v>0</v>
      </c>
      <c r="I4893" s="6" t="n">
        <f aca="false">MAX(0,min_cash-(Sens!H4894+Sens!I4890-Sens!I4891-Sens!I4892))</f>
        <v>0</v>
      </c>
      <c r="J4893" s="6" t="n">
        <f aca="false">MAX(0,min_cash-(Sens!I4894+Sens!J4890-Sens!J4891-Sens!J4892))</f>
        <v>0</v>
      </c>
      <c r="K4893" s="6" t="n">
        <f aca="false">MAX(0,min_cash-(Sens!J4894+Sens!K4890-Sens!K4891-Sens!K4892))</f>
        <v>0</v>
      </c>
    </row>
    <row r="4894" customFormat="false" ht="15" hidden="false" customHeight="false" outlineLevel="0" collapsed="false">
      <c r="A4894" s="1" t="s">
        <v>863</v>
      </c>
      <c r="B4894" s="0" t="s">
        <v>95</v>
      </c>
      <c r="E4894" s="6" t="n">
        <f aca="false">cash_open</f>
        <v>76.843</v>
      </c>
      <c r="F4894" s="6" t="n">
        <f aca="false">Sens!E4894+Sens!F4890-Sens!F4891-Sens!F4892+Sens!F4893</f>
        <v>50</v>
      </c>
      <c r="G4894" s="6" t="n">
        <f aca="false">Sens!F4894+Sens!G4890-Sens!G4891-Sens!G4892+Sens!G4893</f>
        <v>50</v>
      </c>
      <c r="H4894" s="6" t="n">
        <f aca="false">Sens!G4894+Sens!H4890-Sens!H4891-Sens!H4892+Sens!H4893</f>
        <v>91.2284920996027</v>
      </c>
      <c r="I4894" s="6" t="n">
        <f aca="false">Sens!H4894+Sens!I4890-Sens!I4891-Sens!I4892+Sens!I4893</f>
        <v>152.527731129972</v>
      </c>
      <c r="J4894" s="6" t="n">
        <f aca="false">Sens!I4894+Sens!J4890-Sens!J4891-Sens!J4892+Sens!J4893</f>
        <v>244.474294381708</v>
      </c>
      <c r="K4894" s="6" t="n">
        <f aca="false">Sens!J4894+Sens!K4890-Sens!K4891-Sens!K4892+Sens!K4893</f>
        <v>337.537113581497</v>
      </c>
    </row>
    <row r="4895" customFormat="false" ht="15" hidden="false" customHeight="false" outlineLevel="0" collapsed="false">
      <c r="A4895" s="1" t="s">
        <v>864</v>
      </c>
      <c r="B4895" s="0" t="s">
        <v>95</v>
      </c>
      <c r="E4895" s="6" t="n">
        <f aca="false">debt_face</f>
        <v>46.136</v>
      </c>
      <c r="F4895" s="6" t="n">
        <f aca="false">Sens!E4895-Sens!F4891+Sens!F4893</f>
        <v>41.7201028300733</v>
      </c>
      <c r="G4895" s="6" t="n">
        <f aca="false">Sens!F4895-Sens!G4891+Sens!G4893</f>
        <v>41.7201028300733</v>
      </c>
      <c r="H4895" s="6" t="n">
        <f aca="false">Sens!G4895-Sens!H4891+Sens!H4893</f>
        <v>39.7191028300733</v>
      </c>
      <c r="I4895" s="6" t="n">
        <f aca="false">Sens!H4895-Sens!I4891+Sens!I4893</f>
        <v>39.7191028300733</v>
      </c>
      <c r="J4895" s="6" t="n">
        <f aca="false">Sens!I4895-Sens!J4891+Sens!J4893</f>
        <v>39.2191028300733</v>
      </c>
      <c r="K4895" s="6" t="n">
        <f aca="false">Sens!J4895-Sens!K4891+Sens!K4893</f>
        <v>39.2191028300733</v>
      </c>
    </row>
    <row r="4896" customFormat="false" ht="15" hidden="false" customHeight="false" outlineLevel="0" collapsed="false">
      <c r="A4896" s="1" t="s">
        <v>865</v>
      </c>
      <c r="B4896" s="0" t="s">
        <v>95</v>
      </c>
      <c r="E4896" s="6" t="n">
        <f aca="false">Sens!E4894-Sens!E4895</f>
        <v>30.707</v>
      </c>
      <c r="F4896" s="6" t="n">
        <f aca="false">Sens!F4894-Sens!F4895</f>
        <v>8.27989716992668</v>
      </c>
      <c r="G4896" s="6" t="n">
        <f aca="false">Sens!G4894-Sens!G4895</f>
        <v>8.27989716992668</v>
      </c>
      <c r="H4896" s="6" t="n">
        <f aca="false">Sens!H4894-Sens!H4895</f>
        <v>51.5093892695294</v>
      </c>
      <c r="I4896" s="6" t="n">
        <f aca="false">Sens!I4894-Sens!I4895</f>
        <v>112.808628299899</v>
      </c>
      <c r="J4896" s="6" t="n">
        <f aca="false">Sens!J4894-Sens!J4895</f>
        <v>205.255191551634</v>
      </c>
      <c r="K4896" s="6" t="n">
        <f aca="false">Sens!K4894-Sens!K4895</f>
        <v>298.318010751423</v>
      </c>
    </row>
    <row r="4897" customFormat="false" ht="15" hidden="false" customHeight="false" outlineLevel="0" collapsed="false">
      <c r="A4897" s="1" t="s">
        <v>866</v>
      </c>
      <c r="B4897" s="0" t="s">
        <v>73</v>
      </c>
      <c r="F4897" s="27" t="n">
        <f aca="false">px*(1+bb_g)^(1-0.5)</f>
        <v>553.494156066711</v>
      </c>
      <c r="G4897" s="27" t="n">
        <f aca="false">px*(1+bb_g)^(2-0.5)</f>
        <v>597.773688552047</v>
      </c>
      <c r="H4897" s="27" t="n">
        <f aca="false">px*(1+bb_g)^(3-0.5)</f>
        <v>645.595583636211</v>
      </c>
      <c r="I4897" s="27" t="n">
        <f aca="false">px*(1+bb_g)^(4-0.5)</f>
        <v>697.243230327108</v>
      </c>
      <c r="J4897" s="27" t="n">
        <f aca="false">px*(1+bb_g)^(5-0.5)</f>
        <v>753.022688753277</v>
      </c>
      <c r="K4897" s="27" t="n">
        <f aca="false">px*(1+bb_g)^(6-0.5)</f>
        <v>813.264503853539</v>
      </c>
    </row>
    <row r="4898" customFormat="false" ht="15" hidden="false" customHeight="false" outlineLevel="0" collapsed="false">
      <c r="A4898" s="1" t="s">
        <v>867</v>
      </c>
      <c r="B4898" s="1" t="s">
        <v>79</v>
      </c>
      <c r="E4898" s="18" t="n">
        <f aca="false">sh_out26</f>
        <v>7.427</v>
      </c>
      <c r="F4898" s="18" t="n">
        <f aca="false">Sens!E4898+sh_iss-Sens!F4892/Sens!F4897</f>
        <v>7.472</v>
      </c>
      <c r="G4898" s="18" t="n">
        <f aca="false">Sens!F4898+sh_iss-Sens!G4892/Sens!G4897</f>
        <v>7.49158191979718</v>
      </c>
      <c r="H4898" s="18" t="n">
        <f aca="false">Sens!G4898+sh_iss-Sens!H4892/Sens!H4897</f>
        <v>7.50208509149708</v>
      </c>
      <c r="I4898" s="18" t="n">
        <f aca="false">Sens!H4898+sh_iss-Sens!I4892/Sens!I4897</f>
        <v>7.51514358381181</v>
      </c>
      <c r="J4898" s="18" t="n">
        <f aca="false">Sens!I4898+sh_iss-Sens!J4892/Sens!J4897</f>
        <v>7.53056811373285</v>
      </c>
      <c r="K4898" s="18" t="n">
        <f aca="false">Sens!J4898+sh_iss-Sens!K4892/Sens!K4897</f>
        <v>7.54818341921529</v>
      </c>
    </row>
    <row r="4899" customFormat="false" ht="15" hidden="false" customHeight="false" outlineLevel="0" collapsed="false">
      <c r="A4899" s="1" t="s">
        <v>868</v>
      </c>
      <c r="B4899" s="1" t="s">
        <v>79</v>
      </c>
      <c r="E4899" s="18" t="n">
        <f aca="false">sh_dil26</f>
        <v>7.453</v>
      </c>
      <c r="F4899" s="18" t="n">
        <f aca="false">(Sens!E4898+Sens!F4898)/2+dil_gap</f>
        <v>7.4735</v>
      </c>
      <c r="G4899" s="18" t="n">
        <f aca="false">(Sens!F4898+Sens!G4898)/2+dil_gap</f>
        <v>7.50579095989859</v>
      </c>
      <c r="H4899" s="18" t="n">
        <f aca="false">(Sens!G4898+Sens!H4898)/2+dil_gap</f>
        <v>7.52083350564713</v>
      </c>
      <c r="I4899" s="18" t="n">
        <f aca="false">(Sens!H4898+Sens!I4898)/2+dil_gap</f>
        <v>7.53261433765444</v>
      </c>
      <c r="J4899" s="18" t="n">
        <f aca="false">(Sens!I4898+Sens!J4898)/2+dil_gap</f>
        <v>7.54685584877233</v>
      </c>
      <c r="K4899" s="18" t="n">
        <f aca="false">(Sens!J4898+Sens!K4898)/2+dil_gap</f>
        <v>7.56337576647407</v>
      </c>
    </row>
    <row r="4900" customFormat="false" ht="17.15" hidden="false" customHeight="false" outlineLevel="0" collapsed="false">
      <c r="A4900" s="1" t="s">
        <v>869</v>
      </c>
      <c r="B4900" s="0" t="s">
        <v>95</v>
      </c>
      <c r="C4900" s="6" t="n">
        <f aca="false">SUM(Sens!F4890:J4890)</f>
        <v>256.555451110386</v>
      </c>
    </row>
    <row r="4901" customFormat="false" ht="17.15" hidden="false" customHeight="false" outlineLevel="0" collapsed="false">
      <c r="A4901" s="1" t="s">
        <v>836</v>
      </c>
      <c r="B4901" s="1" t="s">
        <v>870</v>
      </c>
      <c r="C4901" s="30" t="str">
        <f aca="false">IF(SUM(Sens!F4893:J4893)&gt;0.05,"需要舉債 "&amp;TEXT(SUM(Sens!F4893:J4893),"0.0")&amp;" 十億美元","不需舉債")&amp;"；"&amp;IF(SUM(Sens!F4892:J4892)&lt;5*bb_target-0.05,"回購較每年 "&amp;TEXT(bb_target,"0.0")&amp;" 的目標少 "&amp;TEXT(5*bb_target-SUM(Sens!F4892:J4892),"0.0")&amp;" 十億美元（"&amp;TEXT(COUNTIF(Sens!F4892:J4892,"&lt;"&amp;(bb_target-0.05)),"0")&amp;" 年減少）","回購不減")</f>
        <v>需要舉債 4.8 十億美元；回購較每年 22.3 的目標少 29.3 十億美元（2 年減少）</v>
      </c>
    </row>
    <row r="4902" customFormat="false" ht="17.15" hidden="false" customHeight="false" outlineLevel="0" collapsed="false">
      <c r="A4902" s="3" t="s">
        <v>1253</v>
      </c>
    </row>
    <row r="4903" customFormat="false" ht="15" hidden="false" customHeight="false" outlineLevel="0" collapsed="false">
      <c r="A4903" s="4" t="s">
        <v>43</v>
      </c>
      <c r="B4903" s="4" t="s">
        <v>63</v>
      </c>
      <c r="C4903" s="19" t="s">
        <v>710</v>
      </c>
      <c r="D4903" s="19" t="s">
        <v>711</v>
      </c>
      <c r="E4903" s="19" t="s">
        <v>712</v>
      </c>
      <c r="F4903" s="19" t="s">
        <v>713</v>
      </c>
      <c r="G4903" s="19" t="s">
        <v>714</v>
      </c>
      <c r="H4903" s="19" t="s">
        <v>715</v>
      </c>
      <c r="I4903" s="19" t="s">
        <v>716</v>
      </c>
      <c r="J4903" s="19" t="s">
        <v>717</v>
      </c>
      <c r="K4903" s="19" t="s">
        <v>718</v>
      </c>
      <c r="L4903" s="4" t="s">
        <v>47</v>
      </c>
    </row>
    <row r="4904" customFormat="false" ht="17.15" hidden="false" customHeight="false" outlineLevel="0" collapsed="false">
      <c r="A4904" s="1" t="s">
        <v>938</v>
      </c>
      <c r="B4904" s="1" t="s">
        <v>213</v>
      </c>
      <c r="F4904" s="34" t="n">
        <f aca="false">1-0.5</f>
        <v>0.5</v>
      </c>
      <c r="G4904" s="34" t="n">
        <f aca="false">2-0.5</f>
        <v>1.5</v>
      </c>
      <c r="H4904" s="34" t="n">
        <f aca="false">3-0.5</f>
        <v>2.5</v>
      </c>
      <c r="I4904" s="34" t="n">
        <f aca="false">4-0.5</f>
        <v>3.5</v>
      </c>
      <c r="J4904" s="34" t="n">
        <f aca="false">5-0.5</f>
        <v>4.5</v>
      </c>
      <c r="K4904" s="34" t="n">
        <f aca="false">6-0.5</f>
        <v>5.5</v>
      </c>
    </row>
    <row r="4905" customFormat="false" ht="15" hidden="false" customHeight="false" outlineLevel="0" collapsed="false">
      <c r="A4905" s="1" t="s">
        <v>939</v>
      </c>
      <c r="B4905" s="0" t="s">
        <v>182</v>
      </c>
      <c r="F4905" s="18" t="n">
        <f aca="false">1/(1+wacc)^Sens!F4904</f>
        <v>0.949601579913219</v>
      </c>
      <c r="G4905" s="18" t="n">
        <f aca="false">1/(1+wacc)^Sens!G4904</f>
        <v>0.856296729956707</v>
      </c>
      <c r="H4905" s="18" t="n">
        <f aca="false">1/(1+wacc)^Sens!H4904</f>
        <v>0.772159719660069</v>
      </c>
      <c r="I4905" s="18" t="n">
        <f aca="false">1/(1+wacc)^Sens!I4904</f>
        <v>0.696289746073958</v>
      </c>
      <c r="J4905" s="18" t="n">
        <f aca="false">1/(1+wacc)^Sens!J4904</f>
        <v>0.627874516299776</v>
      </c>
      <c r="K4905" s="18" t="n">
        <f aca="false">1/(1+wacc)^Sens!K4904</f>
        <v>0.566181550771831</v>
      </c>
    </row>
    <row r="4906" customFormat="false" ht="15" hidden="false" customHeight="false" outlineLevel="0" collapsed="false">
      <c r="A4906" s="1" t="s">
        <v>940</v>
      </c>
      <c r="B4906" s="0" t="s">
        <v>95</v>
      </c>
      <c r="F4906" s="6" t="n">
        <f aca="false">Sens!F4887*Sens!F4905</f>
        <v>5.85604781564573</v>
      </c>
      <c r="G4906" s="6" t="n">
        <f aca="false">Sens!G4887*Sens!G4905</f>
        <v>39.6147148074841</v>
      </c>
      <c r="H4906" s="6" t="n">
        <f aca="false">Sens!H4887*Sens!H4905</f>
        <v>76.5538369233692</v>
      </c>
      <c r="I4906" s="6" t="n">
        <f aca="false">Sens!I4887*Sens!I4905</f>
        <v>83.5231130618153</v>
      </c>
      <c r="J4906" s="6" t="n">
        <f aca="false">Sens!J4887*Sens!J4905</f>
        <v>96.7435347802459</v>
      </c>
      <c r="K4906" s="6" t="n">
        <f aca="false">Sens!K4887*Sens!K4905</f>
        <v>89.4190841013403</v>
      </c>
    </row>
    <row r="4907" customFormat="false" ht="17.15" hidden="false" customHeight="false" outlineLevel="0" collapsed="false">
      <c r="A4907" s="1" t="s">
        <v>941</v>
      </c>
      <c r="B4907" s="0" t="s">
        <v>95</v>
      </c>
      <c r="C4907" s="6" t="n">
        <f aca="false">SUM(Sens!F4906:K4906)</f>
        <v>391.710331489901</v>
      </c>
    </row>
    <row r="4908" customFormat="false" ht="17.15" hidden="false" customHeight="false" outlineLevel="0" collapsed="false">
      <c r="A4908" s="1" t="s">
        <v>942</v>
      </c>
      <c r="B4908" s="0" t="s">
        <v>95</v>
      </c>
      <c r="C4908" s="6" t="n">
        <f aca="false">Sens!K4853*(1+g_tv)*(1-tax_f)</f>
        <v>270.09904425121</v>
      </c>
    </row>
    <row r="4909" customFormat="false" ht="17.15" hidden="false" customHeight="false" outlineLevel="0" collapsed="false">
      <c r="A4909" s="1" t="s">
        <v>943</v>
      </c>
      <c r="B4909" s="0" t="s">
        <v>95</v>
      </c>
      <c r="C4909" s="6" t="n">
        <f aca="false">Sens!$C$4908*(1-g_tv/(wacc+ronic_prem))</f>
        <v>195.734765717605</v>
      </c>
    </row>
    <row r="4910" customFormat="false" ht="17.15" hidden="false" customHeight="false" outlineLevel="0" collapsed="false">
      <c r="A4910" s="1" t="s">
        <v>944</v>
      </c>
      <c r="B4910" s="0" t="s">
        <v>95</v>
      </c>
      <c r="C4910" s="6" t="n">
        <f aca="false">Sens!$C$4909/(wacc-g_tv)</f>
        <v>2478.8092844535</v>
      </c>
    </row>
    <row r="4911" customFormat="false" ht="15" hidden="false" customHeight="false" outlineLevel="0" collapsed="false">
      <c r="A4911" s="1" t="s">
        <v>945</v>
      </c>
      <c r="B4911" s="0" t="s">
        <v>95</v>
      </c>
      <c r="C4911" s="6" t="n">
        <f aca="false">Sens!$C$4910/(1+wacc)^6</f>
        <v>1332.72411540745</v>
      </c>
    </row>
    <row r="4912" customFormat="false" ht="17.15" hidden="false" customHeight="false" outlineLevel="0" collapsed="false">
      <c r="A4912" s="0" t="s">
        <v>877</v>
      </c>
      <c r="B4912" s="0" t="s">
        <v>95</v>
      </c>
      <c r="C4912" s="6" t="n">
        <f aca="false">Sens!$C$4907+Sens!$C$4911</f>
        <v>1724.43444689735</v>
      </c>
    </row>
    <row r="4913" customFormat="false" ht="15" hidden="false" customHeight="false" outlineLevel="0" collapsed="false">
      <c r="A4913" s="1" t="s">
        <v>878</v>
      </c>
      <c r="B4913" s="0" t="s">
        <v>126</v>
      </c>
      <c r="C4913" s="7" t="n">
        <f aca="false">Sens!$C$4911/Sens!$C$4912</f>
        <v>0.772847073314572</v>
      </c>
    </row>
    <row r="4914" customFormat="false" ht="17.15" hidden="false" customHeight="false" outlineLevel="0" collapsed="false">
      <c r="A4914" s="1" t="s">
        <v>946</v>
      </c>
      <c r="B4914" s="0" t="s">
        <v>95</v>
      </c>
      <c r="C4914" s="6" t="n">
        <f aca="false">Sens!$C$4912+Sens!E4896+oai_v</f>
        <v>1925.54144689735</v>
      </c>
    </row>
    <row r="4915" customFormat="false" ht="17.15" hidden="false" customHeight="false" outlineLevel="0" collapsed="false">
      <c r="A4915" s="0" t="s">
        <v>883</v>
      </c>
      <c r="B4915" s="0" t="s">
        <v>73</v>
      </c>
      <c r="C4915" s="5" t="n">
        <f aca="false">Sens!$C$4914/sh_dil26</f>
        <v>258.357902441614</v>
      </c>
    </row>
    <row r="4916" customFormat="false" ht="17.15" hidden="false" customHeight="false" outlineLevel="0" collapsed="false">
      <c r="A4916" s="0" t="s">
        <v>947</v>
      </c>
      <c r="B4916" s="0" t="s">
        <v>73</v>
      </c>
      <c r="C4916" s="5" t="n">
        <f aca="false">Sens!$C$4915*(1+wacc)^t_roll</f>
        <v>296.335111413855</v>
      </c>
    </row>
    <row r="4917" customFormat="false" ht="17.15" hidden="false" customHeight="false" outlineLevel="0" collapsed="false">
      <c r="A4917" s="1" t="s">
        <v>948</v>
      </c>
      <c r="B4917" s="0" t="s">
        <v>126</v>
      </c>
      <c r="F4917" s="7" t="n">
        <f aca="false">Sens!F4877/(Sens!F4828-Sens!F4784)</f>
        <v>0.0678013137007762</v>
      </c>
      <c r="G4917" s="7" t="n">
        <f aca="false">Sens!G4877/(Sens!G4828-Sens!G4784)</f>
        <v>0.0641537478485977</v>
      </c>
      <c r="H4917" s="7" t="n">
        <f aca="false">Sens!H4877/(Sens!H4828-Sens!H4784)</f>
        <v>0.0622148835661283</v>
      </c>
      <c r="I4917" s="7" t="n">
        <f aca="false">Sens!I4877/(Sens!I4828-Sens!I4784)</f>
        <v>0.0618730036058315</v>
      </c>
      <c r="J4917" s="7" t="n">
        <f aca="false">Sens!J4877/(Sens!J4828-Sens!J4784)</f>
        <v>0.0626737511374327</v>
      </c>
      <c r="K4917" s="7" t="n">
        <f aca="false">Sens!K4877/(Sens!K4828-Sens!K4784)</f>
        <v>0.0640229106920585</v>
      </c>
    </row>
    <row r="4918" customFormat="false" ht="17.15" hidden="false" customHeight="false" outlineLevel="0" collapsed="false">
      <c r="A4918" s="0" t="s">
        <v>949</v>
      </c>
      <c r="B4918" s="0" t="s">
        <v>95</v>
      </c>
      <c r="F4918" s="6" t="n">
        <f aca="false">Sens!F4813*(al_m365+Sens!F4917)</f>
        <v>81.900747666109</v>
      </c>
      <c r="G4918" s="6" t="n">
        <f aca="false">Sens!G4813*(al_m365+Sens!G4917)</f>
        <v>98.4901277592847</v>
      </c>
      <c r="H4918" s="6" t="n">
        <f aca="false">Sens!H4813*(al_m365+Sens!H4917)</f>
        <v>115.243507534962</v>
      </c>
      <c r="I4918" s="6" t="n">
        <f aca="false">Sens!I4813*(al_m365+Sens!I4917)</f>
        <v>129.865458744567</v>
      </c>
      <c r="J4918" s="6" t="n">
        <f aca="false">Sens!J4813*(al_m365+Sens!J4917)</f>
        <v>142.181757740275</v>
      </c>
      <c r="K4918" s="6" t="n">
        <f aca="false">Sens!K4813*(al_m365+Sens!K4917)</f>
        <v>154.154905460727</v>
      </c>
    </row>
    <row r="4919" customFormat="false" ht="17.15" hidden="false" customHeight="false" outlineLevel="0" collapsed="false">
      <c r="A4919" s="0" t="s">
        <v>950</v>
      </c>
      <c r="B4919" s="0" t="s">
        <v>95</v>
      </c>
      <c r="F4919" s="6" t="n">
        <f aca="false">Sens!F4814*(al_lic+Sens!F4917)</f>
        <v>31.9532011606731</v>
      </c>
      <c r="G4919" s="6" t="n">
        <f aca="false">Sens!G4814*(al_lic+Sens!G4917)</f>
        <v>33.1576838658029</v>
      </c>
      <c r="H4919" s="6" t="n">
        <f aca="false">Sens!H4814*(al_lic+Sens!H4917)</f>
        <v>34.2946353229158</v>
      </c>
      <c r="I4919" s="6" t="n">
        <f aca="false">Sens!I4814*(al_lic+Sens!I4917)</f>
        <v>35.3487872344346</v>
      </c>
      <c r="J4919" s="6" t="n">
        <f aca="false">Sens!J4814*(al_lic+Sens!J4917)</f>
        <v>36.2889802713667</v>
      </c>
      <c r="K4919" s="6" t="n">
        <f aca="false">Sens!K4814*(al_lic+Sens!K4917)</f>
        <v>37.076209895181</v>
      </c>
    </row>
    <row r="4920" customFormat="false" ht="17.15" hidden="false" customHeight="false" outlineLevel="0" collapsed="false">
      <c r="A4920" s="0" t="s">
        <v>951</v>
      </c>
      <c r="B4920" s="0" t="s">
        <v>95</v>
      </c>
      <c r="F4920" s="6" t="n">
        <f aca="false">Sens!F4816*(al_ind+Sens!F4917)</f>
        <v>8.2230150068879</v>
      </c>
      <c r="G4920" s="6" t="n">
        <f aca="false">Sens!G4816*(al_ind+Sens!G4917)</f>
        <v>8.8996308058499</v>
      </c>
      <c r="H4920" s="6" t="n">
        <f aca="false">Sens!H4816*(al_ind+Sens!H4917)</f>
        <v>9.6254277593488</v>
      </c>
      <c r="I4920" s="6" t="n">
        <f aca="false">Sens!I4816*(al_ind+Sens!I4917)</f>
        <v>10.4006704929318</v>
      </c>
      <c r="J4920" s="6" t="n">
        <f aca="false">Sens!J4816*(al_ind+Sens!J4917)</f>
        <v>11.2136020262285</v>
      </c>
      <c r="K4920" s="6" t="n">
        <f aca="false">Sens!K4816*(al_ind+Sens!K4917)</f>
        <v>12.0431892262864</v>
      </c>
    </row>
    <row r="4921" customFormat="false" ht="17.15" hidden="false" customHeight="false" outlineLevel="0" collapsed="false">
      <c r="A4921" s="0" t="s">
        <v>952</v>
      </c>
      <c r="B4921" s="0" t="s">
        <v>95</v>
      </c>
      <c r="F4921" s="6" t="n">
        <f aca="false">Sens!F4818*(al_fro+Sens!F4917)</f>
        <v>3.23660757607983</v>
      </c>
      <c r="G4921" s="6" t="n">
        <f aca="false">Sens!G4818*(al_fro+Sens!G4917)</f>
        <v>3.41693206838033</v>
      </c>
      <c r="H4921" s="6" t="n">
        <f aca="false">Sens!H4818*(al_fro+Sens!H4917)</f>
        <v>3.62719063456936</v>
      </c>
      <c r="I4921" s="6" t="n">
        <f aca="false">Sens!I4818*(al_fro+Sens!I4917)</f>
        <v>3.87070625532783</v>
      </c>
      <c r="J4921" s="6" t="n">
        <f aca="false">Sens!J4818*(al_fro+Sens!J4917)</f>
        <v>4.14722096722557</v>
      </c>
      <c r="K4921" s="6" t="n">
        <f aca="false">Sens!K4818*(al_fro+Sens!K4917)</f>
        <v>4.45403419478389</v>
      </c>
    </row>
    <row r="4922" customFormat="false" ht="17.15" hidden="false" customHeight="false" outlineLevel="0" collapsed="false">
      <c r="A4922" s="0" t="s">
        <v>953</v>
      </c>
      <c r="B4922" s="0" t="s">
        <v>95</v>
      </c>
      <c r="F4922" s="6" t="n">
        <f aca="false">Sens!F4821*(al_srch+Sens!F4917)</f>
        <v>10.1555423400546</v>
      </c>
      <c r="G4922" s="6" t="n">
        <f aca="false">Sens!G4821*(al_srch+Sens!G4917)</f>
        <v>11.0948786139593</v>
      </c>
      <c r="H4922" s="6" t="n">
        <f aca="false">Sens!H4821*(al_srch+Sens!H4917)</f>
        <v>12.0850738200456</v>
      </c>
      <c r="I4922" s="6" t="n">
        <f aca="false">Sens!I4821*(al_srch+Sens!I4917)</f>
        <v>13.1206834011488</v>
      </c>
      <c r="J4922" s="6" t="n">
        <f aca="false">Sens!J4821*(al_srch+Sens!J4917)</f>
        <v>14.1801218056316</v>
      </c>
      <c r="K4922" s="6" t="n">
        <f aca="false">Sens!K4821*(al_srch+Sens!K4917)</f>
        <v>15.2291734411095</v>
      </c>
    </row>
    <row r="4923" customFormat="false" ht="17.15" hidden="false" customHeight="false" outlineLevel="0" collapsed="false">
      <c r="A4923" s="0" t="s">
        <v>954</v>
      </c>
      <c r="B4923" s="0" t="s">
        <v>95</v>
      </c>
      <c r="F4923" s="6" t="n">
        <f aca="false">Sens!F4790</f>
        <v>43.1278534047371</v>
      </c>
      <c r="G4923" s="6" t="n">
        <f aca="false">Sens!G4790</f>
        <v>78.4713023799053</v>
      </c>
      <c r="H4923" s="6" t="n">
        <f aca="false">Sens!H4790</f>
        <v>120.169624261219</v>
      </c>
      <c r="I4923" s="6" t="n">
        <f aca="false">Sens!I4790</f>
        <v>156.086713969963</v>
      </c>
      <c r="J4923" s="6" t="n">
        <f aca="false">Sens!J4790</f>
        <v>192.09687492465</v>
      </c>
      <c r="K4923" s="6" t="n">
        <f aca="false">Sens!K4790</f>
        <v>228.161785217179</v>
      </c>
    </row>
    <row r="4924" customFormat="false" ht="17.15" hidden="false" customHeight="false" outlineLevel="0" collapsed="false">
      <c r="A4924" s="0" t="s">
        <v>955</v>
      </c>
      <c r="B4924" s="0" t="s">
        <v>95</v>
      </c>
      <c r="F4924" s="6" t="n">
        <f aca="false">Sens!F4850+Sens!F4801+Sens!F4917*(Sens!F4820-Sens!F4784)</f>
        <v>217.332658980956</v>
      </c>
      <c r="G4924" s="6" t="n">
        <f aca="false">Sens!G4850+Sens!G4801+Sens!G4917*(Sens!G4820-Sens!G4784)</f>
        <v>277.191773923879</v>
      </c>
      <c r="H4924" s="6" t="n">
        <f aca="false">Sens!H4850+Sens!H4801+Sens!H4917*(Sens!H4820-Sens!H4784)</f>
        <v>343.682196319234</v>
      </c>
      <c r="I4924" s="6" t="n">
        <f aca="false">Sens!I4850+Sens!I4801+Sens!I4917*(Sens!I4820-Sens!I4784)</f>
        <v>402.196881720423</v>
      </c>
      <c r="J4924" s="6" t="n">
        <f aca="false">Sens!J4850+Sens!J4801+Sens!J4917*(Sens!J4820-Sens!J4784)</f>
        <v>457.784685757371</v>
      </c>
      <c r="K4924" s="6" t="n">
        <f aca="false">Sens!K4850+Sens!K4801+Sens!K4917*(Sens!K4820-Sens!K4784)</f>
        <v>511.513442550912</v>
      </c>
    </row>
    <row r="4925" customFormat="false" ht="17.15" hidden="false" customHeight="false" outlineLevel="0" collapsed="false">
      <c r="A4925" s="0" t="s">
        <v>956</v>
      </c>
      <c r="B4925" s="0" t="s">
        <v>95</v>
      </c>
      <c r="F4925" s="6" t="n">
        <f aca="false">Sens!F4924-Sens!F4918-Sens!F4919-Sens!F4920-Sens!F4921-Sens!F4923</f>
        <v>48.8912341664694</v>
      </c>
      <c r="G4925" s="6" t="n">
        <f aca="false">Sens!G4924-Sens!G4918-Sens!G4919-Sens!G4920-Sens!G4921-Sens!G4923</f>
        <v>54.7560970446562</v>
      </c>
      <c r="H4925" s="6" t="n">
        <f aca="false">Sens!H4924-Sens!H4918-Sens!H4919-Sens!H4920-Sens!H4921-Sens!H4923</f>
        <v>60.7218108062189</v>
      </c>
      <c r="I4925" s="6" t="n">
        <f aca="false">Sens!I4924-Sens!I4918-Sens!I4919-Sens!I4920-Sens!I4921-Sens!I4923</f>
        <v>66.6245450231979</v>
      </c>
      <c r="J4925" s="6" t="n">
        <f aca="false">Sens!J4924-Sens!J4918-Sens!J4919-Sens!J4920-Sens!J4921-Sens!J4923</f>
        <v>71.8562498276255</v>
      </c>
      <c r="K4925" s="6" t="n">
        <f aca="false">Sens!K4924-Sens!K4918-Sens!K4919-Sens!K4920-Sens!K4921-Sens!K4923</f>
        <v>75.6233185567544</v>
      </c>
    </row>
    <row r="4926" customFormat="false" ht="17.15" hidden="false" customHeight="false" outlineLevel="0" collapsed="false">
      <c r="A4926" s="0" t="s">
        <v>957</v>
      </c>
      <c r="B4926" s="0" t="s">
        <v>95</v>
      </c>
      <c r="F4926" s="6" t="n">
        <f aca="false">Sens!F4852+Sens!F4917*Sens!F4827</f>
        <v>23.7121363513426</v>
      </c>
      <c r="G4926" s="6" t="n">
        <f aca="false">Sens!G4852+Sens!G4917*Sens!G4827</f>
        <v>24.189408127619</v>
      </c>
      <c r="H4926" s="6" t="n">
        <f aca="false">Sens!H4852+Sens!H4917*Sens!H4827</f>
        <v>24.9379146097065</v>
      </c>
      <c r="I4926" s="6" t="n">
        <f aca="false">Sens!I4852+Sens!I4917*Sens!I4827</f>
        <v>25.9334100274823</v>
      </c>
      <c r="J4926" s="6" t="n">
        <f aca="false">Sens!J4852+Sens!J4917*Sens!J4827</f>
        <v>27.1330380747575</v>
      </c>
      <c r="K4926" s="6" t="n">
        <f aca="false">Sens!K4852+Sens!K4917*Sens!K4827</f>
        <v>28.4839716497666</v>
      </c>
    </row>
    <row r="4927" customFormat="false" ht="17.15" hidden="false" customHeight="false" outlineLevel="0" collapsed="false">
      <c r="A4927" s="0" t="s">
        <v>958</v>
      </c>
      <c r="B4927" s="0" t="s">
        <v>95</v>
      </c>
      <c r="F4927" s="6" t="n">
        <f aca="false">(Sens!F4926-Sens!F4922)*Sens!F4823/(Sens!F4823+Sens!F4825)</f>
        <v>7.43159279767568</v>
      </c>
      <c r="G4927" s="6" t="n">
        <f aca="false">(Sens!G4926-Sens!G4922)*Sens!G4823/(Sens!G4823+Sens!G4825)</f>
        <v>7.05030501783514</v>
      </c>
      <c r="H4927" s="6" t="n">
        <f aca="false">(Sens!H4926-Sens!H4922)*Sens!H4823/(Sens!H4823+Sens!H4825)</f>
        <v>6.8266959149214</v>
      </c>
      <c r="I4927" s="6" t="n">
        <f aca="false">(Sens!I4926-Sens!I4922)*Sens!I4823/(Sens!I4823+Sens!I4825)</f>
        <v>6.74381430804535</v>
      </c>
      <c r="J4927" s="6" t="n">
        <f aca="false">(Sens!J4926-Sens!J4922)*Sens!J4823/(Sens!J4823+Sens!J4825)</f>
        <v>6.78677238662627</v>
      </c>
      <c r="K4927" s="6" t="n">
        <f aca="false">(Sens!K4926-Sens!K4922)*Sens!K4823/(Sens!K4823+Sens!K4825)</f>
        <v>6.94494557084699</v>
      </c>
    </row>
    <row r="4928" customFormat="false" ht="17.15" hidden="false" customHeight="false" outlineLevel="0" collapsed="false">
      <c r="A4928" s="0" t="s">
        <v>959</v>
      </c>
      <c r="B4928" s="0" t="s">
        <v>95</v>
      </c>
      <c r="F4928" s="6" t="n">
        <f aca="false">Sens!F4926-Sens!F4922-Sens!F4927</f>
        <v>6.12500121361235</v>
      </c>
      <c r="G4928" s="6" t="n">
        <f aca="false">Sens!G4926-Sens!G4922-Sens!G4927</f>
        <v>6.04422449582459</v>
      </c>
      <c r="H4928" s="6" t="n">
        <f aca="false">Sens!H4926-Sens!H4922-Sens!H4927</f>
        <v>6.02614487473951</v>
      </c>
      <c r="I4928" s="6" t="n">
        <f aca="false">Sens!I4926-Sens!I4922-Sens!I4927</f>
        <v>6.06891231828821</v>
      </c>
      <c r="J4928" s="6" t="n">
        <f aca="false">Sens!J4926-Sens!J4922-Sens!J4927</f>
        <v>6.16614388249962</v>
      </c>
      <c r="K4928" s="6" t="n">
        <f aca="false">Sens!K4926-Sens!K4922-Sens!K4927</f>
        <v>6.30985263781017</v>
      </c>
    </row>
    <row r="4929" customFormat="false" ht="17.15" hidden="false" customHeight="false" outlineLevel="0" collapsed="false">
      <c r="A4929" s="1" t="s">
        <v>960</v>
      </c>
      <c r="B4929" s="0" t="s">
        <v>95</v>
      </c>
      <c r="C4929" s="6" t="n">
        <f aca="false">(w_ntm28*Sens!G4923+(1-w_ntm28)*Sens!H4923)*m_ai*1</f>
        <v>551.711134531404</v>
      </c>
    </row>
    <row r="4930" customFormat="false" ht="17.15" hidden="false" customHeight="false" outlineLevel="0" collapsed="false">
      <c r="A4930" s="1" t="s">
        <v>961</v>
      </c>
      <c r="B4930" s="0" t="s">
        <v>95</v>
      </c>
      <c r="C4930" s="6" t="n">
        <f aca="false">(w_ntm28*Sens!G4925+(1-w_ntm28)*Sens!H4925)*m_cloud*1</f>
        <v>783.383089578535</v>
      </c>
    </row>
    <row r="4931" customFormat="false" ht="17.15" hidden="false" customHeight="false" outlineLevel="0" collapsed="false">
      <c r="A4931" s="1" t="s">
        <v>962</v>
      </c>
      <c r="B4931" s="0" t="s">
        <v>95</v>
      </c>
      <c r="C4931" s="6" t="n">
        <f aca="false">(w_ntm28*Sens!G4918+(1-w_ntm28)*Sens!H4918)*m_sw*1</f>
        <v>1122.18792003623</v>
      </c>
    </row>
    <row r="4932" customFormat="false" ht="17.15" hidden="false" customHeight="false" outlineLevel="0" collapsed="false">
      <c r="A4932" s="1" t="s">
        <v>963</v>
      </c>
      <c r="B4932" s="0" t="s">
        <v>95</v>
      </c>
      <c r="C4932" s="6" t="n">
        <f aca="false">(w_ntm28*Sens!G4919+(1-w_ntm28)*Sens!H4919)*m_sw*1</f>
        <v>362.07265955052</v>
      </c>
    </row>
    <row r="4933" customFormat="false" ht="17.15" hidden="false" customHeight="false" outlineLevel="0" collapsed="false">
      <c r="A4933" s="1" t="s">
        <v>964</v>
      </c>
      <c r="B4933" s="0" t="s">
        <v>95</v>
      </c>
      <c r="C4933" s="6" t="n">
        <f aca="false">(w_ntm28*Sens!G4920+(1-w_ntm28)*Sens!H4920)*m_sw*1</f>
        <v>98.6501377375323</v>
      </c>
    </row>
    <row r="4934" customFormat="false" ht="17.15" hidden="false" customHeight="false" outlineLevel="0" collapsed="false">
      <c r="A4934" s="1" t="s">
        <v>965</v>
      </c>
      <c r="B4934" s="0" t="s">
        <v>95</v>
      </c>
      <c r="C4934" s="6" t="n">
        <f aca="false">(w_ntm28*Sens!G4921+(1-w_ntm28)*Sens!H4921)*m_sw*1</f>
        <v>37.6369855624837</v>
      </c>
    </row>
    <row r="4935" customFormat="false" ht="17.15" hidden="false" customHeight="false" outlineLevel="0" collapsed="false">
      <c r="A4935" s="1" t="s">
        <v>966</v>
      </c>
      <c r="B4935" s="0" t="s">
        <v>95</v>
      </c>
      <c r="C4935" s="6" t="n">
        <f aca="false">(w_ntm28*Sens!G4922+(1-w_ntm28)*Sens!H4922)*m_ads*1</f>
        <v>103.99061826259</v>
      </c>
    </row>
    <row r="4936" customFormat="false" ht="17.15" hidden="false" customHeight="false" outlineLevel="0" collapsed="false">
      <c r="A4936" s="1" t="s">
        <v>967</v>
      </c>
      <c r="B4936" s="0" t="s">
        <v>95</v>
      </c>
      <c r="C4936" s="6" t="n">
        <f aca="false">(w_ntm28*Sens!G4927+(1-w_ntm28)*Sens!H4927)*m_game*1</f>
        <v>88.1323288398154</v>
      </c>
    </row>
    <row r="4937" customFormat="false" ht="17.15" hidden="false" customHeight="false" outlineLevel="0" collapsed="false">
      <c r="A4937" s="1" t="s">
        <v>968</v>
      </c>
      <c r="B4937" s="0" t="s">
        <v>95</v>
      </c>
      <c r="C4937" s="6" t="n">
        <f aca="false">(w_ntm28*Sens!G4928+(1-w_ntm28)*Sens!H4928)*m_pc*1</f>
        <v>87.3753524824779</v>
      </c>
    </row>
    <row r="4938" customFormat="false" ht="17.15" hidden="false" customHeight="false" outlineLevel="0" collapsed="false">
      <c r="A4938" s="1" t="s">
        <v>969</v>
      </c>
      <c r="B4938" s="0" t="s">
        <v>95</v>
      </c>
      <c r="C4938" s="6" t="n">
        <f aca="false">Sens!$C$4929+Sens!$C$4930+Sens!$C$4931+Sens!$C$4932+Sens!$C$4933+Sens!$C$4934+Sens!$C$4935+Sens!$C$4936+Sens!$C$4937</f>
        <v>3235.14022658159</v>
      </c>
    </row>
    <row r="4939" customFormat="false" ht="17.15" hidden="false" customHeight="false" outlineLevel="0" collapsed="false">
      <c r="A4939" s="1" t="s">
        <v>903</v>
      </c>
      <c r="B4939" s="0" t="s">
        <v>95</v>
      </c>
      <c r="C4939" s="6" t="n">
        <f aca="false">Sens!F4896+oai_v-Sens!F4885</f>
        <v>116.210167169927</v>
      </c>
      <c r="L4939" s="1" t="s">
        <v>970</v>
      </c>
    </row>
    <row r="4940" customFormat="false" ht="15" hidden="false" customHeight="false" outlineLevel="0" collapsed="false">
      <c r="A4940" s="1" t="s">
        <v>904</v>
      </c>
      <c r="B4940" s="0" t="s">
        <v>73</v>
      </c>
      <c r="C4940" s="5" t="n">
        <f aca="false">(Sens!$C$4938+Sens!$C$4939)/Sens!F4898</f>
        <v>448.521198307216</v>
      </c>
    </row>
    <row r="4941" customFormat="false" ht="17.15" hidden="false" customHeight="false" outlineLevel="0" collapsed="false">
      <c r="A4941" s="1" t="s">
        <v>971</v>
      </c>
      <c r="B4941" s="0" t="s">
        <v>73</v>
      </c>
      <c r="C4941" s="5" t="n">
        <f aca="false">w_dcf*Sens!$C$4916+(1-w_dcf)*Sens!$C$4940</f>
        <v>372.428154860535</v>
      </c>
    </row>
    <row r="4942" customFormat="false" ht="17.15" hidden="false" customHeight="false" outlineLevel="0" collapsed="false">
      <c r="A4942" s="3" t="s">
        <v>1254</v>
      </c>
    </row>
    <row r="4943" customFormat="false" ht="15" hidden="false" customHeight="false" outlineLevel="0" collapsed="false">
      <c r="A4943" s="4" t="s">
        <v>43</v>
      </c>
      <c r="B4943" s="4" t="s">
        <v>63</v>
      </c>
      <c r="C4943" s="19" t="s">
        <v>710</v>
      </c>
      <c r="D4943" s="19" t="s">
        <v>711</v>
      </c>
      <c r="E4943" s="19" t="s">
        <v>712</v>
      </c>
      <c r="F4943" s="19" t="s">
        <v>713</v>
      </c>
      <c r="G4943" s="19" t="s">
        <v>714</v>
      </c>
      <c r="H4943" s="19" t="s">
        <v>715</v>
      </c>
      <c r="I4943" s="19" t="s">
        <v>716</v>
      </c>
      <c r="J4943" s="19" t="s">
        <v>717</v>
      </c>
      <c r="K4943" s="19" t="s">
        <v>718</v>
      </c>
      <c r="L4943" s="4" t="s">
        <v>47</v>
      </c>
    </row>
    <row r="4944" customFormat="false" ht="17.15" hidden="false" customHeight="false" outlineLevel="0" collapsed="false">
      <c r="A4944" s="1" t="s">
        <v>719</v>
      </c>
      <c r="B4944" s="0" t="s">
        <v>340</v>
      </c>
      <c r="C4944" s="27" t="n">
        <f aca="false">mw_ext_24</f>
        <v>640</v>
      </c>
      <c r="D4944" s="27" t="n">
        <f aca="false">mw_ext_25</f>
        <v>1630</v>
      </c>
      <c r="E4944" s="27" t="n">
        <f aca="false">mw_ext_26</f>
        <v>3250</v>
      </c>
      <c r="F4944" s="27" t="n">
        <f aca="false">MIN(1000000000,Sens!E4944+pace)</f>
        <v>5777.2</v>
      </c>
      <c r="G4944" s="27" t="n">
        <f aca="false">MIN(1000000000,Sens!F4944+pace)</f>
        <v>8304.4</v>
      </c>
      <c r="H4944" s="27" t="n">
        <f aca="false">MIN(1000000000,Sens!G4944+pace)</f>
        <v>10831.6</v>
      </c>
      <c r="I4944" s="27" t="n">
        <f aca="false">MIN(1000000000,Sens!H4944+pace)</f>
        <v>13358.8</v>
      </c>
      <c r="J4944" s="27" t="n">
        <f aca="false">MIN(1000000000,Sens!I4944+pace)</f>
        <v>15886</v>
      </c>
      <c r="K4944" s="27" t="n">
        <f aca="false">MIN(1000000000,Sens!J4944+pace)</f>
        <v>18413.2</v>
      </c>
      <c r="L4944" s="11" t="s">
        <v>720</v>
      </c>
    </row>
    <row r="4945" customFormat="false" ht="17.15" hidden="false" customHeight="false" outlineLevel="0" collapsed="false">
      <c r="A4945" s="1" t="s">
        <v>721</v>
      </c>
      <c r="B4945" s="0" t="s">
        <v>340</v>
      </c>
      <c r="C4945" s="27" t="n">
        <f aca="false">rent_ext_24</f>
        <v>150</v>
      </c>
      <c r="D4945" s="27" t="n">
        <f aca="false">rent_ext_25</f>
        <v>400</v>
      </c>
      <c r="E4945" s="27" t="n">
        <f aca="false">rent_ext_26</f>
        <v>550</v>
      </c>
      <c r="F4945" s="27" t="n">
        <f aca="false">rent_ext_f</f>
        <v>756</v>
      </c>
      <c r="G4945" s="27" t="n">
        <f aca="false">rent_ext_f</f>
        <v>756</v>
      </c>
      <c r="H4945" s="27" t="n">
        <f aca="false">rent_ext_f</f>
        <v>756</v>
      </c>
      <c r="I4945" s="27" t="n">
        <f aca="false">rent_ext_f</f>
        <v>756</v>
      </c>
      <c r="J4945" s="27" t="n">
        <f aca="false">rent_ext_f</f>
        <v>756</v>
      </c>
      <c r="K4945" s="27" t="n">
        <f aca="false">rent_ext_f</f>
        <v>756</v>
      </c>
      <c r="L4945" s="1" t="s">
        <v>722</v>
      </c>
    </row>
    <row r="4946" customFormat="false" ht="17.15" hidden="false" customHeight="false" outlineLevel="0" collapsed="false">
      <c r="A4946" s="1" t="s">
        <v>723</v>
      </c>
      <c r="B4946" s="0" t="s">
        <v>340</v>
      </c>
      <c r="C4946" s="27" t="n">
        <f aca="false">Sens!C4944-Sens!C4945</f>
        <v>490</v>
      </c>
      <c r="D4946" s="27" t="n">
        <f aca="false">Sens!D4944-Sens!D4945</f>
        <v>1230</v>
      </c>
      <c r="E4946" s="27" t="n">
        <f aca="false">Sens!E4944-Sens!E4945</f>
        <v>2700</v>
      </c>
      <c r="F4946" s="27" t="n">
        <f aca="false">Sens!F4944-Sens!F4945</f>
        <v>5021.2</v>
      </c>
      <c r="G4946" s="27" t="n">
        <f aca="false">Sens!G4944-Sens!G4945</f>
        <v>7548.4</v>
      </c>
      <c r="H4946" s="27" t="n">
        <f aca="false">Sens!H4944-Sens!H4945</f>
        <v>10075.6</v>
      </c>
      <c r="I4946" s="27" t="n">
        <f aca="false">Sens!I4944-Sens!I4945</f>
        <v>12602.8</v>
      </c>
      <c r="J4946" s="27" t="n">
        <f aca="false">Sens!J4944-Sens!J4945</f>
        <v>15130</v>
      </c>
      <c r="K4946" s="27" t="n">
        <f aca="false">Sens!K4944-Sens!K4945</f>
        <v>17657.2</v>
      </c>
    </row>
    <row r="4947" customFormat="false" ht="17.15" hidden="false" customHeight="false" outlineLevel="0" collapsed="false">
      <c r="A4947" s="1" t="s">
        <v>724</v>
      </c>
      <c r="B4947" s="0" t="s">
        <v>340</v>
      </c>
      <c r="C4947" s="27" t="n">
        <f aca="false">Sens!C4946/ext_sh</f>
        <v>816.666666666667</v>
      </c>
      <c r="D4947" s="27" t="n">
        <f aca="false">Sens!D4946/ext_sh</f>
        <v>2050</v>
      </c>
      <c r="E4947" s="27" t="n">
        <f aca="false">Sens!E4946/ext_sh</f>
        <v>4500</v>
      </c>
      <c r="F4947" s="27" t="n">
        <f aca="false">Sens!F4946/ext_sh</f>
        <v>8368.66666666667</v>
      </c>
      <c r="G4947" s="27" t="n">
        <f aca="false">Sens!G4946/ext_sh</f>
        <v>12580.6666666667</v>
      </c>
      <c r="H4947" s="27" t="n">
        <f aca="false">Sens!H4946/ext_sh</f>
        <v>16792.6666666667</v>
      </c>
      <c r="I4947" s="27" t="n">
        <f aca="false">Sens!I4946/ext_sh</f>
        <v>21004.6666666667</v>
      </c>
      <c r="J4947" s="27" t="n">
        <f aca="false">Sens!J4946/ext_sh</f>
        <v>25216.6666666667</v>
      </c>
      <c r="K4947" s="27" t="n">
        <f aca="false">Sens!K4946/ext_sh</f>
        <v>29428.6666666667</v>
      </c>
      <c r="L4947" s="1" t="s">
        <v>725</v>
      </c>
    </row>
    <row r="4948" customFormat="false" ht="17.15" hidden="false" customHeight="false" outlineLevel="0" collapsed="false">
      <c r="A4948" s="1" t="s">
        <v>726</v>
      </c>
      <c r="B4948" s="0" t="s">
        <v>340</v>
      </c>
      <c r="C4948" s="27" t="n">
        <f aca="false">Sens!C4947-Sens!C4946</f>
        <v>326.666666666667</v>
      </c>
      <c r="D4948" s="27" t="n">
        <f aca="false">Sens!D4947-Sens!D4946</f>
        <v>820</v>
      </c>
      <c r="E4948" s="27" t="n">
        <f aca="false">Sens!E4947-Sens!E4946</f>
        <v>1800</v>
      </c>
      <c r="F4948" s="27" t="n">
        <f aca="false">Sens!F4947-Sens!F4946</f>
        <v>3347.46666666667</v>
      </c>
      <c r="G4948" s="27" t="n">
        <f aca="false">Sens!G4947-Sens!G4946</f>
        <v>5032.26666666667</v>
      </c>
      <c r="H4948" s="27" t="n">
        <f aca="false">Sens!H4947-Sens!H4946</f>
        <v>6717.06666666667</v>
      </c>
      <c r="I4948" s="27" t="n">
        <f aca="false">Sens!I4947-Sens!I4946</f>
        <v>8401.86666666667</v>
      </c>
      <c r="J4948" s="27" t="n">
        <f aca="false">Sens!J4947-Sens!J4946</f>
        <v>10086.6666666667</v>
      </c>
      <c r="K4948" s="27" t="n">
        <f aca="false">Sens!K4947-Sens!K4946</f>
        <v>11771.4666666667</v>
      </c>
    </row>
    <row r="4949" customFormat="false" ht="17.15" hidden="false" customHeight="false" outlineLevel="0" collapsed="false">
      <c r="A4949" s="1" t="s">
        <v>727</v>
      </c>
      <c r="B4949" s="0" t="s">
        <v>340</v>
      </c>
      <c r="C4949" s="27" t="n">
        <f aca="false">Sens!C4947</f>
        <v>816.666666666667</v>
      </c>
      <c r="D4949" s="27" t="n">
        <f aca="false">Sens!D4947-Sens!C4947</f>
        <v>1233.33333333333</v>
      </c>
      <c r="E4949" s="27" t="n">
        <f aca="false">Sens!E4947-Sens!D4947</f>
        <v>2450</v>
      </c>
      <c r="F4949" s="27" t="n">
        <f aca="false">Sens!F4947-Sens!E4947</f>
        <v>3868.66666666667</v>
      </c>
      <c r="G4949" s="27" t="n">
        <f aca="false">Sens!G4947-Sens!F4947</f>
        <v>4212</v>
      </c>
      <c r="H4949" s="27" t="n">
        <f aca="false">Sens!H4947-Sens!G4947</f>
        <v>4212</v>
      </c>
      <c r="I4949" s="27" t="n">
        <f aca="false">Sens!I4947-Sens!H4947</f>
        <v>4212</v>
      </c>
      <c r="J4949" s="27" t="n">
        <f aca="false">Sens!J4947-Sens!I4947</f>
        <v>4212</v>
      </c>
      <c r="K4949" s="27" t="n">
        <f aca="false">Sens!K4947-Sens!J4947</f>
        <v>4212</v>
      </c>
    </row>
    <row r="4950" customFormat="false" ht="17.15" hidden="false" customHeight="false" outlineLevel="0" collapsed="false">
      <c r="A4950" s="1" t="s">
        <v>728</v>
      </c>
      <c r="B4950" s="0" t="s">
        <v>340</v>
      </c>
      <c r="D4950" s="27" t="n">
        <f aca="false">Sens!D4944-Sens!C4944</f>
        <v>990</v>
      </c>
      <c r="E4950" s="27" t="n">
        <f aca="false">Sens!E4944-Sens!D4944</f>
        <v>1620</v>
      </c>
      <c r="F4950" s="27" t="n">
        <f aca="false">Sens!F4944-Sens!E4944</f>
        <v>2527.2</v>
      </c>
      <c r="G4950" s="27" t="n">
        <f aca="false">Sens!G4944-Sens!F4944</f>
        <v>2527.2</v>
      </c>
      <c r="H4950" s="27" t="n">
        <f aca="false">Sens!H4944-Sens!G4944</f>
        <v>2527.2</v>
      </c>
      <c r="I4950" s="27" t="n">
        <f aca="false">Sens!I4944-Sens!H4944</f>
        <v>2527.2</v>
      </c>
      <c r="J4950" s="27" t="n">
        <f aca="false">Sens!J4944-Sens!I4944</f>
        <v>2527.2</v>
      </c>
      <c r="K4950" s="27" t="n">
        <f aca="false">Sens!K4944-Sens!J4944</f>
        <v>2527.2</v>
      </c>
    </row>
    <row r="4951" customFormat="false" ht="17.15" hidden="false" customHeight="false" outlineLevel="0" collapsed="false">
      <c r="A4951" s="1" t="s">
        <v>729</v>
      </c>
      <c r="B4951" s="0" t="s">
        <v>340</v>
      </c>
      <c r="C4951" s="27" t="n">
        <f aca="false">mix_h*Sens!C4944</f>
        <v>128</v>
      </c>
      <c r="D4951" s="27" t="n">
        <f aca="false">mix_h*Sens!D4944</f>
        <v>326</v>
      </c>
      <c r="E4951" s="27" t="n">
        <f aca="false">mix_h*Sens!E4944</f>
        <v>650</v>
      </c>
      <c r="F4951" s="27" t="n">
        <f aca="false">Sens!E4951</f>
        <v>650</v>
      </c>
      <c r="G4951" s="27" t="n">
        <f aca="false">Sens!F4951</f>
        <v>650</v>
      </c>
      <c r="H4951" s="27" t="n">
        <f aca="false">Sens!G4951</f>
        <v>650</v>
      </c>
      <c r="I4951" s="27" t="n">
        <f aca="false">Sens!H4951</f>
        <v>650</v>
      </c>
      <c r="J4951" s="27" t="n">
        <f aca="false">Sens!I4951</f>
        <v>650</v>
      </c>
      <c r="K4951" s="27" t="n">
        <f aca="false">Sens!J4951</f>
        <v>650</v>
      </c>
    </row>
    <row r="4952" customFormat="false" ht="17.15" hidden="false" customHeight="false" outlineLevel="0" collapsed="false">
      <c r="A4952" s="1" t="s">
        <v>730</v>
      </c>
      <c r="B4952" s="0" t="s">
        <v>340</v>
      </c>
      <c r="C4952" s="27" t="n">
        <f aca="false">mix_g2*Sens!C4944</f>
        <v>288</v>
      </c>
      <c r="D4952" s="27" t="n">
        <f aca="false">mix_g2*Sens!D4944</f>
        <v>733.5</v>
      </c>
      <c r="E4952" s="27" t="n">
        <f aca="false">mix_g2*Sens!E4944</f>
        <v>1462.5</v>
      </c>
      <c r="F4952" s="27" t="n">
        <f aca="false">Sens!E4952</f>
        <v>1462.5</v>
      </c>
      <c r="G4952" s="27" t="n">
        <f aca="false">Sens!F4952</f>
        <v>1462.5</v>
      </c>
      <c r="H4952" s="27" t="n">
        <f aca="false">Sens!G4952</f>
        <v>1462.5</v>
      </c>
      <c r="I4952" s="27" t="n">
        <f aca="false">Sens!H4952</f>
        <v>1462.5</v>
      </c>
      <c r="J4952" s="27" t="n">
        <f aca="false">Sens!I4952</f>
        <v>1462.5</v>
      </c>
      <c r="K4952" s="27" t="n">
        <f aca="false">Sens!J4952</f>
        <v>1462.5</v>
      </c>
    </row>
    <row r="4953" customFormat="false" ht="17.15" hidden="false" customHeight="false" outlineLevel="0" collapsed="false">
      <c r="A4953" s="1" t="s">
        <v>731</v>
      </c>
      <c r="B4953" s="0" t="s">
        <v>340</v>
      </c>
      <c r="C4953" s="27" t="n">
        <f aca="false">mix_g3*Sens!C4944</f>
        <v>224</v>
      </c>
      <c r="D4953" s="27" t="n">
        <f aca="false">mix_g3*Sens!D4944</f>
        <v>570.5</v>
      </c>
      <c r="E4953" s="27" t="n">
        <f aca="false">mix_g3*Sens!E4944</f>
        <v>1137.5</v>
      </c>
      <c r="F4953" s="27" t="n">
        <f aca="false">Sens!E4953+Sens!F4950*a_g3_27</f>
        <v>2906.54</v>
      </c>
      <c r="G4953" s="27" t="n">
        <f aca="false">Sens!F4953+Sens!G4950*a_g3_28</f>
        <v>3664.7</v>
      </c>
      <c r="H4953" s="27" t="n">
        <f aca="false">Sens!G4953+Sens!H4950*a_g3_29</f>
        <v>3917.42</v>
      </c>
      <c r="I4953" s="27" t="n">
        <f aca="false">Sens!H4953+Sens!I4950*a_g3_29</f>
        <v>4170.14</v>
      </c>
      <c r="J4953" s="27" t="n">
        <f aca="false">Sens!I4953+Sens!J4950*a_g3_29</f>
        <v>4422.86</v>
      </c>
      <c r="K4953" s="27" t="n">
        <f aca="false">Sens!J4953+Sens!K4950*a_g3_29</f>
        <v>4675.58</v>
      </c>
    </row>
    <row r="4954" customFormat="false" ht="17.15" hidden="false" customHeight="false" outlineLevel="0" collapsed="false">
      <c r="A4954" s="1" t="s">
        <v>732</v>
      </c>
      <c r="B4954" s="0" t="s">
        <v>340</v>
      </c>
      <c r="C4954" s="27" t="n">
        <f aca="false">0</f>
        <v>0</v>
      </c>
      <c r="D4954" s="27" t="n">
        <f aca="false">0</f>
        <v>0</v>
      </c>
      <c r="E4954" s="27" t="n">
        <f aca="false">0</f>
        <v>0</v>
      </c>
      <c r="F4954" s="27" t="n">
        <f aca="false">Sens!E4954+Sens!F4950*(1-a_g3_27)</f>
        <v>758.16</v>
      </c>
      <c r="G4954" s="27" t="n">
        <f aca="false">Sens!F4954+Sens!G4950*(1-a_g3_28)</f>
        <v>2527.2</v>
      </c>
      <c r="H4954" s="27" t="n">
        <f aca="false">Sens!G4954+Sens!H4950*(1-a_g3_29)</f>
        <v>4801.68</v>
      </c>
      <c r="I4954" s="27" t="n">
        <f aca="false">Sens!H4954+Sens!I4950*(1-a_g3_29)</f>
        <v>7076.16</v>
      </c>
      <c r="J4954" s="27" t="n">
        <f aca="false">Sens!I4954+Sens!J4950*(1-a_g3_29)</f>
        <v>9350.64</v>
      </c>
      <c r="K4954" s="27" t="n">
        <f aca="false">Sens!J4954+Sens!K4950*(1-a_g3_29)</f>
        <v>11625.12</v>
      </c>
    </row>
    <row r="4955" customFormat="false" ht="17.15" hidden="false" customHeight="false" outlineLevel="0" collapsed="false">
      <c r="A4955" s="1" t="s">
        <v>733</v>
      </c>
      <c r="B4955" s="0" t="s">
        <v>291</v>
      </c>
      <c r="C4955" s="18" t="n">
        <f aca="false">(Sens!C4951*tk_hold_h100+Sens!C4952*tk_hold_gb200+Sens!C4953*tk_hold_gb300+Sens!C4954*tk_hold_vr200)/Sens!C4944</f>
        <v>9.7235358126469</v>
      </c>
      <c r="D4955" s="18" t="n">
        <f aca="false">(Sens!D4951*tk_hold_h100+Sens!D4952*tk_hold_gb200+Sens!D4953*tk_hold_gb300+Sens!D4954*tk_hold_vr200)/Sens!D4944</f>
        <v>9.7235358126469</v>
      </c>
      <c r="E4955" s="18" t="n">
        <f aca="false">(Sens!E4951*tk_hold_h100+Sens!E4952*tk_hold_gb200+Sens!E4953*tk_hold_gb300+Sens!E4954*tk_hold_vr200)/Sens!E4944</f>
        <v>9.7235358126469</v>
      </c>
      <c r="F4955" s="18" t="n">
        <f aca="false">(Sens!F4951*tk_hold_h100+Sens!F4952*tk_hold_gb200+Sens!F4953*tk_hold_gb300+Sens!F4954*tk_hold_vr200)/Sens!F4944</f>
        <v>10.4079573161931</v>
      </c>
      <c r="G4955" s="18" t="n">
        <f aca="false">(Sens!G4951*tk_hold_h100+Sens!G4952*tk_hold_gb200+Sens!G4953*tk_hold_gb300+Sens!G4954*tk_hold_vr200)/Sens!G4944</f>
        <v>10.8388131109316</v>
      </c>
      <c r="H4955" s="18" t="n">
        <f aca="false">(Sens!H4951*tk_hold_h100+Sens!H4952*tk_hold_gb200+Sens!H4953*tk_hold_gb300+Sens!H4954*tk_hold_vr200)/Sens!H4944</f>
        <v>11.1311018388216</v>
      </c>
      <c r="I4955" s="18" t="n">
        <f aca="false">(Sens!I4951*tk_hold_h100+Sens!I4952*tk_hold_gb200+Sens!I4953*tk_hold_gb300+Sens!I4954*tk_hold_vr200)/Sens!I4944</f>
        <v>11.3128009818501</v>
      </c>
      <c r="J4955" s="18" t="n">
        <f aca="false">(Sens!J4951*tk_hold_h100+Sens!J4952*tk_hold_gb200+Sens!J4953*tk_hold_gb300+Sens!J4954*tk_hold_vr200)/Sens!J4944</f>
        <v>11.4366894646418</v>
      </c>
      <c r="K4955" s="18" t="n">
        <f aca="false">(Sens!K4951*tk_hold_h100+Sens!K4952*tk_hold_gb200+Sens!K4953*tk_hold_gb300+Sens!K4954*tk_hold_vr200)/Sens!K4944</f>
        <v>11.526570716348</v>
      </c>
    </row>
    <row r="4956" customFormat="false" ht="17.15" hidden="false" customHeight="false" outlineLevel="0" collapsed="false">
      <c r="A4956" s="0" t="s">
        <v>734</v>
      </c>
      <c r="B4956" s="0" t="s">
        <v>182</v>
      </c>
      <c r="C4956" s="18" t="n">
        <f aca="false">k_B</f>
        <v>1.17213932619116</v>
      </c>
      <c r="D4956" s="18" t="n">
        <f aca="false">k_B</f>
        <v>1.17213932619116</v>
      </c>
      <c r="E4956" s="18" t="n">
        <f aca="false">k_B</f>
        <v>1.17213932619116</v>
      </c>
      <c r="F4956" s="18" t="n">
        <f aca="false">(k_B+((ls_B*k_long+(1-ls_B)*k_spot)-k_B)*MIN(1,1/3))*1</f>
        <v>1.17213932619116</v>
      </c>
      <c r="G4956" s="18" t="n">
        <f aca="false">(k_B+((ls_B*k_long+(1-ls_B)*k_spot)-k_B)*MIN(1,2/3))*1</f>
        <v>1.17213932619116</v>
      </c>
      <c r="H4956" s="18" t="n">
        <f aca="false">(k_B+((ls_B*k_long+(1-ls_B)*k_spot)-k_B)*MIN(1,3/3))*1</f>
        <v>1.17213932619116</v>
      </c>
      <c r="I4956" s="18" t="n">
        <f aca="false">(k_B+((ls_B*k_long+(1-ls_B)*k_spot)-k_B)*MIN(1,4/3))*1</f>
        <v>1.17213932619116</v>
      </c>
      <c r="J4956" s="18" t="n">
        <f aca="false">(k_B+((ls_B*k_long+(1-ls_B)*k_spot)-k_B)*MIN(1,5/3))*1</f>
        <v>1.17213932619116</v>
      </c>
      <c r="K4956" s="18" t="n">
        <f aca="false">(k_B+((ls_B*k_long+(1-ls_B)*k_spot)-k_B)*MIN(1,6/3))*1</f>
        <v>1.17213932619116</v>
      </c>
      <c r="L4956" s="1" t="s">
        <v>735</v>
      </c>
    </row>
    <row r="4957" customFormat="false" ht="17.15" hidden="false" customHeight="false" outlineLevel="0" collapsed="false">
      <c r="A4957" s="1" t="s">
        <v>736</v>
      </c>
      <c r="B4957" s="0" t="s">
        <v>291</v>
      </c>
      <c r="C4957" s="18" t="n">
        <f aca="false">Sens!C4955*Sens!C4956*chip_f</f>
        <v>11.3973387156315</v>
      </c>
      <c r="D4957" s="18" t="n">
        <f aca="false">Sens!D4955*Sens!D4956*chip_f</f>
        <v>11.3973387156315</v>
      </c>
      <c r="E4957" s="18" t="n">
        <f aca="false">Sens!E4955*Sens!E4956*chip_f</f>
        <v>11.3973387156315</v>
      </c>
      <c r="F4957" s="18" t="n">
        <f aca="false">Sens!F4955*Sens!F4956*chip_f</f>
        <v>12.1995760756289</v>
      </c>
      <c r="G4957" s="18" t="n">
        <f aca="false">Sens!G4955*Sens!G4956*chip_f</f>
        <v>12.7045990965592</v>
      </c>
      <c r="H4957" s="18" t="n">
        <f aca="false">Sens!H4955*Sens!H4956*chip_f</f>
        <v>13.0472022091214</v>
      </c>
      <c r="I4957" s="18" t="n">
        <f aca="false">Sens!I4955*Sens!I4956*chip_f</f>
        <v>13.2601789202004</v>
      </c>
      <c r="J4957" s="18" t="n">
        <f aca="false">Sens!J4955*Sens!J4956*chip_f</f>
        <v>13.4053934829427</v>
      </c>
      <c r="K4957" s="18" t="n">
        <f aca="false">Sens!K4955*Sens!K4956*chip_f</f>
        <v>13.5107468327548</v>
      </c>
      <c r="L4957" s="1" t="s">
        <v>737</v>
      </c>
    </row>
    <row r="4958" customFormat="false" ht="17.15" hidden="false" customHeight="false" outlineLevel="0" collapsed="false">
      <c r="A4958" s="0" t="s">
        <v>738</v>
      </c>
      <c r="B4958" s="0" t="s">
        <v>95</v>
      </c>
      <c r="D4958" s="6" t="n">
        <f aca="false">(Sens!C4944+Sens!D4944)/2*Sens!D4957/1000</f>
        <v>12.9359794422418</v>
      </c>
      <c r="E4958" s="6" t="n">
        <f aca="false">(Sens!D4944+Sens!E4944)/2*Sens!E4957/1000</f>
        <v>27.8095064661409</v>
      </c>
      <c r="F4958" s="6" t="n">
        <f aca="false">(Sens!E4944+Sens!F4944)/2*Sens!F4957/1000</f>
        <v>55.0640065749585</v>
      </c>
      <c r="G4958" s="6" t="n">
        <f aca="false">(Sens!F4944+Sens!G4944)/2*Sens!G4957/1000</f>
        <v>89.4505413190538</v>
      </c>
      <c r="H4958" s="6" t="n">
        <f aca="false">(Sens!G4944+Sens!H4944)/2*Sens!H4957/1000</f>
        <v>124.835630736874</v>
      </c>
      <c r="I4958" s="6" t="n">
        <f aca="false">(Sens!H4944+Sens!I4944)/2*Sens!I4957/1000</f>
        <v>160.384516075608</v>
      </c>
      <c r="J4958" s="6" t="n">
        <f aca="false">(Sens!I4944+Sens!J4944)/2*Sens!J4957/1000</f>
        <v>196.019025664981</v>
      </c>
      <c r="K4958" s="6" t="n">
        <f aca="false">(Sens!J4944+Sens!K4944)/2*Sens!K4957/1000</f>
        <v>231.703903883012</v>
      </c>
      <c r="L4958" s="11" t="s">
        <v>739</v>
      </c>
    </row>
    <row r="4959" customFormat="false" ht="17.15" hidden="false" customHeight="false" outlineLevel="0" collapsed="false">
      <c r="A4959" s="1" t="s">
        <v>740</v>
      </c>
      <c r="B4959" s="0" t="s">
        <v>291</v>
      </c>
      <c r="C4959" s="18" t="n">
        <f aca="false">(Sens!C4951*tk_opex_h100+Sens!C4952*tk_opex_gb200+Sens!C4953*tk_opex_gb300+Sens!C4954*tk_opex_vr200)/Sens!C4944</f>
        <v>1.88636041306092</v>
      </c>
      <c r="D4959" s="18" t="n">
        <f aca="false">(Sens!D4951*tk_opex_h100+Sens!D4952*tk_opex_gb200+Sens!D4953*tk_opex_gb300+Sens!D4954*tk_opex_vr200)/Sens!D4944</f>
        <v>1.88636041306092</v>
      </c>
      <c r="E4959" s="18" t="n">
        <f aca="false">(Sens!E4951*tk_opex_h100+Sens!E4952*tk_opex_gb200+Sens!E4953*tk_opex_gb300+Sens!E4954*tk_opex_vr200)/Sens!E4944</f>
        <v>1.88636041306092</v>
      </c>
      <c r="F4959" s="18" t="n">
        <f aca="false">(Sens!F4951*tk_opex_h100+Sens!F4952*tk_opex_gb200+Sens!F4953*tk_opex_gb300+Sens!F4954*tk_opex_vr200)/Sens!F4944</f>
        <v>1.9430236476499</v>
      </c>
      <c r="G4959" s="18" t="n">
        <f aca="false">(Sens!G4951*tk_opex_h100+Sens!G4952*tk_opex_gb200+Sens!G4953*tk_opex_gb300+Sens!G4954*tk_opex_vr200)/Sens!G4944</f>
        <v>1.9786941852423</v>
      </c>
      <c r="H4959" s="18" t="n">
        <f aca="false">(Sens!H4951*tk_opex_h100+Sens!H4952*tk_opex_gb200+Sens!H4953*tk_opex_gb300+Sens!H4954*tk_opex_vr200)/Sens!H4944</f>
        <v>2.00289275976156</v>
      </c>
      <c r="I4959" s="18" t="n">
        <f aca="false">(Sens!I4951*tk_opex_h100+Sens!I4952*tk_opex_gb200+Sens!I4953*tk_opex_gb300+Sens!I4954*tk_opex_vr200)/Sens!I4944</f>
        <v>2.01793562605478</v>
      </c>
      <c r="J4959" s="18" t="n">
        <f aca="false">(Sens!J4951*tk_opex_h100+Sens!J4952*tk_opex_gb200+Sens!J4953*tk_opex_gb300+Sens!J4954*tk_opex_vr200)/Sens!J4944</f>
        <v>2.02819234961902</v>
      </c>
      <c r="K4959" s="18" t="n">
        <f aca="false">(Sens!K4951*tk_opex_h100+Sens!K4952*tk_opex_gb200+Sens!K4953*tk_opex_gb300+Sens!K4954*tk_opex_vr200)/Sens!K4944</f>
        <v>2.0356336155994</v>
      </c>
    </row>
    <row r="4960" customFormat="false" ht="17.15" hidden="false" customHeight="false" outlineLevel="0" collapsed="false">
      <c r="A4960" s="0" t="s">
        <v>741</v>
      </c>
      <c r="B4960" s="0" t="s">
        <v>95</v>
      </c>
      <c r="D4960" s="6" t="n">
        <f aca="false">(Sens!C4947+Sens!D4947)/2*Sens!D4959/1000</f>
        <v>2.70378325872065</v>
      </c>
      <c r="E4960" s="6" t="n">
        <f aca="false">(Sens!D4947+Sens!E4947)/2*Sens!E4959/1000</f>
        <v>6.17783035277451</v>
      </c>
      <c r="F4960" s="6" t="n">
        <f aca="false">(Sens!E4947+Sens!F4947)/2*Sens!F4959/1000</f>
        <v>12.5020618235287</v>
      </c>
      <c r="G4960" s="6" t="n">
        <f aca="false">(Sens!F4947+Sens!G4947)/2*Sens!G4959/1000</f>
        <v>20.7261620256847</v>
      </c>
      <c r="H4960" s="6" t="n">
        <f aca="false">(Sens!G4947+Sens!H4947)/2*Sens!H4959/1000</f>
        <v>29.4158183316982</v>
      </c>
      <c r="I4960" s="6" t="n">
        <f aca="false">(Sens!H4947+Sens!I4947)/2*Sens!I4959/1000</f>
        <v>38.1362927516005</v>
      </c>
      <c r="J4960" s="6" t="n">
        <f aca="false">(Sens!I4947+Sens!J4947)/2*Sens!J4959/1000</f>
        <v>46.8728773279286</v>
      </c>
      <c r="K4960" s="6" t="n">
        <f aca="false">(Sens!J4947+Sens!K4947)/2*Sens!K4959/1000</f>
        <v>55.618938734484</v>
      </c>
    </row>
    <row r="4961" customFormat="false" ht="17.15" hidden="false" customHeight="false" outlineLevel="0" collapsed="false">
      <c r="A4961" s="0" t="s">
        <v>742</v>
      </c>
      <c r="B4961" s="0" t="s">
        <v>95</v>
      </c>
      <c r="D4961" s="6" t="n">
        <f aca="false">(Sens!C4945+Sens!D4945)/2*rent_mw/1000</f>
        <v>2.44475</v>
      </c>
      <c r="E4961" s="6" t="n">
        <f aca="false">(Sens!D4945+Sens!E4945)/2*rent_mw/1000</f>
        <v>4.22275</v>
      </c>
      <c r="F4961" s="6" t="n">
        <f aca="false">(Sens!E4945+Sens!F4945)/2*rent_mw/1000</f>
        <v>5.80517</v>
      </c>
      <c r="G4961" s="6" t="n">
        <f aca="false">(Sens!F4945+Sens!G4945)/2*rent_mw/1000</f>
        <v>6.72084</v>
      </c>
      <c r="H4961" s="6" t="n">
        <f aca="false">(Sens!G4945+Sens!H4945)/2*rent_mw/1000</f>
        <v>6.72084</v>
      </c>
      <c r="I4961" s="6" t="n">
        <f aca="false">(Sens!H4945+Sens!I4945)/2*rent_mw/1000</f>
        <v>6.72084</v>
      </c>
      <c r="J4961" s="6" t="n">
        <f aca="false">(Sens!I4945+Sens!J4945)/2*rent_mw/1000</f>
        <v>6.72084</v>
      </c>
      <c r="K4961" s="6" t="n">
        <f aca="false">(Sens!J4945+Sens!K4945)/2*rent_mw/1000</f>
        <v>6.72084</v>
      </c>
    </row>
    <row r="4962" customFormat="false" ht="17.15" hidden="false" customHeight="false" outlineLevel="0" collapsed="false">
      <c r="A4962" s="0" t="s">
        <v>743</v>
      </c>
      <c r="B4962" s="0" t="s">
        <v>95</v>
      </c>
      <c r="D4962" s="6" t="n">
        <f aca="false">(Sens!C4947+Sens!D4947)/2*(1-self_build)*fac_rent/1000</f>
        <v>0.853242375631075</v>
      </c>
      <c r="E4962" s="6" t="n">
        <f aca="false">(Sens!D4947+Sens!E4947)/2*(1-self_build)*fac_rent/1000</f>
        <v>1.94955961408728</v>
      </c>
      <c r="F4962" s="6" t="n">
        <f aca="false">(Sens!E4947+Sens!F4947)/2*(1-self_build)*fac_rent/1000</f>
        <v>3.83026455274573</v>
      </c>
      <c r="G4962" s="6" t="n">
        <f aca="false">(Sens!F4947+Sens!G4947)/2*(1-self_build)*fac_rent/1000</f>
        <v>6.23541590972812</v>
      </c>
      <c r="H4962" s="6" t="n">
        <f aca="false">(Sens!G4947+Sens!H4947)/2*(1-self_build)*fac_rent/1000</f>
        <v>8.74275792332679</v>
      </c>
      <c r="I4962" s="6" t="n">
        <f aca="false">(Sens!H4947+Sens!I4947)/2*(1-self_build)*fac_rent/1000</f>
        <v>11.2500999369255</v>
      </c>
      <c r="J4962" s="6" t="n">
        <f aca="false">(Sens!I4947+Sens!J4947)/2*(1-self_build)*fac_rent/1000</f>
        <v>13.7574419505241</v>
      </c>
      <c r="K4962" s="6" t="n">
        <f aca="false">(Sens!J4947+Sens!K4947)/2*(1-self_build)*fac_rent/1000</f>
        <v>16.2647839641228</v>
      </c>
      <c r="L4962" s="11" t="s">
        <v>744</v>
      </c>
    </row>
    <row r="4963" customFormat="false" ht="17.15" hidden="false" customHeight="false" outlineLevel="0" collapsed="false">
      <c r="A4963" s="1" t="s">
        <v>745</v>
      </c>
      <c r="B4963" s="0" t="s">
        <v>126</v>
      </c>
      <c r="D4963" s="7" t="n">
        <f aca="false">(Sens!C4946+Sens!D4946)/(Sens!C4947+Sens!D4947)</f>
        <v>0.6</v>
      </c>
      <c r="E4963" s="7" t="n">
        <f aca="false">(Sens!D4946+Sens!E4946)/(Sens!D4947+Sens!E4947)</f>
        <v>0.6</v>
      </c>
      <c r="F4963" s="7" t="n">
        <f aca="false">(Sens!E4946+Sens!F4946)/(Sens!E4947+Sens!F4947)</f>
        <v>0.6</v>
      </c>
      <c r="G4963" s="7" t="n">
        <f aca="false">(Sens!F4946+Sens!G4946)/(Sens!F4947+Sens!G4947)</f>
        <v>0.6</v>
      </c>
      <c r="H4963" s="7" t="n">
        <f aca="false">(Sens!G4946+Sens!H4946)/(Sens!G4947+Sens!H4947)</f>
        <v>0.6</v>
      </c>
      <c r="I4963" s="7" t="n">
        <f aca="false">(Sens!H4946+Sens!I4946)/(Sens!H4947+Sens!I4947)</f>
        <v>0.6</v>
      </c>
      <c r="J4963" s="7" t="n">
        <f aca="false">(Sens!I4946+Sens!J4946)/(Sens!I4947+Sens!J4947)</f>
        <v>0.6</v>
      </c>
      <c r="K4963" s="7" t="n">
        <f aca="false">(Sens!J4946+Sens!K4946)/(Sens!J4947+Sens!K4947)</f>
        <v>0.6</v>
      </c>
    </row>
    <row r="4964" customFormat="false" ht="17.15" hidden="false" customHeight="false" outlineLevel="0" collapsed="false">
      <c r="A4964" s="0" t="s">
        <v>746</v>
      </c>
      <c r="B4964" s="0" t="s">
        <v>95</v>
      </c>
      <c r="D4964" s="6" t="n">
        <f aca="false">Sens!D4958-Sens!D4963*(Sens!D4960+Sens!D4962)-Sens!D4961</f>
        <v>8.35701406163072</v>
      </c>
      <c r="E4964" s="6" t="n">
        <f aca="false">Sens!E4958-Sens!E4963*(Sens!E4960+Sens!E4962)-Sens!E4961</f>
        <v>18.7103224860238</v>
      </c>
      <c r="F4964" s="6" t="n">
        <f aca="false">Sens!F4958-Sens!F4963*(Sens!F4960+Sens!F4962)-Sens!F4961</f>
        <v>39.4594407491938</v>
      </c>
      <c r="G4964" s="6" t="n">
        <f aca="false">Sens!G4958-Sens!G4963*(Sens!G4960+Sens!G4962)-Sens!G4961</f>
        <v>66.5527545578061</v>
      </c>
      <c r="H4964" s="6" t="n">
        <f aca="false">Sens!H4958-Sens!H4963*(Sens!H4960+Sens!H4962)-Sens!H4961</f>
        <v>95.219644983859</v>
      </c>
      <c r="I4964" s="6" t="n">
        <f aca="false">Sens!I4958-Sens!I4963*(Sens!I4960+Sens!I4962)-Sens!I4961</f>
        <v>124.031840462493</v>
      </c>
      <c r="J4964" s="6" t="n">
        <f aca="false">Sens!J4958-Sens!J4963*(Sens!J4960+Sens!J4962)-Sens!J4961</f>
        <v>152.919994097909</v>
      </c>
      <c r="K4964" s="6" t="n">
        <f aca="false">Sens!K4958-Sens!K4963*(Sens!K4960+Sens!K4962)-Sens!K4961</f>
        <v>181.852830263848</v>
      </c>
    </row>
    <row r="4965" customFormat="false" ht="17.15" hidden="false" customHeight="false" outlineLevel="0" collapsed="false">
      <c r="A4965" s="1" t="s">
        <v>747</v>
      </c>
      <c r="B4965" s="0" t="s">
        <v>95</v>
      </c>
      <c r="D4965" s="6" t="n">
        <f aca="false">(1-Sens!D4963)*(Sens!D4960+Sens!D4962)</f>
        <v>1.42281025374069</v>
      </c>
      <c r="E4965" s="6" t="n">
        <f aca="false">(1-Sens!E4963)*(Sens!E4960+Sens!E4962)</f>
        <v>3.25095598674472</v>
      </c>
      <c r="F4965" s="6" t="n">
        <f aca="false">(1-Sens!F4963)*(Sens!F4960+Sens!F4962)</f>
        <v>6.53293055050977</v>
      </c>
      <c r="G4965" s="6" t="n">
        <f aca="false">(1-Sens!G4963)*(Sens!G4960+Sens!G4962)</f>
        <v>10.7846311741651</v>
      </c>
      <c r="H4965" s="6" t="n">
        <f aca="false">(1-Sens!H4963)*(Sens!H4960+Sens!H4962)</f>
        <v>15.26343050201</v>
      </c>
      <c r="I4965" s="6" t="n">
        <f aca="false">(1-Sens!I4963)*(Sens!I4960+Sens!I4962)</f>
        <v>19.7545570754104</v>
      </c>
      <c r="J4965" s="6" t="n">
        <f aca="false">(1-Sens!J4963)*(Sens!J4960+Sens!J4962)</f>
        <v>24.2521277113811</v>
      </c>
      <c r="K4965" s="6" t="n">
        <f aca="false">(1-Sens!K4963)*(Sens!K4960+Sens!K4962)</f>
        <v>28.7534890794427</v>
      </c>
    </row>
    <row r="4966" customFormat="false" ht="17.15" hidden="false" customHeight="false" outlineLevel="0" collapsed="false">
      <c r="A4966" s="1" t="s">
        <v>748</v>
      </c>
      <c r="B4966" s="0" t="s">
        <v>302</v>
      </c>
      <c r="C4966" s="8" t="n">
        <f aca="false">cxit_open</f>
        <v>27.5918995</v>
      </c>
      <c r="D4966" s="8" t="n">
        <f aca="false">cxit_open</f>
        <v>27.5918995</v>
      </c>
      <c r="E4966" s="8" t="n">
        <f aca="false">cxit_open</f>
        <v>27.5918995</v>
      </c>
      <c r="F4966" s="8" t="n">
        <f aca="false">(a_g3_27*tk_cxit_gb300+(1-a_g3_27)*tk_cxit_vr200)</f>
        <v>33.8419624</v>
      </c>
      <c r="G4966" s="8" t="n">
        <f aca="false">(a_g3_28*tk_cxit_gb300+(1-a_g3_28)*tk_cxit_vr200)</f>
        <v>35.9816136</v>
      </c>
      <c r="H4966" s="8" t="n">
        <f aca="false">(a_g3_29*tk_cxit_gb300+(1-a_g3_29)*tk_cxit_vr200)</f>
        <v>37.0514392</v>
      </c>
      <c r="I4966" s="8" t="n">
        <f aca="false">(a_g3_29*tk_cxit_gb300+(1-a_g3_29)*tk_cxit_vr200)</f>
        <v>37.0514392</v>
      </c>
      <c r="J4966" s="8" t="n">
        <f aca="false">(a_g3_29*tk_cxit_gb300+(1-a_g3_29)*tk_cxit_vr200)</f>
        <v>37.0514392</v>
      </c>
      <c r="K4966" s="8" t="n">
        <f aca="false">(a_g3_29*tk_cxit_gb300+(1-a_g3_29)*tk_cxit_vr200)</f>
        <v>37.0514392</v>
      </c>
      <c r="L4966" s="11" t="s">
        <v>749</v>
      </c>
    </row>
    <row r="4967" customFormat="false" ht="17.15" hidden="false" customHeight="false" outlineLevel="0" collapsed="false">
      <c r="A4967" s="0" t="s">
        <v>750</v>
      </c>
      <c r="B4967" s="0" t="s">
        <v>340</v>
      </c>
      <c r="F4967" s="27" t="n">
        <f aca="false">Sens!C4949*IF(3=life_it,1,0)+Sens!D4949*IF(2=life_it,1,0)+Sens!E4949*IF(1=life_it,1,0)</f>
        <v>0</v>
      </c>
      <c r="G4967" s="27" t="n">
        <f aca="false">Sens!C4949*IF(4=life_it,1,0)+Sens!D4949*IF(3=life_it,1,0)+Sens!E4949*IF(2=life_it,1,0)+Sens!F4949*IF(1=life_it,1,0)</f>
        <v>0</v>
      </c>
      <c r="H4967" s="27" t="n">
        <f aca="false">Sens!C4949*IF(5=life_it,1,0)+Sens!D4949*IF(4=life_it,1,0)+Sens!E4949*IF(3=life_it,1,0)+Sens!F4949*IF(2=life_it,1,0)+Sens!G4949*IF(1=life_it,1,0)</f>
        <v>0</v>
      </c>
      <c r="I4967" s="27" t="n">
        <f aca="false">Sens!C4949*IF(6=life_it,1,0)+Sens!D4949*IF(5=life_it,1,0)+Sens!E4949*IF(4=life_it,1,0)+Sens!F4949*IF(3=life_it,1,0)+Sens!G4949*IF(2=life_it,1,0)+Sens!H4949*IF(1=life_it,1,0)</f>
        <v>816.666666666667</v>
      </c>
      <c r="J4967" s="27" t="n">
        <f aca="false">Sens!C4949*IF(7=life_it,1,0)+Sens!D4949*IF(6=life_it,1,0)+Sens!E4949*IF(5=life_it,1,0)+Sens!F4949*IF(4=life_it,1,0)+Sens!G4949*IF(3=life_it,1,0)+Sens!H4949*IF(2=life_it,1,0)+Sens!I4949*IF(1=life_it,1,0)</f>
        <v>1233.33333333333</v>
      </c>
      <c r="K4967" s="27" t="n">
        <f aca="false">Sens!C4949*IF(8=life_it,1,0)+Sens!D4949*IF(7=life_it,1,0)+Sens!E4949*IF(6=life_it,1,0)+Sens!F4949*IF(5=life_it,1,0)+Sens!G4949*IF(4=life_it,1,0)+Sens!H4949*IF(3=life_it,1,0)+Sens!I4949*IF(2=life_it,1,0)+Sens!J4949*IF(1=life_it,1,0)</f>
        <v>2450</v>
      </c>
      <c r="L4967" s="1" t="s">
        <v>751</v>
      </c>
    </row>
    <row r="4968" customFormat="false" ht="17.15" hidden="false" customHeight="false" outlineLevel="0" collapsed="false">
      <c r="A4968" s="0" t="s">
        <v>752</v>
      </c>
      <c r="B4968" s="0" t="s">
        <v>95</v>
      </c>
      <c r="C4968" s="6" t="n">
        <f aca="false">Sens!C4949*Sens!C4966/1000</f>
        <v>22.5333845916667</v>
      </c>
      <c r="D4968" s="6" t="n">
        <f aca="false">Sens!D4949*Sens!D4966/1000</f>
        <v>34.0300093833333</v>
      </c>
      <c r="E4968" s="6" t="n">
        <f aca="false">Sens!E4949*Sens!E4966/1000</f>
        <v>67.600153775</v>
      </c>
      <c r="F4968" s="6" t="n">
        <f aca="false">(Sens!F4949+Sens!F4967)*Sens!F4966/1000</f>
        <v>130.923271871467</v>
      </c>
      <c r="G4968" s="6" t="n">
        <f aca="false">(Sens!G4949+Sens!G4967)*Sens!G4966/1000</f>
        <v>151.5545564832</v>
      </c>
      <c r="H4968" s="6" t="n">
        <f aca="false">(Sens!H4949+Sens!H4967)*Sens!H4966/1000</f>
        <v>156.0606619104</v>
      </c>
      <c r="I4968" s="6" t="n">
        <f aca="false">(Sens!I4949+Sens!I4967)*Sens!I4966/1000</f>
        <v>186.319337257067</v>
      </c>
      <c r="J4968" s="6" t="n">
        <f aca="false">(Sens!J4949+Sens!J4967)*Sens!J4966/1000</f>
        <v>201.757436923733</v>
      </c>
      <c r="K4968" s="6" t="n">
        <f aca="false">(Sens!K4949+Sens!K4967)*Sens!K4966/1000</f>
        <v>246.8366879504</v>
      </c>
    </row>
    <row r="4969" customFormat="false" ht="17.15" hidden="false" customHeight="false" outlineLevel="0" collapsed="false">
      <c r="A4969" s="0" t="s">
        <v>753</v>
      </c>
      <c r="B4969" s="0" t="s">
        <v>95</v>
      </c>
      <c r="C4969" s="6" t="n">
        <f aca="false">Sens!C4949*self_build*tk_cxfac/1000</f>
        <v>6.2083</v>
      </c>
      <c r="D4969" s="6" t="n">
        <f aca="false">Sens!D4949*self_build*tk_cxfac/1000</f>
        <v>9.3758</v>
      </c>
      <c r="E4969" s="6" t="n">
        <f aca="false">Sens!E4949*self_build*tk_cxfac/1000</f>
        <v>18.6249</v>
      </c>
      <c r="F4969" s="6" t="n">
        <f aca="false">Sens!F4949*self_build*tk_cxfac/1000</f>
        <v>29.409604</v>
      </c>
      <c r="G4969" s="6" t="n">
        <f aca="false">Sens!G4949*self_build*tk_cxfac/1000</f>
        <v>32.019624</v>
      </c>
      <c r="H4969" s="6" t="n">
        <f aca="false">Sens!H4949*self_build*tk_cxfac/1000</f>
        <v>32.019624</v>
      </c>
      <c r="I4969" s="6" t="n">
        <f aca="false">Sens!I4949*self_build*tk_cxfac/1000</f>
        <v>32.019624</v>
      </c>
      <c r="J4969" s="6" t="n">
        <f aca="false">Sens!J4949*self_build*tk_cxfac/1000</f>
        <v>32.019624</v>
      </c>
      <c r="K4969" s="6" t="n">
        <f aca="false">Sens!K4949*self_build*tk_cxfac/1000</f>
        <v>32.019624</v>
      </c>
    </row>
    <row r="4970" customFormat="false" ht="17.15" hidden="false" customHeight="false" outlineLevel="0" collapsed="false">
      <c r="A4970" s="0" t="s">
        <v>754</v>
      </c>
      <c r="B4970" s="0" t="s">
        <v>95</v>
      </c>
      <c r="F4970" s="6" t="n">
        <f aca="false">MAX(0,capex_floor27-Sens!F4968-Sens!F4969-Sens!F5057)</f>
        <v>8.13777689897088</v>
      </c>
      <c r="G4970" s="6" t="n">
        <f aca="false">0</f>
        <v>0</v>
      </c>
      <c r="H4970" s="6" t="n">
        <f aca="false">0</f>
        <v>0</v>
      </c>
      <c r="I4970" s="6" t="n">
        <f aca="false">0</f>
        <v>0</v>
      </c>
      <c r="J4970" s="6" t="n">
        <f aca="false">0</f>
        <v>0</v>
      </c>
      <c r="K4970" s="6" t="n">
        <f aca="false">0</f>
        <v>0</v>
      </c>
      <c r="L4970" s="1" t="s">
        <v>755</v>
      </c>
    </row>
    <row r="4971" customFormat="false" ht="17.15" hidden="false" customHeight="false" outlineLevel="0" collapsed="false">
      <c r="A4971" s="0" t="s">
        <v>756</v>
      </c>
      <c r="B4971" s="0" t="s">
        <v>95</v>
      </c>
      <c r="C4971" s="6" t="n">
        <f aca="false">Sens!C4968</f>
        <v>22.5333845916667</v>
      </c>
      <c r="D4971" s="6" t="n">
        <f aca="false">Sens!D4968</f>
        <v>34.0300093833333</v>
      </c>
      <c r="E4971" s="6" t="n">
        <f aca="false">Sens!E4968</f>
        <v>67.600153775</v>
      </c>
      <c r="F4971" s="6" t="n">
        <f aca="false">Sens!F4968+Sens!F4970</f>
        <v>139.061048770438</v>
      </c>
      <c r="G4971" s="6" t="n">
        <f aca="false">Sens!G4968+Sens!G4970</f>
        <v>151.5545564832</v>
      </c>
      <c r="H4971" s="6" t="n">
        <f aca="false">Sens!H4968+Sens!H4970</f>
        <v>156.0606619104</v>
      </c>
      <c r="I4971" s="6" t="n">
        <f aca="false">Sens!I4968+Sens!I4970</f>
        <v>186.319337257067</v>
      </c>
      <c r="J4971" s="6" t="n">
        <f aca="false">Sens!J4968+Sens!J4970</f>
        <v>201.757436923733</v>
      </c>
      <c r="K4971" s="6" t="n">
        <f aca="false">Sens!K4968+Sens!K4970</f>
        <v>246.8366879504</v>
      </c>
    </row>
    <row r="4972" customFormat="false" ht="17.15" hidden="false" customHeight="false" outlineLevel="0" collapsed="false">
      <c r="A4972" s="0" t="s">
        <v>757</v>
      </c>
      <c r="B4972" s="0" t="s">
        <v>95</v>
      </c>
      <c r="C4972" s="6" t="n">
        <f aca="false">Sens!C4971+Sens!C4969</f>
        <v>28.7416845916667</v>
      </c>
      <c r="D4972" s="6" t="n">
        <f aca="false">Sens!D4971+Sens!D4969</f>
        <v>43.4058093833333</v>
      </c>
      <c r="E4972" s="6" t="n">
        <f aca="false">Sens!E4971+Sens!E4969</f>
        <v>86.225053775</v>
      </c>
      <c r="F4972" s="6" t="n">
        <f aca="false">Sens!F4971+Sens!F4969</f>
        <v>168.470652770438</v>
      </c>
      <c r="G4972" s="6" t="n">
        <f aca="false">Sens!G4971+Sens!G4969</f>
        <v>183.5741804832</v>
      </c>
      <c r="H4972" s="6" t="n">
        <f aca="false">Sens!H4971+Sens!H4969</f>
        <v>188.0802859104</v>
      </c>
      <c r="I4972" s="6" t="n">
        <f aca="false">Sens!I4971+Sens!I4969</f>
        <v>218.338961257067</v>
      </c>
      <c r="J4972" s="6" t="n">
        <f aca="false">Sens!J4971+Sens!J4969</f>
        <v>233.777060923733</v>
      </c>
      <c r="K4972" s="6" t="n">
        <f aca="false">Sens!K4971+Sens!K4969</f>
        <v>278.8563119504</v>
      </c>
      <c r="L4972" s="11" t="s">
        <v>758</v>
      </c>
    </row>
    <row r="4973" customFormat="false" ht="17.15" hidden="false" customHeight="false" outlineLevel="0" collapsed="false">
      <c r="A4973" s="0" t="s">
        <v>759</v>
      </c>
      <c r="B4973" s="0" t="s">
        <v>95</v>
      </c>
      <c r="E4973" s="6" t="n">
        <f aca="false">(Sens!C4971*IF(2&lt;life_it,1,IF(2=life_it,0.5,0))+Sens!D4971*IF(1&lt;life_it,1,IF(1=life_it,0.5,0))+Sens!E4971*0.5)/life_it</f>
        <v>15.0605784770833</v>
      </c>
      <c r="F4973" s="6" t="n">
        <f aca="false">(Sens!C4971*IF(3&lt;life_it,1,IF(3=life_it,0.5,0))+Sens!D4971*IF(2&lt;life_it,1,IF(2=life_it,0.5,0))+Sens!E4971*IF(1&lt;life_it,1,IF(1=life_it,0.5,0))+Sens!F4971*0.5)/life_it</f>
        <v>32.2823453558698</v>
      </c>
      <c r="G4973" s="6" t="n">
        <f aca="false">(Sens!C4971*IF(4&lt;life_it,1,IF(4=life_it,0.5,0))+Sens!D4971*IF(3&lt;life_it,1,IF(3=life_it,0.5,0))+Sens!E4971*IF(2&lt;life_it,1,IF(2=life_it,0.5,0))+Sens!F4971*IF(1&lt;life_it,1,IF(1=life_it,0.5,0))+Sens!G4971*0.5)/life_it</f>
        <v>56.5003124603396</v>
      </c>
      <c r="H4973" s="6" t="n">
        <f aca="false">(Sens!C4971*IF(5&lt;life_it,1,IF(5=life_it,0.5,0))+Sens!D4971*IF(4&lt;life_it,1,IF(4=life_it,0.5,0))+Sens!E4971*IF(3&lt;life_it,1,IF(3=life_it,0.5,0))+Sens!F4971*IF(2&lt;life_it,1,IF(2=life_it,0.5,0))+Sens!G4971*IF(1&lt;life_it,1,IF(1=life_it,0.5,0))+Sens!H4971*0.5)/life_it</f>
        <v>82.1349139931396</v>
      </c>
      <c r="I4973" s="6" t="n">
        <f aca="false">(Sens!C4971*IF(6&lt;life_it,1,IF(6=life_it,0.5,0))+Sens!D4971*IF(5&lt;life_it,1,IF(5=life_it,0.5,0))+Sens!E4971*IF(4&lt;life_it,1,IF(4=life_it,0.5,0))+Sens!F4971*IF(3&lt;life_it,1,IF(3=life_it,0.5,0))+Sens!G4971*IF(2&lt;life_it,1,IF(2=life_it,0.5,0))+Sens!H4971*IF(1&lt;life_it,1,IF(1=life_it,0.5,0))+Sens!I4971*0.5)/life_it</f>
        <v>108.788798541123</v>
      </c>
      <c r="J4973" s="6" t="n">
        <f aca="false">(Sens!C4971*IF(7&lt;life_it,1,IF(7=life_it,0.5,0))+Sens!D4971*IF(6&lt;life_it,1,IF(6=life_it,0.5,0))+Sens!E4971*IF(5&lt;life_it,1,IF(5=life_it,0.5,0))+Sens!F4971*IF(4&lt;life_it,1,IF(4=life_it,0.5,0))+Sens!G4971*IF(3&lt;life_it,1,IF(3=life_it,0.5,0))+Sens!H4971*IF(2&lt;life_it,1,IF(2=life_it,0.5,0))+Sens!I4971*IF(1&lt;life_it,1,IF(1=life_it,0.5,0))+Sens!J4971*0.5)/life_it</f>
        <v>136.414913558273</v>
      </c>
      <c r="K4973" s="6" t="n">
        <f aca="false">(Sens!C4971*IF(8&lt;life_it,1,IF(8=life_it,0.5,0))+Sens!D4971*IF(7&lt;life_it,1,IF(7=life_it,0.5,0))+Sens!E4971*IF(6&lt;life_it,1,IF(6=life_it,0.5,0))+Sens!F4971*IF(5&lt;life_it,1,IF(5=life_it,0.5,0))+Sens!G4971*IF(4&lt;life_it,1,IF(4=life_it,0.5,0))+Sens!H4971*IF(3&lt;life_it,1,IF(3=life_it,0.5,0))+Sens!I4971*IF(2&lt;life_it,1,IF(2=life_it,0.5,0))+Sens!J4971*IF(1&lt;life_it,1,IF(1=life_it,0.5,0))+Sens!K4971*0.5)/life_it</f>
        <v>165.32857703459</v>
      </c>
    </row>
    <row r="4974" customFormat="false" ht="17.15" hidden="false" customHeight="false" outlineLevel="0" collapsed="false">
      <c r="A4974" s="0" t="s">
        <v>760</v>
      </c>
      <c r="B4974" s="0" t="s">
        <v>95</v>
      </c>
      <c r="E4974" s="6" t="n">
        <f aca="false">(Sens!C4969*IF(2&lt;life_fac,1,IF(2=life_fac,0.5,0))+Sens!D4969*IF(1&lt;life_fac,1,IF(1=life_fac,0.5,0))+Sens!E4969*0.5)/life_fac</f>
        <v>1.2448275</v>
      </c>
      <c r="F4974" s="6" t="n">
        <f aca="false">(Sens!C4969*IF(3&lt;life_fac,1,IF(3=life_fac,0.5,0))+Sens!D4969*IF(2&lt;life_fac,1,IF(2=life_fac,0.5,0))+Sens!E4969*IF(1&lt;life_fac,1,IF(1=life_fac,0.5,0))+Sens!F4969*0.5)/life_fac</f>
        <v>2.4456901</v>
      </c>
      <c r="G4974" s="6" t="n">
        <f aca="false">(Sens!C4969*IF(4&lt;life_fac,1,IF(4=life_fac,0.5,0))+Sens!D4969*IF(3&lt;life_fac,1,IF(3=life_fac,0.5,0))+Sens!E4969*IF(2&lt;life_fac,1,IF(2=life_fac,0.5,0))+Sens!F4969*IF(1&lt;life_fac,1,IF(1=life_fac,0.5,0))+Sens!G4969*0.5)/life_fac</f>
        <v>3.9814208</v>
      </c>
      <c r="H4974" s="6" t="n">
        <f aca="false">(Sens!C4969*IF(5&lt;life_fac,1,IF(5=life_fac,0.5,0))+Sens!D4969*IF(4&lt;life_fac,1,IF(4=life_fac,0.5,0))+Sens!E4969*IF(3&lt;life_fac,1,IF(3=life_fac,0.5,0))+Sens!F4969*IF(2&lt;life_fac,1,IF(2=life_fac,0.5,0))+Sens!G4969*IF(1&lt;life_fac,1,IF(1=life_fac,0.5,0))+Sens!H4969*0.5)/life_fac</f>
        <v>5.582402</v>
      </c>
      <c r="I4974" s="6" t="n">
        <f aca="false">(Sens!C4969*IF(6&lt;life_fac,1,IF(6=life_fac,0.5,0))+Sens!D4969*IF(5&lt;life_fac,1,IF(5=life_fac,0.5,0))+Sens!E4969*IF(4&lt;life_fac,1,IF(4=life_fac,0.5,0))+Sens!F4969*IF(3&lt;life_fac,1,IF(3=life_fac,0.5,0))+Sens!G4969*IF(2&lt;life_fac,1,IF(2=life_fac,0.5,0))+Sens!H4969*IF(1&lt;life_fac,1,IF(1=life_fac,0.5,0))+Sens!I4969*0.5)/life_fac</f>
        <v>7.1833832</v>
      </c>
      <c r="J4974" s="6" t="n">
        <f aca="false">(Sens!C4969*IF(7&lt;life_fac,1,IF(7=life_fac,0.5,0))+Sens!D4969*IF(6&lt;life_fac,1,IF(6=life_fac,0.5,0))+Sens!E4969*IF(5&lt;life_fac,1,IF(5=life_fac,0.5,0))+Sens!F4969*IF(4&lt;life_fac,1,IF(4=life_fac,0.5,0))+Sens!G4969*IF(3&lt;life_fac,1,IF(3=life_fac,0.5,0))+Sens!H4969*IF(2&lt;life_fac,1,IF(2=life_fac,0.5,0))+Sens!I4969*IF(1&lt;life_fac,1,IF(1=life_fac,0.5,0))+Sens!J4969*0.5)/life_fac</f>
        <v>8.7843644</v>
      </c>
      <c r="K4974" s="6" t="n">
        <f aca="false">(Sens!C4969*IF(8&lt;life_fac,1,IF(8=life_fac,0.5,0))+Sens!D4969*IF(7&lt;life_fac,1,IF(7=life_fac,0.5,0))+Sens!E4969*IF(6&lt;life_fac,1,IF(6=life_fac,0.5,0))+Sens!F4969*IF(5&lt;life_fac,1,IF(5=life_fac,0.5,0))+Sens!G4969*IF(4&lt;life_fac,1,IF(4=life_fac,0.5,0))+Sens!H4969*IF(3&lt;life_fac,1,IF(3=life_fac,0.5,0))+Sens!I4969*IF(2&lt;life_fac,1,IF(2=life_fac,0.5,0))+Sens!J4969*IF(1&lt;life_fac,1,IF(1=life_fac,0.5,0))+Sens!K4969*0.5)/life_fac</f>
        <v>10.3853456</v>
      </c>
    </row>
    <row r="4975" customFormat="false" ht="17.15" hidden="false" customHeight="false" outlineLevel="0" collapsed="false">
      <c r="A4975" s="0" t="s">
        <v>761</v>
      </c>
      <c r="B4975" s="0" t="s">
        <v>95</v>
      </c>
      <c r="E4975" s="6" t="n">
        <f aca="false">Sens!E4973+Sens!E4974</f>
        <v>16.3054059770833</v>
      </c>
      <c r="F4975" s="6" t="n">
        <f aca="false">Sens!F4973+Sens!F4974</f>
        <v>34.7280354558698</v>
      </c>
      <c r="G4975" s="6" t="n">
        <f aca="false">Sens!G4973+Sens!G4974</f>
        <v>60.4817332603396</v>
      </c>
      <c r="H4975" s="6" t="n">
        <f aca="false">Sens!H4973+Sens!H4974</f>
        <v>87.7173159931396</v>
      </c>
      <c r="I4975" s="6" t="n">
        <f aca="false">Sens!I4973+Sens!I4974</f>
        <v>115.972181741123</v>
      </c>
      <c r="J4975" s="6" t="n">
        <f aca="false">Sens!J4973+Sens!J4974</f>
        <v>145.199277958273</v>
      </c>
      <c r="K4975" s="6" t="n">
        <f aca="false">Sens!K4973+Sens!K4974</f>
        <v>175.71392263459</v>
      </c>
    </row>
    <row r="4976" customFormat="false" ht="17.15" hidden="false" customHeight="false" outlineLevel="0" collapsed="false">
      <c r="A4976" s="0" t="s">
        <v>762</v>
      </c>
      <c r="B4976" s="0" t="s">
        <v>95</v>
      </c>
      <c r="E4976" s="6" t="n">
        <f aca="false">Sens!E4964-Sens!E4963*Sens!E4975</f>
        <v>8.92707889977379</v>
      </c>
      <c r="F4976" s="6" t="n">
        <f aca="false">Sens!F4964-Sens!F4963*Sens!F4975</f>
        <v>18.622619475672</v>
      </c>
      <c r="G4976" s="6" t="n">
        <f aca="false">Sens!G4964-Sens!G4963*Sens!G4975</f>
        <v>30.2637146016024</v>
      </c>
      <c r="H4976" s="6" t="n">
        <f aca="false">Sens!H4964-Sens!H4963*Sens!H4975</f>
        <v>42.5892553879752</v>
      </c>
      <c r="I4976" s="6" t="n">
        <f aca="false">Sens!I4964-Sens!I4963*Sens!I4975</f>
        <v>54.448531417819</v>
      </c>
      <c r="J4976" s="6" t="n">
        <f aca="false">Sens!J4964-Sens!J4963*Sens!J4975</f>
        <v>65.8004273229457</v>
      </c>
      <c r="K4976" s="6" t="n">
        <f aca="false">Sens!K4964-Sens!K4963*Sens!K4975</f>
        <v>76.4244766830945</v>
      </c>
    </row>
    <row r="4977" customFormat="false" ht="17.15" hidden="false" customHeight="false" outlineLevel="0" collapsed="false">
      <c r="A4977" s="3" t="s">
        <v>1255</v>
      </c>
    </row>
    <row r="4978" customFormat="false" ht="15" hidden="false" customHeight="false" outlineLevel="0" collapsed="false">
      <c r="A4978" s="4" t="s">
        <v>43</v>
      </c>
      <c r="B4978" s="4" t="s">
        <v>63</v>
      </c>
      <c r="C4978" s="19" t="s">
        <v>710</v>
      </c>
      <c r="D4978" s="19" t="s">
        <v>711</v>
      </c>
      <c r="E4978" s="19" t="s">
        <v>712</v>
      </c>
      <c r="F4978" s="19" t="s">
        <v>713</v>
      </c>
      <c r="G4978" s="19" t="s">
        <v>714</v>
      </c>
      <c r="H4978" s="19" t="s">
        <v>715</v>
      </c>
      <c r="I4978" s="19" t="s">
        <v>716</v>
      </c>
      <c r="J4978" s="19" t="s">
        <v>717</v>
      </c>
      <c r="K4978" s="19" t="s">
        <v>718</v>
      </c>
      <c r="L4978" s="4" t="s">
        <v>47</v>
      </c>
    </row>
    <row r="4979" customFormat="false" ht="17.15" hidden="false" customHeight="false" outlineLevel="0" collapsed="false">
      <c r="A4979" s="0" t="s">
        <v>780</v>
      </c>
      <c r="B4979" s="0" t="s">
        <v>95</v>
      </c>
      <c r="D4979" s="6" t="n">
        <f aca="false">Sens!D4958</f>
        <v>12.9359794422418</v>
      </c>
      <c r="E4979" s="6" t="n">
        <f aca="false">Sens!E4958</f>
        <v>27.8095064661409</v>
      </c>
      <c r="F4979" s="6" t="n">
        <f aca="false">Sens!F4958</f>
        <v>55.0640065749585</v>
      </c>
      <c r="G4979" s="6" t="n">
        <f aca="false">Sens!G4958</f>
        <v>89.4505413190538</v>
      </c>
      <c r="H4979" s="6" t="n">
        <f aca="false">Sens!H4958</f>
        <v>124.835630736874</v>
      </c>
      <c r="I4979" s="6" t="n">
        <f aca="false">Sens!I4958</f>
        <v>160.384516075608</v>
      </c>
      <c r="J4979" s="6" t="n">
        <f aca="false">Sens!J4958</f>
        <v>196.019025664981</v>
      </c>
      <c r="K4979" s="6" t="n">
        <f aca="false">Sens!K4958</f>
        <v>231.703903883012</v>
      </c>
    </row>
    <row r="4980" customFormat="false" ht="17.15" hidden="false" customHeight="false" outlineLevel="0" collapsed="false">
      <c r="A4980" s="0" t="s">
        <v>781</v>
      </c>
      <c r="B4980" s="0" t="s">
        <v>95</v>
      </c>
      <c r="D4980" s="6" t="n">
        <f aca="false">Q!L6-Sens!D4979</f>
        <v>59.6740205577583</v>
      </c>
      <c r="E4980" s="6" t="n">
        <f aca="false">Q!M6-Sens!E4979</f>
        <v>74.1284935338591</v>
      </c>
      <c r="F4980" s="6" t="n">
        <f aca="false">Sens!E4980*(1+Sens!F4981)</f>
        <v>90.0799497373663</v>
      </c>
      <c r="G4980" s="6" t="n">
        <f aca="false">Sens!F4980*(1+Sens!G4981)</f>
        <v>107.02842520331</v>
      </c>
      <c r="H4980" s="6" t="n">
        <f aca="false">Sens!G4980*(1+Sens!H4981)</f>
        <v>124.271982585636</v>
      </c>
      <c r="I4980" s="6" t="n">
        <f aca="false">Sens!H4980*(1+Sens!I4981)</f>
        <v>140.933702381855</v>
      </c>
      <c r="J4980" s="6" t="n">
        <f aca="false">Sens!I4980*(1+Sens!J4981)</f>
        <v>156.018867314332</v>
      </c>
      <c r="K4980" s="6" t="n">
        <f aca="false">Sens!J4980*(1+Sens!K4981)</f>
        <v>168.500376699478</v>
      </c>
    </row>
    <row r="4981" customFormat="false" ht="15" hidden="false" customHeight="false" outlineLevel="0" collapsed="false">
      <c r="A4981" s="1" t="s">
        <v>782</v>
      </c>
      <c r="B4981" s="0" t="s">
        <v>126</v>
      </c>
      <c r="E4981" s="7" t="n">
        <f aca="false">Sens!E4980/Sens!D4980-1</f>
        <v>0.242223883039864</v>
      </c>
      <c r="F4981" s="7" t="n">
        <f aca="false">Sens!$E$4981+(glt_azo-Sens!$E$4981)*MIN(1,1/n_conv)</f>
        <v>0.215186569199887</v>
      </c>
      <c r="G4981" s="7" t="n">
        <f aca="false">Sens!$E$4981+(glt_azo-Sens!$E$4981)*MIN(1,2/n_conv)</f>
        <v>0.18814925535991</v>
      </c>
      <c r="H4981" s="7" t="n">
        <f aca="false">Sens!$E$4981+(glt_azo-Sens!$E$4981)*MIN(1,3/n_conv)</f>
        <v>0.161111941519932</v>
      </c>
      <c r="I4981" s="7" t="n">
        <f aca="false">Sens!$E$4981+(glt_azo-Sens!$E$4981)*MIN(1,4/n_conv)</f>
        <v>0.134074627679955</v>
      </c>
      <c r="J4981" s="7" t="n">
        <f aca="false">Sens!$E$4981+(glt_azo-Sens!$E$4981)*MIN(1,5/n_conv)</f>
        <v>0.107037313839977</v>
      </c>
      <c r="K4981" s="7" t="n">
        <f aca="false">Sens!$E$4981+(glt_azo-Sens!$E$4981)*MIN(1,6/n_conv)</f>
        <v>0.08</v>
      </c>
    </row>
    <row r="4982" customFormat="false" ht="15" hidden="false" customHeight="false" outlineLevel="0" collapsed="false">
      <c r="A4982" s="0" t="s">
        <v>783</v>
      </c>
      <c r="B4982" s="0" t="s">
        <v>95</v>
      </c>
      <c r="D4982" s="6" t="n">
        <f aca="false">Sens!D4979+Sens!D4980</f>
        <v>72.61</v>
      </c>
      <c r="E4982" s="6" t="n">
        <f aca="false">Sens!E4979+Sens!E4980</f>
        <v>101.938</v>
      </c>
      <c r="F4982" s="6" t="n">
        <f aca="false">Sens!F4979+Sens!F4980</f>
        <v>145.143956312325</v>
      </c>
      <c r="G4982" s="6" t="n">
        <f aca="false">Sens!G4979+Sens!G4980</f>
        <v>196.478966522364</v>
      </c>
      <c r="H4982" s="6" t="n">
        <f aca="false">Sens!H4979+Sens!H4980</f>
        <v>249.10761332251</v>
      </c>
      <c r="I4982" s="6" t="n">
        <f aca="false">Sens!I4979+Sens!I4980</f>
        <v>301.318218457463</v>
      </c>
      <c r="J4982" s="6" t="n">
        <f aca="false">Sens!J4979+Sens!J4980</f>
        <v>352.037892979313</v>
      </c>
      <c r="K4982" s="6" t="n">
        <f aca="false">Sens!K4979+Sens!K4980</f>
        <v>400.20428058249</v>
      </c>
    </row>
    <row r="4983" customFormat="false" ht="17.15" hidden="false" customHeight="false" outlineLevel="0" collapsed="false">
      <c r="A4983" s="0" t="s">
        <v>784</v>
      </c>
      <c r="B4983" s="1" t="s">
        <v>451</v>
      </c>
      <c r="C4983" s="27" t="n">
        <f aca="false">cop_s24</f>
        <v>1</v>
      </c>
      <c r="D4983" s="27" t="n">
        <f aca="false">cop_s25</f>
        <v>5</v>
      </c>
      <c r="E4983" s="27" t="n">
        <f aca="false">cop_s26</f>
        <v>30</v>
      </c>
      <c r="F4983" s="27" t="n">
        <f aca="false">Sens!E4983+IF(2027&lt;=2029,cop_add_B*1.5,cop_add_B*1.5*cop_tail)</f>
        <v>60</v>
      </c>
      <c r="G4983" s="27" t="n">
        <f aca="false">Sens!F4983+IF(2028&lt;=2029,cop_add_B*1.5,cop_add_B*1.5*cop_tail)</f>
        <v>90</v>
      </c>
      <c r="H4983" s="27" t="n">
        <f aca="false">Sens!G4983+IF(2029&lt;=2029,cop_add_B*1.5,cop_add_B*1.5*cop_tail)</f>
        <v>120</v>
      </c>
      <c r="I4983" s="27" t="n">
        <f aca="false">Sens!H4983+IF(2030&lt;=2029,cop_add_B*1.5,cop_add_B*1.5*cop_tail)</f>
        <v>135</v>
      </c>
      <c r="J4983" s="27" t="n">
        <f aca="false">Sens!I4983+IF(2031&lt;=2029,cop_add_B*1.5,cop_add_B*1.5*cop_tail)</f>
        <v>150</v>
      </c>
      <c r="K4983" s="27" t="n">
        <f aca="false">Sens!J4983+IF(2032&lt;=2029,cop_add_B*1.5,cop_add_B*1.5*cop_tail)</f>
        <v>165</v>
      </c>
    </row>
    <row r="4984" customFormat="false" ht="17.15" hidden="false" customHeight="false" outlineLevel="0" collapsed="false">
      <c r="A4984" s="0" t="s">
        <v>785</v>
      </c>
      <c r="B4984" s="0" t="s">
        <v>95</v>
      </c>
      <c r="D4984" s="6" t="n">
        <f aca="false">(Sens!C4983+Sens!D4983)/2*cop_px*12/1000</f>
        <v>0.9</v>
      </c>
      <c r="E4984" s="6" t="n">
        <f aca="false">(Sens!D4983+Sens!E4983)/2*cop_px*12/1000</f>
        <v>5.25</v>
      </c>
      <c r="F4984" s="6" t="n">
        <f aca="false">(Sens!E4983+Sens!F4983)/2*cop_px*12/1000</f>
        <v>13.5</v>
      </c>
      <c r="G4984" s="6" t="n">
        <f aca="false">(Sens!F4983+Sens!G4983)/2*cop_px*12/1000</f>
        <v>22.5</v>
      </c>
      <c r="H4984" s="6" t="n">
        <f aca="false">(Sens!G4983+Sens!H4983)/2*cop_px*12/1000</f>
        <v>31.5</v>
      </c>
      <c r="I4984" s="6" t="n">
        <f aca="false">(Sens!H4983+Sens!I4983)/2*cop_px*12/1000</f>
        <v>38.25</v>
      </c>
      <c r="J4984" s="6" t="n">
        <f aca="false">(Sens!I4983+Sens!J4983)/2*cop_px*12/1000</f>
        <v>42.75</v>
      </c>
      <c r="K4984" s="6" t="n">
        <f aca="false">(Sens!J4983+Sens!K4983)/2*cop_px*12/1000</f>
        <v>47.25</v>
      </c>
      <c r="L4984" s="1" t="s">
        <v>786</v>
      </c>
    </row>
    <row r="4985" customFormat="false" ht="17.15" hidden="false" customHeight="false" outlineLevel="0" collapsed="false">
      <c r="A4985" s="0" t="s">
        <v>787</v>
      </c>
      <c r="B4985" s="0" t="s">
        <v>95</v>
      </c>
      <c r="D4985" s="6" t="n">
        <f aca="false">Q!L7-Sens!D4984</f>
        <v>83.705</v>
      </c>
      <c r="E4985" s="6" t="n">
        <f aca="false">Q!M7-Sens!E4984</f>
        <v>95.049</v>
      </c>
      <c r="F4985" s="6" t="n">
        <f aca="false">Sens!E4985*(1+Sens!F4986)</f>
        <v>106.89238776686</v>
      </c>
      <c r="G4985" s="6" t="n">
        <f aca="false">Sens!F4985*(1+Sens!G4986)</f>
        <v>119.044168448684</v>
      </c>
      <c r="H4985" s="6" t="n">
        <f aca="false">Sens!G4985*(1+Sens!H4986)</f>
        <v>131.277359388781</v>
      </c>
      <c r="I4985" s="6" t="n">
        <f aca="false">Sens!H4985*(1+Sens!I4986)</f>
        <v>143.334028071957</v>
      </c>
      <c r="J4985" s="6" t="n">
        <f aca="false">Sens!I4985*(1+Sens!J4986)</f>
        <v>154.932702785465</v>
      </c>
      <c r="K4985" s="6" t="n">
        <f aca="false">Sens!J4985*(1+Sens!K4986)</f>
        <v>165.777991980448</v>
      </c>
    </row>
    <row r="4986" customFormat="false" ht="15" hidden="false" customHeight="false" outlineLevel="0" collapsed="false">
      <c r="A4986" s="1" t="s">
        <v>782</v>
      </c>
      <c r="B4986" s="0" t="s">
        <v>126</v>
      </c>
      <c r="E4986" s="7" t="n">
        <f aca="false">Sens!E4985/Sens!D4985-1</f>
        <v>0.135523564900544</v>
      </c>
      <c r="F4986" s="7" t="n">
        <f aca="false">Sens!$E$4986+(glt_m365b-Sens!$E$4986)*MIN(1,1/n_conv)</f>
        <v>0.124602970750453</v>
      </c>
      <c r="G4986" s="7" t="n">
        <f aca="false">Sens!$E$4986+(glt_m365b-Sens!$E$4986)*MIN(1,2/n_conv)</f>
        <v>0.113682376600363</v>
      </c>
      <c r="H4986" s="7" t="n">
        <f aca="false">Sens!$E$4986+(glt_m365b-Sens!$E$4986)*MIN(1,3/n_conv)</f>
        <v>0.102761782450272</v>
      </c>
      <c r="I4986" s="7" t="n">
        <f aca="false">Sens!$E$4986+(glt_m365b-Sens!$E$4986)*MIN(1,4/n_conv)</f>
        <v>0.0918411883001813</v>
      </c>
      <c r="J4986" s="7" t="n">
        <f aca="false">Sens!$E$4986+(glt_m365b-Sens!$E$4986)*MIN(1,5/n_conv)</f>
        <v>0.0809205941500906</v>
      </c>
      <c r="K4986" s="7" t="n">
        <f aca="false">Sens!$E$4986+(glt_m365b-Sens!$E$4986)*MIN(1,6/n_conv)</f>
        <v>0.07</v>
      </c>
    </row>
    <row r="4987" customFormat="false" ht="15" hidden="false" customHeight="false" outlineLevel="0" collapsed="false">
      <c r="A4987" s="0" t="s">
        <v>788</v>
      </c>
      <c r="B4987" s="0" t="s">
        <v>95</v>
      </c>
      <c r="D4987" s="6" t="n">
        <f aca="false">Sens!D4985+Sens!D4984</f>
        <v>84.605</v>
      </c>
      <c r="E4987" s="6" t="n">
        <f aca="false">Sens!E4985+Sens!E4984</f>
        <v>100.299</v>
      </c>
      <c r="F4987" s="6" t="n">
        <f aca="false">Sens!F4985+Sens!F4984</f>
        <v>120.39238776686</v>
      </c>
      <c r="G4987" s="6" t="n">
        <f aca="false">Sens!G4985+Sens!G4984</f>
        <v>141.544168448684</v>
      </c>
      <c r="H4987" s="6" t="n">
        <f aca="false">Sens!H4985+Sens!H4984</f>
        <v>162.777359388781</v>
      </c>
      <c r="I4987" s="6" t="n">
        <f aca="false">Sens!I4985+Sens!I4984</f>
        <v>181.584028071957</v>
      </c>
      <c r="J4987" s="6" t="n">
        <f aca="false">Sens!J4985+Sens!J4984</f>
        <v>197.682702785465</v>
      </c>
      <c r="K4987" s="6" t="n">
        <f aca="false">Sens!K4985+Sens!K4984</f>
        <v>213.027991980448</v>
      </c>
    </row>
    <row r="4988" customFormat="false" ht="15" hidden="false" customHeight="false" outlineLevel="0" collapsed="false">
      <c r="A4988" s="0" t="s">
        <v>789</v>
      </c>
      <c r="B4988" s="0" t="s">
        <v>95</v>
      </c>
      <c r="D4988" s="6" t="n">
        <f aca="false">Q!L8</f>
        <v>35.391</v>
      </c>
      <c r="E4988" s="6" t="n">
        <f aca="false">Q!M8</f>
        <v>37.285</v>
      </c>
      <c r="F4988" s="6" t="n">
        <f aca="false">Sens!E4988*(1+Sens!F4989)</f>
        <v>39.0720834331704</v>
      </c>
      <c r="G4988" s="6" t="n">
        <f aca="false">Sens!F4988*(1+Sens!G4989)</f>
        <v>40.726562953769</v>
      </c>
      <c r="H4988" s="6" t="n">
        <f aca="false">Sens!G4988*(1+Sens!H4989)</f>
        <v>42.2235987259198</v>
      </c>
      <c r="I4988" s="6" t="n">
        <f aca="false">Sens!H4988*(1+Sens!I4989)</f>
        <v>43.5397988077414</v>
      </c>
      <c r="J4988" s="6" t="n">
        <f aca="false">Sens!I4988*(1+Sens!J4989)</f>
        <v>44.653811225693</v>
      </c>
      <c r="K4988" s="6" t="n">
        <f aca="false">Sens!J4988*(1+Sens!K4989)</f>
        <v>45.5468874502068</v>
      </c>
    </row>
    <row r="4989" customFormat="false" ht="15" hidden="false" customHeight="false" outlineLevel="0" collapsed="false">
      <c r="A4989" s="1" t="s">
        <v>782</v>
      </c>
      <c r="B4989" s="0" t="s">
        <v>126</v>
      </c>
      <c r="E4989" s="7" t="n">
        <f aca="false">Sens!E4988/Sens!D4988-1</f>
        <v>0.0535164307309768</v>
      </c>
      <c r="F4989" s="7" t="n">
        <f aca="false">Sens!$E$4989+(glt_lic-Sens!$E$4989)*MIN(1,1/n_conv)</f>
        <v>0.0479303589424807</v>
      </c>
      <c r="G4989" s="7" t="n">
        <f aca="false">Sens!$E$4989+(glt_lic-Sens!$E$4989)*MIN(1,2/n_conv)</f>
        <v>0.0423442871539845</v>
      </c>
      <c r="H4989" s="7" t="n">
        <f aca="false">Sens!$E$4989+(glt_lic-Sens!$E$4989)*MIN(1,3/n_conv)</f>
        <v>0.0367582153654884</v>
      </c>
      <c r="I4989" s="7" t="n">
        <f aca="false">Sens!$E$4989+(glt_lic-Sens!$E$4989)*MIN(1,4/n_conv)</f>
        <v>0.0311721435769923</v>
      </c>
      <c r="J4989" s="7" t="n">
        <f aca="false">Sens!$E$4989+(glt_lic-Sens!$E$4989)*MIN(1,5/n_conv)</f>
        <v>0.0255860717884961</v>
      </c>
      <c r="K4989" s="7" t="n">
        <f aca="false">Sens!$E$4989+(glt_lic-Sens!$E$4989)*MIN(1,6/n_conv)</f>
        <v>0.02</v>
      </c>
    </row>
    <row r="4990" customFormat="false" ht="15" hidden="false" customHeight="false" outlineLevel="0" collapsed="false">
      <c r="A4990" s="0" t="s">
        <v>790</v>
      </c>
      <c r="B4990" s="0" t="s">
        <v>95</v>
      </c>
      <c r="D4990" s="6" t="n">
        <f aca="false">Q!L9</f>
        <v>18.417</v>
      </c>
      <c r="E4990" s="6" t="n">
        <f aca="false">Q!M9</f>
        <v>20.345</v>
      </c>
      <c r="F4990" s="6" t="n">
        <f aca="false">Sens!E4990*(1+Sens!F4991)</f>
        <v>22.3572203267814</v>
      </c>
      <c r="G4990" s="6" t="n">
        <f aca="false">Sens!F4990*(1+Sens!G4991)</f>
        <v>24.4392124437232</v>
      </c>
      <c r="H4990" s="6" t="n">
        <f aca="false">Sens!G4990*(1+Sens!H4991)</f>
        <v>26.5738052080665</v>
      </c>
      <c r="I4990" s="6" t="n">
        <f aca="false">Sens!H4990*(1+Sens!I4991)</f>
        <v>28.7412169166967</v>
      </c>
      <c r="J4990" s="6" t="n">
        <f aca="false">Sens!I4990*(1+Sens!J4991)</f>
        <v>30.9192545395413</v>
      </c>
      <c r="K4990" s="6" t="n">
        <f aca="false">Sens!J4990*(1+Sens!K4991)</f>
        <v>33.0836023573092</v>
      </c>
    </row>
    <row r="4991" customFormat="false" ht="15" hidden="false" customHeight="false" outlineLevel="0" collapsed="false">
      <c r="A4991" s="1" t="s">
        <v>782</v>
      </c>
      <c r="B4991" s="0" t="s">
        <v>126</v>
      </c>
      <c r="E4991" s="7" t="n">
        <f aca="false">Sens!E4990/Sens!D4990-1</f>
        <v>0.104685888038225</v>
      </c>
      <c r="F4991" s="7" t="n">
        <f aca="false">Sens!$E$4991+(glt_ind-Sens!$E$4991)*MIN(1,1/n_conv)</f>
        <v>0.0989049066985211</v>
      </c>
      <c r="G4991" s="7" t="n">
        <f aca="false">Sens!$E$4991+(glt_ind-Sens!$E$4991)*MIN(1,2/n_conv)</f>
        <v>0.0931239253588169</v>
      </c>
      <c r="H4991" s="7" t="n">
        <f aca="false">Sens!$E$4991+(glt_ind-Sens!$E$4991)*MIN(1,3/n_conv)</f>
        <v>0.0873429440191127</v>
      </c>
      <c r="I4991" s="7" t="n">
        <f aca="false">Sens!$E$4991+(glt_ind-Sens!$E$4991)*MIN(1,4/n_conv)</f>
        <v>0.0815619626794085</v>
      </c>
      <c r="J4991" s="7" t="n">
        <f aca="false">Sens!$E$4991+(glt_ind-Sens!$E$4991)*MIN(1,5/n_conv)</f>
        <v>0.0757809813397042</v>
      </c>
      <c r="K4991" s="7" t="n">
        <f aca="false">Sens!$E$4991+(glt_ind-Sens!$E$4991)*MIN(1,6/n_conv)</f>
        <v>0.07</v>
      </c>
    </row>
    <row r="4992" customFormat="false" ht="15" hidden="false" customHeight="false" outlineLevel="0" collapsed="false">
      <c r="A4992" s="0" t="s">
        <v>791</v>
      </c>
      <c r="B4992" s="0" t="s">
        <v>95</v>
      </c>
      <c r="D4992" s="6" t="n">
        <f aca="false">Q!L10</f>
        <v>7.76</v>
      </c>
      <c r="E4992" s="6" t="n">
        <f aca="false">Q!M10</f>
        <v>8.26</v>
      </c>
      <c r="F4992" s="6" t="n">
        <f aca="false">Sens!E4992*(1+Sens!F4993)</f>
        <v>8.79988041237113</v>
      </c>
      <c r="G4992" s="6" t="n">
        <f aca="false">Sens!F4992*(1+Sens!G4993)</f>
        <v>9.38321269125306</v>
      </c>
      <c r="H4992" s="6" t="n">
        <f aca="false">Sens!G4992*(1+Sens!H4993)</f>
        <v>10.0139193587476</v>
      </c>
      <c r="I4992" s="6" t="n">
        <f aca="false">Sens!H4992*(1+Sens!I4993)</f>
        <v>10.6963111830911</v>
      </c>
      <c r="J4992" s="6" t="n">
        <f aca="false">Sens!I4992*(1+Sens!J4993)</f>
        <v>11.4351285534696</v>
      </c>
      <c r="K4992" s="6" t="n">
        <f aca="false">Sens!J4992*(1+Sens!K4993)</f>
        <v>12.2355875522124</v>
      </c>
    </row>
    <row r="4993" customFormat="false" ht="15" hidden="false" customHeight="false" outlineLevel="0" collapsed="false">
      <c r="A4993" s="1" t="s">
        <v>782</v>
      </c>
      <c r="B4993" s="0" t="s">
        <v>126</v>
      </c>
      <c r="E4993" s="7" t="n">
        <f aca="false">Sens!E4992/Sens!D4992-1</f>
        <v>0.0644329896907216</v>
      </c>
      <c r="F4993" s="7" t="n">
        <f aca="false">Sens!$E$4993+(glt_fro-Sens!$E$4993)*MIN(1,1/n_conv)</f>
        <v>0.065360824742268</v>
      </c>
      <c r="G4993" s="7" t="n">
        <f aca="false">Sens!$E$4993+(glt_fro-Sens!$E$4993)*MIN(1,2/n_conv)</f>
        <v>0.0662886597938144</v>
      </c>
      <c r="H4993" s="7" t="n">
        <f aca="false">Sens!$E$4993+(glt_fro-Sens!$E$4993)*MIN(1,3/n_conv)</f>
        <v>0.0672164948453608</v>
      </c>
      <c r="I4993" s="7" t="n">
        <f aca="false">Sens!$E$4993+(glt_fro-Sens!$E$4993)*MIN(1,4/n_conv)</f>
        <v>0.0681443298969072</v>
      </c>
      <c r="J4993" s="7" t="n">
        <f aca="false">Sens!$E$4993+(glt_fro-Sens!$E$4993)*MIN(1,5/n_conv)</f>
        <v>0.0690721649484536</v>
      </c>
      <c r="K4993" s="7" t="n">
        <f aca="false">Sens!$E$4993+(glt_fro-Sens!$E$4993)*MIN(1,6/n_conv)</f>
        <v>0.07</v>
      </c>
    </row>
    <row r="4994" customFormat="false" ht="15" hidden="false" customHeight="false" outlineLevel="0" collapsed="false">
      <c r="A4994" s="0" t="s">
        <v>626</v>
      </c>
      <c r="B4994" s="0" t="s">
        <v>95</v>
      </c>
      <c r="D4994" s="6" t="n">
        <f aca="false">Sens!D4982+Sens!D4987+Sens!D4988+Sens!D4990+Sens!D4992</f>
        <v>218.783</v>
      </c>
      <c r="E4994" s="6" t="n">
        <f aca="false">Sens!E4982+Sens!E4987+Sens!E4988+Sens!E4990+Sens!E4992</f>
        <v>268.127</v>
      </c>
      <c r="F4994" s="6" t="n">
        <f aca="false">Sens!F4982+Sens!F4987+Sens!F4988+Sens!F4990+Sens!F4992</f>
        <v>335.765528251508</v>
      </c>
      <c r="G4994" s="6" t="n">
        <f aca="false">Sens!G4982+Sens!G4987+Sens!G4988+Sens!G4990+Sens!G4992</f>
        <v>412.572123059793</v>
      </c>
      <c r="H4994" s="6" t="n">
        <f aca="false">Sens!H4982+Sens!H4987+Sens!H4988+Sens!H4990+Sens!H4992</f>
        <v>490.696296004025</v>
      </c>
      <c r="I4994" s="6" t="n">
        <f aca="false">Sens!I4982+Sens!I4987+Sens!I4988+Sens!I4990+Sens!I4992</f>
        <v>565.879573436949</v>
      </c>
      <c r="J4994" s="6" t="n">
        <f aca="false">Sens!J4982+Sens!J4987+Sens!J4988+Sens!J4990+Sens!J4992</f>
        <v>636.728790083482</v>
      </c>
      <c r="K4994" s="6" t="n">
        <f aca="false">Sens!K4982+Sens!K4987+Sens!K4988+Sens!K4990+Sens!K4992</f>
        <v>704.098349922667</v>
      </c>
    </row>
    <row r="4995" customFormat="false" ht="15" hidden="false" customHeight="false" outlineLevel="0" collapsed="false">
      <c r="A4995" s="0" t="s">
        <v>792</v>
      </c>
      <c r="B4995" s="0" t="s">
        <v>95</v>
      </c>
      <c r="D4995" s="6" t="n">
        <f aca="false">Q!L13</f>
        <v>22.171</v>
      </c>
      <c r="E4995" s="6" t="n">
        <f aca="false">Q!M13</f>
        <v>24.835</v>
      </c>
      <c r="F4995" s="6" t="n">
        <f aca="false">Sens!E4995*(1+Sens!F4996)</f>
        <v>27.6114901218559</v>
      </c>
      <c r="G4995" s="6" t="n">
        <f aca="false">Sens!F4995*(1+Sens!G4996)</f>
        <v>30.4675667338515</v>
      </c>
      <c r="H4995" s="6" t="n">
        <f aca="false">Sens!G4995*(1+Sens!H4996)</f>
        <v>33.3643766955789</v>
      </c>
      <c r="I4995" s="6" t="n">
        <f aca="false">Sens!H4995*(1+Sens!I4996)</f>
        <v>36.2577016533691</v>
      </c>
      <c r="J4995" s="6" t="n">
        <f aca="false">Sens!I4995*(1+Sens!J4996)</f>
        <v>39.0988367952171</v>
      </c>
      <c r="K4995" s="6" t="n">
        <f aca="false">Sens!J4995*(1+Sens!K4996)</f>
        <v>41.8357553708823</v>
      </c>
    </row>
    <row r="4996" customFormat="false" ht="15" hidden="false" customHeight="false" outlineLevel="0" collapsed="false">
      <c r="A4996" s="1" t="s">
        <v>782</v>
      </c>
      <c r="B4996" s="0" t="s">
        <v>126</v>
      </c>
      <c r="E4996" s="7" t="n">
        <f aca="false">Sens!E4995/Sens!D4995-1</f>
        <v>0.120156961796942</v>
      </c>
      <c r="F4996" s="7" t="n">
        <f aca="false">Sens!$E$4996+(glt_srch-Sens!$E$4996)*MIN(1,1/n_conv)</f>
        <v>0.111797468164118</v>
      </c>
      <c r="G4996" s="7" t="n">
        <f aca="false">Sens!$E$4996+(glt_srch-Sens!$E$4996)*MIN(1,2/n_conv)</f>
        <v>0.103437974531295</v>
      </c>
      <c r="H4996" s="7" t="n">
        <f aca="false">Sens!$E$4996+(glt_srch-Sens!$E$4996)*MIN(1,3/n_conv)</f>
        <v>0.095078480898471</v>
      </c>
      <c r="I4996" s="7" t="n">
        <f aca="false">Sens!$E$4996+(glt_srch-Sens!$E$4996)*MIN(1,4/n_conv)</f>
        <v>0.0867189872656474</v>
      </c>
      <c r="J4996" s="7" t="n">
        <f aca="false">Sens!$E$4996+(glt_srch-Sens!$E$4996)*MIN(1,5/n_conv)</f>
        <v>0.0783594936328237</v>
      </c>
      <c r="K4996" s="7" t="n">
        <f aca="false">Sens!$E$4996+(glt_srch-Sens!$E$4996)*MIN(1,6/n_conv)</f>
        <v>0.07</v>
      </c>
    </row>
    <row r="4997" customFormat="false" ht="15" hidden="false" customHeight="false" outlineLevel="0" collapsed="false">
      <c r="A4997" s="0" t="s">
        <v>793</v>
      </c>
      <c r="B4997" s="0" t="s">
        <v>95</v>
      </c>
      <c r="D4997" s="6" t="n">
        <f aca="false">Q!L14</f>
        <v>23.455</v>
      </c>
      <c r="E4997" s="6" t="n">
        <f aca="false">Q!M14</f>
        <v>21.79</v>
      </c>
      <c r="F4997" s="6" t="n">
        <f aca="false">Sens!E4997*(1+Sens!F4998)</f>
        <v>20.5736277908051</v>
      </c>
      <c r="G4997" s="6" t="n">
        <f aca="false">Sens!F4997*(1+Sens!G4998)</f>
        <v>19.7371452817919</v>
      </c>
      <c r="H4997" s="6" t="n">
        <f aca="false">Sens!G4997*(1+Sens!H4998)</f>
        <v>19.2339764043138</v>
      </c>
      <c r="I4997" s="6" t="n">
        <f aca="false">Sens!H4997*(1+Sens!I4998)</f>
        <v>19.0353086852681</v>
      </c>
      <c r="J4997" s="6" t="n">
        <f aca="false">Sens!I4997*(1+Sens!J4998)</f>
        <v>19.1273539319129</v>
      </c>
      <c r="K4997" s="6" t="n">
        <f aca="false">Sens!J4997*(1+Sens!K4998)</f>
        <v>19.5099010105511</v>
      </c>
    </row>
    <row r="4998" customFormat="false" ht="15" hidden="false" customHeight="false" outlineLevel="0" collapsed="false">
      <c r="A4998" s="1" t="s">
        <v>782</v>
      </c>
      <c r="B4998" s="0" t="s">
        <v>126</v>
      </c>
      <c r="E4998" s="7" t="n">
        <f aca="false">Sens!E4997/Sens!D4997-1</f>
        <v>-0.0709869963760392</v>
      </c>
      <c r="F4998" s="7" t="n">
        <f aca="false">Sens!$E$4998+(glt_xbox-Sens!$E$4998)*MIN(1,1/n_conv)</f>
        <v>-0.0558224969800327</v>
      </c>
      <c r="G4998" s="7" t="n">
        <f aca="false">Sens!$E$4998+(glt_xbox-Sens!$E$4998)*MIN(1,2/n_conv)</f>
        <v>-0.0406579975840262</v>
      </c>
      <c r="H4998" s="7" t="n">
        <f aca="false">Sens!$E$4998+(glt_xbox-Sens!$E$4998)*MIN(1,3/n_conv)</f>
        <v>-0.0254934981880196</v>
      </c>
      <c r="I4998" s="7" t="n">
        <f aca="false">Sens!$E$4998+(glt_xbox-Sens!$E$4998)*MIN(1,4/n_conv)</f>
        <v>-0.0103289987920131</v>
      </c>
      <c r="J4998" s="7" t="n">
        <f aca="false">Sens!$E$4998+(glt_xbox-Sens!$E$4998)*MIN(1,5/n_conv)</f>
        <v>0.00483550060399347</v>
      </c>
      <c r="K4998" s="7" t="n">
        <f aca="false">Sens!$E$4998+(glt_xbox-Sens!$E$4998)*MIN(1,6/n_conv)</f>
        <v>0.02</v>
      </c>
    </row>
    <row r="4999" customFormat="false" ht="15" hidden="false" customHeight="false" outlineLevel="0" collapsed="false">
      <c r="A4999" s="0" t="s">
        <v>794</v>
      </c>
      <c r="B4999" s="0" t="s">
        <v>95</v>
      </c>
      <c r="D4999" s="6" t="n">
        <f aca="false">Q!L15</f>
        <v>17.315</v>
      </c>
      <c r="E4999" s="6" t="n">
        <f aca="false">Q!M15</f>
        <v>17.087</v>
      </c>
      <c r="F4999" s="6" t="n">
        <f aca="false">Sens!E4999*(1+Sens!F5000)</f>
        <v>16.9564585436519</v>
      </c>
      <c r="G4999" s="6" t="n">
        <f aca="false">Sens!F4999*(1+Sens!G5000)</f>
        <v>16.9206490624268</v>
      </c>
      <c r="H4999" s="6" t="n">
        <f aca="false">Sens!G4999*(1+Sens!H5000)</f>
        <v>16.9784519149849</v>
      </c>
      <c r="I4999" s="6" t="n">
        <f aca="false">Sens!H4999*(1+Sens!I5000)</f>
        <v>17.1303084701817</v>
      </c>
      <c r="J4999" s="6" t="n">
        <f aca="false">Sens!I4999*(1+Sens!J5000)</f>
        <v>17.3782189407267</v>
      </c>
      <c r="K4999" s="6" t="n">
        <f aca="false">Sens!J4999*(1+Sens!K5000)</f>
        <v>17.7257833195413</v>
      </c>
    </row>
    <row r="5000" customFormat="false" ht="15" hidden="false" customHeight="false" outlineLevel="0" collapsed="false">
      <c r="A5000" s="1" t="s">
        <v>782</v>
      </c>
      <c r="B5000" s="0" t="s">
        <v>126</v>
      </c>
      <c r="E5000" s="7" t="n">
        <f aca="false">Sens!E4999/Sens!D4999-1</f>
        <v>-0.0131677736066995</v>
      </c>
      <c r="F5000" s="7" t="n">
        <f aca="false">Sens!$E$5000+(glt_win-Sens!$E$5000)*MIN(1,1/n_conv)</f>
        <v>-0.00763981133891627</v>
      </c>
      <c r="G5000" s="7" t="n">
        <f aca="false">Sens!$E$5000+(glt_win-Sens!$E$5000)*MIN(1,2/n_conv)</f>
        <v>-0.00211184907113301</v>
      </c>
      <c r="H5000" s="7" t="n">
        <f aca="false">Sens!$E$5000+(glt_win-Sens!$E$5000)*MIN(1,3/n_conv)</f>
        <v>0.00341611319665024</v>
      </c>
      <c r="I5000" s="7" t="n">
        <f aca="false">Sens!$E$5000+(glt_win-Sens!$E$5000)*MIN(1,4/n_conv)</f>
        <v>0.00894407546443349</v>
      </c>
      <c r="J5000" s="7" t="n">
        <f aca="false">Sens!$E$5000+(glt_win-Sens!$E$5000)*MIN(1,5/n_conv)</f>
        <v>0.0144720377322168</v>
      </c>
      <c r="K5000" s="7" t="n">
        <f aca="false">Sens!$E$5000+(glt_win-Sens!$E$5000)*MIN(1,6/n_conv)</f>
        <v>0.02</v>
      </c>
    </row>
    <row r="5001" customFormat="false" ht="15" hidden="false" customHeight="false" outlineLevel="0" collapsed="false">
      <c r="A5001" s="0" t="s">
        <v>640</v>
      </c>
      <c r="B5001" s="0" t="s">
        <v>95</v>
      </c>
      <c r="D5001" s="6" t="n">
        <f aca="false">Sens!D4995+Sens!D4997+Sens!D4999</f>
        <v>62.941</v>
      </c>
      <c r="E5001" s="6" t="n">
        <f aca="false">Sens!E4995+Sens!E4997+Sens!E4999</f>
        <v>63.712</v>
      </c>
      <c r="F5001" s="6" t="n">
        <f aca="false">Sens!F4995+Sens!F4997+Sens!F4999</f>
        <v>65.1415764563129</v>
      </c>
      <c r="G5001" s="6" t="n">
        <f aca="false">Sens!G4995+Sens!G4997+Sens!G4999</f>
        <v>67.1253610780702</v>
      </c>
      <c r="H5001" s="6" t="n">
        <f aca="false">Sens!H4995+Sens!H4997+Sens!H4999</f>
        <v>69.5768050148776</v>
      </c>
      <c r="I5001" s="6" t="n">
        <f aca="false">Sens!I4995+Sens!I4997+Sens!I4999</f>
        <v>72.4233188088189</v>
      </c>
      <c r="J5001" s="6" t="n">
        <f aca="false">Sens!J4995+Sens!J4997+Sens!J4999</f>
        <v>75.6044096678567</v>
      </c>
      <c r="K5001" s="6" t="n">
        <f aca="false">Sens!K4995+Sens!K4997+Sens!K4999</f>
        <v>79.0714397009747</v>
      </c>
    </row>
    <row r="5002" customFormat="false" ht="15" hidden="false" customHeight="false" outlineLevel="0" collapsed="false">
      <c r="A5002" s="1" t="s">
        <v>795</v>
      </c>
      <c r="B5002" s="0" t="s">
        <v>95</v>
      </c>
      <c r="D5002" s="6" t="n">
        <f aca="false">Sens!D4994+Sens!D5001</f>
        <v>281.724</v>
      </c>
      <c r="E5002" s="6" t="n">
        <f aca="false">Sens!E4994+Sens!E5001</f>
        <v>331.839</v>
      </c>
      <c r="F5002" s="6" t="n">
        <f aca="false">Sens!F4994+Sens!F5001</f>
        <v>400.907104707821</v>
      </c>
      <c r="G5002" s="6" t="n">
        <f aca="false">Sens!G4994+Sens!G5001</f>
        <v>479.697484137863</v>
      </c>
      <c r="H5002" s="6" t="n">
        <f aca="false">Sens!H4994+Sens!H5001</f>
        <v>560.273101018903</v>
      </c>
      <c r="I5002" s="6" t="n">
        <f aca="false">Sens!I4994+Sens!I5001</f>
        <v>638.302892245768</v>
      </c>
      <c r="J5002" s="6" t="n">
        <f aca="false">Sens!J4994+Sens!J5001</f>
        <v>712.333199751338</v>
      </c>
      <c r="K5002" s="6" t="n">
        <f aca="false">Sens!K4994+Sens!K5001</f>
        <v>783.169789623641</v>
      </c>
    </row>
    <row r="5003" customFormat="false" ht="15" hidden="false" customHeight="false" outlineLevel="0" collapsed="false">
      <c r="A5003" s="22" t="s">
        <v>796</v>
      </c>
      <c r="B5003" s="28" t="s">
        <v>95</v>
      </c>
      <c r="C5003" s="28"/>
      <c r="D5003" s="23" t="n">
        <f aca="false">(Sens!D4982+Sens!D4987+Sens!D4988+Sens!D4990+Sens!D4992-Sens!D4994)+(Sens!D4995+Sens!D4997+Sens!D4999-Sens!D5001)+(Sens!D4994-Q!L5)+(Sens!D5001-Q!L12)+(Sens!D4982-Q!L6)+(Sens!D4987-Q!L7)</f>
        <v>0</v>
      </c>
      <c r="E5003" s="23" t="n">
        <f aca="false">(Sens!E4982+Sens!E4987+Sens!E4988+Sens!E4990+Sens!E4992-Sens!E4994)+(Sens!E4995+Sens!E4997+Sens!E4999-Sens!E5001)+(Sens!E4994-Q!M5)+(Sens!E5001-Q!M12)+(Sens!E4982-Q!M6)+(Sens!E4987-Q!M7)</f>
        <v>0</v>
      </c>
      <c r="F5003" s="23" t="n">
        <f aca="false">(Sens!F4982+Sens!F4987+Sens!F4988+Sens!F4990+Sens!F4992-Sens!F4994)+(Sens!F4995+Sens!F4997+Sens!F4999-Sens!F5001)</f>
        <v>0</v>
      </c>
      <c r="G5003" s="23" t="n">
        <f aca="false">(Sens!G4982+Sens!G4987+Sens!G4988+Sens!G4990+Sens!G4992-Sens!G4994)+(Sens!G4995+Sens!G4997+Sens!G4999-Sens!G5001)</f>
        <v>0</v>
      </c>
      <c r="H5003" s="23" t="n">
        <f aca="false">(Sens!H4982+Sens!H4987+Sens!H4988+Sens!H4990+Sens!H4992-Sens!H4994)+(Sens!H4995+Sens!H4997+Sens!H4999-Sens!H5001)</f>
        <v>0</v>
      </c>
      <c r="I5003" s="23" t="n">
        <f aca="false">(Sens!I4982+Sens!I4987+Sens!I4988+Sens!I4990+Sens!I4992-Sens!I4994)+(Sens!I4995+Sens!I4997+Sens!I4999-Sens!I5001)</f>
        <v>0</v>
      </c>
      <c r="J5003" s="23" t="n">
        <f aca="false">(Sens!J4982+Sens!J4987+Sens!J4988+Sens!J4990+Sens!J4992-Sens!J4994)+(Sens!J4995+Sens!J4997+Sens!J4999-Sens!J5001)</f>
        <v>0</v>
      </c>
      <c r="K5003" s="23" t="n">
        <f aca="false">(Sens!K4982+Sens!K4987+Sens!K4988+Sens!K4990+Sens!K4992-Sens!K4994)+(Sens!K4995+Sens!K4997+Sens!K4999-Sens!K5001)</f>
        <v>0</v>
      </c>
    </row>
    <row r="5004" customFormat="false" ht="17.15" hidden="false" customHeight="false" outlineLevel="0" collapsed="false">
      <c r="A5004" s="3" t="s">
        <v>1256</v>
      </c>
    </row>
    <row r="5005" customFormat="false" ht="15" hidden="false" customHeight="false" outlineLevel="0" collapsed="false">
      <c r="A5005" s="4" t="s">
        <v>43</v>
      </c>
      <c r="B5005" s="4" t="s">
        <v>63</v>
      </c>
      <c r="C5005" s="19" t="s">
        <v>710</v>
      </c>
      <c r="D5005" s="19" t="s">
        <v>711</v>
      </c>
      <c r="E5005" s="19" t="s">
        <v>712</v>
      </c>
      <c r="F5005" s="19" t="s">
        <v>713</v>
      </c>
      <c r="G5005" s="19" t="s">
        <v>714</v>
      </c>
      <c r="H5005" s="19" t="s">
        <v>715</v>
      </c>
      <c r="I5005" s="19" t="s">
        <v>716</v>
      </c>
      <c r="J5005" s="19" t="s">
        <v>717</v>
      </c>
      <c r="K5005" s="19" t="s">
        <v>718</v>
      </c>
      <c r="L5005" s="4" t="s">
        <v>47</v>
      </c>
    </row>
    <row r="5006" customFormat="false" ht="15" hidden="false" customHeight="false" outlineLevel="0" collapsed="false">
      <c r="A5006" s="0" t="s">
        <v>783</v>
      </c>
      <c r="B5006" s="0" t="s">
        <v>95</v>
      </c>
      <c r="D5006" s="6" t="n">
        <f aca="false">Sens!D4982</f>
        <v>72.61</v>
      </c>
      <c r="E5006" s="6" t="n">
        <f aca="false">Sens!E4982</f>
        <v>101.938</v>
      </c>
      <c r="F5006" s="6" t="n">
        <f aca="false">Sens!F4982</f>
        <v>145.143956312325</v>
      </c>
      <c r="G5006" s="6" t="n">
        <f aca="false">Sens!G4982</f>
        <v>196.478966522364</v>
      </c>
      <c r="H5006" s="6" t="n">
        <f aca="false">Sens!H4982</f>
        <v>249.10761332251</v>
      </c>
      <c r="I5006" s="6" t="n">
        <f aca="false">Sens!I4982</f>
        <v>301.318218457463</v>
      </c>
      <c r="J5006" s="6" t="n">
        <f aca="false">Sens!J4982</f>
        <v>352.037892979313</v>
      </c>
      <c r="K5006" s="6" t="n">
        <f aca="false">Sens!K4982</f>
        <v>400.20428058249</v>
      </c>
    </row>
    <row r="5007" customFormat="false" ht="17.15" hidden="false" customHeight="false" outlineLevel="0" collapsed="false">
      <c r="A5007" s="0" t="s">
        <v>780</v>
      </c>
      <c r="B5007" s="0" t="s">
        <v>95</v>
      </c>
      <c r="D5007" s="6" t="n">
        <f aca="false">Sens!D4979</f>
        <v>12.9359794422418</v>
      </c>
      <c r="E5007" s="6" t="n">
        <f aca="false">Sens!E4979</f>
        <v>27.8095064661409</v>
      </c>
      <c r="F5007" s="6" t="n">
        <f aca="false">Sens!F4979</f>
        <v>55.0640065749585</v>
      </c>
      <c r="G5007" s="6" t="n">
        <f aca="false">Sens!G4979</f>
        <v>89.4505413190538</v>
      </c>
      <c r="H5007" s="6" t="n">
        <f aca="false">Sens!H4979</f>
        <v>124.835630736874</v>
      </c>
      <c r="I5007" s="6" t="n">
        <f aca="false">Sens!I4979</f>
        <v>160.384516075608</v>
      </c>
      <c r="J5007" s="6" t="n">
        <f aca="false">Sens!J4979</f>
        <v>196.019025664981</v>
      </c>
      <c r="K5007" s="6" t="n">
        <f aca="false">Sens!K4979</f>
        <v>231.703903883012</v>
      </c>
    </row>
    <row r="5008" customFormat="false" ht="17.15" hidden="false" customHeight="false" outlineLevel="0" collapsed="false">
      <c r="A5008" s="0" t="s">
        <v>807</v>
      </c>
      <c r="B5008" s="0" t="s">
        <v>95</v>
      </c>
      <c r="D5008" s="6" t="n">
        <f aca="false">Sens!D4980</f>
        <v>59.6740205577583</v>
      </c>
      <c r="E5008" s="6" t="n">
        <f aca="false">Sens!E4980</f>
        <v>74.1284935338591</v>
      </c>
      <c r="F5008" s="6" t="n">
        <f aca="false">Sens!F4980</f>
        <v>90.0799497373663</v>
      </c>
      <c r="G5008" s="6" t="n">
        <f aca="false">Sens!G4980</f>
        <v>107.02842520331</v>
      </c>
      <c r="H5008" s="6" t="n">
        <f aca="false">Sens!H4980</f>
        <v>124.271982585636</v>
      </c>
      <c r="I5008" s="6" t="n">
        <f aca="false">Sens!I4980</f>
        <v>140.933702381855</v>
      </c>
      <c r="J5008" s="6" t="n">
        <f aca="false">Sens!J4980</f>
        <v>156.018867314332</v>
      </c>
      <c r="K5008" s="6" t="n">
        <f aca="false">Sens!K4980</f>
        <v>168.500376699478</v>
      </c>
    </row>
    <row r="5009" customFormat="false" ht="15" hidden="false" customHeight="false" outlineLevel="0" collapsed="false">
      <c r="A5009" s="0" t="s">
        <v>788</v>
      </c>
      <c r="B5009" s="0" t="s">
        <v>95</v>
      </c>
      <c r="D5009" s="6" t="n">
        <f aca="false">Sens!D4987</f>
        <v>84.605</v>
      </c>
      <c r="E5009" s="6" t="n">
        <f aca="false">Sens!E4987</f>
        <v>100.299</v>
      </c>
      <c r="F5009" s="6" t="n">
        <f aca="false">Sens!F4987</f>
        <v>120.39238776686</v>
      </c>
      <c r="G5009" s="6" t="n">
        <f aca="false">Sens!G4987</f>
        <v>141.544168448684</v>
      </c>
      <c r="H5009" s="6" t="n">
        <f aca="false">Sens!H4987</f>
        <v>162.777359388781</v>
      </c>
      <c r="I5009" s="6" t="n">
        <f aca="false">Sens!I4987</f>
        <v>181.584028071957</v>
      </c>
      <c r="J5009" s="6" t="n">
        <f aca="false">Sens!J4987</f>
        <v>197.682702785465</v>
      </c>
      <c r="K5009" s="6" t="n">
        <f aca="false">Sens!K4987</f>
        <v>213.027991980448</v>
      </c>
    </row>
    <row r="5010" customFormat="false" ht="17.15" hidden="false" customHeight="false" outlineLevel="0" collapsed="false">
      <c r="A5010" s="0" t="s">
        <v>808</v>
      </c>
      <c r="B5010" s="0" t="s">
        <v>95</v>
      </c>
      <c r="D5010" s="6" t="n">
        <f aca="false">Sens!D4985</f>
        <v>83.705</v>
      </c>
      <c r="E5010" s="6" t="n">
        <f aca="false">Sens!E4985</f>
        <v>95.049</v>
      </c>
      <c r="F5010" s="6" t="n">
        <f aca="false">Sens!F4985</f>
        <v>106.89238776686</v>
      </c>
      <c r="G5010" s="6" t="n">
        <f aca="false">Sens!G4985</f>
        <v>119.044168448684</v>
      </c>
      <c r="H5010" s="6" t="n">
        <f aca="false">Sens!H4985</f>
        <v>131.277359388781</v>
      </c>
      <c r="I5010" s="6" t="n">
        <f aca="false">Sens!I4985</f>
        <v>143.334028071957</v>
      </c>
      <c r="J5010" s="6" t="n">
        <f aca="false">Sens!J4985</f>
        <v>154.932702785465</v>
      </c>
      <c r="K5010" s="6" t="n">
        <f aca="false">Sens!K4985</f>
        <v>165.777991980448</v>
      </c>
    </row>
    <row r="5011" customFormat="false" ht="17.15" hidden="false" customHeight="false" outlineLevel="0" collapsed="false">
      <c r="A5011" s="0" t="s">
        <v>809</v>
      </c>
      <c r="B5011" s="0" t="s">
        <v>95</v>
      </c>
      <c r="D5011" s="6" t="n">
        <f aca="false">Sens!D4984</f>
        <v>0.9</v>
      </c>
      <c r="E5011" s="6" t="n">
        <f aca="false">Sens!E4984</f>
        <v>5.25</v>
      </c>
      <c r="F5011" s="6" t="n">
        <f aca="false">Sens!F4984</f>
        <v>13.5</v>
      </c>
      <c r="G5011" s="6" t="n">
        <f aca="false">Sens!G4984</f>
        <v>22.5</v>
      </c>
      <c r="H5011" s="6" t="n">
        <f aca="false">Sens!H4984</f>
        <v>31.5</v>
      </c>
      <c r="I5011" s="6" t="n">
        <f aca="false">Sens!I4984</f>
        <v>38.25</v>
      </c>
      <c r="J5011" s="6" t="n">
        <f aca="false">Sens!J4984</f>
        <v>42.75</v>
      </c>
      <c r="K5011" s="6" t="n">
        <f aca="false">Sens!K4984</f>
        <v>47.25</v>
      </c>
    </row>
    <row r="5012" customFormat="false" ht="15" hidden="false" customHeight="false" outlineLevel="0" collapsed="false">
      <c r="A5012" s="0" t="s">
        <v>789</v>
      </c>
      <c r="B5012" s="0" t="s">
        <v>95</v>
      </c>
      <c r="D5012" s="6" t="n">
        <f aca="false">Sens!D4988</f>
        <v>35.391</v>
      </c>
      <c r="E5012" s="6" t="n">
        <f aca="false">Sens!E4988</f>
        <v>37.285</v>
      </c>
      <c r="F5012" s="6" t="n">
        <f aca="false">Sens!F4988</f>
        <v>39.0720834331704</v>
      </c>
      <c r="G5012" s="6" t="n">
        <f aca="false">Sens!G4988</f>
        <v>40.726562953769</v>
      </c>
      <c r="H5012" s="6" t="n">
        <f aca="false">Sens!H4988</f>
        <v>42.2235987259198</v>
      </c>
      <c r="I5012" s="6" t="n">
        <f aca="false">Sens!I4988</f>
        <v>43.5397988077414</v>
      </c>
      <c r="J5012" s="6" t="n">
        <f aca="false">Sens!J4988</f>
        <v>44.653811225693</v>
      </c>
      <c r="K5012" s="6" t="n">
        <f aca="false">Sens!K4988</f>
        <v>45.5468874502068</v>
      </c>
    </row>
    <row r="5013" customFormat="false" ht="15" hidden="false" customHeight="false" outlineLevel="0" collapsed="false">
      <c r="A5013" s="0" t="s">
        <v>790</v>
      </c>
      <c r="B5013" s="0" t="s">
        <v>95</v>
      </c>
      <c r="D5013" s="6" t="n">
        <f aca="false">Sens!D4990</f>
        <v>18.417</v>
      </c>
      <c r="E5013" s="6" t="n">
        <f aca="false">Sens!E4990</f>
        <v>20.345</v>
      </c>
      <c r="F5013" s="6" t="n">
        <f aca="false">Sens!F4990</f>
        <v>22.3572203267814</v>
      </c>
      <c r="G5013" s="6" t="n">
        <f aca="false">Sens!G4990</f>
        <v>24.4392124437232</v>
      </c>
      <c r="H5013" s="6" t="n">
        <f aca="false">Sens!H4990</f>
        <v>26.5738052080665</v>
      </c>
      <c r="I5013" s="6" t="n">
        <f aca="false">Sens!I4990</f>
        <v>28.7412169166967</v>
      </c>
      <c r="J5013" s="6" t="n">
        <f aca="false">Sens!J4990</f>
        <v>30.9192545395413</v>
      </c>
      <c r="K5013" s="6" t="n">
        <f aca="false">Sens!K4990</f>
        <v>33.0836023573092</v>
      </c>
    </row>
    <row r="5014" customFormat="false" ht="15" hidden="false" customHeight="false" outlineLevel="0" collapsed="false">
      <c r="A5014" s="0" t="s">
        <v>791</v>
      </c>
      <c r="B5014" s="0" t="s">
        <v>95</v>
      </c>
      <c r="D5014" s="6" t="n">
        <f aca="false">Sens!D4992</f>
        <v>7.76</v>
      </c>
      <c r="E5014" s="6" t="n">
        <f aca="false">Sens!E4992</f>
        <v>8.26</v>
      </c>
      <c r="F5014" s="6" t="n">
        <f aca="false">Sens!F4992</f>
        <v>8.79988041237113</v>
      </c>
      <c r="G5014" s="6" t="n">
        <f aca="false">Sens!G4992</f>
        <v>9.38321269125306</v>
      </c>
      <c r="H5014" s="6" t="n">
        <f aca="false">Sens!H4992</f>
        <v>10.0139193587476</v>
      </c>
      <c r="I5014" s="6" t="n">
        <f aca="false">Sens!I4992</f>
        <v>10.6963111830911</v>
      </c>
      <c r="J5014" s="6" t="n">
        <f aca="false">Sens!J4992</f>
        <v>11.4351285534696</v>
      </c>
      <c r="K5014" s="6" t="n">
        <f aca="false">Sens!K4992</f>
        <v>12.2355875522124</v>
      </c>
    </row>
    <row r="5015" customFormat="false" ht="15" hidden="false" customHeight="false" outlineLevel="0" collapsed="false">
      <c r="A5015" s="0" t="s">
        <v>626</v>
      </c>
      <c r="B5015" s="0" t="s">
        <v>95</v>
      </c>
      <c r="D5015" s="6" t="n">
        <f aca="false">Sens!D4994</f>
        <v>218.783</v>
      </c>
      <c r="E5015" s="6" t="n">
        <f aca="false">Sens!E4994</f>
        <v>268.127</v>
      </c>
      <c r="F5015" s="6" t="n">
        <f aca="false">Sens!F4994</f>
        <v>335.765528251508</v>
      </c>
      <c r="G5015" s="6" t="n">
        <f aca="false">Sens!G4994</f>
        <v>412.572123059793</v>
      </c>
      <c r="H5015" s="6" t="n">
        <f aca="false">Sens!H4994</f>
        <v>490.696296004025</v>
      </c>
      <c r="I5015" s="6" t="n">
        <f aca="false">Sens!I4994</f>
        <v>565.879573436949</v>
      </c>
      <c r="J5015" s="6" t="n">
        <f aca="false">Sens!J4994</f>
        <v>636.728790083482</v>
      </c>
      <c r="K5015" s="6" t="n">
        <f aca="false">Sens!K4994</f>
        <v>704.098349922667</v>
      </c>
    </row>
    <row r="5016" customFormat="false" ht="15" hidden="false" customHeight="false" outlineLevel="0" collapsed="false">
      <c r="A5016" s="0" t="s">
        <v>792</v>
      </c>
      <c r="B5016" s="0" t="s">
        <v>95</v>
      </c>
      <c r="D5016" s="6" t="n">
        <f aca="false">Sens!D4995</f>
        <v>22.171</v>
      </c>
      <c r="E5016" s="6" t="n">
        <f aca="false">Sens!E4995</f>
        <v>24.835</v>
      </c>
      <c r="F5016" s="6" t="n">
        <f aca="false">Sens!F4995</f>
        <v>27.6114901218559</v>
      </c>
      <c r="G5016" s="6" t="n">
        <f aca="false">Sens!G4995</f>
        <v>30.4675667338515</v>
      </c>
      <c r="H5016" s="6" t="n">
        <f aca="false">Sens!H4995</f>
        <v>33.3643766955789</v>
      </c>
      <c r="I5016" s="6" t="n">
        <f aca="false">Sens!I4995</f>
        <v>36.2577016533691</v>
      </c>
      <c r="J5016" s="6" t="n">
        <f aca="false">Sens!J4995</f>
        <v>39.0988367952171</v>
      </c>
      <c r="K5016" s="6" t="n">
        <f aca="false">Sens!K4995</f>
        <v>41.8357553708823</v>
      </c>
    </row>
    <row r="5017" customFormat="false" ht="15" hidden="false" customHeight="false" outlineLevel="0" collapsed="false">
      <c r="A5017" s="0" t="s">
        <v>793</v>
      </c>
      <c r="B5017" s="0" t="s">
        <v>95</v>
      </c>
      <c r="D5017" s="6" t="n">
        <f aca="false">Sens!D4997</f>
        <v>23.455</v>
      </c>
      <c r="E5017" s="6" t="n">
        <f aca="false">Sens!E4997</f>
        <v>21.79</v>
      </c>
      <c r="F5017" s="6" t="n">
        <f aca="false">Sens!F4997</f>
        <v>20.5736277908051</v>
      </c>
      <c r="G5017" s="6" t="n">
        <f aca="false">Sens!G4997</f>
        <v>19.7371452817919</v>
      </c>
      <c r="H5017" s="6" t="n">
        <f aca="false">Sens!H4997</f>
        <v>19.2339764043138</v>
      </c>
      <c r="I5017" s="6" t="n">
        <f aca="false">Sens!I4997</f>
        <v>19.0353086852681</v>
      </c>
      <c r="J5017" s="6" t="n">
        <f aca="false">Sens!J4997</f>
        <v>19.1273539319129</v>
      </c>
      <c r="K5017" s="6" t="n">
        <f aca="false">Sens!K4997</f>
        <v>19.5099010105511</v>
      </c>
    </row>
    <row r="5018" customFormat="false" ht="15" hidden="false" customHeight="false" outlineLevel="0" collapsed="false">
      <c r="A5018" s="0" t="s">
        <v>794</v>
      </c>
      <c r="B5018" s="0" t="s">
        <v>95</v>
      </c>
      <c r="D5018" s="6" t="n">
        <f aca="false">Sens!D4999</f>
        <v>17.315</v>
      </c>
      <c r="E5018" s="6" t="n">
        <f aca="false">Sens!E4999</f>
        <v>17.087</v>
      </c>
      <c r="F5018" s="6" t="n">
        <f aca="false">Sens!F4999</f>
        <v>16.9564585436519</v>
      </c>
      <c r="G5018" s="6" t="n">
        <f aca="false">Sens!G4999</f>
        <v>16.9206490624268</v>
      </c>
      <c r="H5018" s="6" t="n">
        <f aca="false">Sens!H4999</f>
        <v>16.9784519149849</v>
      </c>
      <c r="I5018" s="6" t="n">
        <f aca="false">Sens!I4999</f>
        <v>17.1303084701817</v>
      </c>
      <c r="J5018" s="6" t="n">
        <f aca="false">Sens!J4999</f>
        <v>17.3782189407267</v>
      </c>
      <c r="K5018" s="6" t="n">
        <f aca="false">Sens!K4999</f>
        <v>17.7257833195413</v>
      </c>
    </row>
    <row r="5019" customFormat="false" ht="15" hidden="false" customHeight="false" outlineLevel="0" collapsed="false">
      <c r="A5019" s="0" t="s">
        <v>640</v>
      </c>
      <c r="B5019" s="0" t="s">
        <v>95</v>
      </c>
      <c r="D5019" s="6" t="n">
        <f aca="false">Sens!D5001</f>
        <v>62.941</v>
      </c>
      <c r="E5019" s="6" t="n">
        <f aca="false">Sens!E5001</f>
        <v>63.712</v>
      </c>
      <c r="F5019" s="6" t="n">
        <f aca="false">Sens!F5001</f>
        <v>65.1415764563129</v>
      </c>
      <c r="G5019" s="6" t="n">
        <f aca="false">Sens!G5001</f>
        <v>67.1253610780702</v>
      </c>
      <c r="H5019" s="6" t="n">
        <f aca="false">Sens!H5001</f>
        <v>69.5768050148776</v>
      </c>
      <c r="I5019" s="6" t="n">
        <f aca="false">Sens!I5001</f>
        <v>72.4233188088189</v>
      </c>
      <c r="J5019" s="6" t="n">
        <f aca="false">Sens!J5001</f>
        <v>75.6044096678567</v>
      </c>
      <c r="K5019" s="6" t="n">
        <f aca="false">Sens!K5001</f>
        <v>79.0714397009747</v>
      </c>
    </row>
    <row r="5020" customFormat="false" ht="15" hidden="false" customHeight="false" outlineLevel="0" collapsed="false">
      <c r="A5020" s="1" t="s">
        <v>810</v>
      </c>
      <c r="B5020" s="0" t="s">
        <v>95</v>
      </c>
      <c r="D5020" s="6" t="n">
        <f aca="false">Sens!D5002</f>
        <v>281.724</v>
      </c>
      <c r="E5020" s="6" t="n">
        <f aca="false">Sens!E5002</f>
        <v>331.839</v>
      </c>
      <c r="F5020" s="6" t="n">
        <f aca="false">Sens!F5002</f>
        <v>400.907104707821</v>
      </c>
      <c r="G5020" s="6" t="n">
        <f aca="false">Sens!G5002</f>
        <v>479.697484137863</v>
      </c>
      <c r="H5020" s="6" t="n">
        <f aca="false">Sens!H5002</f>
        <v>560.273101018903</v>
      </c>
      <c r="I5020" s="6" t="n">
        <f aca="false">Sens!I5002</f>
        <v>638.302892245768</v>
      </c>
      <c r="J5020" s="6" t="n">
        <f aca="false">Sens!J5002</f>
        <v>712.333199751338</v>
      </c>
      <c r="K5020" s="6" t="n">
        <f aca="false">Sens!K5002</f>
        <v>783.169789623641</v>
      </c>
    </row>
    <row r="5021" customFormat="false" ht="15" hidden="false" customHeight="false" outlineLevel="0" collapsed="false">
      <c r="A5021" s="1" t="s">
        <v>811</v>
      </c>
      <c r="B5021" s="0" t="s">
        <v>126</v>
      </c>
      <c r="E5021" s="7" t="n">
        <f aca="false">Sens!E5020/Sens!D5020-1</f>
        <v>0.177886867998467</v>
      </c>
      <c r="F5021" s="7" t="n">
        <f aca="false">Sens!F5020/Sens!E5020-1</f>
        <v>0.208137394061037</v>
      </c>
      <c r="G5021" s="7" t="n">
        <f aca="false">Sens!G5020/Sens!F5020-1</f>
        <v>0.196530264754137</v>
      </c>
      <c r="H5021" s="7" t="n">
        <f aca="false">Sens!H5020/Sens!G5020-1</f>
        <v>0.16797173123777</v>
      </c>
      <c r="I5021" s="7" t="n">
        <f aca="false">Sens!I5020/Sens!H5020-1</f>
        <v>0.139270993172726</v>
      </c>
      <c r="J5021" s="7" t="n">
        <f aca="false">Sens!J5020/Sens!I5020-1</f>
        <v>0.115979902965982</v>
      </c>
      <c r="K5021" s="7" t="n">
        <f aca="false">Sens!K5020/Sens!J5020-1</f>
        <v>0.0994430554367405</v>
      </c>
    </row>
    <row r="5022" customFormat="false" ht="17.15" hidden="false" customHeight="false" outlineLevel="0" collapsed="false">
      <c r="A5022" s="22" t="s">
        <v>812</v>
      </c>
      <c r="B5022" s="28" t="s">
        <v>95</v>
      </c>
      <c r="C5022" s="28"/>
      <c r="D5022" s="23" t="n">
        <f aca="false">(Sens!D5015+Sens!D5019-Sens!D5020)+(Sens!D5007+Sens!D5008-Sens!D5006)+(Sens!D5010+Sens!D5011-Sens!D5009)+(Sens!D5020-Q!L18)</f>
        <v>0</v>
      </c>
      <c r="E5022" s="23" t="n">
        <f aca="false">(Sens!E5015+Sens!E5019-Sens!E5020)+(Sens!E5007+Sens!E5008-Sens!E5006)+(Sens!E5010+Sens!E5011-Sens!E5009)+(Sens!E5020-Q!M18)</f>
        <v>0</v>
      </c>
      <c r="F5022" s="23" t="n">
        <f aca="false">(Sens!F5015+Sens!F5019-Sens!F5020)+(Sens!F5007+Sens!F5008-Sens!F5006)+(Sens!F5010+Sens!F5011-Sens!F5009)</f>
        <v>0</v>
      </c>
      <c r="G5022" s="23" t="n">
        <f aca="false">(Sens!G5015+Sens!G5019-Sens!G5020)+(Sens!G5007+Sens!G5008-Sens!G5006)+(Sens!G5010+Sens!G5011-Sens!G5009)</f>
        <v>0</v>
      </c>
      <c r="H5022" s="23" t="n">
        <f aca="false">(Sens!H5015+Sens!H5019-Sens!H5020)+(Sens!H5007+Sens!H5008-Sens!H5006)+(Sens!H5010+Sens!H5011-Sens!H5009)</f>
        <v>0</v>
      </c>
      <c r="I5022" s="23" t="n">
        <f aca="false">(Sens!I5015+Sens!I5019-Sens!I5020)+(Sens!I5007+Sens!I5008-Sens!I5006)+(Sens!I5010+Sens!I5011-Sens!I5009)</f>
        <v>0</v>
      </c>
      <c r="J5022" s="23" t="n">
        <f aca="false">(Sens!J5015+Sens!J5019-Sens!J5020)+(Sens!J5007+Sens!J5008-Sens!J5006)+(Sens!J5010+Sens!J5011-Sens!J5009)</f>
        <v>0</v>
      </c>
      <c r="K5022" s="23" t="n">
        <f aca="false">(Sens!K5015+Sens!K5019-Sens!K5020)+(Sens!K5007+Sens!K5008-Sens!K5006)+(Sens!K5010+Sens!K5011-Sens!K5009)</f>
        <v>0</v>
      </c>
    </row>
    <row r="5023" customFormat="false" ht="17.15" hidden="false" customHeight="false" outlineLevel="0" collapsed="false">
      <c r="A5023" s="0" t="s">
        <v>813</v>
      </c>
      <c r="B5023" s="0" t="s">
        <v>126</v>
      </c>
      <c r="E5023" s="7" t="n">
        <f aca="false">(Q!M21+Sens!E4960+Sens!E4961+Sens!E4962+Sens!E4975-Sens!E4958)/(Q!M5-Sens!E4958)</f>
        <v>0.570957350878296</v>
      </c>
      <c r="F5023" s="7" t="n">
        <f aca="false">Sens!$E$5023+dm_seg</f>
        <v>0.570957350878296</v>
      </c>
      <c r="G5023" s="7" t="n">
        <f aca="false">Sens!$E$5023+dm_seg</f>
        <v>0.570957350878296</v>
      </c>
      <c r="H5023" s="7" t="n">
        <f aca="false">Sens!$E$5023+dm_seg</f>
        <v>0.570957350878296</v>
      </c>
      <c r="I5023" s="7" t="n">
        <f aca="false">Sens!$E$5023+dm_seg</f>
        <v>0.570957350878296</v>
      </c>
      <c r="J5023" s="7" t="n">
        <f aca="false">Sens!$E$5023+dm_seg</f>
        <v>0.570957350878296</v>
      </c>
      <c r="K5023" s="7" t="n">
        <f aca="false">Sens!$E$5023+dm_seg</f>
        <v>0.570957350878296</v>
      </c>
      <c r="L5023" s="11" t="s">
        <v>814</v>
      </c>
    </row>
    <row r="5024" customFormat="false" ht="17.15" hidden="false" customHeight="false" outlineLevel="0" collapsed="false">
      <c r="A5024" s="0" t="s">
        <v>654</v>
      </c>
      <c r="B5024" s="0" t="s">
        <v>95</v>
      </c>
      <c r="D5024" s="6" t="n">
        <f aca="false">Q!L21</f>
        <v>110.814</v>
      </c>
      <c r="E5024" s="6" t="n">
        <f aca="false">Q!M21</f>
        <v>136.365</v>
      </c>
      <c r="F5024" s="6" t="n">
        <f aca="false">Sens!F5023*(Sens!F4994-Sens!F4958)+Sens!F4958-(Sens!F4960+Sens!F4961+Sens!F4962)-Sens!F4975</f>
        <v>158.467071946763</v>
      </c>
      <c r="G5024" s="6" t="n">
        <f aca="false">Sens!G5023*(Sens!G4994-Sens!G4958)+Sens!G4958-(Sens!G4960+Sens!G4961+Sens!G4962)-Sens!G4975</f>
        <v>179.775032445599</v>
      </c>
      <c r="H5024" s="6" t="n">
        <f aca="false">Sens!H5023*(Sens!H4994-Sens!H4958)+Sens!H4958-(Sens!H4960+Sens!H4961+Sens!H4962)-Sens!H4975</f>
        <v>201.129734720213</v>
      </c>
      <c r="I5024" s="6" t="n">
        <f aca="false">Sens!I5023*(Sens!I4994-Sens!I4958)+Sens!I4958-(Sens!I4960+Sens!I4961+Sens!I4962)-Sens!I4975</f>
        <v>219.825485391233</v>
      </c>
      <c r="J5024" s="6" t="n">
        <f aca="false">Sens!J5023*(Sens!J4994-Sens!J4958)+Sens!J4958-(Sens!J4960+Sens!J4961+Sens!J4962)-Sens!J4975</f>
        <v>235.09506802684</v>
      </c>
      <c r="K5024" s="6" t="n">
        <f aca="false">Sens!K5023*(Sens!K4994-Sens!K4958)+Sens!K4958-(Sens!K4960+Sens!K4961+Sens!K4962)-Sens!K4975</f>
        <v>247.102500030237</v>
      </c>
      <c r="L5024" s="1" t="s">
        <v>815</v>
      </c>
    </row>
    <row r="5025" customFormat="false" ht="17.15" hidden="false" customHeight="false" outlineLevel="0" collapsed="false">
      <c r="A5025" s="0" t="s">
        <v>816</v>
      </c>
      <c r="B5025" s="0" t="s">
        <v>126</v>
      </c>
      <c r="E5025" s="7" t="n">
        <f aca="false">Q!M22/Q!M12</f>
        <v>0.296207935710698</v>
      </c>
      <c r="F5025" s="7" t="n">
        <f aca="false">Sens!$E$5025+dm_seg</f>
        <v>0.296207935710698</v>
      </c>
      <c r="G5025" s="7" t="n">
        <f aca="false">Sens!$E$5025+dm_seg</f>
        <v>0.296207935710698</v>
      </c>
      <c r="H5025" s="7" t="n">
        <f aca="false">Sens!$E$5025+dm_seg</f>
        <v>0.296207935710698</v>
      </c>
      <c r="I5025" s="7" t="n">
        <f aca="false">Sens!$E$5025+dm_seg</f>
        <v>0.296207935710698</v>
      </c>
      <c r="J5025" s="7" t="n">
        <f aca="false">Sens!$E$5025+dm_seg</f>
        <v>0.296207935710698</v>
      </c>
      <c r="K5025" s="7" t="n">
        <f aca="false">Sens!$E$5025+dm_seg</f>
        <v>0.296207935710698</v>
      </c>
      <c r="L5025" s="11" t="s">
        <v>817</v>
      </c>
    </row>
    <row r="5026" customFormat="false" ht="17.15" hidden="false" customHeight="false" outlineLevel="0" collapsed="false">
      <c r="A5026" s="0" t="s">
        <v>656</v>
      </c>
      <c r="B5026" s="0" t="s">
        <v>95</v>
      </c>
      <c r="D5026" s="6" t="n">
        <f aca="false">Q!L22</f>
        <v>17.714</v>
      </c>
      <c r="E5026" s="6" t="n">
        <f aca="false">Q!M22</f>
        <v>18.872</v>
      </c>
      <c r="F5026" s="6" t="n">
        <f aca="false">Sens!F5001*Sens!F5025</f>
        <v>19.2954518910651</v>
      </c>
      <c r="G5026" s="6" t="n">
        <f aca="false">Sens!G5001*Sens!G5025</f>
        <v>19.8830646387704</v>
      </c>
      <c r="H5026" s="6" t="n">
        <f aca="false">Sens!H5001*Sens!H5025</f>
        <v>20.6092017868026</v>
      </c>
      <c r="I5026" s="6" t="n">
        <f aca="false">Sens!I5001*Sens!I5025</f>
        <v>21.452361761678</v>
      </c>
      <c r="J5026" s="6" t="n">
        <f aca="false">Sens!J5001*Sens!J5025</f>
        <v>22.3946261183418</v>
      </c>
      <c r="K5026" s="6" t="n">
        <f aca="false">Sens!K5001*Sens!K5025</f>
        <v>23.4215879274986</v>
      </c>
    </row>
    <row r="5027" customFormat="false" ht="15" hidden="false" customHeight="false" outlineLevel="0" collapsed="false">
      <c r="A5027" s="1" t="s">
        <v>818</v>
      </c>
      <c r="B5027" s="0" t="s">
        <v>95</v>
      </c>
      <c r="D5027" s="6" t="n">
        <f aca="false">Sens!D5024+Sens!D5026</f>
        <v>128.528</v>
      </c>
      <c r="E5027" s="6" t="n">
        <f aca="false">Sens!E5024+Sens!E5026</f>
        <v>155.237</v>
      </c>
      <c r="F5027" s="6" t="n">
        <f aca="false">Sens!F5024+Sens!F5026</f>
        <v>177.762523837828</v>
      </c>
      <c r="G5027" s="6" t="n">
        <f aca="false">Sens!G5024+Sens!G5026</f>
        <v>199.658097084369</v>
      </c>
      <c r="H5027" s="6" t="n">
        <f aca="false">Sens!H5024+Sens!H5026</f>
        <v>221.738936507016</v>
      </c>
      <c r="I5027" s="6" t="n">
        <f aca="false">Sens!I5024+Sens!I5026</f>
        <v>241.277847152911</v>
      </c>
      <c r="J5027" s="6" t="n">
        <f aca="false">Sens!J5024+Sens!J5026</f>
        <v>257.489694145182</v>
      </c>
      <c r="K5027" s="6" t="n">
        <f aca="false">Sens!K5024+Sens!K5026</f>
        <v>270.524087957736</v>
      </c>
    </row>
    <row r="5028" customFormat="false" ht="15" hidden="false" customHeight="false" outlineLevel="0" collapsed="false">
      <c r="A5028" s="22" t="s">
        <v>819</v>
      </c>
      <c r="B5028" s="28" t="s">
        <v>95</v>
      </c>
      <c r="C5028" s="28"/>
      <c r="D5028" s="23" t="n">
        <f aca="false">Sens!D5027-Q!L23</f>
        <v>0</v>
      </c>
      <c r="E5028" s="23" t="n">
        <f aca="false">Sens!E5027-Q!M23</f>
        <v>0</v>
      </c>
      <c r="F5028" s="28"/>
      <c r="G5028" s="28"/>
      <c r="H5028" s="28"/>
      <c r="I5028" s="28"/>
      <c r="J5028" s="28"/>
      <c r="K5028" s="28"/>
    </row>
    <row r="5029" customFormat="false" ht="15" hidden="false" customHeight="false" outlineLevel="0" collapsed="false">
      <c r="A5029" s="1" t="s">
        <v>820</v>
      </c>
      <c r="B5029" s="0" t="s">
        <v>126</v>
      </c>
      <c r="D5029" s="7" t="n">
        <f aca="false">Sens!D5027/Sens!D5020</f>
        <v>0.456219562408598</v>
      </c>
      <c r="E5029" s="7" t="n">
        <f aca="false">Sens!E5027/Sens!E5020</f>
        <v>0.467808184089272</v>
      </c>
      <c r="F5029" s="7" t="n">
        <f aca="false">Sens!F5027/Sens!F5020</f>
        <v>0.443400782251991</v>
      </c>
      <c r="G5029" s="7" t="n">
        <f aca="false">Sens!G5027/Sens!G5020</f>
        <v>0.416216685904044</v>
      </c>
      <c r="H5029" s="7" t="n">
        <f aca="false">Sens!H5027/Sens!H5020</f>
        <v>0.395769377654871</v>
      </c>
      <c r="I5029" s="7" t="n">
        <f aca="false">Sens!I5027/Sens!I5020</f>
        <v>0.377998987759578</v>
      </c>
      <c r="J5029" s="7" t="n">
        <f aca="false">Sens!J5027/Sens!J5020</f>
        <v>0.361473667428483</v>
      </c>
      <c r="K5029" s="7" t="n">
        <f aca="false">Sens!K5027/Sens!K5020</f>
        <v>0.345422016454106</v>
      </c>
    </row>
    <row r="5030" customFormat="false" ht="17.15" hidden="false" customHeight="false" outlineLevel="0" collapsed="false">
      <c r="A5030" s="1" t="s">
        <v>821</v>
      </c>
      <c r="B5030" s="0" t="s">
        <v>95</v>
      </c>
      <c r="E5030" s="6" t="n">
        <f aca="false">Sens!E4975</f>
        <v>16.3054059770833</v>
      </c>
      <c r="F5030" s="6" t="n">
        <f aca="false">Sens!F4975</f>
        <v>34.7280354558698</v>
      </c>
      <c r="G5030" s="6" t="n">
        <f aca="false">Sens!G4975</f>
        <v>60.4817332603396</v>
      </c>
      <c r="H5030" s="6" t="n">
        <f aca="false">Sens!H4975</f>
        <v>87.7173159931396</v>
      </c>
      <c r="I5030" s="6" t="n">
        <f aca="false">Sens!I4975</f>
        <v>115.972181741123</v>
      </c>
      <c r="J5030" s="6" t="n">
        <f aca="false">Sens!J4975</f>
        <v>145.199277958273</v>
      </c>
      <c r="K5030" s="6" t="n">
        <f aca="false">Sens!K4975</f>
        <v>175.71392263459</v>
      </c>
    </row>
    <row r="5031" customFormat="false" ht="17.15" hidden="false" customHeight="false" outlineLevel="0" collapsed="false">
      <c r="A5031" s="1" t="s">
        <v>822</v>
      </c>
      <c r="B5031" s="0" t="s">
        <v>95</v>
      </c>
      <c r="E5031" s="6" t="n">
        <f aca="false">Sens!E5051</f>
        <v>22.2285940229167</v>
      </c>
      <c r="F5031" s="6" t="n">
        <f aca="false">Sens!F5051</f>
        <v>23.5786693435813</v>
      </c>
      <c r="G5031" s="6" t="n">
        <f aca="false">Sens!G5051</f>
        <v>25.3810917662621</v>
      </c>
      <c r="H5031" s="6" t="n">
        <f aca="false">Sens!H5051</f>
        <v>27.5991339540448</v>
      </c>
      <c r="I5031" s="6" t="n">
        <f aca="false">Sens!I5051</f>
        <v>30.1565605898047</v>
      </c>
      <c r="J5031" s="6" t="n">
        <f aca="false">Sens!J5051</f>
        <v>32.9614958558616</v>
      </c>
      <c r="K5031" s="6" t="n">
        <f aca="false">Sens!K5051</f>
        <v>35.9297165444749</v>
      </c>
    </row>
    <row r="5032" customFormat="false" ht="17.15" hidden="false" customHeight="false" outlineLevel="0" collapsed="false">
      <c r="A5032" s="1" t="s">
        <v>823</v>
      </c>
      <c r="B5032" s="0" t="s">
        <v>95</v>
      </c>
      <c r="D5032" s="6" t="n">
        <f aca="false">Q!L27</f>
        <v>-4.901</v>
      </c>
      <c r="E5032" s="6" t="n">
        <f aca="false">Q!M27</f>
        <v>10.697</v>
      </c>
      <c r="F5032" s="6" t="n">
        <f aca="false">oie_f</f>
        <v>-0.4</v>
      </c>
      <c r="G5032" s="6" t="n">
        <f aca="false">oie_f</f>
        <v>-0.4</v>
      </c>
      <c r="H5032" s="6" t="n">
        <f aca="false">oie_f</f>
        <v>-0.4</v>
      </c>
      <c r="I5032" s="6" t="n">
        <f aca="false">oie_f</f>
        <v>-0.4</v>
      </c>
      <c r="J5032" s="6" t="n">
        <f aca="false">oie_f</f>
        <v>-0.4</v>
      </c>
      <c r="K5032" s="6" t="n">
        <f aca="false">oie_f</f>
        <v>-0.4</v>
      </c>
      <c r="L5032" s="11" t="s">
        <v>824</v>
      </c>
    </row>
    <row r="5033" customFormat="false" ht="15" hidden="false" customHeight="false" outlineLevel="0" collapsed="false">
      <c r="A5033" s="1" t="s">
        <v>666</v>
      </c>
      <c r="B5033" s="0" t="s">
        <v>95</v>
      </c>
      <c r="D5033" s="6" t="n">
        <f aca="false">Sens!D5027+Sens!D5032</f>
        <v>123.627</v>
      </c>
      <c r="E5033" s="6" t="n">
        <f aca="false">Sens!E5027+Sens!E5032</f>
        <v>165.934</v>
      </c>
      <c r="F5033" s="6" t="n">
        <f aca="false">Sens!F5027+Sens!F5032</f>
        <v>177.362523837828</v>
      </c>
      <c r="G5033" s="6" t="n">
        <f aca="false">Sens!G5027+Sens!G5032</f>
        <v>199.258097084369</v>
      </c>
      <c r="H5033" s="6" t="n">
        <f aca="false">Sens!H5027+Sens!H5032</f>
        <v>221.338936507016</v>
      </c>
      <c r="I5033" s="6" t="n">
        <f aca="false">Sens!I5027+Sens!I5032</f>
        <v>240.877847152911</v>
      </c>
      <c r="J5033" s="6" t="n">
        <f aca="false">Sens!J5027+Sens!J5032</f>
        <v>257.089694145182</v>
      </c>
      <c r="K5033" s="6" t="n">
        <f aca="false">Sens!K5027+Sens!K5032</f>
        <v>270.124087957736</v>
      </c>
    </row>
    <row r="5034" customFormat="false" ht="15" hidden="false" customHeight="false" outlineLevel="0" collapsed="false">
      <c r="A5034" s="1" t="s">
        <v>668</v>
      </c>
      <c r="B5034" s="0" t="s">
        <v>95</v>
      </c>
      <c r="D5034" s="6" t="n">
        <f aca="false">Q!L29</f>
        <v>21.795</v>
      </c>
      <c r="E5034" s="6" t="n">
        <f aca="false">Q!M29</f>
        <v>32.185</v>
      </c>
      <c r="F5034" s="6" t="n">
        <f aca="false">Sens!F5033*tax_f</f>
        <v>35.4725047675657</v>
      </c>
      <c r="G5034" s="6" t="n">
        <f aca="false">Sens!G5033*tax_f</f>
        <v>39.8516194168738</v>
      </c>
      <c r="H5034" s="6" t="n">
        <f aca="false">Sens!H5033*tax_f</f>
        <v>44.2677873014031</v>
      </c>
      <c r="I5034" s="6" t="n">
        <f aca="false">Sens!I5033*tax_f</f>
        <v>48.1755694305823</v>
      </c>
      <c r="J5034" s="6" t="n">
        <f aca="false">Sens!J5033*tax_f</f>
        <v>51.4179388290365</v>
      </c>
      <c r="K5034" s="6" t="n">
        <f aca="false">Sens!K5033*tax_f</f>
        <v>54.0248175915472</v>
      </c>
    </row>
    <row r="5035" customFormat="false" ht="15" hidden="false" customHeight="false" outlineLevel="0" collapsed="false">
      <c r="A5035" s="1" t="s">
        <v>825</v>
      </c>
      <c r="B5035" s="0" t="s">
        <v>95</v>
      </c>
      <c r="D5035" s="6" t="n">
        <f aca="false">Sens!D5033-Sens!D5034</f>
        <v>101.832</v>
      </c>
      <c r="E5035" s="6" t="n">
        <f aca="false">Sens!E5033-Sens!E5034</f>
        <v>133.749</v>
      </c>
      <c r="F5035" s="6" t="n">
        <f aca="false">Sens!F5033-Sens!F5034</f>
        <v>141.890019070263</v>
      </c>
      <c r="G5035" s="6" t="n">
        <f aca="false">Sens!G5033-Sens!G5034</f>
        <v>159.406477667495</v>
      </c>
      <c r="H5035" s="6" t="n">
        <f aca="false">Sens!H5033-Sens!H5034</f>
        <v>177.071149205612</v>
      </c>
      <c r="I5035" s="6" t="n">
        <f aca="false">Sens!I5033-Sens!I5034</f>
        <v>192.702277722329</v>
      </c>
      <c r="J5035" s="6" t="n">
        <f aca="false">Sens!J5033-Sens!J5034</f>
        <v>205.671755316146</v>
      </c>
      <c r="K5035" s="6" t="n">
        <f aca="false">Sens!K5033-Sens!K5034</f>
        <v>216.099270366189</v>
      </c>
    </row>
    <row r="5036" customFormat="false" ht="17.15" hidden="false" customHeight="false" outlineLevel="0" collapsed="false">
      <c r="A5036" s="1" t="s">
        <v>826</v>
      </c>
      <c r="B5036" s="1" t="s">
        <v>79</v>
      </c>
      <c r="D5036" s="18" t="n">
        <f aca="false">Q!L31</f>
        <v>7.465</v>
      </c>
      <c r="E5036" s="18" t="n">
        <f aca="false">Q!M31</f>
        <v>7.453</v>
      </c>
      <c r="F5036" s="18" t="n">
        <f aca="false">Sens!F5073</f>
        <v>7.4735</v>
      </c>
      <c r="G5036" s="18" t="n">
        <f aca="false">Sens!G5073</f>
        <v>7.51643138853655</v>
      </c>
      <c r="H5036" s="18" t="n">
        <f aca="false">Sens!H5073</f>
        <v>7.54211436292304</v>
      </c>
      <c r="I5036" s="18" t="n">
        <f aca="false">Sens!I5073</f>
        <v>7.55389519493035</v>
      </c>
      <c r="J5036" s="18" t="n">
        <f aca="false">Sens!J5073</f>
        <v>7.56813670604824</v>
      </c>
      <c r="K5036" s="18" t="n">
        <f aca="false">Sens!K5073</f>
        <v>7.58465662374998</v>
      </c>
    </row>
    <row r="5037" customFormat="false" ht="17.15" hidden="false" customHeight="false" outlineLevel="0" collapsed="false">
      <c r="A5037" s="0" t="s">
        <v>827</v>
      </c>
      <c r="B5037" s="0" t="s">
        <v>73</v>
      </c>
      <c r="D5037" s="8" t="n">
        <f aca="false">Sens!D5035/Sens!D5036</f>
        <v>13.641259209645</v>
      </c>
      <c r="E5037" s="8" t="n">
        <f aca="false">Sens!E5035/Sens!E5036</f>
        <v>17.9456594659869</v>
      </c>
      <c r="F5037" s="8" t="n">
        <f aca="false">Sens!F5035/Sens!F5036</f>
        <v>18.9857522004767</v>
      </c>
      <c r="G5037" s="8" t="n">
        <f aca="false">Sens!G5035/Sens!G5036</f>
        <v>21.2077340199778</v>
      </c>
      <c r="H5037" s="8" t="n">
        <f aca="false">Sens!H5035/Sens!H5036</f>
        <v>23.4776537035944</v>
      </c>
      <c r="I5037" s="8" t="n">
        <f aca="false">Sens!I5035/Sens!I5036</f>
        <v>25.5103192127497</v>
      </c>
      <c r="J5037" s="8" t="n">
        <f aca="false">Sens!J5035/Sens!J5036</f>
        <v>27.1760095390162</v>
      </c>
      <c r="K5037" s="8" t="n">
        <f aca="false">Sens!K5035/Sens!K5036</f>
        <v>28.4916352955931</v>
      </c>
      <c r="L5037" s="1" t="s">
        <v>828</v>
      </c>
    </row>
    <row r="5038" customFormat="false" ht="17.15" hidden="false" customHeight="false" outlineLevel="0" collapsed="false">
      <c r="A5038" s="0" t="s">
        <v>829</v>
      </c>
      <c r="B5038" s="0" t="s">
        <v>126</v>
      </c>
      <c r="E5038" s="7" t="n">
        <f aca="false">Sens!E5037/Sens!D5037-1</f>
        <v>0.315542736208578</v>
      </c>
      <c r="F5038" s="7" t="n">
        <f aca="false">Sens!F5037/Sens!E5037-1</f>
        <v>0.0579578998732919</v>
      </c>
      <c r="G5038" s="7" t="n">
        <f aca="false">Sens!G5037/Sens!F5037-1</f>
        <v>0.117034173628646</v>
      </c>
      <c r="H5038" s="7" t="n">
        <f aca="false">Sens!H5037/Sens!G5037-1</f>
        <v>0.107032636371162</v>
      </c>
      <c r="I5038" s="7" t="n">
        <f aca="false">Sens!I5037/Sens!H5037-1</f>
        <v>0.0865787329014098</v>
      </c>
      <c r="J5038" s="7" t="n">
        <f aca="false">Sens!J5037/Sens!I5037-1</f>
        <v>0.0652947661052432</v>
      </c>
      <c r="K5038" s="7" t="n">
        <f aca="false">Sens!K5037/Sens!J5037-1</f>
        <v>0.0484112928606388</v>
      </c>
    </row>
    <row r="5039" customFormat="false" ht="17.15" hidden="false" customHeight="false" outlineLevel="0" collapsed="false">
      <c r="A5039" s="0" t="s">
        <v>763</v>
      </c>
      <c r="B5039" s="0" t="s">
        <v>95</v>
      </c>
      <c r="E5039" s="6" t="n">
        <f aca="false">Sens!E4984</f>
        <v>5.25</v>
      </c>
      <c r="F5039" s="6" t="n">
        <f aca="false">Sens!F4984</f>
        <v>13.5</v>
      </c>
      <c r="G5039" s="6" t="n">
        <f aca="false">Sens!G4984</f>
        <v>22.5</v>
      </c>
      <c r="H5039" s="6" t="n">
        <f aca="false">Sens!H4984</f>
        <v>31.5</v>
      </c>
      <c r="I5039" s="6" t="n">
        <f aca="false">Sens!I4984</f>
        <v>38.25</v>
      </c>
      <c r="J5039" s="6" t="n">
        <f aca="false">Sens!J4984</f>
        <v>42.75</v>
      </c>
      <c r="K5039" s="6" t="n">
        <f aca="false">Sens!K4984</f>
        <v>47.25</v>
      </c>
    </row>
    <row r="5040" customFormat="false" ht="17.15" hidden="false" customHeight="false" outlineLevel="0" collapsed="false">
      <c r="A5040" s="0" t="s">
        <v>764</v>
      </c>
      <c r="B5040" s="0" t="s">
        <v>95</v>
      </c>
      <c r="E5040" s="6" t="n">
        <f aca="false">Sens!E4964+Sens!E5039*Sens!E5023-Sens!E4965-Sens!E4975</f>
        <v>2.1514866143068</v>
      </c>
      <c r="F5040" s="6" t="n">
        <f aca="false">Sens!F4964+Sens!F5039*Sens!F5023-Sens!F4965-Sens!F4975</f>
        <v>5.90639897967128</v>
      </c>
      <c r="G5040" s="6" t="n">
        <f aca="false">Sens!G4964+Sens!G5039*Sens!G5023-Sens!G4965-Sens!G4975</f>
        <v>8.13293051806305</v>
      </c>
      <c r="H5040" s="6" t="n">
        <f aca="false">Sens!H4964+Sens!H5039*Sens!H5023-Sens!H4965-Sens!H4975</f>
        <v>10.2240550413757</v>
      </c>
      <c r="I5040" s="6" t="n">
        <f aca="false">Sens!I4964+Sens!I5039*Sens!I5023-Sens!I4965-Sens!I4975</f>
        <v>10.1442203170543</v>
      </c>
      <c r="J5040" s="6" t="n">
        <f aca="false">Sens!J4964+Sens!J5039*Sens!J5023-Sens!J4965-Sens!J4975</f>
        <v>7.87701517830263</v>
      </c>
      <c r="K5040" s="6" t="n">
        <f aca="false">Sens!K4964+Sens!K5039*Sens!K5023-Sens!K4965-Sens!K4975</f>
        <v>4.36315337881544</v>
      </c>
    </row>
    <row r="5041" customFormat="false" ht="17.15" hidden="false" customHeight="false" outlineLevel="0" collapsed="false">
      <c r="A5041" s="0" t="s">
        <v>765</v>
      </c>
      <c r="B5041" s="0" t="s">
        <v>95</v>
      </c>
      <c r="E5041" s="6" t="n">
        <f aca="false">Sens!E4947*(cxit_open+self_build*tk_cxfac)/1000*ai_net_open</f>
        <v>126.6980382</v>
      </c>
      <c r="F5041" s="6" t="n">
        <f aca="false">Sens!E5041+Sens!F4972-Sens!F4975</f>
        <v>260.440655514568</v>
      </c>
      <c r="G5041" s="6" t="n">
        <f aca="false">Sens!F5041+Sens!G4972-Sens!G4975</f>
        <v>383.533102737428</v>
      </c>
      <c r="H5041" s="6" t="n">
        <f aca="false">Sens!G5041+Sens!H4972-Sens!H4975</f>
        <v>483.896072654688</v>
      </c>
      <c r="I5041" s="6" t="n">
        <f aca="false">Sens!H5041+Sens!I4972-Sens!I4975</f>
        <v>586.262852170632</v>
      </c>
      <c r="J5041" s="6" t="n">
        <f aca="false">Sens!I5041+Sens!J4972-Sens!J4975</f>
        <v>674.840635136093</v>
      </c>
      <c r="K5041" s="6" t="n">
        <f aca="false">Sens!J5041+Sens!K4972-Sens!K4975</f>
        <v>777.983024451903</v>
      </c>
      <c r="L5041" s="1" t="s">
        <v>766</v>
      </c>
    </row>
    <row r="5042" customFormat="false" ht="17.15" hidden="false" customHeight="false" outlineLevel="0" collapsed="false">
      <c r="A5042" s="0" t="s">
        <v>767</v>
      </c>
      <c r="B5042" s="0" t="s">
        <v>126</v>
      </c>
      <c r="F5042" s="7" t="n">
        <f aca="false">Sens!F5040*(1-tax_f)/((Sens!E5041+Sens!F5041)/2)</f>
        <v>0.0244104723214301</v>
      </c>
      <c r="G5042" s="7" t="n">
        <f aca="false">Sens!G5040*(1-tax_f)/((Sens!F5041+Sens!G5041)/2)</f>
        <v>0.0202068619445341</v>
      </c>
      <c r="H5042" s="7" t="n">
        <f aca="false">Sens!H5040*(1-tax_f)/((Sens!G5041+Sens!H5041)/2)</f>
        <v>0.0188585864186622</v>
      </c>
      <c r="I5042" s="7" t="n">
        <f aca="false">Sens!I5040*(1-tax_f)/((Sens!H5041+Sens!I5041)/2)</f>
        <v>0.0151666749029227</v>
      </c>
      <c r="J5042" s="7" t="n">
        <f aca="false">Sens!J5040*(1-tax_f)/((Sens!I5041+Sens!J5041)/2)</f>
        <v>0.00999380654493334</v>
      </c>
      <c r="K5042" s="7" t="n">
        <f aca="false">Sens!K5040*(1-tax_f)/((Sens!J5041+Sens!K5041)/2)</f>
        <v>0.00480515674427029</v>
      </c>
    </row>
    <row r="5043" customFormat="false" ht="17.15" hidden="false" customHeight="false" outlineLevel="0" collapsed="false">
      <c r="A5043" s="1" t="s">
        <v>768</v>
      </c>
      <c r="B5043" s="0" t="s">
        <v>126</v>
      </c>
      <c r="F5043" s="7" t="n">
        <f aca="false">Sens!F4976*(1-tax_f)/(Sens!F4963*(Sens!E5041+Sens!F5041)/2)</f>
        <v>0.128275265190634</v>
      </c>
      <c r="G5043" s="7" t="n">
        <f aca="false">Sens!G4976*(1-tax_f)/(Sens!G4963*(Sens!F5041+Sens!G5041)/2)</f>
        <v>0.125320694987118</v>
      </c>
      <c r="H5043" s="7" t="n">
        <f aca="false">Sens!H4976*(1-tax_f)/(Sens!H4963*(Sens!G5041+Sens!H5041)/2)</f>
        <v>0.130928669363614</v>
      </c>
      <c r="I5043" s="7" t="n">
        <f aca="false">Sens!I4976*(1-tax_f)/(Sens!I4963*(Sens!H5041+Sens!I5041)/2)</f>
        <v>0.135677122726936</v>
      </c>
      <c r="J5043" s="7" t="n">
        <f aca="false">Sens!J4976*(1-tax_f)/(Sens!J4963*(Sens!I5041+Sens!J5041)/2)</f>
        <v>0.139138308600874</v>
      </c>
      <c r="K5043" s="7" t="n">
        <f aca="false">Sens!K4976*(1-tax_f)/(Sens!K4963*(Sens!J5041+Sens!K5041)/2)</f>
        <v>0.140277591945362</v>
      </c>
    </row>
    <row r="5044" customFormat="false" ht="17.15" hidden="false" customHeight="false" outlineLevel="0" collapsed="false">
      <c r="A5044" s="0" t="s">
        <v>769</v>
      </c>
      <c r="B5044" s="0" t="s">
        <v>208</v>
      </c>
      <c r="F5044" s="7" t="n">
        <f aca="false">Sens!F5042-wacc</f>
        <v>-0.0845527488288239</v>
      </c>
      <c r="G5044" s="7" t="n">
        <f aca="false">Sens!G5042-wacc</f>
        <v>-0.0887563592057198</v>
      </c>
      <c r="H5044" s="7" t="n">
        <f aca="false">Sens!H5042-wacc</f>
        <v>-0.0901046347315917</v>
      </c>
      <c r="I5044" s="7" t="n">
        <f aca="false">Sens!I5042-wacc</f>
        <v>-0.0937965462473313</v>
      </c>
      <c r="J5044" s="7" t="n">
        <f aca="false">Sens!J5042-wacc</f>
        <v>-0.0989694146053206</v>
      </c>
      <c r="K5044" s="7" t="n">
        <f aca="false">Sens!K5042-wacc</f>
        <v>-0.104158064405984</v>
      </c>
    </row>
    <row r="5045" customFormat="false" ht="17.15" hidden="false" customHeight="false" outlineLevel="0" collapsed="false">
      <c r="A5045" s="0" t="s">
        <v>770</v>
      </c>
      <c r="B5045" s="0" t="s">
        <v>95</v>
      </c>
      <c r="F5045" s="6" t="n">
        <f aca="false">Sens!F5040*(1-tax_f)-wacc*(Sens!E5041+Sens!F5041)/2</f>
        <v>-16.3668203657834</v>
      </c>
      <c r="G5045" s="6" t="n">
        <f aca="false">Sens!G5040*(1-tax_f)-wacc*(Sens!F5041+Sens!G5041)/2</f>
        <v>-28.5783831032358</v>
      </c>
      <c r="H5045" s="6" t="n">
        <f aca="false">Sens!H5040*(1-tax_f)-wacc*(Sens!G5041+Sens!H5041)/2</f>
        <v>-39.0796945021162</v>
      </c>
      <c r="I5045" s="6" t="n">
        <f aca="false">Sens!I5040*(1-tax_f)-wacc*(Sens!H5041+Sens!I5041)/2</f>
        <v>-50.1886055421863</v>
      </c>
      <c r="J5045" s="6" t="n">
        <f aca="false">Sens!J5040*(1-tax_f)-wacc*(Sens!I5041+Sens!J5041)/2</f>
        <v>-62.4053369477375</v>
      </c>
      <c r="K5045" s="6" t="n">
        <f aca="false">Sens!K5040*(1-tax_f)-wacc*(Sens!J5041+Sens!K5041)/2</f>
        <v>-75.6616501529517</v>
      </c>
    </row>
    <row r="5046" customFormat="false" ht="17.15" hidden="false" customHeight="false" outlineLevel="0" collapsed="false">
      <c r="A5046" s="1" t="s">
        <v>771</v>
      </c>
      <c r="B5046" s="0" t="s">
        <v>95</v>
      </c>
      <c r="F5046" s="6" t="n">
        <f aca="false">(Sens!E4948+Sens!F4948)/2*Sens!F4955/1000</f>
        <v>26.7873066765967</v>
      </c>
      <c r="G5046" s="6" t="n">
        <f aca="false">(Sens!F4948+Sens!G4948)/2*Sens!G4955/1000</f>
        <v>45.4131817597218</v>
      </c>
      <c r="H5046" s="6" t="n">
        <f aca="false">(Sens!G4948+Sens!H4948)/2*Sens!H4955/1000</f>
        <v>65.3915129357971</v>
      </c>
      <c r="I5046" s="6" t="n">
        <f aca="false">(Sens!H4948+Sens!I4948)/2*Sens!I4955/1000</f>
        <v>85.5187419289299</v>
      </c>
      <c r="J5046" s="6" t="n">
        <f aca="false">(Sens!I4948+Sens!J4948)/2*Sens!J4955/1000</f>
        <v>105.723807195006</v>
      </c>
      <c r="K5046" s="6" t="n">
        <f aca="false">(Sens!J4948+Sens!K4948)/2*Sens!K4955/1000</f>
        <v>125.974659797015</v>
      </c>
      <c r="L5046" s="1" t="s">
        <v>772</v>
      </c>
    </row>
    <row r="5047" customFormat="false" ht="17.15" hidden="false" customHeight="false" outlineLevel="0" collapsed="false">
      <c r="A5047" s="1" t="s">
        <v>773</v>
      </c>
      <c r="B5047" s="0" t="s">
        <v>126</v>
      </c>
      <c r="F5047" s="7" t="n">
        <f aca="false">(Sens!F4964+Sens!F5046-Sens!F4965-Sens!F4975)*(1-tax_f)/((Sens!E5041+Sens!F5041)/2)</f>
        <v>0.103263380592311</v>
      </c>
      <c r="G5047" s="7" t="n">
        <f aca="false">(Sens!G4964+Sens!G5046-Sens!G4965-Sens!G4975)*(1-tax_f)/((Sens!F5041+Sens!G5041)/2)</f>
        <v>0.101121069264681</v>
      </c>
      <c r="H5047" s="7" t="n">
        <f aca="false">(Sens!H4964+Sens!H5046-Sens!H4965-Sens!H4975)*(1-tax_f)/((Sens!G5041+Sens!H5041)/2)</f>
        <v>0.106301080128563</v>
      </c>
      <c r="I5047" s="7" t="n">
        <f aca="false">(Sens!I4964+Sens!I5046-Sens!I4965-Sens!I4975)*(1-tax_f)/((Sens!H5041+Sens!I5041)/2)</f>
        <v>0.110374400455618</v>
      </c>
      <c r="J5047" s="7" t="n">
        <f aca="false">(Sens!J4964+Sens!J5046-Sens!J4965-Sens!J4975)*(1-tax_f)/((Sens!I5041+Sens!J5041)/2)</f>
        <v>0.113161080302769</v>
      </c>
      <c r="K5047" s="7" t="n">
        <f aca="false">(Sens!K4964+Sens!K5046-Sens!K4965-Sens!K4975)*(1-tax_f)/((Sens!J5041+Sens!K5041)/2)</f>
        <v>0.113830831610925</v>
      </c>
      <c r="L5047" s="1" t="s">
        <v>774</v>
      </c>
    </row>
    <row r="5048" customFormat="false" ht="17.15" hidden="false" customHeight="false" outlineLevel="0" collapsed="false">
      <c r="A5048" s="3" t="s">
        <v>1257</v>
      </c>
    </row>
    <row r="5049" customFormat="false" ht="15" hidden="false" customHeight="false" outlineLevel="0" collapsed="false">
      <c r="A5049" s="4" t="s">
        <v>43</v>
      </c>
      <c r="B5049" s="4" t="s">
        <v>63</v>
      </c>
      <c r="C5049" s="19" t="s">
        <v>710</v>
      </c>
      <c r="D5049" s="19" t="s">
        <v>711</v>
      </c>
      <c r="E5049" s="19" t="s">
        <v>712</v>
      </c>
      <c r="F5049" s="19" t="s">
        <v>713</v>
      </c>
      <c r="G5049" s="19" t="s">
        <v>714</v>
      </c>
      <c r="H5049" s="19" t="s">
        <v>715</v>
      </c>
      <c r="I5049" s="19" t="s">
        <v>716</v>
      </c>
      <c r="J5049" s="19" t="s">
        <v>717</v>
      </c>
      <c r="K5049" s="19" t="s">
        <v>718</v>
      </c>
      <c r="L5049" s="4" t="s">
        <v>47</v>
      </c>
    </row>
    <row r="5050" customFormat="false" ht="15" hidden="false" customHeight="false" outlineLevel="0" collapsed="false">
      <c r="A5050" s="1" t="s">
        <v>825</v>
      </c>
      <c r="B5050" s="0" t="s">
        <v>95</v>
      </c>
      <c r="F5050" s="6" t="n">
        <f aca="false">Sens!F5035</f>
        <v>141.890019070263</v>
      </c>
      <c r="G5050" s="6" t="n">
        <f aca="false">Sens!G5035</f>
        <v>159.406477667495</v>
      </c>
      <c r="H5050" s="6" t="n">
        <f aca="false">Sens!H5035</f>
        <v>177.071149205612</v>
      </c>
      <c r="I5050" s="6" t="n">
        <f aca="false">Sens!I5035</f>
        <v>192.702277722329</v>
      </c>
      <c r="J5050" s="6" t="n">
        <f aca="false">Sens!J5035</f>
        <v>205.671755316146</v>
      </c>
      <c r="K5050" s="6" t="n">
        <f aca="false">Sens!K5035</f>
        <v>216.099270366189</v>
      </c>
    </row>
    <row r="5051" customFormat="false" ht="17.15" hidden="false" customHeight="false" outlineLevel="0" collapsed="false">
      <c r="A5051" s="1" t="s">
        <v>843</v>
      </c>
      <c r="B5051" s="0" t="s">
        <v>95</v>
      </c>
      <c r="E5051" s="6" t="n">
        <f aca="false">Q!M38-Sens!E4975</f>
        <v>22.2285940229167</v>
      </c>
      <c r="F5051" s="6" t="n">
        <f aca="false">Sens!E5051*(1-1/life_nonai)+Sens!F5057/life_nonai</f>
        <v>23.5786693435813</v>
      </c>
      <c r="G5051" s="6" t="n">
        <f aca="false">Sens!F5051*(1-1/life_nonai)+Sens!G5057/life_nonai</f>
        <v>25.3810917662621</v>
      </c>
      <c r="H5051" s="6" t="n">
        <f aca="false">Sens!G5051*(1-1/life_nonai)+Sens!H5057/life_nonai</f>
        <v>27.5991339540448</v>
      </c>
      <c r="I5051" s="6" t="n">
        <f aca="false">Sens!H5051*(1-1/life_nonai)+Sens!I5057/life_nonai</f>
        <v>30.1565605898047</v>
      </c>
      <c r="J5051" s="6" t="n">
        <f aca="false">Sens!I5051*(1-1/life_nonai)+Sens!J5057/life_nonai</f>
        <v>32.9614958558616</v>
      </c>
      <c r="K5051" s="6" t="n">
        <f aca="false">Sens!J5051*(1-1/life_nonai)+Sens!K5057/life_nonai</f>
        <v>35.9297165444749</v>
      </c>
      <c r="L5051" s="11" t="s">
        <v>844</v>
      </c>
    </row>
    <row r="5052" customFormat="false" ht="17.15" hidden="false" customHeight="false" outlineLevel="0" collapsed="false">
      <c r="A5052" s="1" t="s">
        <v>845</v>
      </c>
      <c r="B5052" s="0" t="s">
        <v>95</v>
      </c>
      <c r="E5052" s="6" t="n">
        <f aca="false">Sens!E4975+Sens!E5051</f>
        <v>38.534</v>
      </c>
      <c r="F5052" s="6" t="n">
        <f aca="false">Sens!F4975+Sens!F5051</f>
        <v>58.306704799451</v>
      </c>
      <c r="G5052" s="6" t="n">
        <f aca="false">Sens!G4975+Sens!G5051</f>
        <v>85.8628250266016</v>
      </c>
      <c r="H5052" s="6" t="n">
        <f aca="false">Sens!H4975+Sens!H5051</f>
        <v>115.316449947184</v>
      </c>
      <c r="I5052" s="6" t="n">
        <f aca="false">Sens!I4975+Sens!I5051</f>
        <v>146.128742330928</v>
      </c>
      <c r="J5052" s="6" t="n">
        <f aca="false">Sens!J4975+Sens!J5051</f>
        <v>178.160773814135</v>
      </c>
      <c r="K5052" s="6" t="n">
        <f aca="false">Sens!K4975+Sens!K5051</f>
        <v>211.643639179064</v>
      </c>
    </row>
    <row r="5053" customFormat="false" ht="15" hidden="false" customHeight="false" outlineLevel="0" collapsed="false">
      <c r="A5053" s="1" t="s">
        <v>685</v>
      </c>
      <c r="B5053" s="0" t="s">
        <v>95</v>
      </c>
      <c r="F5053" s="6" t="n">
        <f aca="false">Sens!F5002*sbc_r</f>
        <v>14.9869443733272</v>
      </c>
      <c r="G5053" s="6" t="n">
        <f aca="false">Sens!G5002*sbc_r</f>
        <v>17.9323325188727</v>
      </c>
      <c r="H5053" s="6" t="n">
        <f aca="false">Sens!H5002*sbc_r</f>
        <v>20.9444574571991</v>
      </c>
      <c r="I5053" s="6" t="n">
        <f aca="false">Sens!I5002*sbc_r</f>
        <v>23.8614128487271</v>
      </c>
      <c r="J5053" s="6" t="n">
        <f aca="false">Sens!J5002*sbc_r</f>
        <v>26.6288571955537</v>
      </c>
      <c r="K5053" s="6" t="n">
        <f aca="false">Sens!K5002*sbc_r</f>
        <v>29.2769121178682</v>
      </c>
    </row>
    <row r="5054" customFormat="false" ht="17.15" hidden="false" customHeight="false" outlineLevel="0" collapsed="false">
      <c r="A5054" s="1" t="s">
        <v>846</v>
      </c>
      <c r="B5054" s="0" t="s">
        <v>95</v>
      </c>
      <c r="F5054" s="6" t="n">
        <f aca="false">wc27</f>
        <v>-4.895</v>
      </c>
      <c r="G5054" s="6" t="n">
        <f aca="false">0</f>
        <v>0</v>
      </c>
      <c r="H5054" s="6" t="n">
        <f aca="false">0</f>
        <v>0</v>
      </c>
      <c r="I5054" s="6" t="n">
        <f aca="false">0</f>
        <v>0</v>
      </c>
      <c r="J5054" s="6" t="n">
        <f aca="false">0</f>
        <v>0</v>
      </c>
      <c r="K5054" s="6" t="n">
        <f aca="false">0</f>
        <v>0</v>
      </c>
      <c r="L5054" s="11" t="s">
        <v>847</v>
      </c>
    </row>
    <row r="5055" customFormat="false" ht="15" hidden="false" customHeight="false" outlineLevel="0" collapsed="false">
      <c r="A5055" s="1" t="s">
        <v>678</v>
      </c>
      <c r="B5055" s="0" t="s">
        <v>95</v>
      </c>
      <c r="E5055" s="6" t="n">
        <f aca="false">Q!M35</f>
        <v>182.935</v>
      </c>
      <c r="F5055" s="6" t="n">
        <f aca="false">Sens!F5050+Sens!F5052+Sens!F5053+Sens!F5054</f>
        <v>210.288668243041</v>
      </c>
      <c r="G5055" s="6" t="n">
        <f aca="false">Sens!G5050+Sens!G5052+Sens!G5053+Sens!G5054</f>
        <v>263.20163521297</v>
      </c>
      <c r="H5055" s="6" t="n">
        <f aca="false">Sens!H5050+Sens!H5052+Sens!H5053+Sens!H5054</f>
        <v>313.332056609996</v>
      </c>
      <c r="I5055" s="6" t="n">
        <f aca="false">Sens!I5050+Sens!I5052+Sens!I5053+Sens!I5054</f>
        <v>362.692432901984</v>
      </c>
      <c r="J5055" s="6" t="n">
        <f aca="false">Sens!J5050+Sens!J5052+Sens!J5053+Sens!J5054</f>
        <v>410.461386325834</v>
      </c>
      <c r="K5055" s="6" t="n">
        <f aca="false">Sens!K5050+Sens!K5052+Sens!K5053+Sens!K5054</f>
        <v>457.019821663121</v>
      </c>
    </row>
    <row r="5056" customFormat="false" ht="17.15" hidden="false" customHeight="false" outlineLevel="0" collapsed="false">
      <c r="A5056" s="0" t="s">
        <v>848</v>
      </c>
      <c r="B5056" s="0" t="s">
        <v>95</v>
      </c>
      <c r="F5056" s="6" t="n">
        <f aca="false">Sens!F4972</f>
        <v>168.470652770438</v>
      </c>
      <c r="G5056" s="6" t="n">
        <f aca="false">Sens!G4972</f>
        <v>183.5741804832</v>
      </c>
      <c r="H5056" s="6" t="n">
        <f aca="false">Sens!H4972</f>
        <v>188.0802859104</v>
      </c>
      <c r="I5056" s="6" t="n">
        <f aca="false">Sens!I4972</f>
        <v>218.338961257067</v>
      </c>
      <c r="J5056" s="6" t="n">
        <f aca="false">Sens!J4972</f>
        <v>233.777060923733</v>
      </c>
      <c r="K5056" s="6" t="n">
        <f aca="false">Sens!K4972</f>
        <v>278.8563119504</v>
      </c>
    </row>
    <row r="5057" customFormat="false" ht="17.15" hidden="false" customHeight="false" outlineLevel="0" collapsed="false">
      <c r="A5057" s="1" t="s">
        <v>849</v>
      </c>
      <c r="B5057" s="0" t="s">
        <v>95</v>
      </c>
      <c r="E5057" s="6" t="n">
        <f aca="false">Sens!E4980*cx_azo+Sens!E4987*cx_m365+Sens!E4988*cx_lic+(Sens!E4990+Sens!E4992)*cx_ind+Sens!E4995*cx_srch+(Sens!E4997+Sens!E4999)*cx_dev</f>
        <v>30.1846587067718</v>
      </c>
      <c r="F5057" s="6" t="n">
        <f aca="false">Sens!F4980*cx_azo+Sens!F4987*cx_m365+Sens!F4988*cx_lic+(Sens!F4990+Sens!F4992)*cx_ind+Sens!F4995*cx_srch+(Sens!F4997+Sens!F4999)*cx_dev</f>
        <v>35.7293472295625</v>
      </c>
      <c r="G5057" s="6" t="n">
        <f aca="false">Sens!G4980*cx_azo+Sens!G4987*cx_m365+Sens!G4988*cx_lic+(Sens!G4990+Sens!G4992)*cx_ind+Sens!G4995*cx_srch+(Sens!G4997+Sens!G4999)*cx_dev</f>
        <v>41.6028935703892</v>
      </c>
      <c r="H5057" s="6" t="n">
        <f aca="false">Sens!H4980*cx_azo+Sens!H4987*cx_m365+Sens!H4988*cx_lic+(Sens!H4990+Sens!H4992)*cx_ind+Sens!H4995*cx_srch+(Sens!H4997+Sens!H4999)*cx_dev</f>
        <v>47.5615136440897</v>
      </c>
      <c r="I5057" s="6" t="n">
        <f aca="false">Sens!I4980*cx_azo+Sens!I4987*cx_m365+Sens!I4988*cx_lic+(Sens!I4990+Sens!I4992)*cx_ind+Sens!I4995*cx_srch+(Sens!I4997+Sens!I4999)*cx_dev</f>
        <v>53.1734003116439</v>
      </c>
      <c r="J5057" s="6" t="n">
        <f aca="false">Sens!J4980*cx_azo+Sens!J4987*cx_m365+Sens!J4988*cx_lic+(Sens!J4990+Sens!J4992)*cx_ind+Sens!J4995*cx_srch+(Sens!J4997+Sens!J4999)*cx_dev</f>
        <v>58.2059132503738</v>
      </c>
      <c r="K5057" s="6" t="n">
        <f aca="false">Sens!K4980*cx_azo+Sens!K4987*cx_m365+Sens!K4988*cx_lic+(Sens!K4990+Sens!K4992)*cx_ind+Sens!K4995*cx_srch+(Sens!K4997+Sens!K4999)*cx_dev</f>
        <v>62.643702741994</v>
      </c>
    </row>
    <row r="5058" customFormat="false" ht="17.15" hidden="false" customHeight="false" outlineLevel="0" collapsed="false">
      <c r="A5058" s="1" t="s">
        <v>850</v>
      </c>
      <c r="B5058" s="0" t="s">
        <v>95</v>
      </c>
      <c r="E5058" s="6" t="n">
        <f aca="false">Q!M42</f>
        <v>145.3</v>
      </c>
      <c r="F5058" s="6" t="n">
        <f aca="false">Sens!F5056+Sens!F5057</f>
        <v>204.2</v>
      </c>
      <c r="G5058" s="6" t="n">
        <f aca="false">Sens!G5056+Sens!G5057</f>
        <v>225.177074053589</v>
      </c>
      <c r="H5058" s="6" t="n">
        <f aca="false">Sens!H5056+Sens!H5057</f>
        <v>235.64179955449</v>
      </c>
      <c r="I5058" s="6" t="n">
        <f aca="false">Sens!I5056+Sens!I5057</f>
        <v>271.512361568711</v>
      </c>
      <c r="J5058" s="6" t="n">
        <f aca="false">Sens!J5056+Sens!J5057</f>
        <v>291.982974174107</v>
      </c>
      <c r="K5058" s="6" t="n">
        <f aca="false">Sens!K5056+Sens!K5057</f>
        <v>341.500014692394</v>
      </c>
      <c r="L5058" s="1" t="s">
        <v>851</v>
      </c>
    </row>
    <row r="5059" customFormat="false" ht="15" hidden="false" customHeight="false" outlineLevel="0" collapsed="false">
      <c r="A5059" s="1" t="s">
        <v>852</v>
      </c>
      <c r="B5059" s="0" t="s">
        <v>95</v>
      </c>
      <c r="E5059" s="6" t="n">
        <f aca="false">fl_liab</f>
        <v>66.594</v>
      </c>
      <c r="F5059" s="6" t="n">
        <f aca="false">Sens!E5059-Sens!F5060</f>
        <v>62.46973</v>
      </c>
      <c r="G5059" s="6" t="n">
        <f aca="false">Sens!F5059-Sens!G5060</f>
        <v>57.98686785</v>
      </c>
      <c r="H5059" s="6" t="n">
        <f aca="false">Sens!G5059-Sens!H5060</f>
        <v>53.92827690325</v>
      </c>
      <c r="I5059" s="6" t="n">
        <f aca="false">Sens!H5059-Sens!I5060</f>
        <v>49.7850493638962</v>
      </c>
      <c r="J5059" s="6" t="n">
        <f aca="false">Sens!I5059-Sens!J5060</f>
        <v>45.4823765852716</v>
      </c>
      <c r="K5059" s="6" t="n">
        <f aca="false">Sens!J5059-Sens!K5060</f>
        <v>40.9860835316088</v>
      </c>
    </row>
    <row r="5060" customFormat="false" ht="15" hidden="false" customHeight="false" outlineLevel="0" collapsed="false">
      <c r="A5060" s="1" t="s">
        <v>853</v>
      </c>
      <c r="B5060" s="0" t="s">
        <v>95</v>
      </c>
      <c r="F5060" s="6" t="n">
        <f aca="false">fl_pay_27-Sens!E5059*fl_rate</f>
        <v>4.12427</v>
      </c>
      <c r="G5060" s="6" t="n">
        <f aca="false">fl_pay_28-Sens!F5059*fl_rate</f>
        <v>4.48286215</v>
      </c>
      <c r="H5060" s="6" t="n">
        <f aca="false">fl_pay_29-Sens!G5059*fl_rate</f>
        <v>4.05859094675</v>
      </c>
      <c r="I5060" s="6" t="n">
        <f aca="false">fl_pay_30-Sens!H5059*fl_rate</f>
        <v>4.14322753935375</v>
      </c>
      <c r="J5060" s="6" t="n">
        <f aca="false">fl_pay_31-Sens!I5059*fl_rate</f>
        <v>4.30267277862467</v>
      </c>
      <c r="K5060" s="6" t="n">
        <f aca="false">fl_pay_32-Sens!J5059*fl_rate</f>
        <v>4.49629305366278</v>
      </c>
    </row>
    <row r="5061" customFormat="false" ht="17.15" hidden="false" customHeight="false" outlineLevel="0" collapsed="false">
      <c r="A5061" s="1" t="s">
        <v>854</v>
      </c>
      <c r="B5061" s="0" t="s">
        <v>95</v>
      </c>
      <c r="E5061" s="6" t="n">
        <f aca="false">Q!M35-Q!M36-Q!M43</f>
        <v>63.886</v>
      </c>
      <c r="F5061" s="6" t="n">
        <f aca="false">Sens!F5055-Sens!F5058-Sens!F5060</f>
        <v>1.96439824304093</v>
      </c>
      <c r="G5061" s="6" t="n">
        <f aca="false">Sens!G5055-Sens!G5058-Sens!G5060</f>
        <v>33.5416990093803</v>
      </c>
      <c r="H5061" s="6" t="n">
        <f aca="false">Sens!H5055-Sens!H5058-Sens!H5060</f>
        <v>73.6316661087563</v>
      </c>
      <c r="I5061" s="6" t="n">
        <f aca="false">Sens!I5055-Sens!I5058-Sens!I5060</f>
        <v>87.0368437939195</v>
      </c>
      <c r="J5061" s="6" t="n">
        <f aca="false">Sens!J5055-Sens!J5058-Sens!J5060</f>
        <v>114.175739373102</v>
      </c>
      <c r="K5061" s="6" t="n">
        <f aca="false">Sens!K5055-Sens!K5058-Sens!K5060</f>
        <v>111.023513917065</v>
      </c>
      <c r="L5061" s="11" t="s">
        <v>855</v>
      </c>
    </row>
    <row r="5062" customFormat="false" ht="15" hidden="false" customHeight="false" outlineLevel="0" collapsed="false">
      <c r="A5062" s="1" t="s">
        <v>856</v>
      </c>
      <c r="B5062" s="0" t="s">
        <v>73</v>
      </c>
      <c r="F5062" s="8" t="n">
        <f aca="false">dps_27</f>
        <v>3.85</v>
      </c>
      <c r="G5062" s="8" t="n">
        <f aca="false">Sens!F5062*(1+dps_g)</f>
        <v>4.158</v>
      </c>
      <c r="H5062" s="8" t="n">
        <f aca="false">Sens!G5062*(1+dps_g)</f>
        <v>4.49064</v>
      </c>
      <c r="I5062" s="8" t="n">
        <f aca="false">Sens!H5062*(1+dps_g)</f>
        <v>4.8498912</v>
      </c>
      <c r="J5062" s="8" t="n">
        <f aca="false">Sens!I5062*(1+dps_g)</f>
        <v>5.237882496</v>
      </c>
      <c r="K5062" s="8" t="n">
        <f aca="false">Sens!J5062*(1+dps_g)</f>
        <v>5.65691309568</v>
      </c>
    </row>
    <row r="5063" customFormat="false" ht="17.15" hidden="false" customHeight="false" outlineLevel="0" collapsed="false">
      <c r="A5063" s="1" t="s">
        <v>857</v>
      </c>
      <c r="B5063" s="0" t="s">
        <v>95</v>
      </c>
      <c r="E5063" s="6" t="n">
        <f aca="false">Q!M41</f>
        <v>26.445</v>
      </c>
      <c r="F5063" s="6" t="n">
        <f aca="false">Sens!F5062*Sens!E5072</f>
        <v>28.59395</v>
      </c>
      <c r="G5063" s="6" t="n">
        <f aca="false">Sens!G5062*Sens!F5072</f>
        <v>31.068576</v>
      </c>
      <c r="H5063" s="6" t="n">
        <f aca="false">Sens!H5062*Sens!G5072</f>
        <v>33.7375621012355</v>
      </c>
      <c r="I5063" s="6" t="n">
        <f aca="false">Sens!I5062*Sens!H5072</f>
        <v>36.4875063093338</v>
      </c>
      <c r="J5063" s="6" t="n">
        <f aca="false">Sens!J5062*Sens!I5072</f>
        <v>39.4749056623999</v>
      </c>
      <c r="K5063" s="6" t="n">
        <f aca="false">Sens!K5062*Sens!J5072</f>
        <v>42.720153340697</v>
      </c>
      <c r="L5063" s="1" t="s">
        <v>858</v>
      </c>
    </row>
    <row r="5064" customFormat="false" ht="15" hidden="false" customHeight="false" outlineLevel="0" collapsed="false">
      <c r="A5064" s="1" t="s">
        <v>859</v>
      </c>
      <c r="B5064" s="0" t="s">
        <v>95</v>
      </c>
      <c r="E5064" s="6" t="n">
        <f aca="false">Sens!E5061-Sens!E5063</f>
        <v>37.441</v>
      </c>
      <c r="F5064" s="6" t="n">
        <f aca="false">Sens!F5061-Sens!F5063</f>
        <v>-26.6295517569591</v>
      </c>
      <c r="G5064" s="6" t="n">
        <f aca="false">Sens!G5061-Sens!G5063</f>
        <v>2.47312300938025</v>
      </c>
      <c r="H5064" s="6" t="n">
        <f aca="false">Sens!H5061-Sens!H5063</f>
        <v>39.8941040075208</v>
      </c>
      <c r="I5064" s="6" t="n">
        <f aca="false">Sens!I5061-Sens!I5063</f>
        <v>50.5493374845857</v>
      </c>
      <c r="J5064" s="6" t="n">
        <f aca="false">Sens!J5061-Sens!J5063</f>
        <v>74.7008337107024</v>
      </c>
      <c r="K5064" s="6" t="n">
        <f aca="false">Sens!K5061-Sens!K5063</f>
        <v>68.3033605763676</v>
      </c>
    </row>
    <row r="5065" customFormat="false" ht="15" hidden="false" customHeight="false" outlineLevel="0" collapsed="false">
      <c r="A5065" s="1" t="s">
        <v>860</v>
      </c>
      <c r="B5065" s="0" t="s">
        <v>95</v>
      </c>
      <c r="F5065" s="6" t="n">
        <f aca="false">debt_mat_27</f>
        <v>9.25</v>
      </c>
      <c r="G5065" s="6" t="n">
        <f aca="false">debt_mat_28</f>
        <v>0</v>
      </c>
      <c r="H5065" s="6" t="n">
        <f aca="false">debt_mat_29</f>
        <v>2.001</v>
      </c>
      <c r="I5065" s="6" t="n">
        <f aca="false">debt_mat_30</f>
        <v>0</v>
      </c>
      <c r="J5065" s="6" t="n">
        <f aca="false">debt_mat_31</f>
        <v>0.5</v>
      </c>
      <c r="K5065" s="6" t="n">
        <f aca="false">debt_mat_32</f>
        <v>0</v>
      </c>
    </row>
    <row r="5066" customFormat="false" ht="15" hidden="false" customHeight="false" outlineLevel="0" collapsed="false">
      <c r="A5066" s="1" t="s">
        <v>861</v>
      </c>
      <c r="B5066" s="0" t="s">
        <v>95</v>
      </c>
      <c r="E5066" s="6" t="n">
        <f aca="false">Q!M40</f>
        <v>22.271</v>
      </c>
      <c r="F5066" s="6" t="n">
        <f aca="false">MAX(0,MIN(bb_target,Sens!E5068+Sens!F5064-Sens!F5065-min_cash))</f>
        <v>0</v>
      </c>
      <c r="G5066" s="6" t="n">
        <f aca="false">MAX(0,MIN(bb_target,Sens!F5068+Sens!G5064-Sens!G5065-min_cash))</f>
        <v>2.47312300938025</v>
      </c>
      <c r="H5066" s="6" t="n">
        <f aca="false">MAX(0,MIN(bb_target,Sens!G5068+Sens!H5064-Sens!H5065-min_cash))</f>
        <v>22.271</v>
      </c>
      <c r="I5066" s="6" t="n">
        <f aca="false">MAX(0,MIN(bb_target,Sens!H5068+Sens!I5064-Sens!I5065-min_cash))</f>
        <v>22.271</v>
      </c>
      <c r="J5066" s="6" t="n">
        <f aca="false">MAX(0,MIN(bb_target,Sens!I5068+Sens!J5064-Sens!J5065-min_cash))</f>
        <v>22.271</v>
      </c>
      <c r="K5066" s="6" t="n">
        <f aca="false">MAX(0,MIN(bb_target,Sens!J5068+Sens!K5064-Sens!K5065-min_cash))</f>
        <v>22.271</v>
      </c>
    </row>
    <row r="5067" customFormat="false" ht="15" hidden="false" customHeight="false" outlineLevel="0" collapsed="false">
      <c r="A5067" s="1" t="s">
        <v>862</v>
      </c>
      <c r="B5067" s="0" t="s">
        <v>95</v>
      </c>
      <c r="F5067" s="6" t="n">
        <f aca="false">MAX(0,min_cash-(Sens!E5068+Sens!F5064-Sens!F5065-Sens!F5066))</f>
        <v>9.03655175695907</v>
      </c>
      <c r="G5067" s="6" t="n">
        <f aca="false">MAX(0,min_cash-(Sens!F5068+Sens!G5064-Sens!G5065-Sens!G5066))</f>
        <v>0</v>
      </c>
      <c r="H5067" s="6" t="n">
        <f aca="false">MAX(0,min_cash-(Sens!G5068+Sens!H5064-Sens!H5065-Sens!H5066))</f>
        <v>0</v>
      </c>
      <c r="I5067" s="6" t="n">
        <f aca="false">MAX(0,min_cash-(Sens!H5068+Sens!I5064-Sens!I5065-Sens!I5066))</f>
        <v>0</v>
      </c>
      <c r="J5067" s="6" t="n">
        <f aca="false">MAX(0,min_cash-(Sens!I5068+Sens!J5064-Sens!J5065-Sens!J5066))</f>
        <v>0</v>
      </c>
      <c r="K5067" s="6" t="n">
        <f aca="false">MAX(0,min_cash-(Sens!J5068+Sens!K5064-Sens!K5065-Sens!K5066))</f>
        <v>0</v>
      </c>
    </row>
    <row r="5068" customFormat="false" ht="15" hidden="false" customHeight="false" outlineLevel="0" collapsed="false">
      <c r="A5068" s="1" t="s">
        <v>863</v>
      </c>
      <c r="B5068" s="0" t="s">
        <v>95</v>
      </c>
      <c r="E5068" s="6" t="n">
        <f aca="false">cash_open</f>
        <v>76.843</v>
      </c>
      <c r="F5068" s="6" t="n">
        <f aca="false">Sens!E5068+Sens!F5064-Sens!F5065-Sens!F5066+Sens!F5067</f>
        <v>50</v>
      </c>
      <c r="G5068" s="6" t="n">
        <f aca="false">Sens!F5068+Sens!G5064-Sens!G5065-Sens!G5066+Sens!G5067</f>
        <v>50</v>
      </c>
      <c r="H5068" s="6" t="n">
        <f aca="false">Sens!G5068+Sens!H5064-Sens!H5065-Sens!H5066+Sens!H5067</f>
        <v>65.6221040075208</v>
      </c>
      <c r="I5068" s="6" t="n">
        <f aca="false">Sens!H5068+Sens!I5064-Sens!I5065-Sens!I5066+Sens!I5067</f>
        <v>93.9004414921065</v>
      </c>
      <c r="J5068" s="6" t="n">
        <f aca="false">Sens!I5068+Sens!J5064-Sens!J5065-Sens!J5066+Sens!J5067</f>
        <v>145.830275202809</v>
      </c>
      <c r="K5068" s="6" t="n">
        <f aca="false">Sens!J5068+Sens!K5064-Sens!K5065-Sens!K5066+Sens!K5067</f>
        <v>191.862635779176</v>
      </c>
    </row>
    <row r="5069" customFormat="false" ht="15" hidden="false" customHeight="false" outlineLevel="0" collapsed="false">
      <c r="A5069" s="1" t="s">
        <v>864</v>
      </c>
      <c r="B5069" s="0" t="s">
        <v>95</v>
      </c>
      <c r="E5069" s="6" t="n">
        <f aca="false">debt_face</f>
        <v>46.136</v>
      </c>
      <c r="F5069" s="6" t="n">
        <f aca="false">Sens!E5069-Sens!F5065+Sens!F5067</f>
        <v>45.9225517569591</v>
      </c>
      <c r="G5069" s="6" t="n">
        <f aca="false">Sens!F5069-Sens!G5065+Sens!G5067</f>
        <v>45.9225517569591</v>
      </c>
      <c r="H5069" s="6" t="n">
        <f aca="false">Sens!G5069-Sens!H5065+Sens!H5067</f>
        <v>43.9215517569591</v>
      </c>
      <c r="I5069" s="6" t="n">
        <f aca="false">Sens!H5069-Sens!I5065+Sens!I5067</f>
        <v>43.9215517569591</v>
      </c>
      <c r="J5069" s="6" t="n">
        <f aca="false">Sens!I5069-Sens!J5065+Sens!J5067</f>
        <v>43.4215517569591</v>
      </c>
      <c r="K5069" s="6" t="n">
        <f aca="false">Sens!J5069-Sens!K5065+Sens!K5067</f>
        <v>43.4215517569591</v>
      </c>
    </row>
    <row r="5070" customFormat="false" ht="15" hidden="false" customHeight="false" outlineLevel="0" collapsed="false">
      <c r="A5070" s="1" t="s">
        <v>865</v>
      </c>
      <c r="B5070" s="0" t="s">
        <v>95</v>
      </c>
      <c r="E5070" s="6" t="n">
        <f aca="false">Sens!E5068-Sens!E5069</f>
        <v>30.707</v>
      </c>
      <c r="F5070" s="6" t="n">
        <f aca="false">Sens!F5068-Sens!F5069</f>
        <v>4.07744824304093</v>
      </c>
      <c r="G5070" s="6" t="n">
        <f aca="false">Sens!G5068-Sens!G5069</f>
        <v>4.07744824304093</v>
      </c>
      <c r="H5070" s="6" t="n">
        <f aca="false">Sens!H5068-Sens!H5069</f>
        <v>21.7005522505617</v>
      </c>
      <c r="I5070" s="6" t="n">
        <f aca="false">Sens!I5068-Sens!I5069</f>
        <v>49.9788897351474</v>
      </c>
      <c r="J5070" s="6" t="n">
        <f aca="false">Sens!J5068-Sens!J5069</f>
        <v>102.40872344585</v>
      </c>
      <c r="K5070" s="6" t="n">
        <f aca="false">Sens!K5068-Sens!K5069</f>
        <v>148.441084022217</v>
      </c>
    </row>
    <row r="5071" customFormat="false" ht="15" hidden="false" customHeight="false" outlineLevel="0" collapsed="false">
      <c r="A5071" s="1" t="s">
        <v>866</v>
      </c>
      <c r="B5071" s="0" t="s">
        <v>73</v>
      </c>
      <c r="F5071" s="27" t="n">
        <f aca="false">px*(1+bb_g)^(1-0.5)</f>
        <v>553.494156066711</v>
      </c>
      <c r="G5071" s="27" t="n">
        <f aca="false">px*(1+bb_g)^(2-0.5)</f>
        <v>597.773688552047</v>
      </c>
      <c r="H5071" s="27" t="n">
        <f aca="false">px*(1+bb_g)^(3-0.5)</f>
        <v>645.595583636211</v>
      </c>
      <c r="I5071" s="27" t="n">
        <f aca="false">px*(1+bb_g)^(4-0.5)</f>
        <v>697.243230327108</v>
      </c>
      <c r="J5071" s="27" t="n">
        <f aca="false">px*(1+bb_g)^(5-0.5)</f>
        <v>753.022688753277</v>
      </c>
      <c r="K5071" s="27" t="n">
        <f aca="false">px*(1+bb_g)^(6-0.5)</f>
        <v>813.264503853539</v>
      </c>
    </row>
    <row r="5072" customFormat="false" ht="15" hidden="false" customHeight="false" outlineLevel="0" collapsed="false">
      <c r="A5072" s="1" t="s">
        <v>867</v>
      </c>
      <c r="B5072" s="1" t="s">
        <v>79</v>
      </c>
      <c r="E5072" s="18" t="n">
        <f aca="false">sh_out26</f>
        <v>7.427</v>
      </c>
      <c r="F5072" s="18" t="n">
        <f aca="false">Sens!E5072+sh_iss-Sens!F5066/Sens!F5071</f>
        <v>7.472</v>
      </c>
      <c r="G5072" s="18" t="n">
        <f aca="false">Sens!F5072+sh_iss-Sens!G5066/Sens!G5071</f>
        <v>7.51286277707309</v>
      </c>
      <c r="H5072" s="18" t="n">
        <f aca="false">Sens!G5072+sh_iss-Sens!H5066/Sens!H5071</f>
        <v>7.52336594877299</v>
      </c>
      <c r="I5072" s="18" t="n">
        <f aca="false">Sens!H5072+sh_iss-Sens!I5066/Sens!I5071</f>
        <v>7.53642444108772</v>
      </c>
      <c r="J5072" s="18" t="n">
        <f aca="false">Sens!I5072+sh_iss-Sens!J5066/Sens!J5071</f>
        <v>7.55184897100876</v>
      </c>
      <c r="K5072" s="18" t="n">
        <f aca="false">Sens!J5072+sh_iss-Sens!K5066/Sens!K5071</f>
        <v>7.5694642764912</v>
      </c>
    </row>
    <row r="5073" customFormat="false" ht="15" hidden="false" customHeight="false" outlineLevel="0" collapsed="false">
      <c r="A5073" s="1" t="s">
        <v>868</v>
      </c>
      <c r="B5073" s="1" t="s">
        <v>79</v>
      </c>
      <c r="E5073" s="18" t="n">
        <f aca="false">sh_dil26</f>
        <v>7.453</v>
      </c>
      <c r="F5073" s="18" t="n">
        <f aca="false">(Sens!E5072+Sens!F5072)/2+dil_gap</f>
        <v>7.4735</v>
      </c>
      <c r="G5073" s="18" t="n">
        <f aca="false">(Sens!F5072+Sens!G5072)/2+dil_gap</f>
        <v>7.51643138853655</v>
      </c>
      <c r="H5073" s="18" t="n">
        <f aca="false">(Sens!G5072+Sens!H5072)/2+dil_gap</f>
        <v>7.54211436292304</v>
      </c>
      <c r="I5073" s="18" t="n">
        <f aca="false">(Sens!H5072+Sens!I5072)/2+dil_gap</f>
        <v>7.55389519493035</v>
      </c>
      <c r="J5073" s="18" t="n">
        <f aca="false">(Sens!I5072+Sens!J5072)/2+dil_gap</f>
        <v>7.56813670604824</v>
      </c>
      <c r="K5073" s="18" t="n">
        <f aca="false">(Sens!J5072+Sens!K5072)/2+dil_gap</f>
        <v>7.58465662374998</v>
      </c>
    </row>
    <row r="5074" customFormat="false" ht="17.15" hidden="false" customHeight="false" outlineLevel="0" collapsed="false">
      <c r="A5074" s="1" t="s">
        <v>869</v>
      </c>
      <c r="B5074" s="0" t="s">
        <v>95</v>
      </c>
      <c r="C5074" s="6" t="n">
        <f aca="false">SUM(Sens!F5064:J5064)</f>
        <v>140.98784645523</v>
      </c>
    </row>
    <row r="5075" customFormat="false" ht="17.15" hidden="false" customHeight="false" outlineLevel="0" collapsed="false">
      <c r="A5075" s="1" t="s">
        <v>836</v>
      </c>
      <c r="B5075" s="1" t="s">
        <v>870</v>
      </c>
      <c r="C5075" s="30" t="str">
        <f aca="false">IF(SUM(Sens!F5067:J5067)&gt;0.05,"需要舉債 "&amp;TEXT(SUM(Sens!F5067:J5067),"0.0")&amp;" 十億美元","不需舉債")&amp;"；"&amp;IF(SUM(Sens!F5066:J5066)&lt;5*bb_target-0.05,"回購較每年 "&amp;TEXT(bb_target,"0.0")&amp;" 的目標少 "&amp;TEXT(5*bb_target-SUM(Sens!F5066:J5066),"0.0")&amp;" 十億美元（"&amp;TEXT(COUNTIF(Sens!F5066:J5066,"&lt;"&amp;(bb_target-0.05)),"0")&amp;" 年減少）","回購不減")</f>
        <v>需要舉債 9.0 十億美元；回購較每年 22.3 的目標少 42.1 十億美元（2 年減少）</v>
      </c>
    </row>
    <row r="5076" customFormat="false" ht="17.15" hidden="false" customHeight="false" outlineLevel="0" collapsed="false">
      <c r="A5076" s="3" t="s">
        <v>1258</v>
      </c>
    </row>
    <row r="5077" customFormat="false" ht="15" hidden="false" customHeight="false" outlineLevel="0" collapsed="false">
      <c r="A5077" s="4" t="s">
        <v>43</v>
      </c>
      <c r="B5077" s="4" t="s">
        <v>63</v>
      </c>
      <c r="C5077" s="19" t="s">
        <v>710</v>
      </c>
      <c r="D5077" s="19" t="s">
        <v>711</v>
      </c>
      <c r="E5077" s="19" t="s">
        <v>712</v>
      </c>
      <c r="F5077" s="19" t="s">
        <v>713</v>
      </c>
      <c r="G5077" s="19" t="s">
        <v>714</v>
      </c>
      <c r="H5077" s="19" t="s">
        <v>715</v>
      </c>
      <c r="I5077" s="19" t="s">
        <v>716</v>
      </c>
      <c r="J5077" s="19" t="s">
        <v>717</v>
      </c>
      <c r="K5077" s="19" t="s">
        <v>718</v>
      </c>
      <c r="L5077" s="4" t="s">
        <v>47</v>
      </c>
    </row>
    <row r="5078" customFormat="false" ht="17.15" hidden="false" customHeight="false" outlineLevel="0" collapsed="false">
      <c r="A5078" s="1" t="s">
        <v>938</v>
      </c>
      <c r="B5078" s="1" t="s">
        <v>213</v>
      </c>
      <c r="F5078" s="34" t="n">
        <f aca="false">1-0.5</f>
        <v>0.5</v>
      </c>
      <c r="G5078" s="34" t="n">
        <f aca="false">2-0.5</f>
        <v>1.5</v>
      </c>
      <c r="H5078" s="34" t="n">
        <f aca="false">3-0.5</f>
        <v>2.5</v>
      </c>
      <c r="I5078" s="34" t="n">
        <f aca="false">4-0.5</f>
        <v>3.5</v>
      </c>
      <c r="J5078" s="34" t="n">
        <f aca="false">5-0.5</f>
        <v>4.5</v>
      </c>
      <c r="K5078" s="34" t="n">
        <f aca="false">6-0.5</f>
        <v>5.5</v>
      </c>
    </row>
    <row r="5079" customFormat="false" ht="15" hidden="false" customHeight="false" outlineLevel="0" collapsed="false">
      <c r="A5079" s="1" t="s">
        <v>939</v>
      </c>
      <c r="B5079" s="0" t="s">
        <v>182</v>
      </c>
      <c r="F5079" s="18" t="n">
        <f aca="false">1/(1+wacc)^Sens!F5078</f>
        <v>0.949601579913219</v>
      </c>
      <c r="G5079" s="18" t="n">
        <f aca="false">1/(1+wacc)^Sens!G5078</f>
        <v>0.856296729956707</v>
      </c>
      <c r="H5079" s="18" t="n">
        <f aca="false">1/(1+wacc)^Sens!H5078</f>
        <v>0.772159719660069</v>
      </c>
      <c r="I5079" s="18" t="n">
        <f aca="false">1/(1+wacc)^Sens!I5078</f>
        <v>0.696289746073958</v>
      </c>
      <c r="J5079" s="18" t="n">
        <f aca="false">1/(1+wacc)^Sens!J5078</f>
        <v>0.627874516299776</v>
      </c>
      <c r="K5079" s="18" t="n">
        <f aca="false">1/(1+wacc)^Sens!K5078</f>
        <v>0.566181550771831</v>
      </c>
    </row>
    <row r="5080" customFormat="false" ht="15" hidden="false" customHeight="false" outlineLevel="0" collapsed="false">
      <c r="A5080" s="1" t="s">
        <v>940</v>
      </c>
      <c r="B5080" s="0" t="s">
        <v>95</v>
      </c>
      <c r="F5080" s="6" t="n">
        <f aca="false">Sens!F5061*Sens!F5079</f>
        <v>1.86539567517042</v>
      </c>
      <c r="G5080" s="6" t="n">
        <f aca="false">Sens!G5061*Sens!G5079</f>
        <v>28.7216471789244</v>
      </c>
      <c r="H5080" s="6" t="n">
        <f aca="false">Sens!H5061*Sens!H5079</f>
        <v>56.855406660641</v>
      </c>
      <c r="I5080" s="6" t="n">
        <f aca="false">Sens!I5061*Sens!I5079</f>
        <v>60.6028618643469</v>
      </c>
      <c r="J5080" s="6" t="n">
        <f aca="false">Sens!J5061*Sens!J5079</f>
        <v>71.688037132056</v>
      </c>
      <c r="K5080" s="6" t="n">
        <f aca="false">Sens!K5061*Sens!K5079</f>
        <v>62.8594652817016</v>
      </c>
    </row>
    <row r="5081" customFormat="false" ht="17.15" hidden="false" customHeight="false" outlineLevel="0" collapsed="false">
      <c r="A5081" s="1" t="s">
        <v>941</v>
      </c>
      <c r="B5081" s="0" t="s">
        <v>95</v>
      </c>
      <c r="C5081" s="6" t="n">
        <f aca="false">SUM(Sens!F5080:K5080)</f>
        <v>282.59281379284</v>
      </c>
    </row>
    <row r="5082" customFormat="false" ht="17.15" hidden="false" customHeight="false" outlineLevel="0" collapsed="false">
      <c r="A5082" s="1" t="s">
        <v>942</v>
      </c>
      <c r="B5082" s="0" t="s">
        <v>95</v>
      </c>
      <c r="C5082" s="6" t="n">
        <f aca="false">Sens!K5027*(1+g_tv)*(1-tax_f)</f>
        <v>222.911848477174</v>
      </c>
    </row>
    <row r="5083" customFormat="false" ht="17.15" hidden="false" customHeight="false" outlineLevel="0" collapsed="false">
      <c r="A5083" s="1" t="s">
        <v>943</v>
      </c>
      <c r="B5083" s="0" t="s">
        <v>95</v>
      </c>
      <c r="C5083" s="6" t="n">
        <f aca="false">Sens!$C$5082*(1-g_tv/(wacc+ronic_prem))</f>
        <v>161.539255195504</v>
      </c>
    </row>
    <row r="5084" customFormat="false" ht="17.15" hidden="false" customHeight="false" outlineLevel="0" collapsed="false">
      <c r="A5084" s="1" t="s">
        <v>944</v>
      </c>
      <c r="B5084" s="0" t="s">
        <v>95</v>
      </c>
      <c r="C5084" s="6" t="n">
        <f aca="false">Sens!$C$5083/(wacc-g_tv)</f>
        <v>2045.75310938901</v>
      </c>
    </row>
    <row r="5085" customFormat="false" ht="15" hidden="false" customHeight="false" outlineLevel="0" collapsed="false">
      <c r="A5085" s="1" t="s">
        <v>945</v>
      </c>
      <c r="B5085" s="0" t="s">
        <v>95</v>
      </c>
      <c r="C5085" s="6" t="n">
        <f aca="false">Sens!$C$5084/(1+wacc)^6</f>
        <v>1099.89280746687</v>
      </c>
    </row>
    <row r="5086" customFormat="false" ht="17.15" hidden="false" customHeight="false" outlineLevel="0" collapsed="false">
      <c r="A5086" s="0" t="s">
        <v>877</v>
      </c>
      <c r="B5086" s="0" t="s">
        <v>95</v>
      </c>
      <c r="C5086" s="6" t="n">
        <f aca="false">Sens!$C$5081+Sens!$C$5085</f>
        <v>1382.48562125971</v>
      </c>
    </row>
    <row r="5087" customFormat="false" ht="15" hidden="false" customHeight="false" outlineLevel="0" collapsed="false">
      <c r="A5087" s="1" t="s">
        <v>878</v>
      </c>
      <c r="B5087" s="0" t="s">
        <v>126</v>
      </c>
      <c r="C5087" s="7" t="n">
        <f aca="false">Sens!$C$5085/Sens!$C$5086</f>
        <v>0.795590775450276</v>
      </c>
    </row>
    <row r="5088" customFormat="false" ht="17.15" hidden="false" customHeight="false" outlineLevel="0" collapsed="false">
      <c r="A5088" s="1" t="s">
        <v>946</v>
      </c>
      <c r="B5088" s="0" t="s">
        <v>95</v>
      </c>
      <c r="C5088" s="6" t="n">
        <f aca="false">Sens!$C$5086+Sens!E5070+oai_v</f>
        <v>1583.59262125971</v>
      </c>
    </row>
    <row r="5089" customFormat="false" ht="17.15" hidden="false" customHeight="false" outlineLevel="0" collapsed="false">
      <c r="A5089" s="0" t="s">
        <v>883</v>
      </c>
      <c r="B5089" s="0" t="s">
        <v>73</v>
      </c>
      <c r="C5089" s="5" t="n">
        <f aca="false">Sens!$C$5088/sh_dil26</f>
        <v>212.47720666305</v>
      </c>
    </row>
    <row r="5090" customFormat="false" ht="17.15" hidden="false" customHeight="false" outlineLevel="0" collapsed="false">
      <c r="A5090" s="0" t="s">
        <v>947</v>
      </c>
      <c r="B5090" s="0" t="s">
        <v>73</v>
      </c>
      <c r="C5090" s="5" t="n">
        <f aca="false">Sens!$C$5089*(1+wacc)^t_roll</f>
        <v>243.710202453083</v>
      </c>
    </row>
    <row r="5091" customFormat="false" ht="17.15" hidden="false" customHeight="false" outlineLevel="0" collapsed="false">
      <c r="A5091" s="1" t="s">
        <v>948</v>
      </c>
      <c r="B5091" s="0" t="s">
        <v>126</v>
      </c>
      <c r="F5091" s="7" t="n">
        <f aca="false">Sens!F5051/(Sens!F5002-Sens!F4958)</f>
        <v>0.0681773598226415</v>
      </c>
      <c r="G5091" s="7" t="n">
        <f aca="false">Sens!G5051/(Sens!G5002-Sens!G4958)</f>
        <v>0.0650385409375172</v>
      </c>
      <c r="H5091" s="7" t="n">
        <f aca="false">Sens!H5051/(Sens!H5002-Sens!H4958)</f>
        <v>0.063382542471986</v>
      </c>
      <c r="I5091" s="7" t="n">
        <f aca="false">Sens!I5051/(Sens!I5002-Sens!I4958)</f>
        <v>0.0630998138876076</v>
      </c>
      <c r="J5091" s="7" t="n">
        <f aca="false">Sens!J5051/(Sens!J5002-Sens!J4958)</f>
        <v>0.0638399980286975</v>
      </c>
      <c r="K5091" s="7" t="n">
        <f aca="false">Sens!K5051/(Sens!K5002-Sens!K4958)</f>
        <v>0.0651531082402687</v>
      </c>
    </row>
    <row r="5092" customFormat="false" ht="17.15" hidden="false" customHeight="false" outlineLevel="0" collapsed="false">
      <c r="A5092" s="0" t="s">
        <v>949</v>
      </c>
      <c r="B5092" s="0" t="s">
        <v>95</v>
      </c>
      <c r="F5092" s="6" t="n">
        <f aca="false">Sens!F4987*(al_m365+Sens!F5091)</f>
        <v>80.4434678008041</v>
      </c>
      <c r="G5092" s="6" t="n">
        <f aca="false">Sens!G4987*(al_m365+Sens!G5091)</f>
        <v>94.1323272633269</v>
      </c>
      <c r="H5092" s="6" t="n">
        <f aca="false">Sens!H4987*(al_m365+Sens!H5091)</f>
        <v>107.983658528206</v>
      </c>
      <c r="I5092" s="6" t="n">
        <f aca="false">Sens!I4987*(al_m365+Sens!I5091)</f>
        <v>120.408335219477</v>
      </c>
      <c r="J5092" s="6" t="n">
        <f aca="false">Sens!J4987*(al_m365+Sens!J5091)</f>
        <v>131.229685027411</v>
      </c>
      <c r="K5092" s="6" t="n">
        <f aca="false">Sens!K4987*(al_m365+Sens!K5091)</f>
        <v>141.696231007978</v>
      </c>
    </row>
    <row r="5093" customFormat="false" ht="17.15" hidden="false" customHeight="false" outlineLevel="0" collapsed="false">
      <c r="A5093" s="0" t="s">
        <v>950</v>
      </c>
      <c r="B5093" s="0" t="s">
        <v>95</v>
      </c>
      <c r="F5093" s="6" t="n">
        <f aca="false">Sens!F4988*(al_lic+Sens!F5091)</f>
        <v>31.9678940661213</v>
      </c>
      <c r="G5093" s="6" t="n">
        <f aca="false">Sens!G4988*(al_lic+Sens!G5091)</f>
        <v>33.1937184472398</v>
      </c>
      <c r="H5093" s="6" t="n">
        <f aca="false">Sens!H4988*(al_lic+Sens!H5091)</f>
        <v>34.3439380840055</v>
      </c>
      <c r="I5093" s="6" t="n">
        <f aca="false">Sens!I4988*(al_lic+Sens!I5091)</f>
        <v>35.4022023072784</v>
      </c>
      <c r="J5093" s="6" t="n">
        <f aca="false">Sens!J4988*(al_lic+Sens!J5091)</f>
        <v>36.3410576398918</v>
      </c>
      <c r="K5093" s="6" t="n">
        <f aca="false">Sens!K4988*(al_lic+Sens!K5091)</f>
        <v>37.1276868757058</v>
      </c>
    </row>
    <row r="5094" customFormat="false" ht="17.15" hidden="false" customHeight="false" outlineLevel="0" collapsed="false">
      <c r="A5094" s="0" t="s">
        <v>951</v>
      </c>
      <c r="B5094" s="0" t="s">
        <v>95</v>
      </c>
      <c r="F5094" s="6" t="n">
        <f aca="false">Sens!F4990*(al_ind+Sens!F5091)</f>
        <v>8.23142235288747</v>
      </c>
      <c r="G5094" s="6" t="n">
        <f aca="false">Sens!G4990*(al_ind+Sens!G5091)</f>
        <v>8.92125445211874</v>
      </c>
      <c r="H5094" s="6" t="n">
        <f aca="false">Sens!H4990*(al_ind+Sens!H5091)</f>
        <v>9.65645689966252</v>
      </c>
      <c r="I5094" s="6" t="n">
        <f aca="false">Sens!I4990*(al_ind+Sens!I5091)</f>
        <v>10.4359305133559</v>
      </c>
      <c r="J5094" s="6" t="n">
        <f aca="false">Sens!J4990*(al_ind+Sens!J5091)</f>
        <v>11.2496615107155</v>
      </c>
      <c r="K5094" s="6" t="n">
        <f aca="false">Sens!K4990*(al_ind+Sens!K5091)</f>
        <v>12.0805802325565</v>
      </c>
    </row>
    <row r="5095" customFormat="false" ht="17.15" hidden="false" customHeight="false" outlineLevel="0" collapsed="false">
      <c r="A5095" s="0" t="s">
        <v>952</v>
      </c>
      <c r="B5095" s="0" t="s">
        <v>95</v>
      </c>
      <c r="F5095" s="6" t="n">
        <f aca="false">Sens!F4992*(al_fro+Sens!F5091)</f>
        <v>3.23991673698178</v>
      </c>
      <c r="G5095" s="6" t="n">
        <f aca="false">Sens!G4992*(al_fro+Sens!G5091)</f>
        <v>3.42523427012141</v>
      </c>
      <c r="H5095" s="6" t="n">
        <f aca="false">Sens!H4992*(al_fro+Sens!H5091)</f>
        <v>3.63888347669114</v>
      </c>
      <c r="I5095" s="6" t="n">
        <f aca="false">Sens!I4992*(al_fro+Sens!I5091)</f>
        <v>3.88382859986432</v>
      </c>
      <c r="J5095" s="6" t="n">
        <f aca="false">Sens!J4992*(al_fro+Sens!J5091)</f>
        <v>4.16055715035227</v>
      </c>
      <c r="K5095" s="6" t="n">
        <f aca="false">Sens!K4992*(al_fro+Sens!K5091)</f>
        <v>4.46786282583631</v>
      </c>
    </row>
    <row r="5096" customFormat="false" ht="17.15" hidden="false" customHeight="false" outlineLevel="0" collapsed="false">
      <c r="A5096" s="0" t="s">
        <v>953</v>
      </c>
      <c r="B5096" s="0" t="s">
        <v>95</v>
      </c>
      <c r="F5096" s="6" t="n">
        <f aca="false">Sens!F4995*(al_srch+Sens!F5091)</f>
        <v>10.1659255338338</v>
      </c>
      <c r="G5096" s="6" t="n">
        <f aca="false">Sens!G4995*(al_srch+Sens!G5091)</f>
        <v>11.1218361064416</v>
      </c>
      <c r="H5096" s="6" t="n">
        <f aca="false">Sens!H4995*(al_srch+Sens!H5091)</f>
        <v>12.1240320316325</v>
      </c>
      <c r="I5096" s="6" t="n">
        <f aca="false">Sens!I4995*(al_srch+Sens!I5091)</f>
        <v>13.1651647223307</v>
      </c>
      <c r="J5096" s="6" t="n">
        <f aca="false">Sens!J4995*(al_srch+Sens!J5091)</f>
        <v>14.2257207024961</v>
      </c>
      <c r="K5096" s="6" t="n">
        <f aca="false">Sens!K4995*(al_srch+Sens!K5091)</f>
        <v>15.2764561092572</v>
      </c>
    </row>
    <row r="5097" customFormat="false" ht="17.15" hidden="false" customHeight="false" outlineLevel="0" collapsed="false">
      <c r="A5097" s="0" t="s">
        <v>954</v>
      </c>
      <c r="B5097" s="0" t="s">
        <v>95</v>
      </c>
      <c r="F5097" s="6" t="n">
        <f aca="false">Sens!F4964</f>
        <v>39.4594407491938</v>
      </c>
      <c r="G5097" s="6" t="n">
        <f aca="false">Sens!G4964</f>
        <v>66.5527545578061</v>
      </c>
      <c r="H5097" s="6" t="n">
        <f aca="false">Sens!H4964</f>
        <v>95.219644983859</v>
      </c>
      <c r="I5097" s="6" t="n">
        <f aca="false">Sens!I4964</f>
        <v>124.031840462493</v>
      </c>
      <c r="J5097" s="6" t="n">
        <f aca="false">Sens!J4964</f>
        <v>152.919994097909</v>
      </c>
      <c r="K5097" s="6" t="n">
        <f aca="false">Sens!K4964</f>
        <v>181.852830263848</v>
      </c>
    </row>
    <row r="5098" customFormat="false" ht="17.15" hidden="false" customHeight="false" outlineLevel="0" collapsed="false">
      <c r="A5098" s="0" t="s">
        <v>955</v>
      </c>
      <c r="B5098" s="0" t="s">
        <v>95</v>
      </c>
      <c r="F5098" s="6" t="n">
        <f aca="false">Sens!F5024+Sens!F4975+Sens!F5091*(Sens!F4994-Sens!F4958)</f>
        <v>212.332596048738</v>
      </c>
      <c r="G5098" s="6" t="n">
        <f aca="false">Sens!G5024+Sens!G4975+Sens!G5091*(Sens!G4994-Sens!G4958)</f>
        <v>261.272121927779</v>
      </c>
      <c r="H5098" s="6" t="n">
        <f aca="false">Sens!H5024+Sens!H4975+Sens!H5091*(Sens!H4994-Sens!H4958)</f>
        <v>312.036229868477</v>
      </c>
      <c r="I5098" s="6" t="n">
        <f aca="false">Sens!I5024+Sens!I4975+Sens!I5091*(Sens!I4994-Sens!I4958)</f>
        <v>361.384329784202</v>
      </c>
      <c r="J5098" s="6" t="n">
        <f aca="false">Sens!J5024+Sens!J4975+Sens!J5091*(Sens!J4994-Sens!J4958)</f>
        <v>408.429256476818</v>
      </c>
      <c r="K5098" s="6" t="n">
        <f aca="false">Sens!K5024+Sens!K4975+Sens!K5091*(Sens!K4994-Sens!K4958)</f>
        <v>453.59438913975</v>
      </c>
    </row>
    <row r="5099" customFormat="false" ht="17.15" hidden="false" customHeight="false" outlineLevel="0" collapsed="false">
      <c r="A5099" s="0" t="s">
        <v>956</v>
      </c>
      <c r="B5099" s="0" t="s">
        <v>95</v>
      </c>
      <c r="F5099" s="6" t="n">
        <f aca="false">Sens!F5098-Sens!F5092-Sens!F5093-Sens!F5094-Sens!F5095-Sens!F5097</f>
        <v>48.9904543427497</v>
      </c>
      <c r="G5099" s="6" t="n">
        <f aca="false">Sens!G5098-Sens!G5092-Sens!G5093-Sens!G5094-Sens!G5095-Sens!G5097</f>
        <v>55.0468329371655</v>
      </c>
      <c r="H5099" s="6" t="n">
        <f aca="false">Sens!H5098-Sens!H5092-Sens!H5093-Sens!H5094-Sens!H5095-Sens!H5097</f>
        <v>61.1936478960528</v>
      </c>
      <c r="I5099" s="6" t="n">
        <f aca="false">Sens!I5098-Sens!I5092-Sens!I5093-Sens!I5094-Sens!I5095-Sens!I5097</f>
        <v>67.2221926817336</v>
      </c>
      <c r="J5099" s="6" t="n">
        <f aca="false">Sens!J5098-Sens!J5092-Sens!J5093-Sens!J5094-Sens!J5095-Sens!J5097</f>
        <v>72.5283010505383</v>
      </c>
      <c r="K5099" s="6" t="n">
        <f aca="false">Sens!K5098-Sens!K5092-Sens!K5093-Sens!K5094-Sens!K5095-Sens!K5097</f>
        <v>76.3691979338253</v>
      </c>
    </row>
    <row r="5100" customFormat="false" ht="17.15" hidden="false" customHeight="false" outlineLevel="0" collapsed="false">
      <c r="A5100" s="0" t="s">
        <v>957</v>
      </c>
      <c r="B5100" s="0" t="s">
        <v>95</v>
      </c>
      <c r="F5100" s="6" t="n">
        <f aca="false">Sens!F5026+Sens!F5091*Sens!F5001</f>
        <v>23.7366325885412</v>
      </c>
      <c r="G5100" s="6" t="n">
        <f aca="false">Sens!G5026+Sens!G5091*Sens!G5001</f>
        <v>24.2488001831921</v>
      </c>
      <c r="H5100" s="6" t="n">
        <f aca="false">Sens!H5026+Sens!H5091*Sens!H5001</f>
        <v>25.0191565857232</v>
      </c>
      <c r="I5100" s="6" t="n">
        <f aca="false">Sens!I5026+Sens!I5091*Sens!I5001</f>
        <v>26.0222596996374</v>
      </c>
      <c r="J5100" s="6" t="n">
        <f aca="false">Sens!J5026+Sens!J5091*Sens!J5001</f>
        <v>27.2212114824986</v>
      </c>
      <c r="K5100" s="6" t="n">
        <f aca="false">Sens!K5026+Sens!K5091*Sens!K5001</f>
        <v>28.5733379970501</v>
      </c>
    </row>
    <row r="5101" customFormat="false" ht="17.15" hidden="false" customHeight="false" outlineLevel="0" collapsed="false">
      <c r="A5101" s="0" t="s">
        <v>958</v>
      </c>
      <c r="B5101" s="0" t="s">
        <v>95</v>
      </c>
      <c r="F5101" s="6" t="n">
        <f aca="false">(Sens!F5100-Sens!F5096)*Sens!F4997/(Sens!F4997+Sens!F4999)</f>
        <v>7.43932943061911</v>
      </c>
      <c r="G5101" s="6" t="n">
        <f aca="false">(Sens!G5100-Sens!G5096)*Sens!G4997/(Sens!G4997+Sens!G4999)</f>
        <v>7.06776830757547</v>
      </c>
      <c r="H5101" s="6" t="n">
        <f aca="false">(Sens!H5100-Sens!H5096)*Sens!H4997/(Sens!H4997+Sens!H4999)</f>
        <v>6.84915463876495</v>
      </c>
      <c r="I5101" s="6" t="n">
        <f aca="false">(Sens!I5100-Sens!I5096)*Sens!I4997/(Sens!I4997+Sens!I4999)</f>
        <v>6.76716702045722</v>
      </c>
      <c r="J5101" s="6" t="n">
        <f aca="false">(Sens!J5100-Sens!J5096)*Sens!J4997/(Sens!J4997+Sens!J4999)</f>
        <v>6.80907960368748</v>
      </c>
      <c r="K5101" s="6" t="n">
        <f aca="false">(Sens!K5100-Sens!K5096)*Sens!K4997/(Sens!K4997+Sens!K4999)</f>
        <v>6.96699561313494</v>
      </c>
    </row>
    <row r="5102" customFormat="false" ht="17.15" hidden="false" customHeight="false" outlineLevel="0" collapsed="false">
      <c r="A5102" s="0" t="s">
        <v>959</v>
      </c>
      <c r="B5102" s="0" t="s">
        <v>95</v>
      </c>
      <c r="F5102" s="6" t="n">
        <f aca="false">Sens!F5100-Sens!F5096-Sens!F5101</f>
        <v>6.13137762408826</v>
      </c>
      <c r="G5102" s="6" t="n">
        <f aca="false">Sens!G5100-Sens!G5096-Sens!G5101</f>
        <v>6.05919576917505</v>
      </c>
      <c r="H5102" s="6" t="n">
        <f aca="false">Sens!H5100-Sens!H5096-Sens!H5101</f>
        <v>6.04596991532572</v>
      </c>
      <c r="I5102" s="6" t="n">
        <f aca="false">Sens!I5100-Sens!I5096-Sens!I5101</f>
        <v>6.08992795684943</v>
      </c>
      <c r="J5102" s="6" t="n">
        <f aca="false">Sens!J5100-Sens!J5096-Sens!J5101</f>
        <v>6.18641117631496</v>
      </c>
      <c r="K5102" s="6" t="n">
        <f aca="false">Sens!K5100-Sens!K5096-Sens!K5101</f>
        <v>6.32988627465802</v>
      </c>
    </row>
    <row r="5103" customFormat="false" ht="17.15" hidden="false" customHeight="false" outlineLevel="0" collapsed="false">
      <c r="A5103" s="1" t="s">
        <v>960</v>
      </c>
      <c r="B5103" s="0" t="s">
        <v>95</v>
      </c>
      <c r="C5103" s="6" t="n">
        <f aca="false">(w_ntm28*Sens!G5097+(1-w_ntm28)*Sens!H5097)*m_ai*1</f>
        <v>454.922440830797</v>
      </c>
    </row>
    <row r="5104" customFormat="false" ht="17.15" hidden="false" customHeight="false" outlineLevel="0" collapsed="false">
      <c r="A5104" s="1" t="s">
        <v>961</v>
      </c>
      <c r="B5104" s="0" t="s">
        <v>95</v>
      </c>
      <c r="C5104" s="6" t="n">
        <f aca="false">(w_ntm28*Sens!G5099+(1-w_ntm28)*Sens!H5099)*m_cloud*1</f>
        <v>788.2101899926</v>
      </c>
    </row>
    <row r="5105" customFormat="false" ht="17.15" hidden="false" customHeight="false" outlineLevel="0" collapsed="false">
      <c r="A5105" s="1" t="s">
        <v>962</v>
      </c>
      <c r="B5105" s="0" t="s">
        <v>95</v>
      </c>
      <c r="C5105" s="6" t="n">
        <f aca="false">(w_ntm28*Sens!G5092+(1-w_ntm28)*Sens!H5092)*m_sw*1</f>
        <v>1064.99115242739</v>
      </c>
    </row>
    <row r="5106" customFormat="false" ht="17.15" hidden="false" customHeight="false" outlineLevel="0" collapsed="false">
      <c r="A5106" s="1" t="s">
        <v>963</v>
      </c>
      <c r="B5106" s="0" t="s">
        <v>95</v>
      </c>
      <c r="C5106" s="6" t="n">
        <f aca="false">(w_ntm28*Sens!G5093+(1-w_ntm28)*Sens!H5093)*m_sw*1</f>
        <v>362.508158970174</v>
      </c>
    </row>
    <row r="5107" customFormat="false" ht="17.15" hidden="false" customHeight="false" outlineLevel="0" collapsed="false">
      <c r="A5107" s="1" t="s">
        <v>964</v>
      </c>
      <c r="B5107" s="0" t="s">
        <v>95</v>
      </c>
      <c r="C5107" s="6" t="n">
        <f aca="false">(w_ntm28*Sens!G5094+(1-w_ntm28)*Sens!H5094)*m_sw*1</f>
        <v>98.9165124641147</v>
      </c>
    </row>
    <row r="5108" customFormat="false" ht="17.15" hidden="false" customHeight="false" outlineLevel="0" collapsed="false">
      <c r="A5108" s="1" t="s">
        <v>965</v>
      </c>
      <c r="B5108" s="0" t="s">
        <v>95</v>
      </c>
      <c r="C5108" s="6" t="n">
        <f aca="false">(w_ntm28*Sens!G5095+(1-w_ntm28)*Sens!H5095)*m_sw*1</f>
        <v>37.7384877854002</v>
      </c>
    </row>
    <row r="5109" customFormat="false" ht="17.15" hidden="false" customHeight="false" outlineLevel="0" collapsed="false">
      <c r="A5109" s="1" t="s">
        <v>966</v>
      </c>
      <c r="B5109" s="0" t="s">
        <v>95</v>
      </c>
      <c r="C5109" s="6" t="n">
        <f aca="false">(w_ntm28*Sens!G5096+(1-w_ntm28)*Sens!H5096)*m_ads*1</f>
        <v>104.271544945195</v>
      </c>
    </row>
    <row r="5110" customFormat="false" ht="17.15" hidden="false" customHeight="false" outlineLevel="0" collapsed="false">
      <c r="A5110" s="1" t="s">
        <v>967</v>
      </c>
      <c r="B5110" s="0" t="s">
        <v>95</v>
      </c>
      <c r="C5110" s="6" t="n">
        <f aca="false">(w_ntm28*Sens!G5101+(1-w_ntm28)*Sens!H5101)*m_game*1</f>
        <v>88.3732871625547</v>
      </c>
    </row>
    <row r="5111" customFormat="false" ht="17.15" hidden="false" customHeight="false" outlineLevel="0" collapsed="false">
      <c r="A5111" s="1" t="s">
        <v>968</v>
      </c>
      <c r="B5111" s="0" t="s">
        <v>95</v>
      </c>
      <c r="C5111" s="6" t="n">
        <f aca="false">(w_ntm28*Sens!G5102+(1-w_ntm28)*Sens!H5102)*m_pc*1</f>
        <v>87.614692598008</v>
      </c>
    </row>
    <row r="5112" customFormat="false" ht="17.15" hidden="false" customHeight="false" outlineLevel="0" collapsed="false">
      <c r="A5112" s="1" t="s">
        <v>969</v>
      </c>
      <c r="B5112" s="0" t="s">
        <v>95</v>
      </c>
      <c r="C5112" s="6" t="n">
        <f aca="false">Sens!$C$5103+Sens!$C$5104+Sens!$C$5105+Sens!$C$5106+Sens!$C$5107+Sens!$C$5108+Sens!$C$5109+Sens!$C$5110+Sens!$C$5111</f>
        <v>3087.54646717623</v>
      </c>
    </row>
    <row r="5113" customFormat="false" ht="17.15" hidden="false" customHeight="false" outlineLevel="0" collapsed="false">
      <c r="A5113" s="1" t="s">
        <v>903</v>
      </c>
      <c r="B5113" s="0" t="s">
        <v>95</v>
      </c>
      <c r="C5113" s="6" t="n">
        <f aca="false">Sens!F5070+oai_v-Sens!F5059</f>
        <v>112.007718243041</v>
      </c>
      <c r="L5113" s="1" t="s">
        <v>970</v>
      </c>
    </row>
    <row r="5114" customFormat="false" ht="15" hidden="false" customHeight="false" outlineLevel="0" collapsed="false">
      <c r="A5114" s="1" t="s">
        <v>904</v>
      </c>
      <c r="B5114" s="0" t="s">
        <v>73</v>
      </c>
      <c r="C5114" s="5" t="n">
        <f aca="false">(Sens!$C$5112+Sens!$C$5113)/Sens!F5072</f>
        <v>428.205859932986</v>
      </c>
    </row>
    <row r="5115" customFormat="false" ht="17.15" hidden="false" customHeight="false" outlineLevel="0" collapsed="false">
      <c r="A5115" s="1" t="s">
        <v>971</v>
      </c>
      <c r="B5115" s="0" t="s">
        <v>73</v>
      </c>
      <c r="C5115" s="5" t="n">
        <f aca="false">w_dcf*Sens!$C$5090+(1-w_dcf)*Sens!$C$5114</f>
        <v>335.958031193034</v>
      </c>
    </row>
    <row r="5116" customFormat="false" ht="17.15" hidden="false" customHeight="false" outlineLevel="0" collapsed="false">
      <c r="A5116" s="3" t="s">
        <v>1259</v>
      </c>
    </row>
    <row r="5117" customFormat="false" ht="15" hidden="false" customHeight="false" outlineLevel="0" collapsed="false">
      <c r="A5117" s="4" t="s">
        <v>43</v>
      </c>
      <c r="B5117" s="4" t="s">
        <v>63</v>
      </c>
      <c r="C5117" s="19" t="s">
        <v>710</v>
      </c>
      <c r="D5117" s="19" t="s">
        <v>711</v>
      </c>
      <c r="E5117" s="19" t="s">
        <v>712</v>
      </c>
      <c r="F5117" s="19" t="s">
        <v>713</v>
      </c>
      <c r="G5117" s="19" t="s">
        <v>714</v>
      </c>
      <c r="H5117" s="19" t="s">
        <v>715</v>
      </c>
      <c r="I5117" s="19" t="s">
        <v>716</v>
      </c>
      <c r="J5117" s="19" t="s">
        <v>717</v>
      </c>
      <c r="K5117" s="19" t="s">
        <v>718</v>
      </c>
      <c r="L5117" s="4" t="s">
        <v>47</v>
      </c>
    </row>
    <row r="5118" customFormat="false" ht="17.15" hidden="false" customHeight="false" outlineLevel="0" collapsed="false">
      <c r="A5118" s="1" t="s">
        <v>719</v>
      </c>
      <c r="B5118" s="0" t="s">
        <v>340</v>
      </c>
      <c r="C5118" s="27" t="n">
        <f aca="false">mw_ext_24</f>
        <v>640</v>
      </c>
      <c r="D5118" s="27" t="n">
        <f aca="false">mw_ext_25</f>
        <v>1630</v>
      </c>
      <c r="E5118" s="27" t="n">
        <f aca="false">mw_ext_26</f>
        <v>3250</v>
      </c>
      <c r="F5118" s="27" t="n">
        <f aca="false">MIN(1000000000,Sens!E5118+pace)</f>
        <v>5777.2</v>
      </c>
      <c r="G5118" s="27" t="n">
        <f aca="false">MIN(1000000000,Sens!F5118+pace)</f>
        <v>8304.4</v>
      </c>
      <c r="H5118" s="27" t="n">
        <f aca="false">MIN(1000000000,Sens!G5118+pace)</f>
        <v>10831.6</v>
      </c>
      <c r="I5118" s="27" t="n">
        <f aca="false">MIN(1000000000,Sens!H5118+pace)</f>
        <v>13358.8</v>
      </c>
      <c r="J5118" s="27" t="n">
        <f aca="false">MIN(1000000000,Sens!I5118+pace)</f>
        <v>15886</v>
      </c>
      <c r="K5118" s="27" t="n">
        <f aca="false">MIN(1000000000,Sens!J5118+pace)</f>
        <v>18413.2</v>
      </c>
      <c r="L5118" s="11" t="s">
        <v>720</v>
      </c>
    </row>
    <row r="5119" customFormat="false" ht="17.15" hidden="false" customHeight="false" outlineLevel="0" collapsed="false">
      <c r="A5119" s="1" t="s">
        <v>721</v>
      </c>
      <c r="B5119" s="0" t="s">
        <v>340</v>
      </c>
      <c r="C5119" s="27" t="n">
        <f aca="false">rent_ext_24</f>
        <v>150</v>
      </c>
      <c r="D5119" s="27" t="n">
        <f aca="false">rent_ext_25</f>
        <v>400</v>
      </c>
      <c r="E5119" s="27" t="n">
        <f aca="false">rent_ext_26</f>
        <v>550</v>
      </c>
      <c r="F5119" s="27" t="n">
        <f aca="false">rent_ext_f</f>
        <v>756</v>
      </c>
      <c r="G5119" s="27" t="n">
        <f aca="false">rent_ext_f</f>
        <v>756</v>
      </c>
      <c r="H5119" s="27" t="n">
        <f aca="false">rent_ext_f</f>
        <v>756</v>
      </c>
      <c r="I5119" s="27" t="n">
        <f aca="false">rent_ext_f</f>
        <v>756</v>
      </c>
      <c r="J5119" s="27" t="n">
        <f aca="false">rent_ext_f</f>
        <v>756</v>
      </c>
      <c r="K5119" s="27" t="n">
        <f aca="false">rent_ext_f</f>
        <v>756</v>
      </c>
      <c r="L5119" s="1" t="s">
        <v>722</v>
      </c>
    </row>
    <row r="5120" customFormat="false" ht="17.15" hidden="false" customHeight="false" outlineLevel="0" collapsed="false">
      <c r="A5120" s="1" t="s">
        <v>723</v>
      </c>
      <c r="B5120" s="0" t="s">
        <v>340</v>
      </c>
      <c r="C5120" s="27" t="n">
        <f aca="false">Sens!C5118-Sens!C5119</f>
        <v>490</v>
      </c>
      <c r="D5120" s="27" t="n">
        <f aca="false">Sens!D5118-Sens!D5119</f>
        <v>1230</v>
      </c>
      <c r="E5120" s="27" t="n">
        <f aca="false">Sens!E5118-Sens!E5119</f>
        <v>2700</v>
      </c>
      <c r="F5120" s="27" t="n">
        <f aca="false">Sens!F5118-Sens!F5119</f>
        <v>5021.2</v>
      </c>
      <c r="G5120" s="27" t="n">
        <f aca="false">Sens!G5118-Sens!G5119</f>
        <v>7548.4</v>
      </c>
      <c r="H5120" s="27" t="n">
        <f aca="false">Sens!H5118-Sens!H5119</f>
        <v>10075.6</v>
      </c>
      <c r="I5120" s="27" t="n">
        <f aca="false">Sens!I5118-Sens!I5119</f>
        <v>12602.8</v>
      </c>
      <c r="J5120" s="27" t="n">
        <f aca="false">Sens!J5118-Sens!J5119</f>
        <v>15130</v>
      </c>
      <c r="K5120" s="27" t="n">
        <f aca="false">Sens!K5118-Sens!K5119</f>
        <v>17657.2</v>
      </c>
    </row>
    <row r="5121" customFormat="false" ht="17.15" hidden="false" customHeight="false" outlineLevel="0" collapsed="false">
      <c r="A5121" s="1" t="s">
        <v>724</v>
      </c>
      <c r="B5121" s="0" t="s">
        <v>340</v>
      </c>
      <c r="C5121" s="27" t="n">
        <f aca="false">Sens!C5120/ext_sh</f>
        <v>816.666666666667</v>
      </c>
      <c r="D5121" s="27" t="n">
        <f aca="false">Sens!D5120/ext_sh</f>
        <v>2050</v>
      </c>
      <c r="E5121" s="27" t="n">
        <f aca="false">Sens!E5120/ext_sh</f>
        <v>4500</v>
      </c>
      <c r="F5121" s="27" t="n">
        <f aca="false">Sens!F5120/ext_sh</f>
        <v>8368.66666666667</v>
      </c>
      <c r="G5121" s="27" t="n">
        <f aca="false">Sens!G5120/ext_sh</f>
        <v>12580.6666666667</v>
      </c>
      <c r="H5121" s="27" t="n">
        <f aca="false">Sens!H5120/ext_sh</f>
        <v>16792.6666666667</v>
      </c>
      <c r="I5121" s="27" t="n">
        <f aca="false">Sens!I5120/ext_sh</f>
        <v>21004.6666666667</v>
      </c>
      <c r="J5121" s="27" t="n">
        <f aca="false">Sens!J5120/ext_sh</f>
        <v>25216.6666666667</v>
      </c>
      <c r="K5121" s="27" t="n">
        <f aca="false">Sens!K5120/ext_sh</f>
        <v>29428.6666666667</v>
      </c>
      <c r="L5121" s="1" t="s">
        <v>725</v>
      </c>
    </row>
    <row r="5122" customFormat="false" ht="17.15" hidden="false" customHeight="false" outlineLevel="0" collapsed="false">
      <c r="A5122" s="1" t="s">
        <v>726</v>
      </c>
      <c r="B5122" s="0" t="s">
        <v>340</v>
      </c>
      <c r="C5122" s="27" t="n">
        <f aca="false">Sens!C5121-Sens!C5120</f>
        <v>326.666666666667</v>
      </c>
      <c r="D5122" s="27" t="n">
        <f aca="false">Sens!D5121-Sens!D5120</f>
        <v>820</v>
      </c>
      <c r="E5122" s="27" t="n">
        <f aca="false">Sens!E5121-Sens!E5120</f>
        <v>1800</v>
      </c>
      <c r="F5122" s="27" t="n">
        <f aca="false">Sens!F5121-Sens!F5120</f>
        <v>3347.46666666667</v>
      </c>
      <c r="G5122" s="27" t="n">
        <f aca="false">Sens!G5121-Sens!G5120</f>
        <v>5032.26666666667</v>
      </c>
      <c r="H5122" s="27" t="n">
        <f aca="false">Sens!H5121-Sens!H5120</f>
        <v>6717.06666666667</v>
      </c>
      <c r="I5122" s="27" t="n">
        <f aca="false">Sens!I5121-Sens!I5120</f>
        <v>8401.86666666667</v>
      </c>
      <c r="J5122" s="27" t="n">
        <f aca="false">Sens!J5121-Sens!J5120</f>
        <v>10086.6666666667</v>
      </c>
      <c r="K5122" s="27" t="n">
        <f aca="false">Sens!K5121-Sens!K5120</f>
        <v>11771.4666666667</v>
      </c>
    </row>
    <row r="5123" customFormat="false" ht="17.15" hidden="false" customHeight="false" outlineLevel="0" collapsed="false">
      <c r="A5123" s="1" t="s">
        <v>727</v>
      </c>
      <c r="B5123" s="0" t="s">
        <v>340</v>
      </c>
      <c r="C5123" s="27" t="n">
        <f aca="false">Sens!C5121</f>
        <v>816.666666666667</v>
      </c>
      <c r="D5123" s="27" t="n">
        <f aca="false">Sens!D5121-Sens!C5121</f>
        <v>1233.33333333333</v>
      </c>
      <c r="E5123" s="27" t="n">
        <f aca="false">Sens!E5121-Sens!D5121</f>
        <v>2450</v>
      </c>
      <c r="F5123" s="27" t="n">
        <f aca="false">Sens!F5121-Sens!E5121</f>
        <v>3868.66666666667</v>
      </c>
      <c r="G5123" s="27" t="n">
        <f aca="false">Sens!G5121-Sens!F5121</f>
        <v>4212</v>
      </c>
      <c r="H5123" s="27" t="n">
        <f aca="false">Sens!H5121-Sens!G5121</f>
        <v>4212</v>
      </c>
      <c r="I5123" s="27" t="n">
        <f aca="false">Sens!I5121-Sens!H5121</f>
        <v>4212</v>
      </c>
      <c r="J5123" s="27" t="n">
        <f aca="false">Sens!J5121-Sens!I5121</f>
        <v>4212</v>
      </c>
      <c r="K5123" s="27" t="n">
        <f aca="false">Sens!K5121-Sens!J5121</f>
        <v>4212</v>
      </c>
    </row>
    <row r="5124" customFormat="false" ht="17.15" hidden="false" customHeight="false" outlineLevel="0" collapsed="false">
      <c r="A5124" s="1" t="s">
        <v>728</v>
      </c>
      <c r="B5124" s="0" t="s">
        <v>340</v>
      </c>
      <c r="D5124" s="27" t="n">
        <f aca="false">Sens!D5118-Sens!C5118</f>
        <v>990</v>
      </c>
      <c r="E5124" s="27" t="n">
        <f aca="false">Sens!E5118-Sens!D5118</f>
        <v>1620</v>
      </c>
      <c r="F5124" s="27" t="n">
        <f aca="false">Sens!F5118-Sens!E5118</f>
        <v>2527.2</v>
      </c>
      <c r="G5124" s="27" t="n">
        <f aca="false">Sens!G5118-Sens!F5118</f>
        <v>2527.2</v>
      </c>
      <c r="H5124" s="27" t="n">
        <f aca="false">Sens!H5118-Sens!G5118</f>
        <v>2527.2</v>
      </c>
      <c r="I5124" s="27" t="n">
        <f aca="false">Sens!I5118-Sens!H5118</f>
        <v>2527.2</v>
      </c>
      <c r="J5124" s="27" t="n">
        <f aca="false">Sens!J5118-Sens!I5118</f>
        <v>2527.2</v>
      </c>
      <c r="K5124" s="27" t="n">
        <f aca="false">Sens!K5118-Sens!J5118</f>
        <v>2527.2</v>
      </c>
    </row>
    <row r="5125" customFormat="false" ht="17.15" hidden="false" customHeight="false" outlineLevel="0" collapsed="false">
      <c r="A5125" s="1" t="s">
        <v>729</v>
      </c>
      <c r="B5125" s="0" t="s">
        <v>340</v>
      </c>
      <c r="C5125" s="27" t="n">
        <f aca="false">mix_h*Sens!C5118</f>
        <v>128</v>
      </c>
      <c r="D5125" s="27" t="n">
        <f aca="false">mix_h*Sens!D5118</f>
        <v>326</v>
      </c>
      <c r="E5125" s="27" t="n">
        <f aca="false">mix_h*Sens!E5118</f>
        <v>650</v>
      </c>
      <c r="F5125" s="27" t="n">
        <f aca="false">Sens!E5125</f>
        <v>650</v>
      </c>
      <c r="G5125" s="27" t="n">
        <f aca="false">Sens!F5125</f>
        <v>650</v>
      </c>
      <c r="H5125" s="27" t="n">
        <f aca="false">Sens!G5125</f>
        <v>650</v>
      </c>
      <c r="I5125" s="27" t="n">
        <f aca="false">Sens!H5125</f>
        <v>650</v>
      </c>
      <c r="J5125" s="27" t="n">
        <f aca="false">Sens!I5125</f>
        <v>650</v>
      </c>
      <c r="K5125" s="27" t="n">
        <f aca="false">Sens!J5125</f>
        <v>650</v>
      </c>
    </row>
    <row r="5126" customFormat="false" ht="17.15" hidden="false" customHeight="false" outlineLevel="0" collapsed="false">
      <c r="A5126" s="1" t="s">
        <v>730</v>
      </c>
      <c r="B5126" s="0" t="s">
        <v>340</v>
      </c>
      <c r="C5126" s="27" t="n">
        <f aca="false">mix_g2*Sens!C5118</f>
        <v>288</v>
      </c>
      <c r="D5126" s="27" t="n">
        <f aca="false">mix_g2*Sens!D5118</f>
        <v>733.5</v>
      </c>
      <c r="E5126" s="27" t="n">
        <f aca="false">mix_g2*Sens!E5118</f>
        <v>1462.5</v>
      </c>
      <c r="F5126" s="27" t="n">
        <f aca="false">Sens!E5126</f>
        <v>1462.5</v>
      </c>
      <c r="G5126" s="27" t="n">
        <f aca="false">Sens!F5126</f>
        <v>1462.5</v>
      </c>
      <c r="H5126" s="27" t="n">
        <f aca="false">Sens!G5126</f>
        <v>1462.5</v>
      </c>
      <c r="I5126" s="27" t="n">
        <f aca="false">Sens!H5126</f>
        <v>1462.5</v>
      </c>
      <c r="J5126" s="27" t="n">
        <f aca="false">Sens!I5126</f>
        <v>1462.5</v>
      </c>
      <c r="K5126" s="27" t="n">
        <f aca="false">Sens!J5126</f>
        <v>1462.5</v>
      </c>
    </row>
    <row r="5127" customFormat="false" ht="17.15" hidden="false" customHeight="false" outlineLevel="0" collapsed="false">
      <c r="A5127" s="1" t="s">
        <v>731</v>
      </c>
      <c r="B5127" s="0" t="s">
        <v>340</v>
      </c>
      <c r="C5127" s="27" t="n">
        <f aca="false">mix_g3*Sens!C5118</f>
        <v>224</v>
      </c>
      <c r="D5127" s="27" t="n">
        <f aca="false">mix_g3*Sens!D5118</f>
        <v>570.5</v>
      </c>
      <c r="E5127" s="27" t="n">
        <f aca="false">mix_g3*Sens!E5118</f>
        <v>1137.5</v>
      </c>
      <c r="F5127" s="27" t="n">
        <f aca="false">Sens!E5127+Sens!F5124*a_g3_27</f>
        <v>2906.54</v>
      </c>
      <c r="G5127" s="27" t="n">
        <f aca="false">Sens!F5127+Sens!G5124*a_g3_28</f>
        <v>3664.7</v>
      </c>
      <c r="H5127" s="27" t="n">
        <f aca="false">Sens!G5127+Sens!H5124*a_g3_29</f>
        <v>3917.42</v>
      </c>
      <c r="I5127" s="27" t="n">
        <f aca="false">Sens!H5127+Sens!I5124*a_g3_29</f>
        <v>4170.14</v>
      </c>
      <c r="J5127" s="27" t="n">
        <f aca="false">Sens!I5127+Sens!J5124*a_g3_29</f>
        <v>4422.86</v>
      </c>
      <c r="K5127" s="27" t="n">
        <f aca="false">Sens!J5127+Sens!K5124*a_g3_29</f>
        <v>4675.58</v>
      </c>
    </row>
    <row r="5128" customFormat="false" ht="17.15" hidden="false" customHeight="false" outlineLevel="0" collapsed="false">
      <c r="A5128" s="1" t="s">
        <v>732</v>
      </c>
      <c r="B5128" s="0" t="s">
        <v>340</v>
      </c>
      <c r="C5128" s="27" t="n">
        <f aca="false">0</f>
        <v>0</v>
      </c>
      <c r="D5128" s="27" t="n">
        <f aca="false">0</f>
        <v>0</v>
      </c>
      <c r="E5128" s="27" t="n">
        <f aca="false">0</f>
        <v>0</v>
      </c>
      <c r="F5128" s="27" t="n">
        <f aca="false">Sens!E5128+Sens!F5124*(1-a_g3_27)</f>
        <v>758.16</v>
      </c>
      <c r="G5128" s="27" t="n">
        <f aca="false">Sens!F5128+Sens!G5124*(1-a_g3_28)</f>
        <v>2527.2</v>
      </c>
      <c r="H5128" s="27" t="n">
        <f aca="false">Sens!G5128+Sens!H5124*(1-a_g3_29)</f>
        <v>4801.68</v>
      </c>
      <c r="I5128" s="27" t="n">
        <f aca="false">Sens!H5128+Sens!I5124*(1-a_g3_29)</f>
        <v>7076.16</v>
      </c>
      <c r="J5128" s="27" t="n">
        <f aca="false">Sens!I5128+Sens!J5124*(1-a_g3_29)</f>
        <v>9350.64</v>
      </c>
      <c r="K5128" s="27" t="n">
        <f aca="false">Sens!J5128+Sens!K5124*(1-a_g3_29)</f>
        <v>11625.12</v>
      </c>
    </row>
    <row r="5129" customFormat="false" ht="17.15" hidden="false" customHeight="false" outlineLevel="0" collapsed="false">
      <c r="A5129" s="1" t="s">
        <v>733</v>
      </c>
      <c r="B5129" s="0" t="s">
        <v>291</v>
      </c>
      <c r="C5129" s="18" t="n">
        <f aca="false">(Sens!C5125*tk_hold_h100+Sens!C5126*tk_hold_gb200+Sens!C5127*tk_hold_gb300+Sens!C5128*tk_hold_vr200)/Sens!C5118</f>
        <v>9.7235358126469</v>
      </c>
      <c r="D5129" s="18" t="n">
        <f aca="false">(Sens!D5125*tk_hold_h100+Sens!D5126*tk_hold_gb200+Sens!D5127*tk_hold_gb300+Sens!D5128*tk_hold_vr200)/Sens!D5118</f>
        <v>9.7235358126469</v>
      </c>
      <c r="E5129" s="18" t="n">
        <f aca="false">(Sens!E5125*tk_hold_h100+Sens!E5126*tk_hold_gb200+Sens!E5127*tk_hold_gb300+Sens!E5128*tk_hold_vr200)/Sens!E5118</f>
        <v>9.7235358126469</v>
      </c>
      <c r="F5129" s="18" t="n">
        <f aca="false">(Sens!F5125*tk_hold_h100+Sens!F5126*tk_hold_gb200+Sens!F5127*tk_hold_gb300+Sens!F5128*tk_hold_vr200)/Sens!F5118</f>
        <v>10.4079573161931</v>
      </c>
      <c r="G5129" s="18" t="n">
        <f aca="false">(Sens!G5125*tk_hold_h100+Sens!G5126*tk_hold_gb200+Sens!G5127*tk_hold_gb300+Sens!G5128*tk_hold_vr200)/Sens!G5118</f>
        <v>10.8388131109316</v>
      </c>
      <c r="H5129" s="18" t="n">
        <f aca="false">(Sens!H5125*tk_hold_h100+Sens!H5126*tk_hold_gb200+Sens!H5127*tk_hold_gb300+Sens!H5128*tk_hold_vr200)/Sens!H5118</f>
        <v>11.1311018388216</v>
      </c>
      <c r="I5129" s="18" t="n">
        <f aca="false">(Sens!I5125*tk_hold_h100+Sens!I5126*tk_hold_gb200+Sens!I5127*tk_hold_gb300+Sens!I5128*tk_hold_vr200)/Sens!I5118</f>
        <v>11.3128009818501</v>
      </c>
      <c r="J5129" s="18" t="n">
        <f aca="false">(Sens!J5125*tk_hold_h100+Sens!J5126*tk_hold_gb200+Sens!J5127*tk_hold_gb300+Sens!J5128*tk_hold_vr200)/Sens!J5118</f>
        <v>11.4366894646418</v>
      </c>
      <c r="K5129" s="18" t="n">
        <f aca="false">(Sens!K5125*tk_hold_h100+Sens!K5126*tk_hold_gb200+Sens!K5127*tk_hold_gb300+Sens!K5128*tk_hold_vr200)/Sens!K5118</f>
        <v>11.526570716348</v>
      </c>
    </row>
    <row r="5130" customFormat="false" ht="17.15" hidden="false" customHeight="false" outlineLevel="0" collapsed="false">
      <c r="A5130" s="0" t="s">
        <v>734</v>
      </c>
      <c r="B5130" s="0" t="s">
        <v>182</v>
      </c>
      <c r="C5130" s="18" t="n">
        <f aca="false">k_B</f>
        <v>1.17213932619116</v>
      </c>
      <c r="D5130" s="18" t="n">
        <f aca="false">k_B</f>
        <v>1.17213932619116</v>
      </c>
      <c r="E5130" s="18" t="n">
        <f aca="false">k_B</f>
        <v>1.17213932619116</v>
      </c>
      <c r="F5130" s="18" t="n">
        <f aca="false">(k_B+((ls_C*k_long+(1-ls_C)*k_spot)-k_B)*MIN(1,1/3))*1</f>
        <v>1.07843258004497</v>
      </c>
      <c r="G5130" s="18" t="n">
        <f aca="false">(k_B+((ls_C*k_long+(1-ls_C)*k_spot)-k_B)*MIN(1,2/3))*1</f>
        <v>0.984725833898784</v>
      </c>
      <c r="H5130" s="18" t="n">
        <f aca="false">(k_B+((ls_C*k_long+(1-ls_C)*k_spot)-k_B)*MIN(1,3/3))*1</f>
        <v>0.891019087752599</v>
      </c>
      <c r="I5130" s="18" t="n">
        <f aca="false">(k_B+((ls_C*k_long+(1-ls_C)*k_spot)-k_B)*MIN(1,4/3))*1</f>
        <v>0.891019087752599</v>
      </c>
      <c r="J5130" s="18" t="n">
        <f aca="false">(k_B+((ls_C*k_long+(1-ls_C)*k_spot)-k_B)*MIN(1,5/3))*1</f>
        <v>0.891019087752599</v>
      </c>
      <c r="K5130" s="18" t="n">
        <f aca="false">(k_B+((ls_C*k_long+(1-ls_C)*k_spot)-k_B)*MIN(1,6/3))*1</f>
        <v>0.891019087752599</v>
      </c>
      <c r="L5130" s="1" t="s">
        <v>735</v>
      </c>
    </row>
    <row r="5131" customFormat="false" ht="17.15" hidden="false" customHeight="false" outlineLevel="0" collapsed="false">
      <c r="A5131" s="1" t="s">
        <v>736</v>
      </c>
      <c r="B5131" s="0" t="s">
        <v>291</v>
      </c>
      <c r="C5131" s="18" t="n">
        <f aca="false">Sens!C5129*Sens!C5130*chip_f</f>
        <v>11.3973387156315</v>
      </c>
      <c r="D5131" s="18" t="n">
        <f aca="false">Sens!D5129*Sens!D5130*chip_f</f>
        <v>11.3973387156315</v>
      </c>
      <c r="E5131" s="18" t="n">
        <f aca="false">Sens!E5129*Sens!E5130*chip_f</f>
        <v>11.3973387156315</v>
      </c>
      <c r="F5131" s="18" t="n">
        <f aca="false">Sens!F5129*Sens!F5130*chip_f</f>
        <v>11.2242802615</v>
      </c>
      <c r="G5131" s="18" t="n">
        <f aca="false">Sens!G5129*Sens!G5130*chip_f</f>
        <v>10.6732592791352</v>
      </c>
      <c r="H5131" s="18" t="n">
        <f aca="false">Sens!H5129*Sens!H5130*chip_f</f>
        <v>9.91802420610807</v>
      </c>
      <c r="I5131" s="18" t="n">
        <f aca="false">Sens!I5129*Sens!I5130*chip_f</f>
        <v>10.0799216107748</v>
      </c>
      <c r="J5131" s="18" t="n">
        <f aca="false">Sens!J5129*Sens!J5130*chip_f</f>
        <v>10.1903086136949</v>
      </c>
      <c r="K5131" s="18" t="n">
        <f aca="false">Sens!K5129*Sens!K5130*chip_f</f>
        <v>10.2703945245962</v>
      </c>
      <c r="L5131" s="1" t="s">
        <v>737</v>
      </c>
    </row>
    <row r="5132" customFormat="false" ht="17.15" hidden="false" customHeight="false" outlineLevel="0" collapsed="false">
      <c r="A5132" s="0" t="s">
        <v>738</v>
      </c>
      <c r="B5132" s="0" t="s">
        <v>95</v>
      </c>
      <c r="D5132" s="6" t="n">
        <f aca="false">(Sens!C5118+Sens!D5118)/2*Sens!D5131/1000</f>
        <v>12.9359794422418</v>
      </c>
      <c r="E5132" s="6" t="n">
        <f aca="false">(Sens!D5118+Sens!E5118)/2*Sens!E5131/1000</f>
        <v>27.8095064661409</v>
      </c>
      <c r="F5132" s="6" t="n">
        <f aca="false">(Sens!E5118+Sens!F5118)/2*Sens!F5131/1000</f>
        <v>50.6619113883066</v>
      </c>
      <c r="G5132" s="6" t="n">
        <f aca="false">(Sens!F5118+Sens!G5118)/2*Sens!G5131/1000</f>
        <v>75.1482839325348</v>
      </c>
      <c r="H5132" s="6" t="n">
        <f aca="false">(Sens!G5118+Sens!H5118)/2*Sens!H5131/1000</f>
        <v>94.895655604042</v>
      </c>
      <c r="I5132" s="6" t="n">
        <f aca="false">(Sens!H5118+Sens!I5118)/2*Sens!I5131/1000</f>
        <v>121.918667866643</v>
      </c>
      <c r="J5132" s="6" t="n">
        <f aca="false">(Sens!I5118+Sens!J5118)/2*Sens!J5131/1000</f>
        <v>149.006768672892</v>
      </c>
      <c r="K5132" s="6" t="n">
        <f aca="false">(Sens!J5118+Sens!K5118)/2*Sens!K5131/1000</f>
        <v>176.133157939015</v>
      </c>
      <c r="L5132" s="11" t="s">
        <v>739</v>
      </c>
    </row>
    <row r="5133" customFormat="false" ht="17.15" hidden="false" customHeight="false" outlineLevel="0" collapsed="false">
      <c r="A5133" s="1" t="s">
        <v>740</v>
      </c>
      <c r="B5133" s="0" t="s">
        <v>291</v>
      </c>
      <c r="C5133" s="18" t="n">
        <f aca="false">(Sens!C5125*tk_opex_h100+Sens!C5126*tk_opex_gb200+Sens!C5127*tk_opex_gb300+Sens!C5128*tk_opex_vr200)/Sens!C5118</f>
        <v>1.88636041306092</v>
      </c>
      <c r="D5133" s="18" t="n">
        <f aca="false">(Sens!D5125*tk_opex_h100+Sens!D5126*tk_opex_gb200+Sens!D5127*tk_opex_gb300+Sens!D5128*tk_opex_vr200)/Sens!D5118</f>
        <v>1.88636041306092</v>
      </c>
      <c r="E5133" s="18" t="n">
        <f aca="false">(Sens!E5125*tk_opex_h100+Sens!E5126*tk_opex_gb200+Sens!E5127*tk_opex_gb300+Sens!E5128*tk_opex_vr200)/Sens!E5118</f>
        <v>1.88636041306092</v>
      </c>
      <c r="F5133" s="18" t="n">
        <f aca="false">(Sens!F5125*tk_opex_h100+Sens!F5126*tk_opex_gb200+Sens!F5127*tk_opex_gb300+Sens!F5128*tk_opex_vr200)/Sens!F5118</f>
        <v>1.9430236476499</v>
      </c>
      <c r="G5133" s="18" t="n">
        <f aca="false">(Sens!G5125*tk_opex_h100+Sens!G5126*tk_opex_gb200+Sens!G5127*tk_opex_gb300+Sens!G5128*tk_opex_vr200)/Sens!G5118</f>
        <v>1.9786941852423</v>
      </c>
      <c r="H5133" s="18" t="n">
        <f aca="false">(Sens!H5125*tk_opex_h100+Sens!H5126*tk_opex_gb200+Sens!H5127*tk_opex_gb300+Sens!H5128*tk_opex_vr200)/Sens!H5118</f>
        <v>2.00289275976156</v>
      </c>
      <c r="I5133" s="18" t="n">
        <f aca="false">(Sens!I5125*tk_opex_h100+Sens!I5126*tk_opex_gb200+Sens!I5127*tk_opex_gb300+Sens!I5128*tk_opex_vr200)/Sens!I5118</f>
        <v>2.01793562605478</v>
      </c>
      <c r="J5133" s="18" t="n">
        <f aca="false">(Sens!J5125*tk_opex_h100+Sens!J5126*tk_opex_gb200+Sens!J5127*tk_opex_gb300+Sens!J5128*tk_opex_vr200)/Sens!J5118</f>
        <v>2.02819234961902</v>
      </c>
      <c r="K5133" s="18" t="n">
        <f aca="false">(Sens!K5125*tk_opex_h100+Sens!K5126*tk_opex_gb200+Sens!K5127*tk_opex_gb300+Sens!K5128*tk_opex_vr200)/Sens!K5118</f>
        <v>2.0356336155994</v>
      </c>
    </row>
    <row r="5134" customFormat="false" ht="17.15" hidden="false" customHeight="false" outlineLevel="0" collapsed="false">
      <c r="A5134" s="0" t="s">
        <v>741</v>
      </c>
      <c r="B5134" s="0" t="s">
        <v>95</v>
      </c>
      <c r="D5134" s="6" t="n">
        <f aca="false">(Sens!C5121+Sens!D5121)/2*Sens!D5133/1000</f>
        <v>2.70378325872065</v>
      </c>
      <c r="E5134" s="6" t="n">
        <f aca="false">(Sens!D5121+Sens!E5121)/2*Sens!E5133/1000</f>
        <v>6.17783035277451</v>
      </c>
      <c r="F5134" s="6" t="n">
        <f aca="false">(Sens!E5121+Sens!F5121)/2*Sens!F5133/1000</f>
        <v>12.5020618235287</v>
      </c>
      <c r="G5134" s="6" t="n">
        <f aca="false">(Sens!F5121+Sens!G5121)/2*Sens!G5133/1000</f>
        <v>20.7261620256847</v>
      </c>
      <c r="H5134" s="6" t="n">
        <f aca="false">(Sens!G5121+Sens!H5121)/2*Sens!H5133/1000</f>
        <v>29.4158183316982</v>
      </c>
      <c r="I5134" s="6" t="n">
        <f aca="false">(Sens!H5121+Sens!I5121)/2*Sens!I5133/1000</f>
        <v>38.1362927516005</v>
      </c>
      <c r="J5134" s="6" t="n">
        <f aca="false">(Sens!I5121+Sens!J5121)/2*Sens!J5133/1000</f>
        <v>46.8728773279286</v>
      </c>
      <c r="K5134" s="6" t="n">
        <f aca="false">(Sens!J5121+Sens!K5121)/2*Sens!K5133/1000</f>
        <v>55.618938734484</v>
      </c>
    </row>
    <row r="5135" customFormat="false" ht="17.15" hidden="false" customHeight="false" outlineLevel="0" collapsed="false">
      <c r="A5135" s="0" t="s">
        <v>742</v>
      </c>
      <c r="B5135" s="0" t="s">
        <v>95</v>
      </c>
      <c r="D5135" s="6" t="n">
        <f aca="false">(Sens!C5119+Sens!D5119)/2*rent_mw/1000</f>
        <v>2.44475</v>
      </c>
      <c r="E5135" s="6" t="n">
        <f aca="false">(Sens!D5119+Sens!E5119)/2*rent_mw/1000</f>
        <v>4.22275</v>
      </c>
      <c r="F5135" s="6" t="n">
        <f aca="false">(Sens!E5119+Sens!F5119)/2*rent_mw/1000</f>
        <v>5.80517</v>
      </c>
      <c r="G5135" s="6" t="n">
        <f aca="false">(Sens!F5119+Sens!G5119)/2*rent_mw/1000</f>
        <v>6.72084</v>
      </c>
      <c r="H5135" s="6" t="n">
        <f aca="false">(Sens!G5119+Sens!H5119)/2*rent_mw/1000</f>
        <v>6.72084</v>
      </c>
      <c r="I5135" s="6" t="n">
        <f aca="false">(Sens!H5119+Sens!I5119)/2*rent_mw/1000</f>
        <v>6.72084</v>
      </c>
      <c r="J5135" s="6" t="n">
        <f aca="false">(Sens!I5119+Sens!J5119)/2*rent_mw/1000</f>
        <v>6.72084</v>
      </c>
      <c r="K5135" s="6" t="n">
        <f aca="false">(Sens!J5119+Sens!K5119)/2*rent_mw/1000</f>
        <v>6.72084</v>
      </c>
    </row>
    <row r="5136" customFormat="false" ht="17.15" hidden="false" customHeight="false" outlineLevel="0" collapsed="false">
      <c r="A5136" s="0" t="s">
        <v>743</v>
      </c>
      <c r="B5136" s="0" t="s">
        <v>95</v>
      </c>
      <c r="D5136" s="6" t="n">
        <f aca="false">(Sens!C5121+Sens!D5121)/2*(1-self_build)*fac_rent/1000</f>
        <v>0.853242375631075</v>
      </c>
      <c r="E5136" s="6" t="n">
        <f aca="false">(Sens!D5121+Sens!E5121)/2*(1-self_build)*fac_rent/1000</f>
        <v>1.94955961408728</v>
      </c>
      <c r="F5136" s="6" t="n">
        <f aca="false">(Sens!E5121+Sens!F5121)/2*(1-self_build)*fac_rent/1000</f>
        <v>3.83026455274573</v>
      </c>
      <c r="G5136" s="6" t="n">
        <f aca="false">(Sens!F5121+Sens!G5121)/2*(1-self_build)*fac_rent/1000</f>
        <v>6.23541590972812</v>
      </c>
      <c r="H5136" s="6" t="n">
        <f aca="false">(Sens!G5121+Sens!H5121)/2*(1-self_build)*fac_rent/1000</f>
        <v>8.74275792332679</v>
      </c>
      <c r="I5136" s="6" t="n">
        <f aca="false">(Sens!H5121+Sens!I5121)/2*(1-self_build)*fac_rent/1000</f>
        <v>11.2500999369255</v>
      </c>
      <c r="J5136" s="6" t="n">
        <f aca="false">(Sens!I5121+Sens!J5121)/2*(1-self_build)*fac_rent/1000</f>
        <v>13.7574419505241</v>
      </c>
      <c r="K5136" s="6" t="n">
        <f aca="false">(Sens!J5121+Sens!K5121)/2*(1-self_build)*fac_rent/1000</f>
        <v>16.2647839641228</v>
      </c>
      <c r="L5136" s="11" t="s">
        <v>744</v>
      </c>
    </row>
    <row r="5137" customFormat="false" ht="17.15" hidden="false" customHeight="false" outlineLevel="0" collapsed="false">
      <c r="A5137" s="1" t="s">
        <v>745</v>
      </c>
      <c r="B5137" s="0" t="s">
        <v>126</v>
      </c>
      <c r="D5137" s="7" t="n">
        <f aca="false">(Sens!C5120+Sens!D5120)/(Sens!C5121+Sens!D5121)</f>
        <v>0.6</v>
      </c>
      <c r="E5137" s="7" t="n">
        <f aca="false">(Sens!D5120+Sens!E5120)/(Sens!D5121+Sens!E5121)</f>
        <v>0.6</v>
      </c>
      <c r="F5137" s="7" t="n">
        <f aca="false">(Sens!E5120+Sens!F5120)/(Sens!E5121+Sens!F5121)</f>
        <v>0.6</v>
      </c>
      <c r="G5137" s="7" t="n">
        <f aca="false">(Sens!F5120+Sens!G5120)/(Sens!F5121+Sens!G5121)</f>
        <v>0.6</v>
      </c>
      <c r="H5137" s="7" t="n">
        <f aca="false">(Sens!G5120+Sens!H5120)/(Sens!G5121+Sens!H5121)</f>
        <v>0.6</v>
      </c>
      <c r="I5137" s="7" t="n">
        <f aca="false">(Sens!H5120+Sens!I5120)/(Sens!H5121+Sens!I5121)</f>
        <v>0.6</v>
      </c>
      <c r="J5137" s="7" t="n">
        <f aca="false">(Sens!I5120+Sens!J5120)/(Sens!I5121+Sens!J5121)</f>
        <v>0.6</v>
      </c>
      <c r="K5137" s="7" t="n">
        <f aca="false">(Sens!J5120+Sens!K5120)/(Sens!J5121+Sens!K5121)</f>
        <v>0.6</v>
      </c>
    </row>
    <row r="5138" customFormat="false" ht="17.15" hidden="false" customHeight="false" outlineLevel="0" collapsed="false">
      <c r="A5138" s="0" t="s">
        <v>746</v>
      </c>
      <c r="B5138" s="0" t="s">
        <v>95</v>
      </c>
      <c r="D5138" s="6" t="n">
        <f aca="false">Sens!D5132-Sens!D5137*(Sens!D5134+Sens!D5136)-Sens!D5135</f>
        <v>8.35701406163072</v>
      </c>
      <c r="E5138" s="6" t="n">
        <f aca="false">Sens!E5132-Sens!E5137*(Sens!E5134+Sens!E5136)-Sens!E5135</f>
        <v>18.7103224860238</v>
      </c>
      <c r="F5138" s="6" t="n">
        <f aca="false">Sens!F5132-Sens!F5137*(Sens!F5134+Sens!F5136)-Sens!F5135</f>
        <v>35.0573455625419</v>
      </c>
      <c r="G5138" s="6" t="n">
        <f aca="false">Sens!G5132-Sens!G5137*(Sens!G5134+Sens!G5136)-Sens!G5135</f>
        <v>52.2504971712871</v>
      </c>
      <c r="H5138" s="6" t="n">
        <f aca="false">Sens!H5132-Sens!H5137*(Sens!H5134+Sens!H5136)-Sens!H5135</f>
        <v>65.2796698510271</v>
      </c>
      <c r="I5138" s="6" t="n">
        <f aca="false">Sens!I5132-Sens!I5137*(Sens!I5134+Sens!I5136)-Sens!I5135</f>
        <v>85.5659922535278</v>
      </c>
      <c r="J5138" s="6" t="n">
        <f aca="false">Sens!J5132-Sens!J5137*(Sens!J5134+Sens!J5136)-Sens!J5135</f>
        <v>105.90773710582</v>
      </c>
      <c r="K5138" s="6" t="n">
        <f aca="false">Sens!K5132-Sens!K5137*(Sens!K5134+Sens!K5136)-Sens!K5135</f>
        <v>126.282084319851</v>
      </c>
    </row>
    <row r="5139" customFormat="false" ht="17.15" hidden="false" customHeight="false" outlineLevel="0" collapsed="false">
      <c r="A5139" s="1" t="s">
        <v>747</v>
      </c>
      <c r="B5139" s="0" t="s">
        <v>95</v>
      </c>
      <c r="D5139" s="6" t="n">
        <f aca="false">(1-Sens!D5137)*(Sens!D5134+Sens!D5136)</f>
        <v>1.42281025374069</v>
      </c>
      <c r="E5139" s="6" t="n">
        <f aca="false">(1-Sens!E5137)*(Sens!E5134+Sens!E5136)</f>
        <v>3.25095598674472</v>
      </c>
      <c r="F5139" s="6" t="n">
        <f aca="false">(1-Sens!F5137)*(Sens!F5134+Sens!F5136)</f>
        <v>6.53293055050977</v>
      </c>
      <c r="G5139" s="6" t="n">
        <f aca="false">(1-Sens!G5137)*(Sens!G5134+Sens!G5136)</f>
        <v>10.7846311741651</v>
      </c>
      <c r="H5139" s="6" t="n">
        <f aca="false">(1-Sens!H5137)*(Sens!H5134+Sens!H5136)</f>
        <v>15.26343050201</v>
      </c>
      <c r="I5139" s="6" t="n">
        <f aca="false">(1-Sens!I5137)*(Sens!I5134+Sens!I5136)</f>
        <v>19.7545570754104</v>
      </c>
      <c r="J5139" s="6" t="n">
        <f aca="false">(1-Sens!J5137)*(Sens!J5134+Sens!J5136)</f>
        <v>24.2521277113811</v>
      </c>
      <c r="K5139" s="6" t="n">
        <f aca="false">(1-Sens!K5137)*(Sens!K5134+Sens!K5136)</f>
        <v>28.7534890794427</v>
      </c>
    </row>
    <row r="5140" customFormat="false" ht="17.15" hidden="false" customHeight="false" outlineLevel="0" collapsed="false">
      <c r="A5140" s="1" t="s">
        <v>748</v>
      </c>
      <c r="B5140" s="0" t="s">
        <v>302</v>
      </c>
      <c r="C5140" s="8" t="n">
        <f aca="false">cxit_open</f>
        <v>27.5918995</v>
      </c>
      <c r="D5140" s="8" t="n">
        <f aca="false">cxit_open</f>
        <v>27.5918995</v>
      </c>
      <c r="E5140" s="8" t="n">
        <f aca="false">cxit_open</f>
        <v>27.5918995</v>
      </c>
      <c r="F5140" s="8" t="n">
        <f aca="false">(a_g3_27*tk_cxit_gb300+(1-a_g3_27)*tk_cxit_vr200)</f>
        <v>33.8419624</v>
      </c>
      <c r="G5140" s="8" t="n">
        <f aca="false">(a_g3_28*tk_cxit_gb300+(1-a_g3_28)*tk_cxit_vr200)</f>
        <v>35.9816136</v>
      </c>
      <c r="H5140" s="8" t="n">
        <f aca="false">(a_g3_29*tk_cxit_gb300+(1-a_g3_29)*tk_cxit_vr200)</f>
        <v>37.0514392</v>
      </c>
      <c r="I5140" s="8" t="n">
        <f aca="false">(a_g3_29*tk_cxit_gb300+(1-a_g3_29)*tk_cxit_vr200)</f>
        <v>37.0514392</v>
      </c>
      <c r="J5140" s="8" t="n">
        <f aca="false">(a_g3_29*tk_cxit_gb300+(1-a_g3_29)*tk_cxit_vr200)</f>
        <v>37.0514392</v>
      </c>
      <c r="K5140" s="8" t="n">
        <f aca="false">(a_g3_29*tk_cxit_gb300+(1-a_g3_29)*tk_cxit_vr200)</f>
        <v>37.0514392</v>
      </c>
      <c r="L5140" s="11" t="s">
        <v>749</v>
      </c>
    </row>
    <row r="5141" customFormat="false" ht="17.15" hidden="false" customHeight="false" outlineLevel="0" collapsed="false">
      <c r="A5141" s="0" t="s">
        <v>750</v>
      </c>
      <c r="B5141" s="0" t="s">
        <v>340</v>
      </c>
      <c r="F5141" s="27" t="n">
        <f aca="false">Sens!C5123*IF(3=life_it,1,0)+Sens!D5123*IF(2=life_it,1,0)+Sens!E5123*IF(1=life_it,1,0)</f>
        <v>0</v>
      </c>
      <c r="G5141" s="27" t="n">
        <f aca="false">Sens!C5123*IF(4=life_it,1,0)+Sens!D5123*IF(3=life_it,1,0)+Sens!E5123*IF(2=life_it,1,0)+Sens!F5123*IF(1=life_it,1,0)</f>
        <v>0</v>
      </c>
      <c r="H5141" s="27" t="n">
        <f aca="false">Sens!C5123*IF(5=life_it,1,0)+Sens!D5123*IF(4=life_it,1,0)+Sens!E5123*IF(3=life_it,1,0)+Sens!F5123*IF(2=life_it,1,0)+Sens!G5123*IF(1=life_it,1,0)</f>
        <v>0</v>
      </c>
      <c r="I5141" s="27" t="n">
        <f aca="false">Sens!C5123*IF(6=life_it,1,0)+Sens!D5123*IF(5=life_it,1,0)+Sens!E5123*IF(4=life_it,1,0)+Sens!F5123*IF(3=life_it,1,0)+Sens!G5123*IF(2=life_it,1,0)+Sens!H5123*IF(1=life_it,1,0)</f>
        <v>816.666666666667</v>
      </c>
      <c r="J5141" s="27" t="n">
        <f aca="false">Sens!C5123*IF(7=life_it,1,0)+Sens!D5123*IF(6=life_it,1,0)+Sens!E5123*IF(5=life_it,1,0)+Sens!F5123*IF(4=life_it,1,0)+Sens!G5123*IF(3=life_it,1,0)+Sens!H5123*IF(2=life_it,1,0)+Sens!I5123*IF(1=life_it,1,0)</f>
        <v>1233.33333333333</v>
      </c>
      <c r="K5141" s="27" t="n">
        <f aca="false">Sens!C5123*IF(8=life_it,1,0)+Sens!D5123*IF(7=life_it,1,0)+Sens!E5123*IF(6=life_it,1,0)+Sens!F5123*IF(5=life_it,1,0)+Sens!G5123*IF(4=life_it,1,0)+Sens!H5123*IF(3=life_it,1,0)+Sens!I5123*IF(2=life_it,1,0)+Sens!J5123*IF(1=life_it,1,0)</f>
        <v>2450</v>
      </c>
      <c r="L5141" s="1" t="s">
        <v>751</v>
      </c>
    </row>
    <row r="5142" customFormat="false" ht="17.15" hidden="false" customHeight="false" outlineLevel="0" collapsed="false">
      <c r="A5142" s="0" t="s">
        <v>752</v>
      </c>
      <c r="B5142" s="0" t="s">
        <v>95</v>
      </c>
      <c r="C5142" s="6" t="n">
        <f aca="false">Sens!C5123*Sens!C5140/1000</f>
        <v>22.5333845916667</v>
      </c>
      <c r="D5142" s="6" t="n">
        <f aca="false">Sens!D5123*Sens!D5140/1000</f>
        <v>34.0300093833333</v>
      </c>
      <c r="E5142" s="6" t="n">
        <f aca="false">Sens!E5123*Sens!E5140/1000</f>
        <v>67.600153775</v>
      </c>
      <c r="F5142" s="6" t="n">
        <f aca="false">(Sens!F5123+Sens!F5141)*Sens!F5140/1000</f>
        <v>130.923271871467</v>
      </c>
      <c r="G5142" s="6" t="n">
        <f aca="false">(Sens!G5123+Sens!G5141)*Sens!G5140/1000</f>
        <v>151.5545564832</v>
      </c>
      <c r="H5142" s="6" t="n">
        <f aca="false">(Sens!H5123+Sens!H5141)*Sens!H5140/1000</f>
        <v>156.0606619104</v>
      </c>
      <c r="I5142" s="6" t="n">
        <f aca="false">(Sens!I5123+Sens!I5141)*Sens!I5140/1000</f>
        <v>186.319337257067</v>
      </c>
      <c r="J5142" s="6" t="n">
        <f aca="false">(Sens!J5123+Sens!J5141)*Sens!J5140/1000</f>
        <v>201.757436923733</v>
      </c>
      <c r="K5142" s="6" t="n">
        <f aca="false">(Sens!K5123+Sens!K5141)*Sens!K5140/1000</f>
        <v>246.8366879504</v>
      </c>
    </row>
    <row r="5143" customFormat="false" ht="17.15" hidden="false" customHeight="false" outlineLevel="0" collapsed="false">
      <c r="A5143" s="0" t="s">
        <v>753</v>
      </c>
      <c r="B5143" s="0" t="s">
        <v>95</v>
      </c>
      <c r="C5143" s="6" t="n">
        <f aca="false">Sens!C5123*self_build*tk_cxfac/1000</f>
        <v>6.2083</v>
      </c>
      <c r="D5143" s="6" t="n">
        <f aca="false">Sens!D5123*self_build*tk_cxfac/1000</f>
        <v>9.3758</v>
      </c>
      <c r="E5143" s="6" t="n">
        <f aca="false">Sens!E5123*self_build*tk_cxfac/1000</f>
        <v>18.6249</v>
      </c>
      <c r="F5143" s="6" t="n">
        <f aca="false">Sens!F5123*self_build*tk_cxfac/1000</f>
        <v>29.409604</v>
      </c>
      <c r="G5143" s="6" t="n">
        <f aca="false">Sens!G5123*self_build*tk_cxfac/1000</f>
        <v>32.019624</v>
      </c>
      <c r="H5143" s="6" t="n">
        <f aca="false">Sens!H5123*self_build*tk_cxfac/1000</f>
        <v>32.019624</v>
      </c>
      <c r="I5143" s="6" t="n">
        <f aca="false">Sens!I5123*self_build*tk_cxfac/1000</f>
        <v>32.019624</v>
      </c>
      <c r="J5143" s="6" t="n">
        <f aca="false">Sens!J5123*self_build*tk_cxfac/1000</f>
        <v>32.019624</v>
      </c>
      <c r="K5143" s="6" t="n">
        <f aca="false">Sens!K5123*self_build*tk_cxfac/1000</f>
        <v>32.019624</v>
      </c>
    </row>
    <row r="5144" customFormat="false" ht="17.15" hidden="false" customHeight="false" outlineLevel="0" collapsed="false">
      <c r="A5144" s="0" t="s">
        <v>754</v>
      </c>
      <c r="B5144" s="0" t="s">
        <v>95</v>
      </c>
      <c r="F5144" s="6" t="n">
        <f aca="false">MAX(0,capex_floor27-Sens!F5142-Sens!F5143-Sens!F5231)</f>
        <v>8.36277689897089</v>
      </c>
      <c r="G5144" s="6" t="n">
        <f aca="false">0</f>
        <v>0</v>
      </c>
      <c r="H5144" s="6" t="n">
        <f aca="false">0</f>
        <v>0</v>
      </c>
      <c r="I5144" s="6" t="n">
        <f aca="false">0</f>
        <v>0</v>
      </c>
      <c r="J5144" s="6" t="n">
        <f aca="false">0</f>
        <v>0</v>
      </c>
      <c r="K5144" s="6" t="n">
        <f aca="false">0</f>
        <v>0</v>
      </c>
      <c r="L5144" s="1" t="s">
        <v>755</v>
      </c>
    </row>
    <row r="5145" customFormat="false" ht="17.15" hidden="false" customHeight="false" outlineLevel="0" collapsed="false">
      <c r="A5145" s="0" t="s">
        <v>756</v>
      </c>
      <c r="B5145" s="0" t="s">
        <v>95</v>
      </c>
      <c r="C5145" s="6" t="n">
        <f aca="false">Sens!C5142</f>
        <v>22.5333845916667</v>
      </c>
      <c r="D5145" s="6" t="n">
        <f aca="false">Sens!D5142</f>
        <v>34.0300093833333</v>
      </c>
      <c r="E5145" s="6" t="n">
        <f aca="false">Sens!E5142</f>
        <v>67.600153775</v>
      </c>
      <c r="F5145" s="6" t="n">
        <f aca="false">Sens!F5142+Sens!F5144</f>
        <v>139.286048770438</v>
      </c>
      <c r="G5145" s="6" t="n">
        <f aca="false">Sens!G5142+Sens!G5144</f>
        <v>151.5545564832</v>
      </c>
      <c r="H5145" s="6" t="n">
        <f aca="false">Sens!H5142+Sens!H5144</f>
        <v>156.0606619104</v>
      </c>
      <c r="I5145" s="6" t="n">
        <f aca="false">Sens!I5142+Sens!I5144</f>
        <v>186.319337257067</v>
      </c>
      <c r="J5145" s="6" t="n">
        <f aca="false">Sens!J5142+Sens!J5144</f>
        <v>201.757436923733</v>
      </c>
      <c r="K5145" s="6" t="n">
        <f aca="false">Sens!K5142+Sens!K5144</f>
        <v>246.8366879504</v>
      </c>
    </row>
    <row r="5146" customFormat="false" ht="17.15" hidden="false" customHeight="false" outlineLevel="0" collapsed="false">
      <c r="A5146" s="0" t="s">
        <v>757</v>
      </c>
      <c r="B5146" s="0" t="s">
        <v>95</v>
      </c>
      <c r="C5146" s="6" t="n">
        <f aca="false">Sens!C5145+Sens!C5143</f>
        <v>28.7416845916667</v>
      </c>
      <c r="D5146" s="6" t="n">
        <f aca="false">Sens!D5145+Sens!D5143</f>
        <v>43.4058093833333</v>
      </c>
      <c r="E5146" s="6" t="n">
        <f aca="false">Sens!E5145+Sens!E5143</f>
        <v>86.225053775</v>
      </c>
      <c r="F5146" s="6" t="n">
        <f aca="false">Sens!F5145+Sens!F5143</f>
        <v>168.695652770438</v>
      </c>
      <c r="G5146" s="6" t="n">
        <f aca="false">Sens!G5145+Sens!G5143</f>
        <v>183.5741804832</v>
      </c>
      <c r="H5146" s="6" t="n">
        <f aca="false">Sens!H5145+Sens!H5143</f>
        <v>188.0802859104</v>
      </c>
      <c r="I5146" s="6" t="n">
        <f aca="false">Sens!I5145+Sens!I5143</f>
        <v>218.338961257067</v>
      </c>
      <c r="J5146" s="6" t="n">
        <f aca="false">Sens!J5145+Sens!J5143</f>
        <v>233.777060923733</v>
      </c>
      <c r="K5146" s="6" t="n">
        <f aca="false">Sens!K5145+Sens!K5143</f>
        <v>278.8563119504</v>
      </c>
      <c r="L5146" s="11" t="s">
        <v>758</v>
      </c>
    </row>
    <row r="5147" customFormat="false" ht="17.15" hidden="false" customHeight="false" outlineLevel="0" collapsed="false">
      <c r="A5147" s="0" t="s">
        <v>759</v>
      </c>
      <c r="B5147" s="0" t="s">
        <v>95</v>
      </c>
      <c r="E5147" s="6" t="n">
        <f aca="false">(Sens!C5145*IF(2&lt;life_it,1,IF(2=life_it,0.5,0))+Sens!D5145*IF(1&lt;life_it,1,IF(1=life_it,0.5,0))+Sens!E5145*0.5)/life_it</f>
        <v>15.0605784770833</v>
      </c>
      <c r="F5147" s="6" t="n">
        <f aca="false">(Sens!C5145*IF(3&lt;life_it,1,IF(3=life_it,0.5,0))+Sens!D5145*IF(2&lt;life_it,1,IF(2=life_it,0.5,0))+Sens!E5145*IF(1&lt;life_it,1,IF(1=life_it,0.5,0))+Sens!F5145*0.5)/life_it</f>
        <v>32.3010953558698</v>
      </c>
      <c r="G5147" s="6" t="n">
        <f aca="false">(Sens!C5145*IF(4&lt;life_it,1,IF(4=life_it,0.5,0))+Sens!D5145*IF(3&lt;life_it,1,IF(3=life_it,0.5,0))+Sens!E5145*IF(2&lt;life_it,1,IF(2=life_it,0.5,0))+Sens!F5145*IF(1&lt;life_it,1,IF(1=life_it,0.5,0))+Sens!G5145*0.5)/life_it</f>
        <v>56.5378124603396</v>
      </c>
      <c r="H5147" s="6" t="n">
        <f aca="false">(Sens!C5145*IF(5&lt;life_it,1,IF(5=life_it,0.5,0))+Sens!D5145*IF(4&lt;life_it,1,IF(4=life_it,0.5,0))+Sens!E5145*IF(3&lt;life_it,1,IF(3=life_it,0.5,0))+Sens!F5145*IF(2&lt;life_it,1,IF(2=life_it,0.5,0))+Sens!G5145*IF(1&lt;life_it,1,IF(1=life_it,0.5,0))+Sens!H5145*0.5)/life_it</f>
        <v>82.1724139931396</v>
      </c>
      <c r="I5147" s="6" t="n">
        <f aca="false">(Sens!C5145*IF(6&lt;life_it,1,IF(6=life_it,0.5,0))+Sens!D5145*IF(5&lt;life_it,1,IF(5=life_it,0.5,0))+Sens!E5145*IF(4&lt;life_it,1,IF(4=life_it,0.5,0))+Sens!F5145*IF(3&lt;life_it,1,IF(3=life_it,0.5,0))+Sens!G5145*IF(2&lt;life_it,1,IF(2=life_it,0.5,0))+Sens!H5145*IF(1&lt;life_it,1,IF(1=life_it,0.5,0))+Sens!I5145*0.5)/life_it</f>
        <v>108.826298541123</v>
      </c>
      <c r="J5147" s="6" t="n">
        <f aca="false">(Sens!C5145*IF(7&lt;life_it,1,IF(7=life_it,0.5,0))+Sens!D5145*IF(6&lt;life_it,1,IF(6=life_it,0.5,0))+Sens!E5145*IF(5&lt;life_it,1,IF(5=life_it,0.5,0))+Sens!F5145*IF(4&lt;life_it,1,IF(4=life_it,0.5,0))+Sens!G5145*IF(3&lt;life_it,1,IF(3=life_it,0.5,0))+Sens!H5145*IF(2&lt;life_it,1,IF(2=life_it,0.5,0))+Sens!I5145*IF(1&lt;life_it,1,IF(1=life_it,0.5,0))+Sens!J5145*0.5)/life_it</f>
        <v>136.452413558273</v>
      </c>
      <c r="K5147" s="6" t="n">
        <f aca="false">(Sens!C5145*IF(8&lt;life_it,1,IF(8=life_it,0.5,0))+Sens!D5145*IF(7&lt;life_it,1,IF(7=life_it,0.5,0))+Sens!E5145*IF(6&lt;life_it,1,IF(6=life_it,0.5,0))+Sens!F5145*IF(5&lt;life_it,1,IF(5=life_it,0.5,0))+Sens!G5145*IF(4&lt;life_it,1,IF(4=life_it,0.5,0))+Sens!H5145*IF(3&lt;life_it,1,IF(3=life_it,0.5,0))+Sens!I5145*IF(2&lt;life_it,1,IF(2=life_it,0.5,0))+Sens!J5145*IF(1&lt;life_it,1,IF(1=life_it,0.5,0))+Sens!K5145*0.5)/life_it</f>
        <v>165.36607703459</v>
      </c>
    </row>
    <row r="5148" customFormat="false" ht="17.15" hidden="false" customHeight="false" outlineLevel="0" collapsed="false">
      <c r="A5148" s="0" t="s">
        <v>760</v>
      </c>
      <c r="B5148" s="0" t="s">
        <v>95</v>
      </c>
      <c r="E5148" s="6" t="n">
        <f aca="false">(Sens!C5143*IF(2&lt;life_fac,1,IF(2=life_fac,0.5,0))+Sens!D5143*IF(1&lt;life_fac,1,IF(1=life_fac,0.5,0))+Sens!E5143*0.5)/life_fac</f>
        <v>1.2448275</v>
      </c>
      <c r="F5148" s="6" t="n">
        <f aca="false">(Sens!C5143*IF(3&lt;life_fac,1,IF(3=life_fac,0.5,0))+Sens!D5143*IF(2&lt;life_fac,1,IF(2=life_fac,0.5,0))+Sens!E5143*IF(1&lt;life_fac,1,IF(1=life_fac,0.5,0))+Sens!F5143*0.5)/life_fac</f>
        <v>2.4456901</v>
      </c>
      <c r="G5148" s="6" t="n">
        <f aca="false">(Sens!C5143*IF(4&lt;life_fac,1,IF(4=life_fac,0.5,0))+Sens!D5143*IF(3&lt;life_fac,1,IF(3=life_fac,0.5,0))+Sens!E5143*IF(2&lt;life_fac,1,IF(2=life_fac,0.5,0))+Sens!F5143*IF(1&lt;life_fac,1,IF(1=life_fac,0.5,0))+Sens!G5143*0.5)/life_fac</f>
        <v>3.9814208</v>
      </c>
      <c r="H5148" s="6" t="n">
        <f aca="false">(Sens!C5143*IF(5&lt;life_fac,1,IF(5=life_fac,0.5,0))+Sens!D5143*IF(4&lt;life_fac,1,IF(4=life_fac,0.5,0))+Sens!E5143*IF(3&lt;life_fac,1,IF(3=life_fac,0.5,0))+Sens!F5143*IF(2&lt;life_fac,1,IF(2=life_fac,0.5,0))+Sens!G5143*IF(1&lt;life_fac,1,IF(1=life_fac,0.5,0))+Sens!H5143*0.5)/life_fac</f>
        <v>5.582402</v>
      </c>
      <c r="I5148" s="6" t="n">
        <f aca="false">(Sens!C5143*IF(6&lt;life_fac,1,IF(6=life_fac,0.5,0))+Sens!D5143*IF(5&lt;life_fac,1,IF(5=life_fac,0.5,0))+Sens!E5143*IF(4&lt;life_fac,1,IF(4=life_fac,0.5,0))+Sens!F5143*IF(3&lt;life_fac,1,IF(3=life_fac,0.5,0))+Sens!G5143*IF(2&lt;life_fac,1,IF(2=life_fac,0.5,0))+Sens!H5143*IF(1&lt;life_fac,1,IF(1=life_fac,0.5,0))+Sens!I5143*0.5)/life_fac</f>
        <v>7.1833832</v>
      </c>
      <c r="J5148" s="6" t="n">
        <f aca="false">(Sens!C5143*IF(7&lt;life_fac,1,IF(7=life_fac,0.5,0))+Sens!D5143*IF(6&lt;life_fac,1,IF(6=life_fac,0.5,0))+Sens!E5143*IF(5&lt;life_fac,1,IF(5=life_fac,0.5,0))+Sens!F5143*IF(4&lt;life_fac,1,IF(4=life_fac,0.5,0))+Sens!G5143*IF(3&lt;life_fac,1,IF(3=life_fac,0.5,0))+Sens!H5143*IF(2&lt;life_fac,1,IF(2=life_fac,0.5,0))+Sens!I5143*IF(1&lt;life_fac,1,IF(1=life_fac,0.5,0))+Sens!J5143*0.5)/life_fac</f>
        <v>8.7843644</v>
      </c>
      <c r="K5148" s="6" t="n">
        <f aca="false">(Sens!C5143*IF(8&lt;life_fac,1,IF(8=life_fac,0.5,0))+Sens!D5143*IF(7&lt;life_fac,1,IF(7=life_fac,0.5,0))+Sens!E5143*IF(6&lt;life_fac,1,IF(6=life_fac,0.5,0))+Sens!F5143*IF(5&lt;life_fac,1,IF(5=life_fac,0.5,0))+Sens!G5143*IF(4&lt;life_fac,1,IF(4=life_fac,0.5,0))+Sens!H5143*IF(3&lt;life_fac,1,IF(3=life_fac,0.5,0))+Sens!I5143*IF(2&lt;life_fac,1,IF(2=life_fac,0.5,0))+Sens!J5143*IF(1&lt;life_fac,1,IF(1=life_fac,0.5,0))+Sens!K5143*0.5)/life_fac</f>
        <v>10.3853456</v>
      </c>
    </row>
    <row r="5149" customFormat="false" ht="17.15" hidden="false" customHeight="false" outlineLevel="0" collapsed="false">
      <c r="A5149" s="0" t="s">
        <v>761</v>
      </c>
      <c r="B5149" s="0" t="s">
        <v>95</v>
      </c>
      <c r="E5149" s="6" t="n">
        <f aca="false">Sens!E5147+Sens!E5148</f>
        <v>16.3054059770833</v>
      </c>
      <c r="F5149" s="6" t="n">
        <f aca="false">Sens!F5147+Sens!F5148</f>
        <v>34.7467854558698</v>
      </c>
      <c r="G5149" s="6" t="n">
        <f aca="false">Sens!G5147+Sens!G5148</f>
        <v>60.5192332603396</v>
      </c>
      <c r="H5149" s="6" t="n">
        <f aca="false">Sens!H5147+Sens!H5148</f>
        <v>87.7548159931396</v>
      </c>
      <c r="I5149" s="6" t="n">
        <f aca="false">Sens!I5147+Sens!I5148</f>
        <v>116.009681741123</v>
      </c>
      <c r="J5149" s="6" t="n">
        <f aca="false">Sens!J5147+Sens!J5148</f>
        <v>145.236777958273</v>
      </c>
      <c r="K5149" s="6" t="n">
        <f aca="false">Sens!K5147+Sens!K5148</f>
        <v>175.75142263459</v>
      </c>
    </row>
    <row r="5150" customFormat="false" ht="17.15" hidden="false" customHeight="false" outlineLevel="0" collapsed="false">
      <c r="A5150" s="0" t="s">
        <v>762</v>
      </c>
      <c r="B5150" s="0" t="s">
        <v>95</v>
      </c>
      <c r="E5150" s="6" t="n">
        <f aca="false">Sens!E5138-Sens!E5137*Sens!E5149</f>
        <v>8.92707889977379</v>
      </c>
      <c r="F5150" s="6" t="n">
        <f aca="false">Sens!F5138-Sens!F5137*Sens!F5149</f>
        <v>14.2092742890201</v>
      </c>
      <c r="G5150" s="6" t="n">
        <f aca="false">Sens!G5138-Sens!G5137*Sens!G5149</f>
        <v>15.9389572150833</v>
      </c>
      <c r="H5150" s="6" t="n">
        <f aca="false">Sens!H5138-Sens!H5137*Sens!H5149</f>
        <v>12.6267802551433</v>
      </c>
      <c r="I5150" s="6" t="n">
        <f aca="false">Sens!I5138-Sens!I5137*Sens!I5149</f>
        <v>15.9601832088541</v>
      </c>
      <c r="J5150" s="6" t="n">
        <f aca="false">Sens!J5138-Sens!J5137*Sens!J5149</f>
        <v>18.7656703308565</v>
      </c>
      <c r="K5150" s="6" t="n">
        <f aca="false">Sens!K5138-Sens!K5137*Sens!K5149</f>
        <v>20.8312307390974</v>
      </c>
    </row>
    <row r="5151" customFormat="false" ht="17.15" hidden="false" customHeight="false" outlineLevel="0" collapsed="false">
      <c r="A5151" s="3" t="s">
        <v>1260</v>
      </c>
    </row>
    <row r="5152" customFormat="false" ht="15" hidden="false" customHeight="false" outlineLevel="0" collapsed="false">
      <c r="A5152" s="4" t="s">
        <v>43</v>
      </c>
      <c r="B5152" s="4" t="s">
        <v>63</v>
      </c>
      <c r="C5152" s="19" t="s">
        <v>710</v>
      </c>
      <c r="D5152" s="19" t="s">
        <v>711</v>
      </c>
      <c r="E5152" s="19" t="s">
        <v>712</v>
      </c>
      <c r="F5152" s="19" t="s">
        <v>713</v>
      </c>
      <c r="G5152" s="19" t="s">
        <v>714</v>
      </c>
      <c r="H5152" s="19" t="s">
        <v>715</v>
      </c>
      <c r="I5152" s="19" t="s">
        <v>716</v>
      </c>
      <c r="J5152" s="19" t="s">
        <v>717</v>
      </c>
      <c r="K5152" s="19" t="s">
        <v>718</v>
      </c>
      <c r="L5152" s="4" t="s">
        <v>47</v>
      </c>
    </row>
    <row r="5153" customFormat="false" ht="17.15" hidden="false" customHeight="false" outlineLevel="0" collapsed="false">
      <c r="A5153" s="0" t="s">
        <v>780</v>
      </c>
      <c r="B5153" s="0" t="s">
        <v>95</v>
      </c>
      <c r="D5153" s="6" t="n">
        <f aca="false">Sens!D5132</f>
        <v>12.9359794422418</v>
      </c>
      <c r="E5153" s="6" t="n">
        <f aca="false">Sens!E5132</f>
        <v>27.8095064661409</v>
      </c>
      <c r="F5153" s="6" t="n">
        <f aca="false">Sens!F5132</f>
        <v>50.6619113883066</v>
      </c>
      <c r="G5153" s="6" t="n">
        <f aca="false">Sens!G5132</f>
        <v>75.1482839325348</v>
      </c>
      <c r="H5153" s="6" t="n">
        <f aca="false">Sens!H5132</f>
        <v>94.895655604042</v>
      </c>
      <c r="I5153" s="6" t="n">
        <f aca="false">Sens!I5132</f>
        <v>121.918667866643</v>
      </c>
      <c r="J5153" s="6" t="n">
        <f aca="false">Sens!J5132</f>
        <v>149.006768672892</v>
      </c>
      <c r="K5153" s="6" t="n">
        <f aca="false">Sens!K5132</f>
        <v>176.133157939015</v>
      </c>
    </row>
    <row r="5154" customFormat="false" ht="17.15" hidden="false" customHeight="false" outlineLevel="0" collapsed="false">
      <c r="A5154" s="0" t="s">
        <v>781</v>
      </c>
      <c r="B5154" s="0" t="s">
        <v>95</v>
      </c>
      <c r="D5154" s="6" t="n">
        <f aca="false">Q!L6-Sens!D5153</f>
        <v>59.6740205577583</v>
      </c>
      <c r="E5154" s="6" t="n">
        <f aca="false">Q!M6-Sens!E5153</f>
        <v>74.1284935338591</v>
      </c>
      <c r="F5154" s="6" t="n">
        <f aca="false">Sens!E5154*(1+Sens!F5155)</f>
        <v>90.0799497373663</v>
      </c>
      <c r="G5154" s="6" t="n">
        <f aca="false">Sens!F5154*(1+Sens!G5155)</f>
        <v>107.02842520331</v>
      </c>
      <c r="H5154" s="6" t="n">
        <f aca="false">Sens!G5154*(1+Sens!H5155)</f>
        <v>124.271982585636</v>
      </c>
      <c r="I5154" s="6" t="n">
        <f aca="false">Sens!H5154*(1+Sens!I5155)</f>
        <v>140.933702381855</v>
      </c>
      <c r="J5154" s="6" t="n">
        <f aca="false">Sens!I5154*(1+Sens!J5155)</f>
        <v>156.018867314332</v>
      </c>
      <c r="K5154" s="6" t="n">
        <f aca="false">Sens!J5154*(1+Sens!K5155)</f>
        <v>168.500376699478</v>
      </c>
    </row>
    <row r="5155" customFormat="false" ht="15" hidden="false" customHeight="false" outlineLevel="0" collapsed="false">
      <c r="A5155" s="1" t="s">
        <v>782</v>
      </c>
      <c r="B5155" s="0" t="s">
        <v>126</v>
      </c>
      <c r="E5155" s="7" t="n">
        <f aca="false">Sens!E5154/Sens!D5154-1</f>
        <v>0.242223883039864</v>
      </c>
      <c r="F5155" s="7" t="n">
        <f aca="false">Sens!$E$5155+(glt_azo-Sens!$E$5155)*MIN(1,1/n_conv)</f>
        <v>0.215186569199887</v>
      </c>
      <c r="G5155" s="7" t="n">
        <f aca="false">Sens!$E$5155+(glt_azo-Sens!$E$5155)*MIN(1,2/n_conv)</f>
        <v>0.18814925535991</v>
      </c>
      <c r="H5155" s="7" t="n">
        <f aca="false">Sens!$E$5155+(glt_azo-Sens!$E$5155)*MIN(1,3/n_conv)</f>
        <v>0.161111941519932</v>
      </c>
      <c r="I5155" s="7" t="n">
        <f aca="false">Sens!$E$5155+(glt_azo-Sens!$E$5155)*MIN(1,4/n_conv)</f>
        <v>0.134074627679955</v>
      </c>
      <c r="J5155" s="7" t="n">
        <f aca="false">Sens!$E$5155+(glt_azo-Sens!$E$5155)*MIN(1,5/n_conv)</f>
        <v>0.107037313839977</v>
      </c>
      <c r="K5155" s="7" t="n">
        <f aca="false">Sens!$E$5155+(glt_azo-Sens!$E$5155)*MIN(1,6/n_conv)</f>
        <v>0.08</v>
      </c>
    </row>
    <row r="5156" customFormat="false" ht="15" hidden="false" customHeight="false" outlineLevel="0" collapsed="false">
      <c r="A5156" s="0" t="s">
        <v>783</v>
      </c>
      <c r="B5156" s="0" t="s">
        <v>95</v>
      </c>
      <c r="D5156" s="6" t="n">
        <f aca="false">Sens!D5153+Sens!D5154</f>
        <v>72.61</v>
      </c>
      <c r="E5156" s="6" t="n">
        <f aca="false">Sens!E5153+Sens!E5154</f>
        <v>101.938</v>
      </c>
      <c r="F5156" s="6" t="n">
        <f aca="false">Sens!F5153+Sens!F5154</f>
        <v>140.741861125673</v>
      </c>
      <c r="G5156" s="6" t="n">
        <f aca="false">Sens!G5153+Sens!G5154</f>
        <v>182.176709135845</v>
      </c>
      <c r="H5156" s="6" t="n">
        <f aca="false">Sens!H5153+Sens!H5154</f>
        <v>219.167638189678</v>
      </c>
      <c r="I5156" s="6" t="n">
        <f aca="false">Sens!I5153+Sens!I5154</f>
        <v>262.852370248498</v>
      </c>
      <c r="J5156" s="6" t="n">
        <f aca="false">Sens!J5153+Sens!J5154</f>
        <v>305.025635987223</v>
      </c>
      <c r="K5156" s="6" t="n">
        <f aca="false">Sens!K5153+Sens!K5154</f>
        <v>344.633534638493</v>
      </c>
    </row>
    <row r="5157" customFormat="false" ht="17.15" hidden="false" customHeight="false" outlineLevel="0" collapsed="false">
      <c r="A5157" s="0" t="s">
        <v>784</v>
      </c>
      <c r="B5157" s="1" t="s">
        <v>451</v>
      </c>
      <c r="C5157" s="27" t="n">
        <f aca="false">cop_s24</f>
        <v>1</v>
      </c>
      <c r="D5157" s="27" t="n">
        <f aca="false">cop_s25</f>
        <v>5</v>
      </c>
      <c r="E5157" s="27" t="n">
        <f aca="false">cop_s26</f>
        <v>30</v>
      </c>
      <c r="F5157" s="27" t="n">
        <f aca="false">Sens!E5157+IF(2027&lt;=2029,cop_add_C*1.5,cop_add_C*1.5*cop_tail)</f>
        <v>45</v>
      </c>
      <c r="G5157" s="27" t="n">
        <f aca="false">Sens!F5157+IF(2028&lt;=2029,cop_add_C*1.5,cop_add_C*1.5*cop_tail)</f>
        <v>60</v>
      </c>
      <c r="H5157" s="27" t="n">
        <f aca="false">Sens!G5157+IF(2029&lt;=2029,cop_add_C*1.5,cop_add_C*1.5*cop_tail)</f>
        <v>75</v>
      </c>
      <c r="I5157" s="27" t="n">
        <f aca="false">Sens!H5157+IF(2030&lt;=2029,cop_add_C*1.5,cop_add_C*1.5*cop_tail)</f>
        <v>82.5</v>
      </c>
      <c r="J5157" s="27" t="n">
        <f aca="false">Sens!I5157+IF(2031&lt;=2029,cop_add_C*1.5,cop_add_C*1.5*cop_tail)</f>
        <v>90</v>
      </c>
      <c r="K5157" s="27" t="n">
        <f aca="false">Sens!J5157+IF(2032&lt;=2029,cop_add_C*1.5,cop_add_C*1.5*cop_tail)</f>
        <v>97.5</v>
      </c>
    </row>
    <row r="5158" customFormat="false" ht="17.15" hidden="false" customHeight="false" outlineLevel="0" collapsed="false">
      <c r="A5158" s="0" t="s">
        <v>785</v>
      </c>
      <c r="B5158" s="0" t="s">
        <v>95</v>
      </c>
      <c r="D5158" s="6" t="n">
        <f aca="false">(Sens!C5157+Sens!D5157)/2*cop_px*12/1000</f>
        <v>0.9</v>
      </c>
      <c r="E5158" s="6" t="n">
        <f aca="false">(Sens!D5157+Sens!E5157)/2*cop_px*12/1000</f>
        <v>5.25</v>
      </c>
      <c r="F5158" s="6" t="n">
        <f aca="false">(Sens!E5157+Sens!F5157)/2*cop_px*12/1000</f>
        <v>11.25</v>
      </c>
      <c r="G5158" s="6" t="n">
        <f aca="false">(Sens!F5157+Sens!G5157)/2*cop_px*12/1000</f>
        <v>15.75</v>
      </c>
      <c r="H5158" s="6" t="n">
        <f aca="false">(Sens!G5157+Sens!H5157)/2*cop_px*12/1000</f>
        <v>20.25</v>
      </c>
      <c r="I5158" s="6" t="n">
        <f aca="false">(Sens!H5157+Sens!I5157)/2*cop_px*12/1000</f>
        <v>23.625</v>
      </c>
      <c r="J5158" s="6" t="n">
        <f aca="false">(Sens!I5157+Sens!J5157)/2*cop_px*12/1000</f>
        <v>25.875</v>
      </c>
      <c r="K5158" s="6" t="n">
        <f aca="false">(Sens!J5157+Sens!K5157)/2*cop_px*12/1000</f>
        <v>28.125</v>
      </c>
      <c r="L5158" s="1" t="s">
        <v>786</v>
      </c>
    </row>
    <row r="5159" customFormat="false" ht="17.15" hidden="false" customHeight="false" outlineLevel="0" collapsed="false">
      <c r="A5159" s="0" t="s">
        <v>787</v>
      </c>
      <c r="B5159" s="0" t="s">
        <v>95</v>
      </c>
      <c r="D5159" s="6" t="n">
        <f aca="false">Q!L7-Sens!D5158</f>
        <v>83.705</v>
      </c>
      <c r="E5159" s="6" t="n">
        <f aca="false">Q!M7-Sens!E5158</f>
        <v>95.049</v>
      </c>
      <c r="F5159" s="6" t="n">
        <f aca="false">Sens!E5159*(1+Sens!F5160)</f>
        <v>106.89238776686</v>
      </c>
      <c r="G5159" s="6" t="n">
        <f aca="false">Sens!F5159*(1+Sens!G5160)</f>
        <v>119.044168448684</v>
      </c>
      <c r="H5159" s="6" t="n">
        <f aca="false">Sens!G5159*(1+Sens!H5160)</f>
        <v>131.277359388781</v>
      </c>
      <c r="I5159" s="6" t="n">
        <f aca="false">Sens!H5159*(1+Sens!I5160)</f>
        <v>143.334028071957</v>
      </c>
      <c r="J5159" s="6" t="n">
        <f aca="false">Sens!I5159*(1+Sens!J5160)</f>
        <v>154.932702785465</v>
      </c>
      <c r="K5159" s="6" t="n">
        <f aca="false">Sens!J5159*(1+Sens!K5160)</f>
        <v>165.777991980448</v>
      </c>
    </row>
    <row r="5160" customFormat="false" ht="15" hidden="false" customHeight="false" outlineLevel="0" collapsed="false">
      <c r="A5160" s="1" t="s">
        <v>782</v>
      </c>
      <c r="B5160" s="0" t="s">
        <v>126</v>
      </c>
      <c r="E5160" s="7" t="n">
        <f aca="false">Sens!E5159/Sens!D5159-1</f>
        <v>0.135523564900544</v>
      </c>
      <c r="F5160" s="7" t="n">
        <f aca="false">Sens!$E$5160+(glt_m365b-Sens!$E$5160)*MIN(1,1/n_conv)</f>
        <v>0.124602970750453</v>
      </c>
      <c r="G5160" s="7" t="n">
        <f aca="false">Sens!$E$5160+(glt_m365b-Sens!$E$5160)*MIN(1,2/n_conv)</f>
        <v>0.113682376600363</v>
      </c>
      <c r="H5160" s="7" t="n">
        <f aca="false">Sens!$E$5160+(glt_m365b-Sens!$E$5160)*MIN(1,3/n_conv)</f>
        <v>0.102761782450272</v>
      </c>
      <c r="I5160" s="7" t="n">
        <f aca="false">Sens!$E$5160+(glt_m365b-Sens!$E$5160)*MIN(1,4/n_conv)</f>
        <v>0.0918411883001813</v>
      </c>
      <c r="J5160" s="7" t="n">
        <f aca="false">Sens!$E$5160+(glt_m365b-Sens!$E$5160)*MIN(1,5/n_conv)</f>
        <v>0.0809205941500906</v>
      </c>
      <c r="K5160" s="7" t="n">
        <f aca="false">Sens!$E$5160+(glt_m365b-Sens!$E$5160)*MIN(1,6/n_conv)</f>
        <v>0.07</v>
      </c>
    </row>
    <row r="5161" customFormat="false" ht="15" hidden="false" customHeight="false" outlineLevel="0" collapsed="false">
      <c r="A5161" s="0" t="s">
        <v>788</v>
      </c>
      <c r="B5161" s="0" t="s">
        <v>95</v>
      </c>
      <c r="D5161" s="6" t="n">
        <f aca="false">Sens!D5159+Sens!D5158</f>
        <v>84.605</v>
      </c>
      <c r="E5161" s="6" t="n">
        <f aca="false">Sens!E5159+Sens!E5158</f>
        <v>100.299</v>
      </c>
      <c r="F5161" s="6" t="n">
        <f aca="false">Sens!F5159+Sens!F5158</f>
        <v>118.14238776686</v>
      </c>
      <c r="G5161" s="6" t="n">
        <f aca="false">Sens!G5159+Sens!G5158</f>
        <v>134.794168448684</v>
      </c>
      <c r="H5161" s="6" t="n">
        <f aca="false">Sens!H5159+Sens!H5158</f>
        <v>151.527359388781</v>
      </c>
      <c r="I5161" s="6" t="n">
        <f aca="false">Sens!I5159+Sens!I5158</f>
        <v>166.959028071957</v>
      </c>
      <c r="J5161" s="6" t="n">
        <f aca="false">Sens!J5159+Sens!J5158</f>
        <v>180.807702785465</v>
      </c>
      <c r="K5161" s="6" t="n">
        <f aca="false">Sens!K5159+Sens!K5158</f>
        <v>193.902991980448</v>
      </c>
    </row>
    <row r="5162" customFormat="false" ht="15" hidden="false" customHeight="false" outlineLevel="0" collapsed="false">
      <c r="A5162" s="0" t="s">
        <v>789</v>
      </c>
      <c r="B5162" s="0" t="s">
        <v>95</v>
      </c>
      <c r="D5162" s="6" t="n">
        <f aca="false">Q!L8</f>
        <v>35.391</v>
      </c>
      <c r="E5162" s="6" t="n">
        <f aca="false">Q!M8</f>
        <v>37.285</v>
      </c>
      <c r="F5162" s="6" t="n">
        <f aca="false">Sens!E5162*(1+Sens!F5163)</f>
        <v>39.0720834331704</v>
      </c>
      <c r="G5162" s="6" t="n">
        <f aca="false">Sens!F5162*(1+Sens!G5163)</f>
        <v>40.726562953769</v>
      </c>
      <c r="H5162" s="6" t="n">
        <f aca="false">Sens!G5162*(1+Sens!H5163)</f>
        <v>42.2235987259198</v>
      </c>
      <c r="I5162" s="6" t="n">
        <f aca="false">Sens!H5162*(1+Sens!I5163)</f>
        <v>43.5397988077414</v>
      </c>
      <c r="J5162" s="6" t="n">
        <f aca="false">Sens!I5162*(1+Sens!J5163)</f>
        <v>44.653811225693</v>
      </c>
      <c r="K5162" s="6" t="n">
        <f aca="false">Sens!J5162*(1+Sens!K5163)</f>
        <v>45.5468874502068</v>
      </c>
    </row>
    <row r="5163" customFormat="false" ht="15" hidden="false" customHeight="false" outlineLevel="0" collapsed="false">
      <c r="A5163" s="1" t="s">
        <v>782</v>
      </c>
      <c r="B5163" s="0" t="s">
        <v>126</v>
      </c>
      <c r="E5163" s="7" t="n">
        <f aca="false">Sens!E5162/Sens!D5162-1</f>
        <v>0.0535164307309768</v>
      </c>
      <c r="F5163" s="7" t="n">
        <f aca="false">Sens!$E$5163+(glt_lic-Sens!$E$5163)*MIN(1,1/n_conv)</f>
        <v>0.0479303589424807</v>
      </c>
      <c r="G5163" s="7" t="n">
        <f aca="false">Sens!$E$5163+(glt_lic-Sens!$E$5163)*MIN(1,2/n_conv)</f>
        <v>0.0423442871539845</v>
      </c>
      <c r="H5163" s="7" t="n">
        <f aca="false">Sens!$E$5163+(glt_lic-Sens!$E$5163)*MIN(1,3/n_conv)</f>
        <v>0.0367582153654884</v>
      </c>
      <c r="I5163" s="7" t="n">
        <f aca="false">Sens!$E$5163+(glt_lic-Sens!$E$5163)*MIN(1,4/n_conv)</f>
        <v>0.0311721435769923</v>
      </c>
      <c r="J5163" s="7" t="n">
        <f aca="false">Sens!$E$5163+(glt_lic-Sens!$E$5163)*MIN(1,5/n_conv)</f>
        <v>0.0255860717884961</v>
      </c>
      <c r="K5163" s="7" t="n">
        <f aca="false">Sens!$E$5163+(glt_lic-Sens!$E$5163)*MIN(1,6/n_conv)</f>
        <v>0.02</v>
      </c>
    </row>
    <row r="5164" customFormat="false" ht="15" hidden="false" customHeight="false" outlineLevel="0" collapsed="false">
      <c r="A5164" s="0" t="s">
        <v>790</v>
      </c>
      <c r="B5164" s="0" t="s">
        <v>95</v>
      </c>
      <c r="D5164" s="6" t="n">
        <f aca="false">Q!L9</f>
        <v>18.417</v>
      </c>
      <c r="E5164" s="6" t="n">
        <f aca="false">Q!M9</f>
        <v>20.345</v>
      </c>
      <c r="F5164" s="6" t="n">
        <f aca="false">Sens!E5164*(1+Sens!F5165)</f>
        <v>22.3572203267814</v>
      </c>
      <c r="G5164" s="6" t="n">
        <f aca="false">Sens!F5164*(1+Sens!G5165)</f>
        <v>24.4392124437232</v>
      </c>
      <c r="H5164" s="6" t="n">
        <f aca="false">Sens!G5164*(1+Sens!H5165)</f>
        <v>26.5738052080665</v>
      </c>
      <c r="I5164" s="6" t="n">
        <f aca="false">Sens!H5164*(1+Sens!I5165)</f>
        <v>28.7412169166967</v>
      </c>
      <c r="J5164" s="6" t="n">
        <f aca="false">Sens!I5164*(1+Sens!J5165)</f>
        <v>30.9192545395413</v>
      </c>
      <c r="K5164" s="6" t="n">
        <f aca="false">Sens!J5164*(1+Sens!K5165)</f>
        <v>33.0836023573092</v>
      </c>
    </row>
    <row r="5165" customFormat="false" ht="15" hidden="false" customHeight="false" outlineLevel="0" collapsed="false">
      <c r="A5165" s="1" t="s">
        <v>782</v>
      </c>
      <c r="B5165" s="0" t="s">
        <v>126</v>
      </c>
      <c r="E5165" s="7" t="n">
        <f aca="false">Sens!E5164/Sens!D5164-1</f>
        <v>0.104685888038225</v>
      </c>
      <c r="F5165" s="7" t="n">
        <f aca="false">Sens!$E$5165+(glt_ind-Sens!$E$5165)*MIN(1,1/n_conv)</f>
        <v>0.0989049066985211</v>
      </c>
      <c r="G5165" s="7" t="n">
        <f aca="false">Sens!$E$5165+(glt_ind-Sens!$E$5165)*MIN(1,2/n_conv)</f>
        <v>0.0931239253588169</v>
      </c>
      <c r="H5165" s="7" t="n">
        <f aca="false">Sens!$E$5165+(glt_ind-Sens!$E$5165)*MIN(1,3/n_conv)</f>
        <v>0.0873429440191127</v>
      </c>
      <c r="I5165" s="7" t="n">
        <f aca="false">Sens!$E$5165+(glt_ind-Sens!$E$5165)*MIN(1,4/n_conv)</f>
        <v>0.0815619626794085</v>
      </c>
      <c r="J5165" s="7" t="n">
        <f aca="false">Sens!$E$5165+(glt_ind-Sens!$E$5165)*MIN(1,5/n_conv)</f>
        <v>0.0757809813397042</v>
      </c>
      <c r="K5165" s="7" t="n">
        <f aca="false">Sens!$E$5165+(glt_ind-Sens!$E$5165)*MIN(1,6/n_conv)</f>
        <v>0.07</v>
      </c>
    </row>
    <row r="5166" customFormat="false" ht="15" hidden="false" customHeight="false" outlineLevel="0" collapsed="false">
      <c r="A5166" s="0" t="s">
        <v>791</v>
      </c>
      <c r="B5166" s="0" t="s">
        <v>95</v>
      </c>
      <c r="D5166" s="6" t="n">
        <f aca="false">Q!L10</f>
        <v>7.76</v>
      </c>
      <c r="E5166" s="6" t="n">
        <f aca="false">Q!M10</f>
        <v>8.26</v>
      </c>
      <c r="F5166" s="6" t="n">
        <f aca="false">Sens!E5166*(1+Sens!F5167)</f>
        <v>8.79988041237113</v>
      </c>
      <c r="G5166" s="6" t="n">
        <f aca="false">Sens!F5166*(1+Sens!G5167)</f>
        <v>9.38321269125306</v>
      </c>
      <c r="H5166" s="6" t="n">
        <f aca="false">Sens!G5166*(1+Sens!H5167)</f>
        <v>10.0139193587476</v>
      </c>
      <c r="I5166" s="6" t="n">
        <f aca="false">Sens!H5166*(1+Sens!I5167)</f>
        <v>10.6963111830911</v>
      </c>
      <c r="J5166" s="6" t="n">
        <f aca="false">Sens!I5166*(1+Sens!J5167)</f>
        <v>11.4351285534696</v>
      </c>
      <c r="K5166" s="6" t="n">
        <f aca="false">Sens!J5166*(1+Sens!K5167)</f>
        <v>12.2355875522124</v>
      </c>
    </row>
    <row r="5167" customFormat="false" ht="15" hidden="false" customHeight="false" outlineLevel="0" collapsed="false">
      <c r="A5167" s="1" t="s">
        <v>782</v>
      </c>
      <c r="B5167" s="0" t="s">
        <v>126</v>
      </c>
      <c r="E5167" s="7" t="n">
        <f aca="false">Sens!E5166/Sens!D5166-1</f>
        <v>0.0644329896907216</v>
      </c>
      <c r="F5167" s="7" t="n">
        <f aca="false">Sens!$E$5167+(glt_fro-Sens!$E$5167)*MIN(1,1/n_conv)</f>
        <v>0.065360824742268</v>
      </c>
      <c r="G5167" s="7" t="n">
        <f aca="false">Sens!$E$5167+(glt_fro-Sens!$E$5167)*MIN(1,2/n_conv)</f>
        <v>0.0662886597938144</v>
      </c>
      <c r="H5167" s="7" t="n">
        <f aca="false">Sens!$E$5167+(glt_fro-Sens!$E$5167)*MIN(1,3/n_conv)</f>
        <v>0.0672164948453608</v>
      </c>
      <c r="I5167" s="7" t="n">
        <f aca="false">Sens!$E$5167+(glt_fro-Sens!$E$5167)*MIN(1,4/n_conv)</f>
        <v>0.0681443298969072</v>
      </c>
      <c r="J5167" s="7" t="n">
        <f aca="false">Sens!$E$5167+(glt_fro-Sens!$E$5167)*MIN(1,5/n_conv)</f>
        <v>0.0690721649484536</v>
      </c>
      <c r="K5167" s="7" t="n">
        <f aca="false">Sens!$E$5167+(glt_fro-Sens!$E$5167)*MIN(1,6/n_conv)</f>
        <v>0.07</v>
      </c>
    </row>
    <row r="5168" customFormat="false" ht="15" hidden="false" customHeight="false" outlineLevel="0" collapsed="false">
      <c r="A5168" s="0" t="s">
        <v>626</v>
      </c>
      <c r="B5168" s="0" t="s">
        <v>95</v>
      </c>
      <c r="D5168" s="6" t="n">
        <f aca="false">Sens!D5156+Sens!D5161+Sens!D5162+Sens!D5164+Sens!D5166</f>
        <v>218.783</v>
      </c>
      <c r="E5168" s="6" t="n">
        <f aca="false">Sens!E5156+Sens!E5161+Sens!E5162+Sens!E5164+Sens!E5166</f>
        <v>268.127</v>
      </c>
      <c r="F5168" s="6" t="n">
        <f aca="false">Sens!F5156+Sens!F5161+Sens!F5162+Sens!F5164+Sens!F5166</f>
        <v>329.113433064856</v>
      </c>
      <c r="G5168" s="6" t="n">
        <f aca="false">Sens!G5156+Sens!G5161+Sens!G5162+Sens!G5164+Sens!G5166</f>
        <v>391.519865673274</v>
      </c>
      <c r="H5168" s="6" t="n">
        <f aca="false">Sens!H5156+Sens!H5161+Sens!H5162+Sens!H5164+Sens!H5166</f>
        <v>449.506320871193</v>
      </c>
      <c r="I5168" s="6" t="n">
        <f aca="false">Sens!I5156+Sens!I5161+Sens!I5162+Sens!I5164+Sens!I5166</f>
        <v>512.788725227984</v>
      </c>
      <c r="J5168" s="6" t="n">
        <f aca="false">Sens!J5156+Sens!J5161+Sens!J5162+Sens!J5164+Sens!J5166</f>
        <v>572.841533091392</v>
      </c>
      <c r="K5168" s="6" t="n">
        <f aca="false">Sens!K5156+Sens!K5161+Sens!K5162+Sens!K5164+Sens!K5166</f>
        <v>629.402603978669</v>
      </c>
    </row>
    <row r="5169" customFormat="false" ht="15" hidden="false" customHeight="false" outlineLevel="0" collapsed="false">
      <c r="A5169" s="0" t="s">
        <v>792</v>
      </c>
      <c r="B5169" s="0" t="s">
        <v>95</v>
      </c>
      <c r="D5169" s="6" t="n">
        <f aca="false">Q!L13</f>
        <v>22.171</v>
      </c>
      <c r="E5169" s="6" t="n">
        <f aca="false">Q!M13</f>
        <v>24.835</v>
      </c>
      <c r="F5169" s="6" t="n">
        <f aca="false">Sens!E5169*(1+Sens!F5170)</f>
        <v>27.6114901218559</v>
      </c>
      <c r="G5169" s="6" t="n">
        <f aca="false">Sens!F5169*(1+Sens!G5170)</f>
        <v>30.4675667338515</v>
      </c>
      <c r="H5169" s="6" t="n">
        <f aca="false">Sens!G5169*(1+Sens!H5170)</f>
        <v>33.3643766955789</v>
      </c>
      <c r="I5169" s="6" t="n">
        <f aca="false">Sens!H5169*(1+Sens!I5170)</f>
        <v>36.2577016533691</v>
      </c>
      <c r="J5169" s="6" t="n">
        <f aca="false">Sens!I5169*(1+Sens!J5170)</f>
        <v>39.0988367952171</v>
      </c>
      <c r="K5169" s="6" t="n">
        <f aca="false">Sens!J5169*(1+Sens!K5170)</f>
        <v>41.8357553708823</v>
      </c>
    </row>
    <row r="5170" customFormat="false" ht="15" hidden="false" customHeight="false" outlineLevel="0" collapsed="false">
      <c r="A5170" s="1" t="s">
        <v>782</v>
      </c>
      <c r="B5170" s="0" t="s">
        <v>126</v>
      </c>
      <c r="E5170" s="7" t="n">
        <f aca="false">Sens!E5169/Sens!D5169-1</f>
        <v>0.120156961796942</v>
      </c>
      <c r="F5170" s="7" t="n">
        <f aca="false">Sens!$E$5170+(glt_srch-Sens!$E$5170)*MIN(1,1/n_conv)</f>
        <v>0.111797468164118</v>
      </c>
      <c r="G5170" s="7" t="n">
        <f aca="false">Sens!$E$5170+(glt_srch-Sens!$E$5170)*MIN(1,2/n_conv)</f>
        <v>0.103437974531295</v>
      </c>
      <c r="H5170" s="7" t="n">
        <f aca="false">Sens!$E$5170+(glt_srch-Sens!$E$5170)*MIN(1,3/n_conv)</f>
        <v>0.095078480898471</v>
      </c>
      <c r="I5170" s="7" t="n">
        <f aca="false">Sens!$E$5170+(glt_srch-Sens!$E$5170)*MIN(1,4/n_conv)</f>
        <v>0.0867189872656474</v>
      </c>
      <c r="J5170" s="7" t="n">
        <f aca="false">Sens!$E$5170+(glt_srch-Sens!$E$5170)*MIN(1,5/n_conv)</f>
        <v>0.0783594936328237</v>
      </c>
      <c r="K5170" s="7" t="n">
        <f aca="false">Sens!$E$5170+(glt_srch-Sens!$E$5170)*MIN(1,6/n_conv)</f>
        <v>0.07</v>
      </c>
    </row>
    <row r="5171" customFormat="false" ht="15" hidden="false" customHeight="false" outlineLevel="0" collapsed="false">
      <c r="A5171" s="0" t="s">
        <v>793</v>
      </c>
      <c r="B5171" s="0" t="s">
        <v>95</v>
      </c>
      <c r="D5171" s="6" t="n">
        <f aca="false">Q!L14</f>
        <v>23.455</v>
      </c>
      <c r="E5171" s="6" t="n">
        <f aca="false">Q!M14</f>
        <v>21.79</v>
      </c>
      <c r="F5171" s="6" t="n">
        <f aca="false">Sens!E5171*(1+Sens!F5172)</f>
        <v>20.5736277908051</v>
      </c>
      <c r="G5171" s="6" t="n">
        <f aca="false">Sens!F5171*(1+Sens!G5172)</f>
        <v>19.7371452817919</v>
      </c>
      <c r="H5171" s="6" t="n">
        <f aca="false">Sens!G5171*(1+Sens!H5172)</f>
        <v>19.2339764043138</v>
      </c>
      <c r="I5171" s="6" t="n">
        <f aca="false">Sens!H5171*(1+Sens!I5172)</f>
        <v>19.0353086852681</v>
      </c>
      <c r="J5171" s="6" t="n">
        <f aca="false">Sens!I5171*(1+Sens!J5172)</f>
        <v>19.1273539319129</v>
      </c>
      <c r="K5171" s="6" t="n">
        <f aca="false">Sens!J5171*(1+Sens!K5172)</f>
        <v>19.5099010105511</v>
      </c>
    </row>
    <row r="5172" customFormat="false" ht="15" hidden="false" customHeight="false" outlineLevel="0" collapsed="false">
      <c r="A5172" s="1" t="s">
        <v>782</v>
      </c>
      <c r="B5172" s="0" t="s">
        <v>126</v>
      </c>
      <c r="E5172" s="7" t="n">
        <f aca="false">Sens!E5171/Sens!D5171-1</f>
        <v>-0.0709869963760392</v>
      </c>
      <c r="F5172" s="7" t="n">
        <f aca="false">Sens!$E$5172+(glt_xbox-Sens!$E$5172)*MIN(1,1/n_conv)</f>
        <v>-0.0558224969800327</v>
      </c>
      <c r="G5172" s="7" t="n">
        <f aca="false">Sens!$E$5172+(glt_xbox-Sens!$E$5172)*MIN(1,2/n_conv)</f>
        <v>-0.0406579975840262</v>
      </c>
      <c r="H5172" s="7" t="n">
        <f aca="false">Sens!$E$5172+(glt_xbox-Sens!$E$5172)*MIN(1,3/n_conv)</f>
        <v>-0.0254934981880196</v>
      </c>
      <c r="I5172" s="7" t="n">
        <f aca="false">Sens!$E$5172+(glt_xbox-Sens!$E$5172)*MIN(1,4/n_conv)</f>
        <v>-0.0103289987920131</v>
      </c>
      <c r="J5172" s="7" t="n">
        <f aca="false">Sens!$E$5172+(glt_xbox-Sens!$E$5172)*MIN(1,5/n_conv)</f>
        <v>0.00483550060399347</v>
      </c>
      <c r="K5172" s="7" t="n">
        <f aca="false">Sens!$E$5172+(glt_xbox-Sens!$E$5172)*MIN(1,6/n_conv)</f>
        <v>0.02</v>
      </c>
    </row>
    <row r="5173" customFormat="false" ht="15" hidden="false" customHeight="false" outlineLevel="0" collapsed="false">
      <c r="A5173" s="0" t="s">
        <v>794</v>
      </c>
      <c r="B5173" s="0" t="s">
        <v>95</v>
      </c>
      <c r="D5173" s="6" t="n">
        <f aca="false">Q!L15</f>
        <v>17.315</v>
      </c>
      <c r="E5173" s="6" t="n">
        <f aca="false">Q!M15</f>
        <v>17.087</v>
      </c>
      <c r="F5173" s="6" t="n">
        <f aca="false">Sens!E5173*(1+Sens!F5174)</f>
        <v>16.9564585436519</v>
      </c>
      <c r="G5173" s="6" t="n">
        <f aca="false">Sens!F5173*(1+Sens!G5174)</f>
        <v>16.9206490624268</v>
      </c>
      <c r="H5173" s="6" t="n">
        <f aca="false">Sens!G5173*(1+Sens!H5174)</f>
        <v>16.9784519149849</v>
      </c>
      <c r="I5173" s="6" t="n">
        <f aca="false">Sens!H5173*(1+Sens!I5174)</f>
        <v>17.1303084701817</v>
      </c>
      <c r="J5173" s="6" t="n">
        <f aca="false">Sens!I5173*(1+Sens!J5174)</f>
        <v>17.3782189407267</v>
      </c>
      <c r="K5173" s="6" t="n">
        <f aca="false">Sens!J5173*(1+Sens!K5174)</f>
        <v>17.7257833195413</v>
      </c>
    </row>
    <row r="5174" customFormat="false" ht="15" hidden="false" customHeight="false" outlineLevel="0" collapsed="false">
      <c r="A5174" s="1" t="s">
        <v>782</v>
      </c>
      <c r="B5174" s="0" t="s">
        <v>126</v>
      </c>
      <c r="E5174" s="7" t="n">
        <f aca="false">Sens!E5173/Sens!D5173-1</f>
        <v>-0.0131677736066995</v>
      </c>
      <c r="F5174" s="7" t="n">
        <f aca="false">Sens!$E$5174+(glt_win-Sens!$E$5174)*MIN(1,1/n_conv)</f>
        <v>-0.00763981133891627</v>
      </c>
      <c r="G5174" s="7" t="n">
        <f aca="false">Sens!$E$5174+(glt_win-Sens!$E$5174)*MIN(1,2/n_conv)</f>
        <v>-0.00211184907113301</v>
      </c>
      <c r="H5174" s="7" t="n">
        <f aca="false">Sens!$E$5174+(glt_win-Sens!$E$5174)*MIN(1,3/n_conv)</f>
        <v>0.00341611319665024</v>
      </c>
      <c r="I5174" s="7" t="n">
        <f aca="false">Sens!$E$5174+(glt_win-Sens!$E$5174)*MIN(1,4/n_conv)</f>
        <v>0.00894407546443349</v>
      </c>
      <c r="J5174" s="7" t="n">
        <f aca="false">Sens!$E$5174+(glt_win-Sens!$E$5174)*MIN(1,5/n_conv)</f>
        <v>0.0144720377322168</v>
      </c>
      <c r="K5174" s="7" t="n">
        <f aca="false">Sens!$E$5174+(glt_win-Sens!$E$5174)*MIN(1,6/n_conv)</f>
        <v>0.02</v>
      </c>
    </row>
    <row r="5175" customFormat="false" ht="15" hidden="false" customHeight="false" outlineLevel="0" collapsed="false">
      <c r="A5175" s="0" t="s">
        <v>640</v>
      </c>
      <c r="B5175" s="0" t="s">
        <v>95</v>
      </c>
      <c r="D5175" s="6" t="n">
        <f aca="false">Sens!D5169+Sens!D5171+Sens!D5173</f>
        <v>62.941</v>
      </c>
      <c r="E5175" s="6" t="n">
        <f aca="false">Sens!E5169+Sens!E5171+Sens!E5173</f>
        <v>63.712</v>
      </c>
      <c r="F5175" s="6" t="n">
        <f aca="false">Sens!F5169+Sens!F5171+Sens!F5173</f>
        <v>65.1415764563129</v>
      </c>
      <c r="G5175" s="6" t="n">
        <f aca="false">Sens!G5169+Sens!G5171+Sens!G5173</f>
        <v>67.1253610780702</v>
      </c>
      <c r="H5175" s="6" t="n">
        <f aca="false">Sens!H5169+Sens!H5171+Sens!H5173</f>
        <v>69.5768050148776</v>
      </c>
      <c r="I5175" s="6" t="n">
        <f aca="false">Sens!I5169+Sens!I5171+Sens!I5173</f>
        <v>72.4233188088189</v>
      </c>
      <c r="J5175" s="6" t="n">
        <f aca="false">Sens!J5169+Sens!J5171+Sens!J5173</f>
        <v>75.6044096678567</v>
      </c>
      <c r="K5175" s="6" t="n">
        <f aca="false">Sens!K5169+Sens!K5171+Sens!K5173</f>
        <v>79.0714397009747</v>
      </c>
    </row>
    <row r="5176" customFormat="false" ht="15" hidden="false" customHeight="false" outlineLevel="0" collapsed="false">
      <c r="A5176" s="1" t="s">
        <v>795</v>
      </c>
      <c r="B5176" s="0" t="s">
        <v>95</v>
      </c>
      <c r="D5176" s="6" t="n">
        <f aca="false">Sens!D5168+Sens!D5175</f>
        <v>281.724</v>
      </c>
      <c r="E5176" s="6" t="n">
        <f aca="false">Sens!E5168+Sens!E5175</f>
        <v>331.839</v>
      </c>
      <c r="F5176" s="6" t="n">
        <f aca="false">Sens!F5168+Sens!F5175</f>
        <v>394.255009521169</v>
      </c>
      <c r="G5176" s="6" t="n">
        <f aca="false">Sens!G5168+Sens!G5175</f>
        <v>458.645226751344</v>
      </c>
      <c r="H5176" s="6" t="n">
        <f aca="false">Sens!H5168+Sens!H5175</f>
        <v>519.083125886071</v>
      </c>
      <c r="I5176" s="6" t="n">
        <f aca="false">Sens!I5168+Sens!I5175</f>
        <v>585.212044036803</v>
      </c>
      <c r="J5176" s="6" t="n">
        <f aca="false">Sens!J5168+Sens!J5175</f>
        <v>648.445942759249</v>
      </c>
      <c r="K5176" s="6" t="n">
        <f aca="false">Sens!K5168+Sens!K5175</f>
        <v>708.474043679644</v>
      </c>
    </row>
    <row r="5177" customFormat="false" ht="15" hidden="false" customHeight="false" outlineLevel="0" collapsed="false">
      <c r="A5177" s="22" t="s">
        <v>796</v>
      </c>
      <c r="B5177" s="28" t="s">
        <v>95</v>
      </c>
      <c r="C5177" s="28"/>
      <c r="D5177" s="23" t="n">
        <f aca="false">(Sens!D5156+Sens!D5161+Sens!D5162+Sens!D5164+Sens!D5166-Sens!D5168)+(Sens!D5169+Sens!D5171+Sens!D5173-Sens!D5175)+(Sens!D5168-Q!L5)+(Sens!D5175-Q!L12)+(Sens!D5156-Q!L6)+(Sens!D5161-Q!L7)</f>
        <v>0</v>
      </c>
      <c r="E5177" s="23" t="n">
        <f aca="false">(Sens!E5156+Sens!E5161+Sens!E5162+Sens!E5164+Sens!E5166-Sens!E5168)+(Sens!E5169+Sens!E5171+Sens!E5173-Sens!E5175)+(Sens!E5168-Q!M5)+(Sens!E5175-Q!M12)+(Sens!E5156-Q!M6)+(Sens!E5161-Q!M7)</f>
        <v>0</v>
      </c>
      <c r="F5177" s="23" t="n">
        <f aca="false">(Sens!F5156+Sens!F5161+Sens!F5162+Sens!F5164+Sens!F5166-Sens!F5168)+(Sens!F5169+Sens!F5171+Sens!F5173-Sens!F5175)</f>
        <v>0</v>
      </c>
      <c r="G5177" s="23" t="n">
        <f aca="false">(Sens!G5156+Sens!G5161+Sens!G5162+Sens!G5164+Sens!G5166-Sens!G5168)+(Sens!G5169+Sens!G5171+Sens!G5173-Sens!G5175)</f>
        <v>0</v>
      </c>
      <c r="H5177" s="23" t="n">
        <f aca="false">(Sens!H5156+Sens!H5161+Sens!H5162+Sens!H5164+Sens!H5166-Sens!H5168)+(Sens!H5169+Sens!H5171+Sens!H5173-Sens!H5175)</f>
        <v>0</v>
      </c>
      <c r="I5177" s="23" t="n">
        <f aca="false">(Sens!I5156+Sens!I5161+Sens!I5162+Sens!I5164+Sens!I5166-Sens!I5168)+(Sens!I5169+Sens!I5171+Sens!I5173-Sens!I5175)</f>
        <v>0</v>
      </c>
      <c r="J5177" s="23" t="n">
        <f aca="false">(Sens!J5156+Sens!J5161+Sens!J5162+Sens!J5164+Sens!J5166-Sens!J5168)+(Sens!J5169+Sens!J5171+Sens!J5173-Sens!J5175)</f>
        <v>0</v>
      </c>
      <c r="K5177" s="23" t="n">
        <f aca="false">(Sens!K5156+Sens!K5161+Sens!K5162+Sens!K5164+Sens!K5166-Sens!K5168)+(Sens!K5169+Sens!K5171+Sens!K5173-Sens!K5175)</f>
        <v>0</v>
      </c>
    </row>
    <row r="5178" customFormat="false" ht="17.15" hidden="false" customHeight="false" outlineLevel="0" collapsed="false">
      <c r="A5178" s="3" t="s">
        <v>1261</v>
      </c>
    </row>
    <row r="5179" customFormat="false" ht="15" hidden="false" customHeight="false" outlineLevel="0" collapsed="false">
      <c r="A5179" s="4" t="s">
        <v>43</v>
      </c>
      <c r="B5179" s="4" t="s">
        <v>63</v>
      </c>
      <c r="C5179" s="19" t="s">
        <v>710</v>
      </c>
      <c r="D5179" s="19" t="s">
        <v>711</v>
      </c>
      <c r="E5179" s="19" t="s">
        <v>712</v>
      </c>
      <c r="F5179" s="19" t="s">
        <v>713</v>
      </c>
      <c r="G5179" s="19" t="s">
        <v>714</v>
      </c>
      <c r="H5179" s="19" t="s">
        <v>715</v>
      </c>
      <c r="I5179" s="19" t="s">
        <v>716</v>
      </c>
      <c r="J5179" s="19" t="s">
        <v>717</v>
      </c>
      <c r="K5179" s="19" t="s">
        <v>718</v>
      </c>
      <c r="L5179" s="4" t="s">
        <v>47</v>
      </c>
    </row>
    <row r="5180" customFormat="false" ht="15" hidden="false" customHeight="false" outlineLevel="0" collapsed="false">
      <c r="A5180" s="0" t="s">
        <v>783</v>
      </c>
      <c r="B5180" s="0" t="s">
        <v>95</v>
      </c>
      <c r="D5180" s="6" t="n">
        <f aca="false">Sens!D5156</f>
        <v>72.61</v>
      </c>
      <c r="E5180" s="6" t="n">
        <f aca="false">Sens!E5156</f>
        <v>101.938</v>
      </c>
      <c r="F5180" s="6" t="n">
        <f aca="false">Sens!F5156</f>
        <v>140.741861125673</v>
      </c>
      <c r="G5180" s="6" t="n">
        <f aca="false">Sens!G5156</f>
        <v>182.176709135845</v>
      </c>
      <c r="H5180" s="6" t="n">
        <f aca="false">Sens!H5156</f>
        <v>219.167638189678</v>
      </c>
      <c r="I5180" s="6" t="n">
        <f aca="false">Sens!I5156</f>
        <v>262.852370248498</v>
      </c>
      <c r="J5180" s="6" t="n">
        <f aca="false">Sens!J5156</f>
        <v>305.025635987223</v>
      </c>
      <c r="K5180" s="6" t="n">
        <f aca="false">Sens!K5156</f>
        <v>344.633534638493</v>
      </c>
    </row>
    <row r="5181" customFormat="false" ht="17.15" hidden="false" customHeight="false" outlineLevel="0" collapsed="false">
      <c r="A5181" s="0" t="s">
        <v>780</v>
      </c>
      <c r="B5181" s="0" t="s">
        <v>95</v>
      </c>
      <c r="D5181" s="6" t="n">
        <f aca="false">Sens!D5153</f>
        <v>12.9359794422418</v>
      </c>
      <c r="E5181" s="6" t="n">
        <f aca="false">Sens!E5153</f>
        <v>27.8095064661409</v>
      </c>
      <c r="F5181" s="6" t="n">
        <f aca="false">Sens!F5153</f>
        <v>50.6619113883066</v>
      </c>
      <c r="G5181" s="6" t="n">
        <f aca="false">Sens!G5153</f>
        <v>75.1482839325348</v>
      </c>
      <c r="H5181" s="6" t="n">
        <f aca="false">Sens!H5153</f>
        <v>94.895655604042</v>
      </c>
      <c r="I5181" s="6" t="n">
        <f aca="false">Sens!I5153</f>
        <v>121.918667866643</v>
      </c>
      <c r="J5181" s="6" t="n">
        <f aca="false">Sens!J5153</f>
        <v>149.006768672892</v>
      </c>
      <c r="K5181" s="6" t="n">
        <f aca="false">Sens!K5153</f>
        <v>176.133157939015</v>
      </c>
    </row>
    <row r="5182" customFormat="false" ht="17.15" hidden="false" customHeight="false" outlineLevel="0" collapsed="false">
      <c r="A5182" s="0" t="s">
        <v>807</v>
      </c>
      <c r="B5182" s="0" t="s">
        <v>95</v>
      </c>
      <c r="D5182" s="6" t="n">
        <f aca="false">Sens!D5154</f>
        <v>59.6740205577583</v>
      </c>
      <c r="E5182" s="6" t="n">
        <f aca="false">Sens!E5154</f>
        <v>74.1284935338591</v>
      </c>
      <c r="F5182" s="6" t="n">
        <f aca="false">Sens!F5154</f>
        <v>90.0799497373663</v>
      </c>
      <c r="G5182" s="6" t="n">
        <f aca="false">Sens!G5154</f>
        <v>107.02842520331</v>
      </c>
      <c r="H5182" s="6" t="n">
        <f aca="false">Sens!H5154</f>
        <v>124.271982585636</v>
      </c>
      <c r="I5182" s="6" t="n">
        <f aca="false">Sens!I5154</f>
        <v>140.933702381855</v>
      </c>
      <c r="J5182" s="6" t="n">
        <f aca="false">Sens!J5154</f>
        <v>156.018867314332</v>
      </c>
      <c r="K5182" s="6" t="n">
        <f aca="false">Sens!K5154</f>
        <v>168.500376699478</v>
      </c>
    </row>
    <row r="5183" customFormat="false" ht="15" hidden="false" customHeight="false" outlineLevel="0" collapsed="false">
      <c r="A5183" s="0" t="s">
        <v>788</v>
      </c>
      <c r="B5183" s="0" t="s">
        <v>95</v>
      </c>
      <c r="D5183" s="6" t="n">
        <f aca="false">Sens!D5161</f>
        <v>84.605</v>
      </c>
      <c r="E5183" s="6" t="n">
        <f aca="false">Sens!E5161</f>
        <v>100.299</v>
      </c>
      <c r="F5183" s="6" t="n">
        <f aca="false">Sens!F5161</f>
        <v>118.14238776686</v>
      </c>
      <c r="G5183" s="6" t="n">
        <f aca="false">Sens!G5161</f>
        <v>134.794168448684</v>
      </c>
      <c r="H5183" s="6" t="n">
        <f aca="false">Sens!H5161</f>
        <v>151.527359388781</v>
      </c>
      <c r="I5183" s="6" t="n">
        <f aca="false">Sens!I5161</f>
        <v>166.959028071957</v>
      </c>
      <c r="J5183" s="6" t="n">
        <f aca="false">Sens!J5161</f>
        <v>180.807702785465</v>
      </c>
      <c r="K5183" s="6" t="n">
        <f aca="false">Sens!K5161</f>
        <v>193.902991980448</v>
      </c>
    </row>
    <row r="5184" customFormat="false" ht="17.15" hidden="false" customHeight="false" outlineLevel="0" collapsed="false">
      <c r="A5184" s="0" t="s">
        <v>808</v>
      </c>
      <c r="B5184" s="0" t="s">
        <v>95</v>
      </c>
      <c r="D5184" s="6" t="n">
        <f aca="false">Sens!D5159</f>
        <v>83.705</v>
      </c>
      <c r="E5184" s="6" t="n">
        <f aca="false">Sens!E5159</f>
        <v>95.049</v>
      </c>
      <c r="F5184" s="6" t="n">
        <f aca="false">Sens!F5159</f>
        <v>106.89238776686</v>
      </c>
      <c r="G5184" s="6" t="n">
        <f aca="false">Sens!G5159</f>
        <v>119.044168448684</v>
      </c>
      <c r="H5184" s="6" t="n">
        <f aca="false">Sens!H5159</f>
        <v>131.277359388781</v>
      </c>
      <c r="I5184" s="6" t="n">
        <f aca="false">Sens!I5159</f>
        <v>143.334028071957</v>
      </c>
      <c r="J5184" s="6" t="n">
        <f aca="false">Sens!J5159</f>
        <v>154.932702785465</v>
      </c>
      <c r="K5184" s="6" t="n">
        <f aca="false">Sens!K5159</f>
        <v>165.777991980448</v>
      </c>
    </row>
    <row r="5185" customFormat="false" ht="17.15" hidden="false" customHeight="false" outlineLevel="0" collapsed="false">
      <c r="A5185" s="0" t="s">
        <v>809</v>
      </c>
      <c r="B5185" s="0" t="s">
        <v>95</v>
      </c>
      <c r="D5185" s="6" t="n">
        <f aca="false">Sens!D5158</f>
        <v>0.9</v>
      </c>
      <c r="E5185" s="6" t="n">
        <f aca="false">Sens!E5158</f>
        <v>5.25</v>
      </c>
      <c r="F5185" s="6" t="n">
        <f aca="false">Sens!F5158</f>
        <v>11.25</v>
      </c>
      <c r="G5185" s="6" t="n">
        <f aca="false">Sens!G5158</f>
        <v>15.75</v>
      </c>
      <c r="H5185" s="6" t="n">
        <f aca="false">Sens!H5158</f>
        <v>20.25</v>
      </c>
      <c r="I5185" s="6" t="n">
        <f aca="false">Sens!I5158</f>
        <v>23.625</v>
      </c>
      <c r="J5185" s="6" t="n">
        <f aca="false">Sens!J5158</f>
        <v>25.875</v>
      </c>
      <c r="K5185" s="6" t="n">
        <f aca="false">Sens!K5158</f>
        <v>28.125</v>
      </c>
    </row>
    <row r="5186" customFormat="false" ht="15" hidden="false" customHeight="false" outlineLevel="0" collapsed="false">
      <c r="A5186" s="0" t="s">
        <v>789</v>
      </c>
      <c r="B5186" s="0" t="s">
        <v>95</v>
      </c>
      <c r="D5186" s="6" t="n">
        <f aca="false">Sens!D5162</f>
        <v>35.391</v>
      </c>
      <c r="E5186" s="6" t="n">
        <f aca="false">Sens!E5162</f>
        <v>37.285</v>
      </c>
      <c r="F5186" s="6" t="n">
        <f aca="false">Sens!F5162</f>
        <v>39.0720834331704</v>
      </c>
      <c r="G5186" s="6" t="n">
        <f aca="false">Sens!G5162</f>
        <v>40.726562953769</v>
      </c>
      <c r="H5186" s="6" t="n">
        <f aca="false">Sens!H5162</f>
        <v>42.2235987259198</v>
      </c>
      <c r="I5186" s="6" t="n">
        <f aca="false">Sens!I5162</f>
        <v>43.5397988077414</v>
      </c>
      <c r="J5186" s="6" t="n">
        <f aca="false">Sens!J5162</f>
        <v>44.653811225693</v>
      </c>
      <c r="K5186" s="6" t="n">
        <f aca="false">Sens!K5162</f>
        <v>45.5468874502068</v>
      </c>
    </row>
    <row r="5187" customFormat="false" ht="15" hidden="false" customHeight="false" outlineLevel="0" collapsed="false">
      <c r="A5187" s="0" t="s">
        <v>790</v>
      </c>
      <c r="B5187" s="0" t="s">
        <v>95</v>
      </c>
      <c r="D5187" s="6" t="n">
        <f aca="false">Sens!D5164</f>
        <v>18.417</v>
      </c>
      <c r="E5187" s="6" t="n">
        <f aca="false">Sens!E5164</f>
        <v>20.345</v>
      </c>
      <c r="F5187" s="6" t="n">
        <f aca="false">Sens!F5164</f>
        <v>22.3572203267814</v>
      </c>
      <c r="G5187" s="6" t="n">
        <f aca="false">Sens!G5164</f>
        <v>24.4392124437232</v>
      </c>
      <c r="H5187" s="6" t="n">
        <f aca="false">Sens!H5164</f>
        <v>26.5738052080665</v>
      </c>
      <c r="I5187" s="6" t="n">
        <f aca="false">Sens!I5164</f>
        <v>28.7412169166967</v>
      </c>
      <c r="J5187" s="6" t="n">
        <f aca="false">Sens!J5164</f>
        <v>30.9192545395413</v>
      </c>
      <c r="K5187" s="6" t="n">
        <f aca="false">Sens!K5164</f>
        <v>33.0836023573092</v>
      </c>
    </row>
    <row r="5188" customFormat="false" ht="15" hidden="false" customHeight="false" outlineLevel="0" collapsed="false">
      <c r="A5188" s="0" t="s">
        <v>791</v>
      </c>
      <c r="B5188" s="0" t="s">
        <v>95</v>
      </c>
      <c r="D5188" s="6" t="n">
        <f aca="false">Sens!D5166</f>
        <v>7.76</v>
      </c>
      <c r="E5188" s="6" t="n">
        <f aca="false">Sens!E5166</f>
        <v>8.26</v>
      </c>
      <c r="F5188" s="6" t="n">
        <f aca="false">Sens!F5166</f>
        <v>8.79988041237113</v>
      </c>
      <c r="G5188" s="6" t="n">
        <f aca="false">Sens!G5166</f>
        <v>9.38321269125306</v>
      </c>
      <c r="H5188" s="6" t="n">
        <f aca="false">Sens!H5166</f>
        <v>10.0139193587476</v>
      </c>
      <c r="I5188" s="6" t="n">
        <f aca="false">Sens!I5166</f>
        <v>10.6963111830911</v>
      </c>
      <c r="J5188" s="6" t="n">
        <f aca="false">Sens!J5166</f>
        <v>11.4351285534696</v>
      </c>
      <c r="K5188" s="6" t="n">
        <f aca="false">Sens!K5166</f>
        <v>12.2355875522124</v>
      </c>
    </row>
    <row r="5189" customFormat="false" ht="15" hidden="false" customHeight="false" outlineLevel="0" collapsed="false">
      <c r="A5189" s="0" t="s">
        <v>626</v>
      </c>
      <c r="B5189" s="0" t="s">
        <v>95</v>
      </c>
      <c r="D5189" s="6" t="n">
        <f aca="false">Sens!D5168</f>
        <v>218.783</v>
      </c>
      <c r="E5189" s="6" t="n">
        <f aca="false">Sens!E5168</f>
        <v>268.127</v>
      </c>
      <c r="F5189" s="6" t="n">
        <f aca="false">Sens!F5168</f>
        <v>329.113433064856</v>
      </c>
      <c r="G5189" s="6" t="n">
        <f aca="false">Sens!G5168</f>
        <v>391.519865673274</v>
      </c>
      <c r="H5189" s="6" t="n">
        <f aca="false">Sens!H5168</f>
        <v>449.506320871193</v>
      </c>
      <c r="I5189" s="6" t="n">
        <f aca="false">Sens!I5168</f>
        <v>512.788725227984</v>
      </c>
      <c r="J5189" s="6" t="n">
        <f aca="false">Sens!J5168</f>
        <v>572.841533091392</v>
      </c>
      <c r="K5189" s="6" t="n">
        <f aca="false">Sens!K5168</f>
        <v>629.402603978669</v>
      </c>
    </row>
    <row r="5190" customFormat="false" ht="15" hidden="false" customHeight="false" outlineLevel="0" collapsed="false">
      <c r="A5190" s="0" t="s">
        <v>792</v>
      </c>
      <c r="B5190" s="0" t="s">
        <v>95</v>
      </c>
      <c r="D5190" s="6" t="n">
        <f aca="false">Sens!D5169</f>
        <v>22.171</v>
      </c>
      <c r="E5190" s="6" t="n">
        <f aca="false">Sens!E5169</f>
        <v>24.835</v>
      </c>
      <c r="F5190" s="6" t="n">
        <f aca="false">Sens!F5169</f>
        <v>27.6114901218559</v>
      </c>
      <c r="G5190" s="6" t="n">
        <f aca="false">Sens!G5169</f>
        <v>30.4675667338515</v>
      </c>
      <c r="H5190" s="6" t="n">
        <f aca="false">Sens!H5169</f>
        <v>33.3643766955789</v>
      </c>
      <c r="I5190" s="6" t="n">
        <f aca="false">Sens!I5169</f>
        <v>36.2577016533691</v>
      </c>
      <c r="J5190" s="6" t="n">
        <f aca="false">Sens!J5169</f>
        <v>39.0988367952171</v>
      </c>
      <c r="K5190" s="6" t="n">
        <f aca="false">Sens!K5169</f>
        <v>41.8357553708823</v>
      </c>
    </row>
    <row r="5191" customFormat="false" ht="15" hidden="false" customHeight="false" outlineLevel="0" collapsed="false">
      <c r="A5191" s="0" t="s">
        <v>793</v>
      </c>
      <c r="B5191" s="0" t="s">
        <v>95</v>
      </c>
      <c r="D5191" s="6" t="n">
        <f aca="false">Sens!D5171</f>
        <v>23.455</v>
      </c>
      <c r="E5191" s="6" t="n">
        <f aca="false">Sens!E5171</f>
        <v>21.79</v>
      </c>
      <c r="F5191" s="6" t="n">
        <f aca="false">Sens!F5171</f>
        <v>20.5736277908051</v>
      </c>
      <c r="G5191" s="6" t="n">
        <f aca="false">Sens!G5171</f>
        <v>19.7371452817919</v>
      </c>
      <c r="H5191" s="6" t="n">
        <f aca="false">Sens!H5171</f>
        <v>19.2339764043138</v>
      </c>
      <c r="I5191" s="6" t="n">
        <f aca="false">Sens!I5171</f>
        <v>19.0353086852681</v>
      </c>
      <c r="J5191" s="6" t="n">
        <f aca="false">Sens!J5171</f>
        <v>19.1273539319129</v>
      </c>
      <c r="K5191" s="6" t="n">
        <f aca="false">Sens!K5171</f>
        <v>19.5099010105511</v>
      </c>
    </row>
    <row r="5192" customFormat="false" ht="15" hidden="false" customHeight="false" outlineLevel="0" collapsed="false">
      <c r="A5192" s="0" t="s">
        <v>794</v>
      </c>
      <c r="B5192" s="0" t="s">
        <v>95</v>
      </c>
      <c r="D5192" s="6" t="n">
        <f aca="false">Sens!D5173</f>
        <v>17.315</v>
      </c>
      <c r="E5192" s="6" t="n">
        <f aca="false">Sens!E5173</f>
        <v>17.087</v>
      </c>
      <c r="F5192" s="6" t="n">
        <f aca="false">Sens!F5173</f>
        <v>16.9564585436519</v>
      </c>
      <c r="G5192" s="6" t="n">
        <f aca="false">Sens!G5173</f>
        <v>16.9206490624268</v>
      </c>
      <c r="H5192" s="6" t="n">
        <f aca="false">Sens!H5173</f>
        <v>16.9784519149849</v>
      </c>
      <c r="I5192" s="6" t="n">
        <f aca="false">Sens!I5173</f>
        <v>17.1303084701817</v>
      </c>
      <c r="J5192" s="6" t="n">
        <f aca="false">Sens!J5173</f>
        <v>17.3782189407267</v>
      </c>
      <c r="K5192" s="6" t="n">
        <f aca="false">Sens!K5173</f>
        <v>17.7257833195413</v>
      </c>
    </row>
    <row r="5193" customFormat="false" ht="15" hidden="false" customHeight="false" outlineLevel="0" collapsed="false">
      <c r="A5193" s="0" t="s">
        <v>640</v>
      </c>
      <c r="B5193" s="0" t="s">
        <v>95</v>
      </c>
      <c r="D5193" s="6" t="n">
        <f aca="false">Sens!D5175</f>
        <v>62.941</v>
      </c>
      <c r="E5193" s="6" t="n">
        <f aca="false">Sens!E5175</f>
        <v>63.712</v>
      </c>
      <c r="F5193" s="6" t="n">
        <f aca="false">Sens!F5175</f>
        <v>65.1415764563129</v>
      </c>
      <c r="G5193" s="6" t="n">
        <f aca="false">Sens!G5175</f>
        <v>67.1253610780702</v>
      </c>
      <c r="H5193" s="6" t="n">
        <f aca="false">Sens!H5175</f>
        <v>69.5768050148776</v>
      </c>
      <c r="I5193" s="6" t="n">
        <f aca="false">Sens!I5175</f>
        <v>72.4233188088189</v>
      </c>
      <c r="J5193" s="6" t="n">
        <f aca="false">Sens!J5175</f>
        <v>75.6044096678567</v>
      </c>
      <c r="K5193" s="6" t="n">
        <f aca="false">Sens!K5175</f>
        <v>79.0714397009747</v>
      </c>
    </row>
    <row r="5194" customFormat="false" ht="15" hidden="false" customHeight="false" outlineLevel="0" collapsed="false">
      <c r="A5194" s="1" t="s">
        <v>810</v>
      </c>
      <c r="B5194" s="0" t="s">
        <v>95</v>
      </c>
      <c r="D5194" s="6" t="n">
        <f aca="false">Sens!D5176</f>
        <v>281.724</v>
      </c>
      <c r="E5194" s="6" t="n">
        <f aca="false">Sens!E5176</f>
        <v>331.839</v>
      </c>
      <c r="F5194" s="6" t="n">
        <f aca="false">Sens!F5176</f>
        <v>394.255009521169</v>
      </c>
      <c r="G5194" s="6" t="n">
        <f aca="false">Sens!G5176</f>
        <v>458.645226751344</v>
      </c>
      <c r="H5194" s="6" t="n">
        <f aca="false">Sens!H5176</f>
        <v>519.083125886071</v>
      </c>
      <c r="I5194" s="6" t="n">
        <f aca="false">Sens!I5176</f>
        <v>585.212044036803</v>
      </c>
      <c r="J5194" s="6" t="n">
        <f aca="false">Sens!J5176</f>
        <v>648.445942759249</v>
      </c>
      <c r="K5194" s="6" t="n">
        <f aca="false">Sens!K5176</f>
        <v>708.474043679644</v>
      </c>
    </row>
    <row r="5195" customFormat="false" ht="15" hidden="false" customHeight="false" outlineLevel="0" collapsed="false">
      <c r="A5195" s="1" t="s">
        <v>811</v>
      </c>
      <c r="B5195" s="0" t="s">
        <v>126</v>
      </c>
      <c r="E5195" s="7" t="n">
        <f aca="false">Sens!E5194/Sens!D5194-1</f>
        <v>0.177886867998467</v>
      </c>
      <c r="F5195" s="7" t="n">
        <f aca="false">Sens!F5194/Sens!E5194-1</f>
        <v>0.188091241599597</v>
      </c>
      <c r="G5195" s="7" t="n">
        <f aca="false">Sens!G5194/Sens!F5194-1</f>
        <v>0.163321240504664</v>
      </c>
      <c r="H5195" s="7" t="n">
        <f aca="false">Sens!H5194/Sens!G5194-1</f>
        <v>0.131774835122166</v>
      </c>
      <c r="I5195" s="7" t="n">
        <f aca="false">Sens!I5194/Sens!H5194-1</f>
        <v>0.127395622883813</v>
      </c>
      <c r="J5195" s="7" t="n">
        <f aca="false">Sens!J5194/Sens!I5194-1</f>
        <v>0.108052968777364</v>
      </c>
      <c r="K5195" s="7" t="n">
        <f aca="false">Sens!K5194/Sens!J5194-1</f>
        <v>0.0925722515356717</v>
      </c>
    </row>
    <row r="5196" customFormat="false" ht="17.15" hidden="false" customHeight="false" outlineLevel="0" collapsed="false">
      <c r="A5196" s="22" t="s">
        <v>812</v>
      </c>
      <c r="B5196" s="28" t="s">
        <v>95</v>
      </c>
      <c r="C5196" s="28"/>
      <c r="D5196" s="23" t="n">
        <f aca="false">(Sens!D5189+Sens!D5193-Sens!D5194)+(Sens!D5181+Sens!D5182-Sens!D5180)+(Sens!D5184+Sens!D5185-Sens!D5183)+(Sens!D5194-Q!L18)</f>
        <v>0</v>
      </c>
      <c r="E5196" s="23" t="n">
        <f aca="false">(Sens!E5189+Sens!E5193-Sens!E5194)+(Sens!E5181+Sens!E5182-Sens!E5180)+(Sens!E5184+Sens!E5185-Sens!E5183)+(Sens!E5194-Q!M18)</f>
        <v>0</v>
      </c>
      <c r="F5196" s="23" t="n">
        <f aca="false">(Sens!F5189+Sens!F5193-Sens!F5194)+(Sens!F5181+Sens!F5182-Sens!F5180)+(Sens!F5184+Sens!F5185-Sens!F5183)</f>
        <v>0</v>
      </c>
      <c r="G5196" s="23" t="n">
        <f aca="false">(Sens!G5189+Sens!G5193-Sens!G5194)+(Sens!G5181+Sens!G5182-Sens!G5180)+(Sens!G5184+Sens!G5185-Sens!G5183)</f>
        <v>0</v>
      </c>
      <c r="H5196" s="23" t="n">
        <f aca="false">(Sens!H5189+Sens!H5193-Sens!H5194)+(Sens!H5181+Sens!H5182-Sens!H5180)+(Sens!H5184+Sens!H5185-Sens!H5183)</f>
        <v>0</v>
      </c>
      <c r="I5196" s="23" t="n">
        <f aca="false">(Sens!I5189+Sens!I5193-Sens!I5194)+(Sens!I5181+Sens!I5182-Sens!I5180)+(Sens!I5184+Sens!I5185-Sens!I5183)</f>
        <v>0</v>
      </c>
      <c r="J5196" s="23" t="n">
        <f aca="false">(Sens!J5189+Sens!J5193-Sens!J5194)+(Sens!J5181+Sens!J5182-Sens!J5180)+(Sens!J5184+Sens!J5185-Sens!J5183)</f>
        <v>0</v>
      </c>
      <c r="K5196" s="23" t="n">
        <f aca="false">(Sens!K5189+Sens!K5193-Sens!K5194)+(Sens!K5181+Sens!K5182-Sens!K5180)+(Sens!K5184+Sens!K5185-Sens!K5183)</f>
        <v>0</v>
      </c>
    </row>
    <row r="5197" customFormat="false" ht="17.15" hidden="false" customHeight="false" outlineLevel="0" collapsed="false">
      <c r="A5197" s="0" t="s">
        <v>813</v>
      </c>
      <c r="B5197" s="0" t="s">
        <v>126</v>
      </c>
      <c r="E5197" s="7" t="n">
        <f aca="false">(Q!M21+Sens!E5134+Sens!E5135+Sens!E5136+Sens!E5149-Sens!E5132)/(Q!M5-Sens!E5132)</f>
        <v>0.570957350878296</v>
      </c>
      <c r="F5197" s="7" t="n">
        <f aca="false">Sens!$E$5197+dm_seg</f>
        <v>0.570957350878296</v>
      </c>
      <c r="G5197" s="7" t="n">
        <f aca="false">Sens!$E$5197+dm_seg</f>
        <v>0.570957350878296</v>
      </c>
      <c r="H5197" s="7" t="n">
        <f aca="false">Sens!$E$5197+dm_seg</f>
        <v>0.570957350878296</v>
      </c>
      <c r="I5197" s="7" t="n">
        <f aca="false">Sens!$E$5197+dm_seg</f>
        <v>0.570957350878296</v>
      </c>
      <c r="J5197" s="7" t="n">
        <f aca="false">Sens!$E$5197+dm_seg</f>
        <v>0.570957350878296</v>
      </c>
      <c r="K5197" s="7" t="n">
        <f aca="false">Sens!$E$5197+dm_seg</f>
        <v>0.570957350878296</v>
      </c>
      <c r="L5197" s="11" t="s">
        <v>814</v>
      </c>
    </row>
    <row r="5198" customFormat="false" ht="17.15" hidden="false" customHeight="false" outlineLevel="0" collapsed="false">
      <c r="A5198" s="0" t="s">
        <v>654</v>
      </c>
      <c r="B5198" s="0" t="s">
        <v>95</v>
      </c>
      <c r="D5198" s="6" t="n">
        <f aca="false">Q!L21</f>
        <v>110.814</v>
      </c>
      <c r="E5198" s="6" t="n">
        <f aca="false">Q!M21</f>
        <v>136.365</v>
      </c>
      <c r="F5198" s="6" t="n">
        <f aca="false">Sens!F5197*(Sens!F5168-Sens!F5132)+Sens!F5132-(Sens!F5134+Sens!F5135+Sens!F5136)-Sens!F5149</f>
        <v>152.761572720635</v>
      </c>
      <c r="G5198" s="6" t="n">
        <f aca="false">Sens!G5197*(Sens!G5168-Sens!G5132)+Sens!G5132-(Sens!G5134+Sens!G5135+Sens!G5136)-Sens!G5149</f>
        <v>161.581312940651</v>
      </c>
      <c r="H5198" s="6" t="n">
        <f aca="false">Sens!H5197*(Sens!H5168-Sens!H5132)+Sens!H5132-(Sens!H5134+Sens!H5135+Sens!H5136)-Sens!H5149</f>
        <v>164.72898939</v>
      </c>
      <c r="I5198" s="6" t="n">
        <f aca="false">Sens!I5197*(Sens!I5168-Sens!I5132)+Sens!I5132-(Sens!I5134+Sens!I5135+Sens!I5136)-Sens!I5149</f>
        <v>172.971885925673</v>
      </c>
      <c r="J5198" s="6" t="n">
        <f aca="false">Sens!J5197*(Sens!J5168-Sens!J5132)+Sens!J5132-(Sens!J5134+Sens!J5135+Sens!J5136)-Sens!J5149</f>
        <v>178.41040573868</v>
      </c>
      <c r="K5198" s="6" t="n">
        <f aca="false">Sens!K5197*(Sens!K5168-Sens!K5132)+Sens!K5132-(Sens!K5134+Sens!K5135+Sens!K5136)-Sens!K5149</f>
        <v>180.574694750693</v>
      </c>
      <c r="L5198" s="1" t="s">
        <v>815</v>
      </c>
    </row>
    <row r="5199" customFormat="false" ht="17.15" hidden="false" customHeight="false" outlineLevel="0" collapsed="false">
      <c r="A5199" s="0" t="s">
        <v>816</v>
      </c>
      <c r="B5199" s="0" t="s">
        <v>126</v>
      </c>
      <c r="E5199" s="7" t="n">
        <f aca="false">Q!M22/Q!M12</f>
        <v>0.296207935710698</v>
      </c>
      <c r="F5199" s="7" t="n">
        <f aca="false">Sens!$E$5199+dm_seg</f>
        <v>0.296207935710698</v>
      </c>
      <c r="G5199" s="7" t="n">
        <f aca="false">Sens!$E$5199+dm_seg</f>
        <v>0.296207935710698</v>
      </c>
      <c r="H5199" s="7" t="n">
        <f aca="false">Sens!$E$5199+dm_seg</f>
        <v>0.296207935710698</v>
      </c>
      <c r="I5199" s="7" t="n">
        <f aca="false">Sens!$E$5199+dm_seg</f>
        <v>0.296207935710698</v>
      </c>
      <c r="J5199" s="7" t="n">
        <f aca="false">Sens!$E$5199+dm_seg</f>
        <v>0.296207935710698</v>
      </c>
      <c r="K5199" s="7" t="n">
        <f aca="false">Sens!$E$5199+dm_seg</f>
        <v>0.296207935710698</v>
      </c>
      <c r="L5199" s="11" t="s">
        <v>817</v>
      </c>
    </row>
    <row r="5200" customFormat="false" ht="17.15" hidden="false" customHeight="false" outlineLevel="0" collapsed="false">
      <c r="A5200" s="0" t="s">
        <v>656</v>
      </c>
      <c r="B5200" s="0" t="s">
        <v>95</v>
      </c>
      <c r="D5200" s="6" t="n">
        <f aca="false">Q!L22</f>
        <v>17.714</v>
      </c>
      <c r="E5200" s="6" t="n">
        <f aca="false">Q!M22</f>
        <v>18.872</v>
      </c>
      <c r="F5200" s="6" t="n">
        <f aca="false">Sens!F5175*Sens!F5199</f>
        <v>19.2954518910651</v>
      </c>
      <c r="G5200" s="6" t="n">
        <f aca="false">Sens!G5175*Sens!G5199</f>
        <v>19.8830646387704</v>
      </c>
      <c r="H5200" s="6" t="n">
        <f aca="false">Sens!H5175*Sens!H5199</f>
        <v>20.6092017868026</v>
      </c>
      <c r="I5200" s="6" t="n">
        <f aca="false">Sens!I5175*Sens!I5199</f>
        <v>21.452361761678</v>
      </c>
      <c r="J5200" s="6" t="n">
        <f aca="false">Sens!J5175*Sens!J5199</f>
        <v>22.3946261183418</v>
      </c>
      <c r="K5200" s="6" t="n">
        <f aca="false">Sens!K5175*Sens!K5199</f>
        <v>23.4215879274986</v>
      </c>
    </row>
    <row r="5201" customFormat="false" ht="15" hidden="false" customHeight="false" outlineLevel="0" collapsed="false">
      <c r="A5201" s="1" t="s">
        <v>818</v>
      </c>
      <c r="B5201" s="0" t="s">
        <v>95</v>
      </c>
      <c r="D5201" s="6" t="n">
        <f aca="false">Sens!D5198+Sens!D5200</f>
        <v>128.528</v>
      </c>
      <c r="E5201" s="6" t="n">
        <f aca="false">Sens!E5198+Sens!E5200</f>
        <v>155.237</v>
      </c>
      <c r="F5201" s="6" t="n">
        <f aca="false">Sens!F5198+Sens!F5200</f>
        <v>172.0570246117</v>
      </c>
      <c r="G5201" s="6" t="n">
        <f aca="false">Sens!G5198+Sens!G5200</f>
        <v>181.464377579421</v>
      </c>
      <c r="H5201" s="6" t="n">
        <f aca="false">Sens!H5198+Sens!H5200</f>
        <v>185.338191176803</v>
      </c>
      <c r="I5201" s="6" t="n">
        <f aca="false">Sens!I5198+Sens!I5200</f>
        <v>194.424247687351</v>
      </c>
      <c r="J5201" s="6" t="n">
        <f aca="false">Sens!J5198+Sens!J5200</f>
        <v>200.805031857022</v>
      </c>
      <c r="K5201" s="6" t="n">
        <f aca="false">Sens!K5198+Sens!K5200</f>
        <v>203.996282678191</v>
      </c>
    </row>
    <row r="5202" customFormat="false" ht="15" hidden="false" customHeight="false" outlineLevel="0" collapsed="false">
      <c r="A5202" s="22" t="s">
        <v>819</v>
      </c>
      <c r="B5202" s="28" t="s">
        <v>95</v>
      </c>
      <c r="C5202" s="28"/>
      <c r="D5202" s="23" t="n">
        <f aca="false">Sens!D5201-Q!L23</f>
        <v>0</v>
      </c>
      <c r="E5202" s="23" t="n">
        <f aca="false">Sens!E5201-Q!M23</f>
        <v>0</v>
      </c>
      <c r="F5202" s="28"/>
      <c r="G5202" s="28"/>
      <c r="H5202" s="28"/>
      <c r="I5202" s="28"/>
      <c r="J5202" s="28"/>
      <c r="K5202" s="28"/>
    </row>
    <row r="5203" customFormat="false" ht="15" hidden="false" customHeight="false" outlineLevel="0" collapsed="false">
      <c r="A5203" s="1" t="s">
        <v>820</v>
      </c>
      <c r="B5203" s="0" t="s">
        <v>126</v>
      </c>
      <c r="D5203" s="7" t="n">
        <f aca="false">Sens!D5201/Sens!D5194</f>
        <v>0.456219562408598</v>
      </c>
      <c r="E5203" s="7" t="n">
        <f aca="false">Sens!E5201/Sens!E5194</f>
        <v>0.467808184089272</v>
      </c>
      <c r="F5203" s="7" t="n">
        <f aca="false">Sens!F5201/Sens!F5194</f>
        <v>0.436410496903178</v>
      </c>
      <c r="G5203" s="7" t="n">
        <f aca="false">Sens!G5201/Sens!G5194</f>
        <v>0.39565303854738</v>
      </c>
      <c r="H5203" s="7" t="n">
        <f aca="false">Sens!H5201/Sens!H5194</f>
        <v>0.357049154430578</v>
      </c>
      <c r="I5203" s="7" t="n">
        <f aca="false">Sens!I5201/Sens!I5194</f>
        <v>0.332228718920768</v>
      </c>
      <c r="J5203" s="7" t="n">
        <f aca="false">Sens!J5201/Sens!J5194</f>
        <v>0.309671197883607</v>
      </c>
      <c r="K5203" s="7" t="n">
        <f aca="false">Sens!K5201/Sens!K5194</f>
        <v>0.287937553249917</v>
      </c>
    </row>
    <row r="5204" customFormat="false" ht="17.15" hidden="false" customHeight="false" outlineLevel="0" collapsed="false">
      <c r="A5204" s="1" t="s">
        <v>821</v>
      </c>
      <c r="B5204" s="0" t="s">
        <v>95</v>
      </c>
      <c r="E5204" s="6" t="n">
        <f aca="false">Sens!E5149</f>
        <v>16.3054059770833</v>
      </c>
      <c r="F5204" s="6" t="n">
        <f aca="false">Sens!F5149</f>
        <v>34.7467854558698</v>
      </c>
      <c r="G5204" s="6" t="n">
        <f aca="false">Sens!G5149</f>
        <v>60.5192332603396</v>
      </c>
      <c r="H5204" s="6" t="n">
        <f aca="false">Sens!H5149</f>
        <v>87.7548159931396</v>
      </c>
      <c r="I5204" s="6" t="n">
        <f aca="false">Sens!I5149</f>
        <v>116.009681741123</v>
      </c>
      <c r="J5204" s="6" t="n">
        <f aca="false">Sens!J5149</f>
        <v>145.236777958273</v>
      </c>
      <c r="K5204" s="6" t="n">
        <f aca="false">Sens!K5149</f>
        <v>175.75142263459</v>
      </c>
    </row>
    <row r="5205" customFormat="false" ht="17.15" hidden="false" customHeight="false" outlineLevel="0" collapsed="false">
      <c r="A5205" s="1" t="s">
        <v>822</v>
      </c>
      <c r="B5205" s="0" t="s">
        <v>95</v>
      </c>
      <c r="E5205" s="6" t="n">
        <f aca="false">Sens!E5225</f>
        <v>22.2285940229167</v>
      </c>
      <c r="F5205" s="6" t="n">
        <f aca="false">Sens!F5225</f>
        <v>23.5561693435813</v>
      </c>
      <c r="G5205" s="6" t="n">
        <f aca="false">Sens!G5225</f>
        <v>25.2933417662621</v>
      </c>
      <c r="H5205" s="6" t="n">
        <f aca="false">Sens!H5225</f>
        <v>27.4076589540448</v>
      </c>
      <c r="I5205" s="6" t="n">
        <f aca="false">Sens!I5225</f>
        <v>29.8379830898047</v>
      </c>
      <c r="J5205" s="6" t="n">
        <f aca="false">Sens!J5225</f>
        <v>32.5060261058616</v>
      </c>
      <c r="K5205" s="6" t="n">
        <f aca="false">Sens!K5225</f>
        <v>35.3285437694749</v>
      </c>
    </row>
    <row r="5206" customFormat="false" ht="17.15" hidden="false" customHeight="false" outlineLevel="0" collapsed="false">
      <c r="A5206" s="1" t="s">
        <v>823</v>
      </c>
      <c r="B5206" s="0" t="s">
        <v>95</v>
      </c>
      <c r="D5206" s="6" t="n">
        <f aca="false">Q!L27</f>
        <v>-4.901</v>
      </c>
      <c r="E5206" s="6" t="n">
        <f aca="false">Q!M27</f>
        <v>10.697</v>
      </c>
      <c r="F5206" s="6" t="n">
        <f aca="false">oie_f</f>
        <v>-0.4</v>
      </c>
      <c r="G5206" s="6" t="n">
        <f aca="false">oie_f</f>
        <v>-0.4</v>
      </c>
      <c r="H5206" s="6" t="n">
        <f aca="false">oie_f</f>
        <v>-0.4</v>
      </c>
      <c r="I5206" s="6" t="n">
        <f aca="false">oie_f</f>
        <v>-0.4</v>
      </c>
      <c r="J5206" s="6" t="n">
        <f aca="false">oie_f</f>
        <v>-0.4</v>
      </c>
      <c r="K5206" s="6" t="n">
        <f aca="false">oie_f</f>
        <v>-0.4</v>
      </c>
      <c r="L5206" s="11" t="s">
        <v>824</v>
      </c>
    </row>
    <row r="5207" customFormat="false" ht="15" hidden="false" customHeight="false" outlineLevel="0" collapsed="false">
      <c r="A5207" s="1" t="s">
        <v>666</v>
      </c>
      <c r="B5207" s="0" t="s">
        <v>95</v>
      </c>
      <c r="D5207" s="6" t="n">
        <f aca="false">Sens!D5201+Sens!D5206</f>
        <v>123.627</v>
      </c>
      <c r="E5207" s="6" t="n">
        <f aca="false">Sens!E5201+Sens!E5206</f>
        <v>165.934</v>
      </c>
      <c r="F5207" s="6" t="n">
        <f aca="false">Sens!F5201+Sens!F5206</f>
        <v>171.6570246117</v>
      </c>
      <c r="G5207" s="6" t="n">
        <f aca="false">Sens!G5201+Sens!G5206</f>
        <v>181.064377579421</v>
      </c>
      <c r="H5207" s="6" t="n">
        <f aca="false">Sens!H5201+Sens!H5206</f>
        <v>184.938191176803</v>
      </c>
      <c r="I5207" s="6" t="n">
        <f aca="false">Sens!I5201+Sens!I5206</f>
        <v>194.024247687351</v>
      </c>
      <c r="J5207" s="6" t="n">
        <f aca="false">Sens!J5201+Sens!J5206</f>
        <v>200.405031857022</v>
      </c>
      <c r="K5207" s="6" t="n">
        <f aca="false">Sens!K5201+Sens!K5206</f>
        <v>203.596282678191</v>
      </c>
    </row>
    <row r="5208" customFormat="false" ht="15" hidden="false" customHeight="false" outlineLevel="0" collapsed="false">
      <c r="A5208" s="1" t="s">
        <v>668</v>
      </c>
      <c r="B5208" s="0" t="s">
        <v>95</v>
      </c>
      <c r="D5208" s="6" t="n">
        <f aca="false">Q!L29</f>
        <v>21.795</v>
      </c>
      <c r="E5208" s="6" t="n">
        <f aca="false">Q!M29</f>
        <v>32.185</v>
      </c>
      <c r="F5208" s="6" t="n">
        <f aca="false">Sens!F5207*tax_f</f>
        <v>34.3314049223401</v>
      </c>
      <c r="G5208" s="6" t="n">
        <f aca="false">Sens!G5207*tax_f</f>
        <v>36.2128755158843</v>
      </c>
      <c r="H5208" s="6" t="n">
        <f aca="false">Sens!H5207*tax_f</f>
        <v>36.9876382353606</v>
      </c>
      <c r="I5208" s="6" t="n">
        <f aca="false">Sens!I5207*tax_f</f>
        <v>38.8048495374703</v>
      </c>
      <c r="J5208" s="6" t="n">
        <f aca="false">Sens!J5207*tax_f</f>
        <v>40.0810063714044</v>
      </c>
      <c r="K5208" s="6" t="n">
        <f aca="false">Sens!K5207*tax_f</f>
        <v>40.7192565356382</v>
      </c>
    </row>
    <row r="5209" customFormat="false" ht="15" hidden="false" customHeight="false" outlineLevel="0" collapsed="false">
      <c r="A5209" s="1" t="s">
        <v>825</v>
      </c>
      <c r="B5209" s="0" t="s">
        <v>95</v>
      </c>
      <c r="D5209" s="6" t="n">
        <f aca="false">Sens!D5207-Sens!D5208</f>
        <v>101.832</v>
      </c>
      <c r="E5209" s="6" t="n">
        <f aca="false">Sens!E5207-Sens!E5208</f>
        <v>133.749</v>
      </c>
      <c r="F5209" s="6" t="n">
        <f aca="false">Sens!F5207-Sens!F5208</f>
        <v>137.32561968936</v>
      </c>
      <c r="G5209" s="6" t="n">
        <f aca="false">Sens!G5207-Sens!G5208</f>
        <v>144.851502063537</v>
      </c>
      <c r="H5209" s="6" t="n">
        <f aca="false">Sens!H5207-Sens!H5208</f>
        <v>147.950552941442</v>
      </c>
      <c r="I5209" s="6" t="n">
        <f aca="false">Sens!I5207-Sens!I5208</f>
        <v>155.219398149881</v>
      </c>
      <c r="J5209" s="6" t="n">
        <f aca="false">Sens!J5207-Sens!J5208</f>
        <v>160.324025485617</v>
      </c>
      <c r="K5209" s="6" t="n">
        <f aca="false">Sens!K5207-Sens!K5208</f>
        <v>162.877026142553</v>
      </c>
    </row>
    <row r="5210" customFormat="false" ht="17.15" hidden="false" customHeight="false" outlineLevel="0" collapsed="false">
      <c r="A5210" s="1" t="s">
        <v>826</v>
      </c>
      <c r="B5210" s="1" t="s">
        <v>79</v>
      </c>
      <c r="D5210" s="18" t="n">
        <f aca="false">Q!L31</f>
        <v>7.465</v>
      </c>
      <c r="E5210" s="18" t="n">
        <f aca="false">Q!M31</f>
        <v>7.453</v>
      </c>
      <c r="F5210" s="18" t="n">
        <f aca="false">Sens!F5247</f>
        <v>7.4735</v>
      </c>
      <c r="G5210" s="18" t="n">
        <f aca="false">Sens!G5247</f>
        <v>7.5185</v>
      </c>
      <c r="H5210" s="18" t="n">
        <f aca="false">Sens!H5247</f>
        <v>7.55716076350365</v>
      </c>
      <c r="I5210" s="18" t="n">
        <f aca="false">Sens!I5247</f>
        <v>7.58711773115266</v>
      </c>
      <c r="J5210" s="18" t="n">
        <f aca="false">Sens!J5247</f>
        <v>7.60862620025854</v>
      </c>
      <c r="K5210" s="18" t="n">
        <f aca="false">Sens!K5247</f>
        <v>7.62736626778973</v>
      </c>
    </row>
    <row r="5211" customFormat="false" ht="17.15" hidden="false" customHeight="false" outlineLevel="0" collapsed="false">
      <c r="A5211" s="0" t="s">
        <v>827</v>
      </c>
      <c r="B5211" s="0" t="s">
        <v>73</v>
      </c>
      <c r="D5211" s="8" t="n">
        <f aca="false">Sens!D5209/Sens!D5210</f>
        <v>13.641259209645</v>
      </c>
      <c r="E5211" s="8" t="n">
        <f aca="false">Sens!E5209/Sens!E5210</f>
        <v>17.9456594659869</v>
      </c>
      <c r="F5211" s="8" t="n">
        <f aca="false">Sens!F5209/Sens!F5210</f>
        <v>18.3750076522861</v>
      </c>
      <c r="G5211" s="8" t="n">
        <f aca="false">Sens!G5209/Sens!G5210</f>
        <v>19.2660107818763</v>
      </c>
      <c r="H5211" s="8" t="n">
        <f aca="false">Sens!H5209/Sens!H5210</f>
        <v>19.577531505741</v>
      </c>
      <c r="I5211" s="8" t="n">
        <f aca="false">Sens!I5209/Sens!I5210</f>
        <v>20.4582825323181</v>
      </c>
      <c r="J5211" s="8" t="n">
        <f aca="false">Sens!J5209/Sens!J5210</f>
        <v>21.0713499738191</v>
      </c>
      <c r="K5211" s="8" t="n">
        <f aca="false">Sens!K5209/Sens!K5210</f>
        <v>21.3542945787697</v>
      </c>
      <c r="L5211" s="1" t="s">
        <v>828</v>
      </c>
    </row>
    <row r="5212" customFormat="false" ht="17.15" hidden="false" customHeight="false" outlineLevel="0" collapsed="false">
      <c r="A5212" s="0" t="s">
        <v>829</v>
      </c>
      <c r="B5212" s="0" t="s">
        <v>126</v>
      </c>
      <c r="E5212" s="7" t="n">
        <f aca="false">Sens!E5211/Sens!D5211-1</f>
        <v>0.315542736208578</v>
      </c>
      <c r="F5212" s="7" t="n">
        <f aca="false">Sens!F5211/Sens!E5211-1</f>
        <v>0.0239249043543381</v>
      </c>
      <c r="G5212" s="7" t="n">
        <f aca="false">Sens!G5211/Sens!F5211-1</f>
        <v>0.0484899460425186</v>
      </c>
      <c r="H5212" s="7" t="n">
        <f aca="false">Sens!H5211/Sens!G5211-1</f>
        <v>0.0161694461500934</v>
      </c>
      <c r="I5212" s="7" t="n">
        <f aca="false">Sens!I5211/Sens!H5211-1</f>
        <v>0.0449878487652431</v>
      </c>
      <c r="J5212" s="7" t="n">
        <f aca="false">Sens!J5211/Sens!I5211-1</f>
        <v>0.0299667110634827</v>
      </c>
      <c r="K5212" s="7" t="n">
        <f aca="false">Sens!K5211/Sens!J5211-1</f>
        <v>0.0134279296439062</v>
      </c>
    </row>
    <row r="5213" customFormat="false" ht="17.15" hidden="false" customHeight="false" outlineLevel="0" collapsed="false">
      <c r="A5213" s="0" t="s">
        <v>763</v>
      </c>
      <c r="B5213" s="0" t="s">
        <v>95</v>
      </c>
      <c r="E5213" s="6" t="n">
        <f aca="false">Sens!E5158</f>
        <v>5.25</v>
      </c>
      <c r="F5213" s="6" t="n">
        <f aca="false">Sens!F5158</f>
        <v>11.25</v>
      </c>
      <c r="G5213" s="6" t="n">
        <f aca="false">Sens!G5158</f>
        <v>15.75</v>
      </c>
      <c r="H5213" s="6" t="n">
        <f aca="false">Sens!H5158</f>
        <v>20.25</v>
      </c>
      <c r="I5213" s="6" t="n">
        <f aca="false">Sens!I5158</f>
        <v>23.625</v>
      </c>
      <c r="J5213" s="6" t="n">
        <f aca="false">Sens!J5158</f>
        <v>25.875</v>
      </c>
      <c r="K5213" s="6" t="n">
        <f aca="false">Sens!K5158</f>
        <v>28.125</v>
      </c>
    </row>
    <row r="5214" customFormat="false" ht="17.15" hidden="false" customHeight="false" outlineLevel="0" collapsed="false">
      <c r="A5214" s="0" t="s">
        <v>764</v>
      </c>
      <c r="B5214" s="0" t="s">
        <v>95</v>
      </c>
      <c r="E5214" s="6" t="n">
        <f aca="false">Sens!E5138+Sens!E5213*Sens!E5197-Sens!E5139-Sens!E5149</f>
        <v>2.1514866143068</v>
      </c>
      <c r="F5214" s="6" t="n">
        <f aca="false">Sens!F5138+Sens!F5213*Sens!F5197-Sens!F5139-Sens!F5149</f>
        <v>0.200899753543197</v>
      </c>
      <c r="G5214" s="6" t="n">
        <f aca="false">Sens!G5138+Sens!G5213*Sens!G5197-Sens!G5139-Sens!G5149</f>
        <v>-10.0607889868844</v>
      </c>
      <c r="H5214" s="6" t="n">
        <f aca="false">Sens!H5138+Sens!H5213*Sens!H5197-Sens!H5139-Sens!H5149</f>
        <v>-26.176690288837</v>
      </c>
      <c r="I5214" s="6" t="n">
        <f aca="false">Sens!I5138+Sens!I5213*Sens!I5197-Sens!I5139-Sens!I5149</f>
        <v>-36.7093791485057</v>
      </c>
      <c r="J5214" s="6" t="n">
        <f aca="false">Sens!J5138+Sens!J5213*Sens!J5197-Sens!J5139-Sens!J5149</f>
        <v>-48.8076471098579</v>
      </c>
      <c r="K5214" s="6" t="n">
        <f aca="false">Sens!K5138+Sens!K5213*Sens!K5197-Sens!K5139-Sens!K5149</f>
        <v>-62.1646519007291</v>
      </c>
    </row>
    <row r="5215" customFormat="false" ht="17.15" hidden="false" customHeight="false" outlineLevel="0" collapsed="false">
      <c r="A5215" s="0" t="s">
        <v>765</v>
      </c>
      <c r="B5215" s="0" t="s">
        <v>95</v>
      </c>
      <c r="E5215" s="6" t="n">
        <f aca="false">Sens!E5121*(cxit_open+self_build*tk_cxfac)/1000*ai_net_open</f>
        <v>126.6980382</v>
      </c>
      <c r="F5215" s="6" t="n">
        <f aca="false">Sens!E5215+Sens!F5146-Sens!F5149</f>
        <v>260.646905514568</v>
      </c>
      <c r="G5215" s="6" t="n">
        <f aca="false">Sens!F5215+Sens!G5146-Sens!G5149</f>
        <v>383.701852737428</v>
      </c>
      <c r="H5215" s="6" t="n">
        <f aca="false">Sens!G5215+Sens!H5146-Sens!H5149</f>
        <v>484.027322654689</v>
      </c>
      <c r="I5215" s="6" t="n">
        <f aca="false">Sens!H5215+Sens!I5146-Sens!I5149</f>
        <v>586.356602170632</v>
      </c>
      <c r="J5215" s="6" t="n">
        <f aca="false">Sens!I5215+Sens!J5146-Sens!J5149</f>
        <v>674.896885136093</v>
      </c>
      <c r="K5215" s="6" t="n">
        <f aca="false">Sens!J5215+Sens!K5146-Sens!K5149</f>
        <v>778.001774451903</v>
      </c>
      <c r="L5215" s="1" t="s">
        <v>766</v>
      </c>
    </row>
    <row r="5216" customFormat="false" ht="17.15" hidden="false" customHeight="false" outlineLevel="0" collapsed="false">
      <c r="A5216" s="0" t="s">
        <v>767</v>
      </c>
      <c r="B5216" s="0" t="s">
        <v>126</v>
      </c>
      <c r="F5216" s="7" t="n">
        <f aca="false">Sens!F5214*(1-tax_f)/((Sens!E5215+Sens!F5215)/2)</f>
        <v>0.000829853625005578</v>
      </c>
      <c r="G5216" s="7" t="n">
        <f aca="false">Sens!G5214*(1-tax_f)/((Sens!F5215+Sens!G5215)/2)</f>
        <v>-0.0249822199125271</v>
      </c>
      <c r="H5216" s="7" t="n">
        <f aca="false">Sens!H5214*(1-tax_f)/((Sens!G5215+Sens!H5215)/2)</f>
        <v>-0.0482670234560373</v>
      </c>
      <c r="I5216" s="7" t="n">
        <f aca="false">Sens!I5214*(1-tax_f)/((Sens!H5215+Sens!I5215)/2)</f>
        <v>-0.0548728407400123</v>
      </c>
      <c r="J5216" s="7" t="n">
        <f aca="false">Sens!J5214*(1-tax_f)/((Sens!I5215+Sens!J5215)/2)</f>
        <v>-0.0619163682492806</v>
      </c>
      <c r="K5216" s="7" t="n">
        <f aca="false">Sens!K5214*(1-tax_f)/((Sens!J5215+Sens!K5215)/2)</f>
        <v>-0.068458623996096</v>
      </c>
    </row>
    <row r="5217" customFormat="false" ht="17.15" hidden="false" customHeight="false" outlineLevel="0" collapsed="false">
      <c r="A5217" s="1" t="s">
        <v>768</v>
      </c>
      <c r="B5217" s="0" t="s">
        <v>126</v>
      </c>
      <c r="F5217" s="7" t="n">
        <f aca="false">Sens!F5150*(1-tax_f)/(Sens!F5137*(Sens!E5215+Sens!F5215)/2)</f>
        <v>0.097823396739562</v>
      </c>
      <c r="G5217" s="7" t="n">
        <f aca="false">Sens!G5150*(1-tax_f)/(Sens!G5137*(Sens!F5215+Sens!G5215)/2)</f>
        <v>0.0659640999731177</v>
      </c>
      <c r="H5217" s="7" t="n">
        <f aca="false">Sens!H5150*(1-tax_f)/(Sens!H5137*(Sens!G5215+Sens!H5215)/2)</f>
        <v>0.0388040588798916</v>
      </c>
      <c r="I5217" s="7" t="n">
        <f aca="false">Sens!I5150*(1-tax_f)/(Sens!I5137*(Sens!H5215+Sens!I5215)/2)</f>
        <v>0.0397618906355397</v>
      </c>
      <c r="J5217" s="7" t="n">
        <f aca="false">Sens!J5150*(1-tax_f)/(Sens!J5137*(Sens!I5215+Sens!J5215)/2)</f>
        <v>0.0396762332493602</v>
      </c>
      <c r="K5217" s="7" t="n">
        <f aca="false">Sens!K5150*(1-tax_f)/(Sens!K5137*(Sens!J5215+Sens!K5215)/2)</f>
        <v>0.0382338769954854</v>
      </c>
    </row>
    <row r="5218" customFormat="false" ht="17.15" hidden="false" customHeight="false" outlineLevel="0" collapsed="false">
      <c r="A5218" s="0" t="s">
        <v>769</v>
      </c>
      <c r="B5218" s="0" t="s">
        <v>208</v>
      </c>
      <c r="F5218" s="7" t="n">
        <f aca="false">Sens!F5216-wacc</f>
        <v>-0.108133367525248</v>
      </c>
      <c r="G5218" s="7" t="n">
        <f aca="false">Sens!G5216-wacc</f>
        <v>-0.133945441062781</v>
      </c>
      <c r="H5218" s="7" t="n">
        <f aca="false">Sens!H5216-wacc</f>
        <v>-0.157230244606291</v>
      </c>
      <c r="I5218" s="7" t="n">
        <f aca="false">Sens!I5216-wacc</f>
        <v>-0.163836061890266</v>
      </c>
      <c r="J5218" s="7" t="n">
        <f aca="false">Sens!J5216-wacc</f>
        <v>-0.170879589399535</v>
      </c>
      <c r="K5218" s="7" t="n">
        <f aca="false">Sens!K5216-wacc</f>
        <v>-0.17742184514635</v>
      </c>
    </row>
    <row r="5219" customFormat="false" ht="17.15" hidden="false" customHeight="false" outlineLevel="0" collapsed="false">
      <c r="A5219" s="0" t="s">
        <v>770</v>
      </c>
      <c r="B5219" s="0" t="s">
        <v>95</v>
      </c>
      <c r="F5219" s="6" t="n">
        <f aca="false">Sens!F5214*(1-tax_f)-wacc*(Sens!E5215+Sens!F5215)/2</f>
        <v>-20.942456578867</v>
      </c>
      <c r="G5219" s="6" t="n">
        <f aca="false">Sens!G5214*(1-tax_f)-wacc*(Sens!F5215+Sens!G5215)/2</f>
        <v>-43.1537893111594</v>
      </c>
      <c r="H5219" s="6" t="n">
        <f aca="false">Sens!H5214*(1-tax_f)-wacc*(Sens!G5215+Sens!H5215)/2</f>
        <v>-68.216635249459</v>
      </c>
      <c r="I5219" s="6" t="n">
        <f aca="false">Sens!I5214*(1-tax_f)-wacc*(Sens!H5215+Sens!I5215)/2</f>
        <v>-87.6837434770137</v>
      </c>
      <c r="J5219" s="6" t="n">
        <f aca="false">Sens!J5214*(1-tax_f)-wacc*(Sens!I5215+Sens!J5215)/2</f>
        <v>-107.761239019852</v>
      </c>
      <c r="K5219" s="6" t="n">
        <f aca="false">Sens!K5214*(1-tax_f)-wacc*(Sens!J5215+Sens!K5215)/2</f>
        <v>-128.88798049738</v>
      </c>
    </row>
    <row r="5220" customFormat="false" ht="17.15" hidden="false" customHeight="false" outlineLevel="0" collapsed="false">
      <c r="A5220" s="1" t="s">
        <v>771</v>
      </c>
      <c r="B5220" s="0" t="s">
        <v>95</v>
      </c>
      <c r="F5220" s="6" t="n">
        <f aca="false">(Sens!E5122+Sens!F5122)/2*Sens!F5129/1000</f>
        <v>26.7873066765967</v>
      </c>
      <c r="G5220" s="6" t="n">
        <f aca="false">(Sens!F5122+Sens!G5122)/2*Sens!G5129/1000</f>
        <v>45.4131817597218</v>
      </c>
      <c r="H5220" s="6" t="n">
        <f aca="false">(Sens!G5122+Sens!H5122)/2*Sens!H5129/1000</f>
        <v>65.3915129357971</v>
      </c>
      <c r="I5220" s="6" t="n">
        <f aca="false">(Sens!H5122+Sens!I5122)/2*Sens!I5129/1000</f>
        <v>85.5187419289299</v>
      </c>
      <c r="J5220" s="6" t="n">
        <f aca="false">(Sens!I5122+Sens!J5122)/2*Sens!J5129/1000</f>
        <v>105.723807195006</v>
      </c>
      <c r="K5220" s="6" t="n">
        <f aca="false">(Sens!J5122+Sens!K5122)/2*Sens!K5129/1000</f>
        <v>125.974659797015</v>
      </c>
      <c r="L5220" s="1" t="s">
        <v>772</v>
      </c>
    </row>
    <row r="5221" customFormat="false" ht="17.15" hidden="false" customHeight="false" outlineLevel="0" collapsed="false">
      <c r="A5221" s="1" t="s">
        <v>773</v>
      </c>
      <c r="B5221" s="0" t="s">
        <v>126</v>
      </c>
      <c r="F5221" s="7" t="n">
        <f aca="false">(Sens!F5138+Sens!F5220-Sens!F5139-Sens!F5149)*(1-tax_f)/((Sens!E5215+Sens!F5215)/2)</f>
        <v>0.0849472763394615</v>
      </c>
      <c r="G5221" s="7" t="n">
        <f aca="false">(Sens!G5138+Sens!G5220-Sens!G5139-Sens!G5149)*(1-tax_f)/((Sens!F5215+Sens!G5215)/2)</f>
        <v>0.0654547753127077</v>
      </c>
      <c r="H5221" s="7" t="n">
        <f aca="false">(Sens!H5138+Sens!H5220-Sens!H5139-Sens!H5149)*(1-tax_f)/((Sens!G5215+Sens!H5215)/2)</f>
        <v>0.050989063548181</v>
      </c>
      <c r="I5221" s="7" t="n">
        <f aca="false">(Sens!I5138+Sens!I5220-Sens!I5139-Sens!I5149)*(1-tax_f)/((Sens!H5215+Sens!I5215)/2)</f>
        <v>0.0527967500957207</v>
      </c>
      <c r="J5221" s="7" t="n">
        <f aca="false">(Sens!J5138+Sens!J5220-Sens!J5139-Sens!J5149)*(1-tax_f)/((Sens!I5215+Sens!J5215)/2)</f>
        <v>0.0534612768079327</v>
      </c>
      <c r="K5221" s="7" t="n">
        <f aca="false">(Sens!K5138+Sens!K5220-Sens!K5139-Sens!K5149)*(1-tax_f)/((Sens!J5215+Sens!K5215)/2)</f>
        <v>0.0525865526410493</v>
      </c>
      <c r="L5221" s="1" t="s">
        <v>774</v>
      </c>
    </row>
    <row r="5222" customFormat="false" ht="17.15" hidden="false" customHeight="false" outlineLevel="0" collapsed="false">
      <c r="A5222" s="3" t="s">
        <v>1262</v>
      </c>
    </row>
    <row r="5223" customFormat="false" ht="15" hidden="false" customHeight="false" outlineLevel="0" collapsed="false">
      <c r="A5223" s="4" t="s">
        <v>43</v>
      </c>
      <c r="B5223" s="4" t="s">
        <v>63</v>
      </c>
      <c r="C5223" s="19" t="s">
        <v>710</v>
      </c>
      <c r="D5223" s="19" t="s">
        <v>711</v>
      </c>
      <c r="E5223" s="19" t="s">
        <v>712</v>
      </c>
      <c r="F5223" s="19" t="s">
        <v>713</v>
      </c>
      <c r="G5223" s="19" t="s">
        <v>714</v>
      </c>
      <c r="H5223" s="19" t="s">
        <v>715</v>
      </c>
      <c r="I5223" s="19" t="s">
        <v>716</v>
      </c>
      <c r="J5223" s="19" t="s">
        <v>717</v>
      </c>
      <c r="K5223" s="19" t="s">
        <v>718</v>
      </c>
      <c r="L5223" s="4" t="s">
        <v>47</v>
      </c>
    </row>
    <row r="5224" customFormat="false" ht="15" hidden="false" customHeight="false" outlineLevel="0" collapsed="false">
      <c r="A5224" s="1" t="s">
        <v>825</v>
      </c>
      <c r="B5224" s="0" t="s">
        <v>95</v>
      </c>
      <c r="F5224" s="6" t="n">
        <f aca="false">Sens!F5209</f>
        <v>137.32561968936</v>
      </c>
      <c r="G5224" s="6" t="n">
        <f aca="false">Sens!G5209</f>
        <v>144.851502063537</v>
      </c>
      <c r="H5224" s="6" t="n">
        <f aca="false">Sens!H5209</f>
        <v>147.950552941442</v>
      </c>
      <c r="I5224" s="6" t="n">
        <f aca="false">Sens!I5209</f>
        <v>155.219398149881</v>
      </c>
      <c r="J5224" s="6" t="n">
        <f aca="false">Sens!J5209</f>
        <v>160.324025485617</v>
      </c>
      <c r="K5224" s="6" t="n">
        <f aca="false">Sens!K5209</f>
        <v>162.877026142553</v>
      </c>
    </row>
    <row r="5225" customFormat="false" ht="17.15" hidden="false" customHeight="false" outlineLevel="0" collapsed="false">
      <c r="A5225" s="1" t="s">
        <v>843</v>
      </c>
      <c r="B5225" s="0" t="s">
        <v>95</v>
      </c>
      <c r="E5225" s="6" t="n">
        <f aca="false">Q!M38-Sens!E5149</f>
        <v>22.2285940229167</v>
      </c>
      <c r="F5225" s="6" t="n">
        <f aca="false">Sens!E5225*(1-1/life_nonai)+Sens!F5231/life_nonai</f>
        <v>23.5561693435813</v>
      </c>
      <c r="G5225" s="6" t="n">
        <f aca="false">Sens!F5225*(1-1/life_nonai)+Sens!G5231/life_nonai</f>
        <v>25.2933417662621</v>
      </c>
      <c r="H5225" s="6" t="n">
        <f aca="false">Sens!G5225*(1-1/life_nonai)+Sens!H5231/life_nonai</f>
        <v>27.4076589540448</v>
      </c>
      <c r="I5225" s="6" t="n">
        <f aca="false">Sens!H5225*(1-1/life_nonai)+Sens!I5231/life_nonai</f>
        <v>29.8379830898047</v>
      </c>
      <c r="J5225" s="6" t="n">
        <f aca="false">Sens!I5225*(1-1/life_nonai)+Sens!J5231/life_nonai</f>
        <v>32.5060261058616</v>
      </c>
      <c r="K5225" s="6" t="n">
        <f aca="false">Sens!J5225*(1-1/life_nonai)+Sens!K5231/life_nonai</f>
        <v>35.3285437694749</v>
      </c>
      <c r="L5225" s="11" t="s">
        <v>844</v>
      </c>
    </row>
    <row r="5226" customFormat="false" ht="17.15" hidden="false" customHeight="false" outlineLevel="0" collapsed="false">
      <c r="A5226" s="1" t="s">
        <v>845</v>
      </c>
      <c r="B5226" s="0" t="s">
        <v>95</v>
      </c>
      <c r="E5226" s="6" t="n">
        <f aca="false">Sens!E5149+Sens!E5225</f>
        <v>38.534</v>
      </c>
      <c r="F5226" s="6" t="n">
        <f aca="false">Sens!F5149+Sens!F5225</f>
        <v>58.302954799451</v>
      </c>
      <c r="G5226" s="6" t="n">
        <f aca="false">Sens!G5149+Sens!G5225</f>
        <v>85.8125750266016</v>
      </c>
      <c r="H5226" s="6" t="n">
        <f aca="false">Sens!H5149+Sens!H5225</f>
        <v>115.162474947184</v>
      </c>
      <c r="I5226" s="6" t="n">
        <f aca="false">Sens!I5149+Sens!I5225</f>
        <v>145.847664830928</v>
      </c>
      <c r="J5226" s="6" t="n">
        <f aca="false">Sens!J5149+Sens!J5225</f>
        <v>177.742804064135</v>
      </c>
      <c r="K5226" s="6" t="n">
        <f aca="false">Sens!K5149+Sens!K5225</f>
        <v>211.079966404064</v>
      </c>
    </row>
    <row r="5227" customFormat="false" ht="15" hidden="false" customHeight="false" outlineLevel="0" collapsed="false">
      <c r="A5227" s="1" t="s">
        <v>685</v>
      </c>
      <c r="B5227" s="0" t="s">
        <v>95</v>
      </c>
      <c r="F5227" s="6" t="n">
        <f aca="false">Sens!F5176*sbc_r</f>
        <v>14.738271852043</v>
      </c>
      <c r="G5227" s="6" t="n">
        <f aca="false">Sens!G5176*sbc_r</f>
        <v>17.1453446938136</v>
      </c>
      <c r="H5227" s="6" t="n">
        <f aca="false">Sens!H5176*sbc_r</f>
        <v>19.4046696639536</v>
      </c>
      <c r="I5227" s="6" t="n">
        <f aca="false">Sens!I5176*sbc_r</f>
        <v>21.8767396426476</v>
      </c>
      <c r="J5227" s="6" t="n">
        <f aca="false">Sens!J5176*sbc_r</f>
        <v>24.2405863082051</v>
      </c>
      <c r="K5227" s="6" t="n">
        <f aca="false">Sens!K5176*sbc_r</f>
        <v>26.4845919613005</v>
      </c>
    </row>
    <row r="5228" customFormat="false" ht="17.15" hidden="false" customHeight="false" outlineLevel="0" collapsed="false">
      <c r="A5228" s="1" t="s">
        <v>846</v>
      </c>
      <c r="B5228" s="0" t="s">
        <v>95</v>
      </c>
      <c r="F5228" s="6" t="n">
        <f aca="false">wc27</f>
        <v>-4.895</v>
      </c>
      <c r="G5228" s="6" t="n">
        <f aca="false">0</f>
        <v>0</v>
      </c>
      <c r="H5228" s="6" t="n">
        <f aca="false">0</f>
        <v>0</v>
      </c>
      <c r="I5228" s="6" t="n">
        <f aca="false">0</f>
        <v>0</v>
      </c>
      <c r="J5228" s="6" t="n">
        <f aca="false">0</f>
        <v>0</v>
      </c>
      <c r="K5228" s="6" t="n">
        <f aca="false">0</f>
        <v>0</v>
      </c>
      <c r="L5228" s="11" t="s">
        <v>847</v>
      </c>
    </row>
    <row r="5229" customFormat="false" ht="15" hidden="false" customHeight="false" outlineLevel="0" collapsed="false">
      <c r="A5229" s="1" t="s">
        <v>678</v>
      </c>
      <c r="B5229" s="0" t="s">
        <v>95</v>
      </c>
      <c r="E5229" s="6" t="n">
        <f aca="false">Q!M35</f>
        <v>182.935</v>
      </c>
      <c r="F5229" s="6" t="n">
        <f aca="false">Sens!F5224+Sens!F5226+Sens!F5227+Sens!F5228</f>
        <v>205.471846340854</v>
      </c>
      <c r="G5229" s="6" t="n">
        <f aca="false">Sens!G5224+Sens!G5226+Sens!G5227+Sens!G5228</f>
        <v>247.809421783952</v>
      </c>
      <c r="H5229" s="6" t="n">
        <f aca="false">Sens!H5224+Sens!H5226+Sens!H5227+Sens!H5228</f>
        <v>282.51769755258</v>
      </c>
      <c r="I5229" s="6" t="n">
        <f aca="false">Sens!I5224+Sens!I5226+Sens!I5227+Sens!I5228</f>
        <v>322.943802623456</v>
      </c>
      <c r="J5229" s="6" t="n">
        <f aca="false">Sens!J5224+Sens!J5226+Sens!J5227+Sens!J5228</f>
        <v>362.307415857957</v>
      </c>
      <c r="K5229" s="6" t="n">
        <f aca="false">Sens!K5224+Sens!K5226+Sens!K5227+Sens!K5228</f>
        <v>400.441584507918</v>
      </c>
    </row>
    <row r="5230" customFormat="false" ht="17.15" hidden="false" customHeight="false" outlineLevel="0" collapsed="false">
      <c r="A5230" s="0" t="s">
        <v>848</v>
      </c>
      <c r="B5230" s="0" t="s">
        <v>95</v>
      </c>
      <c r="F5230" s="6" t="n">
        <f aca="false">Sens!F5146</f>
        <v>168.695652770438</v>
      </c>
      <c r="G5230" s="6" t="n">
        <f aca="false">Sens!G5146</f>
        <v>183.5741804832</v>
      </c>
      <c r="H5230" s="6" t="n">
        <f aca="false">Sens!H5146</f>
        <v>188.0802859104</v>
      </c>
      <c r="I5230" s="6" t="n">
        <f aca="false">Sens!I5146</f>
        <v>218.338961257067</v>
      </c>
      <c r="J5230" s="6" t="n">
        <f aca="false">Sens!J5146</f>
        <v>233.777060923733</v>
      </c>
      <c r="K5230" s="6" t="n">
        <f aca="false">Sens!K5146</f>
        <v>278.8563119504</v>
      </c>
    </row>
    <row r="5231" customFormat="false" ht="17.15" hidden="false" customHeight="false" outlineLevel="0" collapsed="false">
      <c r="A5231" s="1" t="s">
        <v>849</v>
      </c>
      <c r="B5231" s="0" t="s">
        <v>95</v>
      </c>
      <c r="E5231" s="6" t="n">
        <f aca="false">Sens!E5154*cx_azo+Sens!E5161*cx_m365+Sens!E5162*cx_lic+(Sens!E5164+Sens!E5166)*cx_ind+Sens!E5169*cx_srch+(Sens!E5171+Sens!E5173)*cx_dev</f>
        <v>30.1846587067718</v>
      </c>
      <c r="F5231" s="6" t="n">
        <f aca="false">Sens!F5154*cx_azo+Sens!F5161*cx_m365+Sens!F5162*cx_lic+(Sens!F5164+Sens!F5166)*cx_ind+Sens!F5169*cx_srch+(Sens!F5171+Sens!F5173)*cx_dev</f>
        <v>35.5043472295625</v>
      </c>
      <c r="G5231" s="6" t="n">
        <f aca="false">Sens!G5154*cx_azo+Sens!G5161*cx_m365+Sens!G5162*cx_lic+(Sens!G5164+Sens!G5166)*cx_ind+Sens!G5169*cx_srch+(Sens!G5171+Sens!G5173)*cx_dev</f>
        <v>40.9278935703892</v>
      </c>
      <c r="H5231" s="6" t="n">
        <f aca="false">Sens!H5154*cx_azo+Sens!H5161*cx_m365+Sens!H5162*cx_lic+(Sens!H5164+Sens!H5166)*cx_ind+Sens!H5169*cx_srch+(Sens!H5171+Sens!H5173)*cx_dev</f>
        <v>46.4365136440897</v>
      </c>
      <c r="I5231" s="6" t="n">
        <f aca="false">Sens!I5154*cx_azo+Sens!I5161*cx_m365+Sens!I5162*cx_lic+(Sens!I5164+Sens!I5166)*cx_ind+Sens!I5169*cx_srch+(Sens!I5171+Sens!I5173)*cx_dev</f>
        <v>51.7109003116439</v>
      </c>
      <c r="J5231" s="6" t="n">
        <f aca="false">Sens!J5154*cx_azo+Sens!J5161*cx_m365+Sens!J5162*cx_lic+(Sens!J5164+Sens!J5166)*cx_ind+Sens!J5169*cx_srch+(Sens!J5171+Sens!J5173)*cx_dev</f>
        <v>56.5184132503738</v>
      </c>
      <c r="K5231" s="6" t="n">
        <f aca="false">Sens!K5154*cx_azo+Sens!K5161*cx_m365+Sens!K5162*cx_lic+(Sens!K5164+Sens!K5166)*cx_ind+Sens!K5169*cx_srch+(Sens!K5171+Sens!K5173)*cx_dev</f>
        <v>60.731202741994</v>
      </c>
    </row>
    <row r="5232" customFormat="false" ht="17.15" hidden="false" customHeight="false" outlineLevel="0" collapsed="false">
      <c r="A5232" s="1" t="s">
        <v>850</v>
      </c>
      <c r="B5232" s="0" t="s">
        <v>95</v>
      </c>
      <c r="E5232" s="6" t="n">
        <f aca="false">Q!M42</f>
        <v>145.3</v>
      </c>
      <c r="F5232" s="6" t="n">
        <f aca="false">Sens!F5230+Sens!F5231</f>
        <v>204.2</v>
      </c>
      <c r="G5232" s="6" t="n">
        <f aca="false">Sens!G5230+Sens!G5231</f>
        <v>224.502074053589</v>
      </c>
      <c r="H5232" s="6" t="n">
        <f aca="false">Sens!H5230+Sens!H5231</f>
        <v>234.51679955449</v>
      </c>
      <c r="I5232" s="6" t="n">
        <f aca="false">Sens!I5230+Sens!I5231</f>
        <v>270.049861568711</v>
      </c>
      <c r="J5232" s="6" t="n">
        <f aca="false">Sens!J5230+Sens!J5231</f>
        <v>290.295474174107</v>
      </c>
      <c r="K5232" s="6" t="n">
        <f aca="false">Sens!K5230+Sens!K5231</f>
        <v>339.587514692394</v>
      </c>
      <c r="L5232" s="1" t="s">
        <v>851</v>
      </c>
    </row>
    <row r="5233" customFormat="false" ht="15" hidden="false" customHeight="false" outlineLevel="0" collapsed="false">
      <c r="A5233" s="1" t="s">
        <v>852</v>
      </c>
      <c r="B5233" s="0" t="s">
        <v>95</v>
      </c>
      <c r="E5233" s="6" t="n">
        <f aca="false">fl_liab</f>
        <v>66.594</v>
      </c>
      <c r="F5233" s="6" t="n">
        <f aca="false">Sens!E5233-Sens!F5234</f>
        <v>62.46973</v>
      </c>
      <c r="G5233" s="6" t="n">
        <f aca="false">Sens!F5233-Sens!G5234</f>
        <v>57.98686785</v>
      </c>
      <c r="H5233" s="6" t="n">
        <f aca="false">Sens!G5233-Sens!H5234</f>
        <v>53.92827690325</v>
      </c>
      <c r="I5233" s="6" t="n">
        <f aca="false">Sens!H5233-Sens!I5234</f>
        <v>49.7850493638962</v>
      </c>
      <c r="J5233" s="6" t="n">
        <f aca="false">Sens!I5233-Sens!J5234</f>
        <v>45.4823765852716</v>
      </c>
      <c r="K5233" s="6" t="n">
        <f aca="false">Sens!J5233-Sens!K5234</f>
        <v>40.9860835316088</v>
      </c>
    </row>
    <row r="5234" customFormat="false" ht="15" hidden="false" customHeight="false" outlineLevel="0" collapsed="false">
      <c r="A5234" s="1" t="s">
        <v>853</v>
      </c>
      <c r="B5234" s="0" t="s">
        <v>95</v>
      </c>
      <c r="F5234" s="6" t="n">
        <f aca="false">fl_pay_27-Sens!E5233*fl_rate</f>
        <v>4.12427</v>
      </c>
      <c r="G5234" s="6" t="n">
        <f aca="false">fl_pay_28-Sens!F5233*fl_rate</f>
        <v>4.48286215</v>
      </c>
      <c r="H5234" s="6" t="n">
        <f aca="false">fl_pay_29-Sens!G5233*fl_rate</f>
        <v>4.05859094675</v>
      </c>
      <c r="I5234" s="6" t="n">
        <f aca="false">fl_pay_30-Sens!H5233*fl_rate</f>
        <v>4.14322753935375</v>
      </c>
      <c r="J5234" s="6" t="n">
        <f aca="false">fl_pay_31-Sens!I5233*fl_rate</f>
        <v>4.30267277862467</v>
      </c>
      <c r="K5234" s="6" t="n">
        <f aca="false">fl_pay_32-Sens!J5233*fl_rate</f>
        <v>4.49629305366278</v>
      </c>
    </row>
    <row r="5235" customFormat="false" ht="17.15" hidden="false" customHeight="false" outlineLevel="0" collapsed="false">
      <c r="A5235" s="1" t="s">
        <v>854</v>
      </c>
      <c r="B5235" s="0" t="s">
        <v>95</v>
      </c>
      <c r="E5235" s="6" t="n">
        <f aca="false">Q!M35-Q!M36-Q!M43</f>
        <v>63.886</v>
      </c>
      <c r="F5235" s="6" t="n">
        <f aca="false">Sens!F5229-Sens!F5232-Sens!F5234</f>
        <v>-2.85242365914571</v>
      </c>
      <c r="G5235" s="6" t="n">
        <f aca="false">Sens!G5229-Sens!G5232-Sens!G5234</f>
        <v>18.8244855803632</v>
      </c>
      <c r="H5235" s="6" t="n">
        <f aca="false">Sens!H5229-Sens!H5232-Sens!H5234</f>
        <v>43.9423070513408</v>
      </c>
      <c r="I5235" s="6" t="n">
        <f aca="false">Sens!I5229-Sens!I5232-Sens!I5234</f>
        <v>48.7507135153918</v>
      </c>
      <c r="J5235" s="6" t="n">
        <f aca="false">Sens!J5229-Sens!J5232-Sens!J5234</f>
        <v>67.7092689052253</v>
      </c>
      <c r="K5235" s="6" t="n">
        <f aca="false">Sens!K5229-Sens!K5232-Sens!K5234</f>
        <v>56.3577767618611</v>
      </c>
      <c r="L5235" s="11" t="s">
        <v>855</v>
      </c>
    </row>
    <row r="5236" customFormat="false" ht="15" hidden="false" customHeight="false" outlineLevel="0" collapsed="false">
      <c r="A5236" s="1" t="s">
        <v>856</v>
      </c>
      <c r="B5236" s="0" t="s">
        <v>73</v>
      </c>
      <c r="F5236" s="8" t="n">
        <f aca="false">dps_27</f>
        <v>3.85</v>
      </c>
      <c r="G5236" s="8" t="n">
        <f aca="false">Sens!F5236*(1+dps_g)</f>
        <v>4.158</v>
      </c>
      <c r="H5236" s="8" t="n">
        <f aca="false">Sens!G5236*(1+dps_g)</f>
        <v>4.49064</v>
      </c>
      <c r="I5236" s="8" t="n">
        <f aca="false">Sens!H5236*(1+dps_g)</f>
        <v>4.8498912</v>
      </c>
      <c r="J5236" s="8" t="n">
        <f aca="false">Sens!I5236*(1+dps_g)</f>
        <v>5.237882496</v>
      </c>
      <c r="K5236" s="8" t="n">
        <f aca="false">Sens!J5236*(1+dps_g)</f>
        <v>5.65691309568</v>
      </c>
    </row>
    <row r="5237" customFormat="false" ht="17.15" hidden="false" customHeight="false" outlineLevel="0" collapsed="false">
      <c r="A5237" s="1" t="s">
        <v>857</v>
      </c>
      <c r="B5237" s="0" t="s">
        <v>95</v>
      </c>
      <c r="E5237" s="6" t="n">
        <f aca="false">Q!M41</f>
        <v>26.445</v>
      </c>
      <c r="F5237" s="6" t="n">
        <f aca="false">Sens!F5236*Sens!E5246</f>
        <v>28.59395</v>
      </c>
      <c r="G5237" s="6" t="n">
        <f aca="false">Sens!G5236*Sens!F5246</f>
        <v>31.068576</v>
      </c>
      <c r="H5237" s="6" t="n">
        <f aca="false">Sens!H5236*Sens!G5246</f>
        <v>33.75614088</v>
      </c>
      <c r="I5237" s="6" t="n">
        <f aca="false">Sens!I5236*Sens!H5246</f>
        <v>36.6133880398033</v>
      </c>
      <c r="J5237" s="6" t="n">
        <f aca="false">Sens!J5236*Sens!I5246</f>
        <v>39.686984875396</v>
      </c>
      <c r="K5237" s="6" t="n">
        <f aca="false">Sens!K5236*Sens!J5246</f>
        <v>42.9491988907327</v>
      </c>
      <c r="L5237" s="1" t="s">
        <v>858</v>
      </c>
    </row>
    <row r="5238" customFormat="false" ht="15" hidden="false" customHeight="false" outlineLevel="0" collapsed="false">
      <c r="A5238" s="1" t="s">
        <v>859</v>
      </c>
      <c r="B5238" s="0" t="s">
        <v>95</v>
      </c>
      <c r="E5238" s="6" t="n">
        <f aca="false">Sens!E5235-Sens!E5237</f>
        <v>37.441</v>
      </c>
      <c r="F5238" s="6" t="n">
        <f aca="false">Sens!F5235-Sens!F5237</f>
        <v>-31.4463736591457</v>
      </c>
      <c r="G5238" s="6" t="n">
        <f aca="false">Sens!G5235-Sens!G5237</f>
        <v>-12.2440904196368</v>
      </c>
      <c r="H5238" s="6" t="n">
        <f aca="false">Sens!H5235-Sens!H5237</f>
        <v>10.1861661713407</v>
      </c>
      <c r="I5238" s="6" t="n">
        <f aca="false">Sens!I5235-Sens!I5237</f>
        <v>12.1373254755886</v>
      </c>
      <c r="J5238" s="6" t="n">
        <f aca="false">Sens!J5235-Sens!J5237</f>
        <v>28.0222840298293</v>
      </c>
      <c r="K5238" s="6" t="n">
        <f aca="false">Sens!K5235-Sens!K5237</f>
        <v>13.4085778711284</v>
      </c>
    </row>
    <row r="5239" customFormat="false" ht="15" hidden="false" customHeight="false" outlineLevel="0" collapsed="false">
      <c r="A5239" s="1" t="s">
        <v>860</v>
      </c>
      <c r="B5239" s="0" t="s">
        <v>95</v>
      </c>
      <c r="F5239" s="6" t="n">
        <f aca="false">debt_mat_27</f>
        <v>9.25</v>
      </c>
      <c r="G5239" s="6" t="n">
        <f aca="false">debt_mat_28</f>
        <v>0</v>
      </c>
      <c r="H5239" s="6" t="n">
        <f aca="false">debt_mat_29</f>
        <v>2.001</v>
      </c>
      <c r="I5239" s="6" t="n">
        <f aca="false">debt_mat_30</f>
        <v>0</v>
      </c>
      <c r="J5239" s="6" t="n">
        <f aca="false">debt_mat_31</f>
        <v>0.5</v>
      </c>
      <c r="K5239" s="6" t="n">
        <f aca="false">debt_mat_32</f>
        <v>0</v>
      </c>
    </row>
    <row r="5240" customFormat="false" ht="15" hidden="false" customHeight="false" outlineLevel="0" collapsed="false">
      <c r="A5240" s="1" t="s">
        <v>861</v>
      </c>
      <c r="B5240" s="0" t="s">
        <v>95</v>
      </c>
      <c r="E5240" s="6" t="n">
        <f aca="false">Q!M40</f>
        <v>22.271</v>
      </c>
      <c r="F5240" s="6" t="n">
        <f aca="false">MAX(0,MIN(bb_target,Sens!E5242+Sens!F5238-Sens!F5239-min_cash))</f>
        <v>0</v>
      </c>
      <c r="G5240" s="6" t="n">
        <f aca="false">MAX(0,MIN(bb_target,Sens!F5242+Sens!G5238-Sens!G5239-min_cash))</f>
        <v>0</v>
      </c>
      <c r="H5240" s="6" t="n">
        <f aca="false">MAX(0,MIN(bb_target,Sens!G5242+Sens!H5238-Sens!H5239-min_cash))</f>
        <v>8.18516617134075</v>
      </c>
      <c r="I5240" s="6" t="n">
        <f aca="false">MAX(0,MIN(bb_target,Sens!H5242+Sens!I5238-Sens!I5239-min_cash))</f>
        <v>12.1373254755886</v>
      </c>
      <c r="J5240" s="6" t="n">
        <f aca="false">MAX(0,MIN(bb_target,Sens!I5242+Sens!J5238-Sens!J5239-min_cash))</f>
        <v>22.271</v>
      </c>
      <c r="K5240" s="6" t="n">
        <f aca="false">MAX(0,MIN(bb_target,Sens!J5242+Sens!K5238-Sens!K5239-min_cash))</f>
        <v>18.6598619009577</v>
      </c>
    </row>
    <row r="5241" customFormat="false" ht="15" hidden="false" customHeight="false" outlineLevel="0" collapsed="false">
      <c r="A5241" s="1" t="s">
        <v>862</v>
      </c>
      <c r="B5241" s="0" t="s">
        <v>95</v>
      </c>
      <c r="F5241" s="6" t="n">
        <f aca="false">MAX(0,min_cash-(Sens!E5242+Sens!F5238-Sens!F5239-Sens!F5240))</f>
        <v>13.8533736591457</v>
      </c>
      <c r="G5241" s="6" t="n">
        <f aca="false">MAX(0,min_cash-(Sens!F5242+Sens!G5238-Sens!G5239-Sens!G5240))</f>
        <v>12.2440904196368</v>
      </c>
      <c r="H5241" s="6" t="n">
        <f aca="false">MAX(0,min_cash-(Sens!G5242+Sens!H5238-Sens!H5239-Sens!H5240))</f>
        <v>0</v>
      </c>
      <c r="I5241" s="6" t="n">
        <f aca="false">MAX(0,min_cash-(Sens!H5242+Sens!I5238-Sens!I5239-Sens!I5240))</f>
        <v>0</v>
      </c>
      <c r="J5241" s="6" t="n">
        <f aca="false">MAX(0,min_cash-(Sens!I5242+Sens!J5238-Sens!J5239-Sens!J5240))</f>
        <v>0</v>
      </c>
      <c r="K5241" s="6" t="n">
        <f aca="false">MAX(0,min_cash-(Sens!J5242+Sens!K5238-Sens!K5239-Sens!K5240))</f>
        <v>0</v>
      </c>
    </row>
    <row r="5242" customFormat="false" ht="15" hidden="false" customHeight="false" outlineLevel="0" collapsed="false">
      <c r="A5242" s="1" t="s">
        <v>863</v>
      </c>
      <c r="B5242" s="0" t="s">
        <v>95</v>
      </c>
      <c r="E5242" s="6" t="n">
        <f aca="false">cash_open</f>
        <v>76.843</v>
      </c>
      <c r="F5242" s="6" t="n">
        <f aca="false">Sens!E5242+Sens!F5238-Sens!F5239-Sens!F5240+Sens!F5241</f>
        <v>50</v>
      </c>
      <c r="G5242" s="6" t="n">
        <f aca="false">Sens!F5242+Sens!G5238-Sens!G5239-Sens!G5240+Sens!G5241</f>
        <v>50</v>
      </c>
      <c r="H5242" s="6" t="n">
        <f aca="false">Sens!G5242+Sens!H5238-Sens!H5239-Sens!H5240+Sens!H5241</f>
        <v>50</v>
      </c>
      <c r="I5242" s="6" t="n">
        <f aca="false">Sens!H5242+Sens!I5238-Sens!I5239-Sens!I5240+Sens!I5241</f>
        <v>50</v>
      </c>
      <c r="J5242" s="6" t="n">
        <f aca="false">Sens!I5242+Sens!J5238-Sens!J5239-Sens!J5240+Sens!J5241</f>
        <v>55.2512840298293</v>
      </c>
      <c r="K5242" s="6" t="n">
        <f aca="false">Sens!J5242+Sens!K5238-Sens!K5239-Sens!K5240+Sens!K5241</f>
        <v>50</v>
      </c>
    </row>
    <row r="5243" customFormat="false" ht="15" hidden="false" customHeight="false" outlineLevel="0" collapsed="false">
      <c r="A5243" s="1" t="s">
        <v>864</v>
      </c>
      <c r="B5243" s="0" t="s">
        <v>95</v>
      </c>
      <c r="E5243" s="6" t="n">
        <f aca="false">debt_face</f>
        <v>46.136</v>
      </c>
      <c r="F5243" s="6" t="n">
        <f aca="false">Sens!E5243-Sens!F5239+Sens!F5241</f>
        <v>50.7393736591457</v>
      </c>
      <c r="G5243" s="6" t="n">
        <f aca="false">Sens!F5243-Sens!G5239+Sens!G5241</f>
        <v>62.9834640787825</v>
      </c>
      <c r="H5243" s="6" t="n">
        <f aca="false">Sens!G5243-Sens!H5239+Sens!H5241</f>
        <v>60.9824640787825</v>
      </c>
      <c r="I5243" s="6" t="n">
        <f aca="false">Sens!H5243-Sens!I5239+Sens!I5241</f>
        <v>60.9824640787825</v>
      </c>
      <c r="J5243" s="6" t="n">
        <f aca="false">Sens!I5243-Sens!J5239+Sens!J5241</f>
        <v>60.4824640787825</v>
      </c>
      <c r="K5243" s="6" t="n">
        <f aca="false">Sens!J5243-Sens!K5239+Sens!K5241</f>
        <v>60.4824640787825</v>
      </c>
    </row>
    <row r="5244" customFormat="false" ht="15" hidden="false" customHeight="false" outlineLevel="0" collapsed="false">
      <c r="A5244" s="1" t="s">
        <v>865</v>
      </c>
      <c r="B5244" s="0" t="s">
        <v>95</v>
      </c>
      <c r="E5244" s="6" t="n">
        <f aca="false">Sens!E5242-Sens!E5243</f>
        <v>30.707</v>
      </c>
      <c r="F5244" s="6" t="n">
        <f aca="false">Sens!F5242-Sens!F5243</f>
        <v>-0.739373659145706</v>
      </c>
      <c r="G5244" s="6" t="n">
        <f aca="false">Sens!G5242-Sens!G5243</f>
        <v>-12.9834640787825</v>
      </c>
      <c r="H5244" s="6" t="n">
        <f aca="false">Sens!H5242-Sens!H5243</f>
        <v>-10.9824640787825</v>
      </c>
      <c r="I5244" s="6" t="n">
        <f aca="false">Sens!I5242-Sens!I5243</f>
        <v>-10.9824640787825</v>
      </c>
      <c r="J5244" s="6" t="n">
        <f aca="false">Sens!J5242-Sens!J5243</f>
        <v>-5.23118004895325</v>
      </c>
      <c r="K5244" s="6" t="n">
        <f aca="false">Sens!K5242-Sens!K5243</f>
        <v>-10.4824640787825</v>
      </c>
    </row>
    <row r="5245" customFormat="false" ht="15" hidden="false" customHeight="false" outlineLevel="0" collapsed="false">
      <c r="A5245" s="1" t="s">
        <v>866</v>
      </c>
      <c r="B5245" s="0" t="s">
        <v>73</v>
      </c>
      <c r="F5245" s="27" t="n">
        <f aca="false">px*(1+bb_g)^(1-0.5)</f>
        <v>553.494156066711</v>
      </c>
      <c r="G5245" s="27" t="n">
        <f aca="false">px*(1+bb_g)^(2-0.5)</f>
        <v>597.773688552047</v>
      </c>
      <c r="H5245" s="27" t="n">
        <f aca="false">px*(1+bb_g)^(3-0.5)</f>
        <v>645.595583636211</v>
      </c>
      <c r="I5245" s="27" t="n">
        <f aca="false">px*(1+bb_g)^(4-0.5)</f>
        <v>697.243230327108</v>
      </c>
      <c r="J5245" s="27" t="n">
        <f aca="false">px*(1+bb_g)^(5-0.5)</f>
        <v>753.022688753277</v>
      </c>
      <c r="K5245" s="27" t="n">
        <f aca="false">px*(1+bb_g)^(6-0.5)</f>
        <v>813.264503853539</v>
      </c>
    </row>
    <row r="5246" customFormat="false" ht="15" hidden="false" customHeight="false" outlineLevel="0" collapsed="false">
      <c r="A5246" s="1" t="s">
        <v>867</v>
      </c>
      <c r="B5246" s="1" t="s">
        <v>79</v>
      </c>
      <c r="E5246" s="18" t="n">
        <f aca="false">sh_out26</f>
        <v>7.427</v>
      </c>
      <c r="F5246" s="18" t="n">
        <f aca="false">Sens!E5246+sh_iss-Sens!F5240/Sens!F5245</f>
        <v>7.472</v>
      </c>
      <c r="G5246" s="18" t="n">
        <f aca="false">Sens!F5246+sh_iss-Sens!G5240/Sens!G5245</f>
        <v>7.517</v>
      </c>
      <c r="H5246" s="18" t="n">
        <f aca="false">Sens!G5246+sh_iss-Sens!H5240/Sens!H5245</f>
        <v>7.5493215270073</v>
      </c>
      <c r="I5246" s="18" t="n">
        <f aca="false">Sens!H5246+sh_iss-Sens!I5240/Sens!I5245</f>
        <v>7.57691393529802</v>
      </c>
      <c r="J5246" s="18" t="n">
        <f aca="false">Sens!I5246+sh_iss-Sens!J5240/Sens!J5245</f>
        <v>7.59233846521906</v>
      </c>
      <c r="K5246" s="18" t="n">
        <f aca="false">Sens!J5246+sh_iss-Sens!K5240/Sens!K5245</f>
        <v>7.61439407036039</v>
      </c>
    </row>
    <row r="5247" customFormat="false" ht="15" hidden="false" customHeight="false" outlineLevel="0" collapsed="false">
      <c r="A5247" s="1" t="s">
        <v>868</v>
      </c>
      <c r="B5247" s="1" t="s">
        <v>79</v>
      </c>
      <c r="E5247" s="18" t="n">
        <f aca="false">sh_dil26</f>
        <v>7.453</v>
      </c>
      <c r="F5247" s="18" t="n">
        <f aca="false">(Sens!E5246+Sens!F5246)/2+dil_gap</f>
        <v>7.4735</v>
      </c>
      <c r="G5247" s="18" t="n">
        <f aca="false">(Sens!F5246+Sens!G5246)/2+dil_gap</f>
        <v>7.5185</v>
      </c>
      <c r="H5247" s="18" t="n">
        <f aca="false">(Sens!G5246+Sens!H5246)/2+dil_gap</f>
        <v>7.55716076350365</v>
      </c>
      <c r="I5247" s="18" t="n">
        <f aca="false">(Sens!H5246+Sens!I5246)/2+dil_gap</f>
        <v>7.58711773115266</v>
      </c>
      <c r="J5247" s="18" t="n">
        <f aca="false">(Sens!I5246+Sens!J5246)/2+dil_gap</f>
        <v>7.60862620025854</v>
      </c>
      <c r="K5247" s="18" t="n">
        <f aca="false">(Sens!J5246+Sens!K5246)/2+dil_gap</f>
        <v>7.62736626778973</v>
      </c>
    </row>
    <row r="5248" customFormat="false" ht="17.15" hidden="false" customHeight="false" outlineLevel="0" collapsed="false">
      <c r="A5248" s="1" t="s">
        <v>869</v>
      </c>
      <c r="B5248" s="0" t="s">
        <v>95</v>
      </c>
      <c r="C5248" s="6" t="n">
        <f aca="false">SUM(Sens!F5238:J5238)</f>
        <v>6.65531159797609</v>
      </c>
    </row>
    <row r="5249" customFormat="false" ht="17.15" hidden="false" customHeight="false" outlineLevel="0" collapsed="false">
      <c r="A5249" s="1" t="s">
        <v>836</v>
      </c>
      <c r="B5249" s="1" t="s">
        <v>870</v>
      </c>
      <c r="C5249" s="30" t="str">
        <f aca="false">IF(SUM(Sens!F5241:J5241)&gt;0.05,"需要舉債 "&amp;TEXT(SUM(Sens!F5241:J5241),"0.0")&amp;" 十億美元","不需舉債")&amp;"；"&amp;IF(SUM(Sens!F5240:J5240)&lt;5*bb_target-0.05,"回購較每年 "&amp;TEXT(bb_target,"0.0")&amp;" 的目標少 "&amp;TEXT(5*bb_target-SUM(Sens!F5240:J5240),"0.0")&amp;" 十億美元（"&amp;TEXT(COUNTIF(Sens!F5240:J5240,"&lt;"&amp;(bb_target-0.05)),"0")&amp;" 年減少）","回購不減")</f>
        <v>需要舉債 26.1 十億美元；回購較每年 22.3 的目標少 68.8 十億美元（4 年減少）</v>
      </c>
    </row>
    <row r="5250" customFormat="false" ht="17.15" hidden="false" customHeight="false" outlineLevel="0" collapsed="false">
      <c r="A5250" s="3" t="s">
        <v>1263</v>
      </c>
    </row>
    <row r="5251" customFormat="false" ht="15" hidden="false" customHeight="false" outlineLevel="0" collapsed="false">
      <c r="A5251" s="4" t="s">
        <v>43</v>
      </c>
      <c r="B5251" s="4" t="s">
        <v>63</v>
      </c>
      <c r="C5251" s="19" t="s">
        <v>710</v>
      </c>
      <c r="D5251" s="19" t="s">
        <v>711</v>
      </c>
      <c r="E5251" s="19" t="s">
        <v>712</v>
      </c>
      <c r="F5251" s="19" t="s">
        <v>713</v>
      </c>
      <c r="G5251" s="19" t="s">
        <v>714</v>
      </c>
      <c r="H5251" s="19" t="s">
        <v>715</v>
      </c>
      <c r="I5251" s="19" t="s">
        <v>716</v>
      </c>
      <c r="J5251" s="19" t="s">
        <v>717</v>
      </c>
      <c r="K5251" s="19" t="s">
        <v>718</v>
      </c>
      <c r="L5251" s="4" t="s">
        <v>47</v>
      </c>
    </row>
    <row r="5252" customFormat="false" ht="17.15" hidden="false" customHeight="false" outlineLevel="0" collapsed="false">
      <c r="A5252" s="1" t="s">
        <v>938</v>
      </c>
      <c r="B5252" s="1" t="s">
        <v>213</v>
      </c>
      <c r="F5252" s="34" t="n">
        <f aca="false">1-0.5</f>
        <v>0.5</v>
      </c>
      <c r="G5252" s="34" t="n">
        <f aca="false">2-0.5</f>
        <v>1.5</v>
      </c>
      <c r="H5252" s="34" t="n">
        <f aca="false">3-0.5</f>
        <v>2.5</v>
      </c>
      <c r="I5252" s="34" t="n">
        <f aca="false">4-0.5</f>
        <v>3.5</v>
      </c>
      <c r="J5252" s="34" t="n">
        <f aca="false">5-0.5</f>
        <v>4.5</v>
      </c>
      <c r="K5252" s="34" t="n">
        <f aca="false">6-0.5</f>
        <v>5.5</v>
      </c>
    </row>
    <row r="5253" customFormat="false" ht="15" hidden="false" customHeight="false" outlineLevel="0" collapsed="false">
      <c r="A5253" s="1" t="s">
        <v>939</v>
      </c>
      <c r="B5253" s="0" t="s">
        <v>182</v>
      </c>
      <c r="F5253" s="18" t="n">
        <f aca="false">1/(1+wacc)^Sens!F5252</f>
        <v>0.949601579913219</v>
      </c>
      <c r="G5253" s="18" t="n">
        <f aca="false">1/(1+wacc)^Sens!G5252</f>
        <v>0.856296729956707</v>
      </c>
      <c r="H5253" s="18" t="n">
        <f aca="false">1/(1+wacc)^Sens!H5252</f>
        <v>0.772159719660069</v>
      </c>
      <c r="I5253" s="18" t="n">
        <f aca="false">1/(1+wacc)^Sens!I5252</f>
        <v>0.696289746073958</v>
      </c>
      <c r="J5253" s="18" t="n">
        <f aca="false">1/(1+wacc)^Sens!J5252</f>
        <v>0.627874516299776</v>
      </c>
      <c r="K5253" s="18" t="n">
        <f aca="false">1/(1+wacc)^Sens!K5252</f>
        <v>0.566181550771831</v>
      </c>
    </row>
    <row r="5254" customFormat="false" ht="15" hidden="false" customHeight="false" outlineLevel="0" collapsed="false">
      <c r="A5254" s="1" t="s">
        <v>940</v>
      </c>
      <c r="B5254" s="0" t="s">
        <v>95</v>
      </c>
      <c r="F5254" s="6" t="n">
        <f aca="false">Sens!F5235*Sens!F5253</f>
        <v>-2.70866601330661</v>
      </c>
      <c r="G5254" s="6" t="n">
        <f aca="false">Sens!G5235*Sens!G5253</f>
        <v>16.1193454455822</v>
      </c>
      <c r="H5254" s="6" t="n">
        <f aca="false">Sens!H5235*Sens!H5253</f>
        <v>33.9304794939799</v>
      </c>
      <c r="I5254" s="6" t="n">
        <f aca="false">Sens!I5235*Sens!I5253</f>
        <v>33.9446219345564</v>
      </c>
      <c r="J5254" s="6" t="n">
        <f aca="false">Sens!J5235*Sens!J5253</f>
        <v>42.5129244628798</v>
      </c>
      <c r="K5254" s="6" t="n">
        <f aca="false">Sens!K5235*Sens!K5253</f>
        <v>31.9087334450832</v>
      </c>
    </row>
    <row r="5255" customFormat="false" ht="17.15" hidden="false" customHeight="false" outlineLevel="0" collapsed="false">
      <c r="A5255" s="1" t="s">
        <v>941</v>
      </c>
      <c r="B5255" s="0" t="s">
        <v>95</v>
      </c>
      <c r="C5255" s="6" t="n">
        <f aca="false">SUM(Sens!F5254:K5254)</f>
        <v>155.707438768775</v>
      </c>
    </row>
    <row r="5256" customFormat="false" ht="17.15" hidden="false" customHeight="false" outlineLevel="0" collapsed="false">
      <c r="A5256" s="1" t="s">
        <v>942</v>
      </c>
      <c r="B5256" s="0" t="s">
        <v>95</v>
      </c>
      <c r="C5256" s="6" t="n">
        <f aca="false">Sens!K5201*(1+g_tv)*(1-tax_f)</f>
        <v>168.09293692683</v>
      </c>
    </row>
    <row r="5257" customFormat="false" ht="17.15" hidden="false" customHeight="false" outlineLevel="0" collapsed="false">
      <c r="A5257" s="1" t="s">
        <v>943</v>
      </c>
      <c r="B5257" s="0" t="s">
        <v>95</v>
      </c>
      <c r="C5257" s="6" t="n">
        <f aca="false">Sens!$C$5256*(1-g_tv/(wacc+ronic_prem))</f>
        <v>121.813210111016</v>
      </c>
    </row>
    <row r="5258" customFormat="false" ht="17.15" hidden="false" customHeight="false" outlineLevel="0" collapsed="false">
      <c r="A5258" s="1" t="s">
        <v>944</v>
      </c>
      <c r="B5258" s="0" t="s">
        <v>95</v>
      </c>
      <c r="C5258" s="6" t="n">
        <f aca="false">Sens!$C$5257/(wacc-g_tv)</f>
        <v>1542.65756052714</v>
      </c>
    </row>
    <row r="5259" customFormat="false" ht="15" hidden="false" customHeight="false" outlineLevel="0" collapsed="false">
      <c r="A5259" s="1" t="s">
        <v>945</v>
      </c>
      <c r="B5259" s="0" t="s">
        <v>95</v>
      </c>
      <c r="C5259" s="6" t="n">
        <f aca="false">Sens!$C$5258/(1+wacc)^6</f>
        <v>829.405047667233</v>
      </c>
    </row>
    <row r="5260" customFormat="false" ht="17.15" hidden="false" customHeight="false" outlineLevel="0" collapsed="false">
      <c r="A5260" s="0" t="s">
        <v>877</v>
      </c>
      <c r="B5260" s="0" t="s">
        <v>95</v>
      </c>
      <c r="C5260" s="6" t="n">
        <f aca="false">Sens!$C$5255+Sens!$C$5259</f>
        <v>985.112486436008</v>
      </c>
    </row>
    <row r="5261" customFormat="false" ht="15" hidden="false" customHeight="false" outlineLevel="0" collapsed="false">
      <c r="A5261" s="1" t="s">
        <v>878</v>
      </c>
      <c r="B5261" s="0" t="s">
        <v>126</v>
      </c>
      <c r="C5261" s="7" t="n">
        <f aca="false">Sens!$C$5259/Sens!$C$5260</f>
        <v>0.841939432386954</v>
      </c>
    </row>
    <row r="5262" customFormat="false" ht="17.15" hidden="false" customHeight="false" outlineLevel="0" collapsed="false">
      <c r="A5262" s="1" t="s">
        <v>946</v>
      </c>
      <c r="B5262" s="0" t="s">
        <v>95</v>
      </c>
      <c r="C5262" s="6" t="n">
        <f aca="false">Sens!$C$5260+Sens!E5244+oai_v</f>
        <v>1186.21948643601</v>
      </c>
    </row>
    <row r="5263" customFormat="false" ht="17.15" hidden="false" customHeight="false" outlineLevel="0" collapsed="false">
      <c r="A5263" s="0" t="s">
        <v>883</v>
      </c>
      <c r="B5263" s="0" t="s">
        <v>73</v>
      </c>
      <c r="C5263" s="5" t="n">
        <f aca="false">Sens!$C$5262/sh_dil26</f>
        <v>159.160000863546</v>
      </c>
    </row>
    <row r="5264" customFormat="false" ht="17.15" hidden="false" customHeight="false" outlineLevel="0" collapsed="false">
      <c r="A5264" s="0" t="s">
        <v>947</v>
      </c>
      <c r="B5264" s="0" t="s">
        <v>73</v>
      </c>
      <c r="C5264" s="5" t="n">
        <f aca="false">Sens!$C$5263*(1+wacc)^t_roll</f>
        <v>182.55565687288</v>
      </c>
    </row>
    <row r="5265" customFormat="false" ht="17.15" hidden="false" customHeight="false" outlineLevel="0" collapsed="false">
      <c r="A5265" s="1" t="s">
        <v>948</v>
      </c>
      <c r="B5265" s="0" t="s">
        <v>126</v>
      </c>
      <c r="F5265" s="7" t="n">
        <f aca="false">Sens!F5225/(Sens!F5176-Sens!F5132)</f>
        <v>0.0685583309780933</v>
      </c>
      <c r="G5265" s="7" t="n">
        <f aca="false">Sens!G5225/(Sens!G5176-Sens!G5132)</f>
        <v>0.0659544808371847</v>
      </c>
      <c r="H5265" s="7" t="n">
        <f aca="false">Sens!H5225/(Sens!H5176-Sens!H5132)</f>
        <v>0.0646121370247507</v>
      </c>
      <c r="I5265" s="7" t="n">
        <f aca="false">Sens!I5225/(Sens!I5176-Sens!I5132)</f>
        <v>0.0644040787642208</v>
      </c>
      <c r="J5265" s="7" t="n">
        <f aca="false">Sens!J5225/(Sens!J5176-Sens!J5132)</f>
        <v>0.0650850549825734</v>
      </c>
      <c r="K5265" s="7" t="n">
        <f aca="false">Sens!K5225/(Sens!K5176-Sens!K5132)</f>
        <v>0.0663645132579351</v>
      </c>
    </row>
    <row r="5266" customFormat="false" ht="17.15" hidden="false" customHeight="false" outlineLevel="0" collapsed="false">
      <c r="A5266" s="0" t="s">
        <v>949</v>
      </c>
      <c r="B5266" s="0" t="s">
        <v>95</v>
      </c>
      <c r="F5266" s="6" t="n">
        <f aca="false">Sens!F5161*(al_m365+Sens!F5265)</f>
        <v>78.9850775831785</v>
      </c>
      <c r="G5266" s="6" t="n">
        <f aca="false">Sens!G5161*(al_m365+Sens!G5265)</f>
        <v>89.7667804691233</v>
      </c>
      <c r="H5266" s="6" t="n">
        <f aca="false">Sens!H5161*(al_m365+Sens!H5265)</f>
        <v>100.706922141095</v>
      </c>
      <c r="I5266" s="6" t="n">
        <f aca="false">Sens!I5161*(al_m365+Sens!I5265)</f>
        <v>110.928259237518</v>
      </c>
      <c r="J5266" s="6" t="n">
        <f aca="false">Sens!J5161*(al_m365+Sens!J5265)</f>
        <v>120.252500948344</v>
      </c>
      <c r="K5266" s="6" t="n">
        <f aca="false">Sens!K5161*(al_m365+Sens!K5265)</f>
        <v>129.210072870308</v>
      </c>
    </row>
    <row r="5267" customFormat="false" ht="17.15" hidden="false" customHeight="false" outlineLevel="0" collapsed="false">
      <c r="A5267" s="0" t="s">
        <v>950</v>
      </c>
      <c r="B5267" s="0" t="s">
        <v>95</v>
      </c>
      <c r="F5267" s="6" t="n">
        <f aca="false">Sens!F5162*(al_lic+Sens!F5265)</f>
        <v>31.9827794028928</v>
      </c>
      <c r="G5267" s="6" t="n">
        <f aca="false">Sens!G5162*(al_lic+Sens!G5265)</f>
        <v>33.2310215312255</v>
      </c>
      <c r="H5267" s="6" t="n">
        <f aca="false">Sens!H5162*(al_lic+Sens!H5265)</f>
        <v>34.395855990997</v>
      </c>
      <c r="I5267" s="6" t="n">
        <f aca="false">Sens!I5162*(al_lic+Sens!I5265)</f>
        <v>35.4589897375982</v>
      </c>
      <c r="J5267" s="6" t="n">
        <f aca="false">Sens!J5162*(al_lic+Sens!J5265)</f>
        <v>36.3966541780754</v>
      </c>
      <c r="K5267" s="6" t="n">
        <f aca="false">Sens!K5162*(al_lic+Sens!K5265)</f>
        <v>37.1828626037021</v>
      </c>
    </row>
    <row r="5268" customFormat="false" ht="17.15" hidden="false" customHeight="false" outlineLevel="0" collapsed="false">
      <c r="A5268" s="0" t="s">
        <v>951</v>
      </c>
      <c r="B5268" s="0" t="s">
        <v>95</v>
      </c>
      <c r="F5268" s="6" t="n">
        <f aca="false">Sens!F5164*(al_ind+Sens!F5265)</f>
        <v>8.23993980894806</v>
      </c>
      <c r="G5268" s="6" t="n">
        <f aca="false">Sens!G5164*(al_ind+Sens!G5265)</f>
        <v>8.9436393019124</v>
      </c>
      <c r="H5268" s="6" t="n">
        <f aca="false">Sens!H5164*(al_ind+Sens!H5265)</f>
        <v>9.68913190579259</v>
      </c>
      <c r="I5268" s="6" t="n">
        <f aca="false">Sens!I5164*(al_ind+Sens!I5265)</f>
        <v>10.4734166730915</v>
      </c>
      <c r="J5268" s="6" t="n">
        <f aca="false">Sens!J5164*(al_ind+Sens!J5265)</f>
        <v>11.2881577435886</v>
      </c>
      <c r="K5268" s="6" t="n">
        <f aca="false">Sens!K5164*(al_ind+Sens!K5265)</f>
        <v>12.1206578744547</v>
      </c>
    </row>
    <row r="5269" customFormat="false" ht="17.15" hidden="false" customHeight="false" outlineLevel="0" collapsed="false">
      <c r="A5269" s="0" t="s">
        <v>952</v>
      </c>
      <c r="B5269" s="0" t="s">
        <v>95</v>
      </c>
      <c r="F5269" s="6" t="n">
        <f aca="false">Sens!F5166*(al_fro+Sens!F5265)</f>
        <v>3.24326923759032</v>
      </c>
      <c r="G5269" s="6" t="n">
        <f aca="false">Sens!G5166*(al_fro+Sens!G5265)</f>
        <v>3.43382872901239</v>
      </c>
      <c r="H5269" s="6" t="n">
        <f aca="false">Sens!H5166*(al_fro+Sens!H5265)</f>
        <v>3.65119653738648</v>
      </c>
      <c r="I5269" s="6" t="n">
        <f aca="false">Sens!I5166*(al_fro+Sens!I5265)</f>
        <v>3.89777942284975</v>
      </c>
      <c r="J5269" s="6" t="n">
        <f aca="false">Sens!J5166*(al_fro+Sens!J5265)</f>
        <v>4.17479453667623</v>
      </c>
      <c r="K5269" s="6" t="n">
        <f aca="false">Sens!K5166*(al_fro+Sens!K5265)</f>
        <v>4.48268507799116</v>
      </c>
    </row>
    <row r="5270" customFormat="false" ht="17.15" hidden="false" customHeight="false" outlineLevel="0" collapsed="false">
      <c r="A5270" s="0" t="s">
        <v>953</v>
      </c>
      <c r="B5270" s="0" t="s">
        <v>95</v>
      </c>
      <c r="F5270" s="6" t="n">
        <f aca="false">Sens!F5169*(al_srch+Sens!F5265)</f>
        <v>10.1764447151293</v>
      </c>
      <c r="G5270" s="6" t="n">
        <f aca="false">Sens!G5169*(al_srch+Sens!G5265)</f>
        <v>11.1497425664589</v>
      </c>
      <c r="H5270" s="6" t="n">
        <f aca="false">Sens!H5169*(al_srch+Sens!H5265)</f>
        <v>12.1650566874738</v>
      </c>
      <c r="I5270" s="6" t="n">
        <f aca="false">Sens!I5169*(al_srch+Sens!I5265)</f>
        <v>13.2124543691039</v>
      </c>
      <c r="J5270" s="6" t="n">
        <f aca="false">Sens!J5169*(al_srch+Sens!J5265)</f>
        <v>14.2744009811365</v>
      </c>
      <c r="K5270" s="6" t="n">
        <f aca="false">Sens!K5169*(al_srch+Sens!K5265)</f>
        <v>15.3271361532313</v>
      </c>
    </row>
    <row r="5271" customFormat="false" ht="17.15" hidden="false" customHeight="false" outlineLevel="0" collapsed="false">
      <c r="A5271" s="0" t="s">
        <v>954</v>
      </c>
      <c r="B5271" s="0" t="s">
        <v>95</v>
      </c>
      <c r="F5271" s="6" t="n">
        <f aca="false">Sens!F5138</f>
        <v>35.0573455625419</v>
      </c>
      <c r="G5271" s="6" t="n">
        <f aca="false">Sens!G5138</f>
        <v>52.2504971712871</v>
      </c>
      <c r="H5271" s="6" t="n">
        <f aca="false">Sens!H5138</f>
        <v>65.2796698510271</v>
      </c>
      <c r="I5271" s="6" t="n">
        <f aca="false">Sens!I5138</f>
        <v>85.5659922535278</v>
      </c>
      <c r="J5271" s="6" t="n">
        <f aca="false">Sens!J5138</f>
        <v>105.90773710582</v>
      </c>
      <c r="K5271" s="6" t="n">
        <f aca="false">Sens!K5138</f>
        <v>126.282084319851</v>
      </c>
    </row>
    <row r="5272" customFormat="false" ht="17.15" hidden="false" customHeight="false" outlineLevel="0" collapsed="false">
      <c r="A5272" s="0" t="s">
        <v>955</v>
      </c>
      <c r="B5272" s="0" t="s">
        <v>95</v>
      </c>
      <c r="F5272" s="6" t="n">
        <f aca="false">Sens!F5198+Sens!F5149+Sens!F5265*(Sens!F5168-Sens!F5132)</f>
        <v>206.59852976096</v>
      </c>
      <c r="G5272" s="6" t="n">
        <f aca="false">Sens!G5198+Sens!G5149+Sens!G5265*(Sens!G5168-Sens!G5132)</f>
        <v>242.96666962634</v>
      </c>
      <c r="H5272" s="6" t="n">
        <f aca="false">Sens!H5198+Sens!H5149+Sens!H5265*(Sens!H5168-Sens!H5132)</f>
        <v>275.395958277819</v>
      </c>
      <c r="I5272" s="6" t="n">
        <f aca="false">Sens!I5198+Sens!I5149+Sens!I5265*(Sens!I5168-Sens!I5132)</f>
        <v>314.155193627671</v>
      </c>
      <c r="J5272" s="6" t="n">
        <f aca="false">Sens!J5198+Sens!J5149+Sens!J5265*(Sens!J5168-Sens!J5132)</f>
        <v>351.232492642657</v>
      </c>
      <c r="K5272" s="6" t="n">
        <f aca="false">Sens!K5198+Sens!K5149+Sens!K5265*(Sens!K5168-Sens!K5132)</f>
        <v>386.407123546398</v>
      </c>
    </row>
    <row r="5273" customFormat="false" ht="17.15" hidden="false" customHeight="false" outlineLevel="0" collapsed="false">
      <c r="A5273" s="0" t="s">
        <v>956</v>
      </c>
      <c r="B5273" s="0" t="s">
        <v>95</v>
      </c>
      <c r="F5273" s="6" t="n">
        <f aca="false">Sens!F5272-Sens!F5266-Sens!F5267-Sens!F5268-Sens!F5269-Sens!F5271</f>
        <v>49.0901181658081</v>
      </c>
      <c r="G5273" s="6" t="n">
        <f aca="false">Sens!G5272-Sens!G5266-Sens!G5267-Sens!G5268-Sens!G5269-Sens!G5271</f>
        <v>55.3409024237793</v>
      </c>
      <c r="H5273" s="6" t="n">
        <f aca="false">Sens!H5272-Sens!H5266-Sens!H5267-Sens!H5268-Sens!H5269-Sens!H5271</f>
        <v>61.6731818515206</v>
      </c>
      <c r="I5273" s="6" t="n">
        <f aca="false">Sens!I5272-Sens!I5266-Sens!I5267-Sens!I5268-Sens!I5269-Sens!I5271</f>
        <v>67.8307563030861</v>
      </c>
      <c r="J5273" s="6" t="n">
        <f aca="false">Sens!J5272-Sens!J5266-Sens!J5267-Sens!J5268-Sens!J5269-Sens!J5271</f>
        <v>73.2126481301526</v>
      </c>
      <c r="K5273" s="6" t="n">
        <f aca="false">Sens!K5272-Sens!K5266-Sens!K5267-Sens!K5268-Sens!K5269-Sens!K5271</f>
        <v>77.1287608000903</v>
      </c>
    </row>
    <row r="5274" customFormat="false" ht="17.15" hidden="false" customHeight="false" outlineLevel="0" collapsed="false">
      <c r="A5274" s="0" t="s">
        <v>957</v>
      </c>
      <c r="B5274" s="0" t="s">
        <v>95</v>
      </c>
      <c r="F5274" s="6" t="n">
        <f aca="false">Sens!F5200+Sens!F5265*Sens!F5175</f>
        <v>23.7614496501917</v>
      </c>
      <c r="G5274" s="6" t="n">
        <f aca="false">Sens!G5200+Sens!G5265*Sens!G5175</f>
        <v>24.3102829796831</v>
      </c>
      <c r="H5274" s="6" t="n">
        <f aca="false">Sens!H5200+Sens!H5265*Sens!H5175</f>
        <v>25.1047078461683</v>
      </c>
      <c r="I5274" s="6" t="n">
        <f aca="false">Sens!I5200+Sens!I5265*Sens!I5175</f>
        <v>26.1167188906075</v>
      </c>
      <c r="J5274" s="6" t="n">
        <f aca="false">Sens!J5200+Sens!J5265*Sens!J5175</f>
        <v>27.3153432784992</v>
      </c>
      <c r="K5274" s="6" t="n">
        <f aca="false">Sens!K5200+Sens!K5265*Sens!K5175</f>
        <v>28.669125535858</v>
      </c>
    </row>
    <row r="5275" customFormat="false" ht="17.15" hidden="false" customHeight="false" outlineLevel="0" collapsed="false">
      <c r="A5275" s="0" t="s">
        <v>958</v>
      </c>
      <c r="B5275" s="0" t="s">
        <v>95</v>
      </c>
      <c r="F5275" s="6" t="n">
        <f aca="false">(Sens!F5274-Sens!F5270)*Sens!F5171/(Sens!F5171+Sens!F5173)</f>
        <v>7.44716738937041</v>
      </c>
      <c r="G5275" s="6" t="n">
        <f aca="false">(Sens!G5274-Sens!G5270)*Sens!G5171/(Sens!G5171+Sens!G5173)</f>
        <v>7.08584634644459</v>
      </c>
      <c r="H5275" s="6" t="n">
        <f aca="false">(Sens!H5274-Sens!H5270)*Sens!H5171/(Sens!H5171+Sens!H5173)</f>
        <v>6.8728046313797</v>
      </c>
      <c r="I5275" s="6" t="n">
        <f aca="false">(Sens!I5274-Sens!I5270)*Sens!I5171/(Sens!I5171+Sens!I5173)</f>
        <v>6.7919941049909</v>
      </c>
      <c r="J5275" s="6" t="n">
        <f aca="false">(Sens!J5274-Sens!J5270)*Sens!J5171/(Sens!J5171+Sens!J5173)</f>
        <v>6.83289424870966</v>
      </c>
      <c r="K5275" s="6" t="n">
        <f aca="false">(Sens!K5274-Sens!K5270)*Sens!K5171/(Sens!K5171+Sens!K5173)</f>
        <v>6.99063000511329</v>
      </c>
    </row>
    <row r="5276" customFormat="false" ht="17.15" hidden="false" customHeight="false" outlineLevel="0" collapsed="false">
      <c r="A5276" s="0" t="s">
        <v>959</v>
      </c>
      <c r="B5276" s="0" t="s">
        <v>95</v>
      </c>
      <c r="F5276" s="6" t="n">
        <f aca="false">Sens!F5274-Sens!F5270-Sens!F5275</f>
        <v>6.13783754569201</v>
      </c>
      <c r="G5276" s="6" t="n">
        <f aca="false">Sens!G5274-Sens!G5270-Sens!G5275</f>
        <v>6.0746940667796</v>
      </c>
      <c r="H5276" s="6" t="n">
        <f aca="false">Sens!H5274-Sens!H5270-Sens!H5275</f>
        <v>6.06684652731476</v>
      </c>
      <c r="I5276" s="6" t="n">
        <f aca="false">Sens!I5274-Sens!I5270-Sens!I5275</f>
        <v>6.11227041651264</v>
      </c>
      <c r="J5276" s="6" t="n">
        <f aca="false">Sens!J5274-Sens!J5270-Sens!J5275</f>
        <v>6.20804804865309</v>
      </c>
      <c r="K5276" s="6" t="n">
        <f aca="false">Sens!K5274-Sens!K5270-Sens!K5275</f>
        <v>6.35135937751338</v>
      </c>
    </row>
    <row r="5277" customFormat="false" ht="17.15" hidden="false" customHeight="false" outlineLevel="0" collapsed="false">
      <c r="A5277" s="1" t="s">
        <v>960</v>
      </c>
      <c r="B5277" s="0" t="s">
        <v>95</v>
      </c>
      <c r="C5277" s="6" t="n">
        <f aca="false">(w_ntm28*Sens!G5271+(1-w_ntm28)*Sens!H5271)*m_ai*1</f>
        <v>338.776008390068</v>
      </c>
    </row>
    <row r="5278" customFormat="false" ht="17.15" hidden="false" customHeight="false" outlineLevel="0" collapsed="false">
      <c r="A5278" s="1" t="s">
        <v>961</v>
      </c>
      <c r="B5278" s="0" t="s">
        <v>95</v>
      </c>
      <c r="C5278" s="6" t="n">
        <f aca="false">(w_ntm28*Sens!G5273+(1-w_ntm28)*Sens!H5273)*m_cloud*1</f>
        <v>793.102855057133</v>
      </c>
    </row>
    <row r="5279" customFormat="false" ht="17.15" hidden="false" customHeight="false" outlineLevel="0" collapsed="false">
      <c r="A5279" s="1" t="s">
        <v>962</v>
      </c>
      <c r="B5279" s="0" t="s">
        <v>95</v>
      </c>
      <c r="C5279" s="6" t="n">
        <f aca="false">(w_ntm28*Sens!G5266+(1-w_ntm28)*Sens!H5266)*m_sw*1</f>
        <v>1007.6788086467</v>
      </c>
    </row>
    <row r="5280" customFormat="false" ht="17.15" hidden="false" customHeight="false" outlineLevel="0" collapsed="false">
      <c r="A5280" s="1" t="s">
        <v>963</v>
      </c>
      <c r="B5280" s="0" t="s">
        <v>95</v>
      </c>
      <c r="C5280" s="6" t="n">
        <f aca="false">(w_ntm28*Sens!G5267+(1-w_ntm28)*Sens!H5267)*m_sw*1</f>
        <v>362.962060031846</v>
      </c>
    </row>
    <row r="5281" customFormat="false" ht="17.15" hidden="false" customHeight="false" outlineLevel="0" collapsed="false">
      <c r="A5281" s="1" t="s">
        <v>964</v>
      </c>
      <c r="B5281" s="0" t="s">
        <v>95</v>
      </c>
      <c r="C5281" s="6" t="n">
        <f aca="false">(w_ntm28*Sens!G5268+(1-w_ntm28)*Sens!H5268)*m_sw*1</f>
        <v>99.1941969932153</v>
      </c>
    </row>
    <row r="5282" customFormat="false" ht="17.15" hidden="false" customHeight="false" outlineLevel="0" collapsed="false">
      <c r="A5282" s="1" t="s">
        <v>965</v>
      </c>
      <c r="B5282" s="0" t="s">
        <v>95</v>
      </c>
      <c r="C5282" s="6" t="n">
        <f aca="false">(w_ntm28*Sens!G5269+(1-w_ntm28)*Sens!H5269)*m_sw*1</f>
        <v>37.8442914650926</v>
      </c>
    </row>
    <row r="5283" customFormat="false" ht="17.15" hidden="false" customHeight="false" outlineLevel="0" collapsed="false">
      <c r="A5283" s="1" t="s">
        <v>966</v>
      </c>
      <c r="B5283" s="0" t="s">
        <v>95</v>
      </c>
      <c r="C5283" s="6" t="n">
        <f aca="false">(w_ntm28*Sens!G5270+(1-w_ntm28)*Sens!H5270)*m_ads*1</f>
        <v>104.564407859368</v>
      </c>
    </row>
    <row r="5284" customFormat="false" ht="17.15" hidden="false" customHeight="false" outlineLevel="0" collapsed="false">
      <c r="A5284" s="1" t="s">
        <v>967</v>
      </c>
      <c r="B5284" s="0" t="s">
        <v>95</v>
      </c>
      <c r="C5284" s="6" t="n">
        <f aca="false">(w_ntm28*Sens!G5275+(1-w_ntm28)*Sens!H5275)*m_game*1</f>
        <v>88.6243637675683</v>
      </c>
    </row>
    <row r="5285" customFormat="false" ht="17.15" hidden="false" customHeight="false" outlineLevel="0" collapsed="false">
      <c r="A5285" s="1" t="s">
        <v>968</v>
      </c>
      <c r="B5285" s="0" t="s">
        <v>95</v>
      </c>
      <c r="C5285" s="6" t="n">
        <f aca="false">(w_ntm28*Sens!G5276+(1-w_ntm28)*Sens!H5276)*m_pc*1</f>
        <v>87.8641125716854</v>
      </c>
    </row>
    <row r="5286" customFormat="false" ht="17.15" hidden="false" customHeight="false" outlineLevel="0" collapsed="false">
      <c r="A5286" s="1" t="s">
        <v>969</v>
      </c>
      <c r="B5286" s="0" t="s">
        <v>95</v>
      </c>
      <c r="C5286" s="6" t="n">
        <f aca="false">Sens!$C$5277+Sens!$C$5278+Sens!$C$5279+Sens!$C$5280+Sens!$C$5281+Sens!$C$5282+Sens!$C$5283+Sens!$C$5284+Sens!$C$5285</f>
        <v>2920.61110478268</v>
      </c>
    </row>
    <row r="5287" customFormat="false" ht="17.15" hidden="false" customHeight="false" outlineLevel="0" collapsed="false">
      <c r="A5287" s="1" t="s">
        <v>903</v>
      </c>
      <c r="B5287" s="0" t="s">
        <v>95</v>
      </c>
      <c r="C5287" s="6" t="n">
        <f aca="false">Sens!F5244+oai_v-Sens!F5233</f>
        <v>107.190896340854</v>
      </c>
      <c r="L5287" s="1" t="s">
        <v>970</v>
      </c>
    </row>
    <row r="5288" customFormat="false" ht="15" hidden="false" customHeight="false" outlineLevel="0" collapsed="false">
      <c r="A5288" s="1" t="s">
        <v>904</v>
      </c>
      <c r="B5288" s="0" t="s">
        <v>73</v>
      </c>
      <c r="C5288" s="5" t="n">
        <f aca="false">(Sens!$C$5286+Sens!$C$5287)/Sens!F5246</f>
        <v>405.219753897689</v>
      </c>
    </row>
    <row r="5289" customFormat="false" ht="17.15" hidden="false" customHeight="false" outlineLevel="0" collapsed="false">
      <c r="A5289" s="1" t="s">
        <v>971</v>
      </c>
      <c r="B5289" s="0" t="s">
        <v>73</v>
      </c>
      <c r="C5289" s="5" t="n">
        <f aca="false">w_dcf*Sens!$C$5264+(1-w_dcf)*Sens!$C$5288</f>
        <v>293.887705385284</v>
      </c>
    </row>
    <row r="5290" customFormat="false" ht="17.15" hidden="false" customHeight="false" outlineLevel="0" collapsed="false">
      <c r="A5290" s="3" t="s">
        <v>1264</v>
      </c>
    </row>
    <row r="5291" customFormat="false" ht="15" hidden="false" customHeight="false" outlineLevel="0" collapsed="false">
      <c r="A5291" s="4" t="s">
        <v>43</v>
      </c>
      <c r="B5291" s="4" t="s">
        <v>63</v>
      </c>
      <c r="C5291" s="19" t="s">
        <v>710</v>
      </c>
      <c r="D5291" s="19" t="s">
        <v>711</v>
      </c>
      <c r="E5291" s="19" t="s">
        <v>712</v>
      </c>
      <c r="F5291" s="19" t="s">
        <v>713</v>
      </c>
      <c r="G5291" s="19" t="s">
        <v>714</v>
      </c>
      <c r="H5291" s="19" t="s">
        <v>715</v>
      </c>
      <c r="I5291" s="19" t="s">
        <v>716</v>
      </c>
      <c r="J5291" s="19" t="s">
        <v>717</v>
      </c>
      <c r="K5291" s="19" t="s">
        <v>718</v>
      </c>
      <c r="L5291" s="4" t="s">
        <v>47</v>
      </c>
    </row>
    <row r="5292" customFormat="false" ht="17.15" hidden="false" customHeight="false" outlineLevel="0" collapsed="false">
      <c r="A5292" s="1" t="s">
        <v>719</v>
      </c>
      <c r="B5292" s="0" t="s">
        <v>340</v>
      </c>
      <c r="C5292" s="27" t="n">
        <f aca="false">mw_ext_24</f>
        <v>640</v>
      </c>
      <c r="D5292" s="27" t="n">
        <f aca="false">mw_ext_25</f>
        <v>1630</v>
      </c>
      <c r="E5292" s="27" t="n">
        <f aca="false">mw_ext_26</f>
        <v>3250</v>
      </c>
      <c r="F5292" s="27" t="n">
        <f aca="false">MIN(1000000000,Sens!E5292+pace)</f>
        <v>5777.2</v>
      </c>
      <c r="G5292" s="27" t="n">
        <f aca="false">MIN(1000000000,Sens!F5292+pace)</f>
        <v>8304.4</v>
      </c>
      <c r="H5292" s="27" t="n">
        <f aca="false">MIN(1000000000,Sens!G5292+pace)</f>
        <v>10831.6</v>
      </c>
      <c r="I5292" s="27" t="n">
        <f aca="false">MIN(1000000000,Sens!H5292+pace)</f>
        <v>13358.8</v>
      </c>
      <c r="J5292" s="27" t="n">
        <f aca="false">MIN(1000000000,Sens!I5292+pace)</f>
        <v>15886</v>
      </c>
      <c r="K5292" s="27" t="n">
        <f aca="false">MIN(1000000000,Sens!J5292+pace)</f>
        <v>18413.2</v>
      </c>
      <c r="L5292" s="11" t="s">
        <v>720</v>
      </c>
    </row>
    <row r="5293" customFormat="false" ht="17.15" hidden="false" customHeight="false" outlineLevel="0" collapsed="false">
      <c r="A5293" s="1" t="s">
        <v>721</v>
      </c>
      <c r="B5293" s="0" t="s">
        <v>340</v>
      </c>
      <c r="C5293" s="27" t="n">
        <f aca="false">rent_ext_24</f>
        <v>150</v>
      </c>
      <c r="D5293" s="27" t="n">
        <f aca="false">rent_ext_25</f>
        <v>400</v>
      </c>
      <c r="E5293" s="27" t="n">
        <f aca="false">rent_ext_26</f>
        <v>550</v>
      </c>
      <c r="F5293" s="27" t="n">
        <f aca="false">rent_ext_f</f>
        <v>756</v>
      </c>
      <c r="G5293" s="27" t="n">
        <f aca="false">rent_ext_f</f>
        <v>756</v>
      </c>
      <c r="H5293" s="27" t="n">
        <f aca="false">rent_ext_f</f>
        <v>756</v>
      </c>
      <c r="I5293" s="27" t="n">
        <f aca="false">rent_ext_f</f>
        <v>756</v>
      </c>
      <c r="J5293" s="27" t="n">
        <f aca="false">rent_ext_f</f>
        <v>756</v>
      </c>
      <c r="K5293" s="27" t="n">
        <f aca="false">rent_ext_f</f>
        <v>756</v>
      </c>
      <c r="L5293" s="1" t="s">
        <v>722</v>
      </c>
    </row>
    <row r="5294" customFormat="false" ht="17.15" hidden="false" customHeight="false" outlineLevel="0" collapsed="false">
      <c r="A5294" s="1" t="s">
        <v>723</v>
      </c>
      <c r="B5294" s="0" t="s">
        <v>340</v>
      </c>
      <c r="C5294" s="27" t="n">
        <f aca="false">Sens!C5292-Sens!C5293</f>
        <v>490</v>
      </c>
      <c r="D5294" s="27" t="n">
        <f aca="false">Sens!D5292-Sens!D5293</f>
        <v>1230</v>
      </c>
      <c r="E5294" s="27" t="n">
        <f aca="false">Sens!E5292-Sens!E5293</f>
        <v>2700</v>
      </c>
      <c r="F5294" s="27" t="n">
        <f aca="false">Sens!F5292-Sens!F5293</f>
        <v>5021.2</v>
      </c>
      <c r="G5294" s="27" t="n">
        <f aca="false">Sens!G5292-Sens!G5293</f>
        <v>7548.4</v>
      </c>
      <c r="H5294" s="27" t="n">
        <f aca="false">Sens!H5292-Sens!H5293</f>
        <v>10075.6</v>
      </c>
      <c r="I5294" s="27" t="n">
        <f aca="false">Sens!I5292-Sens!I5293</f>
        <v>12602.8</v>
      </c>
      <c r="J5294" s="27" t="n">
        <f aca="false">Sens!J5292-Sens!J5293</f>
        <v>15130</v>
      </c>
      <c r="K5294" s="27" t="n">
        <f aca="false">Sens!K5292-Sens!K5293</f>
        <v>17657.2</v>
      </c>
    </row>
    <row r="5295" customFormat="false" ht="17.15" hidden="false" customHeight="false" outlineLevel="0" collapsed="false">
      <c r="A5295" s="1" t="s">
        <v>724</v>
      </c>
      <c r="B5295" s="0" t="s">
        <v>340</v>
      </c>
      <c r="C5295" s="27" t="n">
        <f aca="false">Sens!C5294/ext_sh</f>
        <v>816.666666666667</v>
      </c>
      <c r="D5295" s="27" t="n">
        <f aca="false">Sens!D5294/ext_sh</f>
        <v>2050</v>
      </c>
      <c r="E5295" s="27" t="n">
        <f aca="false">Sens!E5294/ext_sh</f>
        <v>4500</v>
      </c>
      <c r="F5295" s="27" t="n">
        <f aca="false">Sens!F5294/ext_sh</f>
        <v>8368.66666666667</v>
      </c>
      <c r="G5295" s="27" t="n">
        <f aca="false">Sens!G5294/ext_sh</f>
        <v>12580.6666666667</v>
      </c>
      <c r="H5295" s="27" t="n">
        <f aca="false">Sens!H5294/ext_sh</f>
        <v>16792.6666666667</v>
      </c>
      <c r="I5295" s="27" t="n">
        <f aca="false">Sens!I5294/ext_sh</f>
        <v>21004.6666666667</v>
      </c>
      <c r="J5295" s="27" t="n">
        <f aca="false">Sens!J5294/ext_sh</f>
        <v>25216.6666666667</v>
      </c>
      <c r="K5295" s="27" t="n">
        <f aca="false">Sens!K5294/ext_sh</f>
        <v>29428.6666666667</v>
      </c>
      <c r="L5295" s="1" t="s">
        <v>725</v>
      </c>
    </row>
    <row r="5296" customFormat="false" ht="17.15" hidden="false" customHeight="false" outlineLevel="0" collapsed="false">
      <c r="A5296" s="1" t="s">
        <v>726</v>
      </c>
      <c r="B5296" s="0" t="s">
        <v>340</v>
      </c>
      <c r="C5296" s="27" t="n">
        <f aca="false">Sens!C5295-Sens!C5294</f>
        <v>326.666666666667</v>
      </c>
      <c r="D5296" s="27" t="n">
        <f aca="false">Sens!D5295-Sens!D5294</f>
        <v>820</v>
      </c>
      <c r="E5296" s="27" t="n">
        <f aca="false">Sens!E5295-Sens!E5294</f>
        <v>1800</v>
      </c>
      <c r="F5296" s="27" t="n">
        <f aca="false">Sens!F5295-Sens!F5294</f>
        <v>3347.46666666667</v>
      </c>
      <c r="G5296" s="27" t="n">
        <f aca="false">Sens!G5295-Sens!G5294</f>
        <v>5032.26666666667</v>
      </c>
      <c r="H5296" s="27" t="n">
        <f aca="false">Sens!H5295-Sens!H5294</f>
        <v>6717.06666666667</v>
      </c>
      <c r="I5296" s="27" t="n">
        <f aca="false">Sens!I5295-Sens!I5294</f>
        <v>8401.86666666667</v>
      </c>
      <c r="J5296" s="27" t="n">
        <f aca="false">Sens!J5295-Sens!J5294</f>
        <v>10086.6666666667</v>
      </c>
      <c r="K5296" s="27" t="n">
        <f aca="false">Sens!K5295-Sens!K5294</f>
        <v>11771.4666666667</v>
      </c>
    </row>
    <row r="5297" customFormat="false" ht="17.15" hidden="false" customHeight="false" outlineLevel="0" collapsed="false">
      <c r="A5297" s="1" t="s">
        <v>727</v>
      </c>
      <c r="B5297" s="0" t="s">
        <v>340</v>
      </c>
      <c r="C5297" s="27" t="n">
        <f aca="false">Sens!C5295</f>
        <v>816.666666666667</v>
      </c>
      <c r="D5297" s="27" t="n">
        <f aca="false">Sens!D5295-Sens!C5295</f>
        <v>1233.33333333333</v>
      </c>
      <c r="E5297" s="27" t="n">
        <f aca="false">Sens!E5295-Sens!D5295</f>
        <v>2450</v>
      </c>
      <c r="F5297" s="27" t="n">
        <f aca="false">Sens!F5295-Sens!E5295</f>
        <v>3868.66666666667</v>
      </c>
      <c r="G5297" s="27" t="n">
        <f aca="false">Sens!G5295-Sens!F5295</f>
        <v>4212</v>
      </c>
      <c r="H5297" s="27" t="n">
        <f aca="false">Sens!H5295-Sens!G5295</f>
        <v>4212</v>
      </c>
      <c r="I5297" s="27" t="n">
        <f aca="false">Sens!I5295-Sens!H5295</f>
        <v>4212</v>
      </c>
      <c r="J5297" s="27" t="n">
        <f aca="false">Sens!J5295-Sens!I5295</f>
        <v>4212</v>
      </c>
      <c r="K5297" s="27" t="n">
        <f aca="false">Sens!K5295-Sens!J5295</f>
        <v>4212</v>
      </c>
    </row>
    <row r="5298" customFormat="false" ht="17.15" hidden="false" customHeight="false" outlineLevel="0" collapsed="false">
      <c r="A5298" s="1" t="s">
        <v>728</v>
      </c>
      <c r="B5298" s="0" t="s">
        <v>340</v>
      </c>
      <c r="D5298" s="27" t="n">
        <f aca="false">Sens!D5292-Sens!C5292</f>
        <v>990</v>
      </c>
      <c r="E5298" s="27" t="n">
        <f aca="false">Sens!E5292-Sens!D5292</f>
        <v>1620</v>
      </c>
      <c r="F5298" s="27" t="n">
        <f aca="false">Sens!F5292-Sens!E5292</f>
        <v>2527.2</v>
      </c>
      <c r="G5298" s="27" t="n">
        <f aca="false">Sens!G5292-Sens!F5292</f>
        <v>2527.2</v>
      </c>
      <c r="H5298" s="27" t="n">
        <f aca="false">Sens!H5292-Sens!G5292</f>
        <v>2527.2</v>
      </c>
      <c r="I5298" s="27" t="n">
        <f aca="false">Sens!I5292-Sens!H5292</f>
        <v>2527.2</v>
      </c>
      <c r="J5298" s="27" t="n">
        <f aca="false">Sens!J5292-Sens!I5292</f>
        <v>2527.2</v>
      </c>
      <c r="K5298" s="27" t="n">
        <f aca="false">Sens!K5292-Sens!J5292</f>
        <v>2527.2</v>
      </c>
    </row>
    <row r="5299" customFormat="false" ht="17.15" hidden="false" customHeight="false" outlineLevel="0" collapsed="false">
      <c r="A5299" s="1" t="s">
        <v>729</v>
      </c>
      <c r="B5299" s="0" t="s">
        <v>340</v>
      </c>
      <c r="C5299" s="27" t="n">
        <f aca="false">mix_h*Sens!C5292</f>
        <v>128</v>
      </c>
      <c r="D5299" s="27" t="n">
        <f aca="false">mix_h*Sens!D5292</f>
        <v>326</v>
      </c>
      <c r="E5299" s="27" t="n">
        <f aca="false">mix_h*Sens!E5292</f>
        <v>650</v>
      </c>
      <c r="F5299" s="27" t="n">
        <f aca="false">Sens!E5299</f>
        <v>650</v>
      </c>
      <c r="G5299" s="27" t="n">
        <f aca="false">Sens!F5299</f>
        <v>650</v>
      </c>
      <c r="H5299" s="27" t="n">
        <f aca="false">Sens!G5299</f>
        <v>650</v>
      </c>
      <c r="I5299" s="27" t="n">
        <f aca="false">Sens!H5299</f>
        <v>650</v>
      </c>
      <c r="J5299" s="27" t="n">
        <f aca="false">Sens!I5299</f>
        <v>650</v>
      </c>
      <c r="K5299" s="27" t="n">
        <f aca="false">Sens!J5299</f>
        <v>650</v>
      </c>
    </row>
    <row r="5300" customFormat="false" ht="17.15" hidden="false" customHeight="false" outlineLevel="0" collapsed="false">
      <c r="A5300" s="1" t="s">
        <v>730</v>
      </c>
      <c r="B5300" s="0" t="s">
        <v>340</v>
      </c>
      <c r="C5300" s="27" t="n">
        <f aca="false">mix_g2*Sens!C5292</f>
        <v>288</v>
      </c>
      <c r="D5300" s="27" t="n">
        <f aca="false">mix_g2*Sens!D5292</f>
        <v>733.5</v>
      </c>
      <c r="E5300" s="27" t="n">
        <f aca="false">mix_g2*Sens!E5292</f>
        <v>1462.5</v>
      </c>
      <c r="F5300" s="27" t="n">
        <f aca="false">Sens!E5300</f>
        <v>1462.5</v>
      </c>
      <c r="G5300" s="27" t="n">
        <f aca="false">Sens!F5300</f>
        <v>1462.5</v>
      </c>
      <c r="H5300" s="27" t="n">
        <f aca="false">Sens!G5300</f>
        <v>1462.5</v>
      </c>
      <c r="I5300" s="27" t="n">
        <f aca="false">Sens!H5300</f>
        <v>1462.5</v>
      </c>
      <c r="J5300" s="27" t="n">
        <f aca="false">Sens!I5300</f>
        <v>1462.5</v>
      </c>
      <c r="K5300" s="27" t="n">
        <f aca="false">Sens!J5300</f>
        <v>1462.5</v>
      </c>
    </row>
    <row r="5301" customFormat="false" ht="17.15" hidden="false" customHeight="false" outlineLevel="0" collapsed="false">
      <c r="A5301" s="1" t="s">
        <v>731</v>
      </c>
      <c r="B5301" s="0" t="s">
        <v>340</v>
      </c>
      <c r="C5301" s="27" t="n">
        <f aca="false">mix_g3*Sens!C5292</f>
        <v>224</v>
      </c>
      <c r="D5301" s="27" t="n">
        <f aca="false">mix_g3*Sens!D5292</f>
        <v>570.5</v>
      </c>
      <c r="E5301" s="27" t="n">
        <f aca="false">mix_g3*Sens!E5292</f>
        <v>1137.5</v>
      </c>
      <c r="F5301" s="27" t="n">
        <f aca="false">Sens!E5301+Sens!F5298*a_g3_27</f>
        <v>2906.54</v>
      </c>
      <c r="G5301" s="27" t="n">
        <f aca="false">Sens!F5301+Sens!G5298*a_g3_28</f>
        <v>3664.7</v>
      </c>
      <c r="H5301" s="27" t="n">
        <f aca="false">Sens!G5301+Sens!H5298*a_g3_29</f>
        <v>3917.42</v>
      </c>
      <c r="I5301" s="27" t="n">
        <f aca="false">Sens!H5301+Sens!I5298*a_g3_29</f>
        <v>4170.14</v>
      </c>
      <c r="J5301" s="27" t="n">
        <f aca="false">Sens!I5301+Sens!J5298*a_g3_29</f>
        <v>4422.86</v>
      </c>
      <c r="K5301" s="27" t="n">
        <f aca="false">Sens!J5301+Sens!K5298*a_g3_29</f>
        <v>4675.58</v>
      </c>
    </row>
    <row r="5302" customFormat="false" ht="17.15" hidden="false" customHeight="false" outlineLevel="0" collapsed="false">
      <c r="A5302" s="1" t="s">
        <v>732</v>
      </c>
      <c r="B5302" s="0" t="s">
        <v>340</v>
      </c>
      <c r="C5302" s="27" t="n">
        <f aca="false">0</f>
        <v>0</v>
      </c>
      <c r="D5302" s="27" t="n">
        <f aca="false">0</f>
        <v>0</v>
      </c>
      <c r="E5302" s="27" t="n">
        <f aca="false">0</f>
        <v>0</v>
      </c>
      <c r="F5302" s="27" t="n">
        <f aca="false">Sens!E5302+Sens!F5298*(1-a_g3_27)</f>
        <v>758.16</v>
      </c>
      <c r="G5302" s="27" t="n">
        <f aca="false">Sens!F5302+Sens!G5298*(1-a_g3_28)</f>
        <v>2527.2</v>
      </c>
      <c r="H5302" s="27" t="n">
        <f aca="false">Sens!G5302+Sens!H5298*(1-a_g3_29)</f>
        <v>4801.68</v>
      </c>
      <c r="I5302" s="27" t="n">
        <f aca="false">Sens!H5302+Sens!I5298*(1-a_g3_29)</f>
        <v>7076.16</v>
      </c>
      <c r="J5302" s="27" t="n">
        <f aca="false">Sens!I5302+Sens!J5298*(1-a_g3_29)</f>
        <v>9350.64</v>
      </c>
      <c r="K5302" s="27" t="n">
        <f aca="false">Sens!J5302+Sens!K5298*(1-a_g3_29)</f>
        <v>11625.12</v>
      </c>
    </row>
    <row r="5303" customFormat="false" ht="17.15" hidden="false" customHeight="false" outlineLevel="0" collapsed="false">
      <c r="A5303" s="1" t="s">
        <v>733</v>
      </c>
      <c r="B5303" s="0" t="s">
        <v>291</v>
      </c>
      <c r="C5303" s="18" t="n">
        <f aca="false">(Sens!C5299*tk_hold_h100+Sens!C5300*tk_hold_gb200+Sens!C5301*tk_hold_gb300+Sens!C5302*tk_hold_vr200)/Sens!C5292</f>
        <v>9.7235358126469</v>
      </c>
      <c r="D5303" s="18" t="n">
        <f aca="false">(Sens!D5299*tk_hold_h100+Sens!D5300*tk_hold_gb200+Sens!D5301*tk_hold_gb300+Sens!D5302*tk_hold_vr200)/Sens!D5292</f>
        <v>9.7235358126469</v>
      </c>
      <c r="E5303" s="18" t="n">
        <f aca="false">(Sens!E5299*tk_hold_h100+Sens!E5300*tk_hold_gb200+Sens!E5301*tk_hold_gb300+Sens!E5302*tk_hold_vr200)/Sens!E5292</f>
        <v>9.7235358126469</v>
      </c>
      <c r="F5303" s="18" t="n">
        <f aca="false">(Sens!F5299*tk_hold_h100+Sens!F5300*tk_hold_gb200+Sens!F5301*tk_hold_gb300+Sens!F5302*tk_hold_vr200)/Sens!F5292</f>
        <v>10.4079573161931</v>
      </c>
      <c r="G5303" s="18" t="n">
        <f aca="false">(Sens!G5299*tk_hold_h100+Sens!G5300*tk_hold_gb200+Sens!G5301*tk_hold_gb300+Sens!G5302*tk_hold_vr200)/Sens!G5292</f>
        <v>10.8388131109316</v>
      </c>
      <c r="H5303" s="18" t="n">
        <f aca="false">(Sens!H5299*tk_hold_h100+Sens!H5300*tk_hold_gb200+Sens!H5301*tk_hold_gb300+Sens!H5302*tk_hold_vr200)/Sens!H5292</f>
        <v>11.1311018388216</v>
      </c>
      <c r="I5303" s="18" t="n">
        <f aca="false">(Sens!I5299*tk_hold_h100+Sens!I5300*tk_hold_gb200+Sens!I5301*tk_hold_gb300+Sens!I5302*tk_hold_vr200)/Sens!I5292</f>
        <v>11.3128009818501</v>
      </c>
      <c r="J5303" s="18" t="n">
        <f aca="false">(Sens!J5299*tk_hold_h100+Sens!J5300*tk_hold_gb200+Sens!J5301*tk_hold_gb300+Sens!J5302*tk_hold_vr200)/Sens!J5292</f>
        <v>11.4366894646418</v>
      </c>
      <c r="K5303" s="18" t="n">
        <f aca="false">(Sens!K5299*tk_hold_h100+Sens!K5300*tk_hold_gb200+Sens!K5301*tk_hold_gb300+Sens!K5302*tk_hold_vr200)/Sens!K5292</f>
        <v>11.526570716348</v>
      </c>
    </row>
    <row r="5304" customFormat="false" ht="17.15" hidden="false" customHeight="false" outlineLevel="0" collapsed="false">
      <c r="A5304" s="0" t="s">
        <v>734</v>
      </c>
      <c r="B5304" s="0" t="s">
        <v>182</v>
      </c>
      <c r="C5304" s="18" t="n">
        <f aca="false">k_B</f>
        <v>1.17213932619116</v>
      </c>
      <c r="D5304" s="18" t="n">
        <f aca="false">k_B</f>
        <v>1.17213932619116</v>
      </c>
      <c r="E5304" s="18" t="n">
        <f aca="false">k_B</f>
        <v>1.17213932619116</v>
      </c>
      <c r="F5304" s="18" t="n">
        <f aca="false">(k_B+((ls_A*k_long+(1-ls_A)*k_spot)-k_B)*MIN(1,1/3))*1</f>
        <v>1.25022828131298</v>
      </c>
      <c r="G5304" s="18" t="n">
        <f aca="false">(k_B+((ls_A*k_long+(1-ls_A)*k_spot)-k_B)*MIN(1,2/3))*1</f>
        <v>1.3283172364348</v>
      </c>
      <c r="H5304" s="18" t="n">
        <f aca="false">(k_B+((ls_A*k_long+(1-ls_A)*k_spot)-k_B)*MIN(1,3/3))*1</f>
        <v>1.40640619155662</v>
      </c>
      <c r="I5304" s="18" t="n">
        <f aca="false">(k_B+((ls_A*k_long+(1-ls_A)*k_spot)-k_B)*MIN(1,4/3))*1</f>
        <v>1.40640619155662</v>
      </c>
      <c r="J5304" s="18" t="n">
        <f aca="false">(k_B+((ls_A*k_long+(1-ls_A)*k_spot)-k_B)*MIN(1,5/3))*1</f>
        <v>1.40640619155662</v>
      </c>
      <c r="K5304" s="18" t="n">
        <f aca="false">(k_B+((ls_A*k_long+(1-ls_A)*k_spot)-k_B)*MIN(1,6/3))*1</f>
        <v>1.40640619155662</v>
      </c>
      <c r="L5304" s="1" t="s">
        <v>735</v>
      </c>
    </row>
    <row r="5305" customFormat="false" ht="17.15" hidden="false" customHeight="false" outlineLevel="0" collapsed="false">
      <c r="A5305" s="1" t="s">
        <v>736</v>
      </c>
      <c r="B5305" s="0" t="s">
        <v>291</v>
      </c>
      <c r="C5305" s="18" t="n">
        <f aca="false">Sens!C5303*Sens!C5304*chip_f</f>
        <v>11.3973387156315</v>
      </c>
      <c r="D5305" s="18" t="n">
        <f aca="false">Sens!D5303*Sens!D5304*chip_f</f>
        <v>11.3973387156315</v>
      </c>
      <c r="E5305" s="18" t="n">
        <f aca="false">Sens!E5303*Sens!E5304*chip_f</f>
        <v>11.3973387156315</v>
      </c>
      <c r="F5305" s="18" t="n">
        <f aca="false">Sens!F5303*Sens!F5304*chip_f</f>
        <v>13.0123225874029</v>
      </c>
      <c r="G5305" s="18" t="n">
        <f aca="false">Sens!G5303*Sens!G5304*chip_f</f>
        <v>14.3973822777458</v>
      </c>
      <c r="H5305" s="18" t="n">
        <f aca="false">Sens!H5303*Sens!H5304*chip_f</f>
        <v>15.6548505449659</v>
      </c>
      <c r="I5305" s="18" t="n">
        <f aca="false">Sens!I5303*Sens!I5304*chip_f</f>
        <v>15.9103933447218</v>
      </c>
      <c r="J5305" s="18" t="n">
        <f aca="false">Sens!J5303*Sens!J5304*chip_f</f>
        <v>16.0846308739825</v>
      </c>
      <c r="K5305" s="18" t="n">
        <f aca="false">Sens!K5303*Sens!K5304*chip_f</f>
        <v>16.211040422887</v>
      </c>
      <c r="L5305" s="1" t="s">
        <v>737</v>
      </c>
    </row>
    <row r="5306" customFormat="false" ht="17.15" hidden="false" customHeight="false" outlineLevel="0" collapsed="false">
      <c r="A5306" s="0" t="s">
        <v>738</v>
      </c>
      <c r="B5306" s="0" t="s">
        <v>95</v>
      </c>
      <c r="D5306" s="6" t="n">
        <f aca="false">(Sens!C5292+Sens!D5292)/2*Sens!D5305/1000</f>
        <v>12.9359794422418</v>
      </c>
      <c r="E5306" s="6" t="n">
        <f aca="false">(Sens!D5292+Sens!E5292)/2*Sens!E5305/1000</f>
        <v>27.8095064661409</v>
      </c>
      <c r="F5306" s="6" t="n">
        <f aca="false">(Sens!E5292+Sens!F5292)/2*Sens!F5305/1000</f>
        <v>58.7324192305018</v>
      </c>
      <c r="G5306" s="6" t="n">
        <f aca="false">(Sens!F5292+Sens!G5292)/2*Sens!G5305/1000</f>
        <v>101.369089141153</v>
      </c>
      <c r="H5306" s="6" t="n">
        <f aca="false">(Sens!G5292+Sens!H5292)/2*Sens!H5305/1000</f>
        <v>149.785610014234</v>
      </c>
      <c r="I5306" s="6" t="n">
        <f aca="false">(Sens!H5292+Sens!I5292)/2*Sens!I5305/1000</f>
        <v>192.439389583079</v>
      </c>
      <c r="J5306" s="6" t="n">
        <f aca="false">(Sens!I5292+Sens!J5292)/2*Sens!J5305/1000</f>
        <v>235.195906491722</v>
      </c>
      <c r="K5306" s="6" t="n">
        <f aca="false">(Sens!J5292+Sens!K5292)/2*Sens!K5305/1000</f>
        <v>278.012858836343</v>
      </c>
      <c r="L5306" s="11" t="s">
        <v>739</v>
      </c>
    </row>
    <row r="5307" customFormat="false" ht="17.15" hidden="false" customHeight="false" outlineLevel="0" collapsed="false">
      <c r="A5307" s="1" t="s">
        <v>740</v>
      </c>
      <c r="B5307" s="0" t="s">
        <v>291</v>
      </c>
      <c r="C5307" s="18" t="n">
        <f aca="false">(Sens!C5299*tk_opex_h100+Sens!C5300*tk_opex_gb200+Sens!C5301*tk_opex_gb300+Sens!C5302*tk_opex_vr200)/Sens!C5292</f>
        <v>1.88636041306092</v>
      </c>
      <c r="D5307" s="18" t="n">
        <f aca="false">(Sens!D5299*tk_opex_h100+Sens!D5300*tk_opex_gb200+Sens!D5301*tk_opex_gb300+Sens!D5302*tk_opex_vr200)/Sens!D5292</f>
        <v>1.88636041306092</v>
      </c>
      <c r="E5307" s="18" t="n">
        <f aca="false">(Sens!E5299*tk_opex_h100+Sens!E5300*tk_opex_gb200+Sens!E5301*tk_opex_gb300+Sens!E5302*tk_opex_vr200)/Sens!E5292</f>
        <v>1.88636041306092</v>
      </c>
      <c r="F5307" s="18" t="n">
        <f aca="false">(Sens!F5299*tk_opex_h100+Sens!F5300*tk_opex_gb200+Sens!F5301*tk_opex_gb300+Sens!F5302*tk_opex_vr200)/Sens!F5292</f>
        <v>1.9430236476499</v>
      </c>
      <c r="G5307" s="18" t="n">
        <f aca="false">(Sens!G5299*tk_opex_h100+Sens!G5300*tk_opex_gb200+Sens!G5301*tk_opex_gb300+Sens!G5302*tk_opex_vr200)/Sens!G5292</f>
        <v>1.9786941852423</v>
      </c>
      <c r="H5307" s="18" t="n">
        <f aca="false">(Sens!H5299*tk_opex_h100+Sens!H5300*tk_opex_gb200+Sens!H5301*tk_opex_gb300+Sens!H5302*tk_opex_vr200)/Sens!H5292</f>
        <v>2.00289275976156</v>
      </c>
      <c r="I5307" s="18" t="n">
        <f aca="false">(Sens!I5299*tk_opex_h100+Sens!I5300*tk_opex_gb200+Sens!I5301*tk_opex_gb300+Sens!I5302*tk_opex_vr200)/Sens!I5292</f>
        <v>2.01793562605478</v>
      </c>
      <c r="J5307" s="18" t="n">
        <f aca="false">(Sens!J5299*tk_opex_h100+Sens!J5300*tk_opex_gb200+Sens!J5301*tk_opex_gb300+Sens!J5302*tk_opex_vr200)/Sens!J5292</f>
        <v>2.02819234961902</v>
      </c>
      <c r="K5307" s="18" t="n">
        <f aca="false">(Sens!K5299*tk_opex_h100+Sens!K5300*tk_opex_gb200+Sens!K5301*tk_opex_gb300+Sens!K5302*tk_opex_vr200)/Sens!K5292</f>
        <v>2.0356336155994</v>
      </c>
    </row>
    <row r="5308" customFormat="false" ht="17.15" hidden="false" customHeight="false" outlineLevel="0" collapsed="false">
      <c r="A5308" s="0" t="s">
        <v>741</v>
      </c>
      <c r="B5308" s="0" t="s">
        <v>95</v>
      </c>
      <c r="D5308" s="6" t="n">
        <f aca="false">(Sens!C5295+Sens!D5295)/2*Sens!D5307/1000</f>
        <v>2.70378325872065</v>
      </c>
      <c r="E5308" s="6" t="n">
        <f aca="false">(Sens!D5295+Sens!E5295)/2*Sens!E5307/1000</f>
        <v>6.17783035277451</v>
      </c>
      <c r="F5308" s="6" t="n">
        <f aca="false">(Sens!E5295+Sens!F5295)/2*Sens!F5307/1000</f>
        <v>12.5020618235287</v>
      </c>
      <c r="G5308" s="6" t="n">
        <f aca="false">(Sens!F5295+Sens!G5295)/2*Sens!G5307/1000</f>
        <v>20.7261620256847</v>
      </c>
      <c r="H5308" s="6" t="n">
        <f aca="false">(Sens!G5295+Sens!H5295)/2*Sens!H5307/1000</f>
        <v>29.4158183316982</v>
      </c>
      <c r="I5308" s="6" t="n">
        <f aca="false">(Sens!H5295+Sens!I5295)/2*Sens!I5307/1000</f>
        <v>38.1362927516005</v>
      </c>
      <c r="J5308" s="6" t="n">
        <f aca="false">(Sens!I5295+Sens!J5295)/2*Sens!J5307/1000</f>
        <v>46.8728773279286</v>
      </c>
      <c r="K5308" s="6" t="n">
        <f aca="false">(Sens!J5295+Sens!K5295)/2*Sens!K5307/1000</f>
        <v>55.618938734484</v>
      </c>
    </row>
    <row r="5309" customFormat="false" ht="17.15" hidden="false" customHeight="false" outlineLevel="0" collapsed="false">
      <c r="A5309" s="0" t="s">
        <v>742</v>
      </c>
      <c r="B5309" s="0" t="s">
        <v>95</v>
      </c>
      <c r="D5309" s="6" t="n">
        <f aca="false">(Sens!C5293+Sens!D5293)/2*rent_mw/1000</f>
        <v>2.44475</v>
      </c>
      <c r="E5309" s="6" t="n">
        <f aca="false">(Sens!D5293+Sens!E5293)/2*rent_mw/1000</f>
        <v>4.22275</v>
      </c>
      <c r="F5309" s="6" t="n">
        <f aca="false">(Sens!E5293+Sens!F5293)/2*rent_mw/1000</f>
        <v>5.80517</v>
      </c>
      <c r="G5309" s="6" t="n">
        <f aca="false">(Sens!F5293+Sens!G5293)/2*rent_mw/1000</f>
        <v>6.72084</v>
      </c>
      <c r="H5309" s="6" t="n">
        <f aca="false">(Sens!G5293+Sens!H5293)/2*rent_mw/1000</f>
        <v>6.72084</v>
      </c>
      <c r="I5309" s="6" t="n">
        <f aca="false">(Sens!H5293+Sens!I5293)/2*rent_mw/1000</f>
        <v>6.72084</v>
      </c>
      <c r="J5309" s="6" t="n">
        <f aca="false">(Sens!I5293+Sens!J5293)/2*rent_mw/1000</f>
        <v>6.72084</v>
      </c>
      <c r="K5309" s="6" t="n">
        <f aca="false">(Sens!J5293+Sens!K5293)/2*rent_mw/1000</f>
        <v>6.72084</v>
      </c>
    </row>
    <row r="5310" customFormat="false" ht="17.15" hidden="false" customHeight="false" outlineLevel="0" collapsed="false">
      <c r="A5310" s="0" t="s">
        <v>743</v>
      </c>
      <c r="B5310" s="0" t="s">
        <v>95</v>
      </c>
      <c r="D5310" s="6" t="n">
        <f aca="false">(Sens!C5295+Sens!D5295)/2*(1-self_build)*fac_rent/1000</f>
        <v>0.853242375631075</v>
      </c>
      <c r="E5310" s="6" t="n">
        <f aca="false">(Sens!D5295+Sens!E5295)/2*(1-self_build)*fac_rent/1000</f>
        <v>1.94955961408728</v>
      </c>
      <c r="F5310" s="6" t="n">
        <f aca="false">(Sens!E5295+Sens!F5295)/2*(1-self_build)*fac_rent/1000</f>
        <v>3.83026455274573</v>
      </c>
      <c r="G5310" s="6" t="n">
        <f aca="false">(Sens!F5295+Sens!G5295)/2*(1-self_build)*fac_rent/1000</f>
        <v>6.23541590972812</v>
      </c>
      <c r="H5310" s="6" t="n">
        <f aca="false">(Sens!G5295+Sens!H5295)/2*(1-self_build)*fac_rent/1000</f>
        <v>8.74275792332679</v>
      </c>
      <c r="I5310" s="6" t="n">
        <f aca="false">(Sens!H5295+Sens!I5295)/2*(1-self_build)*fac_rent/1000</f>
        <v>11.2500999369255</v>
      </c>
      <c r="J5310" s="6" t="n">
        <f aca="false">(Sens!I5295+Sens!J5295)/2*(1-self_build)*fac_rent/1000</f>
        <v>13.7574419505241</v>
      </c>
      <c r="K5310" s="6" t="n">
        <f aca="false">(Sens!J5295+Sens!K5295)/2*(1-self_build)*fac_rent/1000</f>
        <v>16.2647839641228</v>
      </c>
      <c r="L5310" s="11" t="s">
        <v>744</v>
      </c>
    </row>
    <row r="5311" customFormat="false" ht="17.15" hidden="false" customHeight="false" outlineLevel="0" collapsed="false">
      <c r="A5311" s="1" t="s">
        <v>745</v>
      </c>
      <c r="B5311" s="0" t="s">
        <v>126</v>
      </c>
      <c r="D5311" s="7" t="n">
        <f aca="false">(Sens!C5294+Sens!D5294)/(Sens!C5295+Sens!D5295)</f>
        <v>0.6</v>
      </c>
      <c r="E5311" s="7" t="n">
        <f aca="false">(Sens!D5294+Sens!E5294)/(Sens!D5295+Sens!E5295)</f>
        <v>0.6</v>
      </c>
      <c r="F5311" s="7" t="n">
        <f aca="false">(Sens!E5294+Sens!F5294)/(Sens!E5295+Sens!F5295)</f>
        <v>0.6</v>
      </c>
      <c r="G5311" s="7" t="n">
        <f aca="false">(Sens!F5294+Sens!G5294)/(Sens!F5295+Sens!G5295)</f>
        <v>0.6</v>
      </c>
      <c r="H5311" s="7" t="n">
        <f aca="false">(Sens!G5294+Sens!H5294)/(Sens!G5295+Sens!H5295)</f>
        <v>0.6</v>
      </c>
      <c r="I5311" s="7" t="n">
        <f aca="false">(Sens!H5294+Sens!I5294)/(Sens!H5295+Sens!I5295)</f>
        <v>0.6</v>
      </c>
      <c r="J5311" s="7" t="n">
        <f aca="false">(Sens!I5294+Sens!J5294)/(Sens!I5295+Sens!J5295)</f>
        <v>0.6</v>
      </c>
      <c r="K5311" s="7" t="n">
        <f aca="false">(Sens!J5294+Sens!K5294)/(Sens!J5295+Sens!K5295)</f>
        <v>0.6</v>
      </c>
    </row>
    <row r="5312" customFormat="false" ht="17.15" hidden="false" customHeight="false" outlineLevel="0" collapsed="false">
      <c r="A5312" s="0" t="s">
        <v>746</v>
      </c>
      <c r="B5312" s="0" t="s">
        <v>95</v>
      </c>
      <c r="D5312" s="6" t="n">
        <f aca="false">Sens!D5306-Sens!D5311*(Sens!D5308+Sens!D5310)-Sens!D5309</f>
        <v>8.35701406163072</v>
      </c>
      <c r="E5312" s="6" t="n">
        <f aca="false">Sens!E5306-Sens!E5311*(Sens!E5308+Sens!E5310)-Sens!E5309</f>
        <v>18.7103224860238</v>
      </c>
      <c r="F5312" s="6" t="n">
        <f aca="false">Sens!F5306-Sens!F5311*(Sens!F5308+Sens!F5310)-Sens!F5309</f>
        <v>43.1278534047371</v>
      </c>
      <c r="G5312" s="6" t="n">
        <f aca="false">Sens!G5306-Sens!G5311*(Sens!G5308+Sens!G5310)-Sens!G5309</f>
        <v>78.4713023799053</v>
      </c>
      <c r="H5312" s="6" t="n">
        <f aca="false">Sens!H5306-Sens!H5311*(Sens!H5308+Sens!H5310)-Sens!H5309</f>
        <v>120.169624261219</v>
      </c>
      <c r="I5312" s="6" t="n">
        <f aca="false">Sens!I5306-Sens!I5311*(Sens!I5308+Sens!I5310)-Sens!I5309</f>
        <v>156.086713969963</v>
      </c>
      <c r="J5312" s="6" t="n">
        <f aca="false">Sens!J5306-Sens!J5311*(Sens!J5308+Sens!J5310)-Sens!J5309</f>
        <v>192.09687492465</v>
      </c>
      <c r="K5312" s="6" t="n">
        <f aca="false">Sens!K5306-Sens!K5311*(Sens!K5308+Sens!K5310)-Sens!K5309</f>
        <v>228.161785217179</v>
      </c>
    </row>
    <row r="5313" customFormat="false" ht="17.15" hidden="false" customHeight="false" outlineLevel="0" collapsed="false">
      <c r="A5313" s="1" t="s">
        <v>747</v>
      </c>
      <c r="B5313" s="0" t="s">
        <v>95</v>
      </c>
      <c r="D5313" s="6" t="n">
        <f aca="false">(1-Sens!D5311)*(Sens!D5308+Sens!D5310)</f>
        <v>1.42281025374069</v>
      </c>
      <c r="E5313" s="6" t="n">
        <f aca="false">(1-Sens!E5311)*(Sens!E5308+Sens!E5310)</f>
        <v>3.25095598674472</v>
      </c>
      <c r="F5313" s="6" t="n">
        <f aca="false">(1-Sens!F5311)*(Sens!F5308+Sens!F5310)</f>
        <v>6.53293055050977</v>
      </c>
      <c r="G5313" s="6" t="n">
        <f aca="false">(1-Sens!G5311)*(Sens!G5308+Sens!G5310)</f>
        <v>10.7846311741651</v>
      </c>
      <c r="H5313" s="6" t="n">
        <f aca="false">(1-Sens!H5311)*(Sens!H5308+Sens!H5310)</f>
        <v>15.26343050201</v>
      </c>
      <c r="I5313" s="6" t="n">
        <f aca="false">(1-Sens!I5311)*(Sens!I5308+Sens!I5310)</f>
        <v>19.7545570754104</v>
      </c>
      <c r="J5313" s="6" t="n">
        <f aca="false">(1-Sens!J5311)*(Sens!J5308+Sens!J5310)</f>
        <v>24.2521277113811</v>
      </c>
      <c r="K5313" s="6" t="n">
        <f aca="false">(1-Sens!K5311)*(Sens!K5308+Sens!K5310)</f>
        <v>28.7534890794427</v>
      </c>
    </row>
    <row r="5314" customFormat="false" ht="17.15" hidden="false" customHeight="false" outlineLevel="0" collapsed="false">
      <c r="A5314" s="1" t="s">
        <v>748</v>
      </c>
      <c r="B5314" s="0" t="s">
        <v>302</v>
      </c>
      <c r="C5314" s="8" t="n">
        <f aca="false">cxit_open</f>
        <v>27.5918995</v>
      </c>
      <c r="D5314" s="8" t="n">
        <f aca="false">cxit_open</f>
        <v>27.5918995</v>
      </c>
      <c r="E5314" s="8" t="n">
        <f aca="false">cxit_open</f>
        <v>27.5918995</v>
      </c>
      <c r="F5314" s="8" t="n">
        <f aca="false">(a_g3_27*tk_cxit_gb300+(1-a_g3_27)*tk_cxit_vr200)</f>
        <v>33.8419624</v>
      </c>
      <c r="G5314" s="8" t="n">
        <f aca="false">(a_g3_28*tk_cxit_gb300+(1-a_g3_28)*tk_cxit_vr200)</f>
        <v>35.9816136</v>
      </c>
      <c r="H5314" s="8" t="n">
        <f aca="false">(a_g3_29*tk_cxit_gb300+(1-a_g3_29)*tk_cxit_vr200)</f>
        <v>37.0514392</v>
      </c>
      <c r="I5314" s="8" t="n">
        <f aca="false">(a_g3_29*tk_cxit_gb300+(1-a_g3_29)*tk_cxit_vr200)</f>
        <v>37.0514392</v>
      </c>
      <c r="J5314" s="8" t="n">
        <f aca="false">(a_g3_29*tk_cxit_gb300+(1-a_g3_29)*tk_cxit_vr200)</f>
        <v>37.0514392</v>
      </c>
      <c r="K5314" s="8" t="n">
        <f aca="false">(a_g3_29*tk_cxit_gb300+(1-a_g3_29)*tk_cxit_vr200)</f>
        <v>37.0514392</v>
      </c>
      <c r="L5314" s="11" t="s">
        <v>749</v>
      </c>
    </row>
    <row r="5315" customFormat="false" ht="17.15" hidden="false" customHeight="false" outlineLevel="0" collapsed="false">
      <c r="A5315" s="0" t="s">
        <v>750</v>
      </c>
      <c r="B5315" s="0" t="s">
        <v>340</v>
      </c>
      <c r="F5315" s="27" t="n">
        <f aca="false">Sens!C5297*IF(3=life_it,1,0)+Sens!D5297*IF(2=life_it,1,0)+Sens!E5297*IF(1=life_it,1,0)</f>
        <v>0</v>
      </c>
      <c r="G5315" s="27" t="n">
        <f aca="false">Sens!C5297*IF(4=life_it,1,0)+Sens!D5297*IF(3=life_it,1,0)+Sens!E5297*IF(2=life_it,1,0)+Sens!F5297*IF(1=life_it,1,0)</f>
        <v>0</v>
      </c>
      <c r="H5315" s="27" t="n">
        <f aca="false">Sens!C5297*IF(5=life_it,1,0)+Sens!D5297*IF(4=life_it,1,0)+Sens!E5297*IF(3=life_it,1,0)+Sens!F5297*IF(2=life_it,1,0)+Sens!G5297*IF(1=life_it,1,0)</f>
        <v>0</v>
      </c>
      <c r="I5315" s="27" t="n">
        <f aca="false">Sens!C5297*IF(6=life_it,1,0)+Sens!D5297*IF(5=life_it,1,0)+Sens!E5297*IF(4=life_it,1,0)+Sens!F5297*IF(3=life_it,1,0)+Sens!G5297*IF(2=life_it,1,0)+Sens!H5297*IF(1=life_it,1,0)</f>
        <v>816.666666666667</v>
      </c>
      <c r="J5315" s="27" t="n">
        <f aca="false">Sens!C5297*IF(7=life_it,1,0)+Sens!D5297*IF(6=life_it,1,0)+Sens!E5297*IF(5=life_it,1,0)+Sens!F5297*IF(4=life_it,1,0)+Sens!G5297*IF(3=life_it,1,0)+Sens!H5297*IF(2=life_it,1,0)+Sens!I5297*IF(1=life_it,1,0)</f>
        <v>1233.33333333333</v>
      </c>
      <c r="K5315" s="27" t="n">
        <f aca="false">Sens!C5297*IF(8=life_it,1,0)+Sens!D5297*IF(7=life_it,1,0)+Sens!E5297*IF(6=life_it,1,0)+Sens!F5297*IF(5=life_it,1,0)+Sens!G5297*IF(4=life_it,1,0)+Sens!H5297*IF(3=life_it,1,0)+Sens!I5297*IF(2=life_it,1,0)+Sens!J5297*IF(1=life_it,1,0)</f>
        <v>2450</v>
      </c>
      <c r="L5315" s="1" t="s">
        <v>751</v>
      </c>
    </row>
    <row r="5316" customFormat="false" ht="17.15" hidden="false" customHeight="false" outlineLevel="0" collapsed="false">
      <c r="A5316" s="0" t="s">
        <v>752</v>
      </c>
      <c r="B5316" s="0" t="s">
        <v>95</v>
      </c>
      <c r="C5316" s="6" t="n">
        <f aca="false">Sens!C5297*Sens!C5314/1000</f>
        <v>22.5333845916667</v>
      </c>
      <c r="D5316" s="6" t="n">
        <f aca="false">Sens!D5297*Sens!D5314/1000</f>
        <v>34.0300093833333</v>
      </c>
      <c r="E5316" s="6" t="n">
        <f aca="false">Sens!E5297*Sens!E5314/1000</f>
        <v>67.600153775</v>
      </c>
      <c r="F5316" s="6" t="n">
        <f aca="false">(Sens!F5297+Sens!F5315)*Sens!F5314/1000</f>
        <v>130.923271871467</v>
      </c>
      <c r="G5316" s="6" t="n">
        <f aca="false">(Sens!G5297+Sens!G5315)*Sens!G5314/1000</f>
        <v>151.5545564832</v>
      </c>
      <c r="H5316" s="6" t="n">
        <f aca="false">(Sens!H5297+Sens!H5315)*Sens!H5314/1000</f>
        <v>156.0606619104</v>
      </c>
      <c r="I5316" s="6" t="n">
        <f aca="false">(Sens!I5297+Sens!I5315)*Sens!I5314/1000</f>
        <v>186.319337257067</v>
      </c>
      <c r="J5316" s="6" t="n">
        <f aca="false">(Sens!J5297+Sens!J5315)*Sens!J5314/1000</f>
        <v>201.757436923733</v>
      </c>
      <c r="K5316" s="6" t="n">
        <f aca="false">(Sens!K5297+Sens!K5315)*Sens!K5314/1000</f>
        <v>246.8366879504</v>
      </c>
    </row>
    <row r="5317" customFormat="false" ht="17.15" hidden="false" customHeight="false" outlineLevel="0" collapsed="false">
      <c r="A5317" s="0" t="s">
        <v>753</v>
      </c>
      <c r="B5317" s="0" t="s">
        <v>95</v>
      </c>
      <c r="C5317" s="6" t="n">
        <f aca="false">Sens!C5297*self_build*tk_cxfac/1000</f>
        <v>6.2083</v>
      </c>
      <c r="D5317" s="6" t="n">
        <f aca="false">Sens!D5297*self_build*tk_cxfac/1000</f>
        <v>9.3758</v>
      </c>
      <c r="E5317" s="6" t="n">
        <f aca="false">Sens!E5297*self_build*tk_cxfac/1000</f>
        <v>18.6249</v>
      </c>
      <c r="F5317" s="6" t="n">
        <f aca="false">Sens!F5297*self_build*tk_cxfac/1000</f>
        <v>29.409604</v>
      </c>
      <c r="G5317" s="6" t="n">
        <f aca="false">Sens!G5297*self_build*tk_cxfac/1000</f>
        <v>32.019624</v>
      </c>
      <c r="H5317" s="6" t="n">
        <f aca="false">Sens!H5297*self_build*tk_cxfac/1000</f>
        <v>32.019624</v>
      </c>
      <c r="I5317" s="6" t="n">
        <f aca="false">Sens!I5297*self_build*tk_cxfac/1000</f>
        <v>32.019624</v>
      </c>
      <c r="J5317" s="6" t="n">
        <f aca="false">Sens!J5297*self_build*tk_cxfac/1000</f>
        <v>32.019624</v>
      </c>
      <c r="K5317" s="6" t="n">
        <f aca="false">Sens!K5297*self_build*tk_cxfac/1000</f>
        <v>32.019624</v>
      </c>
    </row>
    <row r="5318" customFormat="false" ht="17.15" hidden="false" customHeight="false" outlineLevel="0" collapsed="false">
      <c r="A5318" s="0" t="s">
        <v>754</v>
      </c>
      <c r="B5318" s="0" t="s">
        <v>95</v>
      </c>
      <c r="F5318" s="6" t="n">
        <f aca="false">MAX(0,capex_floor27-Sens!F5316-Sens!F5317-Sens!F5405)</f>
        <v>8.51577689897088</v>
      </c>
      <c r="G5318" s="6" t="n">
        <f aca="false">0</f>
        <v>0</v>
      </c>
      <c r="H5318" s="6" t="n">
        <f aca="false">0</f>
        <v>0</v>
      </c>
      <c r="I5318" s="6" t="n">
        <f aca="false">0</f>
        <v>0</v>
      </c>
      <c r="J5318" s="6" t="n">
        <f aca="false">0</f>
        <v>0</v>
      </c>
      <c r="K5318" s="6" t="n">
        <f aca="false">0</f>
        <v>0</v>
      </c>
      <c r="L5318" s="1" t="s">
        <v>755</v>
      </c>
    </row>
    <row r="5319" customFormat="false" ht="17.15" hidden="false" customHeight="false" outlineLevel="0" collapsed="false">
      <c r="A5319" s="0" t="s">
        <v>756</v>
      </c>
      <c r="B5319" s="0" t="s">
        <v>95</v>
      </c>
      <c r="C5319" s="6" t="n">
        <f aca="false">Sens!C5316</f>
        <v>22.5333845916667</v>
      </c>
      <c r="D5319" s="6" t="n">
        <f aca="false">Sens!D5316</f>
        <v>34.0300093833333</v>
      </c>
      <c r="E5319" s="6" t="n">
        <f aca="false">Sens!E5316</f>
        <v>67.600153775</v>
      </c>
      <c r="F5319" s="6" t="n">
        <f aca="false">Sens!F5316+Sens!F5318</f>
        <v>139.439048770438</v>
      </c>
      <c r="G5319" s="6" t="n">
        <f aca="false">Sens!G5316+Sens!G5318</f>
        <v>151.5545564832</v>
      </c>
      <c r="H5319" s="6" t="n">
        <f aca="false">Sens!H5316+Sens!H5318</f>
        <v>156.0606619104</v>
      </c>
      <c r="I5319" s="6" t="n">
        <f aca="false">Sens!I5316+Sens!I5318</f>
        <v>186.319337257067</v>
      </c>
      <c r="J5319" s="6" t="n">
        <f aca="false">Sens!J5316+Sens!J5318</f>
        <v>201.757436923733</v>
      </c>
      <c r="K5319" s="6" t="n">
        <f aca="false">Sens!K5316+Sens!K5318</f>
        <v>246.8366879504</v>
      </c>
    </row>
    <row r="5320" customFormat="false" ht="17.15" hidden="false" customHeight="false" outlineLevel="0" collapsed="false">
      <c r="A5320" s="0" t="s">
        <v>757</v>
      </c>
      <c r="B5320" s="0" t="s">
        <v>95</v>
      </c>
      <c r="C5320" s="6" t="n">
        <f aca="false">Sens!C5319+Sens!C5317</f>
        <v>28.7416845916667</v>
      </c>
      <c r="D5320" s="6" t="n">
        <f aca="false">Sens!D5319+Sens!D5317</f>
        <v>43.4058093833333</v>
      </c>
      <c r="E5320" s="6" t="n">
        <f aca="false">Sens!E5319+Sens!E5317</f>
        <v>86.225053775</v>
      </c>
      <c r="F5320" s="6" t="n">
        <f aca="false">Sens!F5319+Sens!F5317</f>
        <v>168.848652770438</v>
      </c>
      <c r="G5320" s="6" t="n">
        <f aca="false">Sens!G5319+Sens!G5317</f>
        <v>183.5741804832</v>
      </c>
      <c r="H5320" s="6" t="n">
        <f aca="false">Sens!H5319+Sens!H5317</f>
        <v>188.0802859104</v>
      </c>
      <c r="I5320" s="6" t="n">
        <f aca="false">Sens!I5319+Sens!I5317</f>
        <v>218.338961257067</v>
      </c>
      <c r="J5320" s="6" t="n">
        <f aca="false">Sens!J5319+Sens!J5317</f>
        <v>233.777060923733</v>
      </c>
      <c r="K5320" s="6" t="n">
        <f aca="false">Sens!K5319+Sens!K5317</f>
        <v>278.8563119504</v>
      </c>
      <c r="L5320" s="11" t="s">
        <v>758</v>
      </c>
    </row>
    <row r="5321" customFormat="false" ht="17.15" hidden="false" customHeight="false" outlineLevel="0" collapsed="false">
      <c r="A5321" s="0" t="s">
        <v>759</v>
      </c>
      <c r="B5321" s="0" t="s">
        <v>95</v>
      </c>
      <c r="E5321" s="6" t="n">
        <f aca="false">(Sens!C5319*IF(2&lt;life_it,1,IF(2=life_it,0.5,0))+Sens!D5319*IF(1&lt;life_it,1,IF(1=life_it,0.5,0))+Sens!E5319*0.5)/life_it</f>
        <v>15.0605784770833</v>
      </c>
      <c r="F5321" s="6" t="n">
        <f aca="false">(Sens!C5319*IF(3&lt;life_it,1,IF(3=life_it,0.5,0))+Sens!D5319*IF(2&lt;life_it,1,IF(2=life_it,0.5,0))+Sens!E5319*IF(1&lt;life_it,1,IF(1=life_it,0.5,0))+Sens!F5319*0.5)/life_it</f>
        <v>32.3138453558698</v>
      </c>
      <c r="G5321" s="6" t="n">
        <f aca="false">(Sens!C5319*IF(4&lt;life_it,1,IF(4=life_it,0.5,0))+Sens!D5319*IF(3&lt;life_it,1,IF(3=life_it,0.5,0))+Sens!E5319*IF(2&lt;life_it,1,IF(2=life_it,0.5,0))+Sens!F5319*IF(1&lt;life_it,1,IF(1=life_it,0.5,0))+Sens!G5319*0.5)/life_it</f>
        <v>56.5633124603396</v>
      </c>
      <c r="H5321" s="6" t="n">
        <f aca="false">(Sens!C5319*IF(5&lt;life_it,1,IF(5=life_it,0.5,0))+Sens!D5319*IF(4&lt;life_it,1,IF(4=life_it,0.5,0))+Sens!E5319*IF(3&lt;life_it,1,IF(3=life_it,0.5,0))+Sens!F5319*IF(2&lt;life_it,1,IF(2=life_it,0.5,0))+Sens!G5319*IF(1&lt;life_it,1,IF(1=life_it,0.5,0))+Sens!H5319*0.5)/life_it</f>
        <v>82.1979139931396</v>
      </c>
      <c r="I5321" s="6" t="n">
        <f aca="false">(Sens!C5319*IF(6&lt;life_it,1,IF(6=life_it,0.5,0))+Sens!D5319*IF(5&lt;life_it,1,IF(5=life_it,0.5,0))+Sens!E5319*IF(4&lt;life_it,1,IF(4=life_it,0.5,0))+Sens!F5319*IF(3&lt;life_it,1,IF(3=life_it,0.5,0))+Sens!G5319*IF(2&lt;life_it,1,IF(2=life_it,0.5,0))+Sens!H5319*IF(1&lt;life_it,1,IF(1=life_it,0.5,0))+Sens!I5319*0.5)/life_it</f>
        <v>108.851798541123</v>
      </c>
      <c r="J5321" s="6" t="n">
        <f aca="false">(Sens!C5319*IF(7&lt;life_it,1,IF(7=life_it,0.5,0))+Sens!D5319*IF(6&lt;life_it,1,IF(6=life_it,0.5,0))+Sens!E5319*IF(5&lt;life_it,1,IF(5=life_it,0.5,0))+Sens!F5319*IF(4&lt;life_it,1,IF(4=life_it,0.5,0))+Sens!G5319*IF(3&lt;life_it,1,IF(3=life_it,0.5,0))+Sens!H5319*IF(2&lt;life_it,1,IF(2=life_it,0.5,0))+Sens!I5319*IF(1&lt;life_it,1,IF(1=life_it,0.5,0))+Sens!J5319*0.5)/life_it</f>
        <v>136.477913558273</v>
      </c>
      <c r="K5321" s="6" t="n">
        <f aca="false">(Sens!C5319*IF(8&lt;life_it,1,IF(8=life_it,0.5,0))+Sens!D5319*IF(7&lt;life_it,1,IF(7=life_it,0.5,0))+Sens!E5319*IF(6&lt;life_it,1,IF(6=life_it,0.5,0))+Sens!F5319*IF(5&lt;life_it,1,IF(5=life_it,0.5,0))+Sens!G5319*IF(4&lt;life_it,1,IF(4=life_it,0.5,0))+Sens!H5319*IF(3&lt;life_it,1,IF(3=life_it,0.5,0))+Sens!I5319*IF(2&lt;life_it,1,IF(2=life_it,0.5,0))+Sens!J5319*IF(1&lt;life_it,1,IF(1=life_it,0.5,0))+Sens!K5319*0.5)/life_it</f>
        <v>165.39157703459</v>
      </c>
    </row>
    <row r="5322" customFormat="false" ht="17.15" hidden="false" customHeight="false" outlineLevel="0" collapsed="false">
      <c r="A5322" s="0" t="s">
        <v>760</v>
      </c>
      <c r="B5322" s="0" t="s">
        <v>95</v>
      </c>
      <c r="E5322" s="6" t="n">
        <f aca="false">(Sens!C5317*IF(2&lt;life_fac,1,IF(2=life_fac,0.5,0))+Sens!D5317*IF(1&lt;life_fac,1,IF(1=life_fac,0.5,0))+Sens!E5317*0.5)/life_fac</f>
        <v>1.2448275</v>
      </c>
      <c r="F5322" s="6" t="n">
        <f aca="false">(Sens!C5317*IF(3&lt;life_fac,1,IF(3=life_fac,0.5,0))+Sens!D5317*IF(2&lt;life_fac,1,IF(2=life_fac,0.5,0))+Sens!E5317*IF(1&lt;life_fac,1,IF(1=life_fac,0.5,0))+Sens!F5317*0.5)/life_fac</f>
        <v>2.4456901</v>
      </c>
      <c r="G5322" s="6" t="n">
        <f aca="false">(Sens!C5317*IF(4&lt;life_fac,1,IF(4=life_fac,0.5,0))+Sens!D5317*IF(3&lt;life_fac,1,IF(3=life_fac,0.5,0))+Sens!E5317*IF(2&lt;life_fac,1,IF(2=life_fac,0.5,0))+Sens!F5317*IF(1&lt;life_fac,1,IF(1=life_fac,0.5,0))+Sens!G5317*0.5)/life_fac</f>
        <v>3.9814208</v>
      </c>
      <c r="H5322" s="6" t="n">
        <f aca="false">(Sens!C5317*IF(5&lt;life_fac,1,IF(5=life_fac,0.5,0))+Sens!D5317*IF(4&lt;life_fac,1,IF(4=life_fac,0.5,0))+Sens!E5317*IF(3&lt;life_fac,1,IF(3=life_fac,0.5,0))+Sens!F5317*IF(2&lt;life_fac,1,IF(2=life_fac,0.5,0))+Sens!G5317*IF(1&lt;life_fac,1,IF(1=life_fac,0.5,0))+Sens!H5317*0.5)/life_fac</f>
        <v>5.582402</v>
      </c>
      <c r="I5322" s="6" t="n">
        <f aca="false">(Sens!C5317*IF(6&lt;life_fac,1,IF(6=life_fac,0.5,0))+Sens!D5317*IF(5&lt;life_fac,1,IF(5=life_fac,0.5,0))+Sens!E5317*IF(4&lt;life_fac,1,IF(4=life_fac,0.5,0))+Sens!F5317*IF(3&lt;life_fac,1,IF(3=life_fac,0.5,0))+Sens!G5317*IF(2&lt;life_fac,1,IF(2=life_fac,0.5,0))+Sens!H5317*IF(1&lt;life_fac,1,IF(1=life_fac,0.5,0))+Sens!I5317*0.5)/life_fac</f>
        <v>7.1833832</v>
      </c>
      <c r="J5322" s="6" t="n">
        <f aca="false">(Sens!C5317*IF(7&lt;life_fac,1,IF(7=life_fac,0.5,0))+Sens!D5317*IF(6&lt;life_fac,1,IF(6=life_fac,0.5,0))+Sens!E5317*IF(5&lt;life_fac,1,IF(5=life_fac,0.5,0))+Sens!F5317*IF(4&lt;life_fac,1,IF(4=life_fac,0.5,0))+Sens!G5317*IF(3&lt;life_fac,1,IF(3=life_fac,0.5,0))+Sens!H5317*IF(2&lt;life_fac,1,IF(2=life_fac,0.5,0))+Sens!I5317*IF(1&lt;life_fac,1,IF(1=life_fac,0.5,0))+Sens!J5317*0.5)/life_fac</f>
        <v>8.7843644</v>
      </c>
      <c r="K5322" s="6" t="n">
        <f aca="false">(Sens!C5317*IF(8&lt;life_fac,1,IF(8=life_fac,0.5,0))+Sens!D5317*IF(7&lt;life_fac,1,IF(7=life_fac,0.5,0))+Sens!E5317*IF(6&lt;life_fac,1,IF(6=life_fac,0.5,0))+Sens!F5317*IF(5&lt;life_fac,1,IF(5=life_fac,0.5,0))+Sens!G5317*IF(4&lt;life_fac,1,IF(4=life_fac,0.5,0))+Sens!H5317*IF(3&lt;life_fac,1,IF(3=life_fac,0.5,0))+Sens!I5317*IF(2&lt;life_fac,1,IF(2=life_fac,0.5,0))+Sens!J5317*IF(1&lt;life_fac,1,IF(1=life_fac,0.5,0))+Sens!K5317*0.5)/life_fac</f>
        <v>10.3853456</v>
      </c>
    </row>
    <row r="5323" customFormat="false" ht="17.15" hidden="false" customHeight="false" outlineLevel="0" collapsed="false">
      <c r="A5323" s="0" t="s">
        <v>761</v>
      </c>
      <c r="B5323" s="0" t="s">
        <v>95</v>
      </c>
      <c r="E5323" s="6" t="n">
        <f aca="false">Sens!E5321+Sens!E5322</f>
        <v>16.3054059770833</v>
      </c>
      <c r="F5323" s="6" t="n">
        <f aca="false">Sens!F5321+Sens!F5322</f>
        <v>34.7595354558698</v>
      </c>
      <c r="G5323" s="6" t="n">
        <f aca="false">Sens!G5321+Sens!G5322</f>
        <v>60.5447332603396</v>
      </c>
      <c r="H5323" s="6" t="n">
        <f aca="false">Sens!H5321+Sens!H5322</f>
        <v>87.7803159931396</v>
      </c>
      <c r="I5323" s="6" t="n">
        <f aca="false">Sens!I5321+Sens!I5322</f>
        <v>116.035181741123</v>
      </c>
      <c r="J5323" s="6" t="n">
        <f aca="false">Sens!J5321+Sens!J5322</f>
        <v>145.262277958273</v>
      </c>
      <c r="K5323" s="6" t="n">
        <f aca="false">Sens!K5321+Sens!K5322</f>
        <v>175.77692263459</v>
      </c>
    </row>
    <row r="5324" customFormat="false" ht="17.15" hidden="false" customHeight="false" outlineLevel="0" collapsed="false">
      <c r="A5324" s="0" t="s">
        <v>762</v>
      </c>
      <c r="B5324" s="0" t="s">
        <v>95</v>
      </c>
      <c r="E5324" s="6" t="n">
        <f aca="false">Sens!E5312-Sens!E5311*Sens!E5323</f>
        <v>8.92707889977379</v>
      </c>
      <c r="F5324" s="6" t="n">
        <f aca="false">Sens!F5312-Sens!F5311*Sens!F5323</f>
        <v>22.2721321312152</v>
      </c>
      <c r="G5324" s="6" t="n">
        <f aca="false">Sens!G5312-Sens!G5311*Sens!G5323</f>
        <v>42.1444624237015</v>
      </c>
      <c r="H5324" s="6" t="n">
        <f aca="false">Sens!H5312-Sens!H5311*Sens!H5323</f>
        <v>67.5014346653351</v>
      </c>
      <c r="I5324" s="6" t="n">
        <f aca="false">Sens!I5312-Sens!I5311*Sens!I5323</f>
        <v>86.4656049252897</v>
      </c>
      <c r="J5324" s="6" t="n">
        <f aca="false">Sens!J5312-Sens!J5311*Sens!J5323</f>
        <v>104.939508149687</v>
      </c>
      <c r="K5324" s="6" t="n">
        <f aca="false">Sens!K5312-Sens!K5311*Sens!K5323</f>
        <v>122.695631636425</v>
      </c>
    </row>
    <row r="5325" customFormat="false" ht="17.15" hidden="false" customHeight="false" outlineLevel="0" collapsed="false">
      <c r="A5325" s="3" t="s">
        <v>1265</v>
      </c>
    </row>
    <row r="5326" customFormat="false" ht="15" hidden="false" customHeight="false" outlineLevel="0" collapsed="false">
      <c r="A5326" s="4" t="s">
        <v>43</v>
      </c>
      <c r="B5326" s="4" t="s">
        <v>63</v>
      </c>
      <c r="C5326" s="19" t="s">
        <v>710</v>
      </c>
      <c r="D5326" s="19" t="s">
        <v>711</v>
      </c>
      <c r="E5326" s="19" t="s">
        <v>712</v>
      </c>
      <c r="F5326" s="19" t="s">
        <v>713</v>
      </c>
      <c r="G5326" s="19" t="s">
        <v>714</v>
      </c>
      <c r="H5326" s="19" t="s">
        <v>715</v>
      </c>
      <c r="I5326" s="19" t="s">
        <v>716</v>
      </c>
      <c r="J5326" s="19" t="s">
        <v>717</v>
      </c>
      <c r="K5326" s="19" t="s">
        <v>718</v>
      </c>
      <c r="L5326" s="4" t="s">
        <v>47</v>
      </c>
    </row>
    <row r="5327" customFormat="false" ht="17.15" hidden="false" customHeight="false" outlineLevel="0" collapsed="false">
      <c r="A5327" s="0" t="s">
        <v>780</v>
      </c>
      <c r="B5327" s="0" t="s">
        <v>95</v>
      </c>
      <c r="D5327" s="6" t="n">
        <f aca="false">Sens!D5306</f>
        <v>12.9359794422418</v>
      </c>
      <c r="E5327" s="6" t="n">
        <f aca="false">Sens!E5306</f>
        <v>27.8095064661409</v>
      </c>
      <c r="F5327" s="6" t="n">
        <f aca="false">Sens!F5306</f>
        <v>58.7324192305018</v>
      </c>
      <c r="G5327" s="6" t="n">
        <f aca="false">Sens!G5306</f>
        <v>101.369089141153</v>
      </c>
      <c r="H5327" s="6" t="n">
        <f aca="false">Sens!H5306</f>
        <v>149.785610014234</v>
      </c>
      <c r="I5327" s="6" t="n">
        <f aca="false">Sens!I5306</f>
        <v>192.439389583079</v>
      </c>
      <c r="J5327" s="6" t="n">
        <f aca="false">Sens!J5306</f>
        <v>235.195906491722</v>
      </c>
      <c r="K5327" s="6" t="n">
        <f aca="false">Sens!K5306</f>
        <v>278.012858836343</v>
      </c>
    </row>
    <row r="5328" customFormat="false" ht="17.15" hidden="false" customHeight="false" outlineLevel="0" collapsed="false">
      <c r="A5328" s="0" t="s">
        <v>781</v>
      </c>
      <c r="B5328" s="0" t="s">
        <v>95</v>
      </c>
      <c r="D5328" s="6" t="n">
        <f aca="false">Q!L6-Sens!D5327</f>
        <v>59.6740205577583</v>
      </c>
      <c r="E5328" s="6" t="n">
        <f aca="false">Q!M6-Sens!E5327</f>
        <v>74.1284935338591</v>
      </c>
      <c r="F5328" s="6" t="n">
        <f aca="false">Sens!E5328*(1+Sens!F5329)</f>
        <v>90.0799497373663</v>
      </c>
      <c r="G5328" s="6" t="n">
        <f aca="false">Sens!F5328*(1+Sens!G5329)</f>
        <v>107.02842520331</v>
      </c>
      <c r="H5328" s="6" t="n">
        <f aca="false">Sens!G5328*(1+Sens!H5329)</f>
        <v>124.271982585636</v>
      </c>
      <c r="I5328" s="6" t="n">
        <f aca="false">Sens!H5328*(1+Sens!I5329)</f>
        <v>140.933702381855</v>
      </c>
      <c r="J5328" s="6" t="n">
        <f aca="false">Sens!I5328*(1+Sens!J5329)</f>
        <v>156.018867314332</v>
      </c>
      <c r="K5328" s="6" t="n">
        <f aca="false">Sens!J5328*(1+Sens!K5329)</f>
        <v>168.500376699478</v>
      </c>
    </row>
    <row r="5329" customFormat="false" ht="15" hidden="false" customHeight="false" outlineLevel="0" collapsed="false">
      <c r="A5329" s="1" t="s">
        <v>782</v>
      </c>
      <c r="B5329" s="0" t="s">
        <v>126</v>
      </c>
      <c r="E5329" s="7" t="n">
        <f aca="false">Sens!E5328/Sens!D5328-1</f>
        <v>0.242223883039864</v>
      </c>
      <c r="F5329" s="7" t="n">
        <f aca="false">Sens!$E$5329+(glt_azo-Sens!$E$5329)*MIN(1,1/n_conv)</f>
        <v>0.215186569199887</v>
      </c>
      <c r="G5329" s="7" t="n">
        <f aca="false">Sens!$E$5329+(glt_azo-Sens!$E$5329)*MIN(1,2/n_conv)</f>
        <v>0.18814925535991</v>
      </c>
      <c r="H5329" s="7" t="n">
        <f aca="false">Sens!$E$5329+(glt_azo-Sens!$E$5329)*MIN(1,3/n_conv)</f>
        <v>0.161111941519932</v>
      </c>
      <c r="I5329" s="7" t="n">
        <f aca="false">Sens!$E$5329+(glt_azo-Sens!$E$5329)*MIN(1,4/n_conv)</f>
        <v>0.134074627679955</v>
      </c>
      <c r="J5329" s="7" t="n">
        <f aca="false">Sens!$E$5329+(glt_azo-Sens!$E$5329)*MIN(1,5/n_conv)</f>
        <v>0.107037313839977</v>
      </c>
      <c r="K5329" s="7" t="n">
        <f aca="false">Sens!$E$5329+(glt_azo-Sens!$E$5329)*MIN(1,6/n_conv)</f>
        <v>0.08</v>
      </c>
    </row>
    <row r="5330" customFormat="false" ht="15" hidden="false" customHeight="false" outlineLevel="0" collapsed="false">
      <c r="A5330" s="0" t="s">
        <v>783</v>
      </c>
      <c r="B5330" s="0" t="s">
        <v>95</v>
      </c>
      <c r="D5330" s="6" t="n">
        <f aca="false">Sens!D5327+Sens!D5328</f>
        <v>72.61</v>
      </c>
      <c r="E5330" s="6" t="n">
        <f aca="false">Sens!E5327+Sens!E5328</f>
        <v>101.938</v>
      </c>
      <c r="F5330" s="6" t="n">
        <f aca="false">Sens!F5327+Sens!F5328</f>
        <v>148.812368967868</v>
      </c>
      <c r="G5330" s="6" t="n">
        <f aca="false">Sens!G5327+Sens!G5328</f>
        <v>208.397514344463</v>
      </c>
      <c r="H5330" s="6" t="n">
        <f aca="false">Sens!H5327+Sens!H5328</f>
        <v>274.05759259987</v>
      </c>
      <c r="I5330" s="6" t="n">
        <f aca="false">Sens!I5327+Sens!I5328</f>
        <v>333.373091964934</v>
      </c>
      <c r="J5330" s="6" t="n">
        <f aca="false">Sens!J5327+Sens!J5328</f>
        <v>391.214773806054</v>
      </c>
      <c r="K5330" s="6" t="n">
        <f aca="false">Sens!K5327+Sens!K5328</f>
        <v>446.513235535821</v>
      </c>
    </row>
    <row r="5331" customFormat="false" ht="17.15" hidden="false" customHeight="false" outlineLevel="0" collapsed="false">
      <c r="A5331" s="0" t="s">
        <v>784</v>
      </c>
      <c r="B5331" s="1" t="s">
        <v>451</v>
      </c>
      <c r="C5331" s="27" t="n">
        <f aca="false">cop_s24</f>
        <v>1</v>
      </c>
      <c r="D5331" s="27" t="n">
        <f aca="false">cop_s25</f>
        <v>5</v>
      </c>
      <c r="E5331" s="27" t="n">
        <f aca="false">cop_s26</f>
        <v>30</v>
      </c>
      <c r="F5331" s="27" t="n">
        <f aca="false">Sens!E5331+IF(2027&lt;=2029,cop_add_A,cop_add_A*cop_tail)</f>
        <v>60</v>
      </c>
      <c r="G5331" s="27" t="n">
        <f aca="false">Sens!F5331+IF(2028&lt;=2029,cop_add_A,cop_add_A*cop_tail)</f>
        <v>90</v>
      </c>
      <c r="H5331" s="27" t="n">
        <f aca="false">Sens!G5331+IF(2029&lt;=2029,cop_add_A,cop_add_A*cop_tail)</f>
        <v>120</v>
      </c>
      <c r="I5331" s="27" t="n">
        <f aca="false">Sens!H5331+IF(2030&lt;=2029,cop_add_A,cop_add_A*cop_tail)</f>
        <v>135</v>
      </c>
      <c r="J5331" s="27" t="n">
        <f aca="false">Sens!I5331+IF(2031&lt;=2029,cop_add_A,cop_add_A*cop_tail)</f>
        <v>150</v>
      </c>
      <c r="K5331" s="27" t="n">
        <f aca="false">Sens!J5331+IF(2032&lt;=2029,cop_add_A,cop_add_A*cop_tail)</f>
        <v>165</v>
      </c>
    </row>
    <row r="5332" customFormat="false" ht="17.15" hidden="false" customHeight="false" outlineLevel="0" collapsed="false">
      <c r="A5332" s="0" t="s">
        <v>785</v>
      </c>
      <c r="B5332" s="0" t="s">
        <v>95</v>
      </c>
      <c r="D5332" s="6" t="n">
        <f aca="false">(Sens!C5331+Sens!D5331)/2*cop_px*12/1000</f>
        <v>0.9</v>
      </c>
      <c r="E5332" s="6" t="n">
        <f aca="false">(Sens!D5331+Sens!E5331)/2*cop_px*12/1000</f>
        <v>5.25</v>
      </c>
      <c r="F5332" s="6" t="n">
        <f aca="false">(Sens!E5331+Sens!F5331)/2*cop_px_lo*12/1000</f>
        <v>9.72</v>
      </c>
      <c r="G5332" s="6" t="n">
        <f aca="false">(Sens!F5331+Sens!G5331)/2*cop_px_lo*12/1000</f>
        <v>16.2</v>
      </c>
      <c r="H5332" s="6" t="n">
        <f aca="false">(Sens!G5331+Sens!H5331)/2*cop_px_lo*12/1000</f>
        <v>22.68</v>
      </c>
      <c r="I5332" s="6" t="n">
        <f aca="false">(Sens!H5331+Sens!I5331)/2*cop_px_lo*12/1000</f>
        <v>27.54</v>
      </c>
      <c r="J5332" s="6" t="n">
        <f aca="false">(Sens!I5331+Sens!J5331)/2*cop_px_lo*12/1000</f>
        <v>30.78</v>
      </c>
      <c r="K5332" s="6" t="n">
        <f aca="false">(Sens!J5331+Sens!K5331)/2*cop_px_lo*12/1000</f>
        <v>34.02</v>
      </c>
      <c r="L5332" s="1" t="s">
        <v>786</v>
      </c>
    </row>
    <row r="5333" customFormat="false" ht="17.15" hidden="false" customHeight="false" outlineLevel="0" collapsed="false">
      <c r="A5333" s="0" t="s">
        <v>787</v>
      </c>
      <c r="B5333" s="0" t="s">
        <v>95</v>
      </c>
      <c r="D5333" s="6" t="n">
        <f aca="false">Q!L7-Sens!D5332</f>
        <v>83.705</v>
      </c>
      <c r="E5333" s="6" t="n">
        <f aca="false">Q!M7-Sens!E5332</f>
        <v>95.049</v>
      </c>
      <c r="F5333" s="6" t="n">
        <f aca="false">Sens!E5333*(1+Sens!F5334)</f>
        <v>106.89238776686</v>
      </c>
      <c r="G5333" s="6" t="n">
        <f aca="false">Sens!F5333*(1+Sens!G5334)</f>
        <v>119.044168448684</v>
      </c>
      <c r="H5333" s="6" t="n">
        <f aca="false">Sens!G5333*(1+Sens!H5334)</f>
        <v>131.277359388781</v>
      </c>
      <c r="I5333" s="6" t="n">
        <f aca="false">Sens!H5333*(1+Sens!I5334)</f>
        <v>143.334028071957</v>
      </c>
      <c r="J5333" s="6" t="n">
        <f aca="false">Sens!I5333*(1+Sens!J5334)</f>
        <v>154.932702785465</v>
      </c>
      <c r="K5333" s="6" t="n">
        <f aca="false">Sens!J5333*(1+Sens!K5334)</f>
        <v>165.777991980448</v>
      </c>
    </row>
    <row r="5334" customFormat="false" ht="15" hidden="false" customHeight="false" outlineLevel="0" collapsed="false">
      <c r="A5334" s="1" t="s">
        <v>782</v>
      </c>
      <c r="B5334" s="0" t="s">
        <v>126</v>
      </c>
      <c r="E5334" s="7" t="n">
        <f aca="false">Sens!E5333/Sens!D5333-1</f>
        <v>0.135523564900544</v>
      </c>
      <c r="F5334" s="7" t="n">
        <f aca="false">Sens!$E$5334+(glt_m365b-Sens!$E$5334)*MIN(1,1/n_conv)</f>
        <v>0.124602970750453</v>
      </c>
      <c r="G5334" s="7" t="n">
        <f aca="false">Sens!$E$5334+(glt_m365b-Sens!$E$5334)*MIN(1,2/n_conv)</f>
        <v>0.113682376600363</v>
      </c>
      <c r="H5334" s="7" t="n">
        <f aca="false">Sens!$E$5334+(glt_m365b-Sens!$E$5334)*MIN(1,3/n_conv)</f>
        <v>0.102761782450272</v>
      </c>
      <c r="I5334" s="7" t="n">
        <f aca="false">Sens!$E$5334+(glt_m365b-Sens!$E$5334)*MIN(1,4/n_conv)</f>
        <v>0.0918411883001813</v>
      </c>
      <c r="J5334" s="7" t="n">
        <f aca="false">Sens!$E$5334+(glt_m365b-Sens!$E$5334)*MIN(1,5/n_conv)</f>
        <v>0.0809205941500906</v>
      </c>
      <c r="K5334" s="7" t="n">
        <f aca="false">Sens!$E$5334+(glt_m365b-Sens!$E$5334)*MIN(1,6/n_conv)</f>
        <v>0.07</v>
      </c>
    </row>
    <row r="5335" customFormat="false" ht="15" hidden="false" customHeight="false" outlineLevel="0" collapsed="false">
      <c r="A5335" s="0" t="s">
        <v>788</v>
      </c>
      <c r="B5335" s="0" t="s">
        <v>95</v>
      </c>
      <c r="D5335" s="6" t="n">
        <f aca="false">Sens!D5333+Sens!D5332</f>
        <v>84.605</v>
      </c>
      <c r="E5335" s="6" t="n">
        <f aca="false">Sens!E5333+Sens!E5332</f>
        <v>100.299</v>
      </c>
      <c r="F5335" s="6" t="n">
        <f aca="false">Sens!F5333+Sens!F5332</f>
        <v>116.61238776686</v>
      </c>
      <c r="G5335" s="6" t="n">
        <f aca="false">Sens!G5333+Sens!G5332</f>
        <v>135.244168448684</v>
      </c>
      <c r="H5335" s="6" t="n">
        <f aca="false">Sens!H5333+Sens!H5332</f>
        <v>153.957359388781</v>
      </c>
      <c r="I5335" s="6" t="n">
        <f aca="false">Sens!I5333+Sens!I5332</f>
        <v>170.874028071957</v>
      </c>
      <c r="J5335" s="6" t="n">
        <f aca="false">Sens!J5333+Sens!J5332</f>
        <v>185.712702785465</v>
      </c>
      <c r="K5335" s="6" t="n">
        <f aca="false">Sens!K5333+Sens!K5332</f>
        <v>199.797991980448</v>
      </c>
    </row>
    <row r="5336" customFormat="false" ht="15" hidden="false" customHeight="false" outlineLevel="0" collapsed="false">
      <c r="A5336" s="0" t="s">
        <v>789</v>
      </c>
      <c r="B5336" s="0" t="s">
        <v>95</v>
      </c>
      <c r="D5336" s="6" t="n">
        <f aca="false">Q!L8</f>
        <v>35.391</v>
      </c>
      <c r="E5336" s="6" t="n">
        <f aca="false">Q!M8</f>
        <v>37.285</v>
      </c>
      <c r="F5336" s="6" t="n">
        <f aca="false">Sens!E5336*(1+Sens!F5337)</f>
        <v>39.0720834331704</v>
      </c>
      <c r="G5336" s="6" t="n">
        <f aca="false">Sens!F5336*(1+Sens!G5337)</f>
        <v>40.726562953769</v>
      </c>
      <c r="H5336" s="6" t="n">
        <f aca="false">Sens!G5336*(1+Sens!H5337)</f>
        <v>42.2235987259198</v>
      </c>
      <c r="I5336" s="6" t="n">
        <f aca="false">Sens!H5336*(1+Sens!I5337)</f>
        <v>43.5397988077414</v>
      </c>
      <c r="J5336" s="6" t="n">
        <f aca="false">Sens!I5336*(1+Sens!J5337)</f>
        <v>44.653811225693</v>
      </c>
      <c r="K5336" s="6" t="n">
        <f aca="false">Sens!J5336*(1+Sens!K5337)</f>
        <v>45.5468874502068</v>
      </c>
    </row>
    <row r="5337" customFormat="false" ht="15" hidden="false" customHeight="false" outlineLevel="0" collapsed="false">
      <c r="A5337" s="1" t="s">
        <v>782</v>
      </c>
      <c r="B5337" s="0" t="s">
        <v>126</v>
      </c>
      <c r="E5337" s="7" t="n">
        <f aca="false">Sens!E5336/Sens!D5336-1</f>
        <v>0.0535164307309768</v>
      </c>
      <c r="F5337" s="7" t="n">
        <f aca="false">Sens!$E$5337+(glt_lic-Sens!$E$5337)*MIN(1,1/n_conv)</f>
        <v>0.0479303589424807</v>
      </c>
      <c r="G5337" s="7" t="n">
        <f aca="false">Sens!$E$5337+(glt_lic-Sens!$E$5337)*MIN(1,2/n_conv)</f>
        <v>0.0423442871539845</v>
      </c>
      <c r="H5337" s="7" t="n">
        <f aca="false">Sens!$E$5337+(glt_lic-Sens!$E$5337)*MIN(1,3/n_conv)</f>
        <v>0.0367582153654884</v>
      </c>
      <c r="I5337" s="7" t="n">
        <f aca="false">Sens!$E$5337+(glt_lic-Sens!$E$5337)*MIN(1,4/n_conv)</f>
        <v>0.0311721435769923</v>
      </c>
      <c r="J5337" s="7" t="n">
        <f aca="false">Sens!$E$5337+(glt_lic-Sens!$E$5337)*MIN(1,5/n_conv)</f>
        <v>0.0255860717884961</v>
      </c>
      <c r="K5337" s="7" t="n">
        <f aca="false">Sens!$E$5337+(glt_lic-Sens!$E$5337)*MIN(1,6/n_conv)</f>
        <v>0.02</v>
      </c>
    </row>
    <row r="5338" customFormat="false" ht="15" hidden="false" customHeight="false" outlineLevel="0" collapsed="false">
      <c r="A5338" s="0" t="s">
        <v>790</v>
      </c>
      <c r="B5338" s="0" t="s">
        <v>95</v>
      </c>
      <c r="D5338" s="6" t="n">
        <f aca="false">Q!L9</f>
        <v>18.417</v>
      </c>
      <c r="E5338" s="6" t="n">
        <f aca="false">Q!M9</f>
        <v>20.345</v>
      </c>
      <c r="F5338" s="6" t="n">
        <f aca="false">Sens!E5338*(1+Sens!F5339)</f>
        <v>22.3572203267814</v>
      </c>
      <c r="G5338" s="6" t="n">
        <f aca="false">Sens!F5338*(1+Sens!G5339)</f>
        <v>24.4392124437232</v>
      </c>
      <c r="H5338" s="6" t="n">
        <f aca="false">Sens!G5338*(1+Sens!H5339)</f>
        <v>26.5738052080665</v>
      </c>
      <c r="I5338" s="6" t="n">
        <f aca="false">Sens!H5338*(1+Sens!I5339)</f>
        <v>28.7412169166967</v>
      </c>
      <c r="J5338" s="6" t="n">
        <f aca="false">Sens!I5338*(1+Sens!J5339)</f>
        <v>30.9192545395413</v>
      </c>
      <c r="K5338" s="6" t="n">
        <f aca="false">Sens!J5338*(1+Sens!K5339)</f>
        <v>33.0836023573092</v>
      </c>
    </row>
    <row r="5339" customFormat="false" ht="15" hidden="false" customHeight="false" outlineLevel="0" collapsed="false">
      <c r="A5339" s="1" t="s">
        <v>782</v>
      </c>
      <c r="B5339" s="0" t="s">
        <v>126</v>
      </c>
      <c r="E5339" s="7" t="n">
        <f aca="false">Sens!E5338/Sens!D5338-1</f>
        <v>0.104685888038225</v>
      </c>
      <c r="F5339" s="7" t="n">
        <f aca="false">Sens!$E$5339+(glt_ind-Sens!$E$5339)*MIN(1,1/n_conv)</f>
        <v>0.0989049066985211</v>
      </c>
      <c r="G5339" s="7" t="n">
        <f aca="false">Sens!$E$5339+(glt_ind-Sens!$E$5339)*MIN(1,2/n_conv)</f>
        <v>0.0931239253588169</v>
      </c>
      <c r="H5339" s="7" t="n">
        <f aca="false">Sens!$E$5339+(glt_ind-Sens!$E$5339)*MIN(1,3/n_conv)</f>
        <v>0.0873429440191127</v>
      </c>
      <c r="I5339" s="7" t="n">
        <f aca="false">Sens!$E$5339+(glt_ind-Sens!$E$5339)*MIN(1,4/n_conv)</f>
        <v>0.0815619626794085</v>
      </c>
      <c r="J5339" s="7" t="n">
        <f aca="false">Sens!$E$5339+(glt_ind-Sens!$E$5339)*MIN(1,5/n_conv)</f>
        <v>0.0757809813397042</v>
      </c>
      <c r="K5339" s="7" t="n">
        <f aca="false">Sens!$E$5339+(glt_ind-Sens!$E$5339)*MIN(1,6/n_conv)</f>
        <v>0.07</v>
      </c>
    </row>
    <row r="5340" customFormat="false" ht="15" hidden="false" customHeight="false" outlineLevel="0" collapsed="false">
      <c r="A5340" s="0" t="s">
        <v>791</v>
      </c>
      <c r="B5340" s="0" t="s">
        <v>95</v>
      </c>
      <c r="D5340" s="6" t="n">
        <f aca="false">Q!L10</f>
        <v>7.76</v>
      </c>
      <c r="E5340" s="6" t="n">
        <f aca="false">Q!M10</f>
        <v>8.26</v>
      </c>
      <c r="F5340" s="6" t="n">
        <f aca="false">Sens!E5340*(1+Sens!F5341)</f>
        <v>8.79988041237113</v>
      </c>
      <c r="G5340" s="6" t="n">
        <f aca="false">Sens!F5340*(1+Sens!G5341)</f>
        <v>9.38321269125306</v>
      </c>
      <c r="H5340" s="6" t="n">
        <f aca="false">Sens!G5340*(1+Sens!H5341)</f>
        <v>10.0139193587476</v>
      </c>
      <c r="I5340" s="6" t="n">
        <f aca="false">Sens!H5340*(1+Sens!I5341)</f>
        <v>10.6963111830911</v>
      </c>
      <c r="J5340" s="6" t="n">
        <f aca="false">Sens!I5340*(1+Sens!J5341)</f>
        <v>11.4351285534696</v>
      </c>
      <c r="K5340" s="6" t="n">
        <f aca="false">Sens!J5340*(1+Sens!K5341)</f>
        <v>12.2355875522124</v>
      </c>
    </row>
    <row r="5341" customFormat="false" ht="15" hidden="false" customHeight="false" outlineLevel="0" collapsed="false">
      <c r="A5341" s="1" t="s">
        <v>782</v>
      </c>
      <c r="B5341" s="0" t="s">
        <v>126</v>
      </c>
      <c r="E5341" s="7" t="n">
        <f aca="false">Sens!E5340/Sens!D5340-1</f>
        <v>0.0644329896907216</v>
      </c>
      <c r="F5341" s="7" t="n">
        <f aca="false">Sens!$E$5341+(glt_fro-Sens!$E$5341)*MIN(1,1/n_conv)</f>
        <v>0.065360824742268</v>
      </c>
      <c r="G5341" s="7" t="n">
        <f aca="false">Sens!$E$5341+(glt_fro-Sens!$E$5341)*MIN(1,2/n_conv)</f>
        <v>0.0662886597938144</v>
      </c>
      <c r="H5341" s="7" t="n">
        <f aca="false">Sens!$E$5341+(glt_fro-Sens!$E$5341)*MIN(1,3/n_conv)</f>
        <v>0.0672164948453608</v>
      </c>
      <c r="I5341" s="7" t="n">
        <f aca="false">Sens!$E$5341+(glt_fro-Sens!$E$5341)*MIN(1,4/n_conv)</f>
        <v>0.0681443298969072</v>
      </c>
      <c r="J5341" s="7" t="n">
        <f aca="false">Sens!$E$5341+(glt_fro-Sens!$E$5341)*MIN(1,5/n_conv)</f>
        <v>0.0690721649484536</v>
      </c>
      <c r="K5341" s="7" t="n">
        <f aca="false">Sens!$E$5341+(glt_fro-Sens!$E$5341)*MIN(1,6/n_conv)</f>
        <v>0.07</v>
      </c>
    </row>
    <row r="5342" customFormat="false" ht="15" hidden="false" customHeight="false" outlineLevel="0" collapsed="false">
      <c r="A5342" s="0" t="s">
        <v>626</v>
      </c>
      <c r="B5342" s="0" t="s">
        <v>95</v>
      </c>
      <c r="D5342" s="6" t="n">
        <f aca="false">Sens!D5330+Sens!D5335+Sens!D5336+Sens!D5338+Sens!D5340</f>
        <v>218.783</v>
      </c>
      <c r="E5342" s="6" t="n">
        <f aca="false">Sens!E5330+Sens!E5335+Sens!E5336+Sens!E5338+Sens!E5340</f>
        <v>268.127</v>
      </c>
      <c r="F5342" s="6" t="n">
        <f aca="false">Sens!F5330+Sens!F5335+Sens!F5336+Sens!F5338+Sens!F5340</f>
        <v>335.653940907051</v>
      </c>
      <c r="G5342" s="6" t="n">
        <f aca="false">Sens!G5330+Sens!G5335+Sens!G5336+Sens!G5338+Sens!G5340</f>
        <v>418.190670881892</v>
      </c>
      <c r="H5342" s="6" t="n">
        <f aca="false">Sens!H5330+Sens!H5335+Sens!H5336+Sens!H5338+Sens!H5340</f>
        <v>506.826275281385</v>
      </c>
      <c r="I5342" s="6" t="n">
        <f aca="false">Sens!I5330+Sens!I5335+Sens!I5336+Sens!I5338+Sens!I5340</f>
        <v>587.22444694442</v>
      </c>
      <c r="J5342" s="6" t="n">
        <f aca="false">Sens!J5330+Sens!J5335+Sens!J5336+Sens!J5338+Sens!J5340</f>
        <v>663.935670910223</v>
      </c>
      <c r="K5342" s="6" t="n">
        <f aca="false">Sens!K5330+Sens!K5335+Sens!K5336+Sens!K5338+Sens!K5340</f>
        <v>737.177304875998</v>
      </c>
    </row>
    <row r="5343" customFormat="false" ht="15" hidden="false" customHeight="false" outlineLevel="0" collapsed="false">
      <c r="A5343" s="0" t="s">
        <v>792</v>
      </c>
      <c r="B5343" s="0" t="s">
        <v>95</v>
      </c>
      <c r="D5343" s="6" t="n">
        <f aca="false">Q!L13</f>
        <v>22.171</v>
      </c>
      <c r="E5343" s="6" t="n">
        <f aca="false">Q!M13</f>
        <v>24.835</v>
      </c>
      <c r="F5343" s="6" t="n">
        <f aca="false">Sens!E5343*(1+Sens!F5344)</f>
        <v>27.6114901218559</v>
      </c>
      <c r="G5343" s="6" t="n">
        <f aca="false">Sens!F5343*(1+Sens!G5344)</f>
        <v>30.4675667338515</v>
      </c>
      <c r="H5343" s="6" t="n">
        <f aca="false">Sens!G5343*(1+Sens!H5344)</f>
        <v>33.3643766955789</v>
      </c>
      <c r="I5343" s="6" t="n">
        <f aca="false">Sens!H5343*(1+Sens!I5344)</f>
        <v>36.2577016533691</v>
      </c>
      <c r="J5343" s="6" t="n">
        <f aca="false">Sens!I5343*(1+Sens!J5344)</f>
        <v>39.0988367952171</v>
      </c>
      <c r="K5343" s="6" t="n">
        <f aca="false">Sens!J5343*(1+Sens!K5344)</f>
        <v>41.8357553708823</v>
      </c>
    </row>
    <row r="5344" customFormat="false" ht="15" hidden="false" customHeight="false" outlineLevel="0" collapsed="false">
      <c r="A5344" s="1" t="s">
        <v>782</v>
      </c>
      <c r="B5344" s="0" t="s">
        <v>126</v>
      </c>
      <c r="E5344" s="7" t="n">
        <f aca="false">Sens!E5343/Sens!D5343-1</f>
        <v>0.120156961796942</v>
      </c>
      <c r="F5344" s="7" t="n">
        <f aca="false">Sens!$E$5344+(glt_srch-Sens!$E$5344)*MIN(1,1/n_conv)</f>
        <v>0.111797468164118</v>
      </c>
      <c r="G5344" s="7" t="n">
        <f aca="false">Sens!$E$5344+(glt_srch-Sens!$E$5344)*MIN(1,2/n_conv)</f>
        <v>0.103437974531295</v>
      </c>
      <c r="H5344" s="7" t="n">
        <f aca="false">Sens!$E$5344+(glt_srch-Sens!$E$5344)*MIN(1,3/n_conv)</f>
        <v>0.095078480898471</v>
      </c>
      <c r="I5344" s="7" t="n">
        <f aca="false">Sens!$E$5344+(glt_srch-Sens!$E$5344)*MIN(1,4/n_conv)</f>
        <v>0.0867189872656474</v>
      </c>
      <c r="J5344" s="7" t="n">
        <f aca="false">Sens!$E$5344+(glt_srch-Sens!$E$5344)*MIN(1,5/n_conv)</f>
        <v>0.0783594936328237</v>
      </c>
      <c r="K5344" s="7" t="n">
        <f aca="false">Sens!$E$5344+(glt_srch-Sens!$E$5344)*MIN(1,6/n_conv)</f>
        <v>0.07</v>
      </c>
    </row>
    <row r="5345" customFormat="false" ht="15" hidden="false" customHeight="false" outlineLevel="0" collapsed="false">
      <c r="A5345" s="0" t="s">
        <v>793</v>
      </c>
      <c r="B5345" s="0" t="s">
        <v>95</v>
      </c>
      <c r="D5345" s="6" t="n">
        <f aca="false">Q!L14</f>
        <v>23.455</v>
      </c>
      <c r="E5345" s="6" t="n">
        <f aca="false">Q!M14</f>
        <v>21.79</v>
      </c>
      <c r="F5345" s="6" t="n">
        <f aca="false">Sens!E5345*(1+Sens!F5346)</f>
        <v>20.5736277908051</v>
      </c>
      <c r="G5345" s="6" t="n">
        <f aca="false">Sens!F5345*(1+Sens!G5346)</f>
        <v>19.7371452817919</v>
      </c>
      <c r="H5345" s="6" t="n">
        <f aca="false">Sens!G5345*(1+Sens!H5346)</f>
        <v>19.2339764043138</v>
      </c>
      <c r="I5345" s="6" t="n">
        <f aca="false">Sens!H5345*(1+Sens!I5346)</f>
        <v>19.0353086852681</v>
      </c>
      <c r="J5345" s="6" t="n">
        <f aca="false">Sens!I5345*(1+Sens!J5346)</f>
        <v>19.1273539319129</v>
      </c>
      <c r="K5345" s="6" t="n">
        <f aca="false">Sens!J5345*(1+Sens!K5346)</f>
        <v>19.5099010105511</v>
      </c>
    </row>
    <row r="5346" customFormat="false" ht="15" hidden="false" customHeight="false" outlineLevel="0" collapsed="false">
      <c r="A5346" s="1" t="s">
        <v>782</v>
      </c>
      <c r="B5346" s="0" t="s">
        <v>126</v>
      </c>
      <c r="E5346" s="7" t="n">
        <f aca="false">Sens!E5345/Sens!D5345-1</f>
        <v>-0.0709869963760392</v>
      </c>
      <c r="F5346" s="7" t="n">
        <f aca="false">Sens!$E$5346+(glt_xbox-Sens!$E$5346)*MIN(1,1/n_conv)</f>
        <v>-0.0558224969800327</v>
      </c>
      <c r="G5346" s="7" t="n">
        <f aca="false">Sens!$E$5346+(glt_xbox-Sens!$E$5346)*MIN(1,2/n_conv)</f>
        <v>-0.0406579975840262</v>
      </c>
      <c r="H5346" s="7" t="n">
        <f aca="false">Sens!$E$5346+(glt_xbox-Sens!$E$5346)*MIN(1,3/n_conv)</f>
        <v>-0.0254934981880196</v>
      </c>
      <c r="I5346" s="7" t="n">
        <f aca="false">Sens!$E$5346+(glt_xbox-Sens!$E$5346)*MIN(1,4/n_conv)</f>
        <v>-0.0103289987920131</v>
      </c>
      <c r="J5346" s="7" t="n">
        <f aca="false">Sens!$E$5346+(glt_xbox-Sens!$E$5346)*MIN(1,5/n_conv)</f>
        <v>0.00483550060399347</v>
      </c>
      <c r="K5346" s="7" t="n">
        <f aca="false">Sens!$E$5346+(glt_xbox-Sens!$E$5346)*MIN(1,6/n_conv)</f>
        <v>0.02</v>
      </c>
    </row>
    <row r="5347" customFormat="false" ht="15" hidden="false" customHeight="false" outlineLevel="0" collapsed="false">
      <c r="A5347" s="0" t="s">
        <v>794</v>
      </c>
      <c r="B5347" s="0" t="s">
        <v>95</v>
      </c>
      <c r="D5347" s="6" t="n">
        <f aca="false">Q!L15</f>
        <v>17.315</v>
      </c>
      <c r="E5347" s="6" t="n">
        <f aca="false">Q!M15</f>
        <v>17.087</v>
      </c>
      <c r="F5347" s="6" t="n">
        <f aca="false">Sens!E5347*(1+Sens!F5348)</f>
        <v>16.9564585436519</v>
      </c>
      <c r="G5347" s="6" t="n">
        <f aca="false">Sens!F5347*(1+Sens!G5348)</f>
        <v>16.9206490624268</v>
      </c>
      <c r="H5347" s="6" t="n">
        <f aca="false">Sens!G5347*(1+Sens!H5348)</f>
        <v>16.9784519149849</v>
      </c>
      <c r="I5347" s="6" t="n">
        <f aca="false">Sens!H5347*(1+Sens!I5348)</f>
        <v>17.1303084701817</v>
      </c>
      <c r="J5347" s="6" t="n">
        <f aca="false">Sens!I5347*(1+Sens!J5348)</f>
        <v>17.3782189407267</v>
      </c>
      <c r="K5347" s="6" t="n">
        <f aca="false">Sens!J5347*(1+Sens!K5348)</f>
        <v>17.7257833195413</v>
      </c>
    </row>
    <row r="5348" customFormat="false" ht="15" hidden="false" customHeight="false" outlineLevel="0" collapsed="false">
      <c r="A5348" s="1" t="s">
        <v>782</v>
      </c>
      <c r="B5348" s="0" t="s">
        <v>126</v>
      </c>
      <c r="E5348" s="7" t="n">
        <f aca="false">Sens!E5347/Sens!D5347-1</f>
        <v>-0.0131677736066995</v>
      </c>
      <c r="F5348" s="7" t="n">
        <f aca="false">Sens!$E$5348+(glt_win-Sens!$E$5348)*MIN(1,1/n_conv)</f>
        <v>-0.00763981133891627</v>
      </c>
      <c r="G5348" s="7" t="n">
        <f aca="false">Sens!$E$5348+(glt_win-Sens!$E$5348)*MIN(1,2/n_conv)</f>
        <v>-0.00211184907113301</v>
      </c>
      <c r="H5348" s="7" t="n">
        <f aca="false">Sens!$E$5348+(glt_win-Sens!$E$5348)*MIN(1,3/n_conv)</f>
        <v>0.00341611319665024</v>
      </c>
      <c r="I5348" s="7" t="n">
        <f aca="false">Sens!$E$5348+(glt_win-Sens!$E$5348)*MIN(1,4/n_conv)</f>
        <v>0.00894407546443349</v>
      </c>
      <c r="J5348" s="7" t="n">
        <f aca="false">Sens!$E$5348+(glt_win-Sens!$E$5348)*MIN(1,5/n_conv)</f>
        <v>0.0144720377322168</v>
      </c>
      <c r="K5348" s="7" t="n">
        <f aca="false">Sens!$E$5348+(glt_win-Sens!$E$5348)*MIN(1,6/n_conv)</f>
        <v>0.02</v>
      </c>
    </row>
    <row r="5349" customFormat="false" ht="15" hidden="false" customHeight="false" outlineLevel="0" collapsed="false">
      <c r="A5349" s="0" t="s">
        <v>640</v>
      </c>
      <c r="B5349" s="0" t="s">
        <v>95</v>
      </c>
      <c r="D5349" s="6" t="n">
        <f aca="false">Sens!D5343+Sens!D5345+Sens!D5347</f>
        <v>62.941</v>
      </c>
      <c r="E5349" s="6" t="n">
        <f aca="false">Sens!E5343+Sens!E5345+Sens!E5347</f>
        <v>63.712</v>
      </c>
      <c r="F5349" s="6" t="n">
        <f aca="false">Sens!F5343+Sens!F5345+Sens!F5347</f>
        <v>65.1415764563129</v>
      </c>
      <c r="G5349" s="6" t="n">
        <f aca="false">Sens!G5343+Sens!G5345+Sens!G5347</f>
        <v>67.1253610780702</v>
      </c>
      <c r="H5349" s="6" t="n">
        <f aca="false">Sens!H5343+Sens!H5345+Sens!H5347</f>
        <v>69.5768050148776</v>
      </c>
      <c r="I5349" s="6" t="n">
        <f aca="false">Sens!I5343+Sens!I5345+Sens!I5347</f>
        <v>72.4233188088189</v>
      </c>
      <c r="J5349" s="6" t="n">
        <f aca="false">Sens!J5343+Sens!J5345+Sens!J5347</f>
        <v>75.6044096678567</v>
      </c>
      <c r="K5349" s="6" t="n">
        <f aca="false">Sens!K5343+Sens!K5345+Sens!K5347</f>
        <v>79.0714397009747</v>
      </c>
    </row>
    <row r="5350" customFormat="false" ht="15" hidden="false" customHeight="false" outlineLevel="0" collapsed="false">
      <c r="A5350" s="1" t="s">
        <v>795</v>
      </c>
      <c r="B5350" s="0" t="s">
        <v>95</v>
      </c>
      <c r="D5350" s="6" t="n">
        <f aca="false">Sens!D5342+Sens!D5349</f>
        <v>281.724</v>
      </c>
      <c r="E5350" s="6" t="n">
        <f aca="false">Sens!E5342+Sens!E5349</f>
        <v>331.839</v>
      </c>
      <c r="F5350" s="6" t="n">
        <f aca="false">Sens!F5342+Sens!F5349</f>
        <v>400.795517363364</v>
      </c>
      <c r="G5350" s="6" t="n">
        <f aca="false">Sens!G5342+Sens!G5349</f>
        <v>485.316031959962</v>
      </c>
      <c r="H5350" s="6" t="n">
        <f aca="false">Sens!H5342+Sens!H5349</f>
        <v>576.403080296263</v>
      </c>
      <c r="I5350" s="6" t="n">
        <f aca="false">Sens!I5342+Sens!I5349</f>
        <v>659.647765753239</v>
      </c>
      <c r="J5350" s="6" t="n">
        <f aca="false">Sens!J5342+Sens!J5349</f>
        <v>739.540080578079</v>
      </c>
      <c r="K5350" s="6" t="n">
        <f aca="false">Sens!K5342+Sens!K5349</f>
        <v>816.248744576972</v>
      </c>
    </row>
    <row r="5351" customFormat="false" ht="15" hidden="false" customHeight="false" outlineLevel="0" collapsed="false">
      <c r="A5351" s="22" t="s">
        <v>796</v>
      </c>
      <c r="B5351" s="28" t="s">
        <v>95</v>
      </c>
      <c r="C5351" s="28"/>
      <c r="D5351" s="23" t="n">
        <f aca="false">(Sens!D5330+Sens!D5335+Sens!D5336+Sens!D5338+Sens!D5340-Sens!D5342)+(Sens!D5343+Sens!D5345+Sens!D5347-Sens!D5349)+(Sens!D5342-Q!L5)+(Sens!D5349-Q!L12)+(Sens!D5330-Q!L6)+(Sens!D5335-Q!L7)</f>
        <v>0</v>
      </c>
      <c r="E5351" s="23" t="n">
        <f aca="false">(Sens!E5330+Sens!E5335+Sens!E5336+Sens!E5338+Sens!E5340-Sens!E5342)+(Sens!E5343+Sens!E5345+Sens!E5347-Sens!E5349)+(Sens!E5342-Q!M5)+(Sens!E5349-Q!M12)+(Sens!E5330-Q!M6)+(Sens!E5335-Q!M7)</f>
        <v>0</v>
      </c>
      <c r="F5351" s="23" t="n">
        <f aca="false">(Sens!F5330+Sens!F5335+Sens!F5336+Sens!F5338+Sens!F5340-Sens!F5342)+(Sens!F5343+Sens!F5345+Sens!F5347-Sens!F5349)</f>
        <v>0</v>
      </c>
      <c r="G5351" s="23" t="n">
        <f aca="false">(Sens!G5330+Sens!G5335+Sens!G5336+Sens!G5338+Sens!G5340-Sens!G5342)+(Sens!G5343+Sens!G5345+Sens!G5347-Sens!G5349)</f>
        <v>0</v>
      </c>
      <c r="H5351" s="23" t="n">
        <f aca="false">(Sens!H5330+Sens!H5335+Sens!H5336+Sens!H5338+Sens!H5340-Sens!H5342)+(Sens!H5343+Sens!H5345+Sens!H5347-Sens!H5349)</f>
        <v>0</v>
      </c>
      <c r="I5351" s="23" t="n">
        <f aca="false">(Sens!I5330+Sens!I5335+Sens!I5336+Sens!I5338+Sens!I5340-Sens!I5342)+(Sens!I5343+Sens!I5345+Sens!I5347-Sens!I5349)</f>
        <v>0</v>
      </c>
      <c r="J5351" s="23" t="n">
        <f aca="false">(Sens!J5330+Sens!J5335+Sens!J5336+Sens!J5338+Sens!J5340-Sens!J5342)+(Sens!J5343+Sens!J5345+Sens!J5347-Sens!J5349)</f>
        <v>0</v>
      </c>
      <c r="K5351" s="23" t="n">
        <f aca="false">(Sens!K5330+Sens!K5335+Sens!K5336+Sens!K5338+Sens!K5340-Sens!K5342)+(Sens!K5343+Sens!K5345+Sens!K5347-Sens!K5349)</f>
        <v>0</v>
      </c>
    </row>
    <row r="5352" customFormat="false" ht="17.15" hidden="false" customHeight="false" outlineLevel="0" collapsed="false">
      <c r="A5352" s="3" t="s">
        <v>1266</v>
      </c>
    </row>
    <row r="5353" customFormat="false" ht="15" hidden="false" customHeight="false" outlineLevel="0" collapsed="false">
      <c r="A5353" s="4" t="s">
        <v>43</v>
      </c>
      <c r="B5353" s="4" t="s">
        <v>63</v>
      </c>
      <c r="C5353" s="19" t="s">
        <v>710</v>
      </c>
      <c r="D5353" s="19" t="s">
        <v>711</v>
      </c>
      <c r="E5353" s="19" t="s">
        <v>712</v>
      </c>
      <c r="F5353" s="19" t="s">
        <v>713</v>
      </c>
      <c r="G5353" s="19" t="s">
        <v>714</v>
      </c>
      <c r="H5353" s="19" t="s">
        <v>715</v>
      </c>
      <c r="I5353" s="19" t="s">
        <v>716</v>
      </c>
      <c r="J5353" s="19" t="s">
        <v>717</v>
      </c>
      <c r="K5353" s="19" t="s">
        <v>718</v>
      </c>
      <c r="L5353" s="4" t="s">
        <v>47</v>
      </c>
    </row>
    <row r="5354" customFormat="false" ht="15" hidden="false" customHeight="false" outlineLevel="0" collapsed="false">
      <c r="A5354" s="0" t="s">
        <v>783</v>
      </c>
      <c r="B5354" s="0" t="s">
        <v>95</v>
      </c>
      <c r="D5354" s="6" t="n">
        <f aca="false">Sens!D5330</f>
        <v>72.61</v>
      </c>
      <c r="E5354" s="6" t="n">
        <f aca="false">Sens!E5330</f>
        <v>101.938</v>
      </c>
      <c r="F5354" s="6" t="n">
        <f aca="false">Sens!F5330</f>
        <v>148.812368967868</v>
      </c>
      <c r="G5354" s="6" t="n">
        <f aca="false">Sens!G5330</f>
        <v>208.397514344463</v>
      </c>
      <c r="H5354" s="6" t="n">
        <f aca="false">Sens!H5330</f>
        <v>274.05759259987</v>
      </c>
      <c r="I5354" s="6" t="n">
        <f aca="false">Sens!I5330</f>
        <v>333.373091964934</v>
      </c>
      <c r="J5354" s="6" t="n">
        <f aca="false">Sens!J5330</f>
        <v>391.214773806054</v>
      </c>
      <c r="K5354" s="6" t="n">
        <f aca="false">Sens!K5330</f>
        <v>446.513235535821</v>
      </c>
    </row>
    <row r="5355" customFormat="false" ht="17.15" hidden="false" customHeight="false" outlineLevel="0" collapsed="false">
      <c r="A5355" s="0" t="s">
        <v>780</v>
      </c>
      <c r="B5355" s="0" t="s">
        <v>95</v>
      </c>
      <c r="D5355" s="6" t="n">
        <f aca="false">Sens!D5327</f>
        <v>12.9359794422418</v>
      </c>
      <c r="E5355" s="6" t="n">
        <f aca="false">Sens!E5327</f>
        <v>27.8095064661409</v>
      </c>
      <c r="F5355" s="6" t="n">
        <f aca="false">Sens!F5327</f>
        <v>58.7324192305018</v>
      </c>
      <c r="G5355" s="6" t="n">
        <f aca="false">Sens!G5327</f>
        <v>101.369089141153</v>
      </c>
      <c r="H5355" s="6" t="n">
        <f aca="false">Sens!H5327</f>
        <v>149.785610014234</v>
      </c>
      <c r="I5355" s="6" t="n">
        <f aca="false">Sens!I5327</f>
        <v>192.439389583079</v>
      </c>
      <c r="J5355" s="6" t="n">
        <f aca="false">Sens!J5327</f>
        <v>235.195906491722</v>
      </c>
      <c r="K5355" s="6" t="n">
        <f aca="false">Sens!K5327</f>
        <v>278.012858836343</v>
      </c>
    </row>
    <row r="5356" customFormat="false" ht="17.15" hidden="false" customHeight="false" outlineLevel="0" collapsed="false">
      <c r="A5356" s="0" t="s">
        <v>807</v>
      </c>
      <c r="B5356" s="0" t="s">
        <v>95</v>
      </c>
      <c r="D5356" s="6" t="n">
        <f aca="false">Sens!D5328</f>
        <v>59.6740205577583</v>
      </c>
      <c r="E5356" s="6" t="n">
        <f aca="false">Sens!E5328</f>
        <v>74.1284935338591</v>
      </c>
      <c r="F5356" s="6" t="n">
        <f aca="false">Sens!F5328</f>
        <v>90.0799497373663</v>
      </c>
      <c r="G5356" s="6" t="n">
        <f aca="false">Sens!G5328</f>
        <v>107.02842520331</v>
      </c>
      <c r="H5356" s="6" t="n">
        <f aca="false">Sens!H5328</f>
        <v>124.271982585636</v>
      </c>
      <c r="I5356" s="6" t="n">
        <f aca="false">Sens!I5328</f>
        <v>140.933702381855</v>
      </c>
      <c r="J5356" s="6" t="n">
        <f aca="false">Sens!J5328</f>
        <v>156.018867314332</v>
      </c>
      <c r="K5356" s="6" t="n">
        <f aca="false">Sens!K5328</f>
        <v>168.500376699478</v>
      </c>
    </row>
    <row r="5357" customFormat="false" ht="15" hidden="false" customHeight="false" outlineLevel="0" collapsed="false">
      <c r="A5357" s="0" t="s">
        <v>788</v>
      </c>
      <c r="B5357" s="0" t="s">
        <v>95</v>
      </c>
      <c r="D5357" s="6" t="n">
        <f aca="false">Sens!D5335</f>
        <v>84.605</v>
      </c>
      <c r="E5357" s="6" t="n">
        <f aca="false">Sens!E5335</f>
        <v>100.299</v>
      </c>
      <c r="F5357" s="6" t="n">
        <f aca="false">Sens!F5335</f>
        <v>116.61238776686</v>
      </c>
      <c r="G5357" s="6" t="n">
        <f aca="false">Sens!G5335</f>
        <v>135.244168448684</v>
      </c>
      <c r="H5357" s="6" t="n">
        <f aca="false">Sens!H5335</f>
        <v>153.957359388781</v>
      </c>
      <c r="I5357" s="6" t="n">
        <f aca="false">Sens!I5335</f>
        <v>170.874028071957</v>
      </c>
      <c r="J5357" s="6" t="n">
        <f aca="false">Sens!J5335</f>
        <v>185.712702785465</v>
      </c>
      <c r="K5357" s="6" t="n">
        <f aca="false">Sens!K5335</f>
        <v>199.797991980448</v>
      </c>
    </row>
    <row r="5358" customFormat="false" ht="17.15" hidden="false" customHeight="false" outlineLevel="0" collapsed="false">
      <c r="A5358" s="0" t="s">
        <v>808</v>
      </c>
      <c r="B5358" s="0" t="s">
        <v>95</v>
      </c>
      <c r="D5358" s="6" t="n">
        <f aca="false">Sens!D5333</f>
        <v>83.705</v>
      </c>
      <c r="E5358" s="6" t="n">
        <f aca="false">Sens!E5333</f>
        <v>95.049</v>
      </c>
      <c r="F5358" s="6" t="n">
        <f aca="false">Sens!F5333</f>
        <v>106.89238776686</v>
      </c>
      <c r="G5358" s="6" t="n">
        <f aca="false">Sens!G5333</f>
        <v>119.044168448684</v>
      </c>
      <c r="H5358" s="6" t="n">
        <f aca="false">Sens!H5333</f>
        <v>131.277359388781</v>
      </c>
      <c r="I5358" s="6" t="n">
        <f aca="false">Sens!I5333</f>
        <v>143.334028071957</v>
      </c>
      <c r="J5358" s="6" t="n">
        <f aca="false">Sens!J5333</f>
        <v>154.932702785465</v>
      </c>
      <c r="K5358" s="6" t="n">
        <f aca="false">Sens!K5333</f>
        <v>165.777991980448</v>
      </c>
    </row>
    <row r="5359" customFormat="false" ht="17.15" hidden="false" customHeight="false" outlineLevel="0" collapsed="false">
      <c r="A5359" s="0" t="s">
        <v>809</v>
      </c>
      <c r="B5359" s="0" t="s">
        <v>95</v>
      </c>
      <c r="D5359" s="6" t="n">
        <f aca="false">Sens!D5332</f>
        <v>0.9</v>
      </c>
      <c r="E5359" s="6" t="n">
        <f aca="false">Sens!E5332</f>
        <v>5.25</v>
      </c>
      <c r="F5359" s="6" t="n">
        <f aca="false">Sens!F5332</f>
        <v>9.72</v>
      </c>
      <c r="G5359" s="6" t="n">
        <f aca="false">Sens!G5332</f>
        <v>16.2</v>
      </c>
      <c r="H5359" s="6" t="n">
        <f aca="false">Sens!H5332</f>
        <v>22.68</v>
      </c>
      <c r="I5359" s="6" t="n">
        <f aca="false">Sens!I5332</f>
        <v>27.54</v>
      </c>
      <c r="J5359" s="6" t="n">
        <f aca="false">Sens!J5332</f>
        <v>30.78</v>
      </c>
      <c r="K5359" s="6" t="n">
        <f aca="false">Sens!K5332</f>
        <v>34.02</v>
      </c>
    </row>
    <row r="5360" customFormat="false" ht="15" hidden="false" customHeight="false" outlineLevel="0" collapsed="false">
      <c r="A5360" s="0" t="s">
        <v>789</v>
      </c>
      <c r="B5360" s="0" t="s">
        <v>95</v>
      </c>
      <c r="D5360" s="6" t="n">
        <f aca="false">Sens!D5336</f>
        <v>35.391</v>
      </c>
      <c r="E5360" s="6" t="n">
        <f aca="false">Sens!E5336</f>
        <v>37.285</v>
      </c>
      <c r="F5360" s="6" t="n">
        <f aca="false">Sens!F5336</f>
        <v>39.0720834331704</v>
      </c>
      <c r="G5360" s="6" t="n">
        <f aca="false">Sens!G5336</f>
        <v>40.726562953769</v>
      </c>
      <c r="H5360" s="6" t="n">
        <f aca="false">Sens!H5336</f>
        <v>42.2235987259198</v>
      </c>
      <c r="I5360" s="6" t="n">
        <f aca="false">Sens!I5336</f>
        <v>43.5397988077414</v>
      </c>
      <c r="J5360" s="6" t="n">
        <f aca="false">Sens!J5336</f>
        <v>44.653811225693</v>
      </c>
      <c r="K5360" s="6" t="n">
        <f aca="false">Sens!K5336</f>
        <v>45.5468874502068</v>
      </c>
    </row>
    <row r="5361" customFormat="false" ht="15" hidden="false" customHeight="false" outlineLevel="0" collapsed="false">
      <c r="A5361" s="0" t="s">
        <v>790</v>
      </c>
      <c r="B5361" s="0" t="s">
        <v>95</v>
      </c>
      <c r="D5361" s="6" t="n">
        <f aca="false">Sens!D5338</f>
        <v>18.417</v>
      </c>
      <c r="E5361" s="6" t="n">
        <f aca="false">Sens!E5338</f>
        <v>20.345</v>
      </c>
      <c r="F5361" s="6" t="n">
        <f aca="false">Sens!F5338</f>
        <v>22.3572203267814</v>
      </c>
      <c r="G5361" s="6" t="n">
        <f aca="false">Sens!G5338</f>
        <v>24.4392124437232</v>
      </c>
      <c r="H5361" s="6" t="n">
        <f aca="false">Sens!H5338</f>
        <v>26.5738052080665</v>
      </c>
      <c r="I5361" s="6" t="n">
        <f aca="false">Sens!I5338</f>
        <v>28.7412169166967</v>
      </c>
      <c r="J5361" s="6" t="n">
        <f aca="false">Sens!J5338</f>
        <v>30.9192545395413</v>
      </c>
      <c r="K5361" s="6" t="n">
        <f aca="false">Sens!K5338</f>
        <v>33.0836023573092</v>
      </c>
    </row>
    <row r="5362" customFormat="false" ht="15" hidden="false" customHeight="false" outlineLevel="0" collapsed="false">
      <c r="A5362" s="0" t="s">
        <v>791</v>
      </c>
      <c r="B5362" s="0" t="s">
        <v>95</v>
      </c>
      <c r="D5362" s="6" t="n">
        <f aca="false">Sens!D5340</f>
        <v>7.76</v>
      </c>
      <c r="E5362" s="6" t="n">
        <f aca="false">Sens!E5340</f>
        <v>8.26</v>
      </c>
      <c r="F5362" s="6" t="n">
        <f aca="false">Sens!F5340</f>
        <v>8.79988041237113</v>
      </c>
      <c r="G5362" s="6" t="n">
        <f aca="false">Sens!G5340</f>
        <v>9.38321269125306</v>
      </c>
      <c r="H5362" s="6" t="n">
        <f aca="false">Sens!H5340</f>
        <v>10.0139193587476</v>
      </c>
      <c r="I5362" s="6" t="n">
        <f aca="false">Sens!I5340</f>
        <v>10.6963111830911</v>
      </c>
      <c r="J5362" s="6" t="n">
        <f aca="false">Sens!J5340</f>
        <v>11.4351285534696</v>
      </c>
      <c r="K5362" s="6" t="n">
        <f aca="false">Sens!K5340</f>
        <v>12.2355875522124</v>
      </c>
    </row>
    <row r="5363" customFormat="false" ht="15" hidden="false" customHeight="false" outlineLevel="0" collapsed="false">
      <c r="A5363" s="0" t="s">
        <v>626</v>
      </c>
      <c r="B5363" s="0" t="s">
        <v>95</v>
      </c>
      <c r="D5363" s="6" t="n">
        <f aca="false">Sens!D5342</f>
        <v>218.783</v>
      </c>
      <c r="E5363" s="6" t="n">
        <f aca="false">Sens!E5342</f>
        <v>268.127</v>
      </c>
      <c r="F5363" s="6" t="n">
        <f aca="false">Sens!F5342</f>
        <v>335.653940907051</v>
      </c>
      <c r="G5363" s="6" t="n">
        <f aca="false">Sens!G5342</f>
        <v>418.190670881892</v>
      </c>
      <c r="H5363" s="6" t="n">
        <f aca="false">Sens!H5342</f>
        <v>506.826275281385</v>
      </c>
      <c r="I5363" s="6" t="n">
        <f aca="false">Sens!I5342</f>
        <v>587.22444694442</v>
      </c>
      <c r="J5363" s="6" t="n">
        <f aca="false">Sens!J5342</f>
        <v>663.935670910223</v>
      </c>
      <c r="K5363" s="6" t="n">
        <f aca="false">Sens!K5342</f>
        <v>737.177304875998</v>
      </c>
    </row>
    <row r="5364" customFormat="false" ht="15" hidden="false" customHeight="false" outlineLevel="0" collapsed="false">
      <c r="A5364" s="0" t="s">
        <v>792</v>
      </c>
      <c r="B5364" s="0" t="s">
        <v>95</v>
      </c>
      <c r="D5364" s="6" t="n">
        <f aca="false">Sens!D5343</f>
        <v>22.171</v>
      </c>
      <c r="E5364" s="6" t="n">
        <f aca="false">Sens!E5343</f>
        <v>24.835</v>
      </c>
      <c r="F5364" s="6" t="n">
        <f aca="false">Sens!F5343</f>
        <v>27.6114901218559</v>
      </c>
      <c r="G5364" s="6" t="n">
        <f aca="false">Sens!G5343</f>
        <v>30.4675667338515</v>
      </c>
      <c r="H5364" s="6" t="n">
        <f aca="false">Sens!H5343</f>
        <v>33.3643766955789</v>
      </c>
      <c r="I5364" s="6" t="n">
        <f aca="false">Sens!I5343</f>
        <v>36.2577016533691</v>
      </c>
      <c r="J5364" s="6" t="n">
        <f aca="false">Sens!J5343</f>
        <v>39.0988367952171</v>
      </c>
      <c r="K5364" s="6" t="n">
        <f aca="false">Sens!K5343</f>
        <v>41.8357553708823</v>
      </c>
    </row>
    <row r="5365" customFormat="false" ht="15" hidden="false" customHeight="false" outlineLevel="0" collapsed="false">
      <c r="A5365" s="0" t="s">
        <v>793</v>
      </c>
      <c r="B5365" s="0" t="s">
        <v>95</v>
      </c>
      <c r="D5365" s="6" t="n">
        <f aca="false">Sens!D5345</f>
        <v>23.455</v>
      </c>
      <c r="E5365" s="6" t="n">
        <f aca="false">Sens!E5345</f>
        <v>21.79</v>
      </c>
      <c r="F5365" s="6" t="n">
        <f aca="false">Sens!F5345</f>
        <v>20.5736277908051</v>
      </c>
      <c r="G5365" s="6" t="n">
        <f aca="false">Sens!G5345</f>
        <v>19.7371452817919</v>
      </c>
      <c r="H5365" s="6" t="n">
        <f aca="false">Sens!H5345</f>
        <v>19.2339764043138</v>
      </c>
      <c r="I5365" s="6" t="n">
        <f aca="false">Sens!I5345</f>
        <v>19.0353086852681</v>
      </c>
      <c r="J5365" s="6" t="n">
        <f aca="false">Sens!J5345</f>
        <v>19.1273539319129</v>
      </c>
      <c r="K5365" s="6" t="n">
        <f aca="false">Sens!K5345</f>
        <v>19.5099010105511</v>
      </c>
    </row>
    <row r="5366" customFormat="false" ht="15" hidden="false" customHeight="false" outlineLevel="0" collapsed="false">
      <c r="A5366" s="0" t="s">
        <v>794</v>
      </c>
      <c r="B5366" s="0" t="s">
        <v>95</v>
      </c>
      <c r="D5366" s="6" t="n">
        <f aca="false">Sens!D5347</f>
        <v>17.315</v>
      </c>
      <c r="E5366" s="6" t="n">
        <f aca="false">Sens!E5347</f>
        <v>17.087</v>
      </c>
      <c r="F5366" s="6" t="n">
        <f aca="false">Sens!F5347</f>
        <v>16.9564585436519</v>
      </c>
      <c r="G5366" s="6" t="n">
        <f aca="false">Sens!G5347</f>
        <v>16.9206490624268</v>
      </c>
      <c r="H5366" s="6" t="n">
        <f aca="false">Sens!H5347</f>
        <v>16.9784519149849</v>
      </c>
      <c r="I5366" s="6" t="n">
        <f aca="false">Sens!I5347</f>
        <v>17.1303084701817</v>
      </c>
      <c r="J5366" s="6" t="n">
        <f aca="false">Sens!J5347</f>
        <v>17.3782189407267</v>
      </c>
      <c r="K5366" s="6" t="n">
        <f aca="false">Sens!K5347</f>
        <v>17.7257833195413</v>
      </c>
    </row>
    <row r="5367" customFormat="false" ht="15" hidden="false" customHeight="false" outlineLevel="0" collapsed="false">
      <c r="A5367" s="0" t="s">
        <v>640</v>
      </c>
      <c r="B5367" s="0" t="s">
        <v>95</v>
      </c>
      <c r="D5367" s="6" t="n">
        <f aca="false">Sens!D5349</f>
        <v>62.941</v>
      </c>
      <c r="E5367" s="6" t="n">
        <f aca="false">Sens!E5349</f>
        <v>63.712</v>
      </c>
      <c r="F5367" s="6" t="n">
        <f aca="false">Sens!F5349</f>
        <v>65.1415764563129</v>
      </c>
      <c r="G5367" s="6" t="n">
        <f aca="false">Sens!G5349</f>
        <v>67.1253610780702</v>
      </c>
      <c r="H5367" s="6" t="n">
        <f aca="false">Sens!H5349</f>
        <v>69.5768050148776</v>
      </c>
      <c r="I5367" s="6" t="n">
        <f aca="false">Sens!I5349</f>
        <v>72.4233188088189</v>
      </c>
      <c r="J5367" s="6" t="n">
        <f aca="false">Sens!J5349</f>
        <v>75.6044096678567</v>
      </c>
      <c r="K5367" s="6" t="n">
        <f aca="false">Sens!K5349</f>
        <v>79.0714397009747</v>
      </c>
    </row>
    <row r="5368" customFormat="false" ht="15" hidden="false" customHeight="false" outlineLevel="0" collapsed="false">
      <c r="A5368" s="1" t="s">
        <v>810</v>
      </c>
      <c r="B5368" s="0" t="s">
        <v>95</v>
      </c>
      <c r="D5368" s="6" t="n">
        <f aca="false">Sens!D5350</f>
        <v>281.724</v>
      </c>
      <c r="E5368" s="6" t="n">
        <f aca="false">Sens!E5350</f>
        <v>331.839</v>
      </c>
      <c r="F5368" s="6" t="n">
        <f aca="false">Sens!F5350</f>
        <v>400.795517363364</v>
      </c>
      <c r="G5368" s="6" t="n">
        <f aca="false">Sens!G5350</f>
        <v>485.316031959962</v>
      </c>
      <c r="H5368" s="6" t="n">
        <f aca="false">Sens!H5350</f>
        <v>576.403080296263</v>
      </c>
      <c r="I5368" s="6" t="n">
        <f aca="false">Sens!I5350</f>
        <v>659.647765753239</v>
      </c>
      <c r="J5368" s="6" t="n">
        <f aca="false">Sens!J5350</f>
        <v>739.540080578079</v>
      </c>
      <c r="K5368" s="6" t="n">
        <f aca="false">Sens!K5350</f>
        <v>816.248744576972</v>
      </c>
    </row>
    <row r="5369" customFormat="false" ht="15" hidden="false" customHeight="false" outlineLevel="0" collapsed="false">
      <c r="A5369" s="1" t="s">
        <v>811</v>
      </c>
      <c r="B5369" s="0" t="s">
        <v>126</v>
      </c>
      <c r="E5369" s="7" t="n">
        <f aca="false">Sens!E5368/Sens!D5368-1</f>
        <v>0.177886867998467</v>
      </c>
      <c r="F5369" s="7" t="n">
        <f aca="false">Sens!F5368/Sens!E5368-1</f>
        <v>0.207801124531366</v>
      </c>
      <c r="G5369" s="7" t="n">
        <f aca="false">Sens!G5368/Sens!F5368-1</f>
        <v>0.210881885986693</v>
      </c>
      <c r="H5369" s="7" t="n">
        <f aca="false">Sens!H5368/Sens!G5368-1</f>
        <v>0.187686048549525</v>
      </c>
      <c r="I5369" s="7" t="n">
        <f aca="false">Sens!I5368/Sens!H5368-1</f>
        <v>0.14442095870513</v>
      </c>
      <c r="J5369" s="7" t="n">
        <f aca="false">Sens!J5368/Sens!I5368-1</f>
        <v>0.121113598760716</v>
      </c>
      <c r="K5369" s="7" t="n">
        <f aca="false">Sens!K5368/Sens!J5368-1</f>
        <v>0.103724823053447</v>
      </c>
    </row>
    <row r="5370" customFormat="false" ht="17.15" hidden="false" customHeight="false" outlineLevel="0" collapsed="false">
      <c r="A5370" s="22" t="s">
        <v>812</v>
      </c>
      <c r="B5370" s="28" t="s">
        <v>95</v>
      </c>
      <c r="C5370" s="28"/>
      <c r="D5370" s="23" t="n">
        <f aca="false">(Sens!D5363+Sens!D5367-Sens!D5368)+(Sens!D5355+Sens!D5356-Sens!D5354)+(Sens!D5358+Sens!D5359-Sens!D5357)+(Sens!D5368-Q!L18)</f>
        <v>0</v>
      </c>
      <c r="E5370" s="23" t="n">
        <f aca="false">(Sens!E5363+Sens!E5367-Sens!E5368)+(Sens!E5355+Sens!E5356-Sens!E5354)+(Sens!E5358+Sens!E5359-Sens!E5357)+(Sens!E5368-Q!M18)</f>
        <v>0</v>
      </c>
      <c r="F5370" s="23" t="n">
        <f aca="false">(Sens!F5363+Sens!F5367-Sens!F5368)+(Sens!F5355+Sens!F5356-Sens!F5354)+(Sens!F5358+Sens!F5359-Sens!F5357)</f>
        <v>0</v>
      </c>
      <c r="G5370" s="23" t="n">
        <f aca="false">(Sens!G5363+Sens!G5367-Sens!G5368)+(Sens!G5355+Sens!G5356-Sens!G5354)+(Sens!G5358+Sens!G5359-Sens!G5357)</f>
        <v>0</v>
      </c>
      <c r="H5370" s="23" t="n">
        <f aca="false">(Sens!H5363+Sens!H5367-Sens!H5368)+(Sens!H5355+Sens!H5356-Sens!H5354)+(Sens!H5358+Sens!H5359-Sens!H5357)</f>
        <v>0</v>
      </c>
      <c r="I5370" s="23" t="n">
        <f aca="false">(Sens!I5363+Sens!I5367-Sens!I5368)+(Sens!I5355+Sens!I5356-Sens!I5354)+(Sens!I5358+Sens!I5359-Sens!I5357)</f>
        <v>0</v>
      </c>
      <c r="J5370" s="23" t="n">
        <f aca="false">(Sens!J5363+Sens!J5367-Sens!J5368)+(Sens!J5355+Sens!J5356-Sens!J5354)+(Sens!J5358+Sens!J5359-Sens!J5357)</f>
        <v>0</v>
      </c>
      <c r="K5370" s="23" t="n">
        <f aca="false">(Sens!K5363+Sens!K5367-Sens!K5368)+(Sens!K5355+Sens!K5356-Sens!K5354)+(Sens!K5358+Sens!K5359-Sens!K5357)</f>
        <v>0</v>
      </c>
    </row>
    <row r="5371" customFormat="false" ht="17.15" hidden="false" customHeight="false" outlineLevel="0" collapsed="false">
      <c r="A5371" s="0" t="s">
        <v>813</v>
      </c>
      <c r="B5371" s="0" t="s">
        <v>126</v>
      </c>
      <c r="E5371" s="7" t="n">
        <f aca="false">(Q!M21+Sens!E5308+Sens!E5309+Sens!E5310+Sens!E5323-Sens!E5306)/(Q!M5-Sens!E5306)</f>
        <v>0.570957350878296</v>
      </c>
      <c r="F5371" s="7" t="n">
        <f aca="false">Sens!$E$5371+dm_seg</f>
        <v>0.570957350878296</v>
      </c>
      <c r="G5371" s="7" t="n">
        <f aca="false">Sens!$E$5371+dm_seg</f>
        <v>0.570957350878296</v>
      </c>
      <c r="H5371" s="7" t="n">
        <f aca="false">Sens!$E$5371+dm_seg</f>
        <v>0.570957350878296</v>
      </c>
      <c r="I5371" s="7" t="n">
        <f aca="false">Sens!$E$5371+dm_seg</f>
        <v>0.570957350878296</v>
      </c>
      <c r="J5371" s="7" t="n">
        <f aca="false">Sens!$E$5371+dm_seg</f>
        <v>0.570957350878296</v>
      </c>
      <c r="K5371" s="7" t="n">
        <f aca="false">Sens!$E$5371+dm_seg</f>
        <v>0.570957350878296</v>
      </c>
      <c r="L5371" s="11" t="s">
        <v>814</v>
      </c>
    </row>
    <row r="5372" customFormat="false" ht="17.15" hidden="false" customHeight="false" outlineLevel="0" collapsed="false">
      <c r="A5372" s="0" t="s">
        <v>654</v>
      </c>
      <c r="B5372" s="0" t="s">
        <v>95</v>
      </c>
      <c r="D5372" s="6" t="n">
        <f aca="false">Q!L21</f>
        <v>110.814</v>
      </c>
      <c r="E5372" s="6" t="n">
        <f aca="false">Q!M21</f>
        <v>136.365</v>
      </c>
      <c r="F5372" s="6" t="n">
        <f aca="false">Sens!F5371*(Sens!F5342-Sens!F5306)+Sens!F5306-(Sens!F5308+Sens!F5309+Sens!F5310)-Sens!F5323</f>
        <v>159.945765815987</v>
      </c>
      <c r="G5372" s="6" t="n">
        <f aca="false">Sens!G5371*(Sens!G5342-Sens!G5306)+Sens!G5306-(Sens!G5308+Sens!G5309+Sens!G5310)-Sens!G5323</f>
        <v>188.033548957165</v>
      </c>
      <c r="H5372" s="6" t="n">
        <f aca="false">Sens!H5371*(Sens!H5342-Sens!H5306)+Sens!H5306-(Sens!H5308+Sens!H5309+Sens!H5310)-Sens!H5323</f>
        <v>220.980870162826</v>
      </c>
      <c r="I5372" s="6" t="n">
        <f aca="false">Sens!I5371*(Sens!I5342-Sens!I5306)+Sens!I5306-(Sens!I5308+Sens!I5309+Sens!I5310)-Sens!I5323</f>
        <v>245.702405670798</v>
      </c>
      <c r="J5372" s="6" t="n">
        <f aca="false">Sens!J5371*(Sens!J5342-Sens!J5306)+Sens!J5306-(Sens!J5308+Sens!J5309+Sens!J5310)-Sens!J5323</f>
        <v>267.374589363568</v>
      </c>
      <c r="K5372" s="6" t="n">
        <f aca="false">Sens!K5371*(Sens!K5342-Sens!K5306)+Sens!K5306-(Sens!K5308+Sens!K5309+Sens!K5310)-Sens!K5323</f>
        <v>285.794689231448</v>
      </c>
      <c r="L5372" s="1" t="s">
        <v>815</v>
      </c>
    </row>
    <row r="5373" customFormat="false" ht="17.15" hidden="false" customHeight="false" outlineLevel="0" collapsed="false">
      <c r="A5373" s="0" t="s">
        <v>816</v>
      </c>
      <c r="B5373" s="0" t="s">
        <v>126</v>
      </c>
      <c r="E5373" s="7" t="n">
        <f aca="false">Q!M22/Q!M12</f>
        <v>0.296207935710698</v>
      </c>
      <c r="F5373" s="7" t="n">
        <f aca="false">Sens!$E$5373+dm_seg</f>
        <v>0.296207935710698</v>
      </c>
      <c r="G5373" s="7" t="n">
        <f aca="false">Sens!$E$5373+dm_seg</f>
        <v>0.296207935710698</v>
      </c>
      <c r="H5373" s="7" t="n">
        <f aca="false">Sens!$E$5373+dm_seg</f>
        <v>0.296207935710698</v>
      </c>
      <c r="I5373" s="7" t="n">
        <f aca="false">Sens!$E$5373+dm_seg</f>
        <v>0.296207935710698</v>
      </c>
      <c r="J5373" s="7" t="n">
        <f aca="false">Sens!$E$5373+dm_seg</f>
        <v>0.296207935710698</v>
      </c>
      <c r="K5373" s="7" t="n">
        <f aca="false">Sens!$E$5373+dm_seg</f>
        <v>0.296207935710698</v>
      </c>
      <c r="L5373" s="11" t="s">
        <v>817</v>
      </c>
    </row>
    <row r="5374" customFormat="false" ht="17.15" hidden="false" customHeight="false" outlineLevel="0" collapsed="false">
      <c r="A5374" s="0" t="s">
        <v>656</v>
      </c>
      <c r="B5374" s="0" t="s">
        <v>95</v>
      </c>
      <c r="D5374" s="6" t="n">
        <f aca="false">Q!L22</f>
        <v>17.714</v>
      </c>
      <c r="E5374" s="6" t="n">
        <f aca="false">Q!M22</f>
        <v>18.872</v>
      </c>
      <c r="F5374" s="6" t="n">
        <f aca="false">Sens!F5349*Sens!F5373</f>
        <v>19.2954518910651</v>
      </c>
      <c r="G5374" s="6" t="n">
        <f aca="false">Sens!G5349*Sens!G5373</f>
        <v>19.8830646387704</v>
      </c>
      <c r="H5374" s="6" t="n">
        <f aca="false">Sens!H5349*Sens!H5373</f>
        <v>20.6092017868026</v>
      </c>
      <c r="I5374" s="6" t="n">
        <f aca="false">Sens!I5349*Sens!I5373</f>
        <v>21.452361761678</v>
      </c>
      <c r="J5374" s="6" t="n">
        <f aca="false">Sens!J5349*Sens!J5373</f>
        <v>22.3946261183418</v>
      </c>
      <c r="K5374" s="6" t="n">
        <f aca="false">Sens!K5349*Sens!K5373</f>
        <v>23.4215879274986</v>
      </c>
    </row>
    <row r="5375" customFormat="false" ht="15" hidden="false" customHeight="false" outlineLevel="0" collapsed="false">
      <c r="A5375" s="1" t="s">
        <v>818</v>
      </c>
      <c r="B5375" s="0" t="s">
        <v>95</v>
      </c>
      <c r="D5375" s="6" t="n">
        <f aca="false">Sens!D5372+Sens!D5374</f>
        <v>128.528</v>
      </c>
      <c r="E5375" s="6" t="n">
        <f aca="false">Sens!E5372+Sens!E5374</f>
        <v>155.237</v>
      </c>
      <c r="F5375" s="6" t="n">
        <f aca="false">Sens!F5372+Sens!F5374</f>
        <v>179.241217707052</v>
      </c>
      <c r="G5375" s="6" t="n">
        <f aca="false">Sens!G5372+Sens!G5374</f>
        <v>207.916613595935</v>
      </c>
      <c r="H5375" s="6" t="n">
        <f aca="false">Sens!H5372+Sens!H5374</f>
        <v>241.590071949629</v>
      </c>
      <c r="I5375" s="6" t="n">
        <f aca="false">Sens!I5372+Sens!I5374</f>
        <v>267.154767432476</v>
      </c>
      <c r="J5375" s="6" t="n">
        <f aca="false">Sens!J5372+Sens!J5374</f>
        <v>289.76921548191</v>
      </c>
      <c r="K5375" s="6" t="n">
        <f aca="false">Sens!K5372+Sens!K5374</f>
        <v>309.216277158947</v>
      </c>
    </row>
    <row r="5376" customFormat="false" ht="15" hidden="false" customHeight="false" outlineLevel="0" collapsed="false">
      <c r="A5376" s="22" t="s">
        <v>819</v>
      </c>
      <c r="B5376" s="28" t="s">
        <v>95</v>
      </c>
      <c r="C5376" s="28"/>
      <c r="D5376" s="23" t="n">
        <f aca="false">Sens!D5375-Q!L23</f>
        <v>0</v>
      </c>
      <c r="E5376" s="23" t="n">
        <f aca="false">Sens!E5375-Q!M23</f>
        <v>0</v>
      </c>
      <c r="F5376" s="28"/>
      <c r="G5376" s="28"/>
      <c r="H5376" s="28"/>
      <c r="I5376" s="28"/>
      <c r="J5376" s="28"/>
      <c r="K5376" s="28"/>
    </row>
    <row r="5377" customFormat="false" ht="15" hidden="false" customHeight="false" outlineLevel="0" collapsed="false">
      <c r="A5377" s="1" t="s">
        <v>820</v>
      </c>
      <c r="B5377" s="0" t="s">
        <v>126</v>
      </c>
      <c r="D5377" s="7" t="n">
        <f aca="false">Sens!D5375/Sens!D5368</f>
        <v>0.456219562408598</v>
      </c>
      <c r="E5377" s="7" t="n">
        <f aca="false">Sens!E5375/Sens!E5368</f>
        <v>0.467808184089272</v>
      </c>
      <c r="F5377" s="7" t="n">
        <f aca="false">Sens!F5375/Sens!F5368</f>
        <v>0.447213628750619</v>
      </c>
      <c r="G5377" s="7" t="n">
        <f aca="false">Sens!G5375/Sens!G5368</f>
        <v>0.42841488824562</v>
      </c>
      <c r="H5377" s="7" t="n">
        <f aca="false">Sens!H5375/Sens!H5368</f>
        <v>0.419133901618734</v>
      </c>
      <c r="I5377" s="7" t="n">
        <f aca="false">Sens!I5375/Sens!I5368</f>
        <v>0.40499609231211</v>
      </c>
      <c r="J5377" s="7" t="n">
        <f aca="false">Sens!J5375/Sens!J5368</f>
        <v>0.391823544243072</v>
      </c>
      <c r="K5377" s="7" t="n">
        <f aca="false">Sens!K5375/Sens!K5368</f>
        <v>0.378826037054674</v>
      </c>
    </row>
    <row r="5378" customFormat="false" ht="17.15" hidden="false" customHeight="false" outlineLevel="0" collapsed="false">
      <c r="A5378" s="1" t="s">
        <v>821</v>
      </c>
      <c r="B5378" s="0" t="s">
        <v>95</v>
      </c>
      <c r="E5378" s="6" t="n">
        <f aca="false">Sens!E5323</f>
        <v>16.3054059770833</v>
      </c>
      <c r="F5378" s="6" t="n">
        <f aca="false">Sens!F5323</f>
        <v>34.7595354558698</v>
      </c>
      <c r="G5378" s="6" t="n">
        <f aca="false">Sens!G5323</f>
        <v>60.5447332603396</v>
      </c>
      <c r="H5378" s="6" t="n">
        <f aca="false">Sens!H5323</f>
        <v>87.7803159931396</v>
      </c>
      <c r="I5378" s="6" t="n">
        <f aca="false">Sens!I5323</f>
        <v>116.035181741123</v>
      </c>
      <c r="J5378" s="6" t="n">
        <f aca="false">Sens!J5323</f>
        <v>145.262277958273</v>
      </c>
      <c r="K5378" s="6" t="n">
        <f aca="false">Sens!K5323</f>
        <v>175.77692263459</v>
      </c>
    </row>
    <row r="5379" customFormat="false" ht="17.15" hidden="false" customHeight="false" outlineLevel="0" collapsed="false">
      <c r="A5379" s="1" t="s">
        <v>822</v>
      </c>
      <c r="B5379" s="0" t="s">
        <v>95</v>
      </c>
      <c r="E5379" s="6" t="n">
        <f aca="false">Sens!E5399</f>
        <v>22.2285940229167</v>
      </c>
      <c r="F5379" s="6" t="n">
        <f aca="false">Sens!F5399</f>
        <v>23.5408693435813</v>
      </c>
      <c r="G5379" s="6" t="n">
        <f aca="false">Sens!G5399</f>
        <v>25.2840717662621</v>
      </c>
      <c r="H5379" s="6" t="n">
        <f aca="false">Sens!H5399</f>
        <v>27.4236159540448</v>
      </c>
      <c r="I5379" s="6" t="n">
        <f aca="false">Sens!I5399</f>
        <v>29.8914943898047</v>
      </c>
      <c r="J5379" s="6" t="n">
        <f aca="false">Sens!J5399</f>
        <v>32.6032362758616</v>
      </c>
      <c r="K5379" s="6" t="n">
        <f aca="false">Sens!K5399</f>
        <v>35.4749829224749</v>
      </c>
    </row>
    <row r="5380" customFormat="false" ht="17.15" hidden="false" customHeight="false" outlineLevel="0" collapsed="false">
      <c r="A5380" s="1" t="s">
        <v>823</v>
      </c>
      <c r="B5380" s="0" t="s">
        <v>95</v>
      </c>
      <c r="D5380" s="6" t="n">
        <f aca="false">Q!L27</f>
        <v>-4.901</v>
      </c>
      <c r="E5380" s="6" t="n">
        <f aca="false">Q!M27</f>
        <v>10.697</v>
      </c>
      <c r="F5380" s="6" t="n">
        <f aca="false">oie_f</f>
        <v>-0.4</v>
      </c>
      <c r="G5380" s="6" t="n">
        <f aca="false">oie_f</f>
        <v>-0.4</v>
      </c>
      <c r="H5380" s="6" t="n">
        <f aca="false">oie_f</f>
        <v>-0.4</v>
      </c>
      <c r="I5380" s="6" t="n">
        <f aca="false">oie_f</f>
        <v>-0.4</v>
      </c>
      <c r="J5380" s="6" t="n">
        <f aca="false">oie_f</f>
        <v>-0.4</v>
      </c>
      <c r="K5380" s="6" t="n">
        <f aca="false">oie_f</f>
        <v>-0.4</v>
      </c>
      <c r="L5380" s="11" t="s">
        <v>824</v>
      </c>
    </row>
    <row r="5381" customFormat="false" ht="15" hidden="false" customHeight="false" outlineLevel="0" collapsed="false">
      <c r="A5381" s="1" t="s">
        <v>666</v>
      </c>
      <c r="B5381" s="0" t="s">
        <v>95</v>
      </c>
      <c r="D5381" s="6" t="n">
        <f aca="false">Sens!D5375+Sens!D5380</f>
        <v>123.627</v>
      </c>
      <c r="E5381" s="6" t="n">
        <f aca="false">Sens!E5375+Sens!E5380</f>
        <v>165.934</v>
      </c>
      <c r="F5381" s="6" t="n">
        <f aca="false">Sens!F5375+Sens!F5380</f>
        <v>178.841217707052</v>
      </c>
      <c r="G5381" s="6" t="n">
        <f aca="false">Sens!G5375+Sens!G5380</f>
        <v>207.516613595935</v>
      </c>
      <c r="H5381" s="6" t="n">
        <f aca="false">Sens!H5375+Sens!H5380</f>
        <v>241.190071949629</v>
      </c>
      <c r="I5381" s="6" t="n">
        <f aca="false">Sens!I5375+Sens!I5380</f>
        <v>266.754767432476</v>
      </c>
      <c r="J5381" s="6" t="n">
        <f aca="false">Sens!J5375+Sens!J5380</f>
        <v>289.36921548191</v>
      </c>
      <c r="K5381" s="6" t="n">
        <f aca="false">Sens!K5375+Sens!K5380</f>
        <v>308.816277158947</v>
      </c>
    </row>
    <row r="5382" customFormat="false" ht="15" hidden="false" customHeight="false" outlineLevel="0" collapsed="false">
      <c r="A5382" s="1" t="s">
        <v>668</v>
      </c>
      <c r="B5382" s="0" t="s">
        <v>95</v>
      </c>
      <c r="D5382" s="6" t="n">
        <f aca="false">Q!L29</f>
        <v>21.795</v>
      </c>
      <c r="E5382" s="6" t="n">
        <f aca="false">Q!M29</f>
        <v>32.185</v>
      </c>
      <c r="F5382" s="6" t="n">
        <f aca="false">Sens!F5381*tax_f</f>
        <v>35.7682435414103</v>
      </c>
      <c r="G5382" s="6" t="n">
        <f aca="false">Sens!G5381*tax_f</f>
        <v>41.503322719187</v>
      </c>
      <c r="H5382" s="6" t="n">
        <f aca="false">Sens!H5381*tax_f</f>
        <v>48.2380143899258</v>
      </c>
      <c r="I5382" s="6" t="n">
        <f aca="false">Sens!I5381*tax_f</f>
        <v>53.3509534864951</v>
      </c>
      <c r="J5382" s="6" t="n">
        <f aca="false">Sens!J5381*tax_f</f>
        <v>57.873843096382</v>
      </c>
      <c r="K5382" s="6" t="n">
        <f aca="false">Sens!K5381*tax_f</f>
        <v>61.7632554317894</v>
      </c>
    </row>
    <row r="5383" customFormat="false" ht="15" hidden="false" customHeight="false" outlineLevel="0" collapsed="false">
      <c r="A5383" s="1" t="s">
        <v>825</v>
      </c>
      <c r="B5383" s="0" t="s">
        <v>95</v>
      </c>
      <c r="D5383" s="6" t="n">
        <f aca="false">Sens!D5381-Sens!D5382</f>
        <v>101.832</v>
      </c>
      <c r="E5383" s="6" t="n">
        <f aca="false">Sens!E5381-Sens!E5382</f>
        <v>133.749</v>
      </c>
      <c r="F5383" s="6" t="n">
        <f aca="false">Sens!F5381-Sens!F5382</f>
        <v>143.072974165641</v>
      </c>
      <c r="G5383" s="6" t="n">
        <f aca="false">Sens!G5381-Sens!G5382</f>
        <v>166.013290876748</v>
      </c>
      <c r="H5383" s="6" t="n">
        <f aca="false">Sens!H5381-Sens!H5382</f>
        <v>192.952057559703</v>
      </c>
      <c r="I5383" s="6" t="n">
        <f aca="false">Sens!I5381-Sens!I5382</f>
        <v>213.40381394598</v>
      </c>
      <c r="J5383" s="6" t="n">
        <f aca="false">Sens!J5381-Sens!J5382</f>
        <v>231.495372385528</v>
      </c>
      <c r="K5383" s="6" t="n">
        <f aca="false">Sens!K5381-Sens!K5382</f>
        <v>247.053021727157</v>
      </c>
    </row>
    <row r="5384" customFormat="false" ht="17.15" hidden="false" customHeight="false" outlineLevel="0" collapsed="false">
      <c r="A5384" s="1" t="s">
        <v>826</v>
      </c>
      <c r="B5384" s="1" t="s">
        <v>79</v>
      </c>
      <c r="D5384" s="18" t="n">
        <f aca="false">Q!L31</f>
        <v>7.465</v>
      </c>
      <c r="E5384" s="18" t="n">
        <f aca="false">Q!M31</f>
        <v>7.453</v>
      </c>
      <c r="F5384" s="18" t="n">
        <f aca="false">Sens!F5421</f>
        <v>7.4735</v>
      </c>
      <c r="G5384" s="18" t="n">
        <f aca="false">Sens!G5421</f>
        <v>7.51023102441955</v>
      </c>
      <c r="H5384" s="18" t="n">
        <f aca="false">Sens!H5421</f>
        <v>7.52971363468906</v>
      </c>
      <c r="I5384" s="18" t="n">
        <f aca="false">Sens!I5421</f>
        <v>7.54149446669638</v>
      </c>
      <c r="J5384" s="18" t="n">
        <f aca="false">Sens!J5421</f>
        <v>7.55573597781426</v>
      </c>
      <c r="K5384" s="18" t="n">
        <f aca="false">Sens!K5421</f>
        <v>7.572255895516</v>
      </c>
    </row>
    <row r="5385" customFormat="false" ht="17.15" hidden="false" customHeight="false" outlineLevel="0" collapsed="false">
      <c r="A5385" s="0" t="s">
        <v>827</v>
      </c>
      <c r="B5385" s="0" t="s">
        <v>73</v>
      </c>
      <c r="D5385" s="8" t="n">
        <f aca="false">Sens!D5383/Sens!D5384</f>
        <v>13.641259209645</v>
      </c>
      <c r="E5385" s="8" t="n">
        <f aca="false">Sens!E5383/Sens!E5384</f>
        <v>17.9456594659869</v>
      </c>
      <c r="F5385" s="8" t="n">
        <f aca="false">Sens!F5383/Sens!F5384</f>
        <v>19.1440388259372</v>
      </c>
      <c r="G5385" s="8" t="n">
        <f aca="false">Sens!G5383/Sens!G5384</f>
        <v>22.1049512773915</v>
      </c>
      <c r="H5385" s="8" t="n">
        <f aca="false">Sens!H5383/Sens!H5384</f>
        <v>25.6254177676534</v>
      </c>
      <c r="I5385" s="8" t="n">
        <f aca="false">Sens!I5383/Sens!I5384</f>
        <v>28.2972844292842</v>
      </c>
      <c r="J5385" s="8" t="n">
        <f aca="false">Sens!J5383/Sens!J5384</f>
        <v>30.6383617777623</v>
      </c>
      <c r="K5385" s="8" t="n">
        <f aca="false">Sens!K5383/Sens!K5384</f>
        <v>32.6260793528455</v>
      </c>
      <c r="L5385" s="1" t="s">
        <v>828</v>
      </c>
    </row>
    <row r="5386" customFormat="false" ht="17.15" hidden="false" customHeight="false" outlineLevel="0" collapsed="false">
      <c r="A5386" s="0" t="s">
        <v>829</v>
      </c>
      <c r="B5386" s="0" t="s">
        <v>126</v>
      </c>
      <c r="E5386" s="7" t="n">
        <f aca="false">Sens!E5385/Sens!D5385-1</f>
        <v>0.315542736208578</v>
      </c>
      <c r="F5386" s="7" t="n">
        <f aca="false">Sens!F5385/Sens!E5385-1</f>
        <v>0.0667782291434675</v>
      </c>
      <c r="G5386" s="7" t="n">
        <f aca="false">Sens!G5385/Sens!F5385-1</f>
        <v>0.154664983621049</v>
      </c>
      <c r="H5386" s="7" t="n">
        <f aca="false">Sens!H5385/Sens!G5385-1</f>
        <v>0.1592614453696</v>
      </c>
      <c r="I5386" s="7" t="n">
        <f aca="false">Sens!I5385/Sens!H5385-1</f>
        <v>0.104266267416856</v>
      </c>
      <c r="J5386" s="7" t="n">
        <f aca="false">Sens!J5385/Sens!I5385-1</f>
        <v>0.0827315198505543</v>
      </c>
      <c r="K5386" s="7" t="n">
        <f aca="false">Sens!K5385/Sens!J5385-1</f>
        <v>0.0648767577555638</v>
      </c>
    </row>
    <row r="5387" customFormat="false" ht="17.15" hidden="false" customHeight="false" outlineLevel="0" collapsed="false">
      <c r="A5387" s="0" t="s">
        <v>763</v>
      </c>
      <c r="B5387" s="0" t="s">
        <v>95</v>
      </c>
      <c r="E5387" s="6" t="n">
        <f aca="false">Sens!E5332</f>
        <v>5.25</v>
      </c>
      <c r="F5387" s="6" t="n">
        <f aca="false">Sens!F5332</f>
        <v>9.72</v>
      </c>
      <c r="G5387" s="6" t="n">
        <f aca="false">Sens!G5332</f>
        <v>16.2</v>
      </c>
      <c r="H5387" s="6" t="n">
        <f aca="false">Sens!H5332</f>
        <v>22.68</v>
      </c>
      <c r="I5387" s="6" t="n">
        <f aca="false">Sens!I5332</f>
        <v>27.54</v>
      </c>
      <c r="J5387" s="6" t="n">
        <f aca="false">Sens!J5332</f>
        <v>30.78</v>
      </c>
      <c r="K5387" s="6" t="n">
        <f aca="false">Sens!K5332</f>
        <v>34.02</v>
      </c>
    </row>
    <row r="5388" customFormat="false" ht="17.15" hidden="false" customHeight="false" outlineLevel="0" collapsed="false">
      <c r="A5388" s="0" t="s">
        <v>764</v>
      </c>
      <c r="B5388" s="0" t="s">
        <v>95</v>
      </c>
      <c r="E5388" s="6" t="n">
        <f aca="false">Sens!E5312+Sens!E5387*Sens!E5371-Sens!E5313-Sens!E5323</f>
        <v>2.1514866143068</v>
      </c>
      <c r="F5388" s="6" t="n">
        <f aca="false">Sens!F5312+Sens!F5387*Sens!F5371-Sens!F5313-Sens!F5323</f>
        <v>7.38509284889459</v>
      </c>
      <c r="G5388" s="6" t="n">
        <f aca="false">Sens!G5312+Sens!G5387*Sens!G5371-Sens!G5313-Sens!G5323</f>
        <v>16.391447029629</v>
      </c>
      <c r="H5388" s="6" t="n">
        <f aca="false">Sens!H5312+Sens!H5387*Sens!H5371-Sens!H5313-Sens!H5323</f>
        <v>30.0751904839891</v>
      </c>
      <c r="I5388" s="6" t="n">
        <f aca="false">Sens!I5312+Sens!I5387*Sens!I5371-Sens!I5313-Sens!I5323</f>
        <v>36.0211405966184</v>
      </c>
      <c r="J5388" s="6" t="n">
        <f aca="false">Sens!J5312+Sens!J5387*Sens!J5371-Sens!J5313-Sens!J5323</f>
        <v>40.1565365150304</v>
      </c>
      <c r="K5388" s="6" t="n">
        <f aca="false">Sens!K5312+Sens!K5387*Sens!K5371-Sens!K5313-Sens!K5323</f>
        <v>43.0553425800265</v>
      </c>
    </row>
    <row r="5389" customFormat="false" ht="17.15" hidden="false" customHeight="false" outlineLevel="0" collapsed="false">
      <c r="A5389" s="0" t="s">
        <v>765</v>
      </c>
      <c r="B5389" s="0" t="s">
        <v>95</v>
      </c>
      <c r="E5389" s="6" t="n">
        <f aca="false">Sens!E5295*(cxit_open+self_build*tk_cxfac)/1000*ai_net_open</f>
        <v>126.6980382</v>
      </c>
      <c r="F5389" s="6" t="n">
        <f aca="false">Sens!E5389+Sens!F5320-Sens!F5323</f>
        <v>260.787155514568</v>
      </c>
      <c r="G5389" s="6" t="n">
        <f aca="false">Sens!F5389+Sens!G5320-Sens!G5323</f>
        <v>383.816602737428</v>
      </c>
      <c r="H5389" s="6" t="n">
        <f aca="false">Sens!G5389+Sens!H5320-Sens!H5323</f>
        <v>484.116572654688</v>
      </c>
      <c r="I5389" s="6" t="n">
        <f aca="false">Sens!H5389+Sens!I5320-Sens!I5323</f>
        <v>586.420352170632</v>
      </c>
      <c r="J5389" s="6" t="n">
        <f aca="false">Sens!I5389+Sens!J5320-Sens!J5323</f>
        <v>674.935135136093</v>
      </c>
      <c r="K5389" s="6" t="n">
        <f aca="false">Sens!J5389+Sens!K5320-Sens!K5323</f>
        <v>778.014524451903</v>
      </c>
      <c r="L5389" s="1" t="s">
        <v>766</v>
      </c>
    </row>
    <row r="5390" customFormat="false" ht="17.15" hidden="false" customHeight="false" outlineLevel="0" collapsed="false">
      <c r="A5390" s="0" t="s">
        <v>767</v>
      </c>
      <c r="B5390" s="0" t="s">
        <v>126</v>
      </c>
      <c r="F5390" s="7" t="n">
        <f aca="false">Sens!F5388*(1-tax_f)/((Sens!E5389+Sens!F5389)/2)</f>
        <v>0.0304944517878416</v>
      </c>
      <c r="G5390" s="7" t="n">
        <f aca="false">Sens!G5388*(1-tax_f)/((Sens!F5389+Sens!G5389)/2)</f>
        <v>0.0406859484011163</v>
      </c>
      <c r="H5390" s="7" t="n">
        <f aca="false">Sens!H5388*(1-tax_f)/((Sens!G5389+Sens!H5389)/2)</f>
        <v>0.0554424074787124</v>
      </c>
      <c r="I5390" s="7" t="n">
        <f aca="false">Sens!I5388*(1-tax_f)/((Sens!H5389+Sens!I5389)/2)</f>
        <v>0.0538363727752722</v>
      </c>
      <c r="J5390" s="7" t="n">
        <f aca="false">Sens!J5388*(1-tax_f)/((Sens!I5389+Sens!J5389)/2)</f>
        <v>0.0509376294554659</v>
      </c>
      <c r="K5390" s="7" t="n">
        <f aca="false">Sens!K5388*(1-tax_f)/((Sens!J5389+Sens!K5389)/2)</f>
        <v>0.0474128939522769</v>
      </c>
    </row>
    <row r="5391" customFormat="false" ht="17.15" hidden="false" customHeight="false" outlineLevel="0" collapsed="false">
      <c r="A5391" s="1" t="s">
        <v>768</v>
      </c>
      <c r="B5391" s="0" t="s">
        <v>126</v>
      </c>
      <c r="F5391" s="7" t="n">
        <f aca="false">Sens!F5324*(1-tax_f)/(Sens!F5311*(Sens!E5389+Sens!F5389)/2)</f>
        <v>0.153276443366911</v>
      </c>
      <c r="G5391" s="7" t="n">
        <f aca="false">Sens!G5324*(1-tax_f)/(Sens!G5311*(Sens!F5389+Sens!G5389)/2)</f>
        <v>0.174347778291941</v>
      </c>
      <c r="H5391" s="7" t="n">
        <f aca="false">Sens!H5324*(1-tax_f)/(Sens!H5311*(Sens!G5389+Sens!H5389)/2)</f>
        <v>0.207393646052191</v>
      </c>
      <c r="I5391" s="7" t="n">
        <f aca="false">Sens!I5324*(1-tax_f)/(Sens!I5311*(Sens!H5389+Sens!I5389)/2)</f>
        <v>0.215382525460355</v>
      </c>
      <c r="J5391" s="7" t="n">
        <f aca="false">Sens!J5324*(1-tax_f)/(Sens!J5311*(Sens!I5389+Sens!J5389)/2)</f>
        <v>0.221855528608103</v>
      </c>
      <c r="K5391" s="7" t="n">
        <f aca="false">Sens!K5324*(1-tax_f)/(Sens!K5311*(Sens!J5389+Sens!K5389)/2)</f>
        <v>0.225189048272496</v>
      </c>
    </row>
    <row r="5392" customFormat="false" ht="17.15" hidden="false" customHeight="false" outlineLevel="0" collapsed="false">
      <c r="A5392" s="0" t="s">
        <v>769</v>
      </c>
      <c r="B5392" s="0" t="s">
        <v>208</v>
      </c>
      <c r="F5392" s="7" t="n">
        <f aca="false">Sens!F5390-wacc</f>
        <v>-0.0784687693624124</v>
      </c>
      <c r="G5392" s="7" t="n">
        <f aca="false">Sens!G5390-wacc</f>
        <v>-0.0682772727491377</v>
      </c>
      <c r="H5392" s="7" t="n">
        <f aca="false">Sens!H5390-wacc</f>
        <v>-0.0535208136715415</v>
      </c>
      <c r="I5392" s="7" t="n">
        <f aca="false">Sens!I5390-wacc</f>
        <v>-0.0551268483749818</v>
      </c>
      <c r="J5392" s="7" t="n">
        <f aca="false">Sens!J5390-wacc</f>
        <v>-0.0580255916947881</v>
      </c>
      <c r="K5392" s="7" t="n">
        <f aca="false">Sens!K5390-wacc</f>
        <v>-0.0615503271979771</v>
      </c>
    </row>
    <row r="5393" customFormat="false" ht="17.15" hidden="false" customHeight="false" outlineLevel="0" collapsed="false">
      <c r="A5393" s="0" t="s">
        <v>770</v>
      </c>
      <c r="B5393" s="0" t="s">
        <v>95</v>
      </c>
      <c r="F5393" s="6" t="n">
        <f aca="false">Sens!F5388*(1-tax_f)-wacc*(Sens!E5389+Sens!F5389)/2</f>
        <v>-15.2027431484691</v>
      </c>
      <c r="G5393" s="6" t="n">
        <f aca="false">Sens!G5388*(1-tax_f)-wacc*(Sens!F5389+Sens!G5389)/2</f>
        <v>-22.0058933086454</v>
      </c>
      <c r="H5393" s="6" t="n">
        <f aca="false">Sens!H5388*(1-tax_f)-wacc*(Sens!G5389+Sens!H5389)/2</f>
        <v>-23.2262448797554</v>
      </c>
      <c r="I5393" s="6" t="n">
        <f aca="false">Sens!I5388*(1-tax_f)-wacc*(Sens!H5389+Sens!I5389)/2</f>
        <v>-29.5076633673324</v>
      </c>
      <c r="J5393" s="6" t="n">
        <f aca="false">Sens!J5388*(1-tax_f)-wacc*(Sens!I5389+Sens!J5389)/2</f>
        <v>-36.5954492442202</v>
      </c>
      <c r="K5393" s="6" t="n">
        <f aca="false">Sens!K5388*(1-tax_f)-wacc*(Sens!J5389+Sens!K5389)/2</f>
        <v>-44.7147634749153</v>
      </c>
    </row>
    <row r="5394" customFormat="false" ht="17.15" hidden="false" customHeight="false" outlineLevel="0" collapsed="false">
      <c r="A5394" s="1" t="s">
        <v>771</v>
      </c>
      <c r="B5394" s="0" t="s">
        <v>95</v>
      </c>
      <c r="F5394" s="6" t="n">
        <f aca="false">(Sens!E5296+Sens!F5296)/2*Sens!F5303/1000</f>
        <v>26.7873066765967</v>
      </c>
      <c r="G5394" s="6" t="n">
        <f aca="false">(Sens!F5296+Sens!G5296)/2*Sens!G5303/1000</f>
        <v>45.4131817597218</v>
      </c>
      <c r="H5394" s="6" t="n">
        <f aca="false">(Sens!G5296+Sens!H5296)/2*Sens!H5303/1000</f>
        <v>65.3915129357971</v>
      </c>
      <c r="I5394" s="6" t="n">
        <f aca="false">(Sens!H5296+Sens!I5296)/2*Sens!I5303/1000</f>
        <v>85.5187419289299</v>
      </c>
      <c r="J5394" s="6" t="n">
        <f aca="false">(Sens!I5296+Sens!J5296)/2*Sens!J5303/1000</f>
        <v>105.723807195006</v>
      </c>
      <c r="K5394" s="6" t="n">
        <f aca="false">(Sens!J5296+Sens!K5296)/2*Sens!K5303/1000</f>
        <v>125.974659797015</v>
      </c>
      <c r="L5394" s="1" t="s">
        <v>772</v>
      </c>
    </row>
    <row r="5395" customFormat="false" ht="17.15" hidden="false" customHeight="false" outlineLevel="0" collapsed="false">
      <c r="A5395" s="1" t="s">
        <v>773</v>
      </c>
      <c r="B5395" s="0" t="s">
        <v>126</v>
      </c>
      <c r="F5395" s="7" t="n">
        <f aca="false">(Sens!F5312+Sens!F5394-Sens!F5313-Sens!F5323)*(1-tax_f)/((Sens!E5389+Sens!F5389)/2)</f>
        <v>0.118188543105112</v>
      </c>
      <c r="G5395" s="7" t="n">
        <f aca="false">(Sens!G5312+Sens!G5394-Sens!G5313-Sens!G5323)*(1-tax_f)/((Sens!F5389+Sens!G5389)/2)</f>
        <v>0.130449427965207</v>
      </c>
      <c r="H5395" s="7" t="n">
        <f aca="false">(Sens!H5312+Sens!H5394-Sens!H5313-Sens!H5323)*(1-tax_f)/((Sens!G5389+Sens!H5389)/2)</f>
        <v>0.152117500363249</v>
      </c>
      <c r="I5395" s="7" t="n">
        <f aca="false">(Sens!I5312+Sens!I5394-Sens!I5313-Sens!I5323)*(1-tax_f)/((Sens!H5389+Sens!I5389)/2)</f>
        <v>0.158149750284794</v>
      </c>
      <c r="J5395" s="7" t="n">
        <f aca="false">(Sens!J5312+Sens!J5394-Sens!J5313-Sens!J5323)*(1-tax_f)/((Sens!I5389+Sens!J5389)/2)</f>
        <v>0.162753517454737</v>
      </c>
      <c r="K5395" s="7" t="n">
        <f aca="false">(Sens!K5312+Sens!K5394-Sens!K5313-Sens!K5323)*(1-tax_f)/((Sens!J5389+Sens!K5389)/2)</f>
        <v>0.164747382471692</v>
      </c>
      <c r="L5395" s="1" t="s">
        <v>774</v>
      </c>
    </row>
    <row r="5396" customFormat="false" ht="17.15" hidden="false" customHeight="false" outlineLevel="0" collapsed="false">
      <c r="A5396" s="3" t="s">
        <v>1267</v>
      </c>
    </row>
    <row r="5397" customFormat="false" ht="15" hidden="false" customHeight="false" outlineLevel="0" collapsed="false">
      <c r="A5397" s="4" t="s">
        <v>43</v>
      </c>
      <c r="B5397" s="4" t="s">
        <v>63</v>
      </c>
      <c r="C5397" s="19" t="s">
        <v>710</v>
      </c>
      <c r="D5397" s="19" t="s">
        <v>711</v>
      </c>
      <c r="E5397" s="19" t="s">
        <v>712</v>
      </c>
      <c r="F5397" s="19" t="s">
        <v>713</v>
      </c>
      <c r="G5397" s="19" t="s">
        <v>714</v>
      </c>
      <c r="H5397" s="19" t="s">
        <v>715</v>
      </c>
      <c r="I5397" s="19" t="s">
        <v>716</v>
      </c>
      <c r="J5397" s="19" t="s">
        <v>717</v>
      </c>
      <c r="K5397" s="19" t="s">
        <v>718</v>
      </c>
      <c r="L5397" s="4" t="s">
        <v>47</v>
      </c>
    </row>
    <row r="5398" customFormat="false" ht="15" hidden="false" customHeight="false" outlineLevel="0" collapsed="false">
      <c r="A5398" s="1" t="s">
        <v>825</v>
      </c>
      <c r="B5398" s="0" t="s">
        <v>95</v>
      </c>
      <c r="F5398" s="6" t="n">
        <f aca="false">Sens!F5383</f>
        <v>143.072974165641</v>
      </c>
      <c r="G5398" s="6" t="n">
        <f aca="false">Sens!G5383</f>
        <v>166.013290876748</v>
      </c>
      <c r="H5398" s="6" t="n">
        <f aca="false">Sens!H5383</f>
        <v>192.952057559703</v>
      </c>
      <c r="I5398" s="6" t="n">
        <f aca="false">Sens!I5383</f>
        <v>213.40381394598</v>
      </c>
      <c r="J5398" s="6" t="n">
        <f aca="false">Sens!J5383</f>
        <v>231.495372385528</v>
      </c>
      <c r="K5398" s="6" t="n">
        <f aca="false">Sens!K5383</f>
        <v>247.053021727157</v>
      </c>
    </row>
    <row r="5399" customFormat="false" ht="17.15" hidden="false" customHeight="false" outlineLevel="0" collapsed="false">
      <c r="A5399" s="1" t="s">
        <v>843</v>
      </c>
      <c r="B5399" s="0" t="s">
        <v>95</v>
      </c>
      <c r="E5399" s="6" t="n">
        <f aca="false">Q!M38-Sens!E5323</f>
        <v>22.2285940229167</v>
      </c>
      <c r="F5399" s="6" t="n">
        <f aca="false">Sens!E5399*(1-1/life_nonai)+Sens!F5405/life_nonai</f>
        <v>23.5408693435813</v>
      </c>
      <c r="G5399" s="6" t="n">
        <f aca="false">Sens!F5399*(1-1/life_nonai)+Sens!G5405/life_nonai</f>
        <v>25.2840717662621</v>
      </c>
      <c r="H5399" s="6" t="n">
        <f aca="false">Sens!G5399*(1-1/life_nonai)+Sens!H5405/life_nonai</f>
        <v>27.4236159540448</v>
      </c>
      <c r="I5399" s="6" t="n">
        <f aca="false">Sens!H5399*(1-1/life_nonai)+Sens!I5405/life_nonai</f>
        <v>29.8914943898047</v>
      </c>
      <c r="J5399" s="6" t="n">
        <f aca="false">Sens!I5399*(1-1/life_nonai)+Sens!J5405/life_nonai</f>
        <v>32.6032362758616</v>
      </c>
      <c r="K5399" s="6" t="n">
        <f aca="false">Sens!J5399*(1-1/life_nonai)+Sens!K5405/life_nonai</f>
        <v>35.4749829224749</v>
      </c>
      <c r="L5399" s="11" t="s">
        <v>844</v>
      </c>
    </row>
    <row r="5400" customFormat="false" ht="17.15" hidden="false" customHeight="false" outlineLevel="0" collapsed="false">
      <c r="A5400" s="1" t="s">
        <v>845</v>
      </c>
      <c r="B5400" s="0" t="s">
        <v>95</v>
      </c>
      <c r="E5400" s="6" t="n">
        <f aca="false">Sens!E5323+Sens!E5399</f>
        <v>38.534</v>
      </c>
      <c r="F5400" s="6" t="n">
        <f aca="false">Sens!F5323+Sens!F5399</f>
        <v>58.300404799451</v>
      </c>
      <c r="G5400" s="6" t="n">
        <f aca="false">Sens!G5323+Sens!G5399</f>
        <v>85.8288050266016</v>
      </c>
      <c r="H5400" s="6" t="n">
        <f aca="false">Sens!H5323+Sens!H5399</f>
        <v>115.203931947184</v>
      </c>
      <c r="I5400" s="6" t="n">
        <f aca="false">Sens!I5323+Sens!I5399</f>
        <v>145.926676130928</v>
      </c>
      <c r="J5400" s="6" t="n">
        <f aca="false">Sens!J5323+Sens!J5399</f>
        <v>177.865514234135</v>
      </c>
      <c r="K5400" s="6" t="n">
        <f aca="false">Sens!K5323+Sens!K5399</f>
        <v>211.251905557064</v>
      </c>
    </row>
    <row r="5401" customFormat="false" ht="15" hidden="false" customHeight="false" outlineLevel="0" collapsed="false">
      <c r="A5401" s="1" t="s">
        <v>685</v>
      </c>
      <c r="B5401" s="0" t="s">
        <v>95</v>
      </c>
      <c r="F5401" s="6" t="n">
        <f aca="false">Sens!F5350*sbc_r</f>
        <v>14.9827729498116</v>
      </c>
      <c r="G5401" s="6" t="n">
        <f aca="false">Sens!G5350*sbc_r</f>
        <v>18.1423683667783</v>
      </c>
      <c r="H5401" s="6" t="n">
        <f aca="false">Sens!H5350*sbc_r</f>
        <v>21.5474377968688</v>
      </c>
      <c r="I5401" s="6" t="n">
        <f aca="false">Sens!I5350*sbc_r</f>
        <v>24.6593394211317</v>
      </c>
      <c r="J5401" s="6" t="n">
        <f aca="false">Sens!J5350*sbc_r</f>
        <v>27.645920761487</v>
      </c>
      <c r="K5401" s="6" t="n">
        <f aca="false">Sens!K5350*sbc_r</f>
        <v>30.5134890006218</v>
      </c>
    </row>
    <row r="5402" customFormat="false" ht="17.15" hidden="false" customHeight="false" outlineLevel="0" collapsed="false">
      <c r="A5402" s="1" t="s">
        <v>846</v>
      </c>
      <c r="B5402" s="0" t="s">
        <v>95</v>
      </c>
      <c r="F5402" s="6" t="n">
        <f aca="false">wc27</f>
        <v>-4.895</v>
      </c>
      <c r="G5402" s="6" t="n">
        <f aca="false">0</f>
        <v>0</v>
      </c>
      <c r="H5402" s="6" t="n">
        <f aca="false">0</f>
        <v>0</v>
      </c>
      <c r="I5402" s="6" t="n">
        <f aca="false">0</f>
        <v>0</v>
      </c>
      <c r="J5402" s="6" t="n">
        <f aca="false">0</f>
        <v>0</v>
      </c>
      <c r="K5402" s="6" t="n">
        <f aca="false">0</f>
        <v>0</v>
      </c>
      <c r="L5402" s="11" t="s">
        <v>847</v>
      </c>
    </row>
    <row r="5403" customFormat="false" ht="15" hidden="false" customHeight="false" outlineLevel="0" collapsed="false">
      <c r="A5403" s="1" t="s">
        <v>678</v>
      </c>
      <c r="B5403" s="0" t="s">
        <v>95</v>
      </c>
      <c r="E5403" s="6" t="n">
        <f aca="false">Q!M35</f>
        <v>182.935</v>
      </c>
      <c r="F5403" s="6" t="n">
        <f aca="false">Sens!F5398+Sens!F5400+Sens!F5401+Sens!F5402</f>
        <v>211.461151914904</v>
      </c>
      <c r="G5403" s="6" t="n">
        <f aca="false">Sens!G5398+Sens!G5400+Sens!G5401+Sens!G5402</f>
        <v>269.984464270128</v>
      </c>
      <c r="H5403" s="6" t="n">
        <f aca="false">Sens!H5398+Sens!H5400+Sens!H5401+Sens!H5402</f>
        <v>329.703427303756</v>
      </c>
      <c r="I5403" s="6" t="n">
        <f aca="false">Sens!I5398+Sens!I5400+Sens!I5401+Sens!I5402</f>
        <v>383.98982949804</v>
      </c>
      <c r="J5403" s="6" t="n">
        <f aca="false">Sens!J5398+Sens!J5400+Sens!J5401+Sens!J5402</f>
        <v>437.00680738115</v>
      </c>
      <c r="K5403" s="6" t="n">
        <f aca="false">Sens!K5398+Sens!K5400+Sens!K5401+Sens!K5402</f>
        <v>488.818416284844</v>
      </c>
    </row>
    <row r="5404" customFormat="false" ht="17.15" hidden="false" customHeight="false" outlineLevel="0" collapsed="false">
      <c r="A5404" s="0" t="s">
        <v>848</v>
      </c>
      <c r="B5404" s="0" t="s">
        <v>95</v>
      </c>
      <c r="F5404" s="6" t="n">
        <f aca="false">Sens!F5320</f>
        <v>168.848652770438</v>
      </c>
      <c r="G5404" s="6" t="n">
        <f aca="false">Sens!G5320</f>
        <v>183.5741804832</v>
      </c>
      <c r="H5404" s="6" t="n">
        <f aca="false">Sens!H5320</f>
        <v>188.0802859104</v>
      </c>
      <c r="I5404" s="6" t="n">
        <f aca="false">Sens!I5320</f>
        <v>218.338961257067</v>
      </c>
      <c r="J5404" s="6" t="n">
        <f aca="false">Sens!J5320</f>
        <v>233.777060923733</v>
      </c>
      <c r="K5404" s="6" t="n">
        <f aca="false">Sens!K5320</f>
        <v>278.8563119504</v>
      </c>
    </row>
    <row r="5405" customFormat="false" ht="17.15" hidden="false" customHeight="false" outlineLevel="0" collapsed="false">
      <c r="A5405" s="1" t="s">
        <v>849</v>
      </c>
      <c r="B5405" s="0" t="s">
        <v>95</v>
      </c>
      <c r="E5405" s="6" t="n">
        <f aca="false">Sens!E5328*cx_azo+Sens!E5335*cx_m365+Sens!E5336*cx_lic+(Sens!E5338+Sens!E5340)*cx_ind+Sens!E5343*cx_srch+(Sens!E5345+Sens!E5347)*cx_dev</f>
        <v>30.1846587067718</v>
      </c>
      <c r="F5405" s="6" t="n">
        <f aca="false">Sens!F5328*cx_azo+Sens!F5335*cx_m365+Sens!F5336*cx_lic+(Sens!F5338+Sens!F5340)*cx_ind+Sens!F5343*cx_srch+(Sens!F5345+Sens!F5347)*cx_dev</f>
        <v>35.3513472295625</v>
      </c>
      <c r="G5405" s="6" t="n">
        <f aca="false">Sens!G5328*cx_azo+Sens!G5335*cx_m365+Sens!G5336*cx_lic+(Sens!G5338+Sens!G5340)*cx_ind+Sens!G5343*cx_srch+(Sens!G5345+Sens!G5347)*cx_dev</f>
        <v>40.9728935703892</v>
      </c>
      <c r="H5405" s="6" t="n">
        <f aca="false">Sens!H5328*cx_azo+Sens!H5335*cx_m365+Sens!H5336*cx_lic+(Sens!H5338+Sens!H5340)*cx_ind+Sens!H5343*cx_srch+(Sens!H5345+Sens!H5347)*cx_dev</f>
        <v>46.6795136440897</v>
      </c>
      <c r="I5405" s="6" t="n">
        <f aca="false">Sens!I5328*cx_azo+Sens!I5335*cx_m365+Sens!I5336*cx_lic+(Sens!I5338+Sens!I5340)*cx_ind+Sens!I5343*cx_srch+(Sens!I5345+Sens!I5347)*cx_dev</f>
        <v>52.1024003116439</v>
      </c>
      <c r="J5405" s="6" t="n">
        <f aca="false">Sens!J5328*cx_azo+Sens!J5335*cx_m365+Sens!J5336*cx_lic+(Sens!J5338+Sens!J5340)*cx_ind+Sens!J5343*cx_srch+(Sens!J5345+Sens!J5347)*cx_dev</f>
        <v>57.0089132503738</v>
      </c>
      <c r="K5405" s="6" t="n">
        <f aca="false">Sens!K5328*cx_azo+Sens!K5335*cx_m365+Sens!K5336*cx_lic+(Sens!K5338+Sens!K5340)*cx_ind+Sens!K5343*cx_srch+(Sens!K5345+Sens!K5347)*cx_dev</f>
        <v>61.320702741994</v>
      </c>
    </row>
    <row r="5406" customFormat="false" ht="17.15" hidden="false" customHeight="false" outlineLevel="0" collapsed="false">
      <c r="A5406" s="1" t="s">
        <v>850</v>
      </c>
      <c r="B5406" s="0" t="s">
        <v>95</v>
      </c>
      <c r="E5406" s="6" t="n">
        <f aca="false">Q!M42</f>
        <v>145.3</v>
      </c>
      <c r="F5406" s="6" t="n">
        <f aca="false">Sens!F5404+Sens!F5405</f>
        <v>204.2</v>
      </c>
      <c r="G5406" s="6" t="n">
        <f aca="false">Sens!G5404+Sens!G5405</f>
        <v>224.547074053589</v>
      </c>
      <c r="H5406" s="6" t="n">
        <f aca="false">Sens!H5404+Sens!H5405</f>
        <v>234.75979955449</v>
      </c>
      <c r="I5406" s="6" t="n">
        <f aca="false">Sens!I5404+Sens!I5405</f>
        <v>270.441361568711</v>
      </c>
      <c r="J5406" s="6" t="n">
        <f aca="false">Sens!J5404+Sens!J5405</f>
        <v>290.785974174107</v>
      </c>
      <c r="K5406" s="6" t="n">
        <f aca="false">Sens!K5404+Sens!K5405</f>
        <v>340.177014692394</v>
      </c>
      <c r="L5406" s="1" t="s">
        <v>851</v>
      </c>
    </row>
    <row r="5407" customFormat="false" ht="15" hidden="false" customHeight="false" outlineLevel="0" collapsed="false">
      <c r="A5407" s="1" t="s">
        <v>852</v>
      </c>
      <c r="B5407" s="0" t="s">
        <v>95</v>
      </c>
      <c r="E5407" s="6" t="n">
        <f aca="false">fl_liab</f>
        <v>66.594</v>
      </c>
      <c r="F5407" s="6" t="n">
        <f aca="false">Sens!E5407-Sens!F5408</f>
        <v>62.46973</v>
      </c>
      <c r="G5407" s="6" t="n">
        <f aca="false">Sens!F5407-Sens!G5408</f>
        <v>57.98686785</v>
      </c>
      <c r="H5407" s="6" t="n">
        <f aca="false">Sens!G5407-Sens!H5408</f>
        <v>53.92827690325</v>
      </c>
      <c r="I5407" s="6" t="n">
        <f aca="false">Sens!H5407-Sens!I5408</f>
        <v>49.7850493638962</v>
      </c>
      <c r="J5407" s="6" t="n">
        <f aca="false">Sens!I5407-Sens!J5408</f>
        <v>45.4823765852716</v>
      </c>
      <c r="K5407" s="6" t="n">
        <f aca="false">Sens!J5407-Sens!K5408</f>
        <v>40.9860835316088</v>
      </c>
    </row>
    <row r="5408" customFormat="false" ht="15" hidden="false" customHeight="false" outlineLevel="0" collapsed="false">
      <c r="A5408" s="1" t="s">
        <v>853</v>
      </c>
      <c r="B5408" s="0" t="s">
        <v>95</v>
      </c>
      <c r="F5408" s="6" t="n">
        <f aca="false">fl_pay_27-Sens!E5407*fl_rate</f>
        <v>4.12427</v>
      </c>
      <c r="G5408" s="6" t="n">
        <f aca="false">fl_pay_28-Sens!F5407*fl_rate</f>
        <v>4.48286215</v>
      </c>
      <c r="H5408" s="6" t="n">
        <f aca="false">fl_pay_29-Sens!G5407*fl_rate</f>
        <v>4.05859094675</v>
      </c>
      <c r="I5408" s="6" t="n">
        <f aca="false">fl_pay_30-Sens!H5407*fl_rate</f>
        <v>4.14322753935375</v>
      </c>
      <c r="J5408" s="6" t="n">
        <f aca="false">fl_pay_31-Sens!I5407*fl_rate</f>
        <v>4.30267277862467</v>
      </c>
      <c r="K5408" s="6" t="n">
        <f aca="false">fl_pay_32-Sens!J5407*fl_rate</f>
        <v>4.49629305366278</v>
      </c>
    </row>
    <row r="5409" customFormat="false" ht="17.15" hidden="false" customHeight="false" outlineLevel="0" collapsed="false">
      <c r="A5409" s="1" t="s">
        <v>854</v>
      </c>
      <c r="B5409" s="0" t="s">
        <v>95</v>
      </c>
      <c r="E5409" s="6" t="n">
        <f aca="false">Q!M35-Q!M36-Q!M43</f>
        <v>63.886</v>
      </c>
      <c r="F5409" s="6" t="n">
        <f aca="false">Sens!F5403-Sens!F5406-Sens!F5408</f>
        <v>3.13688191490399</v>
      </c>
      <c r="G5409" s="6" t="n">
        <f aca="false">Sens!G5403-Sens!G5406-Sens!G5408</f>
        <v>40.9545280665386</v>
      </c>
      <c r="H5409" s="6" t="n">
        <f aca="false">Sens!H5403-Sens!H5406-Sens!H5408</f>
        <v>90.8850368025168</v>
      </c>
      <c r="I5409" s="6" t="n">
        <f aca="false">Sens!I5403-Sens!I5406-Sens!I5408</f>
        <v>109.405240389975</v>
      </c>
      <c r="J5409" s="6" t="n">
        <f aca="false">Sens!J5403-Sens!J5406-Sens!J5408</f>
        <v>141.918160428418</v>
      </c>
      <c r="K5409" s="6" t="n">
        <f aca="false">Sens!K5403-Sens!K5406-Sens!K5408</f>
        <v>144.145108538787</v>
      </c>
      <c r="L5409" s="11" t="s">
        <v>855</v>
      </c>
    </row>
    <row r="5410" customFormat="false" ht="15" hidden="false" customHeight="false" outlineLevel="0" collapsed="false">
      <c r="A5410" s="1" t="s">
        <v>856</v>
      </c>
      <c r="B5410" s="0" t="s">
        <v>73</v>
      </c>
      <c r="F5410" s="8" t="n">
        <f aca="false">dps_27</f>
        <v>3.85</v>
      </c>
      <c r="G5410" s="8" t="n">
        <f aca="false">Sens!F5410*(1+dps_g)</f>
        <v>4.158</v>
      </c>
      <c r="H5410" s="8" t="n">
        <f aca="false">Sens!G5410*(1+dps_g)</f>
        <v>4.49064</v>
      </c>
      <c r="I5410" s="8" t="n">
        <f aca="false">Sens!H5410*(1+dps_g)</f>
        <v>4.8498912</v>
      </c>
      <c r="J5410" s="8" t="n">
        <f aca="false">Sens!I5410*(1+dps_g)</f>
        <v>5.237882496</v>
      </c>
      <c r="K5410" s="8" t="n">
        <f aca="false">Sens!J5410*(1+dps_g)</f>
        <v>5.65691309568</v>
      </c>
    </row>
    <row r="5411" customFormat="false" ht="17.15" hidden="false" customHeight="false" outlineLevel="0" collapsed="false">
      <c r="A5411" s="1" t="s">
        <v>857</v>
      </c>
      <c r="B5411" s="0" t="s">
        <v>95</v>
      </c>
      <c r="E5411" s="6" t="n">
        <f aca="false">Q!M41</f>
        <v>26.445</v>
      </c>
      <c r="F5411" s="6" t="n">
        <f aca="false">Sens!F5410*Sens!E5420</f>
        <v>28.59395</v>
      </c>
      <c r="G5411" s="6" t="n">
        <f aca="false">Sens!G5410*Sens!F5420</f>
        <v>31.068576</v>
      </c>
      <c r="H5411" s="6" t="n">
        <f aca="false">Sens!H5410*Sens!G5420</f>
        <v>33.6818748949989</v>
      </c>
      <c r="I5411" s="6" t="n">
        <f aca="false">Sens!I5410*Sens!H5420</f>
        <v>36.4273641265982</v>
      </c>
      <c r="J5411" s="6" t="n">
        <f aca="false">Sens!J5410*Sens!I5420</f>
        <v>39.4099521050455</v>
      </c>
      <c r="K5411" s="6" t="n">
        <f aca="false">Sens!K5410*Sens!J5420</f>
        <v>42.6500034987542</v>
      </c>
      <c r="L5411" s="1" t="s">
        <v>858</v>
      </c>
    </row>
    <row r="5412" customFormat="false" ht="15" hidden="false" customHeight="false" outlineLevel="0" collapsed="false">
      <c r="A5412" s="1" t="s">
        <v>859</v>
      </c>
      <c r="B5412" s="0" t="s">
        <v>95</v>
      </c>
      <c r="E5412" s="6" t="n">
        <f aca="false">Sens!E5409-Sens!E5411</f>
        <v>37.441</v>
      </c>
      <c r="F5412" s="6" t="n">
        <f aca="false">Sens!F5409-Sens!F5411</f>
        <v>-25.457068085096</v>
      </c>
      <c r="G5412" s="6" t="n">
        <f aca="false">Sens!G5409-Sens!G5411</f>
        <v>9.88595206653857</v>
      </c>
      <c r="H5412" s="6" t="n">
        <f aca="false">Sens!H5409-Sens!H5411</f>
        <v>57.2031619075179</v>
      </c>
      <c r="I5412" s="6" t="n">
        <f aca="false">Sens!I5409-Sens!I5411</f>
        <v>72.9778762633771</v>
      </c>
      <c r="J5412" s="6" t="n">
        <f aca="false">Sens!J5409-Sens!J5411</f>
        <v>102.508208323372</v>
      </c>
      <c r="K5412" s="6" t="n">
        <f aca="false">Sens!K5409-Sens!K5411</f>
        <v>101.495105040033</v>
      </c>
    </row>
    <row r="5413" customFormat="false" ht="15" hidden="false" customHeight="false" outlineLevel="0" collapsed="false">
      <c r="A5413" s="1" t="s">
        <v>860</v>
      </c>
      <c r="B5413" s="0" t="s">
        <v>95</v>
      </c>
      <c r="F5413" s="6" t="n">
        <f aca="false">debt_mat_27</f>
        <v>9.25</v>
      </c>
      <c r="G5413" s="6" t="n">
        <f aca="false">debt_mat_28</f>
        <v>0</v>
      </c>
      <c r="H5413" s="6" t="n">
        <f aca="false">debt_mat_29</f>
        <v>2.001</v>
      </c>
      <c r="I5413" s="6" t="n">
        <f aca="false">debt_mat_30</f>
        <v>0</v>
      </c>
      <c r="J5413" s="6" t="n">
        <f aca="false">debt_mat_31</f>
        <v>0.5</v>
      </c>
      <c r="K5413" s="6" t="n">
        <f aca="false">debt_mat_32</f>
        <v>0</v>
      </c>
    </row>
    <row r="5414" customFormat="false" ht="15" hidden="false" customHeight="false" outlineLevel="0" collapsed="false">
      <c r="A5414" s="1" t="s">
        <v>861</v>
      </c>
      <c r="B5414" s="0" t="s">
        <v>95</v>
      </c>
      <c r="E5414" s="6" t="n">
        <f aca="false">Q!M40</f>
        <v>22.271</v>
      </c>
      <c r="F5414" s="6" t="n">
        <f aca="false">MAX(0,MIN(bb_target,Sens!E5416+Sens!F5412-Sens!F5413-min_cash))</f>
        <v>0</v>
      </c>
      <c r="G5414" s="6" t="n">
        <f aca="false">MAX(0,MIN(bb_target,Sens!F5416+Sens!G5412-Sens!G5413-min_cash))</f>
        <v>9.88595206653857</v>
      </c>
      <c r="H5414" s="6" t="n">
        <f aca="false">MAX(0,MIN(bb_target,Sens!G5416+Sens!H5412-Sens!H5413-min_cash))</f>
        <v>22.271</v>
      </c>
      <c r="I5414" s="6" t="n">
        <f aca="false">MAX(0,MIN(bb_target,Sens!H5416+Sens!I5412-Sens!I5413-min_cash))</f>
        <v>22.271</v>
      </c>
      <c r="J5414" s="6" t="n">
        <f aca="false">MAX(0,MIN(bb_target,Sens!I5416+Sens!J5412-Sens!J5413-min_cash))</f>
        <v>22.271</v>
      </c>
      <c r="K5414" s="6" t="n">
        <f aca="false">MAX(0,MIN(bb_target,Sens!J5416+Sens!K5412-Sens!K5413-min_cash))</f>
        <v>22.271</v>
      </c>
    </row>
    <row r="5415" customFormat="false" ht="15" hidden="false" customHeight="false" outlineLevel="0" collapsed="false">
      <c r="A5415" s="1" t="s">
        <v>862</v>
      </c>
      <c r="B5415" s="0" t="s">
        <v>95</v>
      </c>
      <c r="F5415" s="6" t="n">
        <f aca="false">MAX(0,min_cash-(Sens!E5416+Sens!F5412-Sens!F5413-Sens!F5414))</f>
        <v>7.86406808509601</v>
      </c>
      <c r="G5415" s="6" t="n">
        <f aca="false">MAX(0,min_cash-(Sens!F5416+Sens!G5412-Sens!G5413-Sens!G5414))</f>
        <v>0</v>
      </c>
      <c r="H5415" s="6" t="n">
        <f aca="false">MAX(0,min_cash-(Sens!G5416+Sens!H5412-Sens!H5413-Sens!H5414))</f>
        <v>0</v>
      </c>
      <c r="I5415" s="6" t="n">
        <f aca="false">MAX(0,min_cash-(Sens!H5416+Sens!I5412-Sens!I5413-Sens!I5414))</f>
        <v>0</v>
      </c>
      <c r="J5415" s="6" t="n">
        <f aca="false">MAX(0,min_cash-(Sens!I5416+Sens!J5412-Sens!J5413-Sens!J5414))</f>
        <v>0</v>
      </c>
      <c r="K5415" s="6" t="n">
        <f aca="false">MAX(0,min_cash-(Sens!J5416+Sens!K5412-Sens!K5413-Sens!K5414))</f>
        <v>0</v>
      </c>
    </row>
    <row r="5416" customFormat="false" ht="15" hidden="false" customHeight="false" outlineLevel="0" collapsed="false">
      <c r="A5416" s="1" t="s">
        <v>863</v>
      </c>
      <c r="B5416" s="0" t="s">
        <v>95</v>
      </c>
      <c r="E5416" s="6" t="n">
        <f aca="false">cash_open</f>
        <v>76.843</v>
      </c>
      <c r="F5416" s="6" t="n">
        <f aca="false">Sens!E5416+Sens!F5412-Sens!F5413-Sens!F5414+Sens!F5415</f>
        <v>50</v>
      </c>
      <c r="G5416" s="6" t="n">
        <f aca="false">Sens!F5416+Sens!G5412-Sens!G5413-Sens!G5414+Sens!G5415</f>
        <v>50</v>
      </c>
      <c r="H5416" s="6" t="n">
        <f aca="false">Sens!G5416+Sens!H5412-Sens!H5413-Sens!H5414+Sens!H5415</f>
        <v>82.9311619075179</v>
      </c>
      <c r="I5416" s="6" t="n">
        <f aca="false">Sens!H5416+Sens!I5412-Sens!I5413-Sens!I5414+Sens!I5415</f>
        <v>133.638038170895</v>
      </c>
      <c r="J5416" s="6" t="n">
        <f aca="false">Sens!I5416+Sens!J5412-Sens!J5413-Sens!J5414+Sens!J5415</f>
        <v>213.375246494267</v>
      </c>
      <c r="K5416" s="6" t="n">
        <f aca="false">Sens!J5416+Sens!K5412-Sens!K5413-Sens!K5414+Sens!K5415</f>
        <v>292.5993515343</v>
      </c>
    </row>
    <row r="5417" customFormat="false" ht="15" hidden="false" customHeight="false" outlineLevel="0" collapsed="false">
      <c r="A5417" s="1" t="s">
        <v>864</v>
      </c>
      <c r="B5417" s="0" t="s">
        <v>95</v>
      </c>
      <c r="E5417" s="6" t="n">
        <f aca="false">debt_face</f>
        <v>46.136</v>
      </c>
      <c r="F5417" s="6" t="n">
        <f aca="false">Sens!E5417-Sens!F5413+Sens!F5415</f>
        <v>44.750068085096</v>
      </c>
      <c r="G5417" s="6" t="n">
        <f aca="false">Sens!F5417-Sens!G5413+Sens!G5415</f>
        <v>44.750068085096</v>
      </c>
      <c r="H5417" s="6" t="n">
        <f aca="false">Sens!G5417-Sens!H5413+Sens!H5415</f>
        <v>42.749068085096</v>
      </c>
      <c r="I5417" s="6" t="n">
        <f aca="false">Sens!H5417-Sens!I5413+Sens!I5415</f>
        <v>42.749068085096</v>
      </c>
      <c r="J5417" s="6" t="n">
        <f aca="false">Sens!I5417-Sens!J5413+Sens!J5415</f>
        <v>42.249068085096</v>
      </c>
      <c r="K5417" s="6" t="n">
        <f aca="false">Sens!J5417-Sens!K5413+Sens!K5415</f>
        <v>42.249068085096</v>
      </c>
    </row>
    <row r="5418" customFormat="false" ht="15" hidden="false" customHeight="false" outlineLevel="0" collapsed="false">
      <c r="A5418" s="1" t="s">
        <v>865</v>
      </c>
      <c r="B5418" s="0" t="s">
        <v>95</v>
      </c>
      <c r="E5418" s="6" t="n">
        <f aca="false">Sens!E5416-Sens!E5417</f>
        <v>30.707</v>
      </c>
      <c r="F5418" s="6" t="n">
        <f aca="false">Sens!F5416-Sens!F5417</f>
        <v>5.24993191490399</v>
      </c>
      <c r="G5418" s="6" t="n">
        <f aca="false">Sens!G5416-Sens!G5417</f>
        <v>5.24993191490399</v>
      </c>
      <c r="H5418" s="6" t="n">
        <f aca="false">Sens!H5416-Sens!H5417</f>
        <v>40.1820938224219</v>
      </c>
      <c r="I5418" s="6" t="n">
        <f aca="false">Sens!I5416-Sens!I5417</f>
        <v>90.888970085799</v>
      </c>
      <c r="J5418" s="6" t="n">
        <f aca="false">Sens!J5416-Sens!J5417</f>
        <v>171.126178409171</v>
      </c>
      <c r="K5418" s="6" t="n">
        <f aca="false">Sens!K5416-Sens!K5417</f>
        <v>250.350283449204</v>
      </c>
    </row>
    <row r="5419" customFormat="false" ht="15" hidden="false" customHeight="false" outlineLevel="0" collapsed="false">
      <c r="A5419" s="1" t="s">
        <v>866</v>
      </c>
      <c r="B5419" s="0" t="s">
        <v>73</v>
      </c>
      <c r="F5419" s="27" t="n">
        <f aca="false">px*(1+bb_g)^(1-0.5)</f>
        <v>553.494156066711</v>
      </c>
      <c r="G5419" s="27" t="n">
        <f aca="false">px*(1+bb_g)^(2-0.5)</f>
        <v>597.773688552047</v>
      </c>
      <c r="H5419" s="27" t="n">
        <f aca="false">px*(1+bb_g)^(3-0.5)</f>
        <v>645.595583636211</v>
      </c>
      <c r="I5419" s="27" t="n">
        <f aca="false">px*(1+bb_g)^(4-0.5)</f>
        <v>697.243230327108</v>
      </c>
      <c r="J5419" s="27" t="n">
        <f aca="false">px*(1+bb_g)^(5-0.5)</f>
        <v>753.022688753277</v>
      </c>
      <c r="K5419" s="27" t="n">
        <f aca="false">px*(1+bb_g)^(6-0.5)</f>
        <v>813.264503853539</v>
      </c>
    </row>
    <row r="5420" customFormat="false" ht="15" hidden="false" customHeight="false" outlineLevel="0" collapsed="false">
      <c r="A5420" s="1" t="s">
        <v>867</v>
      </c>
      <c r="B5420" s="1" t="s">
        <v>79</v>
      </c>
      <c r="E5420" s="18" t="n">
        <f aca="false">sh_out26</f>
        <v>7.427</v>
      </c>
      <c r="F5420" s="18" t="n">
        <f aca="false">Sens!E5420+sh_iss-Sens!F5414/Sens!F5419</f>
        <v>7.472</v>
      </c>
      <c r="G5420" s="18" t="n">
        <f aca="false">Sens!F5420+sh_iss-Sens!G5414/Sens!G5419</f>
        <v>7.50046204883911</v>
      </c>
      <c r="H5420" s="18" t="n">
        <f aca="false">Sens!G5420+sh_iss-Sens!H5414/Sens!H5419</f>
        <v>7.51096522053901</v>
      </c>
      <c r="I5420" s="18" t="n">
        <f aca="false">Sens!H5420+sh_iss-Sens!I5414/Sens!I5419</f>
        <v>7.52402371285374</v>
      </c>
      <c r="J5420" s="18" t="n">
        <f aca="false">Sens!I5420+sh_iss-Sens!J5414/Sens!J5419</f>
        <v>7.53944824277478</v>
      </c>
      <c r="K5420" s="18" t="n">
        <f aca="false">Sens!J5420+sh_iss-Sens!K5414/Sens!K5419</f>
        <v>7.55706354825722</v>
      </c>
    </row>
    <row r="5421" customFormat="false" ht="15" hidden="false" customHeight="false" outlineLevel="0" collapsed="false">
      <c r="A5421" s="1" t="s">
        <v>868</v>
      </c>
      <c r="B5421" s="1" t="s">
        <v>79</v>
      </c>
      <c r="E5421" s="18" t="n">
        <f aca="false">sh_dil26</f>
        <v>7.453</v>
      </c>
      <c r="F5421" s="18" t="n">
        <f aca="false">(Sens!E5420+Sens!F5420)/2+dil_gap</f>
        <v>7.4735</v>
      </c>
      <c r="G5421" s="18" t="n">
        <f aca="false">(Sens!F5420+Sens!G5420)/2+dil_gap</f>
        <v>7.51023102441955</v>
      </c>
      <c r="H5421" s="18" t="n">
        <f aca="false">(Sens!G5420+Sens!H5420)/2+dil_gap</f>
        <v>7.52971363468906</v>
      </c>
      <c r="I5421" s="18" t="n">
        <f aca="false">(Sens!H5420+Sens!I5420)/2+dil_gap</f>
        <v>7.54149446669638</v>
      </c>
      <c r="J5421" s="18" t="n">
        <f aca="false">(Sens!I5420+Sens!J5420)/2+dil_gap</f>
        <v>7.55573597781426</v>
      </c>
      <c r="K5421" s="18" t="n">
        <f aca="false">(Sens!J5420+Sens!K5420)/2+dil_gap</f>
        <v>7.572255895516</v>
      </c>
    </row>
    <row r="5422" customFormat="false" ht="17.15" hidden="false" customHeight="false" outlineLevel="0" collapsed="false">
      <c r="A5422" s="1" t="s">
        <v>869</v>
      </c>
      <c r="B5422" s="0" t="s">
        <v>95</v>
      </c>
      <c r="C5422" s="6" t="n">
        <f aca="false">SUM(Sens!F5412:J5412)</f>
        <v>217.11813047571</v>
      </c>
    </row>
    <row r="5423" customFormat="false" ht="17.15" hidden="false" customHeight="false" outlineLevel="0" collapsed="false">
      <c r="A5423" s="1" t="s">
        <v>836</v>
      </c>
      <c r="B5423" s="1" t="s">
        <v>870</v>
      </c>
      <c r="C5423" s="30" t="str">
        <f aca="false">IF(SUM(Sens!F5415:J5415)&gt;0.05,"需要舉債 "&amp;TEXT(SUM(Sens!F5415:J5415),"0.0")&amp;" 十億美元","不需舉債")&amp;"；"&amp;IF(SUM(Sens!F5414:J5414)&lt;5*bb_target-0.05,"回購較每年 "&amp;TEXT(bb_target,"0.0")&amp;" 的目標少 "&amp;TEXT(5*bb_target-SUM(Sens!F5414:J5414),"0.0")&amp;" 十億美元（"&amp;TEXT(COUNTIF(Sens!F5414:J5414,"&lt;"&amp;(bb_target-0.05)),"0")&amp;" 年減少）","回購不減")</f>
        <v>需要舉債 7.9 十億美元；回購較每年 22.3 的目標少 34.7 十億美元（2 年減少）</v>
      </c>
    </row>
    <row r="5424" customFormat="false" ht="17.15" hidden="false" customHeight="false" outlineLevel="0" collapsed="false">
      <c r="A5424" s="3" t="s">
        <v>1268</v>
      </c>
    </row>
    <row r="5425" customFormat="false" ht="15" hidden="false" customHeight="false" outlineLevel="0" collapsed="false">
      <c r="A5425" s="4" t="s">
        <v>43</v>
      </c>
      <c r="B5425" s="4" t="s">
        <v>63</v>
      </c>
      <c r="C5425" s="19" t="s">
        <v>710</v>
      </c>
      <c r="D5425" s="19" t="s">
        <v>711</v>
      </c>
      <c r="E5425" s="19" t="s">
        <v>712</v>
      </c>
      <c r="F5425" s="19" t="s">
        <v>713</v>
      </c>
      <c r="G5425" s="19" t="s">
        <v>714</v>
      </c>
      <c r="H5425" s="19" t="s">
        <v>715</v>
      </c>
      <c r="I5425" s="19" t="s">
        <v>716</v>
      </c>
      <c r="J5425" s="19" t="s">
        <v>717</v>
      </c>
      <c r="K5425" s="19" t="s">
        <v>718</v>
      </c>
      <c r="L5425" s="4" t="s">
        <v>47</v>
      </c>
    </row>
    <row r="5426" customFormat="false" ht="17.15" hidden="false" customHeight="false" outlineLevel="0" collapsed="false">
      <c r="A5426" s="1" t="s">
        <v>938</v>
      </c>
      <c r="B5426" s="1" t="s">
        <v>213</v>
      </c>
      <c r="F5426" s="34" t="n">
        <f aca="false">1-0.5</f>
        <v>0.5</v>
      </c>
      <c r="G5426" s="34" t="n">
        <f aca="false">2-0.5</f>
        <v>1.5</v>
      </c>
      <c r="H5426" s="34" t="n">
        <f aca="false">3-0.5</f>
        <v>2.5</v>
      </c>
      <c r="I5426" s="34" t="n">
        <f aca="false">4-0.5</f>
        <v>3.5</v>
      </c>
      <c r="J5426" s="34" t="n">
        <f aca="false">5-0.5</f>
        <v>4.5</v>
      </c>
      <c r="K5426" s="34" t="n">
        <f aca="false">6-0.5</f>
        <v>5.5</v>
      </c>
    </row>
    <row r="5427" customFormat="false" ht="15" hidden="false" customHeight="false" outlineLevel="0" collapsed="false">
      <c r="A5427" s="1" t="s">
        <v>939</v>
      </c>
      <c r="B5427" s="0" t="s">
        <v>182</v>
      </c>
      <c r="F5427" s="18" t="n">
        <f aca="false">1/(1+wacc)^Sens!F5426</f>
        <v>0.949601579913219</v>
      </c>
      <c r="G5427" s="18" t="n">
        <f aca="false">1/(1+wacc)^Sens!G5426</f>
        <v>0.856296729956707</v>
      </c>
      <c r="H5427" s="18" t="n">
        <f aca="false">1/(1+wacc)^Sens!H5426</f>
        <v>0.772159719660069</v>
      </c>
      <c r="I5427" s="18" t="n">
        <f aca="false">1/(1+wacc)^Sens!I5426</f>
        <v>0.696289746073958</v>
      </c>
      <c r="J5427" s="18" t="n">
        <f aca="false">1/(1+wacc)^Sens!J5426</f>
        <v>0.627874516299776</v>
      </c>
      <c r="K5427" s="18" t="n">
        <f aca="false">1/(1+wacc)^Sens!K5426</f>
        <v>0.566181550771831</v>
      </c>
    </row>
    <row r="5428" customFormat="false" ht="15" hidden="false" customHeight="false" outlineLevel="0" collapsed="false">
      <c r="A5428" s="1" t="s">
        <v>940</v>
      </c>
      <c r="B5428" s="0" t="s">
        <v>95</v>
      </c>
      <c r="F5428" s="6" t="n">
        <f aca="false">Sens!F5409*Sens!F5427</f>
        <v>2.97878802239403</v>
      </c>
      <c r="G5428" s="6" t="n">
        <f aca="false">Sens!G5409*Sens!G5427</f>
        <v>35.0692284602972</v>
      </c>
      <c r="H5428" s="6" t="n">
        <f aca="false">Sens!H5409*Sens!H5427</f>
        <v>70.1777645387264</v>
      </c>
      <c r="I5428" s="6" t="n">
        <f aca="false">Sens!I5409*Sens!I5427</f>
        <v>76.1777470502962</v>
      </c>
      <c r="J5428" s="6" t="n">
        <f aca="false">Sens!J5409*Sens!J5427</f>
        <v>89.1067963331469</v>
      </c>
      <c r="K5428" s="6" t="n">
        <f aca="false">Sens!K5409*Sens!K5427</f>
        <v>81.6123010886643</v>
      </c>
    </row>
    <row r="5429" customFormat="false" ht="17.15" hidden="false" customHeight="false" outlineLevel="0" collapsed="false">
      <c r="A5429" s="1" t="s">
        <v>941</v>
      </c>
      <c r="B5429" s="0" t="s">
        <v>95</v>
      </c>
      <c r="C5429" s="6" t="n">
        <f aca="false">SUM(Sens!F5428:K5428)</f>
        <v>355.122625493525</v>
      </c>
    </row>
    <row r="5430" customFormat="false" ht="17.15" hidden="false" customHeight="false" outlineLevel="0" collapsed="false">
      <c r="A5430" s="1" t="s">
        <v>942</v>
      </c>
      <c r="B5430" s="0" t="s">
        <v>95</v>
      </c>
      <c r="C5430" s="6" t="n">
        <f aca="false">Sens!K5375*(1+g_tv)*(1-tax_f)</f>
        <v>254.794212378972</v>
      </c>
    </row>
    <row r="5431" customFormat="false" ht="17.15" hidden="false" customHeight="false" outlineLevel="0" collapsed="false">
      <c r="A5431" s="1" t="s">
        <v>943</v>
      </c>
      <c r="B5431" s="0" t="s">
        <v>95</v>
      </c>
      <c r="C5431" s="6" t="n">
        <f aca="false">Sens!$C$5430*(1-g_tv/(wacc+ronic_prem))</f>
        <v>184.643694702657</v>
      </c>
    </row>
    <row r="5432" customFormat="false" ht="17.15" hidden="false" customHeight="false" outlineLevel="0" collapsed="false">
      <c r="A5432" s="1" t="s">
        <v>944</v>
      </c>
      <c r="B5432" s="0" t="s">
        <v>95</v>
      </c>
      <c r="C5432" s="6" t="n">
        <f aca="false">Sens!$C$5431/(wacc-g_tv)</f>
        <v>2338.35058921052</v>
      </c>
    </row>
    <row r="5433" customFormat="false" ht="15" hidden="false" customHeight="false" outlineLevel="0" collapsed="false">
      <c r="A5433" s="1" t="s">
        <v>945</v>
      </c>
      <c r="B5433" s="0" t="s">
        <v>95</v>
      </c>
      <c r="C5433" s="6" t="n">
        <f aca="false">Sens!$C$5432/(1+wacc)^6</f>
        <v>1257.20693401595</v>
      </c>
    </row>
    <row r="5434" customFormat="false" ht="17.15" hidden="false" customHeight="false" outlineLevel="0" collapsed="false">
      <c r="A5434" s="0" t="s">
        <v>877</v>
      </c>
      <c r="B5434" s="0" t="s">
        <v>95</v>
      </c>
      <c r="C5434" s="6" t="n">
        <f aca="false">Sens!$C$5429+Sens!$C$5433</f>
        <v>1612.32955950948</v>
      </c>
    </row>
    <row r="5435" customFormat="false" ht="15" hidden="false" customHeight="false" outlineLevel="0" collapsed="false">
      <c r="A5435" s="1" t="s">
        <v>878</v>
      </c>
      <c r="B5435" s="0" t="s">
        <v>126</v>
      </c>
      <c r="C5435" s="7" t="n">
        <f aca="false">Sens!$C$5433/Sens!$C$5434</f>
        <v>0.779745633639835</v>
      </c>
    </row>
    <row r="5436" customFormat="false" ht="17.15" hidden="false" customHeight="false" outlineLevel="0" collapsed="false">
      <c r="A5436" s="1" t="s">
        <v>946</v>
      </c>
      <c r="B5436" s="0" t="s">
        <v>95</v>
      </c>
      <c r="C5436" s="6" t="n">
        <f aca="false">Sens!$C$5434+Sens!E5418+oai_v</f>
        <v>1813.43655950948</v>
      </c>
    </row>
    <row r="5437" customFormat="false" ht="17.15" hidden="false" customHeight="false" outlineLevel="0" collapsed="false">
      <c r="A5437" s="0" t="s">
        <v>883</v>
      </c>
      <c r="B5437" s="0" t="s">
        <v>73</v>
      </c>
      <c r="C5437" s="5" t="n">
        <f aca="false">Sens!$C$5436/sh_dil26</f>
        <v>243.316323562254</v>
      </c>
    </row>
    <row r="5438" customFormat="false" ht="17.15" hidden="false" customHeight="false" outlineLevel="0" collapsed="false">
      <c r="A5438" s="0" t="s">
        <v>947</v>
      </c>
      <c r="B5438" s="0" t="s">
        <v>73</v>
      </c>
      <c r="C5438" s="5" t="n">
        <f aca="false">Sens!$C$5437*(1+wacc)^t_roll</f>
        <v>279.082502103549</v>
      </c>
    </row>
    <row r="5439" customFormat="false" ht="17.15" hidden="false" customHeight="false" outlineLevel="0" collapsed="false">
      <c r="A5439" s="1" t="s">
        <v>948</v>
      </c>
      <c r="B5439" s="0" t="s">
        <v>126</v>
      </c>
      <c r="F5439" s="7" t="n">
        <f aca="false">Sens!F5399/(Sens!F5350-Sens!F5306)</f>
        <v>0.0688202541346265</v>
      </c>
      <c r="G5439" s="7" t="n">
        <f aca="false">Sens!G5399/(Sens!G5350-Sens!G5306)</f>
        <v>0.0658530357883173</v>
      </c>
      <c r="H5439" s="7" t="n">
        <f aca="false">Sens!H5399/(Sens!H5350-Sens!H5306)</f>
        <v>0.0642815118094334</v>
      </c>
      <c r="I5439" s="7" t="n">
        <f aca="false">Sens!I5399/(Sens!I5350-Sens!I5306)</f>
        <v>0.0639789351270493</v>
      </c>
      <c r="J5439" s="7" t="n">
        <f aca="false">Sens!J5399/(Sens!J5350-Sens!J5306)</f>
        <v>0.0646448158837641</v>
      </c>
      <c r="K5439" s="7" t="n">
        <f aca="false">Sens!K5399/(Sens!K5350-Sens!K5306)</f>
        <v>0.0659097318895045</v>
      </c>
    </row>
    <row r="5440" customFormat="false" ht="17.15" hidden="false" customHeight="false" outlineLevel="0" collapsed="false">
      <c r="A5440" s="0" t="s">
        <v>949</v>
      </c>
      <c r="B5440" s="0" t="s">
        <v>95</v>
      </c>
      <c r="F5440" s="6" t="n">
        <f aca="false">Sens!F5335*(al_m365+Sens!F5439)</f>
        <v>77.9927268214768</v>
      </c>
      <c r="G5440" s="6" t="n">
        <f aca="false">Sens!G5335*(al_m365+Sens!G5439)</f>
        <v>90.0527401342228</v>
      </c>
      <c r="H5440" s="6" t="n">
        <f aca="false">Sens!H5335*(al_m365+Sens!H5439)</f>
        <v>102.271027448968</v>
      </c>
      <c r="I5440" s="6" t="n">
        <f aca="false">Sens!I5335*(al_m365+Sens!I5439)</f>
        <v>113.456755200087</v>
      </c>
      <c r="J5440" s="6" t="n">
        <f aca="false">Sens!J5335*(al_m365+Sens!J5439)</f>
        <v>123.432985150122</v>
      </c>
      <c r="K5440" s="6" t="n">
        <f aca="false">Sens!K5335*(al_m365+Sens!K5439)</f>
        <v>133.047427271761</v>
      </c>
    </row>
    <row r="5441" customFormat="false" ht="17.15" hidden="false" customHeight="false" outlineLevel="0" collapsed="false">
      <c r="A5441" s="0" t="s">
        <v>950</v>
      </c>
      <c r="B5441" s="0" t="s">
        <v>95</v>
      </c>
      <c r="F5441" s="6" t="n">
        <f aca="false">Sens!F5336*(al_lic+Sens!F5439)</f>
        <v>31.9930132863179</v>
      </c>
      <c r="G5441" s="6" t="n">
        <f aca="false">Sens!G5336*(al_lic+Sens!G5439)</f>
        <v>33.2268900230565</v>
      </c>
      <c r="H5441" s="6" t="n">
        <f aca="false">Sens!H5336*(al_lic+Sens!H5439)</f>
        <v>34.3818958045768</v>
      </c>
      <c r="I5441" s="6" t="n">
        <f aca="false">Sens!I5336*(al_lic+Sens!I5439)</f>
        <v>35.4404790691713</v>
      </c>
      <c r="J5441" s="6" t="n">
        <f aca="false">Sens!J5336*(al_lic+Sens!J5439)</f>
        <v>36.376995824463</v>
      </c>
      <c r="K5441" s="6" t="n">
        <f aca="false">Sens!K5336*(al_lic+Sens!K5439)</f>
        <v>37.1621487278997</v>
      </c>
    </row>
    <row r="5442" customFormat="false" ht="17.15" hidden="false" customHeight="false" outlineLevel="0" collapsed="false">
      <c r="A5442" s="0" t="s">
        <v>951</v>
      </c>
      <c r="B5442" s="0" t="s">
        <v>95</v>
      </c>
      <c r="F5442" s="6" t="n">
        <f aca="false">Sens!F5338*(al_ind+Sens!F5439)</f>
        <v>8.24579568266736</v>
      </c>
      <c r="G5442" s="6" t="n">
        <f aca="false">Sens!G5338*(al_ind+Sens!G5439)</f>
        <v>8.94116006481176</v>
      </c>
      <c r="H5442" s="6" t="n">
        <f aca="false">Sens!H5338*(al_ind+Sens!H5439)</f>
        <v>9.68034593572387</v>
      </c>
      <c r="I5442" s="6" t="n">
        <f aca="false">Sens!I5338*(al_ind+Sens!I5439)</f>
        <v>10.4611975275948</v>
      </c>
      <c r="J5442" s="6" t="n">
        <f aca="false">Sens!J5338*(al_ind+Sens!J5439)</f>
        <v>11.2745458788343</v>
      </c>
      <c r="K5442" s="6" t="n">
        <f aca="false">Sens!K5338*(al_ind+Sens!K5439)</f>
        <v>12.105612068502</v>
      </c>
    </row>
    <row r="5443" customFormat="false" ht="17.15" hidden="false" customHeight="false" outlineLevel="0" collapsed="false">
      <c r="A5443" s="0" t="s">
        <v>952</v>
      </c>
      <c r="B5443" s="0" t="s">
        <v>95</v>
      </c>
      <c r="F5443" s="6" t="n">
        <f aca="false">Sens!F5340*(al_fro+Sens!F5439)</f>
        <v>3.24557413004504</v>
      </c>
      <c r="G5443" s="6" t="n">
        <f aca="false">Sens!G5340*(al_fro+Sens!G5439)</f>
        <v>3.4328768485424</v>
      </c>
      <c r="H5443" s="6" t="n">
        <f aca="false">Sens!H5340*(al_fro+Sens!H5439)</f>
        <v>3.64788568314232</v>
      </c>
      <c r="I5443" s="6" t="n">
        <f aca="false">Sens!I5340*(al_fro+Sens!I5439)</f>
        <v>3.89323195420905</v>
      </c>
      <c r="J5443" s="6" t="n">
        <f aca="false">Sens!J5340*(al_fro+Sens!J5439)</f>
        <v>4.16976034598709</v>
      </c>
      <c r="K5443" s="6" t="n">
        <f aca="false">Sens!K5340*(al_fro+Sens!K5439)</f>
        <v>4.47712056074061</v>
      </c>
    </row>
    <row r="5444" customFormat="false" ht="17.15" hidden="false" customHeight="false" outlineLevel="0" collapsed="false">
      <c r="A5444" s="0" t="s">
        <v>953</v>
      </c>
      <c r="B5444" s="0" t="s">
        <v>95</v>
      </c>
      <c r="F5444" s="6" t="n">
        <f aca="false">Sens!F5343*(al_srch+Sens!F5439)</f>
        <v>10.1836768037786</v>
      </c>
      <c r="G5444" s="6" t="n">
        <f aca="false">Sens!G5343*(al_srch+Sens!G5439)</f>
        <v>11.1466517826627</v>
      </c>
      <c r="H5444" s="6" t="n">
        <f aca="false">Sens!H5343*(al_srch+Sens!H5439)</f>
        <v>12.1540255832449</v>
      </c>
      <c r="I5444" s="6" t="n">
        <f aca="false">Sens!I5343*(al_srch+Sens!I5439)</f>
        <v>13.1970396379475</v>
      </c>
      <c r="J5444" s="6" t="n">
        <f aca="false">Sens!J5343*(al_srch+Sens!J5439)</f>
        <v>14.2571881444613</v>
      </c>
      <c r="K5444" s="6" t="n">
        <f aca="false">Sens!K5343*(al_srch+Sens!K5439)</f>
        <v>15.3081100311544</v>
      </c>
    </row>
    <row r="5445" customFormat="false" ht="17.15" hidden="false" customHeight="false" outlineLevel="0" collapsed="false">
      <c r="A5445" s="0" t="s">
        <v>954</v>
      </c>
      <c r="B5445" s="0" t="s">
        <v>95</v>
      </c>
      <c r="F5445" s="6" t="n">
        <f aca="false">Sens!F5312</f>
        <v>43.1278534047371</v>
      </c>
      <c r="G5445" s="6" t="n">
        <f aca="false">Sens!G5312</f>
        <v>78.4713023799053</v>
      </c>
      <c r="H5445" s="6" t="n">
        <f aca="false">Sens!H5312</f>
        <v>120.169624261219</v>
      </c>
      <c r="I5445" s="6" t="n">
        <f aca="false">Sens!I5312</f>
        <v>156.086713969963</v>
      </c>
      <c r="J5445" s="6" t="n">
        <f aca="false">Sens!J5312</f>
        <v>192.09687492465</v>
      </c>
      <c r="K5445" s="6" t="n">
        <f aca="false">Sens!K5312</f>
        <v>228.161785217179</v>
      </c>
    </row>
    <row r="5446" customFormat="false" ht="17.15" hidden="false" customHeight="false" outlineLevel="0" collapsed="false">
      <c r="A5446" s="0" t="s">
        <v>955</v>
      </c>
      <c r="B5446" s="0" t="s">
        <v>95</v>
      </c>
      <c r="F5446" s="6" t="n">
        <f aca="false">Sens!F5372+Sens!F5323+Sens!F5439*(Sens!F5342-Sens!F5306)</f>
        <v>213.763110768984</v>
      </c>
      <c r="G5446" s="6" t="n">
        <f aca="false">Sens!G5372+Sens!G5323+Sens!G5439*(Sens!G5342-Sens!G5306)</f>
        <v>269.441945178388</v>
      </c>
      <c r="H5446" s="6" t="n">
        <f aca="false">Sens!H5372+Sens!H5323+Sens!H5439*(Sens!H5342-Sens!H5306)</f>
        <v>331.712299896784</v>
      </c>
      <c r="I5446" s="6" t="n">
        <f aca="false">Sens!I5372+Sens!I5323+Sens!I5439*(Sens!I5342-Sens!I5306)</f>
        <v>386.99551498597</v>
      </c>
      <c r="J5446" s="6" t="n">
        <f aca="false">Sens!J5372+Sens!J5323+Sens!J5439*(Sens!J5342-Sens!J5306)</f>
        <v>440.352670454724</v>
      </c>
      <c r="K5446" s="6" t="n">
        <f aca="false">Sens!K5372+Sens!K5323+Sens!K5439*(Sens!K5342-Sens!K5306)</f>
        <v>491.835017397704</v>
      </c>
    </row>
    <row r="5447" customFormat="false" ht="17.15" hidden="false" customHeight="false" outlineLevel="0" collapsed="false">
      <c r="A5447" s="0" t="s">
        <v>956</v>
      </c>
      <c r="B5447" s="0" t="s">
        <v>95</v>
      </c>
      <c r="F5447" s="6" t="n">
        <f aca="false">Sens!F5446-Sens!F5440-Sens!F5441-Sens!F5442-Sens!F5443-Sens!F5445</f>
        <v>49.1581474437398</v>
      </c>
      <c r="G5447" s="6" t="n">
        <f aca="false">Sens!G5446-Sens!G5440-Sens!G5441-Sens!G5442-Sens!G5443-Sens!G5445</f>
        <v>55.3169757278496</v>
      </c>
      <c r="H5447" s="6" t="n">
        <f aca="false">Sens!H5446-Sens!H5440-Sens!H5441-Sens!H5442-Sens!H5443-Sens!H5445</f>
        <v>61.5615207631545</v>
      </c>
      <c r="I5447" s="6" t="n">
        <f aca="false">Sens!I5446-Sens!I5440-Sens!I5441-Sens!I5442-Sens!I5443-Sens!I5445</f>
        <v>67.6571372649441</v>
      </c>
      <c r="J5447" s="6" t="n">
        <f aca="false">Sens!J5446-Sens!J5440-Sens!J5441-Sens!J5442-Sens!J5443-Sens!J5445</f>
        <v>73.001508330667</v>
      </c>
      <c r="K5447" s="6" t="n">
        <f aca="false">Sens!K5446-Sens!K5440-Sens!K5441-Sens!K5442-Sens!K5443-Sens!K5445</f>
        <v>76.8809235516214</v>
      </c>
    </row>
    <row r="5448" customFormat="false" ht="17.15" hidden="false" customHeight="false" outlineLevel="0" collapsed="false">
      <c r="A5448" s="0" t="s">
        <v>957</v>
      </c>
      <c r="B5448" s="0" t="s">
        <v>95</v>
      </c>
      <c r="F5448" s="6" t="n">
        <f aca="false">Sens!F5374+Sens!F5439*Sens!F5349</f>
        <v>23.7785117375187</v>
      </c>
      <c r="G5448" s="6" t="n">
        <f aca="false">Sens!G5374+Sens!G5439*Sens!G5349</f>
        <v>24.3034734441483</v>
      </c>
      <c r="H5448" s="6" t="n">
        <f aca="false">Sens!H5374+Sens!H5439*Sens!H5349</f>
        <v>25.0817040000291</v>
      </c>
      <c r="I5448" s="6" t="n">
        <f aca="false">Sens!I5374+Sens!I5439*Sens!I5349</f>
        <v>26.085928577433</v>
      </c>
      <c r="J5448" s="6" t="n">
        <f aca="false">Sens!J5374+Sens!J5439*Sens!J5349</f>
        <v>27.282059261321</v>
      </c>
      <c r="K5448" s="6" t="n">
        <f aca="false">Sens!K5374+Sens!K5439*Sens!K5349</f>
        <v>28.633165318307</v>
      </c>
    </row>
    <row r="5449" customFormat="false" ht="17.15" hidden="false" customHeight="false" outlineLevel="0" collapsed="false">
      <c r="A5449" s="0" t="s">
        <v>958</v>
      </c>
      <c r="B5449" s="0" t="s">
        <v>95</v>
      </c>
      <c r="F5449" s="6" t="n">
        <f aca="false">(Sens!F5448-Sens!F5444)*Sens!F5345/(Sens!F5345+Sens!F5347)</f>
        <v>7.45255609890272</v>
      </c>
      <c r="G5449" s="6" t="n">
        <f aca="false">(Sens!G5448-Sens!G5444)*Sens!G5345/(Sens!G5345+Sens!G5347)</f>
        <v>7.08384411077698</v>
      </c>
      <c r="H5449" s="6" t="n">
        <f aca="false">(Sens!H5448-Sens!H5444)*Sens!H5345/(Sens!H5345+Sens!H5347)</f>
        <v>6.86644539378962</v>
      </c>
      <c r="I5449" s="6" t="n">
        <f aca="false">(Sens!I5448-Sens!I5444)*Sens!I5345/(Sens!I5345+Sens!I5347)</f>
        <v>6.78390136462177</v>
      </c>
      <c r="J5449" s="6" t="n">
        <f aca="false">(Sens!J5448-Sens!J5444)*Sens!J5345/(Sens!J5345+Sens!J5347)</f>
        <v>6.82447363965207</v>
      </c>
      <c r="K5449" s="6" t="n">
        <f aca="false">(Sens!K5448-Sens!K5444)*Sens!K5345/(Sens!K5345+Sens!K5347)</f>
        <v>6.98175726563377</v>
      </c>
    </row>
    <row r="5450" customFormat="false" ht="17.15" hidden="false" customHeight="false" outlineLevel="0" collapsed="false">
      <c r="A5450" s="0" t="s">
        <v>959</v>
      </c>
      <c r="B5450" s="0" t="s">
        <v>95</v>
      </c>
      <c r="F5450" s="6" t="n">
        <f aca="false">Sens!F5448-Sens!F5444-Sens!F5449</f>
        <v>6.14227883483739</v>
      </c>
      <c r="G5450" s="6" t="n">
        <f aca="false">Sens!G5448-Sens!G5444-Sens!G5449</f>
        <v>6.0729775507086</v>
      </c>
      <c r="H5450" s="6" t="n">
        <f aca="false">Sens!H5448-Sens!H5444-Sens!H5449</f>
        <v>6.06123302299462</v>
      </c>
      <c r="I5450" s="6" t="n">
        <f aca="false">Sens!I5448-Sens!I5444-Sens!I5449</f>
        <v>6.10498757486375</v>
      </c>
      <c r="J5450" s="6" t="n">
        <f aca="false">Sens!J5448-Sens!J5444-Sens!J5449</f>
        <v>6.20039747720772</v>
      </c>
      <c r="K5450" s="6" t="n">
        <f aca="false">Sens!K5448-Sens!K5444-Sens!K5449</f>
        <v>6.34329802151882</v>
      </c>
    </row>
    <row r="5451" customFormat="false" ht="17.15" hidden="false" customHeight="false" outlineLevel="0" collapsed="false">
      <c r="A5451" s="1" t="s">
        <v>960</v>
      </c>
      <c r="B5451" s="0" t="s">
        <v>95</v>
      </c>
      <c r="C5451" s="6" t="n">
        <f aca="false">(w_ntm28*Sens!G5445+(1-w_ntm28)*Sens!H5445)*m_ai*1</f>
        <v>551.711134531404</v>
      </c>
    </row>
    <row r="5452" customFormat="false" ht="17.15" hidden="false" customHeight="false" outlineLevel="0" collapsed="false">
      <c r="A5452" s="1" t="s">
        <v>961</v>
      </c>
      <c r="B5452" s="0" t="s">
        <v>95</v>
      </c>
      <c r="C5452" s="6" t="n">
        <f aca="false">(w_ntm28*Sens!G5447+(1-w_ntm28)*Sens!H5447)*m_cloud*1</f>
        <v>792.380205276071</v>
      </c>
    </row>
    <row r="5453" customFormat="false" ht="17.15" hidden="false" customHeight="false" outlineLevel="0" collapsed="false">
      <c r="A5453" s="1" t="s">
        <v>962</v>
      </c>
      <c r="B5453" s="0" t="s">
        <v>95</v>
      </c>
      <c r="C5453" s="6" t="n">
        <f aca="false">(w_ntm28*Sens!G5440+(1-w_ntm28)*Sens!H5440)*m_sw*1</f>
        <v>1015.22982729594</v>
      </c>
    </row>
    <row r="5454" customFormat="false" ht="17.15" hidden="false" customHeight="false" outlineLevel="0" collapsed="false">
      <c r="A5454" s="1" t="s">
        <v>963</v>
      </c>
      <c r="B5454" s="0" t="s">
        <v>95</v>
      </c>
      <c r="C5454" s="6" t="n">
        <f aca="false">(w_ntm28*Sens!G5441+(1-w_ntm28)*Sens!H5441)*m_sw*1</f>
        <v>362.883122846186</v>
      </c>
    </row>
    <row r="5455" customFormat="false" ht="17.15" hidden="false" customHeight="false" outlineLevel="0" collapsed="false">
      <c r="A5455" s="1" t="s">
        <v>964</v>
      </c>
      <c r="B5455" s="0" t="s">
        <v>95</v>
      </c>
      <c r="C5455" s="6" t="n">
        <f aca="false">(w_ntm28*Sens!G5442+(1-w_ntm28)*Sens!H5442)*m_sw*1</f>
        <v>99.1454012311736</v>
      </c>
    </row>
    <row r="5456" customFormat="false" ht="17.15" hidden="false" customHeight="false" outlineLevel="0" collapsed="false">
      <c r="A5456" s="1" t="s">
        <v>965</v>
      </c>
      <c r="B5456" s="0" t="s">
        <v>95</v>
      </c>
      <c r="C5456" s="6" t="n">
        <f aca="false">(w_ntm28*Sens!G5443+(1-w_ntm28)*Sens!H5443)*m_sw*1</f>
        <v>37.8257747829268</v>
      </c>
    </row>
    <row r="5457" customFormat="false" ht="17.15" hidden="false" customHeight="false" outlineLevel="0" collapsed="false">
      <c r="A5457" s="1" t="s">
        <v>966</v>
      </c>
      <c r="B5457" s="0" t="s">
        <v>95</v>
      </c>
      <c r="C5457" s="6" t="n">
        <f aca="false">(w_ntm28*Sens!G5444+(1-w_ntm28)*Sens!H5444)*m_ads*1</f>
        <v>104.512865378824</v>
      </c>
    </row>
    <row r="5458" customFormat="false" ht="17.15" hidden="false" customHeight="false" outlineLevel="0" collapsed="false">
      <c r="A5458" s="1" t="s">
        <v>967</v>
      </c>
      <c r="B5458" s="0" t="s">
        <v>95</v>
      </c>
      <c r="C5458" s="6" t="n">
        <f aca="false">(w_ntm28*Sens!G5449+(1-w_ntm28)*Sens!H5449)*m_game*1</f>
        <v>88.5812853550723</v>
      </c>
    </row>
    <row r="5459" customFormat="false" ht="17.15" hidden="false" customHeight="false" outlineLevel="0" collapsed="false">
      <c r="A5459" s="1" t="s">
        <v>968</v>
      </c>
      <c r="B5459" s="0" t="s">
        <v>95</v>
      </c>
      <c r="C5459" s="6" t="n">
        <f aca="false">(w_ntm28*Sens!G5450+(1-w_ntm28)*Sens!H5450)*m_pc*1</f>
        <v>87.8210445798753</v>
      </c>
    </row>
    <row r="5460" customFormat="false" ht="17.15" hidden="false" customHeight="false" outlineLevel="0" collapsed="false">
      <c r="A5460" s="1" t="s">
        <v>969</v>
      </c>
      <c r="B5460" s="0" t="s">
        <v>95</v>
      </c>
      <c r="C5460" s="6" t="n">
        <f aca="false">Sens!$C$5451+Sens!$C$5452+Sens!$C$5453+Sens!$C$5454+Sens!$C$5455+Sens!$C$5456+Sens!$C$5457+Sens!$C$5458+Sens!$C$5459</f>
        <v>3140.09066127747</v>
      </c>
    </row>
    <row r="5461" customFormat="false" ht="17.15" hidden="false" customHeight="false" outlineLevel="0" collapsed="false">
      <c r="A5461" s="1" t="s">
        <v>903</v>
      </c>
      <c r="B5461" s="0" t="s">
        <v>95</v>
      </c>
      <c r="C5461" s="6" t="n">
        <f aca="false">Sens!F5418+oai_v-Sens!F5407</f>
        <v>113.180201914904</v>
      </c>
      <c r="L5461" s="1" t="s">
        <v>970</v>
      </c>
    </row>
    <row r="5462" customFormat="false" ht="15" hidden="false" customHeight="false" outlineLevel="0" collapsed="false">
      <c r="A5462" s="1" t="s">
        <v>904</v>
      </c>
      <c r="B5462" s="0" t="s">
        <v>73</v>
      </c>
      <c r="C5462" s="5" t="n">
        <f aca="false">(Sens!$C$5460+Sens!$C$5461)/Sens!F5420</f>
        <v>435.394922804119</v>
      </c>
    </row>
    <row r="5463" customFormat="false" ht="17.15" hidden="false" customHeight="false" outlineLevel="0" collapsed="false">
      <c r="A5463" s="1" t="s">
        <v>971</v>
      </c>
      <c r="B5463" s="0" t="s">
        <v>73</v>
      </c>
      <c r="C5463" s="5" t="n">
        <f aca="false">w_dcf*Sens!$C$5438+(1-w_dcf)*Sens!$C$5462</f>
        <v>357.238712453834</v>
      </c>
    </row>
    <row r="5464" customFormat="false" ht="17.15" hidden="false" customHeight="false" outlineLevel="0" collapsed="false">
      <c r="A5464" s="3" t="s">
        <v>1269</v>
      </c>
    </row>
    <row r="5465" customFormat="false" ht="15" hidden="false" customHeight="false" outlineLevel="0" collapsed="false">
      <c r="A5465" s="4" t="s">
        <v>43</v>
      </c>
      <c r="B5465" s="4" t="s">
        <v>63</v>
      </c>
      <c r="C5465" s="19" t="s">
        <v>710</v>
      </c>
      <c r="D5465" s="19" t="s">
        <v>711</v>
      </c>
      <c r="E5465" s="19" t="s">
        <v>712</v>
      </c>
      <c r="F5465" s="19" t="s">
        <v>713</v>
      </c>
      <c r="G5465" s="19" t="s">
        <v>714</v>
      </c>
      <c r="H5465" s="19" t="s">
        <v>715</v>
      </c>
      <c r="I5465" s="19" t="s">
        <v>716</v>
      </c>
      <c r="J5465" s="19" t="s">
        <v>717</v>
      </c>
      <c r="K5465" s="19" t="s">
        <v>718</v>
      </c>
      <c r="L5465" s="4" t="s">
        <v>47</v>
      </c>
    </row>
    <row r="5466" customFormat="false" ht="17.15" hidden="false" customHeight="false" outlineLevel="0" collapsed="false">
      <c r="A5466" s="1" t="s">
        <v>719</v>
      </c>
      <c r="B5466" s="0" t="s">
        <v>340</v>
      </c>
      <c r="C5466" s="27" t="n">
        <f aca="false">mw_ext_24</f>
        <v>640</v>
      </c>
      <c r="D5466" s="27" t="n">
        <f aca="false">mw_ext_25</f>
        <v>1630</v>
      </c>
      <c r="E5466" s="27" t="n">
        <f aca="false">mw_ext_26</f>
        <v>3250</v>
      </c>
      <c r="F5466" s="27" t="n">
        <f aca="false">MIN(1000000000,Sens!E5466+pace)</f>
        <v>5777.2</v>
      </c>
      <c r="G5466" s="27" t="n">
        <f aca="false">MIN(1000000000,Sens!F5466+pace)</f>
        <v>8304.4</v>
      </c>
      <c r="H5466" s="27" t="n">
        <f aca="false">MIN(1000000000,Sens!G5466+pace)</f>
        <v>10831.6</v>
      </c>
      <c r="I5466" s="27" t="n">
        <f aca="false">MIN(1000000000,Sens!H5466+pace)</f>
        <v>13358.8</v>
      </c>
      <c r="J5466" s="27" t="n">
        <f aca="false">MIN(1000000000,Sens!I5466+pace)</f>
        <v>15886</v>
      </c>
      <c r="K5466" s="27" t="n">
        <f aca="false">MIN(1000000000,Sens!J5466+pace)</f>
        <v>18413.2</v>
      </c>
      <c r="L5466" s="11" t="s">
        <v>720</v>
      </c>
    </row>
    <row r="5467" customFormat="false" ht="17.15" hidden="false" customHeight="false" outlineLevel="0" collapsed="false">
      <c r="A5467" s="1" t="s">
        <v>721</v>
      </c>
      <c r="B5467" s="0" t="s">
        <v>340</v>
      </c>
      <c r="C5467" s="27" t="n">
        <f aca="false">rent_ext_24</f>
        <v>150</v>
      </c>
      <c r="D5467" s="27" t="n">
        <f aca="false">rent_ext_25</f>
        <v>400</v>
      </c>
      <c r="E5467" s="27" t="n">
        <f aca="false">rent_ext_26</f>
        <v>550</v>
      </c>
      <c r="F5467" s="27" t="n">
        <f aca="false">rent_ext_f</f>
        <v>756</v>
      </c>
      <c r="G5467" s="27" t="n">
        <f aca="false">rent_ext_f</f>
        <v>756</v>
      </c>
      <c r="H5467" s="27" t="n">
        <f aca="false">rent_ext_f</f>
        <v>756</v>
      </c>
      <c r="I5467" s="27" t="n">
        <f aca="false">rent_ext_f</f>
        <v>756</v>
      </c>
      <c r="J5467" s="27" t="n">
        <f aca="false">rent_ext_f</f>
        <v>756</v>
      </c>
      <c r="K5467" s="27" t="n">
        <f aca="false">rent_ext_f</f>
        <v>756</v>
      </c>
      <c r="L5467" s="1" t="s">
        <v>722</v>
      </c>
    </row>
    <row r="5468" customFormat="false" ht="17.15" hidden="false" customHeight="false" outlineLevel="0" collapsed="false">
      <c r="A5468" s="1" t="s">
        <v>723</v>
      </c>
      <c r="B5468" s="0" t="s">
        <v>340</v>
      </c>
      <c r="C5468" s="27" t="n">
        <f aca="false">Sens!C5466-Sens!C5467</f>
        <v>490</v>
      </c>
      <c r="D5468" s="27" t="n">
        <f aca="false">Sens!D5466-Sens!D5467</f>
        <v>1230</v>
      </c>
      <c r="E5468" s="27" t="n">
        <f aca="false">Sens!E5466-Sens!E5467</f>
        <v>2700</v>
      </c>
      <c r="F5468" s="27" t="n">
        <f aca="false">Sens!F5466-Sens!F5467</f>
        <v>5021.2</v>
      </c>
      <c r="G5468" s="27" t="n">
        <f aca="false">Sens!G5466-Sens!G5467</f>
        <v>7548.4</v>
      </c>
      <c r="H5468" s="27" t="n">
        <f aca="false">Sens!H5466-Sens!H5467</f>
        <v>10075.6</v>
      </c>
      <c r="I5468" s="27" t="n">
        <f aca="false">Sens!I5466-Sens!I5467</f>
        <v>12602.8</v>
      </c>
      <c r="J5468" s="27" t="n">
        <f aca="false">Sens!J5466-Sens!J5467</f>
        <v>15130</v>
      </c>
      <c r="K5468" s="27" t="n">
        <f aca="false">Sens!K5466-Sens!K5467</f>
        <v>17657.2</v>
      </c>
    </row>
    <row r="5469" customFormat="false" ht="17.15" hidden="false" customHeight="false" outlineLevel="0" collapsed="false">
      <c r="A5469" s="1" t="s">
        <v>724</v>
      </c>
      <c r="B5469" s="0" t="s">
        <v>340</v>
      </c>
      <c r="C5469" s="27" t="n">
        <f aca="false">Sens!C5468/ext_sh</f>
        <v>816.666666666667</v>
      </c>
      <c r="D5469" s="27" t="n">
        <f aca="false">Sens!D5468/ext_sh</f>
        <v>2050</v>
      </c>
      <c r="E5469" s="27" t="n">
        <f aca="false">Sens!E5468/ext_sh</f>
        <v>4500</v>
      </c>
      <c r="F5469" s="27" t="n">
        <f aca="false">Sens!F5468/ext_sh</f>
        <v>8368.66666666667</v>
      </c>
      <c r="G5469" s="27" t="n">
        <f aca="false">Sens!G5468/ext_sh</f>
        <v>12580.6666666667</v>
      </c>
      <c r="H5469" s="27" t="n">
        <f aca="false">Sens!H5468/ext_sh</f>
        <v>16792.6666666667</v>
      </c>
      <c r="I5469" s="27" t="n">
        <f aca="false">Sens!I5468/ext_sh</f>
        <v>21004.6666666667</v>
      </c>
      <c r="J5469" s="27" t="n">
        <f aca="false">Sens!J5468/ext_sh</f>
        <v>25216.6666666667</v>
      </c>
      <c r="K5469" s="27" t="n">
        <f aca="false">Sens!K5468/ext_sh</f>
        <v>29428.6666666667</v>
      </c>
      <c r="L5469" s="1" t="s">
        <v>725</v>
      </c>
    </row>
    <row r="5470" customFormat="false" ht="17.15" hidden="false" customHeight="false" outlineLevel="0" collapsed="false">
      <c r="A5470" s="1" t="s">
        <v>726</v>
      </c>
      <c r="B5470" s="0" t="s">
        <v>340</v>
      </c>
      <c r="C5470" s="27" t="n">
        <f aca="false">Sens!C5469-Sens!C5468</f>
        <v>326.666666666667</v>
      </c>
      <c r="D5470" s="27" t="n">
        <f aca="false">Sens!D5469-Sens!D5468</f>
        <v>820</v>
      </c>
      <c r="E5470" s="27" t="n">
        <f aca="false">Sens!E5469-Sens!E5468</f>
        <v>1800</v>
      </c>
      <c r="F5470" s="27" t="n">
        <f aca="false">Sens!F5469-Sens!F5468</f>
        <v>3347.46666666667</v>
      </c>
      <c r="G5470" s="27" t="n">
        <f aca="false">Sens!G5469-Sens!G5468</f>
        <v>5032.26666666667</v>
      </c>
      <c r="H5470" s="27" t="n">
        <f aca="false">Sens!H5469-Sens!H5468</f>
        <v>6717.06666666667</v>
      </c>
      <c r="I5470" s="27" t="n">
        <f aca="false">Sens!I5469-Sens!I5468</f>
        <v>8401.86666666667</v>
      </c>
      <c r="J5470" s="27" t="n">
        <f aca="false">Sens!J5469-Sens!J5468</f>
        <v>10086.6666666667</v>
      </c>
      <c r="K5470" s="27" t="n">
        <f aca="false">Sens!K5469-Sens!K5468</f>
        <v>11771.4666666667</v>
      </c>
    </row>
    <row r="5471" customFormat="false" ht="17.15" hidden="false" customHeight="false" outlineLevel="0" collapsed="false">
      <c r="A5471" s="1" t="s">
        <v>727</v>
      </c>
      <c r="B5471" s="0" t="s">
        <v>340</v>
      </c>
      <c r="C5471" s="27" t="n">
        <f aca="false">Sens!C5469</f>
        <v>816.666666666667</v>
      </c>
      <c r="D5471" s="27" t="n">
        <f aca="false">Sens!D5469-Sens!C5469</f>
        <v>1233.33333333333</v>
      </c>
      <c r="E5471" s="27" t="n">
        <f aca="false">Sens!E5469-Sens!D5469</f>
        <v>2450</v>
      </c>
      <c r="F5471" s="27" t="n">
        <f aca="false">Sens!F5469-Sens!E5469</f>
        <v>3868.66666666667</v>
      </c>
      <c r="G5471" s="27" t="n">
        <f aca="false">Sens!G5469-Sens!F5469</f>
        <v>4212</v>
      </c>
      <c r="H5471" s="27" t="n">
        <f aca="false">Sens!H5469-Sens!G5469</f>
        <v>4212</v>
      </c>
      <c r="I5471" s="27" t="n">
        <f aca="false">Sens!I5469-Sens!H5469</f>
        <v>4212</v>
      </c>
      <c r="J5471" s="27" t="n">
        <f aca="false">Sens!J5469-Sens!I5469</f>
        <v>4212</v>
      </c>
      <c r="K5471" s="27" t="n">
        <f aca="false">Sens!K5469-Sens!J5469</f>
        <v>4212</v>
      </c>
    </row>
    <row r="5472" customFormat="false" ht="17.15" hidden="false" customHeight="false" outlineLevel="0" collapsed="false">
      <c r="A5472" s="1" t="s">
        <v>728</v>
      </c>
      <c r="B5472" s="0" t="s">
        <v>340</v>
      </c>
      <c r="D5472" s="27" t="n">
        <f aca="false">Sens!D5466-Sens!C5466</f>
        <v>990</v>
      </c>
      <c r="E5472" s="27" t="n">
        <f aca="false">Sens!E5466-Sens!D5466</f>
        <v>1620</v>
      </c>
      <c r="F5472" s="27" t="n">
        <f aca="false">Sens!F5466-Sens!E5466</f>
        <v>2527.2</v>
      </c>
      <c r="G5472" s="27" t="n">
        <f aca="false">Sens!G5466-Sens!F5466</f>
        <v>2527.2</v>
      </c>
      <c r="H5472" s="27" t="n">
        <f aca="false">Sens!H5466-Sens!G5466</f>
        <v>2527.2</v>
      </c>
      <c r="I5472" s="27" t="n">
        <f aca="false">Sens!I5466-Sens!H5466</f>
        <v>2527.2</v>
      </c>
      <c r="J5472" s="27" t="n">
        <f aca="false">Sens!J5466-Sens!I5466</f>
        <v>2527.2</v>
      </c>
      <c r="K5472" s="27" t="n">
        <f aca="false">Sens!K5466-Sens!J5466</f>
        <v>2527.2</v>
      </c>
    </row>
    <row r="5473" customFormat="false" ht="17.15" hidden="false" customHeight="false" outlineLevel="0" collapsed="false">
      <c r="A5473" s="1" t="s">
        <v>729</v>
      </c>
      <c r="B5473" s="0" t="s">
        <v>340</v>
      </c>
      <c r="C5473" s="27" t="n">
        <f aca="false">mix_h*Sens!C5466</f>
        <v>128</v>
      </c>
      <c r="D5473" s="27" t="n">
        <f aca="false">mix_h*Sens!D5466</f>
        <v>326</v>
      </c>
      <c r="E5473" s="27" t="n">
        <f aca="false">mix_h*Sens!E5466</f>
        <v>650</v>
      </c>
      <c r="F5473" s="27" t="n">
        <f aca="false">Sens!E5473</f>
        <v>650</v>
      </c>
      <c r="G5473" s="27" t="n">
        <f aca="false">Sens!F5473</f>
        <v>650</v>
      </c>
      <c r="H5473" s="27" t="n">
        <f aca="false">Sens!G5473</f>
        <v>650</v>
      </c>
      <c r="I5473" s="27" t="n">
        <f aca="false">Sens!H5473</f>
        <v>650</v>
      </c>
      <c r="J5473" s="27" t="n">
        <f aca="false">Sens!I5473</f>
        <v>650</v>
      </c>
      <c r="K5473" s="27" t="n">
        <f aca="false">Sens!J5473</f>
        <v>650</v>
      </c>
    </row>
    <row r="5474" customFormat="false" ht="17.15" hidden="false" customHeight="false" outlineLevel="0" collapsed="false">
      <c r="A5474" s="1" t="s">
        <v>730</v>
      </c>
      <c r="B5474" s="0" t="s">
        <v>340</v>
      </c>
      <c r="C5474" s="27" t="n">
        <f aca="false">mix_g2*Sens!C5466</f>
        <v>288</v>
      </c>
      <c r="D5474" s="27" t="n">
        <f aca="false">mix_g2*Sens!D5466</f>
        <v>733.5</v>
      </c>
      <c r="E5474" s="27" t="n">
        <f aca="false">mix_g2*Sens!E5466</f>
        <v>1462.5</v>
      </c>
      <c r="F5474" s="27" t="n">
        <f aca="false">Sens!E5474</f>
        <v>1462.5</v>
      </c>
      <c r="G5474" s="27" t="n">
        <f aca="false">Sens!F5474</f>
        <v>1462.5</v>
      </c>
      <c r="H5474" s="27" t="n">
        <f aca="false">Sens!G5474</f>
        <v>1462.5</v>
      </c>
      <c r="I5474" s="27" t="n">
        <f aca="false">Sens!H5474</f>
        <v>1462.5</v>
      </c>
      <c r="J5474" s="27" t="n">
        <f aca="false">Sens!I5474</f>
        <v>1462.5</v>
      </c>
      <c r="K5474" s="27" t="n">
        <f aca="false">Sens!J5474</f>
        <v>1462.5</v>
      </c>
    </row>
    <row r="5475" customFormat="false" ht="17.15" hidden="false" customHeight="false" outlineLevel="0" collapsed="false">
      <c r="A5475" s="1" t="s">
        <v>731</v>
      </c>
      <c r="B5475" s="0" t="s">
        <v>340</v>
      </c>
      <c r="C5475" s="27" t="n">
        <f aca="false">mix_g3*Sens!C5466</f>
        <v>224</v>
      </c>
      <c r="D5475" s="27" t="n">
        <f aca="false">mix_g3*Sens!D5466</f>
        <v>570.5</v>
      </c>
      <c r="E5475" s="27" t="n">
        <f aca="false">mix_g3*Sens!E5466</f>
        <v>1137.5</v>
      </c>
      <c r="F5475" s="27" t="n">
        <f aca="false">Sens!E5475+Sens!F5472*a_g3_27</f>
        <v>2906.54</v>
      </c>
      <c r="G5475" s="27" t="n">
        <f aca="false">Sens!F5475+Sens!G5472*a_g3_28</f>
        <v>3664.7</v>
      </c>
      <c r="H5475" s="27" t="n">
        <f aca="false">Sens!G5475+Sens!H5472*a_g3_29</f>
        <v>3917.42</v>
      </c>
      <c r="I5475" s="27" t="n">
        <f aca="false">Sens!H5475+Sens!I5472*a_g3_29</f>
        <v>4170.14</v>
      </c>
      <c r="J5475" s="27" t="n">
        <f aca="false">Sens!I5475+Sens!J5472*a_g3_29</f>
        <v>4422.86</v>
      </c>
      <c r="K5475" s="27" t="n">
        <f aca="false">Sens!J5475+Sens!K5472*a_g3_29</f>
        <v>4675.58</v>
      </c>
    </row>
    <row r="5476" customFormat="false" ht="17.15" hidden="false" customHeight="false" outlineLevel="0" collapsed="false">
      <c r="A5476" s="1" t="s">
        <v>732</v>
      </c>
      <c r="B5476" s="0" t="s">
        <v>340</v>
      </c>
      <c r="C5476" s="27" t="n">
        <f aca="false">0</f>
        <v>0</v>
      </c>
      <c r="D5476" s="27" t="n">
        <f aca="false">0</f>
        <v>0</v>
      </c>
      <c r="E5476" s="27" t="n">
        <f aca="false">0</f>
        <v>0</v>
      </c>
      <c r="F5476" s="27" t="n">
        <f aca="false">Sens!E5476+Sens!F5472*(1-a_g3_27)</f>
        <v>758.16</v>
      </c>
      <c r="G5476" s="27" t="n">
        <f aca="false">Sens!F5476+Sens!G5472*(1-a_g3_28)</f>
        <v>2527.2</v>
      </c>
      <c r="H5476" s="27" t="n">
        <f aca="false">Sens!G5476+Sens!H5472*(1-a_g3_29)</f>
        <v>4801.68</v>
      </c>
      <c r="I5476" s="27" t="n">
        <f aca="false">Sens!H5476+Sens!I5472*(1-a_g3_29)</f>
        <v>7076.16</v>
      </c>
      <c r="J5476" s="27" t="n">
        <f aca="false">Sens!I5476+Sens!J5472*(1-a_g3_29)</f>
        <v>9350.64</v>
      </c>
      <c r="K5476" s="27" t="n">
        <f aca="false">Sens!J5476+Sens!K5472*(1-a_g3_29)</f>
        <v>11625.12</v>
      </c>
    </row>
    <row r="5477" customFormat="false" ht="17.15" hidden="false" customHeight="false" outlineLevel="0" collapsed="false">
      <c r="A5477" s="1" t="s">
        <v>733</v>
      </c>
      <c r="B5477" s="0" t="s">
        <v>291</v>
      </c>
      <c r="C5477" s="18" t="n">
        <f aca="false">(Sens!C5473*tk_hold_h100+Sens!C5474*tk_hold_gb200+Sens!C5475*tk_hold_gb300+Sens!C5476*tk_hold_vr200)/Sens!C5466</f>
        <v>9.7235358126469</v>
      </c>
      <c r="D5477" s="18" t="n">
        <f aca="false">(Sens!D5473*tk_hold_h100+Sens!D5474*tk_hold_gb200+Sens!D5475*tk_hold_gb300+Sens!D5476*tk_hold_vr200)/Sens!D5466</f>
        <v>9.7235358126469</v>
      </c>
      <c r="E5477" s="18" t="n">
        <f aca="false">(Sens!E5473*tk_hold_h100+Sens!E5474*tk_hold_gb200+Sens!E5475*tk_hold_gb300+Sens!E5476*tk_hold_vr200)/Sens!E5466</f>
        <v>9.7235358126469</v>
      </c>
      <c r="F5477" s="18" t="n">
        <f aca="false">(Sens!F5473*tk_hold_h100+Sens!F5474*tk_hold_gb200+Sens!F5475*tk_hold_gb300+Sens!F5476*tk_hold_vr200)/Sens!F5466</f>
        <v>10.4079573161931</v>
      </c>
      <c r="G5477" s="18" t="n">
        <f aca="false">(Sens!G5473*tk_hold_h100+Sens!G5474*tk_hold_gb200+Sens!G5475*tk_hold_gb300+Sens!G5476*tk_hold_vr200)/Sens!G5466</f>
        <v>10.8388131109316</v>
      </c>
      <c r="H5477" s="18" t="n">
        <f aca="false">(Sens!H5473*tk_hold_h100+Sens!H5474*tk_hold_gb200+Sens!H5475*tk_hold_gb300+Sens!H5476*tk_hold_vr200)/Sens!H5466</f>
        <v>11.1311018388216</v>
      </c>
      <c r="I5477" s="18" t="n">
        <f aca="false">(Sens!I5473*tk_hold_h100+Sens!I5474*tk_hold_gb200+Sens!I5475*tk_hold_gb300+Sens!I5476*tk_hold_vr200)/Sens!I5466</f>
        <v>11.3128009818501</v>
      </c>
      <c r="J5477" s="18" t="n">
        <f aca="false">(Sens!J5473*tk_hold_h100+Sens!J5474*tk_hold_gb200+Sens!J5475*tk_hold_gb300+Sens!J5476*tk_hold_vr200)/Sens!J5466</f>
        <v>11.4366894646418</v>
      </c>
      <c r="K5477" s="18" t="n">
        <f aca="false">(Sens!K5473*tk_hold_h100+Sens!K5474*tk_hold_gb200+Sens!K5475*tk_hold_gb300+Sens!K5476*tk_hold_vr200)/Sens!K5466</f>
        <v>11.526570716348</v>
      </c>
    </row>
    <row r="5478" customFormat="false" ht="17.15" hidden="false" customHeight="false" outlineLevel="0" collapsed="false">
      <c r="A5478" s="0" t="s">
        <v>734</v>
      </c>
      <c r="B5478" s="0" t="s">
        <v>182</v>
      </c>
      <c r="C5478" s="18" t="n">
        <f aca="false">k_B</f>
        <v>1.17213932619116</v>
      </c>
      <c r="D5478" s="18" t="n">
        <f aca="false">k_B</f>
        <v>1.17213932619116</v>
      </c>
      <c r="E5478" s="18" t="n">
        <f aca="false">k_B</f>
        <v>1.17213932619116</v>
      </c>
      <c r="F5478" s="18" t="n">
        <f aca="false">(k_B+((ls_B*k_long+(1-ls_B)*k_spot)-k_B)*MIN(1,1/3))*1</f>
        <v>1.17213932619116</v>
      </c>
      <c r="G5478" s="18" t="n">
        <f aca="false">(k_B+((ls_B*k_long+(1-ls_B)*k_spot)-k_B)*MIN(1,2/3))*1</f>
        <v>1.17213932619116</v>
      </c>
      <c r="H5478" s="18" t="n">
        <f aca="false">(k_B+((ls_B*k_long+(1-ls_B)*k_spot)-k_B)*MIN(1,3/3))*1</f>
        <v>1.17213932619116</v>
      </c>
      <c r="I5478" s="18" t="n">
        <f aca="false">(k_B+((ls_B*k_long+(1-ls_B)*k_spot)-k_B)*MIN(1,4/3))*1</f>
        <v>1.17213932619116</v>
      </c>
      <c r="J5478" s="18" t="n">
        <f aca="false">(k_B+((ls_B*k_long+(1-ls_B)*k_spot)-k_B)*MIN(1,5/3))*1</f>
        <v>1.17213932619116</v>
      </c>
      <c r="K5478" s="18" t="n">
        <f aca="false">(k_B+((ls_B*k_long+(1-ls_B)*k_spot)-k_B)*MIN(1,6/3))*1</f>
        <v>1.17213932619116</v>
      </c>
      <c r="L5478" s="1" t="s">
        <v>735</v>
      </c>
    </row>
    <row r="5479" customFormat="false" ht="17.15" hidden="false" customHeight="false" outlineLevel="0" collapsed="false">
      <c r="A5479" s="1" t="s">
        <v>736</v>
      </c>
      <c r="B5479" s="0" t="s">
        <v>291</v>
      </c>
      <c r="C5479" s="18" t="n">
        <f aca="false">Sens!C5477*Sens!C5478*chip_f</f>
        <v>11.3973387156315</v>
      </c>
      <c r="D5479" s="18" t="n">
        <f aca="false">Sens!D5477*Sens!D5478*chip_f</f>
        <v>11.3973387156315</v>
      </c>
      <c r="E5479" s="18" t="n">
        <f aca="false">Sens!E5477*Sens!E5478*chip_f</f>
        <v>11.3973387156315</v>
      </c>
      <c r="F5479" s="18" t="n">
        <f aca="false">Sens!F5477*Sens!F5478*chip_f</f>
        <v>12.1995760756289</v>
      </c>
      <c r="G5479" s="18" t="n">
        <f aca="false">Sens!G5477*Sens!G5478*chip_f</f>
        <v>12.7045990965592</v>
      </c>
      <c r="H5479" s="18" t="n">
        <f aca="false">Sens!H5477*Sens!H5478*chip_f</f>
        <v>13.0472022091214</v>
      </c>
      <c r="I5479" s="18" t="n">
        <f aca="false">Sens!I5477*Sens!I5478*chip_f</f>
        <v>13.2601789202004</v>
      </c>
      <c r="J5479" s="18" t="n">
        <f aca="false">Sens!J5477*Sens!J5478*chip_f</f>
        <v>13.4053934829427</v>
      </c>
      <c r="K5479" s="18" t="n">
        <f aca="false">Sens!K5477*Sens!K5478*chip_f</f>
        <v>13.5107468327548</v>
      </c>
      <c r="L5479" s="1" t="s">
        <v>737</v>
      </c>
    </row>
    <row r="5480" customFormat="false" ht="17.15" hidden="false" customHeight="false" outlineLevel="0" collapsed="false">
      <c r="A5480" s="0" t="s">
        <v>738</v>
      </c>
      <c r="B5480" s="0" t="s">
        <v>95</v>
      </c>
      <c r="D5480" s="6" t="n">
        <f aca="false">(Sens!C5466+Sens!D5466)/2*Sens!D5479/1000</f>
        <v>12.9359794422418</v>
      </c>
      <c r="E5480" s="6" t="n">
        <f aca="false">(Sens!D5466+Sens!E5466)/2*Sens!E5479/1000</f>
        <v>27.8095064661409</v>
      </c>
      <c r="F5480" s="6" t="n">
        <f aca="false">(Sens!E5466+Sens!F5466)/2*Sens!F5479/1000</f>
        <v>55.0640065749585</v>
      </c>
      <c r="G5480" s="6" t="n">
        <f aca="false">(Sens!F5466+Sens!G5466)/2*Sens!G5479/1000</f>
        <v>89.4505413190538</v>
      </c>
      <c r="H5480" s="6" t="n">
        <f aca="false">(Sens!G5466+Sens!H5466)/2*Sens!H5479/1000</f>
        <v>124.835630736874</v>
      </c>
      <c r="I5480" s="6" t="n">
        <f aca="false">(Sens!H5466+Sens!I5466)/2*Sens!I5479/1000</f>
        <v>160.384516075608</v>
      </c>
      <c r="J5480" s="6" t="n">
        <f aca="false">(Sens!I5466+Sens!J5466)/2*Sens!J5479/1000</f>
        <v>196.019025664981</v>
      </c>
      <c r="K5480" s="6" t="n">
        <f aca="false">(Sens!J5466+Sens!K5466)/2*Sens!K5479/1000</f>
        <v>231.703903883012</v>
      </c>
      <c r="L5480" s="11" t="s">
        <v>739</v>
      </c>
    </row>
    <row r="5481" customFormat="false" ht="17.15" hidden="false" customHeight="false" outlineLevel="0" collapsed="false">
      <c r="A5481" s="1" t="s">
        <v>740</v>
      </c>
      <c r="B5481" s="0" t="s">
        <v>291</v>
      </c>
      <c r="C5481" s="18" t="n">
        <f aca="false">(Sens!C5473*tk_opex_h100+Sens!C5474*tk_opex_gb200+Sens!C5475*tk_opex_gb300+Sens!C5476*tk_opex_vr200)/Sens!C5466</f>
        <v>1.88636041306092</v>
      </c>
      <c r="D5481" s="18" t="n">
        <f aca="false">(Sens!D5473*tk_opex_h100+Sens!D5474*tk_opex_gb200+Sens!D5475*tk_opex_gb300+Sens!D5476*tk_opex_vr200)/Sens!D5466</f>
        <v>1.88636041306092</v>
      </c>
      <c r="E5481" s="18" t="n">
        <f aca="false">(Sens!E5473*tk_opex_h100+Sens!E5474*tk_opex_gb200+Sens!E5475*tk_opex_gb300+Sens!E5476*tk_opex_vr200)/Sens!E5466</f>
        <v>1.88636041306092</v>
      </c>
      <c r="F5481" s="18" t="n">
        <f aca="false">(Sens!F5473*tk_opex_h100+Sens!F5474*tk_opex_gb200+Sens!F5475*tk_opex_gb300+Sens!F5476*tk_opex_vr200)/Sens!F5466</f>
        <v>1.9430236476499</v>
      </c>
      <c r="G5481" s="18" t="n">
        <f aca="false">(Sens!G5473*tk_opex_h100+Sens!G5474*tk_opex_gb200+Sens!G5475*tk_opex_gb300+Sens!G5476*tk_opex_vr200)/Sens!G5466</f>
        <v>1.9786941852423</v>
      </c>
      <c r="H5481" s="18" t="n">
        <f aca="false">(Sens!H5473*tk_opex_h100+Sens!H5474*tk_opex_gb200+Sens!H5475*tk_opex_gb300+Sens!H5476*tk_opex_vr200)/Sens!H5466</f>
        <v>2.00289275976156</v>
      </c>
      <c r="I5481" s="18" t="n">
        <f aca="false">(Sens!I5473*tk_opex_h100+Sens!I5474*tk_opex_gb200+Sens!I5475*tk_opex_gb300+Sens!I5476*tk_opex_vr200)/Sens!I5466</f>
        <v>2.01793562605478</v>
      </c>
      <c r="J5481" s="18" t="n">
        <f aca="false">(Sens!J5473*tk_opex_h100+Sens!J5474*tk_opex_gb200+Sens!J5475*tk_opex_gb300+Sens!J5476*tk_opex_vr200)/Sens!J5466</f>
        <v>2.02819234961902</v>
      </c>
      <c r="K5481" s="18" t="n">
        <f aca="false">(Sens!K5473*tk_opex_h100+Sens!K5474*tk_opex_gb200+Sens!K5475*tk_opex_gb300+Sens!K5476*tk_opex_vr200)/Sens!K5466</f>
        <v>2.0356336155994</v>
      </c>
    </row>
    <row r="5482" customFormat="false" ht="17.15" hidden="false" customHeight="false" outlineLevel="0" collapsed="false">
      <c r="A5482" s="0" t="s">
        <v>741</v>
      </c>
      <c r="B5482" s="0" t="s">
        <v>95</v>
      </c>
      <c r="D5482" s="6" t="n">
        <f aca="false">(Sens!C5469+Sens!D5469)/2*Sens!D5481/1000</f>
        <v>2.70378325872065</v>
      </c>
      <c r="E5482" s="6" t="n">
        <f aca="false">(Sens!D5469+Sens!E5469)/2*Sens!E5481/1000</f>
        <v>6.17783035277451</v>
      </c>
      <c r="F5482" s="6" t="n">
        <f aca="false">(Sens!E5469+Sens!F5469)/2*Sens!F5481/1000</f>
        <v>12.5020618235287</v>
      </c>
      <c r="G5482" s="6" t="n">
        <f aca="false">(Sens!F5469+Sens!G5469)/2*Sens!G5481/1000</f>
        <v>20.7261620256847</v>
      </c>
      <c r="H5482" s="6" t="n">
        <f aca="false">(Sens!G5469+Sens!H5469)/2*Sens!H5481/1000</f>
        <v>29.4158183316982</v>
      </c>
      <c r="I5482" s="6" t="n">
        <f aca="false">(Sens!H5469+Sens!I5469)/2*Sens!I5481/1000</f>
        <v>38.1362927516005</v>
      </c>
      <c r="J5482" s="6" t="n">
        <f aca="false">(Sens!I5469+Sens!J5469)/2*Sens!J5481/1000</f>
        <v>46.8728773279286</v>
      </c>
      <c r="K5482" s="6" t="n">
        <f aca="false">(Sens!J5469+Sens!K5469)/2*Sens!K5481/1000</f>
        <v>55.618938734484</v>
      </c>
    </row>
    <row r="5483" customFormat="false" ht="17.15" hidden="false" customHeight="false" outlineLevel="0" collapsed="false">
      <c r="A5483" s="0" t="s">
        <v>742</v>
      </c>
      <c r="B5483" s="0" t="s">
        <v>95</v>
      </c>
      <c r="D5483" s="6" t="n">
        <f aca="false">(Sens!C5467+Sens!D5467)/2*rent_mw/1000</f>
        <v>2.44475</v>
      </c>
      <c r="E5483" s="6" t="n">
        <f aca="false">(Sens!D5467+Sens!E5467)/2*rent_mw/1000</f>
        <v>4.22275</v>
      </c>
      <c r="F5483" s="6" t="n">
        <f aca="false">(Sens!E5467+Sens!F5467)/2*rent_mw/1000</f>
        <v>5.80517</v>
      </c>
      <c r="G5483" s="6" t="n">
        <f aca="false">(Sens!F5467+Sens!G5467)/2*rent_mw/1000</f>
        <v>6.72084</v>
      </c>
      <c r="H5483" s="6" t="n">
        <f aca="false">(Sens!G5467+Sens!H5467)/2*rent_mw/1000</f>
        <v>6.72084</v>
      </c>
      <c r="I5483" s="6" t="n">
        <f aca="false">(Sens!H5467+Sens!I5467)/2*rent_mw/1000</f>
        <v>6.72084</v>
      </c>
      <c r="J5483" s="6" t="n">
        <f aca="false">(Sens!I5467+Sens!J5467)/2*rent_mw/1000</f>
        <v>6.72084</v>
      </c>
      <c r="K5483" s="6" t="n">
        <f aca="false">(Sens!J5467+Sens!K5467)/2*rent_mw/1000</f>
        <v>6.72084</v>
      </c>
    </row>
    <row r="5484" customFormat="false" ht="17.15" hidden="false" customHeight="false" outlineLevel="0" collapsed="false">
      <c r="A5484" s="0" t="s">
        <v>743</v>
      </c>
      <c r="B5484" s="0" t="s">
        <v>95</v>
      </c>
      <c r="D5484" s="6" t="n">
        <f aca="false">(Sens!C5469+Sens!D5469)/2*(1-self_build)*fac_rent/1000</f>
        <v>0.853242375631075</v>
      </c>
      <c r="E5484" s="6" t="n">
        <f aca="false">(Sens!D5469+Sens!E5469)/2*(1-self_build)*fac_rent/1000</f>
        <v>1.94955961408728</v>
      </c>
      <c r="F5484" s="6" t="n">
        <f aca="false">(Sens!E5469+Sens!F5469)/2*(1-self_build)*fac_rent/1000</f>
        <v>3.83026455274573</v>
      </c>
      <c r="G5484" s="6" t="n">
        <f aca="false">(Sens!F5469+Sens!G5469)/2*(1-self_build)*fac_rent/1000</f>
        <v>6.23541590972812</v>
      </c>
      <c r="H5484" s="6" t="n">
        <f aca="false">(Sens!G5469+Sens!H5469)/2*(1-self_build)*fac_rent/1000</f>
        <v>8.74275792332679</v>
      </c>
      <c r="I5484" s="6" t="n">
        <f aca="false">(Sens!H5469+Sens!I5469)/2*(1-self_build)*fac_rent/1000</f>
        <v>11.2500999369255</v>
      </c>
      <c r="J5484" s="6" t="n">
        <f aca="false">(Sens!I5469+Sens!J5469)/2*(1-self_build)*fac_rent/1000</f>
        <v>13.7574419505241</v>
      </c>
      <c r="K5484" s="6" t="n">
        <f aca="false">(Sens!J5469+Sens!K5469)/2*(1-self_build)*fac_rent/1000</f>
        <v>16.2647839641228</v>
      </c>
      <c r="L5484" s="11" t="s">
        <v>744</v>
      </c>
    </row>
    <row r="5485" customFormat="false" ht="17.15" hidden="false" customHeight="false" outlineLevel="0" collapsed="false">
      <c r="A5485" s="1" t="s">
        <v>745</v>
      </c>
      <c r="B5485" s="0" t="s">
        <v>126</v>
      </c>
      <c r="D5485" s="7" t="n">
        <f aca="false">(Sens!C5468+Sens!D5468)/(Sens!C5469+Sens!D5469)</f>
        <v>0.6</v>
      </c>
      <c r="E5485" s="7" t="n">
        <f aca="false">(Sens!D5468+Sens!E5468)/(Sens!D5469+Sens!E5469)</f>
        <v>0.6</v>
      </c>
      <c r="F5485" s="7" t="n">
        <f aca="false">(Sens!E5468+Sens!F5468)/(Sens!E5469+Sens!F5469)</f>
        <v>0.6</v>
      </c>
      <c r="G5485" s="7" t="n">
        <f aca="false">(Sens!F5468+Sens!G5468)/(Sens!F5469+Sens!G5469)</f>
        <v>0.6</v>
      </c>
      <c r="H5485" s="7" t="n">
        <f aca="false">(Sens!G5468+Sens!H5468)/(Sens!G5469+Sens!H5469)</f>
        <v>0.6</v>
      </c>
      <c r="I5485" s="7" t="n">
        <f aca="false">(Sens!H5468+Sens!I5468)/(Sens!H5469+Sens!I5469)</f>
        <v>0.6</v>
      </c>
      <c r="J5485" s="7" t="n">
        <f aca="false">(Sens!I5468+Sens!J5468)/(Sens!I5469+Sens!J5469)</f>
        <v>0.6</v>
      </c>
      <c r="K5485" s="7" t="n">
        <f aca="false">(Sens!J5468+Sens!K5468)/(Sens!J5469+Sens!K5469)</f>
        <v>0.6</v>
      </c>
    </row>
    <row r="5486" customFormat="false" ht="17.15" hidden="false" customHeight="false" outlineLevel="0" collapsed="false">
      <c r="A5486" s="0" t="s">
        <v>746</v>
      </c>
      <c r="B5486" s="0" t="s">
        <v>95</v>
      </c>
      <c r="D5486" s="6" t="n">
        <f aca="false">Sens!D5480-Sens!D5485*(Sens!D5482+Sens!D5484)-Sens!D5483</f>
        <v>8.35701406163072</v>
      </c>
      <c r="E5486" s="6" t="n">
        <f aca="false">Sens!E5480-Sens!E5485*(Sens!E5482+Sens!E5484)-Sens!E5483</f>
        <v>18.7103224860238</v>
      </c>
      <c r="F5486" s="6" t="n">
        <f aca="false">Sens!F5480-Sens!F5485*(Sens!F5482+Sens!F5484)-Sens!F5483</f>
        <v>39.4594407491938</v>
      </c>
      <c r="G5486" s="6" t="n">
        <f aca="false">Sens!G5480-Sens!G5485*(Sens!G5482+Sens!G5484)-Sens!G5483</f>
        <v>66.5527545578061</v>
      </c>
      <c r="H5486" s="6" t="n">
        <f aca="false">Sens!H5480-Sens!H5485*(Sens!H5482+Sens!H5484)-Sens!H5483</f>
        <v>95.219644983859</v>
      </c>
      <c r="I5486" s="6" t="n">
        <f aca="false">Sens!I5480-Sens!I5485*(Sens!I5482+Sens!I5484)-Sens!I5483</f>
        <v>124.031840462493</v>
      </c>
      <c r="J5486" s="6" t="n">
        <f aca="false">Sens!J5480-Sens!J5485*(Sens!J5482+Sens!J5484)-Sens!J5483</f>
        <v>152.919994097909</v>
      </c>
      <c r="K5486" s="6" t="n">
        <f aca="false">Sens!K5480-Sens!K5485*(Sens!K5482+Sens!K5484)-Sens!K5483</f>
        <v>181.852830263848</v>
      </c>
    </row>
    <row r="5487" customFormat="false" ht="17.15" hidden="false" customHeight="false" outlineLevel="0" collapsed="false">
      <c r="A5487" s="1" t="s">
        <v>747</v>
      </c>
      <c r="B5487" s="0" t="s">
        <v>95</v>
      </c>
      <c r="D5487" s="6" t="n">
        <f aca="false">(1-Sens!D5485)*(Sens!D5482+Sens!D5484)</f>
        <v>1.42281025374069</v>
      </c>
      <c r="E5487" s="6" t="n">
        <f aca="false">(1-Sens!E5485)*(Sens!E5482+Sens!E5484)</f>
        <v>3.25095598674472</v>
      </c>
      <c r="F5487" s="6" t="n">
        <f aca="false">(1-Sens!F5485)*(Sens!F5482+Sens!F5484)</f>
        <v>6.53293055050977</v>
      </c>
      <c r="G5487" s="6" t="n">
        <f aca="false">(1-Sens!G5485)*(Sens!G5482+Sens!G5484)</f>
        <v>10.7846311741651</v>
      </c>
      <c r="H5487" s="6" t="n">
        <f aca="false">(1-Sens!H5485)*(Sens!H5482+Sens!H5484)</f>
        <v>15.26343050201</v>
      </c>
      <c r="I5487" s="6" t="n">
        <f aca="false">(1-Sens!I5485)*(Sens!I5482+Sens!I5484)</f>
        <v>19.7545570754104</v>
      </c>
      <c r="J5487" s="6" t="n">
        <f aca="false">(1-Sens!J5485)*(Sens!J5482+Sens!J5484)</f>
        <v>24.2521277113811</v>
      </c>
      <c r="K5487" s="6" t="n">
        <f aca="false">(1-Sens!K5485)*(Sens!K5482+Sens!K5484)</f>
        <v>28.7534890794427</v>
      </c>
    </row>
    <row r="5488" customFormat="false" ht="17.15" hidden="false" customHeight="false" outlineLevel="0" collapsed="false">
      <c r="A5488" s="1" t="s">
        <v>748</v>
      </c>
      <c r="B5488" s="0" t="s">
        <v>302</v>
      </c>
      <c r="C5488" s="8" t="n">
        <f aca="false">cxit_open</f>
        <v>27.5918995</v>
      </c>
      <c r="D5488" s="8" t="n">
        <f aca="false">cxit_open</f>
        <v>27.5918995</v>
      </c>
      <c r="E5488" s="8" t="n">
        <f aca="false">cxit_open</f>
        <v>27.5918995</v>
      </c>
      <c r="F5488" s="8" t="n">
        <f aca="false">(a_g3_27*tk_cxit_gb300+(1-a_g3_27)*tk_cxit_vr200)</f>
        <v>33.8419624</v>
      </c>
      <c r="G5488" s="8" t="n">
        <f aca="false">(a_g3_28*tk_cxit_gb300+(1-a_g3_28)*tk_cxit_vr200)</f>
        <v>35.9816136</v>
      </c>
      <c r="H5488" s="8" t="n">
        <f aca="false">(a_g3_29*tk_cxit_gb300+(1-a_g3_29)*tk_cxit_vr200)</f>
        <v>37.0514392</v>
      </c>
      <c r="I5488" s="8" t="n">
        <f aca="false">(a_g3_29*tk_cxit_gb300+(1-a_g3_29)*tk_cxit_vr200)</f>
        <v>37.0514392</v>
      </c>
      <c r="J5488" s="8" t="n">
        <f aca="false">(a_g3_29*tk_cxit_gb300+(1-a_g3_29)*tk_cxit_vr200)</f>
        <v>37.0514392</v>
      </c>
      <c r="K5488" s="8" t="n">
        <f aca="false">(a_g3_29*tk_cxit_gb300+(1-a_g3_29)*tk_cxit_vr200)</f>
        <v>37.0514392</v>
      </c>
      <c r="L5488" s="11" t="s">
        <v>749</v>
      </c>
    </row>
    <row r="5489" customFormat="false" ht="17.15" hidden="false" customHeight="false" outlineLevel="0" collapsed="false">
      <c r="A5489" s="0" t="s">
        <v>750</v>
      </c>
      <c r="B5489" s="0" t="s">
        <v>340</v>
      </c>
      <c r="F5489" s="27" t="n">
        <f aca="false">Sens!C5471*IF(3=life_it,1,0)+Sens!D5471*IF(2=life_it,1,0)+Sens!E5471*IF(1=life_it,1,0)</f>
        <v>0</v>
      </c>
      <c r="G5489" s="27" t="n">
        <f aca="false">Sens!C5471*IF(4=life_it,1,0)+Sens!D5471*IF(3=life_it,1,0)+Sens!E5471*IF(2=life_it,1,0)+Sens!F5471*IF(1=life_it,1,0)</f>
        <v>0</v>
      </c>
      <c r="H5489" s="27" t="n">
        <f aca="false">Sens!C5471*IF(5=life_it,1,0)+Sens!D5471*IF(4=life_it,1,0)+Sens!E5471*IF(3=life_it,1,0)+Sens!F5471*IF(2=life_it,1,0)+Sens!G5471*IF(1=life_it,1,0)</f>
        <v>0</v>
      </c>
      <c r="I5489" s="27" t="n">
        <f aca="false">Sens!C5471*IF(6=life_it,1,0)+Sens!D5471*IF(5=life_it,1,0)+Sens!E5471*IF(4=life_it,1,0)+Sens!F5471*IF(3=life_it,1,0)+Sens!G5471*IF(2=life_it,1,0)+Sens!H5471*IF(1=life_it,1,0)</f>
        <v>816.666666666667</v>
      </c>
      <c r="J5489" s="27" t="n">
        <f aca="false">Sens!C5471*IF(7=life_it,1,0)+Sens!D5471*IF(6=life_it,1,0)+Sens!E5471*IF(5=life_it,1,0)+Sens!F5471*IF(4=life_it,1,0)+Sens!G5471*IF(3=life_it,1,0)+Sens!H5471*IF(2=life_it,1,0)+Sens!I5471*IF(1=life_it,1,0)</f>
        <v>1233.33333333333</v>
      </c>
      <c r="K5489" s="27" t="n">
        <f aca="false">Sens!C5471*IF(8=life_it,1,0)+Sens!D5471*IF(7=life_it,1,0)+Sens!E5471*IF(6=life_it,1,0)+Sens!F5471*IF(5=life_it,1,0)+Sens!G5471*IF(4=life_it,1,0)+Sens!H5471*IF(3=life_it,1,0)+Sens!I5471*IF(2=life_it,1,0)+Sens!J5471*IF(1=life_it,1,0)</f>
        <v>2450</v>
      </c>
      <c r="L5489" s="1" t="s">
        <v>751</v>
      </c>
    </row>
    <row r="5490" customFormat="false" ht="17.15" hidden="false" customHeight="false" outlineLevel="0" collapsed="false">
      <c r="A5490" s="0" t="s">
        <v>752</v>
      </c>
      <c r="B5490" s="0" t="s">
        <v>95</v>
      </c>
      <c r="C5490" s="6" t="n">
        <f aca="false">Sens!C5471*Sens!C5488/1000</f>
        <v>22.5333845916667</v>
      </c>
      <c r="D5490" s="6" t="n">
        <f aca="false">Sens!D5471*Sens!D5488/1000</f>
        <v>34.0300093833333</v>
      </c>
      <c r="E5490" s="6" t="n">
        <f aca="false">Sens!E5471*Sens!E5488/1000</f>
        <v>67.600153775</v>
      </c>
      <c r="F5490" s="6" t="n">
        <f aca="false">(Sens!F5471+Sens!F5489)*Sens!F5488/1000</f>
        <v>130.923271871467</v>
      </c>
      <c r="G5490" s="6" t="n">
        <f aca="false">(Sens!G5471+Sens!G5489)*Sens!G5488/1000</f>
        <v>151.5545564832</v>
      </c>
      <c r="H5490" s="6" t="n">
        <f aca="false">(Sens!H5471+Sens!H5489)*Sens!H5488/1000</f>
        <v>156.0606619104</v>
      </c>
      <c r="I5490" s="6" t="n">
        <f aca="false">(Sens!I5471+Sens!I5489)*Sens!I5488/1000</f>
        <v>186.319337257067</v>
      </c>
      <c r="J5490" s="6" t="n">
        <f aca="false">(Sens!J5471+Sens!J5489)*Sens!J5488/1000</f>
        <v>201.757436923733</v>
      </c>
      <c r="K5490" s="6" t="n">
        <f aca="false">(Sens!K5471+Sens!K5489)*Sens!K5488/1000</f>
        <v>246.8366879504</v>
      </c>
    </row>
    <row r="5491" customFormat="false" ht="17.15" hidden="false" customHeight="false" outlineLevel="0" collapsed="false">
      <c r="A5491" s="0" t="s">
        <v>753</v>
      </c>
      <c r="B5491" s="0" t="s">
        <v>95</v>
      </c>
      <c r="C5491" s="6" t="n">
        <f aca="false">Sens!C5471*self_build*tk_cxfac/1000</f>
        <v>6.2083</v>
      </c>
      <c r="D5491" s="6" t="n">
        <f aca="false">Sens!D5471*self_build*tk_cxfac/1000</f>
        <v>9.3758</v>
      </c>
      <c r="E5491" s="6" t="n">
        <f aca="false">Sens!E5471*self_build*tk_cxfac/1000</f>
        <v>18.6249</v>
      </c>
      <c r="F5491" s="6" t="n">
        <f aca="false">Sens!F5471*self_build*tk_cxfac/1000</f>
        <v>29.409604</v>
      </c>
      <c r="G5491" s="6" t="n">
        <f aca="false">Sens!G5471*self_build*tk_cxfac/1000</f>
        <v>32.019624</v>
      </c>
      <c r="H5491" s="6" t="n">
        <f aca="false">Sens!H5471*self_build*tk_cxfac/1000</f>
        <v>32.019624</v>
      </c>
      <c r="I5491" s="6" t="n">
        <f aca="false">Sens!I5471*self_build*tk_cxfac/1000</f>
        <v>32.019624</v>
      </c>
      <c r="J5491" s="6" t="n">
        <f aca="false">Sens!J5471*self_build*tk_cxfac/1000</f>
        <v>32.019624</v>
      </c>
      <c r="K5491" s="6" t="n">
        <f aca="false">Sens!K5471*self_build*tk_cxfac/1000</f>
        <v>32.019624</v>
      </c>
    </row>
    <row r="5492" customFormat="false" ht="17.15" hidden="false" customHeight="false" outlineLevel="0" collapsed="false">
      <c r="A5492" s="0" t="s">
        <v>754</v>
      </c>
      <c r="B5492" s="0" t="s">
        <v>95</v>
      </c>
      <c r="F5492" s="6" t="n">
        <f aca="false">MAX(0,capex_floor27-Sens!F5490-Sens!F5491-Sens!F5579)</f>
        <v>8.62377689897089</v>
      </c>
      <c r="G5492" s="6" t="n">
        <f aca="false">0</f>
        <v>0</v>
      </c>
      <c r="H5492" s="6" t="n">
        <f aca="false">0</f>
        <v>0</v>
      </c>
      <c r="I5492" s="6" t="n">
        <f aca="false">0</f>
        <v>0</v>
      </c>
      <c r="J5492" s="6" t="n">
        <f aca="false">0</f>
        <v>0</v>
      </c>
      <c r="K5492" s="6" t="n">
        <f aca="false">0</f>
        <v>0</v>
      </c>
      <c r="L5492" s="1" t="s">
        <v>755</v>
      </c>
    </row>
    <row r="5493" customFormat="false" ht="17.15" hidden="false" customHeight="false" outlineLevel="0" collapsed="false">
      <c r="A5493" s="0" t="s">
        <v>756</v>
      </c>
      <c r="B5493" s="0" t="s">
        <v>95</v>
      </c>
      <c r="C5493" s="6" t="n">
        <f aca="false">Sens!C5490</f>
        <v>22.5333845916667</v>
      </c>
      <c r="D5493" s="6" t="n">
        <f aca="false">Sens!D5490</f>
        <v>34.0300093833333</v>
      </c>
      <c r="E5493" s="6" t="n">
        <f aca="false">Sens!E5490</f>
        <v>67.600153775</v>
      </c>
      <c r="F5493" s="6" t="n">
        <f aca="false">Sens!F5490+Sens!F5492</f>
        <v>139.547048770438</v>
      </c>
      <c r="G5493" s="6" t="n">
        <f aca="false">Sens!G5490+Sens!G5492</f>
        <v>151.5545564832</v>
      </c>
      <c r="H5493" s="6" t="n">
        <f aca="false">Sens!H5490+Sens!H5492</f>
        <v>156.0606619104</v>
      </c>
      <c r="I5493" s="6" t="n">
        <f aca="false">Sens!I5490+Sens!I5492</f>
        <v>186.319337257067</v>
      </c>
      <c r="J5493" s="6" t="n">
        <f aca="false">Sens!J5490+Sens!J5492</f>
        <v>201.757436923733</v>
      </c>
      <c r="K5493" s="6" t="n">
        <f aca="false">Sens!K5490+Sens!K5492</f>
        <v>246.8366879504</v>
      </c>
    </row>
    <row r="5494" customFormat="false" ht="17.15" hidden="false" customHeight="false" outlineLevel="0" collapsed="false">
      <c r="A5494" s="0" t="s">
        <v>757</v>
      </c>
      <c r="B5494" s="0" t="s">
        <v>95</v>
      </c>
      <c r="C5494" s="6" t="n">
        <f aca="false">Sens!C5493+Sens!C5491</f>
        <v>28.7416845916667</v>
      </c>
      <c r="D5494" s="6" t="n">
        <f aca="false">Sens!D5493+Sens!D5491</f>
        <v>43.4058093833333</v>
      </c>
      <c r="E5494" s="6" t="n">
        <f aca="false">Sens!E5493+Sens!E5491</f>
        <v>86.225053775</v>
      </c>
      <c r="F5494" s="6" t="n">
        <f aca="false">Sens!F5493+Sens!F5491</f>
        <v>168.956652770438</v>
      </c>
      <c r="G5494" s="6" t="n">
        <f aca="false">Sens!G5493+Sens!G5491</f>
        <v>183.5741804832</v>
      </c>
      <c r="H5494" s="6" t="n">
        <f aca="false">Sens!H5493+Sens!H5491</f>
        <v>188.0802859104</v>
      </c>
      <c r="I5494" s="6" t="n">
        <f aca="false">Sens!I5493+Sens!I5491</f>
        <v>218.338961257067</v>
      </c>
      <c r="J5494" s="6" t="n">
        <f aca="false">Sens!J5493+Sens!J5491</f>
        <v>233.777060923733</v>
      </c>
      <c r="K5494" s="6" t="n">
        <f aca="false">Sens!K5493+Sens!K5491</f>
        <v>278.8563119504</v>
      </c>
      <c r="L5494" s="11" t="s">
        <v>758</v>
      </c>
    </row>
    <row r="5495" customFormat="false" ht="17.15" hidden="false" customHeight="false" outlineLevel="0" collapsed="false">
      <c r="A5495" s="0" t="s">
        <v>759</v>
      </c>
      <c r="B5495" s="0" t="s">
        <v>95</v>
      </c>
      <c r="E5495" s="6" t="n">
        <f aca="false">(Sens!C5493*IF(2&lt;life_it,1,IF(2=life_it,0.5,0))+Sens!D5493*IF(1&lt;life_it,1,IF(1=life_it,0.5,0))+Sens!E5493*0.5)/life_it</f>
        <v>15.0605784770833</v>
      </c>
      <c r="F5495" s="6" t="n">
        <f aca="false">(Sens!C5493*IF(3&lt;life_it,1,IF(3=life_it,0.5,0))+Sens!D5493*IF(2&lt;life_it,1,IF(2=life_it,0.5,0))+Sens!E5493*IF(1&lt;life_it,1,IF(1=life_it,0.5,0))+Sens!F5493*0.5)/life_it</f>
        <v>32.3228453558698</v>
      </c>
      <c r="G5495" s="6" t="n">
        <f aca="false">(Sens!C5493*IF(4&lt;life_it,1,IF(4=life_it,0.5,0))+Sens!D5493*IF(3&lt;life_it,1,IF(3=life_it,0.5,0))+Sens!E5493*IF(2&lt;life_it,1,IF(2=life_it,0.5,0))+Sens!F5493*IF(1&lt;life_it,1,IF(1=life_it,0.5,0))+Sens!G5493*0.5)/life_it</f>
        <v>56.5813124603396</v>
      </c>
      <c r="H5495" s="6" t="n">
        <f aca="false">(Sens!C5493*IF(5&lt;life_it,1,IF(5=life_it,0.5,0))+Sens!D5493*IF(4&lt;life_it,1,IF(4=life_it,0.5,0))+Sens!E5493*IF(3&lt;life_it,1,IF(3=life_it,0.5,0))+Sens!F5493*IF(2&lt;life_it,1,IF(2=life_it,0.5,0))+Sens!G5493*IF(1&lt;life_it,1,IF(1=life_it,0.5,0))+Sens!H5493*0.5)/life_it</f>
        <v>82.2159139931396</v>
      </c>
      <c r="I5495" s="6" t="n">
        <f aca="false">(Sens!C5493*IF(6&lt;life_it,1,IF(6=life_it,0.5,0))+Sens!D5493*IF(5&lt;life_it,1,IF(5=life_it,0.5,0))+Sens!E5493*IF(4&lt;life_it,1,IF(4=life_it,0.5,0))+Sens!F5493*IF(3&lt;life_it,1,IF(3=life_it,0.5,0))+Sens!G5493*IF(2&lt;life_it,1,IF(2=life_it,0.5,0))+Sens!H5493*IF(1&lt;life_it,1,IF(1=life_it,0.5,0))+Sens!I5493*0.5)/life_it</f>
        <v>108.869798541123</v>
      </c>
      <c r="J5495" s="6" t="n">
        <f aca="false">(Sens!C5493*IF(7&lt;life_it,1,IF(7=life_it,0.5,0))+Sens!D5493*IF(6&lt;life_it,1,IF(6=life_it,0.5,0))+Sens!E5493*IF(5&lt;life_it,1,IF(5=life_it,0.5,0))+Sens!F5493*IF(4&lt;life_it,1,IF(4=life_it,0.5,0))+Sens!G5493*IF(3&lt;life_it,1,IF(3=life_it,0.5,0))+Sens!H5493*IF(2&lt;life_it,1,IF(2=life_it,0.5,0))+Sens!I5493*IF(1&lt;life_it,1,IF(1=life_it,0.5,0))+Sens!J5493*0.5)/life_it</f>
        <v>136.495913558273</v>
      </c>
      <c r="K5495" s="6" t="n">
        <f aca="false">(Sens!C5493*IF(8&lt;life_it,1,IF(8=life_it,0.5,0))+Sens!D5493*IF(7&lt;life_it,1,IF(7=life_it,0.5,0))+Sens!E5493*IF(6&lt;life_it,1,IF(6=life_it,0.5,0))+Sens!F5493*IF(5&lt;life_it,1,IF(5=life_it,0.5,0))+Sens!G5493*IF(4&lt;life_it,1,IF(4=life_it,0.5,0))+Sens!H5493*IF(3&lt;life_it,1,IF(3=life_it,0.5,0))+Sens!I5493*IF(2&lt;life_it,1,IF(2=life_it,0.5,0))+Sens!J5493*IF(1&lt;life_it,1,IF(1=life_it,0.5,0))+Sens!K5493*0.5)/life_it</f>
        <v>165.40957703459</v>
      </c>
    </row>
    <row r="5496" customFormat="false" ht="17.15" hidden="false" customHeight="false" outlineLevel="0" collapsed="false">
      <c r="A5496" s="0" t="s">
        <v>760</v>
      </c>
      <c r="B5496" s="0" t="s">
        <v>95</v>
      </c>
      <c r="E5496" s="6" t="n">
        <f aca="false">(Sens!C5491*IF(2&lt;life_fac,1,IF(2=life_fac,0.5,0))+Sens!D5491*IF(1&lt;life_fac,1,IF(1=life_fac,0.5,0))+Sens!E5491*0.5)/life_fac</f>
        <v>1.2448275</v>
      </c>
      <c r="F5496" s="6" t="n">
        <f aca="false">(Sens!C5491*IF(3&lt;life_fac,1,IF(3=life_fac,0.5,0))+Sens!D5491*IF(2&lt;life_fac,1,IF(2=life_fac,0.5,0))+Sens!E5491*IF(1&lt;life_fac,1,IF(1=life_fac,0.5,0))+Sens!F5491*0.5)/life_fac</f>
        <v>2.4456901</v>
      </c>
      <c r="G5496" s="6" t="n">
        <f aca="false">(Sens!C5491*IF(4&lt;life_fac,1,IF(4=life_fac,0.5,0))+Sens!D5491*IF(3&lt;life_fac,1,IF(3=life_fac,0.5,0))+Sens!E5491*IF(2&lt;life_fac,1,IF(2=life_fac,0.5,0))+Sens!F5491*IF(1&lt;life_fac,1,IF(1=life_fac,0.5,0))+Sens!G5491*0.5)/life_fac</f>
        <v>3.9814208</v>
      </c>
      <c r="H5496" s="6" t="n">
        <f aca="false">(Sens!C5491*IF(5&lt;life_fac,1,IF(5=life_fac,0.5,0))+Sens!D5491*IF(4&lt;life_fac,1,IF(4=life_fac,0.5,0))+Sens!E5491*IF(3&lt;life_fac,1,IF(3=life_fac,0.5,0))+Sens!F5491*IF(2&lt;life_fac,1,IF(2=life_fac,0.5,0))+Sens!G5491*IF(1&lt;life_fac,1,IF(1=life_fac,0.5,0))+Sens!H5491*0.5)/life_fac</f>
        <v>5.582402</v>
      </c>
      <c r="I5496" s="6" t="n">
        <f aca="false">(Sens!C5491*IF(6&lt;life_fac,1,IF(6=life_fac,0.5,0))+Sens!D5491*IF(5&lt;life_fac,1,IF(5=life_fac,0.5,0))+Sens!E5491*IF(4&lt;life_fac,1,IF(4=life_fac,0.5,0))+Sens!F5491*IF(3&lt;life_fac,1,IF(3=life_fac,0.5,0))+Sens!G5491*IF(2&lt;life_fac,1,IF(2=life_fac,0.5,0))+Sens!H5491*IF(1&lt;life_fac,1,IF(1=life_fac,0.5,0))+Sens!I5491*0.5)/life_fac</f>
        <v>7.1833832</v>
      </c>
      <c r="J5496" s="6" t="n">
        <f aca="false">(Sens!C5491*IF(7&lt;life_fac,1,IF(7=life_fac,0.5,0))+Sens!D5491*IF(6&lt;life_fac,1,IF(6=life_fac,0.5,0))+Sens!E5491*IF(5&lt;life_fac,1,IF(5=life_fac,0.5,0))+Sens!F5491*IF(4&lt;life_fac,1,IF(4=life_fac,0.5,0))+Sens!G5491*IF(3&lt;life_fac,1,IF(3=life_fac,0.5,0))+Sens!H5491*IF(2&lt;life_fac,1,IF(2=life_fac,0.5,0))+Sens!I5491*IF(1&lt;life_fac,1,IF(1=life_fac,0.5,0))+Sens!J5491*0.5)/life_fac</f>
        <v>8.7843644</v>
      </c>
      <c r="K5496" s="6" t="n">
        <f aca="false">(Sens!C5491*IF(8&lt;life_fac,1,IF(8=life_fac,0.5,0))+Sens!D5491*IF(7&lt;life_fac,1,IF(7=life_fac,0.5,0))+Sens!E5491*IF(6&lt;life_fac,1,IF(6=life_fac,0.5,0))+Sens!F5491*IF(5&lt;life_fac,1,IF(5=life_fac,0.5,0))+Sens!G5491*IF(4&lt;life_fac,1,IF(4=life_fac,0.5,0))+Sens!H5491*IF(3&lt;life_fac,1,IF(3=life_fac,0.5,0))+Sens!I5491*IF(2&lt;life_fac,1,IF(2=life_fac,0.5,0))+Sens!J5491*IF(1&lt;life_fac,1,IF(1=life_fac,0.5,0))+Sens!K5491*0.5)/life_fac</f>
        <v>10.3853456</v>
      </c>
    </row>
    <row r="5497" customFormat="false" ht="17.15" hidden="false" customHeight="false" outlineLevel="0" collapsed="false">
      <c r="A5497" s="0" t="s">
        <v>761</v>
      </c>
      <c r="B5497" s="0" t="s">
        <v>95</v>
      </c>
      <c r="E5497" s="6" t="n">
        <f aca="false">Sens!E5495+Sens!E5496</f>
        <v>16.3054059770833</v>
      </c>
      <c r="F5497" s="6" t="n">
        <f aca="false">Sens!F5495+Sens!F5496</f>
        <v>34.7685354558698</v>
      </c>
      <c r="G5497" s="6" t="n">
        <f aca="false">Sens!G5495+Sens!G5496</f>
        <v>60.5627332603396</v>
      </c>
      <c r="H5497" s="6" t="n">
        <f aca="false">Sens!H5495+Sens!H5496</f>
        <v>87.7983159931396</v>
      </c>
      <c r="I5497" s="6" t="n">
        <f aca="false">Sens!I5495+Sens!I5496</f>
        <v>116.053181741123</v>
      </c>
      <c r="J5497" s="6" t="n">
        <f aca="false">Sens!J5495+Sens!J5496</f>
        <v>145.280277958273</v>
      </c>
      <c r="K5497" s="6" t="n">
        <f aca="false">Sens!K5495+Sens!K5496</f>
        <v>175.79492263459</v>
      </c>
    </row>
    <row r="5498" customFormat="false" ht="17.15" hidden="false" customHeight="false" outlineLevel="0" collapsed="false">
      <c r="A5498" s="0" t="s">
        <v>762</v>
      </c>
      <c r="B5498" s="0" t="s">
        <v>95</v>
      </c>
      <c r="E5498" s="6" t="n">
        <f aca="false">Sens!E5486-Sens!E5485*Sens!E5497</f>
        <v>8.92707889977379</v>
      </c>
      <c r="F5498" s="6" t="n">
        <f aca="false">Sens!F5486-Sens!F5485*Sens!F5497</f>
        <v>18.598319475672</v>
      </c>
      <c r="G5498" s="6" t="n">
        <f aca="false">Sens!G5486-Sens!G5485*Sens!G5497</f>
        <v>30.2151146016024</v>
      </c>
      <c r="H5498" s="6" t="n">
        <f aca="false">Sens!H5486-Sens!H5485*Sens!H5497</f>
        <v>42.5406553879752</v>
      </c>
      <c r="I5498" s="6" t="n">
        <f aca="false">Sens!I5486-Sens!I5485*Sens!I5497</f>
        <v>54.399931417819</v>
      </c>
      <c r="J5498" s="6" t="n">
        <f aca="false">Sens!J5486-Sens!J5485*Sens!J5497</f>
        <v>65.7518273229457</v>
      </c>
      <c r="K5498" s="6" t="n">
        <f aca="false">Sens!K5486-Sens!K5485*Sens!K5497</f>
        <v>76.3758766830946</v>
      </c>
    </row>
    <row r="5499" customFormat="false" ht="17.15" hidden="false" customHeight="false" outlineLevel="0" collapsed="false">
      <c r="A5499" s="3" t="s">
        <v>1270</v>
      </c>
    </row>
    <row r="5500" customFormat="false" ht="15" hidden="false" customHeight="false" outlineLevel="0" collapsed="false">
      <c r="A5500" s="4" t="s">
        <v>43</v>
      </c>
      <c r="B5500" s="4" t="s">
        <v>63</v>
      </c>
      <c r="C5500" s="19" t="s">
        <v>710</v>
      </c>
      <c r="D5500" s="19" t="s">
        <v>711</v>
      </c>
      <c r="E5500" s="19" t="s">
        <v>712</v>
      </c>
      <c r="F5500" s="19" t="s">
        <v>713</v>
      </c>
      <c r="G5500" s="19" t="s">
        <v>714</v>
      </c>
      <c r="H5500" s="19" t="s">
        <v>715</v>
      </c>
      <c r="I5500" s="19" t="s">
        <v>716</v>
      </c>
      <c r="J5500" s="19" t="s">
        <v>717</v>
      </c>
      <c r="K5500" s="19" t="s">
        <v>718</v>
      </c>
      <c r="L5500" s="4" t="s">
        <v>47</v>
      </c>
    </row>
    <row r="5501" customFormat="false" ht="17.15" hidden="false" customHeight="false" outlineLevel="0" collapsed="false">
      <c r="A5501" s="0" t="s">
        <v>780</v>
      </c>
      <c r="B5501" s="0" t="s">
        <v>95</v>
      </c>
      <c r="D5501" s="6" t="n">
        <f aca="false">Sens!D5480</f>
        <v>12.9359794422418</v>
      </c>
      <c r="E5501" s="6" t="n">
        <f aca="false">Sens!E5480</f>
        <v>27.8095064661409</v>
      </c>
      <c r="F5501" s="6" t="n">
        <f aca="false">Sens!F5480</f>
        <v>55.0640065749585</v>
      </c>
      <c r="G5501" s="6" t="n">
        <f aca="false">Sens!G5480</f>
        <v>89.4505413190538</v>
      </c>
      <c r="H5501" s="6" t="n">
        <f aca="false">Sens!H5480</f>
        <v>124.835630736874</v>
      </c>
      <c r="I5501" s="6" t="n">
        <f aca="false">Sens!I5480</f>
        <v>160.384516075608</v>
      </c>
      <c r="J5501" s="6" t="n">
        <f aca="false">Sens!J5480</f>
        <v>196.019025664981</v>
      </c>
      <c r="K5501" s="6" t="n">
        <f aca="false">Sens!K5480</f>
        <v>231.703903883012</v>
      </c>
    </row>
    <row r="5502" customFormat="false" ht="17.15" hidden="false" customHeight="false" outlineLevel="0" collapsed="false">
      <c r="A5502" s="0" t="s">
        <v>781</v>
      </c>
      <c r="B5502" s="0" t="s">
        <v>95</v>
      </c>
      <c r="D5502" s="6" t="n">
        <f aca="false">Q!L6-Sens!D5501</f>
        <v>59.6740205577583</v>
      </c>
      <c r="E5502" s="6" t="n">
        <f aca="false">Q!M6-Sens!E5501</f>
        <v>74.1284935338591</v>
      </c>
      <c r="F5502" s="6" t="n">
        <f aca="false">Sens!E5502*(1+Sens!F5503)</f>
        <v>90.0799497373663</v>
      </c>
      <c r="G5502" s="6" t="n">
        <f aca="false">Sens!F5502*(1+Sens!G5503)</f>
        <v>107.02842520331</v>
      </c>
      <c r="H5502" s="6" t="n">
        <f aca="false">Sens!G5502*(1+Sens!H5503)</f>
        <v>124.271982585636</v>
      </c>
      <c r="I5502" s="6" t="n">
        <f aca="false">Sens!H5502*(1+Sens!I5503)</f>
        <v>140.933702381855</v>
      </c>
      <c r="J5502" s="6" t="n">
        <f aca="false">Sens!I5502*(1+Sens!J5503)</f>
        <v>156.018867314332</v>
      </c>
      <c r="K5502" s="6" t="n">
        <f aca="false">Sens!J5502*(1+Sens!K5503)</f>
        <v>168.500376699478</v>
      </c>
    </row>
    <row r="5503" customFormat="false" ht="15" hidden="false" customHeight="false" outlineLevel="0" collapsed="false">
      <c r="A5503" s="1" t="s">
        <v>782</v>
      </c>
      <c r="B5503" s="0" t="s">
        <v>126</v>
      </c>
      <c r="E5503" s="7" t="n">
        <f aca="false">Sens!E5502/Sens!D5502-1</f>
        <v>0.242223883039864</v>
      </c>
      <c r="F5503" s="7" t="n">
        <f aca="false">Sens!$E$5503+(glt_azo-Sens!$E$5503)*MIN(1,1/n_conv)</f>
        <v>0.215186569199887</v>
      </c>
      <c r="G5503" s="7" t="n">
        <f aca="false">Sens!$E$5503+(glt_azo-Sens!$E$5503)*MIN(1,2/n_conv)</f>
        <v>0.18814925535991</v>
      </c>
      <c r="H5503" s="7" t="n">
        <f aca="false">Sens!$E$5503+(glt_azo-Sens!$E$5503)*MIN(1,3/n_conv)</f>
        <v>0.161111941519932</v>
      </c>
      <c r="I5503" s="7" t="n">
        <f aca="false">Sens!$E$5503+(glt_azo-Sens!$E$5503)*MIN(1,4/n_conv)</f>
        <v>0.134074627679955</v>
      </c>
      <c r="J5503" s="7" t="n">
        <f aca="false">Sens!$E$5503+(glt_azo-Sens!$E$5503)*MIN(1,5/n_conv)</f>
        <v>0.107037313839977</v>
      </c>
      <c r="K5503" s="7" t="n">
        <f aca="false">Sens!$E$5503+(glt_azo-Sens!$E$5503)*MIN(1,6/n_conv)</f>
        <v>0.08</v>
      </c>
    </row>
    <row r="5504" customFormat="false" ht="15" hidden="false" customHeight="false" outlineLevel="0" collapsed="false">
      <c r="A5504" s="0" t="s">
        <v>783</v>
      </c>
      <c r="B5504" s="0" t="s">
        <v>95</v>
      </c>
      <c r="D5504" s="6" t="n">
        <f aca="false">Sens!D5501+Sens!D5502</f>
        <v>72.61</v>
      </c>
      <c r="E5504" s="6" t="n">
        <f aca="false">Sens!E5501+Sens!E5502</f>
        <v>101.938</v>
      </c>
      <c r="F5504" s="6" t="n">
        <f aca="false">Sens!F5501+Sens!F5502</f>
        <v>145.143956312325</v>
      </c>
      <c r="G5504" s="6" t="n">
        <f aca="false">Sens!G5501+Sens!G5502</f>
        <v>196.478966522364</v>
      </c>
      <c r="H5504" s="6" t="n">
        <f aca="false">Sens!H5501+Sens!H5502</f>
        <v>249.10761332251</v>
      </c>
      <c r="I5504" s="6" t="n">
        <f aca="false">Sens!I5501+Sens!I5502</f>
        <v>301.318218457463</v>
      </c>
      <c r="J5504" s="6" t="n">
        <f aca="false">Sens!J5501+Sens!J5502</f>
        <v>352.037892979313</v>
      </c>
      <c r="K5504" s="6" t="n">
        <f aca="false">Sens!K5501+Sens!K5502</f>
        <v>400.20428058249</v>
      </c>
    </row>
    <row r="5505" customFormat="false" ht="17.15" hidden="false" customHeight="false" outlineLevel="0" collapsed="false">
      <c r="A5505" s="0" t="s">
        <v>784</v>
      </c>
      <c r="B5505" s="1" t="s">
        <v>451</v>
      </c>
      <c r="C5505" s="27" t="n">
        <f aca="false">cop_s24</f>
        <v>1</v>
      </c>
      <c r="D5505" s="27" t="n">
        <f aca="false">cop_s25</f>
        <v>5</v>
      </c>
      <c r="E5505" s="27" t="n">
        <f aca="false">cop_s26</f>
        <v>30</v>
      </c>
      <c r="F5505" s="27" t="n">
        <f aca="false">Sens!E5505+IF(2027&lt;=2029,cop_add_B,cop_add_B*cop_tail)</f>
        <v>50</v>
      </c>
      <c r="G5505" s="27" t="n">
        <f aca="false">Sens!F5505+IF(2028&lt;=2029,cop_add_B,cop_add_B*cop_tail)</f>
        <v>70</v>
      </c>
      <c r="H5505" s="27" t="n">
        <f aca="false">Sens!G5505+IF(2029&lt;=2029,cop_add_B,cop_add_B*cop_tail)</f>
        <v>90</v>
      </c>
      <c r="I5505" s="27" t="n">
        <f aca="false">Sens!H5505+IF(2030&lt;=2029,cop_add_B,cop_add_B*cop_tail)</f>
        <v>100</v>
      </c>
      <c r="J5505" s="27" t="n">
        <f aca="false">Sens!I5505+IF(2031&lt;=2029,cop_add_B,cop_add_B*cop_tail)</f>
        <v>110</v>
      </c>
      <c r="K5505" s="27" t="n">
        <f aca="false">Sens!J5505+IF(2032&lt;=2029,cop_add_B,cop_add_B*cop_tail)</f>
        <v>120</v>
      </c>
    </row>
    <row r="5506" customFormat="false" ht="17.15" hidden="false" customHeight="false" outlineLevel="0" collapsed="false">
      <c r="A5506" s="0" t="s">
        <v>785</v>
      </c>
      <c r="B5506" s="0" t="s">
        <v>95</v>
      </c>
      <c r="D5506" s="6" t="n">
        <f aca="false">(Sens!C5505+Sens!D5505)/2*cop_px*12/1000</f>
        <v>0.9</v>
      </c>
      <c r="E5506" s="6" t="n">
        <f aca="false">(Sens!D5505+Sens!E5505)/2*cop_px*12/1000</f>
        <v>5.25</v>
      </c>
      <c r="F5506" s="6" t="n">
        <f aca="false">(Sens!E5505+Sens!F5505)/2*cop_px_lo*12/1000</f>
        <v>8.64</v>
      </c>
      <c r="G5506" s="6" t="n">
        <f aca="false">(Sens!F5505+Sens!G5505)/2*cop_px_lo*12/1000</f>
        <v>12.96</v>
      </c>
      <c r="H5506" s="6" t="n">
        <f aca="false">(Sens!G5505+Sens!H5505)/2*cop_px_lo*12/1000</f>
        <v>17.28</v>
      </c>
      <c r="I5506" s="6" t="n">
        <f aca="false">(Sens!H5505+Sens!I5505)/2*cop_px_lo*12/1000</f>
        <v>20.52</v>
      </c>
      <c r="J5506" s="6" t="n">
        <f aca="false">(Sens!I5505+Sens!J5505)/2*cop_px_lo*12/1000</f>
        <v>22.68</v>
      </c>
      <c r="K5506" s="6" t="n">
        <f aca="false">(Sens!J5505+Sens!K5505)/2*cop_px_lo*12/1000</f>
        <v>24.84</v>
      </c>
      <c r="L5506" s="1" t="s">
        <v>786</v>
      </c>
    </row>
    <row r="5507" customFormat="false" ht="17.15" hidden="false" customHeight="false" outlineLevel="0" collapsed="false">
      <c r="A5507" s="0" t="s">
        <v>787</v>
      </c>
      <c r="B5507" s="0" t="s">
        <v>95</v>
      </c>
      <c r="D5507" s="6" t="n">
        <f aca="false">Q!L7-Sens!D5506</f>
        <v>83.705</v>
      </c>
      <c r="E5507" s="6" t="n">
        <f aca="false">Q!M7-Sens!E5506</f>
        <v>95.049</v>
      </c>
      <c r="F5507" s="6" t="n">
        <f aca="false">Sens!E5507*(1+Sens!F5508)</f>
        <v>106.89238776686</v>
      </c>
      <c r="G5507" s="6" t="n">
        <f aca="false">Sens!F5507*(1+Sens!G5508)</f>
        <v>119.044168448684</v>
      </c>
      <c r="H5507" s="6" t="n">
        <f aca="false">Sens!G5507*(1+Sens!H5508)</f>
        <v>131.277359388781</v>
      </c>
      <c r="I5507" s="6" t="n">
        <f aca="false">Sens!H5507*(1+Sens!I5508)</f>
        <v>143.334028071957</v>
      </c>
      <c r="J5507" s="6" t="n">
        <f aca="false">Sens!I5507*(1+Sens!J5508)</f>
        <v>154.932702785465</v>
      </c>
      <c r="K5507" s="6" t="n">
        <f aca="false">Sens!J5507*(1+Sens!K5508)</f>
        <v>165.777991980448</v>
      </c>
    </row>
    <row r="5508" customFormat="false" ht="15" hidden="false" customHeight="false" outlineLevel="0" collapsed="false">
      <c r="A5508" s="1" t="s">
        <v>782</v>
      </c>
      <c r="B5508" s="0" t="s">
        <v>126</v>
      </c>
      <c r="E5508" s="7" t="n">
        <f aca="false">Sens!E5507/Sens!D5507-1</f>
        <v>0.135523564900544</v>
      </c>
      <c r="F5508" s="7" t="n">
        <f aca="false">Sens!$E$5508+(glt_m365b-Sens!$E$5508)*MIN(1,1/n_conv)</f>
        <v>0.124602970750453</v>
      </c>
      <c r="G5508" s="7" t="n">
        <f aca="false">Sens!$E$5508+(glt_m365b-Sens!$E$5508)*MIN(1,2/n_conv)</f>
        <v>0.113682376600363</v>
      </c>
      <c r="H5508" s="7" t="n">
        <f aca="false">Sens!$E$5508+(glt_m365b-Sens!$E$5508)*MIN(1,3/n_conv)</f>
        <v>0.102761782450272</v>
      </c>
      <c r="I5508" s="7" t="n">
        <f aca="false">Sens!$E$5508+(glt_m365b-Sens!$E$5508)*MIN(1,4/n_conv)</f>
        <v>0.0918411883001813</v>
      </c>
      <c r="J5508" s="7" t="n">
        <f aca="false">Sens!$E$5508+(glt_m365b-Sens!$E$5508)*MIN(1,5/n_conv)</f>
        <v>0.0809205941500906</v>
      </c>
      <c r="K5508" s="7" t="n">
        <f aca="false">Sens!$E$5508+(glt_m365b-Sens!$E$5508)*MIN(1,6/n_conv)</f>
        <v>0.07</v>
      </c>
    </row>
    <row r="5509" customFormat="false" ht="15" hidden="false" customHeight="false" outlineLevel="0" collapsed="false">
      <c r="A5509" s="0" t="s">
        <v>788</v>
      </c>
      <c r="B5509" s="0" t="s">
        <v>95</v>
      </c>
      <c r="D5509" s="6" t="n">
        <f aca="false">Sens!D5507+Sens!D5506</f>
        <v>84.605</v>
      </c>
      <c r="E5509" s="6" t="n">
        <f aca="false">Sens!E5507+Sens!E5506</f>
        <v>100.299</v>
      </c>
      <c r="F5509" s="6" t="n">
        <f aca="false">Sens!F5507+Sens!F5506</f>
        <v>115.53238776686</v>
      </c>
      <c r="G5509" s="6" t="n">
        <f aca="false">Sens!G5507+Sens!G5506</f>
        <v>132.004168448684</v>
      </c>
      <c r="H5509" s="6" t="n">
        <f aca="false">Sens!H5507+Sens!H5506</f>
        <v>148.557359388781</v>
      </c>
      <c r="I5509" s="6" t="n">
        <f aca="false">Sens!I5507+Sens!I5506</f>
        <v>163.854028071957</v>
      </c>
      <c r="J5509" s="6" t="n">
        <f aca="false">Sens!J5507+Sens!J5506</f>
        <v>177.612702785465</v>
      </c>
      <c r="K5509" s="6" t="n">
        <f aca="false">Sens!K5507+Sens!K5506</f>
        <v>190.617991980448</v>
      </c>
    </row>
    <row r="5510" customFormat="false" ht="15" hidden="false" customHeight="false" outlineLevel="0" collapsed="false">
      <c r="A5510" s="0" t="s">
        <v>789</v>
      </c>
      <c r="B5510" s="0" t="s">
        <v>95</v>
      </c>
      <c r="D5510" s="6" t="n">
        <f aca="false">Q!L8</f>
        <v>35.391</v>
      </c>
      <c r="E5510" s="6" t="n">
        <f aca="false">Q!M8</f>
        <v>37.285</v>
      </c>
      <c r="F5510" s="6" t="n">
        <f aca="false">Sens!E5510*(1+Sens!F5511)</f>
        <v>39.0720834331704</v>
      </c>
      <c r="G5510" s="6" t="n">
        <f aca="false">Sens!F5510*(1+Sens!G5511)</f>
        <v>40.726562953769</v>
      </c>
      <c r="H5510" s="6" t="n">
        <f aca="false">Sens!G5510*(1+Sens!H5511)</f>
        <v>42.2235987259198</v>
      </c>
      <c r="I5510" s="6" t="n">
        <f aca="false">Sens!H5510*(1+Sens!I5511)</f>
        <v>43.5397988077414</v>
      </c>
      <c r="J5510" s="6" t="n">
        <f aca="false">Sens!I5510*(1+Sens!J5511)</f>
        <v>44.653811225693</v>
      </c>
      <c r="K5510" s="6" t="n">
        <f aca="false">Sens!J5510*(1+Sens!K5511)</f>
        <v>45.5468874502068</v>
      </c>
    </row>
    <row r="5511" customFormat="false" ht="15" hidden="false" customHeight="false" outlineLevel="0" collapsed="false">
      <c r="A5511" s="1" t="s">
        <v>782</v>
      </c>
      <c r="B5511" s="0" t="s">
        <v>126</v>
      </c>
      <c r="E5511" s="7" t="n">
        <f aca="false">Sens!E5510/Sens!D5510-1</f>
        <v>0.0535164307309768</v>
      </c>
      <c r="F5511" s="7" t="n">
        <f aca="false">Sens!$E$5511+(glt_lic-Sens!$E$5511)*MIN(1,1/n_conv)</f>
        <v>0.0479303589424807</v>
      </c>
      <c r="G5511" s="7" t="n">
        <f aca="false">Sens!$E$5511+(glt_lic-Sens!$E$5511)*MIN(1,2/n_conv)</f>
        <v>0.0423442871539845</v>
      </c>
      <c r="H5511" s="7" t="n">
        <f aca="false">Sens!$E$5511+(glt_lic-Sens!$E$5511)*MIN(1,3/n_conv)</f>
        <v>0.0367582153654884</v>
      </c>
      <c r="I5511" s="7" t="n">
        <f aca="false">Sens!$E$5511+(glt_lic-Sens!$E$5511)*MIN(1,4/n_conv)</f>
        <v>0.0311721435769923</v>
      </c>
      <c r="J5511" s="7" t="n">
        <f aca="false">Sens!$E$5511+(glt_lic-Sens!$E$5511)*MIN(1,5/n_conv)</f>
        <v>0.0255860717884961</v>
      </c>
      <c r="K5511" s="7" t="n">
        <f aca="false">Sens!$E$5511+(glt_lic-Sens!$E$5511)*MIN(1,6/n_conv)</f>
        <v>0.02</v>
      </c>
    </row>
    <row r="5512" customFormat="false" ht="15" hidden="false" customHeight="false" outlineLevel="0" collapsed="false">
      <c r="A5512" s="0" t="s">
        <v>790</v>
      </c>
      <c r="B5512" s="0" t="s">
        <v>95</v>
      </c>
      <c r="D5512" s="6" t="n">
        <f aca="false">Q!L9</f>
        <v>18.417</v>
      </c>
      <c r="E5512" s="6" t="n">
        <f aca="false">Q!M9</f>
        <v>20.345</v>
      </c>
      <c r="F5512" s="6" t="n">
        <f aca="false">Sens!E5512*(1+Sens!F5513)</f>
        <v>22.3572203267814</v>
      </c>
      <c r="G5512" s="6" t="n">
        <f aca="false">Sens!F5512*(1+Sens!G5513)</f>
        <v>24.4392124437232</v>
      </c>
      <c r="H5512" s="6" t="n">
        <f aca="false">Sens!G5512*(1+Sens!H5513)</f>
        <v>26.5738052080665</v>
      </c>
      <c r="I5512" s="6" t="n">
        <f aca="false">Sens!H5512*(1+Sens!I5513)</f>
        <v>28.7412169166967</v>
      </c>
      <c r="J5512" s="6" t="n">
        <f aca="false">Sens!I5512*(1+Sens!J5513)</f>
        <v>30.9192545395413</v>
      </c>
      <c r="K5512" s="6" t="n">
        <f aca="false">Sens!J5512*(1+Sens!K5513)</f>
        <v>33.0836023573092</v>
      </c>
    </row>
    <row r="5513" customFormat="false" ht="15" hidden="false" customHeight="false" outlineLevel="0" collapsed="false">
      <c r="A5513" s="1" t="s">
        <v>782</v>
      </c>
      <c r="B5513" s="0" t="s">
        <v>126</v>
      </c>
      <c r="E5513" s="7" t="n">
        <f aca="false">Sens!E5512/Sens!D5512-1</f>
        <v>0.104685888038225</v>
      </c>
      <c r="F5513" s="7" t="n">
        <f aca="false">Sens!$E$5513+(glt_ind-Sens!$E$5513)*MIN(1,1/n_conv)</f>
        <v>0.0989049066985211</v>
      </c>
      <c r="G5513" s="7" t="n">
        <f aca="false">Sens!$E$5513+(glt_ind-Sens!$E$5513)*MIN(1,2/n_conv)</f>
        <v>0.0931239253588169</v>
      </c>
      <c r="H5513" s="7" t="n">
        <f aca="false">Sens!$E$5513+(glt_ind-Sens!$E$5513)*MIN(1,3/n_conv)</f>
        <v>0.0873429440191127</v>
      </c>
      <c r="I5513" s="7" t="n">
        <f aca="false">Sens!$E$5513+(glt_ind-Sens!$E$5513)*MIN(1,4/n_conv)</f>
        <v>0.0815619626794085</v>
      </c>
      <c r="J5513" s="7" t="n">
        <f aca="false">Sens!$E$5513+(glt_ind-Sens!$E$5513)*MIN(1,5/n_conv)</f>
        <v>0.0757809813397042</v>
      </c>
      <c r="K5513" s="7" t="n">
        <f aca="false">Sens!$E$5513+(glt_ind-Sens!$E$5513)*MIN(1,6/n_conv)</f>
        <v>0.07</v>
      </c>
    </row>
    <row r="5514" customFormat="false" ht="15" hidden="false" customHeight="false" outlineLevel="0" collapsed="false">
      <c r="A5514" s="0" t="s">
        <v>791</v>
      </c>
      <c r="B5514" s="0" t="s">
        <v>95</v>
      </c>
      <c r="D5514" s="6" t="n">
        <f aca="false">Q!L10</f>
        <v>7.76</v>
      </c>
      <c r="E5514" s="6" t="n">
        <f aca="false">Q!M10</f>
        <v>8.26</v>
      </c>
      <c r="F5514" s="6" t="n">
        <f aca="false">Sens!E5514*(1+Sens!F5515)</f>
        <v>8.79988041237113</v>
      </c>
      <c r="G5514" s="6" t="n">
        <f aca="false">Sens!F5514*(1+Sens!G5515)</f>
        <v>9.38321269125306</v>
      </c>
      <c r="H5514" s="6" t="n">
        <f aca="false">Sens!G5514*(1+Sens!H5515)</f>
        <v>10.0139193587476</v>
      </c>
      <c r="I5514" s="6" t="n">
        <f aca="false">Sens!H5514*(1+Sens!I5515)</f>
        <v>10.6963111830911</v>
      </c>
      <c r="J5514" s="6" t="n">
        <f aca="false">Sens!I5514*(1+Sens!J5515)</f>
        <v>11.4351285534696</v>
      </c>
      <c r="K5514" s="6" t="n">
        <f aca="false">Sens!J5514*(1+Sens!K5515)</f>
        <v>12.2355875522124</v>
      </c>
    </row>
    <row r="5515" customFormat="false" ht="15" hidden="false" customHeight="false" outlineLevel="0" collapsed="false">
      <c r="A5515" s="1" t="s">
        <v>782</v>
      </c>
      <c r="B5515" s="0" t="s">
        <v>126</v>
      </c>
      <c r="E5515" s="7" t="n">
        <f aca="false">Sens!E5514/Sens!D5514-1</f>
        <v>0.0644329896907216</v>
      </c>
      <c r="F5515" s="7" t="n">
        <f aca="false">Sens!$E$5515+(glt_fro-Sens!$E$5515)*MIN(1,1/n_conv)</f>
        <v>0.065360824742268</v>
      </c>
      <c r="G5515" s="7" t="n">
        <f aca="false">Sens!$E$5515+(glt_fro-Sens!$E$5515)*MIN(1,2/n_conv)</f>
        <v>0.0662886597938144</v>
      </c>
      <c r="H5515" s="7" t="n">
        <f aca="false">Sens!$E$5515+(glt_fro-Sens!$E$5515)*MIN(1,3/n_conv)</f>
        <v>0.0672164948453608</v>
      </c>
      <c r="I5515" s="7" t="n">
        <f aca="false">Sens!$E$5515+(glt_fro-Sens!$E$5515)*MIN(1,4/n_conv)</f>
        <v>0.0681443298969072</v>
      </c>
      <c r="J5515" s="7" t="n">
        <f aca="false">Sens!$E$5515+(glt_fro-Sens!$E$5515)*MIN(1,5/n_conv)</f>
        <v>0.0690721649484536</v>
      </c>
      <c r="K5515" s="7" t="n">
        <f aca="false">Sens!$E$5515+(glt_fro-Sens!$E$5515)*MIN(1,6/n_conv)</f>
        <v>0.07</v>
      </c>
    </row>
    <row r="5516" customFormat="false" ht="15" hidden="false" customHeight="false" outlineLevel="0" collapsed="false">
      <c r="A5516" s="0" t="s">
        <v>626</v>
      </c>
      <c r="B5516" s="0" t="s">
        <v>95</v>
      </c>
      <c r="D5516" s="6" t="n">
        <f aca="false">Sens!D5504+Sens!D5509+Sens!D5510+Sens!D5512+Sens!D5514</f>
        <v>218.783</v>
      </c>
      <c r="E5516" s="6" t="n">
        <f aca="false">Sens!E5504+Sens!E5509+Sens!E5510+Sens!E5512+Sens!E5514</f>
        <v>268.127</v>
      </c>
      <c r="F5516" s="6" t="n">
        <f aca="false">Sens!F5504+Sens!F5509+Sens!F5510+Sens!F5512+Sens!F5514</f>
        <v>330.905528251508</v>
      </c>
      <c r="G5516" s="6" t="n">
        <f aca="false">Sens!G5504+Sens!G5509+Sens!G5510+Sens!G5512+Sens!G5514</f>
        <v>403.032123059793</v>
      </c>
      <c r="H5516" s="6" t="n">
        <f aca="false">Sens!H5504+Sens!H5509+Sens!H5510+Sens!H5512+Sens!H5514</f>
        <v>476.476296004025</v>
      </c>
      <c r="I5516" s="6" t="n">
        <f aca="false">Sens!I5504+Sens!I5509+Sens!I5510+Sens!I5512+Sens!I5514</f>
        <v>548.149573436949</v>
      </c>
      <c r="J5516" s="6" t="n">
        <f aca="false">Sens!J5504+Sens!J5509+Sens!J5510+Sens!J5512+Sens!J5514</f>
        <v>616.658790083482</v>
      </c>
      <c r="K5516" s="6" t="n">
        <f aca="false">Sens!K5504+Sens!K5509+Sens!K5510+Sens!K5512+Sens!K5514</f>
        <v>681.688349922667</v>
      </c>
    </row>
    <row r="5517" customFormat="false" ht="15" hidden="false" customHeight="false" outlineLevel="0" collapsed="false">
      <c r="A5517" s="0" t="s">
        <v>792</v>
      </c>
      <c r="B5517" s="0" t="s">
        <v>95</v>
      </c>
      <c r="D5517" s="6" t="n">
        <f aca="false">Q!L13</f>
        <v>22.171</v>
      </c>
      <c r="E5517" s="6" t="n">
        <f aca="false">Q!M13</f>
        <v>24.835</v>
      </c>
      <c r="F5517" s="6" t="n">
        <f aca="false">Sens!E5517*(1+Sens!F5518)</f>
        <v>27.6114901218559</v>
      </c>
      <c r="G5517" s="6" t="n">
        <f aca="false">Sens!F5517*(1+Sens!G5518)</f>
        <v>30.4675667338515</v>
      </c>
      <c r="H5517" s="6" t="n">
        <f aca="false">Sens!G5517*(1+Sens!H5518)</f>
        <v>33.3643766955789</v>
      </c>
      <c r="I5517" s="6" t="n">
        <f aca="false">Sens!H5517*(1+Sens!I5518)</f>
        <v>36.2577016533691</v>
      </c>
      <c r="J5517" s="6" t="n">
        <f aca="false">Sens!I5517*(1+Sens!J5518)</f>
        <v>39.0988367952171</v>
      </c>
      <c r="K5517" s="6" t="n">
        <f aca="false">Sens!J5517*(1+Sens!K5518)</f>
        <v>41.8357553708823</v>
      </c>
    </row>
    <row r="5518" customFormat="false" ht="15" hidden="false" customHeight="false" outlineLevel="0" collapsed="false">
      <c r="A5518" s="1" t="s">
        <v>782</v>
      </c>
      <c r="B5518" s="0" t="s">
        <v>126</v>
      </c>
      <c r="E5518" s="7" t="n">
        <f aca="false">Sens!E5517/Sens!D5517-1</f>
        <v>0.120156961796942</v>
      </c>
      <c r="F5518" s="7" t="n">
        <f aca="false">Sens!$E$5518+(glt_srch-Sens!$E$5518)*MIN(1,1/n_conv)</f>
        <v>0.111797468164118</v>
      </c>
      <c r="G5518" s="7" t="n">
        <f aca="false">Sens!$E$5518+(glt_srch-Sens!$E$5518)*MIN(1,2/n_conv)</f>
        <v>0.103437974531295</v>
      </c>
      <c r="H5518" s="7" t="n">
        <f aca="false">Sens!$E$5518+(glt_srch-Sens!$E$5518)*MIN(1,3/n_conv)</f>
        <v>0.095078480898471</v>
      </c>
      <c r="I5518" s="7" t="n">
        <f aca="false">Sens!$E$5518+(glt_srch-Sens!$E$5518)*MIN(1,4/n_conv)</f>
        <v>0.0867189872656474</v>
      </c>
      <c r="J5518" s="7" t="n">
        <f aca="false">Sens!$E$5518+(glt_srch-Sens!$E$5518)*MIN(1,5/n_conv)</f>
        <v>0.0783594936328237</v>
      </c>
      <c r="K5518" s="7" t="n">
        <f aca="false">Sens!$E$5518+(glt_srch-Sens!$E$5518)*MIN(1,6/n_conv)</f>
        <v>0.07</v>
      </c>
    </row>
    <row r="5519" customFormat="false" ht="15" hidden="false" customHeight="false" outlineLevel="0" collapsed="false">
      <c r="A5519" s="0" t="s">
        <v>793</v>
      </c>
      <c r="B5519" s="0" t="s">
        <v>95</v>
      </c>
      <c r="D5519" s="6" t="n">
        <f aca="false">Q!L14</f>
        <v>23.455</v>
      </c>
      <c r="E5519" s="6" t="n">
        <f aca="false">Q!M14</f>
        <v>21.79</v>
      </c>
      <c r="F5519" s="6" t="n">
        <f aca="false">Sens!E5519*(1+Sens!F5520)</f>
        <v>20.5736277908051</v>
      </c>
      <c r="G5519" s="6" t="n">
        <f aca="false">Sens!F5519*(1+Sens!G5520)</f>
        <v>19.7371452817919</v>
      </c>
      <c r="H5519" s="6" t="n">
        <f aca="false">Sens!G5519*(1+Sens!H5520)</f>
        <v>19.2339764043138</v>
      </c>
      <c r="I5519" s="6" t="n">
        <f aca="false">Sens!H5519*(1+Sens!I5520)</f>
        <v>19.0353086852681</v>
      </c>
      <c r="J5519" s="6" t="n">
        <f aca="false">Sens!I5519*(1+Sens!J5520)</f>
        <v>19.1273539319129</v>
      </c>
      <c r="K5519" s="6" t="n">
        <f aca="false">Sens!J5519*(1+Sens!K5520)</f>
        <v>19.5099010105511</v>
      </c>
    </row>
    <row r="5520" customFormat="false" ht="15" hidden="false" customHeight="false" outlineLevel="0" collapsed="false">
      <c r="A5520" s="1" t="s">
        <v>782</v>
      </c>
      <c r="B5520" s="0" t="s">
        <v>126</v>
      </c>
      <c r="E5520" s="7" t="n">
        <f aca="false">Sens!E5519/Sens!D5519-1</f>
        <v>-0.0709869963760392</v>
      </c>
      <c r="F5520" s="7" t="n">
        <f aca="false">Sens!$E$5520+(glt_xbox-Sens!$E$5520)*MIN(1,1/n_conv)</f>
        <v>-0.0558224969800327</v>
      </c>
      <c r="G5520" s="7" t="n">
        <f aca="false">Sens!$E$5520+(glt_xbox-Sens!$E$5520)*MIN(1,2/n_conv)</f>
        <v>-0.0406579975840262</v>
      </c>
      <c r="H5520" s="7" t="n">
        <f aca="false">Sens!$E$5520+(glt_xbox-Sens!$E$5520)*MIN(1,3/n_conv)</f>
        <v>-0.0254934981880196</v>
      </c>
      <c r="I5520" s="7" t="n">
        <f aca="false">Sens!$E$5520+(glt_xbox-Sens!$E$5520)*MIN(1,4/n_conv)</f>
        <v>-0.0103289987920131</v>
      </c>
      <c r="J5520" s="7" t="n">
        <f aca="false">Sens!$E$5520+(glt_xbox-Sens!$E$5520)*MIN(1,5/n_conv)</f>
        <v>0.00483550060399347</v>
      </c>
      <c r="K5520" s="7" t="n">
        <f aca="false">Sens!$E$5520+(glt_xbox-Sens!$E$5520)*MIN(1,6/n_conv)</f>
        <v>0.02</v>
      </c>
    </row>
    <row r="5521" customFormat="false" ht="15" hidden="false" customHeight="false" outlineLevel="0" collapsed="false">
      <c r="A5521" s="0" t="s">
        <v>794</v>
      </c>
      <c r="B5521" s="0" t="s">
        <v>95</v>
      </c>
      <c r="D5521" s="6" t="n">
        <f aca="false">Q!L15</f>
        <v>17.315</v>
      </c>
      <c r="E5521" s="6" t="n">
        <f aca="false">Q!M15</f>
        <v>17.087</v>
      </c>
      <c r="F5521" s="6" t="n">
        <f aca="false">Sens!E5521*(1+Sens!F5522)</f>
        <v>16.9564585436519</v>
      </c>
      <c r="G5521" s="6" t="n">
        <f aca="false">Sens!F5521*(1+Sens!G5522)</f>
        <v>16.9206490624268</v>
      </c>
      <c r="H5521" s="6" t="n">
        <f aca="false">Sens!G5521*(1+Sens!H5522)</f>
        <v>16.9784519149849</v>
      </c>
      <c r="I5521" s="6" t="n">
        <f aca="false">Sens!H5521*(1+Sens!I5522)</f>
        <v>17.1303084701817</v>
      </c>
      <c r="J5521" s="6" t="n">
        <f aca="false">Sens!I5521*(1+Sens!J5522)</f>
        <v>17.3782189407267</v>
      </c>
      <c r="K5521" s="6" t="n">
        <f aca="false">Sens!J5521*(1+Sens!K5522)</f>
        <v>17.7257833195413</v>
      </c>
    </row>
    <row r="5522" customFormat="false" ht="15" hidden="false" customHeight="false" outlineLevel="0" collapsed="false">
      <c r="A5522" s="1" t="s">
        <v>782</v>
      </c>
      <c r="B5522" s="0" t="s">
        <v>126</v>
      </c>
      <c r="E5522" s="7" t="n">
        <f aca="false">Sens!E5521/Sens!D5521-1</f>
        <v>-0.0131677736066995</v>
      </c>
      <c r="F5522" s="7" t="n">
        <f aca="false">Sens!$E$5522+(glt_win-Sens!$E$5522)*MIN(1,1/n_conv)</f>
        <v>-0.00763981133891627</v>
      </c>
      <c r="G5522" s="7" t="n">
        <f aca="false">Sens!$E$5522+(glt_win-Sens!$E$5522)*MIN(1,2/n_conv)</f>
        <v>-0.00211184907113301</v>
      </c>
      <c r="H5522" s="7" t="n">
        <f aca="false">Sens!$E$5522+(glt_win-Sens!$E$5522)*MIN(1,3/n_conv)</f>
        <v>0.00341611319665024</v>
      </c>
      <c r="I5522" s="7" t="n">
        <f aca="false">Sens!$E$5522+(glt_win-Sens!$E$5522)*MIN(1,4/n_conv)</f>
        <v>0.00894407546443349</v>
      </c>
      <c r="J5522" s="7" t="n">
        <f aca="false">Sens!$E$5522+(glt_win-Sens!$E$5522)*MIN(1,5/n_conv)</f>
        <v>0.0144720377322168</v>
      </c>
      <c r="K5522" s="7" t="n">
        <f aca="false">Sens!$E$5522+(glt_win-Sens!$E$5522)*MIN(1,6/n_conv)</f>
        <v>0.02</v>
      </c>
    </row>
    <row r="5523" customFormat="false" ht="15" hidden="false" customHeight="false" outlineLevel="0" collapsed="false">
      <c r="A5523" s="0" t="s">
        <v>640</v>
      </c>
      <c r="B5523" s="0" t="s">
        <v>95</v>
      </c>
      <c r="D5523" s="6" t="n">
        <f aca="false">Sens!D5517+Sens!D5519+Sens!D5521</f>
        <v>62.941</v>
      </c>
      <c r="E5523" s="6" t="n">
        <f aca="false">Sens!E5517+Sens!E5519+Sens!E5521</f>
        <v>63.712</v>
      </c>
      <c r="F5523" s="6" t="n">
        <f aca="false">Sens!F5517+Sens!F5519+Sens!F5521</f>
        <v>65.1415764563129</v>
      </c>
      <c r="G5523" s="6" t="n">
        <f aca="false">Sens!G5517+Sens!G5519+Sens!G5521</f>
        <v>67.1253610780702</v>
      </c>
      <c r="H5523" s="6" t="n">
        <f aca="false">Sens!H5517+Sens!H5519+Sens!H5521</f>
        <v>69.5768050148776</v>
      </c>
      <c r="I5523" s="6" t="n">
        <f aca="false">Sens!I5517+Sens!I5519+Sens!I5521</f>
        <v>72.4233188088189</v>
      </c>
      <c r="J5523" s="6" t="n">
        <f aca="false">Sens!J5517+Sens!J5519+Sens!J5521</f>
        <v>75.6044096678567</v>
      </c>
      <c r="K5523" s="6" t="n">
        <f aca="false">Sens!K5517+Sens!K5519+Sens!K5521</f>
        <v>79.0714397009747</v>
      </c>
    </row>
    <row r="5524" customFormat="false" ht="15" hidden="false" customHeight="false" outlineLevel="0" collapsed="false">
      <c r="A5524" s="1" t="s">
        <v>795</v>
      </c>
      <c r="B5524" s="0" t="s">
        <v>95</v>
      </c>
      <c r="D5524" s="6" t="n">
        <f aca="false">Sens!D5516+Sens!D5523</f>
        <v>281.724</v>
      </c>
      <c r="E5524" s="6" t="n">
        <f aca="false">Sens!E5516+Sens!E5523</f>
        <v>331.839</v>
      </c>
      <c r="F5524" s="6" t="n">
        <f aca="false">Sens!F5516+Sens!F5523</f>
        <v>396.047104707821</v>
      </c>
      <c r="G5524" s="6" t="n">
        <f aca="false">Sens!G5516+Sens!G5523</f>
        <v>470.157484137863</v>
      </c>
      <c r="H5524" s="6" t="n">
        <f aca="false">Sens!H5516+Sens!H5523</f>
        <v>546.053101018903</v>
      </c>
      <c r="I5524" s="6" t="n">
        <f aca="false">Sens!I5516+Sens!I5523</f>
        <v>620.572892245768</v>
      </c>
      <c r="J5524" s="6" t="n">
        <f aca="false">Sens!J5516+Sens!J5523</f>
        <v>692.263199751338</v>
      </c>
      <c r="K5524" s="6" t="n">
        <f aca="false">Sens!K5516+Sens!K5523</f>
        <v>760.759789623642</v>
      </c>
    </row>
    <row r="5525" customFormat="false" ht="15" hidden="false" customHeight="false" outlineLevel="0" collapsed="false">
      <c r="A5525" s="22" t="s">
        <v>796</v>
      </c>
      <c r="B5525" s="28" t="s">
        <v>95</v>
      </c>
      <c r="C5525" s="28"/>
      <c r="D5525" s="23" t="n">
        <f aca="false">(Sens!D5504+Sens!D5509+Sens!D5510+Sens!D5512+Sens!D5514-Sens!D5516)+(Sens!D5517+Sens!D5519+Sens!D5521-Sens!D5523)+(Sens!D5516-Q!L5)+(Sens!D5523-Q!L12)+(Sens!D5504-Q!L6)+(Sens!D5509-Q!L7)</f>
        <v>0</v>
      </c>
      <c r="E5525" s="23" t="n">
        <f aca="false">(Sens!E5504+Sens!E5509+Sens!E5510+Sens!E5512+Sens!E5514-Sens!E5516)+(Sens!E5517+Sens!E5519+Sens!E5521-Sens!E5523)+(Sens!E5516-Q!M5)+(Sens!E5523-Q!M12)+(Sens!E5504-Q!M6)+(Sens!E5509-Q!M7)</f>
        <v>0</v>
      </c>
      <c r="F5525" s="23" t="n">
        <f aca="false">(Sens!F5504+Sens!F5509+Sens!F5510+Sens!F5512+Sens!F5514-Sens!F5516)+(Sens!F5517+Sens!F5519+Sens!F5521-Sens!F5523)</f>
        <v>0</v>
      </c>
      <c r="G5525" s="23" t="n">
        <f aca="false">(Sens!G5504+Sens!G5509+Sens!G5510+Sens!G5512+Sens!G5514-Sens!G5516)+(Sens!G5517+Sens!G5519+Sens!G5521-Sens!G5523)</f>
        <v>0</v>
      </c>
      <c r="H5525" s="23" t="n">
        <f aca="false">(Sens!H5504+Sens!H5509+Sens!H5510+Sens!H5512+Sens!H5514-Sens!H5516)+(Sens!H5517+Sens!H5519+Sens!H5521-Sens!H5523)</f>
        <v>0</v>
      </c>
      <c r="I5525" s="23" t="n">
        <f aca="false">(Sens!I5504+Sens!I5509+Sens!I5510+Sens!I5512+Sens!I5514-Sens!I5516)+(Sens!I5517+Sens!I5519+Sens!I5521-Sens!I5523)</f>
        <v>0</v>
      </c>
      <c r="J5525" s="23" t="n">
        <f aca="false">(Sens!J5504+Sens!J5509+Sens!J5510+Sens!J5512+Sens!J5514-Sens!J5516)+(Sens!J5517+Sens!J5519+Sens!J5521-Sens!J5523)</f>
        <v>0</v>
      </c>
      <c r="K5525" s="23" t="n">
        <f aca="false">(Sens!K5504+Sens!K5509+Sens!K5510+Sens!K5512+Sens!K5514-Sens!K5516)+(Sens!K5517+Sens!K5519+Sens!K5521-Sens!K5523)</f>
        <v>0</v>
      </c>
    </row>
    <row r="5526" customFormat="false" ht="17.15" hidden="false" customHeight="false" outlineLevel="0" collapsed="false">
      <c r="A5526" s="3" t="s">
        <v>1271</v>
      </c>
    </row>
    <row r="5527" customFormat="false" ht="15" hidden="false" customHeight="false" outlineLevel="0" collapsed="false">
      <c r="A5527" s="4" t="s">
        <v>43</v>
      </c>
      <c r="B5527" s="4" t="s">
        <v>63</v>
      </c>
      <c r="C5527" s="19" t="s">
        <v>710</v>
      </c>
      <c r="D5527" s="19" t="s">
        <v>711</v>
      </c>
      <c r="E5527" s="19" t="s">
        <v>712</v>
      </c>
      <c r="F5527" s="19" t="s">
        <v>713</v>
      </c>
      <c r="G5527" s="19" t="s">
        <v>714</v>
      </c>
      <c r="H5527" s="19" t="s">
        <v>715</v>
      </c>
      <c r="I5527" s="19" t="s">
        <v>716</v>
      </c>
      <c r="J5527" s="19" t="s">
        <v>717</v>
      </c>
      <c r="K5527" s="19" t="s">
        <v>718</v>
      </c>
      <c r="L5527" s="4" t="s">
        <v>47</v>
      </c>
    </row>
    <row r="5528" customFormat="false" ht="15" hidden="false" customHeight="false" outlineLevel="0" collapsed="false">
      <c r="A5528" s="0" t="s">
        <v>783</v>
      </c>
      <c r="B5528" s="0" t="s">
        <v>95</v>
      </c>
      <c r="D5528" s="6" t="n">
        <f aca="false">Sens!D5504</f>
        <v>72.61</v>
      </c>
      <c r="E5528" s="6" t="n">
        <f aca="false">Sens!E5504</f>
        <v>101.938</v>
      </c>
      <c r="F5528" s="6" t="n">
        <f aca="false">Sens!F5504</f>
        <v>145.143956312325</v>
      </c>
      <c r="G5528" s="6" t="n">
        <f aca="false">Sens!G5504</f>
        <v>196.478966522364</v>
      </c>
      <c r="H5528" s="6" t="n">
        <f aca="false">Sens!H5504</f>
        <v>249.10761332251</v>
      </c>
      <c r="I5528" s="6" t="n">
        <f aca="false">Sens!I5504</f>
        <v>301.318218457463</v>
      </c>
      <c r="J5528" s="6" t="n">
        <f aca="false">Sens!J5504</f>
        <v>352.037892979313</v>
      </c>
      <c r="K5528" s="6" t="n">
        <f aca="false">Sens!K5504</f>
        <v>400.20428058249</v>
      </c>
    </row>
    <row r="5529" customFormat="false" ht="17.15" hidden="false" customHeight="false" outlineLevel="0" collapsed="false">
      <c r="A5529" s="0" t="s">
        <v>780</v>
      </c>
      <c r="B5529" s="0" t="s">
        <v>95</v>
      </c>
      <c r="D5529" s="6" t="n">
        <f aca="false">Sens!D5501</f>
        <v>12.9359794422418</v>
      </c>
      <c r="E5529" s="6" t="n">
        <f aca="false">Sens!E5501</f>
        <v>27.8095064661409</v>
      </c>
      <c r="F5529" s="6" t="n">
        <f aca="false">Sens!F5501</f>
        <v>55.0640065749585</v>
      </c>
      <c r="G5529" s="6" t="n">
        <f aca="false">Sens!G5501</f>
        <v>89.4505413190538</v>
      </c>
      <c r="H5529" s="6" t="n">
        <f aca="false">Sens!H5501</f>
        <v>124.835630736874</v>
      </c>
      <c r="I5529" s="6" t="n">
        <f aca="false">Sens!I5501</f>
        <v>160.384516075608</v>
      </c>
      <c r="J5529" s="6" t="n">
        <f aca="false">Sens!J5501</f>
        <v>196.019025664981</v>
      </c>
      <c r="K5529" s="6" t="n">
        <f aca="false">Sens!K5501</f>
        <v>231.703903883012</v>
      </c>
    </row>
    <row r="5530" customFormat="false" ht="17.15" hidden="false" customHeight="false" outlineLevel="0" collapsed="false">
      <c r="A5530" s="0" t="s">
        <v>807</v>
      </c>
      <c r="B5530" s="0" t="s">
        <v>95</v>
      </c>
      <c r="D5530" s="6" t="n">
        <f aca="false">Sens!D5502</f>
        <v>59.6740205577583</v>
      </c>
      <c r="E5530" s="6" t="n">
        <f aca="false">Sens!E5502</f>
        <v>74.1284935338591</v>
      </c>
      <c r="F5530" s="6" t="n">
        <f aca="false">Sens!F5502</f>
        <v>90.0799497373663</v>
      </c>
      <c r="G5530" s="6" t="n">
        <f aca="false">Sens!G5502</f>
        <v>107.02842520331</v>
      </c>
      <c r="H5530" s="6" t="n">
        <f aca="false">Sens!H5502</f>
        <v>124.271982585636</v>
      </c>
      <c r="I5530" s="6" t="n">
        <f aca="false">Sens!I5502</f>
        <v>140.933702381855</v>
      </c>
      <c r="J5530" s="6" t="n">
        <f aca="false">Sens!J5502</f>
        <v>156.018867314332</v>
      </c>
      <c r="K5530" s="6" t="n">
        <f aca="false">Sens!K5502</f>
        <v>168.500376699478</v>
      </c>
    </row>
    <row r="5531" customFormat="false" ht="15" hidden="false" customHeight="false" outlineLevel="0" collapsed="false">
      <c r="A5531" s="0" t="s">
        <v>788</v>
      </c>
      <c r="B5531" s="0" t="s">
        <v>95</v>
      </c>
      <c r="D5531" s="6" t="n">
        <f aca="false">Sens!D5509</f>
        <v>84.605</v>
      </c>
      <c r="E5531" s="6" t="n">
        <f aca="false">Sens!E5509</f>
        <v>100.299</v>
      </c>
      <c r="F5531" s="6" t="n">
        <f aca="false">Sens!F5509</f>
        <v>115.53238776686</v>
      </c>
      <c r="G5531" s="6" t="n">
        <f aca="false">Sens!G5509</f>
        <v>132.004168448684</v>
      </c>
      <c r="H5531" s="6" t="n">
        <f aca="false">Sens!H5509</f>
        <v>148.557359388781</v>
      </c>
      <c r="I5531" s="6" t="n">
        <f aca="false">Sens!I5509</f>
        <v>163.854028071957</v>
      </c>
      <c r="J5531" s="6" t="n">
        <f aca="false">Sens!J5509</f>
        <v>177.612702785465</v>
      </c>
      <c r="K5531" s="6" t="n">
        <f aca="false">Sens!K5509</f>
        <v>190.617991980448</v>
      </c>
    </row>
    <row r="5532" customFormat="false" ht="17.15" hidden="false" customHeight="false" outlineLevel="0" collapsed="false">
      <c r="A5532" s="0" t="s">
        <v>808</v>
      </c>
      <c r="B5532" s="0" t="s">
        <v>95</v>
      </c>
      <c r="D5532" s="6" t="n">
        <f aca="false">Sens!D5507</f>
        <v>83.705</v>
      </c>
      <c r="E5532" s="6" t="n">
        <f aca="false">Sens!E5507</f>
        <v>95.049</v>
      </c>
      <c r="F5532" s="6" t="n">
        <f aca="false">Sens!F5507</f>
        <v>106.89238776686</v>
      </c>
      <c r="G5532" s="6" t="n">
        <f aca="false">Sens!G5507</f>
        <v>119.044168448684</v>
      </c>
      <c r="H5532" s="6" t="n">
        <f aca="false">Sens!H5507</f>
        <v>131.277359388781</v>
      </c>
      <c r="I5532" s="6" t="n">
        <f aca="false">Sens!I5507</f>
        <v>143.334028071957</v>
      </c>
      <c r="J5532" s="6" t="n">
        <f aca="false">Sens!J5507</f>
        <v>154.932702785465</v>
      </c>
      <c r="K5532" s="6" t="n">
        <f aca="false">Sens!K5507</f>
        <v>165.777991980448</v>
      </c>
    </row>
    <row r="5533" customFormat="false" ht="17.15" hidden="false" customHeight="false" outlineLevel="0" collapsed="false">
      <c r="A5533" s="0" t="s">
        <v>809</v>
      </c>
      <c r="B5533" s="0" t="s">
        <v>95</v>
      </c>
      <c r="D5533" s="6" t="n">
        <f aca="false">Sens!D5506</f>
        <v>0.9</v>
      </c>
      <c r="E5533" s="6" t="n">
        <f aca="false">Sens!E5506</f>
        <v>5.25</v>
      </c>
      <c r="F5533" s="6" t="n">
        <f aca="false">Sens!F5506</f>
        <v>8.64</v>
      </c>
      <c r="G5533" s="6" t="n">
        <f aca="false">Sens!G5506</f>
        <v>12.96</v>
      </c>
      <c r="H5533" s="6" t="n">
        <f aca="false">Sens!H5506</f>
        <v>17.28</v>
      </c>
      <c r="I5533" s="6" t="n">
        <f aca="false">Sens!I5506</f>
        <v>20.52</v>
      </c>
      <c r="J5533" s="6" t="n">
        <f aca="false">Sens!J5506</f>
        <v>22.68</v>
      </c>
      <c r="K5533" s="6" t="n">
        <f aca="false">Sens!K5506</f>
        <v>24.84</v>
      </c>
    </row>
    <row r="5534" customFormat="false" ht="15" hidden="false" customHeight="false" outlineLevel="0" collapsed="false">
      <c r="A5534" s="0" t="s">
        <v>789</v>
      </c>
      <c r="B5534" s="0" t="s">
        <v>95</v>
      </c>
      <c r="D5534" s="6" t="n">
        <f aca="false">Sens!D5510</f>
        <v>35.391</v>
      </c>
      <c r="E5534" s="6" t="n">
        <f aca="false">Sens!E5510</f>
        <v>37.285</v>
      </c>
      <c r="F5534" s="6" t="n">
        <f aca="false">Sens!F5510</f>
        <v>39.0720834331704</v>
      </c>
      <c r="G5534" s="6" t="n">
        <f aca="false">Sens!G5510</f>
        <v>40.726562953769</v>
      </c>
      <c r="H5534" s="6" t="n">
        <f aca="false">Sens!H5510</f>
        <v>42.2235987259198</v>
      </c>
      <c r="I5534" s="6" t="n">
        <f aca="false">Sens!I5510</f>
        <v>43.5397988077414</v>
      </c>
      <c r="J5534" s="6" t="n">
        <f aca="false">Sens!J5510</f>
        <v>44.653811225693</v>
      </c>
      <c r="K5534" s="6" t="n">
        <f aca="false">Sens!K5510</f>
        <v>45.5468874502068</v>
      </c>
    </row>
    <row r="5535" customFormat="false" ht="15" hidden="false" customHeight="false" outlineLevel="0" collapsed="false">
      <c r="A5535" s="0" t="s">
        <v>790</v>
      </c>
      <c r="B5535" s="0" t="s">
        <v>95</v>
      </c>
      <c r="D5535" s="6" t="n">
        <f aca="false">Sens!D5512</f>
        <v>18.417</v>
      </c>
      <c r="E5535" s="6" t="n">
        <f aca="false">Sens!E5512</f>
        <v>20.345</v>
      </c>
      <c r="F5535" s="6" t="n">
        <f aca="false">Sens!F5512</f>
        <v>22.3572203267814</v>
      </c>
      <c r="G5535" s="6" t="n">
        <f aca="false">Sens!G5512</f>
        <v>24.4392124437232</v>
      </c>
      <c r="H5535" s="6" t="n">
        <f aca="false">Sens!H5512</f>
        <v>26.5738052080665</v>
      </c>
      <c r="I5535" s="6" t="n">
        <f aca="false">Sens!I5512</f>
        <v>28.7412169166967</v>
      </c>
      <c r="J5535" s="6" t="n">
        <f aca="false">Sens!J5512</f>
        <v>30.9192545395413</v>
      </c>
      <c r="K5535" s="6" t="n">
        <f aca="false">Sens!K5512</f>
        <v>33.0836023573092</v>
      </c>
    </row>
    <row r="5536" customFormat="false" ht="15" hidden="false" customHeight="false" outlineLevel="0" collapsed="false">
      <c r="A5536" s="0" t="s">
        <v>791</v>
      </c>
      <c r="B5536" s="0" t="s">
        <v>95</v>
      </c>
      <c r="D5536" s="6" t="n">
        <f aca="false">Sens!D5514</f>
        <v>7.76</v>
      </c>
      <c r="E5536" s="6" t="n">
        <f aca="false">Sens!E5514</f>
        <v>8.26</v>
      </c>
      <c r="F5536" s="6" t="n">
        <f aca="false">Sens!F5514</f>
        <v>8.79988041237113</v>
      </c>
      <c r="G5536" s="6" t="n">
        <f aca="false">Sens!G5514</f>
        <v>9.38321269125306</v>
      </c>
      <c r="H5536" s="6" t="n">
        <f aca="false">Sens!H5514</f>
        <v>10.0139193587476</v>
      </c>
      <c r="I5536" s="6" t="n">
        <f aca="false">Sens!I5514</f>
        <v>10.6963111830911</v>
      </c>
      <c r="J5536" s="6" t="n">
        <f aca="false">Sens!J5514</f>
        <v>11.4351285534696</v>
      </c>
      <c r="K5536" s="6" t="n">
        <f aca="false">Sens!K5514</f>
        <v>12.2355875522124</v>
      </c>
    </row>
    <row r="5537" customFormat="false" ht="15" hidden="false" customHeight="false" outlineLevel="0" collapsed="false">
      <c r="A5537" s="0" t="s">
        <v>626</v>
      </c>
      <c r="B5537" s="0" t="s">
        <v>95</v>
      </c>
      <c r="D5537" s="6" t="n">
        <f aca="false">Sens!D5516</f>
        <v>218.783</v>
      </c>
      <c r="E5537" s="6" t="n">
        <f aca="false">Sens!E5516</f>
        <v>268.127</v>
      </c>
      <c r="F5537" s="6" t="n">
        <f aca="false">Sens!F5516</f>
        <v>330.905528251508</v>
      </c>
      <c r="G5537" s="6" t="n">
        <f aca="false">Sens!G5516</f>
        <v>403.032123059793</v>
      </c>
      <c r="H5537" s="6" t="n">
        <f aca="false">Sens!H5516</f>
        <v>476.476296004025</v>
      </c>
      <c r="I5537" s="6" t="n">
        <f aca="false">Sens!I5516</f>
        <v>548.149573436949</v>
      </c>
      <c r="J5537" s="6" t="n">
        <f aca="false">Sens!J5516</f>
        <v>616.658790083482</v>
      </c>
      <c r="K5537" s="6" t="n">
        <f aca="false">Sens!K5516</f>
        <v>681.688349922667</v>
      </c>
    </row>
    <row r="5538" customFormat="false" ht="15" hidden="false" customHeight="false" outlineLevel="0" collapsed="false">
      <c r="A5538" s="0" t="s">
        <v>792</v>
      </c>
      <c r="B5538" s="0" t="s">
        <v>95</v>
      </c>
      <c r="D5538" s="6" t="n">
        <f aca="false">Sens!D5517</f>
        <v>22.171</v>
      </c>
      <c r="E5538" s="6" t="n">
        <f aca="false">Sens!E5517</f>
        <v>24.835</v>
      </c>
      <c r="F5538" s="6" t="n">
        <f aca="false">Sens!F5517</f>
        <v>27.6114901218559</v>
      </c>
      <c r="G5538" s="6" t="n">
        <f aca="false">Sens!G5517</f>
        <v>30.4675667338515</v>
      </c>
      <c r="H5538" s="6" t="n">
        <f aca="false">Sens!H5517</f>
        <v>33.3643766955789</v>
      </c>
      <c r="I5538" s="6" t="n">
        <f aca="false">Sens!I5517</f>
        <v>36.2577016533691</v>
      </c>
      <c r="J5538" s="6" t="n">
        <f aca="false">Sens!J5517</f>
        <v>39.0988367952171</v>
      </c>
      <c r="K5538" s="6" t="n">
        <f aca="false">Sens!K5517</f>
        <v>41.8357553708823</v>
      </c>
    </row>
    <row r="5539" customFormat="false" ht="15" hidden="false" customHeight="false" outlineLevel="0" collapsed="false">
      <c r="A5539" s="0" t="s">
        <v>793</v>
      </c>
      <c r="B5539" s="0" t="s">
        <v>95</v>
      </c>
      <c r="D5539" s="6" t="n">
        <f aca="false">Sens!D5519</f>
        <v>23.455</v>
      </c>
      <c r="E5539" s="6" t="n">
        <f aca="false">Sens!E5519</f>
        <v>21.79</v>
      </c>
      <c r="F5539" s="6" t="n">
        <f aca="false">Sens!F5519</f>
        <v>20.5736277908051</v>
      </c>
      <c r="G5539" s="6" t="n">
        <f aca="false">Sens!G5519</f>
        <v>19.7371452817919</v>
      </c>
      <c r="H5539" s="6" t="n">
        <f aca="false">Sens!H5519</f>
        <v>19.2339764043138</v>
      </c>
      <c r="I5539" s="6" t="n">
        <f aca="false">Sens!I5519</f>
        <v>19.0353086852681</v>
      </c>
      <c r="J5539" s="6" t="n">
        <f aca="false">Sens!J5519</f>
        <v>19.1273539319129</v>
      </c>
      <c r="K5539" s="6" t="n">
        <f aca="false">Sens!K5519</f>
        <v>19.5099010105511</v>
      </c>
    </row>
    <row r="5540" customFormat="false" ht="15" hidden="false" customHeight="false" outlineLevel="0" collapsed="false">
      <c r="A5540" s="0" t="s">
        <v>794</v>
      </c>
      <c r="B5540" s="0" t="s">
        <v>95</v>
      </c>
      <c r="D5540" s="6" t="n">
        <f aca="false">Sens!D5521</f>
        <v>17.315</v>
      </c>
      <c r="E5540" s="6" t="n">
        <f aca="false">Sens!E5521</f>
        <v>17.087</v>
      </c>
      <c r="F5540" s="6" t="n">
        <f aca="false">Sens!F5521</f>
        <v>16.9564585436519</v>
      </c>
      <c r="G5540" s="6" t="n">
        <f aca="false">Sens!G5521</f>
        <v>16.9206490624268</v>
      </c>
      <c r="H5540" s="6" t="n">
        <f aca="false">Sens!H5521</f>
        <v>16.9784519149849</v>
      </c>
      <c r="I5540" s="6" t="n">
        <f aca="false">Sens!I5521</f>
        <v>17.1303084701817</v>
      </c>
      <c r="J5540" s="6" t="n">
        <f aca="false">Sens!J5521</f>
        <v>17.3782189407267</v>
      </c>
      <c r="K5540" s="6" t="n">
        <f aca="false">Sens!K5521</f>
        <v>17.7257833195413</v>
      </c>
    </row>
    <row r="5541" customFormat="false" ht="15" hidden="false" customHeight="false" outlineLevel="0" collapsed="false">
      <c r="A5541" s="0" t="s">
        <v>640</v>
      </c>
      <c r="B5541" s="0" t="s">
        <v>95</v>
      </c>
      <c r="D5541" s="6" t="n">
        <f aca="false">Sens!D5523</f>
        <v>62.941</v>
      </c>
      <c r="E5541" s="6" t="n">
        <f aca="false">Sens!E5523</f>
        <v>63.712</v>
      </c>
      <c r="F5541" s="6" t="n">
        <f aca="false">Sens!F5523</f>
        <v>65.1415764563129</v>
      </c>
      <c r="G5541" s="6" t="n">
        <f aca="false">Sens!G5523</f>
        <v>67.1253610780702</v>
      </c>
      <c r="H5541" s="6" t="n">
        <f aca="false">Sens!H5523</f>
        <v>69.5768050148776</v>
      </c>
      <c r="I5541" s="6" t="n">
        <f aca="false">Sens!I5523</f>
        <v>72.4233188088189</v>
      </c>
      <c r="J5541" s="6" t="n">
        <f aca="false">Sens!J5523</f>
        <v>75.6044096678567</v>
      </c>
      <c r="K5541" s="6" t="n">
        <f aca="false">Sens!K5523</f>
        <v>79.0714397009747</v>
      </c>
    </row>
    <row r="5542" customFormat="false" ht="15" hidden="false" customHeight="false" outlineLevel="0" collapsed="false">
      <c r="A5542" s="1" t="s">
        <v>810</v>
      </c>
      <c r="B5542" s="0" t="s">
        <v>95</v>
      </c>
      <c r="D5542" s="6" t="n">
        <f aca="false">Sens!D5524</f>
        <v>281.724</v>
      </c>
      <c r="E5542" s="6" t="n">
        <f aca="false">Sens!E5524</f>
        <v>331.839</v>
      </c>
      <c r="F5542" s="6" t="n">
        <f aca="false">Sens!F5524</f>
        <v>396.047104707821</v>
      </c>
      <c r="G5542" s="6" t="n">
        <f aca="false">Sens!G5524</f>
        <v>470.157484137863</v>
      </c>
      <c r="H5542" s="6" t="n">
        <f aca="false">Sens!H5524</f>
        <v>546.053101018903</v>
      </c>
      <c r="I5542" s="6" t="n">
        <f aca="false">Sens!I5524</f>
        <v>620.572892245768</v>
      </c>
      <c r="J5542" s="6" t="n">
        <f aca="false">Sens!J5524</f>
        <v>692.263199751338</v>
      </c>
      <c r="K5542" s="6" t="n">
        <f aca="false">Sens!K5524</f>
        <v>760.759789623642</v>
      </c>
    </row>
    <row r="5543" customFormat="false" ht="15" hidden="false" customHeight="false" outlineLevel="0" collapsed="false">
      <c r="A5543" s="1" t="s">
        <v>811</v>
      </c>
      <c r="B5543" s="0" t="s">
        <v>126</v>
      </c>
      <c r="E5543" s="7" t="n">
        <f aca="false">Sens!E5542/Sens!D5542-1</f>
        <v>0.177886867998467</v>
      </c>
      <c r="F5543" s="7" t="n">
        <f aca="false">Sens!F5542/Sens!E5542-1</f>
        <v>0.193491737583046</v>
      </c>
      <c r="G5543" s="7" t="n">
        <f aca="false">Sens!G5542/Sens!F5542-1</f>
        <v>0.187125164024912</v>
      </c>
      <c r="H5543" s="7" t="n">
        <f aca="false">Sens!H5542/Sens!G5542-1</f>
        <v>0.161425946500056</v>
      </c>
      <c r="I5543" s="7" t="n">
        <f aca="false">Sens!I5542/Sens!H5542-1</f>
        <v>0.136469861791493</v>
      </c>
      <c r="J5543" s="7" t="n">
        <f aca="false">Sens!J5542/Sens!I5542-1</f>
        <v>0.115522782901671</v>
      </c>
      <c r="K5543" s="7" t="n">
        <f aca="false">Sens!K5542/Sens!J5542-1</f>
        <v>0.0989458776617149</v>
      </c>
    </row>
    <row r="5544" customFormat="false" ht="17.15" hidden="false" customHeight="false" outlineLevel="0" collapsed="false">
      <c r="A5544" s="22" t="s">
        <v>812</v>
      </c>
      <c r="B5544" s="28" t="s">
        <v>95</v>
      </c>
      <c r="C5544" s="28"/>
      <c r="D5544" s="23" t="n">
        <f aca="false">(Sens!D5537+Sens!D5541-Sens!D5542)+(Sens!D5529+Sens!D5530-Sens!D5528)+(Sens!D5532+Sens!D5533-Sens!D5531)+(Sens!D5542-Q!L18)</f>
        <v>0</v>
      </c>
      <c r="E5544" s="23" t="n">
        <f aca="false">(Sens!E5537+Sens!E5541-Sens!E5542)+(Sens!E5529+Sens!E5530-Sens!E5528)+(Sens!E5532+Sens!E5533-Sens!E5531)+(Sens!E5542-Q!M18)</f>
        <v>0</v>
      </c>
      <c r="F5544" s="23" t="n">
        <f aca="false">(Sens!F5537+Sens!F5541-Sens!F5542)+(Sens!F5529+Sens!F5530-Sens!F5528)+(Sens!F5532+Sens!F5533-Sens!F5531)</f>
        <v>0</v>
      </c>
      <c r="G5544" s="23" t="n">
        <f aca="false">(Sens!G5537+Sens!G5541-Sens!G5542)+(Sens!G5529+Sens!G5530-Sens!G5528)+(Sens!G5532+Sens!G5533-Sens!G5531)</f>
        <v>0</v>
      </c>
      <c r="H5544" s="23" t="n">
        <f aca="false">(Sens!H5537+Sens!H5541-Sens!H5542)+(Sens!H5529+Sens!H5530-Sens!H5528)+(Sens!H5532+Sens!H5533-Sens!H5531)</f>
        <v>0</v>
      </c>
      <c r="I5544" s="23" t="n">
        <f aca="false">(Sens!I5537+Sens!I5541-Sens!I5542)+(Sens!I5529+Sens!I5530-Sens!I5528)+(Sens!I5532+Sens!I5533-Sens!I5531)</f>
        <v>0</v>
      </c>
      <c r="J5544" s="23" t="n">
        <f aca="false">(Sens!J5537+Sens!J5541-Sens!J5542)+(Sens!J5529+Sens!J5530-Sens!J5528)+(Sens!J5532+Sens!J5533-Sens!J5531)</f>
        <v>0</v>
      </c>
      <c r="K5544" s="23" t="n">
        <f aca="false">(Sens!K5537+Sens!K5541-Sens!K5542)+(Sens!K5529+Sens!K5530-Sens!K5528)+(Sens!K5532+Sens!K5533-Sens!K5531)</f>
        <v>0</v>
      </c>
    </row>
    <row r="5545" customFormat="false" ht="17.15" hidden="false" customHeight="false" outlineLevel="0" collapsed="false">
      <c r="A5545" s="0" t="s">
        <v>813</v>
      </c>
      <c r="B5545" s="0" t="s">
        <v>126</v>
      </c>
      <c r="E5545" s="7" t="n">
        <f aca="false">(Q!M21+Sens!E5482+Sens!E5483+Sens!E5484+Sens!E5497-Sens!E5480)/(Q!M5-Sens!E5480)</f>
        <v>0.570957350878296</v>
      </c>
      <c r="F5545" s="7" t="n">
        <f aca="false">Sens!$E$5545+dm_seg</f>
        <v>0.570957350878296</v>
      </c>
      <c r="G5545" s="7" t="n">
        <f aca="false">Sens!$E$5545+dm_seg</f>
        <v>0.570957350878296</v>
      </c>
      <c r="H5545" s="7" t="n">
        <f aca="false">Sens!$E$5545+dm_seg</f>
        <v>0.570957350878296</v>
      </c>
      <c r="I5545" s="7" t="n">
        <f aca="false">Sens!$E$5545+dm_seg</f>
        <v>0.570957350878296</v>
      </c>
      <c r="J5545" s="7" t="n">
        <f aca="false">Sens!$E$5545+dm_seg</f>
        <v>0.570957350878296</v>
      </c>
      <c r="K5545" s="7" t="n">
        <f aca="false">Sens!$E$5545+dm_seg</f>
        <v>0.570957350878296</v>
      </c>
      <c r="L5545" s="11" t="s">
        <v>814</v>
      </c>
    </row>
    <row r="5546" customFormat="false" ht="17.15" hidden="false" customHeight="false" outlineLevel="0" collapsed="false">
      <c r="A5546" s="0" t="s">
        <v>654</v>
      </c>
      <c r="B5546" s="0" t="s">
        <v>95</v>
      </c>
      <c r="D5546" s="6" t="n">
        <f aca="false">Q!L21</f>
        <v>110.814</v>
      </c>
      <c r="E5546" s="6" t="n">
        <f aca="false">Q!M21</f>
        <v>136.365</v>
      </c>
      <c r="F5546" s="6" t="n">
        <f aca="false">Sens!F5545*(Sens!F5516-Sens!F5480)+Sens!F5480-(Sens!F5482+Sens!F5483+Sens!F5484)-Sens!F5497</f>
        <v>155.651719221495</v>
      </c>
      <c r="G5546" s="6" t="n">
        <f aca="false">Sens!G5545*(Sens!G5516-Sens!G5480)+Sens!G5480-(Sens!G5482+Sens!G5483+Sens!G5484)-Sens!G5497</f>
        <v>174.24709931822</v>
      </c>
      <c r="H5546" s="6" t="n">
        <f aca="false">Sens!H5545*(Sens!H5516-Sens!H5480)+Sens!H5480-(Sens!H5482+Sens!H5483+Sens!H5484)-Sens!H5497</f>
        <v>192.929721190724</v>
      </c>
      <c r="I5546" s="6" t="n">
        <f aca="false">Sens!I5545*(Sens!I5516-Sens!I5480)+Sens!I5480-(Sens!I5482+Sens!I5483+Sens!I5484)-Sens!I5497</f>
        <v>209.621411560161</v>
      </c>
      <c r="J5546" s="6" t="n">
        <f aca="false">Sens!J5545*(Sens!J5516-Sens!J5480)+Sens!J5480-(Sens!J5482+Sens!J5483+Sens!J5484)-Sens!J5497</f>
        <v>223.554953994713</v>
      </c>
      <c r="K5546" s="6" t="n">
        <f aca="false">Sens!K5545*(Sens!K5516-Sens!K5480)+Sens!K5480-(Sens!K5482+Sens!K5483+Sens!K5484)-Sens!K5497</f>
        <v>234.226345797055</v>
      </c>
      <c r="L5546" s="1" t="s">
        <v>815</v>
      </c>
    </row>
    <row r="5547" customFormat="false" ht="17.15" hidden="false" customHeight="false" outlineLevel="0" collapsed="false">
      <c r="A5547" s="0" t="s">
        <v>816</v>
      </c>
      <c r="B5547" s="0" t="s">
        <v>126</v>
      </c>
      <c r="E5547" s="7" t="n">
        <f aca="false">Q!M22/Q!M12</f>
        <v>0.296207935710698</v>
      </c>
      <c r="F5547" s="7" t="n">
        <f aca="false">Sens!$E$5547+dm_seg</f>
        <v>0.296207935710698</v>
      </c>
      <c r="G5547" s="7" t="n">
        <f aca="false">Sens!$E$5547+dm_seg</f>
        <v>0.296207935710698</v>
      </c>
      <c r="H5547" s="7" t="n">
        <f aca="false">Sens!$E$5547+dm_seg</f>
        <v>0.296207935710698</v>
      </c>
      <c r="I5547" s="7" t="n">
        <f aca="false">Sens!$E$5547+dm_seg</f>
        <v>0.296207935710698</v>
      </c>
      <c r="J5547" s="7" t="n">
        <f aca="false">Sens!$E$5547+dm_seg</f>
        <v>0.296207935710698</v>
      </c>
      <c r="K5547" s="7" t="n">
        <f aca="false">Sens!$E$5547+dm_seg</f>
        <v>0.296207935710698</v>
      </c>
      <c r="L5547" s="11" t="s">
        <v>817</v>
      </c>
    </row>
    <row r="5548" customFormat="false" ht="17.15" hidden="false" customHeight="false" outlineLevel="0" collapsed="false">
      <c r="A5548" s="0" t="s">
        <v>656</v>
      </c>
      <c r="B5548" s="0" t="s">
        <v>95</v>
      </c>
      <c r="D5548" s="6" t="n">
        <f aca="false">Q!L22</f>
        <v>17.714</v>
      </c>
      <c r="E5548" s="6" t="n">
        <f aca="false">Q!M22</f>
        <v>18.872</v>
      </c>
      <c r="F5548" s="6" t="n">
        <f aca="false">Sens!F5523*Sens!F5547</f>
        <v>19.2954518910651</v>
      </c>
      <c r="G5548" s="6" t="n">
        <f aca="false">Sens!G5523*Sens!G5547</f>
        <v>19.8830646387704</v>
      </c>
      <c r="H5548" s="6" t="n">
        <f aca="false">Sens!H5523*Sens!H5547</f>
        <v>20.6092017868026</v>
      </c>
      <c r="I5548" s="6" t="n">
        <f aca="false">Sens!I5523*Sens!I5547</f>
        <v>21.452361761678</v>
      </c>
      <c r="J5548" s="6" t="n">
        <f aca="false">Sens!J5523*Sens!J5547</f>
        <v>22.3946261183418</v>
      </c>
      <c r="K5548" s="6" t="n">
        <f aca="false">Sens!K5523*Sens!K5547</f>
        <v>23.4215879274986</v>
      </c>
    </row>
    <row r="5549" customFormat="false" ht="15" hidden="false" customHeight="false" outlineLevel="0" collapsed="false">
      <c r="A5549" s="1" t="s">
        <v>818</v>
      </c>
      <c r="B5549" s="0" t="s">
        <v>95</v>
      </c>
      <c r="D5549" s="6" t="n">
        <f aca="false">Sens!D5546+Sens!D5548</f>
        <v>128.528</v>
      </c>
      <c r="E5549" s="6" t="n">
        <f aca="false">Sens!E5546+Sens!E5548</f>
        <v>155.237</v>
      </c>
      <c r="F5549" s="6" t="n">
        <f aca="false">Sens!F5546+Sens!F5548</f>
        <v>174.94717111256</v>
      </c>
      <c r="G5549" s="6" t="n">
        <f aca="false">Sens!G5546+Sens!G5548</f>
        <v>194.13016395699</v>
      </c>
      <c r="H5549" s="6" t="n">
        <f aca="false">Sens!H5546+Sens!H5548</f>
        <v>213.538922977526</v>
      </c>
      <c r="I5549" s="6" t="n">
        <f aca="false">Sens!I5546+Sens!I5548</f>
        <v>231.073773321839</v>
      </c>
      <c r="J5549" s="6" t="n">
        <f aca="false">Sens!J5546+Sens!J5548</f>
        <v>245.949580113055</v>
      </c>
      <c r="K5549" s="6" t="n">
        <f aca="false">Sens!K5546+Sens!K5548</f>
        <v>257.647933724553</v>
      </c>
    </row>
    <row r="5550" customFormat="false" ht="15" hidden="false" customHeight="false" outlineLevel="0" collapsed="false">
      <c r="A5550" s="22" t="s">
        <v>819</v>
      </c>
      <c r="B5550" s="28" t="s">
        <v>95</v>
      </c>
      <c r="C5550" s="28"/>
      <c r="D5550" s="23" t="n">
        <f aca="false">Sens!D5549-Q!L23</f>
        <v>0</v>
      </c>
      <c r="E5550" s="23" t="n">
        <f aca="false">Sens!E5549-Q!M23</f>
        <v>0</v>
      </c>
      <c r="F5550" s="28"/>
      <c r="G5550" s="28"/>
      <c r="H5550" s="28"/>
      <c r="I5550" s="28"/>
      <c r="J5550" s="28"/>
      <c r="K5550" s="28"/>
    </row>
    <row r="5551" customFormat="false" ht="15" hidden="false" customHeight="false" outlineLevel="0" collapsed="false">
      <c r="A5551" s="1" t="s">
        <v>820</v>
      </c>
      <c r="B5551" s="0" t="s">
        <v>126</v>
      </c>
      <c r="D5551" s="7" t="n">
        <f aca="false">Sens!D5549/Sens!D5542</f>
        <v>0.456219562408598</v>
      </c>
      <c r="E5551" s="7" t="n">
        <f aca="false">Sens!E5549/Sens!E5542</f>
        <v>0.467808184089272</v>
      </c>
      <c r="F5551" s="7" t="n">
        <f aca="false">Sens!F5549/Sens!F5542</f>
        <v>0.441733240902305</v>
      </c>
      <c r="G5551" s="7" t="n">
        <f aca="false">Sens!G5549/Sens!G5542</f>
        <v>0.412904549021421</v>
      </c>
      <c r="H5551" s="7" t="n">
        <f aca="false">Sens!H5549/Sens!H5542</f>
        <v>0.391058896248507</v>
      </c>
      <c r="I5551" s="7" t="n">
        <f aca="false">Sens!I5549/Sens!I5542</f>
        <v>0.372355570488448</v>
      </c>
      <c r="J5551" s="7" t="n">
        <f aca="false">Sens!J5549/Sens!J5542</f>
        <v>0.355283337611186</v>
      </c>
      <c r="K5551" s="7" t="n">
        <f aca="false">Sens!K5549/Sens!K5542</f>
        <v>0.338671860998352</v>
      </c>
    </row>
    <row r="5552" customFormat="false" ht="17.15" hidden="false" customHeight="false" outlineLevel="0" collapsed="false">
      <c r="A5552" s="1" t="s">
        <v>821</v>
      </c>
      <c r="B5552" s="0" t="s">
        <v>95</v>
      </c>
      <c r="E5552" s="6" t="n">
        <f aca="false">Sens!E5497</f>
        <v>16.3054059770833</v>
      </c>
      <c r="F5552" s="6" t="n">
        <f aca="false">Sens!F5497</f>
        <v>34.7685354558698</v>
      </c>
      <c r="G5552" s="6" t="n">
        <f aca="false">Sens!G5497</f>
        <v>60.5627332603396</v>
      </c>
      <c r="H5552" s="6" t="n">
        <f aca="false">Sens!H5497</f>
        <v>87.7983159931396</v>
      </c>
      <c r="I5552" s="6" t="n">
        <f aca="false">Sens!I5497</f>
        <v>116.053181741123</v>
      </c>
      <c r="J5552" s="6" t="n">
        <f aca="false">Sens!J5497</f>
        <v>145.280277958273</v>
      </c>
      <c r="K5552" s="6" t="n">
        <f aca="false">Sens!K5497</f>
        <v>175.79492263459</v>
      </c>
    </row>
    <row r="5553" customFormat="false" ht="17.15" hidden="false" customHeight="false" outlineLevel="0" collapsed="false">
      <c r="A5553" s="1" t="s">
        <v>822</v>
      </c>
      <c r="B5553" s="0" t="s">
        <v>95</v>
      </c>
      <c r="E5553" s="6" t="n">
        <f aca="false">Sens!E5573</f>
        <v>22.2285940229167</v>
      </c>
      <c r="F5553" s="6" t="n">
        <f aca="false">Sens!F5573</f>
        <v>23.5300693435813</v>
      </c>
      <c r="G5553" s="6" t="n">
        <f aca="false">Sens!G5573</f>
        <v>25.241951766262</v>
      </c>
      <c r="H5553" s="6" t="n">
        <f aca="false">Sens!H5573</f>
        <v>27.3317079540448</v>
      </c>
      <c r="I5553" s="6" t="n">
        <f aca="false">Sens!I5573</f>
        <v>29.7385771898047</v>
      </c>
      <c r="J5553" s="6" t="n">
        <f aca="false">Sens!J5573</f>
        <v>32.3846107958616</v>
      </c>
      <c r="K5553" s="6" t="n">
        <f aca="false">Sens!K5573</f>
        <v>35.1864199904749</v>
      </c>
    </row>
    <row r="5554" customFormat="false" ht="17.15" hidden="false" customHeight="false" outlineLevel="0" collapsed="false">
      <c r="A5554" s="1" t="s">
        <v>823</v>
      </c>
      <c r="B5554" s="0" t="s">
        <v>95</v>
      </c>
      <c r="D5554" s="6" t="n">
        <f aca="false">Q!L27</f>
        <v>-4.901</v>
      </c>
      <c r="E5554" s="6" t="n">
        <f aca="false">Q!M27</f>
        <v>10.697</v>
      </c>
      <c r="F5554" s="6" t="n">
        <f aca="false">oie_f</f>
        <v>-0.4</v>
      </c>
      <c r="G5554" s="6" t="n">
        <f aca="false">oie_f</f>
        <v>-0.4</v>
      </c>
      <c r="H5554" s="6" t="n">
        <f aca="false">oie_f</f>
        <v>-0.4</v>
      </c>
      <c r="I5554" s="6" t="n">
        <f aca="false">oie_f</f>
        <v>-0.4</v>
      </c>
      <c r="J5554" s="6" t="n">
        <f aca="false">oie_f</f>
        <v>-0.4</v>
      </c>
      <c r="K5554" s="6" t="n">
        <f aca="false">oie_f</f>
        <v>-0.4</v>
      </c>
      <c r="L5554" s="11" t="s">
        <v>824</v>
      </c>
    </row>
    <row r="5555" customFormat="false" ht="15" hidden="false" customHeight="false" outlineLevel="0" collapsed="false">
      <c r="A5555" s="1" t="s">
        <v>666</v>
      </c>
      <c r="B5555" s="0" t="s">
        <v>95</v>
      </c>
      <c r="D5555" s="6" t="n">
        <f aca="false">Sens!D5549+Sens!D5554</f>
        <v>123.627</v>
      </c>
      <c r="E5555" s="6" t="n">
        <f aca="false">Sens!E5549+Sens!E5554</f>
        <v>165.934</v>
      </c>
      <c r="F5555" s="6" t="n">
        <f aca="false">Sens!F5549+Sens!F5554</f>
        <v>174.54717111256</v>
      </c>
      <c r="G5555" s="6" t="n">
        <f aca="false">Sens!G5549+Sens!G5554</f>
        <v>193.73016395699</v>
      </c>
      <c r="H5555" s="6" t="n">
        <f aca="false">Sens!H5549+Sens!H5554</f>
        <v>213.138922977526</v>
      </c>
      <c r="I5555" s="6" t="n">
        <f aca="false">Sens!I5549+Sens!I5554</f>
        <v>230.673773321839</v>
      </c>
      <c r="J5555" s="6" t="n">
        <f aca="false">Sens!J5549+Sens!J5554</f>
        <v>245.549580113055</v>
      </c>
      <c r="K5555" s="6" t="n">
        <f aca="false">Sens!K5549+Sens!K5554</f>
        <v>257.247933724553</v>
      </c>
    </row>
    <row r="5556" customFormat="false" ht="15" hidden="false" customHeight="false" outlineLevel="0" collapsed="false">
      <c r="A5556" s="1" t="s">
        <v>668</v>
      </c>
      <c r="B5556" s="0" t="s">
        <v>95</v>
      </c>
      <c r="D5556" s="6" t="n">
        <f aca="false">Q!L29</f>
        <v>21.795</v>
      </c>
      <c r="E5556" s="6" t="n">
        <f aca="false">Q!M29</f>
        <v>32.185</v>
      </c>
      <c r="F5556" s="6" t="n">
        <f aca="false">Sens!F5555*tax_f</f>
        <v>34.909434222512</v>
      </c>
      <c r="G5556" s="6" t="n">
        <f aca="false">Sens!G5555*tax_f</f>
        <v>38.746032791398</v>
      </c>
      <c r="H5556" s="6" t="n">
        <f aca="false">Sens!H5555*tax_f</f>
        <v>42.6277845955053</v>
      </c>
      <c r="I5556" s="6" t="n">
        <f aca="false">Sens!I5555*tax_f</f>
        <v>46.1347546643678</v>
      </c>
      <c r="J5556" s="6" t="n">
        <f aca="false">Sens!J5555*tax_f</f>
        <v>49.109916022611</v>
      </c>
      <c r="K5556" s="6" t="n">
        <f aca="false">Sens!K5555*tax_f</f>
        <v>51.4495867449107</v>
      </c>
    </row>
    <row r="5557" customFormat="false" ht="15" hidden="false" customHeight="false" outlineLevel="0" collapsed="false">
      <c r="A5557" s="1" t="s">
        <v>825</v>
      </c>
      <c r="B5557" s="0" t="s">
        <v>95</v>
      </c>
      <c r="D5557" s="6" t="n">
        <f aca="false">Sens!D5555-Sens!D5556</f>
        <v>101.832</v>
      </c>
      <c r="E5557" s="6" t="n">
        <f aca="false">Sens!E5555-Sens!E5556</f>
        <v>133.749</v>
      </c>
      <c r="F5557" s="6" t="n">
        <f aca="false">Sens!F5555-Sens!F5556</f>
        <v>139.637736890048</v>
      </c>
      <c r="G5557" s="6" t="n">
        <f aca="false">Sens!G5555-Sens!G5556</f>
        <v>154.984131165592</v>
      </c>
      <c r="H5557" s="6" t="n">
        <f aca="false">Sens!H5555-Sens!H5556</f>
        <v>170.511138382021</v>
      </c>
      <c r="I5557" s="6" t="n">
        <f aca="false">Sens!I5555-Sens!I5556</f>
        <v>184.539018657471</v>
      </c>
      <c r="J5557" s="6" t="n">
        <f aca="false">Sens!J5555-Sens!J5556</f>
        <v>196.439664090444</v>
      </c>
      <c r="K5557" s="6" t="n">
        <f aca="false">Sens!K5555-Sens!K5556</f>
        <v>205.798346979643</v>
      </c>
    </row>
    <row r="5558" customFormat="false" ht="17.15" hidden="false" customHeight="false" outlineLevel="0" collapsed="false">
      <c r="A5558" s="1" t="s">
        <v>826</v>
      </c>
      <c r="B5558" s="1" t="s">
        <v>79</v>
      </c>
      <c r="D5558" s="18" t="n">
        <f aca="false">Q!L31</f>
        <v>7.465</v>
      </c>
      <c r="E5558" s="18" t="n">
        <f aca="false">Q!M31</f>
        <v>7.453</v>
      </c>
      <c r="F5558" s="18" t="n">
        <f aca="false">Sens!F5595</f>
        <v>7.4735</v>
      </c>
      <c r="G5558" s="18" t="n">
        <f aca="false">Sens!G5595</f>
        <v>7.5185</v>
      </c>
      <c r="H5558" s="18" t="n">
        <f aca="false">Sens!H5595</f>
        <v>7.54625158584995</v>
      </c>
      <c r="I5558" s="18" t="n">
        <f aca="false">Sens!I5595</f>
        <v>7.55803241785726</v>
      </c>
      <c r="J5558" s="18" t="n">
        <f aca="false">Sens!J5595</f>
        <v>7.57227392897515</v>
      </c>
      <c r="K5558" s="18" t="n">
        <f aca="false">Sens!K5595</f>
        <v>7.58879384667689</v>
      </c>
    </row>
    <row r="5559" customFormat="false" ht="17.15" hidden="false" customHeight="false" outlineLevel="0" collapsed="false">
      <c r="A5559" s="0" t="s">
        <v>827</v>
      </c>
      <c r="B5559" s="0" t="s">
        <v>73</v>
      </c>
      <c r="D5559" s="8" t="n">
        <f aca="false">Sens!D5557/Sens!D5558</f>
        <v>13.641259209645</v>
      </c>
      <c r="E5559" s="8" t="n">
        <f aca="false">Sens!E5557/Sens!E5558</f>
        <v>17.9456594659869</v>
      </c>
      <c r="F5559" s="8" t="n">
        <f aca="false">Sens!F5557/Sens!F5558</f>
        <v>18.6843830721948</v>
      </c>
      <c r="G5559" s="8" t="n">
        <f aca="false">Sens!G5557/Sens!G5558</f>
        <v>20.6137036863193</v>
      </c>
      <c r="H5559" s="8" t="n">
        <f aca="false">Sens!H5557/Sens!H5558</f>
        <v>22.5954749112458</v>
      </c>
      <c r="I5559" s="8" t="n">
        <f aca="false">Sens!I5557/Sens!I5558</f>
        <v>24.4162777367114</v>
      </c>
      <c r="J5559" s="8" t="n">
        <f aca="false">Sens!J5557/Sens!J5558</f>
        <v>25.9419648487321</v>
      </c>
      <c r="K5559" s="8" t="n">
        <f aca="false">Sens!K5557/Sens!K5558</f>
        <v>27.1187162462927</v>
      </c>
      <c r="L5559" s="1" t="s">
        <v>828</v>
      </c>
    </row>
    <row r="5560" customFormat="false" ht="17.15" hidden="false" customHeight="false" outlineLevel="0" collapsed="false">
      <c r="A5560" s="0" t="s">
        <v>829</v>
      </c>
      <c r="B5560" s="0" t="s">
        <v>126</v>
      </c>
      <c r="E5560" s="7" t="n">
        <f aca="false">Sens!E5559/Sens!D5559-1</f>
        <v>0.315542736208578</v>
      </c>
      <c r="F5560" s="7" t="n">
        <f aca="false">Sens!F5559/Sens!E5559-1</f>
        <v>0.0411644725348816</v>
      </c>
      <c r="G5560" s="7" t="n">
        <f aca="false">Sens!G5559/Sens!F5559-1</f>
        <v>0.103258459573956</v>
      </c>
      <c r="H5560" s="7" t="n">
        <f aca="false">Sens!H5559/Sens!G5559-1</f>
        <v>0.0961385326520263</v>
      </c>
      <c r="I5560" s="7" t="n">
        <f aca="false">Sens!I5559/Sens!H5559-1</f>
        <v>0.0805826313727727</v>
      </c>
      <c r="J5560" s="7" t="n">
        <f aca="false">Sens!J5559/Sens!I5559-1</f>
        <v>0.0624864743296538</v>
      </c>
      <c r="K5560" s="7" t="n">
        <f aca="false">Sens!K5559/Sens!J5559-1</f>
        <v>0.0453609202087137</v>
      </c>
    </row>
    <row r="5561" customFormat="false" ht="17.15" hidden="false" customHeight="false" outlineLevel="0" collapsed="false">
      <c r="A5561" s="0" t="s">
        <v>763</v>
      </c>
      <c r="B5561" s="0" t="s">
        <v>95</v>
      </c>
      <c r="E5561" s="6" t="n">
        <f aca="false">Sens!E5506</f>
        <v>5.25</v>
      </c>
      <c r="F5561" s="6" t="n">
        <f aca="false">Sens!F5506</f>
        <v>8.64</v>
      </c>
      <c r="G5561" s="6" t="n">
        <f aca="false">Sens!G5506</f>
        <v>12.96</v>
      </c>
      <c r="H5561" s="6" t="n">
        <f aca="false">Sens!H5506</f>
        <v>17.28</v>
      </c>
      <c r="I5561" s="6" t="n">
        <f aca="false">Sens!I5506</f>
        <v>20.52</v>
      </c>
      <c r="J5561" s="6" t="n">
        <f aca="false">Sens!J5506</f>
        <v>22.68</v>
      </c>
      <c r="K5561" s="6" t="n">
        <f aca="false">Sens!K5506</f>
        <v>24.84</v>
      </c>
    </row>
    <row r="5562" customFormat="false" ht="17.15" hidden="false" customHeight="false" outlineLevel="0" collapsed="false">
      <c r="A5562" s="0" t="s">
        <v>764</v>
      </c>
      <c r="B5562" s="0" t="s">
        <v>95</v>
      </c>
      <c r="E5562" s="6" t="n">
        <f aca="false">Sens!E5486+Sens!E5561*Sens!E5545-Sens!E5487-Sens!E5497</f>
        <v>2.1514866143068</v>
      </c>
      <c r="F5562" s="6" t="n">
        <f aca="false">Sens!F5486+Sens!F5561*Sens!F5545-Sens!F5487-Sens!F5497</f>
        <v>3.09104625440276</v>
      </c>
      <c r="G5562" s="6" t="n">
        <f aca="false">Sens!G5486+Sens!G5561*Sens!G5545-Sens!G5487-Sens!G5497</f>
        <v>2.60499739068411</v>
      </c>
      <c r="H5562" s="6" t="n">
        <f aca="false">Sens!H5486+Sens!H5561*Sens!H5545-Sens!H5487-Sens!H5497</f>
        <v>2.02404151188637</v>
      </c>
      <c r="I5562" s="6" t="n">
        <f aca="false">Sens!I5486+Sens!I5561*Sens!I5545-Sens!I5487-Sens!I5497</f>
        <v>-0.0598535140178882</v>
      </c>
      <c r="J5562" s="6" t="n">
        <f aca="false">Sens!J5486+Sens!J5561*Sens!J5545-Sens!J5487-Sens!J5497</f>
        <v>-3.66309885382478</v>
      </c>
      <c r="K5562" s="6" t="n">
        <f aca="false">Sens!K5486+Sens!K5561*Sens!K5545-Sens!K5487-Sens!K5497</f>
        <v>-8.51300085436714</v>
      </c>
    </row>
    <row r="5563" customFormat="false" ht="17.15" hidden="false" customHeight="false" outlineLevel="0" collapsed="false">
      <c r="A5563" s="0" t="s">
        <v>765</v>
      </c>
      <c r="B5563" s="0" t="s">
        <v>95</v>
      </c>
      <c r="E5563" s="6" t="n">
        <f aca="false">Sens!E5469*(cxit_open+self_build*tk_cxfac)/1000*ai_net_open</f>
        <v>126.6980382</v>
      </c>
      <c r="F5563" s="6" t="n">
        <f aca="false">Sens!E5563+Sens!F5494-Sens!F5497</f>
        <v>260.886155514568</v>
      </c>
      <c r="G5563" s="6" t="n">
        <f aca="false">Sens!F5563+Sens!G5494-Sens!G5497</f>
        <v>383.897602737428</v>
      </c>
      <c r="H5563" s="6" t="n">
        <f aca="false">Sens!G5563+Sens!H5494-Sens!H5497</f>
        <v>484.179572654688</v>
      </c>
      <c r="I5563" s="6" t="n">
        <f aca="false">Sens!H5563+Sens!I5494-Sens!I5497</f>
        <v>586.465352170632</v>
      </c>
      <c r="J5563" s="6" t="n">
        <f aca="false">Sens!I5563+Sens!J5494-Sens!J5497</f>
        <v>674.962135136093</v>
      </c>
      <c r="K5563" s="6" t="n">
        <f aca="false">Sens!J5563+Sens!K5494-Sens!K5497</f>
        <v>778.023524451903</v>
      </c>
      <c r="L5563" s="1" t="s">
        <v>766</v>
      </c>
    </row>
    <row r="5564" customFormat="false" ht="17.15" hidden="false" customHeight="false" outlineLevel="0" collapsed="false">
      <c r="A5564" s="0" t="s">
        <v>767</v>
      </c>
      <c r="B5564" s="0" t="s">
        <v>126</v>
      </c>
      <c r="F5564" s="7" t="n">
        <f aca="false">Sens!F5562*(1-tax_f)/((Sens!E5563+Sens!F5563)/2)</f>
        <v>0.0127602572221679</v>
      </c>
      <c r="G5564" s="7" t="n">
        <f aca="false">Sens!G5562*(1-tax_f)/((Sens!F5563+Sens!G5563)/2)</f>
        <v>0.00646417620132676</v>
      </c>
      <c r="H5564" s="7" t="n">
        <f aca="false">Sens!H5562*(1-tax_f)/((Sens!G5563+Sens!H5563)/2)</f>
        <v>0.00373062039968434</v>
      </c>
      <c r="I5564" s="7" t="n">
        <f aca="false">Sens!I5562*(1-tax_f)/((Sens!H5563+Sens!I5563)/2)</f>
        <v>-8.94466692066425E-005</v>
      </c>
      <c r="J5564" s="7" t="n">
        <f aca="false">Sens!J5562*(1-tax_f)/((Sens!I5563+Sens!J5563)/2)</f>
        <v>-0.0046462901951133</v>
      </c>
      <c r="K5564" s="7" t="n">
        <f aca="false">Sens!K5562*(1-tax_f)/((Sens!J5563+Sens!K5563)/2)</f>
        <v>-0.00937435361258121</v>
      </c>
    </row>
    <row r="5565" customFormat="false" ht="17.15" hidden="false" customHeight="false" outlineLevel="0" collapsed="false">
      <c r="A5565" s="1" t="s">
        <v>768</v>
      </c>
      <c r="B5565" s="0" t="s">
        <v>126</v>
      </c>
      <c r="F5565" s="7" t="n">
        <f aca="false">Sens!F5498*(1-tax_f)/(Sens!F5485*(Sens!E5563+Sens!F5563)/2)</f>
        <v>0.127960632569851</v>
      </c>
      <c r="G5565" s="7" t="n">
        <f aca="false">Sens!G5498*(1-tax_f)/(Sens!G5485*(Sens!F5563+Sens!G5563)/2)</f>
        <v>0.124962265110463</v>
      </c>
      <c r="H5565" s="7" t="n">
        <f aca="false">Sens!H5498*(1-tax_f)/(Sens!H5485*(Sens!G5563+Sens!H5563)/2)</f>
        <v>0.130681638588211</v>
      </c>
      <c r="I5565" s="7" t="n">
        <f aca="false">Sens!I5498*(1-tax_f)/(Sens!I5485*(Sens!H5563+Sens!I5563)/2)</f>
        <v>0.135494486002928</v>
      </c>
      <c r="J5565" s="7" t="n">
        <f aca="false">Sens!J5498*(1-tax_f)/(Sens!J5485*(Sens!I5563+Sens!J5563)/2)</f>
        <v>0.138999829921961</v>
      </c>
      <c r="K5565" s="7" t="n">
        <f aca="false">Sens!K5498*(1-tax_f)/(Sens!K5485*(Sens!J5563+Sens!K5563)/2)</f>
        <v>0.140172756106901</v>
      </c>
    </row>
    <row r="5566" customFormat="false" ht="17.15" hidden="false" customHeight="false" outlineLevel="0" collapsed="false">
      <c r="A5566" s="0" t="s">
        <v>769</v>
      </c>
      <c r="B5566" s="0" t="s">
        <v>208</v>
      </c>
      <c r="F5566" s="7" t="n">
        <f aca="false">Sens!F5564-wacc</f>
        <v>-0.0962029639280861</v>
      </c>
      <c r="G5566" s="7" t="n">
        <f aca="false">Sens!G5564-wacc</f>
        <v>-0.102499044948927</v>
      </c>
      <c r="H5566" s="7" t="n">
        <f aca="false">Sens!H5564-wacc</f>
        <v>-0.10523260075057</v>
      </c>
      <c r="I5566" s="7" t="n">
        <f aca="false">Sens!I5564-wacc</f>
        <v>-0.109052667819461</v>
      </c>
      <c r="J5566" s="7" t="n">
        <f aca="false">Sens!J5564-wacc</f>
        <v>-0.113609511345367</v>
      </c>
      <c r="K5566" s="7" t="n">
        <f aca="false">Sens!K5564-wacc</f>
        <v>-0.118337574762835</v>
      </c>
    </row>
    <row r="5567" customFormat="false" ht="17.15" hidden="false" customHeight="false" outlineLevel="0" collapsed="false">
      <c r="A5567" s="0" t="s">
        <v>770</v>
      </c>
      <c r="B5567" s="0" t="s">
        <v>95</v>
      </c>
      <c r="F5567" s="6" t="n">
        <f aca="false">Sens!F5562*(1-tax_f)-wacc*(Sens!E5563+Sens!F5563)/2</f>
        <v>-18.6433741035094</v>
      </c>
      <c r="G5567" s="6" t="n">
        <f aca="false">Sens!G5562*(1-tax_f)-wacc*(Sens!F5563+Sens!G5563)/2</f>
        <v>-33.0448597097048</v>
      </c>
      <c r="H5567" s="6" t="n">
        <f aca="false">Sens!H5562*(1-tax_f)-wacc*(Sens!G5563+Sens!H5563)/2</f>
        <v>-45.6750094093604</v>
      </c>
      <c r="I5567" s="6" t="n">
        <f aca="false">Sens!I5562*(1-tax_f)-wacc*(Sens!H5563+Sens!I5563)/2</f>
        <v>-58.3783426697835</v>
      </c>
      <c r="J5567" s="6" t="n">
        <f aca="false">Sens!J5562*(1-tax_f)-wacc*(Sens!I5563+Sens!J5563)/2</f>
        <v>-71.6550802152658</v>
      </c>
      <c r="K5567" s="6" t="n">
        <f aca="false">Sens!K5562*(1-tax_f)-wacc*(Sens!J5563+Sens!K5563)/2</f>
        <v>-85.9713995604109</v>
      </c>
    </row>
    <row r="5568" customFormat="false" ht="17.15" hidden="false" customHeight="false" outlineLevel="0" collapsed="false">
      <c r="A5568" s="1" t="s">
        <v>771</v>
      </c>
      <c r="B5568" s="0" t="s">
        <v>95</v>
      </c>
      <c r="F5568" s="6" t="n">
        <f aca="false">(Sens!E5470+Sens!F5470)/2*Sens!F5477/1000</f>
        <v>26.7873066765967</v>
      </c>
      <c r="G5568" s="6" t="n">
        <f aca="false">(Sens!F5470+Sens!G5470)/2*Sens!G5477/1000</f>
        <v>45.4131817597218</v>
      </c>
      <c r="H5568" s="6" t="n">
        <f aca="false">(Sens!G5470+Sens!H5470)/2*Sens!H5477/1000</f>
        <v>65.3915129357971</v>
      </c>
      <c r="I5568" s="6" t="n">
        <f aca="false">(Sens!H5470+Sens!I5470)/2*Sens!I5477/1000</f>
        <v>85.5187419289299</v>
      </c>
      <c r="J5568" s="6" t="n">
        <f aca="false">(Sens!I5470+Sens!J5470)/2*Sens!J5477/1000</f>
        <v>105.723807195006</v>
      </c>
      <c r="K5568" s="6" t="n">
        <f aca="false">(Sens!J5470+Sens!K5470)/2*Sens!K5477/1000</f>
        <v>125.974659797015</v>
      </c>
      <c r="L5568" s="1" t="s">
        <v>772</v>
      </c>
    </row>
    <row r="5569" customFormat="false" ht="17.15" hidden="false" customHeight="false" outlineLevel="0" collapsed="false">
      <c r="A5569" s="1" t="s">
        <v>773</v>
      </c>
      <c r="B5569" s="0" t="s">
        <v>126</v>
      </c>
      <c r="F5569" s="7" t="n">
        <f aca="false">(Sens!F5486+Sens!F5568-Sens!F5487-Sens!F5497)*(1-tax_f)/((Sens!E5563+Sens!F5563)/2)</f>
        <v>0.102977497323977</v>
      </c>
      <c r="G5569" s="7" t="n">
        <f aca="false">(Sens!G5486+Sens!G5568-Sens!G5487-Sens!G5497)*(1-tax_f)/((Sens!F5563+Sens!G5563)/2)</f>
        <v>0.100793039807677</v>
      </c>
      <c r="H5569" s="7" t="n">
        <f aca="false">(Sens!H5486+Sens!H5568-Sens!H5487-Sens!H5497)*(1-tax_f)/((Sens!G5563+Sens!H5563)/2)</f>
        <v>0.106072433292141</v>
      </c>
      <c r="I5569" s="7" t="n">
        <f aca="false">(Sens!I5486+Sens!I5568-Sens!I5487-Sens!I5497)*(1-tax_f)/((Sens!H5563+Sens!I5563)/2)</f>
        <v>0.110203249447125</v>
      </c>
      <c r="J5569" s="7" t="n">
        <f aca="false">(Sens!J5486+Sens!J5568-Sens!J5487-Sens!J5497)*(1-tax_f)/((Sens!I5563+Sens!J5563)/2)</f>
        <v>0.113029273923337</v>
      </c>
      <c r="K5569" s="7" t="n">
        <f aca="false">(Sens!K5486+Sens!K5568-Sens!K5487-Sens!K5497)*(1-tax_f)/((Sens!J5563+Sens!K5563)/2)</f>
        <v>0.113728944442429</v>
      </c>
      <c r="L5569" s="1" t="s">
        <v>774</v>
      </c>
    </row>
    <row r="5570" customFormat="false" ht="17.15" hidden="false" customHeight="false" outlineLevel="0" collapsed="false">
      <c r="A5570" s="3" t="s">
        <v>1272</v>
      </c>
    </row>
    <row r="5571" customFormat="false" ht="15" hidden="false" customHeight="false" outlineLevel="0" collapsed="false">
      <c r="A5571" s="4" t="s">
        <v>43</v>
      </c>
      <c r="B5571" s="4" t="s">
        <v>63</v>
      </c>
      <c r="C5571" s="19" t="s">
        <v>710</v>
      </c>
      <c r="D5571" s="19" t="s">
        <v>711</v>
      </c>
      <c r="E5571" s="19" t="s">
        <v>712</v>
      </c>
      <c r="F5571" s="19" t="s">
        <v>713</v>
      </c>
      <c r="G5571" s="19" t="s">
        <v>714</v>
      </c>
      <c r="H5571" s="19" t="s">
        <v>715</v>
      </c>
      <c r="I5571" s="19" t="s">
        <v>716</v>
      </c>
      <c r="J5571" s="19" t="s">
        <v>717</v>
      </c>
      <c r="K5571" s="19" t="s">
        <v>718</v>
      </c>
      <c r="L5571" s="4" t="s">
        <v>47</v>
      </c>
    </row>
    <row r="5572" customFormat="false" ht="15" hidden="false" customHeight="false" outlineLevel="0" collapsed="false">
      <c r="A5572" s="1" t="s">
        <v>825</v>
      </c>
      <c r="B5572" s="0" t="s">
        <v>95</v>
      </c>
      <c r="F5572" s="6" t="n">
        <f aca="false">Sens!F5557</f>
        <v>139.637736890048</v>
      </c>
      <c r="G5572" s="6" t="n">
        <f aca="false">Sens!G5557</f>
        <v>154.984131165592</v>
      </c>
      <c r="H5572" s="6" t="n">
        <f aca="false">Sens!H5557</f>
        <v>170.511138382021</v>
      </c>
      <c r="I5572" s="6" t="n">
        <f aca="false">Sens!I5557</f>
        <v>184.539018657471</v>
      </c>
      <c r="J5572" s="6" t="n">
        <f aca="false">Sens!J5557</f>
        <v>196.439664090444</v>
      </c>
      <c r="K5572" s="6" t="n">
        <f aca="false">Sens!K5557</f>
        <v>205.798346979643</v>
      </c>
    </row>
    <row r="5573" customFormat="false" ht="17.15" hidden="false" customHeight="false" outlineLevel="0" collapsed="false">
      <c r="A5573" s="1" t="s">
        <v>843</v>
      </c>
      <c r="B5573" s="0" t="s">
        <v>95</v>
      </c>
      <c r="E5573" s="6" t="n">
        <f aca="false">Q!M38-Sens!E5497</f>
        <v>22.2285940229167</v>
      </c>
      <c r="F5573" s="6" t="n">
        <f aca="false">Sens!E5573*(1-1/life_nonai)+Sens!F5579/life_nonai</f>
        <v>23.5300693435813</v>
      </c>
      <c r="G5573" s="6" t="n">
        <f aca="false">Sens!F5573*(1-1/life_nonai)+Sens!G5579/life_nonai</f>
        <v>25.241951766262</v>
      </c>
      <c r="H5573" s="6" t="n">
        <f aca="false">Sens!G5573*(1-1/life_nonai)+Sens!H5579/life_nonai</f>
        <v>27.3317079540448</v>
      </c>
      <c r="I5573" s="6" t="n">
        <f aca="false">Sens!H5573*(1-1/life_nonai)+Sens!I5579/life_nonai</f>
        <v>29.7385771898047</v>
      </c>
      <c r="J5573" s="6" t="n">
        <f aca="false">Sens!I5573*(1-1/life_nonai)+Sens!J5579/life_nonai</f>
        <v>32.3846107958616</v>
      </c>
      <c r="K5573" s="6" t="n">
        <f aca="false">Sens!J5573*(1-1/life_nonai)+Sens!K5579/life_nonai</f>
        <v>35.1864199904749</v>
      </c>
      <c r="L5573" s="11" t="s">
        <v>844</v>
      </c>
    </row>
    <row r="5574" customFormat="false" ht="17.15" hidden="false" customHeight="false" outlineLevel="0" collapsed="false">
      <c r="A5574" s="1" t="s">
        <v>845</v>
      </c>
      <c r="B5574" s="0" t="s">
        <v>95</v>
      </c>
      <c r="E5574" s="6" t="n">
        <f aca="false">Sens!E5497+Sens!E5573</f>
        <v>38.534</v>
      </c>
      <c r="F5574" s="6" t="n">
        <f aca="false">Sens!F5497+Sens!F5573</f>
        <v>58.298604799451</v>
      </c>
      <c r="G5574" s="6" t="n">
        <f aca="false">Sens!G5497+Sens!G5573</f>
        <v>85.8046850266017</v>
      </c>
      <c r="H5574" s="6" t="n">
        <f aca="false">Sens!H5497+Sens!H5573</f>
        <v>115.130023947184</v>
      </c>
      <c r="I5574" s="6" t="n">
        <f aca="false">Sens!I5497+Sens!I5573</f>
        <v>145.791758930928</v>
      </c>
      <c r="J5574" s="6" t="n">
        <f aca="false">Sens!J5497+Sens!J5573</f>
        <v>177.664888754135</v>
      </c>
      <c r="K5574" s="6" t="n">
        <f aca="false">Sens!K5497+Sens!K5573</f>
        <v>210.981342625064</v>
      </c>
    </row>
    <row r="5575" customFormat="false" ht="15" hidden="false" customHeight="false" outlineLevel="0" collapsed="false">
      <c r="A5575" s="1" t="s">
        <v>685</v>
      </c>
      <c r="B5575" s="0" t="s">
        <v>95</v>
      </c>
      <c r="F5575" s="6" t="n">
        <f aca="false">Sens!F5524*sbc_r</f>
        <v>14.8052650047177</v>
      </c>
      <c r="G5575" s="6" t="n">
        <f aca="false">Sens!G5524*sbc_r</f>
        <v>17.5757026471578</v>
      </c>
      <c r="H5575" s="6" t="n">
        <f aca="false">Sens!H5524*sbc_r</f>
        <v>20.4128770823788</v>
      </c>
      <c r="I5575" s="6" t="n">
        <f aca="false">Sens!I5524*sbc_r</f>
        <v>23.1986195965777</v>
      </c>
      <c r="J5575" s="6" t="n">
        <f aca="false">Sens!J5524*sbc_r</f>
        <v>25.8785886918516</v>
      </c>
      <c r="K5575" s="6" t="n">
        <f aca="false">Sens!K5524*sbc_r</f>
        <v>28.4391683626134</v>
      </c>
    </row>
    <row r="5576" customFormat="false" ht="17.15" hidden="false" customHeight="false" outlineLevel="0" collapsed="false">
      <c r="A5576" s="1" t="s">
        <v>846</v>
      </c>
      <c r="B5576" s="0" t="s">
        <v>95</v>
      </c>
      <c r="F5576" s="6" t="n">
        <f aca="false">wc27</f>
        <v>-4.895</v>
      </c>
      <c r="G5576" s="6" t="n">
        <f aca="false">0</f>
        <v>0</v>
      </c>
      <c r="H5576" s="6" t="n">
        <f aca="false">0</f>
        <v>0</v>
      </c>
      <c r="I5576" s="6" t="n">
        <f aca="false">0</f>
        <v>0</v>
      </c>
      <c r="J5576" s="6" t="n">
        <f aca="false">0</f>
        <v>0</v>
      </c>
      <c r="K5576" s="6" t="n">
        <f aca="false">0</f>
        <v>0</v>
      </c>
      <c r="L5576" s="11" t="s">
        <v>847</v>
      </c>
    </row>
    <row r="5577" customFormat="false" ht="15" hidden="false" customHeight="false" outlineLevel="0" collapsed="false">
      <c r="A5577" s="1" t="s">
        <v>678</v>
      </c>
      <c r="B5577" s="0" t="s">
        <v>95</v>
      </c>
      <c r="E5577" s="6" t="n">
        <f aca="false">Q!M35</f>
        <v>182.935</v>
      </c>
      <c r="F5577" s="6" t="n">
        <f aca="false">Sens!F5572+Sens!F5574+Sens!F5575+Sens!F5576</f>
        <v>207.846606694217</v>
      </c>
      <c r="G5577" s="6" t="n">
        <f aca="false">Sens!G5572+Sens!G5574+Sens!G5575+Sens!G5576</f>
        <v>258.364518839351</v>
      </c>
      <c r="H5577" s="6" t="n">
        <f aca="false">Sens!H5572+Sens!H5574+Sens!H5575+Sens!H5576</f>
        <v>306.054039411584</v>
      </c>
      <c r="I5577" s="6" t="n">
        <f aca="false">Sens!I5572+Sens!I5574+Sens!I5575+Sens!I5576</f>
        <v>353.529397184977</v>
      </c>
      <c r="J5577" s="6" t="n">
        <f aca="false">Sens!J5572+Sens!J5574+Sens!J5575+Sens!J5576</f>
        <v>399.98314153643</v>
      </c>
      <c r="K5577" s="6" t="n">
        <f aca="false">Sens!K5572+Sens!K5574+Sens!K5575+Sens!K5576</f>
        <v>445.218857967321</v>
      </c>
    </row>
    <row r="5578" customFormat="false" ht="17.15" hidden="false" customHeight="false" outlineLevel="0" collapsed="false">
      <c r="A5578" s="0" t="s">
        <v>848</v>
      </c>
      <c r="B5578" s="0" t="s">
        <v>95</v>
      </c>
      <c r="F5578" s="6" t="n">
        <f aca="false">Sens!F5494</f>
        <v>168.956652770438</v>
      </c>
      <c r="G5578" s="6" t="n">
        <f aca="false">Sens!G5494</f>
        <v>183.5741804832</v>
      </c>
      <c r="H5578" s="6" t="n">
        <f aca="false">Sens!H5494</f>
        <v>188.0802859104</v>
      </c>
      <c r="I5578" s="6" t="n">
        <f aca="false">Sens!I5494</f>
        <v>218.338961257067</v>
      </c>
      <c r="J5578" s="6" t="n">
        <f aca="false">Sens!J5494</f>
        <v>233.777060923733</v>
      </c>
      <c r="K5578" s="6" t="n">
        <f aca="false">Sens!K5494</f>
        <v>278.8563119504</v>
      </c>
    </row>
    <row r="5579" customFormat="false" ht="17.15" hidden="false" customHeight="false" outlineLevel="0" collapsed="false">
      <c r="A5579" s="1" t="s">
        <v>849</v>
      </c>
      <c r="B5579" s="0" t="s">
        <v>95</v>
      </c>
      <c r="E5579" s="6" t="n">
        <f aca="false">Sens!E5502*cx_azo+Sens!E5509*cx_m365+Sens!E5510*cx_lic+(Sens!E5512+Sens!E5514)*cx_ind+Sens!E5517*cx_srch+(Sens!E5519+Sens!E5521)*cx_dev</f>
        <v>30.1846587067718</v>
      </c>
      <c r="F5579" s="6" t="n">
        <f aca="false">Sens!F5502*cx_azo+Sens!F5509*cx_m365+Sens!F5510*cx_lic+(Sens!F5512+Sens!F5514)*cx_ind+Sens!F5517*cx_srch+(Sens!F5519+Sens!F5521)*cx_dev</f>
        <v>35.2433472295625</v>
      </c>
      <c r="G5579" s="6" t="n">
        <f aca="false">Sens!G5502*cx_azo+Sens!G5509*cx_m365+Sens!G5510*cx_lic+(Sens!G5512+Sens!G5514)*cx_ind+Sens!G5517*cx_srch+(Sens!G5519+Sens!G5521)*cx_dev</f>
        <v>40.6488935703892</v>
      </c>
      <c r="H5579" s="6" t="n">
        <f aca="false">Sens!H5502*cx_azo+Sens!H5509*cx_m365+Sens!H5510*cx_lic+(Sens!H5512+Sens!H5514)*cx_ind+Sens!H5517*cx_srch+(Sens!H5519+Sens!H5521)*cx_dev</f>
        <v>46.1395136440897</v>
      </c>
      <c r="I5579" s="6" t="n">
        <f aca="false">Sens!I5502*cx_azo+Sens!I5509*cx_m365+Sens!I5510*cx_lic+(Sens!I5512+Sens!I5514)*cx_ind+Sens!I5517*cx_srch+(Sens!I5519+Sens!I5521)*cx_dev</f>
        <v>51.4004003116439</v>
      </c>
      <c r="J5579" s="6" t="n">
        <f aca="false">Sens!J5502*cx_azo+Sens!J5509*cx_m365+Sens!J5510*cx_lic+(Sens!J5512+Sens!J5514)*cx_ind+Sens!J5517*cx_srch+(Sens!J5519+Sens!J5521)*cx_dev</f>
        <v>56.1989132503738</v>
      </c>
      <c r="K5579" s="6" t="n">
        <f aca="false">Sens!K5502*cx_azo+Sens!K5509*cx_m365+Sens!K5510*cx_lic+(Sens!K5512+Sens!K5514)*cx_ind+Sens!K5517*cx_srch+(Sens!K5519+Sens!K5521)*cx_dev</f>
        <v>60.402702741994</v>
      </c>
    </row>
    <row r="5580" customFormat="false" ht="17.15" hidden="false" customHeight="false" outlineLevel="0" collapsed="false">
      <c r="A5580" s="1" t="s">
        <v>850</v>
      </c>
      <c r="B5580" s="0" t="s">
        <v>95</v>
      </c>
      <c r="E5580" s="6" t="n">
        <f aca="false">Q!M42</f>
        <v>145.3</v>
      </c>
      <c r="F5580" s="6" t="n">
        <f aca="false">Sens!F5578+Sens!F5579</f>
        <v>204.2</v>
      </c>
      <c r="G5580" s="6" t="n">
        <f aca="false">Sens!G5578+Sens!G5579</f>
        <v>224.223074053589</v>
      </c>
      <c r="H5580" s="6" t="n">
        <f aca="false">Sens!H5578+Sens!H5579</f>
        <v>234.21979955449</v>
      </c>
      <c r="I5580" s="6" t="n">
        <f aca="false">Sens!I5578+Sens!I5579</f>
        <v>269.739361568711</v>
      </c>
      <c r="J5580" s="6" t="n">
        <f aca="false">Sens!J5578+Sens!J5579</f>
        <v>289.975974174107</v>
      </c>
      <c r="K5580" s="6" t="n">
        <f aca="false">Sens!K5578+Sens!K5579</f>
        <v>339.259014692394</v>
      </c>
      <c r="L5580" s="1" t="s">
        <v>851</v>
      </c>
    </row>
    <row r="5581" customFormat="false" ht="15" hidden="false" customHeight="false" outlineLevel="0" collapsed="false">
      <c r="A5581" s="1" t="s">
        <v>852</v>
      </c>
      <c r="B5581" s="0" t="s">
        <v>95</v>
      </c>
      <c r="E5581" s="6" t="n">
        <f aca="false">fl_liab</f>
        <v>66.594</v>
      </c>
      <c r="F5581" s="6" t="n">
        <f aca="false">Sens!E5581-Sens!F5582</f>
        <v>62.46973</v>
      </c>
      <c r="G5581" s="6" t="n">
        <f aca="false">Sens!F5581-Sens!G5582</f>
        <v>57.98686785</v>
      </c>
      <c r="H5581" s="6" t="n">
        <f aca="false">Sens!G5581-Sens!H5582</f>
        <v>53.92827690325</v>
      </c>
      <c r="I5581" s="6" t="n">
        <f aca="false">Sens!H5581-Sens!I5582</f>
        <v>49.7850493638962</v>
      </c>
      <c r="J5581" s="6" t="n">
        <f aca="false">Sens!I5581-Sens!J5582</f>
        <v>45.4823765852716</v>
      </c>
      <c r="K5581" s="6" t="n">
        <f aca="false">Sens!J5581-Sens!K5582</f>
        <v>40.9860835316088</v>
      </c>
    </row>
    <row r="5582" customFormat="false" ht="15" hidden="false" customHeight="false" outlineLevel="0" collapsed="false">
      <c r="A5582" s="1" t="s">
        <v>853</v>
      </c>
      <c r="B5582" s="0" t="s">
        <v>95</v>
      </c>
      <c r="F5582" s="6" t="n">
        <f aca="false">fl_pay_27-Sens!E5581*fl_rate</f>
        <v>4.12427</v>
      </c>
      <c r="G5582" s="6" t="n">
        <f aca="false">fl_pay_28-Sens!F5581*fl_rate</f>
        <v>4.48286215</v>
      </c>
      <c r="H5582" s="6" t="n">
        <f aca="false">fl_pay_29-Sens!G5581*fl_rate</f>
        <v>4.05859094675</v>
      </c>
      <c r="I5582" s="6" t="n">
        <f aca="false">fl_pay_30-Sens!H5581*fl_rate</f>
        <v>4.14322753935375</v>
      </c>
      <c r="J5582" s="6" t="n">
        <f aca="false">fl_pay_31-Sens!I5581*fl_rate</f>
        <v>4.30267277862467</v>
      </c>
      <c r="K5582" s="6" t="n">
        <f aca="false">fl_pay_32-Sens!J5581*fl_rate</f>
        <v>4.49629305366278</v>
      </c>
    </row>
    <row r="5583" customFormat="false" ht="17.15" hidden="false" customHeight="false" outlineLevel="0" collapsed="false">
      <c r="A5583" s="1" t="s">
        <v>854</v>
      </c>
      <c r="B5583" s="0" t="s">
        <v>95</v>
      </c>
      <c r="E5583" s="6" t="n">
        <f aca="false">Q!M35-Q!M36-Q!M43</f>
        <v>63.886</v>
      </c>
      <c r="F5583" s="6" t="n">
        <f aca="false">Sens!F5577-Sens!F5580-Sens!F5582</f>
        <v>-0.477663305783386</v>
      </c>
      <c r="G5583" s="6" t="n">
        <f aca="false">Sens!G5577-Sens!G5580-Sens!G5582</f>
        <v>29.6585826357621</v>
      </c>
      <c r="H5583" s="6" t="n">
        <f aca="false">Sens!H5577-Sens!H5580-Sens!H5582</f>
        <v>67.7756489103446</v>
      </c>
      <c r="I5583" s="6" t="n">
        <f aca="false">Sens!I5577-Sens!I5580-Sens!I5582</f>
        <v>79.6468080769122</v>
      </c>
      <c r="J5583" s="6" t="n">
        <f aca="false">Sens!J5577-Sens!J5580-Sens!J5582</f>
        <v>105.704494583698</v>
      </c>
      <c r="K5583" s="6" t="n">
        <f aca="false">Sens!K5577-Sens!K5580-Sens!K5582</f>
        <v>101.463550221264</v>
      </c>
      <c r="L5583" s="11" t="s">
        <v>855</v>
      </c>
    </row>
    <row r="5584" customFormat="false" ht="15" hidden="false" customHeight="false" outlineLevel="0" collapsed="false">
      <c r="A5584" s="1" t="s">
        <v>856</v>
      </c>
      <c r="B5584" s="0" t="s">
        <v>73</v>
      </c>
      <c r="F5584" s="8" t="n">
        <f aca="false">dps_27</f>
        <v>3.85</v>
      </c>
      <c r="G5584" s="8" t="n">
        <f aca="false">Sens!F5584*(1+dps_g)</f>
        <v>4.158</v>
      </c>
      <c r="H5584" s="8" t="n">
        <f aca="false">Sens!G5584*(1+dps_g)</f>
        <v>4.49064</v>
      </c>
      <c r="I5584" s="8" t="n">
        <f aca="false">Sens!H5584*(1+dps_g)</f>
        <v>4.8498912</v>
      </c>
      <c r="J5584" s="8" t="n">
        <f aca="false">Sens!I5584*(1+dps_g)</f>
        <v>5.237882496</v>
      </c>
      <c r="K5584" s="8" t="n">
        <f aca="false">Sens!J5584*(1+dps_g)</f>
        <v>5.65691309568</v>
      </c>
    </row>
    <row r="5585" customFormat="false" ht="17.15" hidden="false" customHeight="false" outlineLevel="0" collapsed="false">
      <c r="A5585" s="1" t="s">
        <v>857</v>
      </c>
      <c r="B5585" s="0" t="s">
        <v>95</v>
      </c>
      <c r="E5585" s="6" t="n">
        <f aca="false">Q!M41</f>
        <v>26.445</v>
      </c>
      <c r="F5585" s="6" t="n">
        <f aca="false">Sens!F5584*Sens!E5594</f>
        <v>28.59395</v>
      </c>
      <c r="G5585" s="6" t="n">
        <f aca="false">Sens!G5584*Sens!F5594</f>
        <v>31.068576</v>
      </c>
      <c r="H5585" s="6" t="n">
        <f aca="false">Sens!H5584*Sens!G5594</f>
        <v>33.75614088</v>
      </c>
      <c r="I5585" s="6" t="n">
        <f aca="false">Sens!I5584*Sens!H5594</f>
        <v>36.5075713903995</v>
      </c>
      <c r="J5585" s="6" t="n">
        <f aca="false">Sens!J5584*Sens!I5594</f>
        <v>39.4965759499509</v>
      </c>
      <c r="K5585" s="6" t="n">
        <f aca="false">Sens!K5584*Sens!J5594</f>
        <v>42.743557251252</v>
      </c>
      <c r="L5585" s="1" t="s">
        <v>858</v>
      </c>
    </row>
    <row r="5586" customFormat="false" ht="15" hidden="false" customHeight="false" outlineLevel="0" collapsed="false">
      <c r="A5586" s="1" t="s">
        <v>859</v>
      </c>
      <c r="B5586" s="0" t="s">
        <v>95</v>
      </c>
      <c r="E5586" s="6" t="n">
        <f aca="false">Sens!E5583-Sens!E5585</f>
        <v>37.441</v>
      </c>
      <c r="F5586" s="6" t="n">
        <f aca="false">Sens!F5583-Sens!F5585</f>
        <v>-29.0716133057834</v>
      </c>
      <c r="G5586" s="6" t="n">
        <f aca="false">Sens!G5583-Sens!G5585</f>
        <v>-1.40999336423787</v>
      </c>
      <c r="H5586" s="6" t="n">
        <f aca="false">Sens!H5583-Sens!H5585</f>
        <v>34.0195080303446</v>
      </c>
      <c r="I5586" s="6" t="n">
        <f aca="false">Sens!I5583-Sens!I5585</f>
        <v>43.1392366865128</v>
      </c>
      <c r="J5586" s="6" t="n">
        <f aca="false">Sens!J5583-Sens!J5585</f>
        <v>66.2079186337474</v>
      </c>
      <c r="K5586" s="6" t="n">
        <f aca="false">Sens!K5583-Sens!K5585</f>
        <v>58.7199929700118</v>
      </c>
    </row>
    <row r="5587" customFormat="false" ht="15" hidden="false" customHeight="false" outlineLevel="0" collapsed="false">
      <c r="A5587" s="1" t="s">
        <v>860</v>
      </c>
      <c r="B5587" s="0" t="s">
        <v>95</v>
      </c>
      <c r="F5587" s="6" t="n">
        <f aca="false">debt_mat_27</f>
        <v>9.25</v>
      </c>
      <c r="G5587" s="6" t="n">
        <f aca="false">debt_mat_28</f>
        <v>0</v>
      </c>
      <c r="H5587" s="6" t="n">
        <f aca="false">debt_mat_29</f>
        <v>2.001</v>
      </c>
      <c r="I5587" s="6" t="n">
        <f aca="false">debt_mat_30</f>
        <v>0</v>
      </c>
      <c r="J5587" s="6" t="n">
        <f aca="false">debt_mat_31</f>
        <v>0.5</v>
      </c>
      <c r="K5587" s="6" t="n">
        <f aca="false">debt_mat_32</f>
        <v>0</v>
      </c>
    </row>
    <row r="5588" customFormat="false" ht="15" hidden="false" customHeight="false" outlineLevel="0" collapsed="false">
      <c r="A5588" s="1" t="s">
        <v>861</v>
      </c>
      <c r="B5588" s="0" t="s">
        <v>95</v>
      </c>
      <c r="E5588" s="6" t="n">
        <f aca="false">Q!M40</f>
        <v>22.271</v>
      </c>
      <c r="F5588" s="6" t="n">
        <f aca="false">MAX(0,MIN(bb_target,Sens!E5590+Sens!F5586-Sens!F5587-min_cash))</f>
        <v>0</v>
      </c>
      <c r="G5588" s="6" t="n">
        <f aca="false">MAX(0,MIN(bb_target,Sens!F5590+Sens!G5586-Sens!G5587-min_cash))</f>
        <v>0</v>
      </c>
      <c r="H5588" s="6" t="n">
        <f aca="false">MAX(0,MIN(bb_target,Sens!G5590+Sens!H5586-Sens!H5587-min_cash))</f>
        <v>22.271</v>
      </c>
      <c r="I5588" s="6" t="n">
        <f aca="false">MAX(0,MIN(bb_target,Sens!H5590+Sens!I5586-Sens!I5587-min_cash))</f>
        <v>22.271</v>
      </c>
      <c r="J5588" s="6" t="n">
        <f aca="false">MAX(0,MIN(bb_target,Sens!I5590+Sens!J5586-Sens!J5587-min_cash))</f>
        <v>22.271</v>
      </c>
      <c r="K5588" s="6" t="n">
        <f aca="false">MAX(0,MIN(bb_target,Sens!J5590+Sens!K5586-Sens!K5587-min_cash))</f>
        <v>22.271</v>
      </c>
    </row>
    <row r="5589" customFormat="false" ht="15" hidden="false" customHeight="false" outlineLevel="0" collapsed="false">
      <c r="A5589" s="1" t="s">
        <v>862</v>
      </c>
      <c r="B5589" s="0" t="s">
        <v>95</v>
      </c>
      <c r="F5589" s="6" t="n">
        <f aca="false">MAX(0,min_cash-(Sens!E5590+Sens!F5586-Sens!F5587-Sens!F5588))</f>
        <v>11.4786133057834</v>
      </c>
      <c r="G5589" s="6" t="n">
        <f aca="false">MAX(0,min_cash-(Sens!F5590+Sens!G5586-Sens!G5587-Sens!G5588))</f>
        <v>1.40999336423786</v>
      </c>
      <c r="H5589" s="6" t="n">
        <f aca="false">MAX(0,min_cash-(Sens!G5590+Sens!H5586-Sens!H5587-Sens!H5588))</f>
        <v>0</v>
      </c>
      <c r="I5589" s="6" t="n">
        <f aca="false">MAX(0,min_cash-(Sens!H5590+Sens!I5586-Sens!I5587-Sens!I5588))</f>
        <v>0</v>
      </c>
      <c r="J5589" s="6" t="n">
        <f aca="false">MAX(0,min_cash-(Sens!I5590+Sens!J5586-Sens!J5587-Sens!J5588))</f>
        <v>0</v>
      </c>
      <c r="K5589" s="6" t="n">
        <f aca="false">MAX(0,min_cash-(Sens!J5590+Sens!K5586-Sens!K5587-Sens!K5588))</f>
        <v>0</v>
      </c>
    </row>
    <row r="5590" customFormat="false" ht="15" hidden="false" customHeight="false" outlineLevel="0" collapsed="false">
      <c r="A5590" s="1" t="s">
        <v>863</v>
      </c>
      <c r="B5590" s="0" t="s">
        <v>95</v>
      </c>
      <c r="E5590" s="6" t="n">
        <f aca="false">cash_open</f>
        <v>76.843</v>
      </c>
      <c r="F5590" s="6" t="n">
        <f aca="false">Sens!E5590+Sens!F5586-Sens!F5587-Sens!F5588+Sens!F5589</f>
        <v>50</v>
      </c>
      <c r="G5590" s="6" t="n">
        <f aca="false">Sens!F5590+Sens!G5586-Sens!G5587-Sens!G5588+Sens!G5589</f>
        <v>50</v>
      </c>
      <c r="H5590" s="6" t="n">
        <f aca="false">Sens!G5590+Sens!H5586-Sens!H5587-Sens!H5588+Sens!H5589</f>
        <v>59.7475080303446</v>
      </c>
      <c r="I5590" s="6" t="n">
        <f aca="false">Sens!H5590+Sens!I5586-Sens!I5587-Sens!I5588+Sens!I5589</f>
        <v>80.6157447168573</v>
      </c>
      <c r="J5590" s="6" t="n">
        <f aca="false">Sens!I5590+Sens!J5586-Sens!J5587-Sens!J5588+Sens!J5589</f>
        <v>124.052663350605</v>
      </c>
      <c r="K5590" s="6" t="n">
        <f aca="false">Sens!J5590+Sens!K5586-Sens!K5587-Sens!K5588+Sens!K5589</f>
        <v>160.501656320617</v>
      </c>
    </row>
    <row r="5591" customFormat="false" ht="15" hidden="false" customHeight="false" outlineLevel="0" collapsed="false">
      <c r="A5591" s="1" t="s">
        <v>864</v>
      </c>
      <c r="B5591" s="0" t="s">
        <v>95</v>
      </c>
      <c r="E5591" s="6" t="n">
        <f aca="false">debt_face</f>
        <v>46.136</v>
      </c>
      <c r="F5591" s="6" t="n">
        <f aca="false">Sens!E5591-Sens!F5587+Sens!F5589</f>
        <v>48.3646133057834</v>
      </c>
      <c r="G5591" s="6" t="n">
        <f aca="false">Sens!F5591-Sens!G5587+Sens!G5589</f>
        <v>49.7746066700213</v>
      </c>
      <c r="H5591" s="6" t="n">
        <f aca="false">Sens!G5591-Sens!H5587+Sens!H5589</f>
        <v>47.7736066700213</v>
      </c>
      <c r="I5591" s="6" t="n">
        <f aca="false">Sens!H5591-Sens!I5587+Sens!I5589</f>
        <v>47.7736066700213</v>
      </c>
      <c r="J5591" s="6" t="n">
        <f aca="false">Sens!I5591-Sens!J5587+Sens!J5589</f>
        <v>47.2736066700213</v>
      </c>
      <c r="K5591" s="6" t="n">
        <f aca="false">Sens!J5591-Sens!K5587+Sens!K5589</f>
        <v>47.2736066700213</v>
      </c>
    </row>
    <row r="5592" customFormat="false" ht="15" hidden="false" customHeight="false" outlineLevel="0" collapsed="false">
      <c r="A5592" s="1" t="s">
        <v>865</v>
      </c>
      <c r="B5592" s="0" t="s">
        <v>95</v>
      </c>
      <c r="E5592" s="6" t="n">
        <f aca="false">Sens!E5590-Sens!E5591</f>
        <v>30.707</v>
      </c>
      <c r="F5592" s="6" t="n">
        <f aca="false">Sens!F5590-Sens!F5591</f>
        <v>1.63538669421661</v>
      </c>
      <c r="G5592" s="6" t="n">
        <f aca="false">Sens!G5590-Sens!G5591</f>
        <v>0.225393329978751</v>
      </c>
      <c r="H5592" s="6" t="n">
        <f aca="false">Sens!H5590-Sens!H5591</f>
        <v>11.9739013603233</v>
      </c>
      <c r="I5592" s="6" t="n">
        <f aca="false">Sens!I5590-Sens!I5591</f>
        <v>32.8421380468361</v>
      </c>
      <c r="J5592" s="6" t="n">
        <f aca="false">Sens!J5590-Sens!J5591</f>
        <v>76.7790566805835</v>
      </c>
      <c r="K5592" s="6" t="n">
        <f aca="false">Sens!K5590-Sens!K5591</f>
        <v>113.228049650595</v>
      </c>
    </row>
    <row r="5593" customFormat="false" ht="15" hidden="false" customHeight="false" outlineLevel="0" collapsed="false">
      <c r="A5593" s="1" t="s">
        <v>866</v>
      </c>
      <c r="B5593" s="0" t="s">
        <v>73</v>
      </c>
      <c r="F5593" s="27" t="n">
        <f aca="false">px*(1+bb_g)^(1-0.5)</f>
        <v>553.494156066711</v>
      </c>
      <c r="G5593" s="27" t="n">
        <f aca="false">px*(1+bb_g)^(2-0.5)</f>
        <v>597.773688552047</v>
      </c>
      <c r="H5593" s="27" t="n">
        <f aca="false">px*(1+bb_g)^(3-0.5)</f>
        <v>645.595583636211</v>
      </c>
      <c r="I5593" s="27" t="n">
        <f aca="false">px*(1+bb_g)^(4-0.5)</f>
        <v>697.243230327108</v>
      </c>
      <c r="J5593" s="27" t="n">
        <f aca="false">px*(1+bb_g)^(5-0.5)</f>
        <v>753.022688753277</v>
      </c>
      <c r="K5593" s="27" t="n">
        <f aca="false">px*(1+bb_g)^(6-0.5)</f>
        <v>813.264503853539</v>
      </c>
    </row>
    <row r="5594" customFormat="false" ht="15" hidden="false" customHeight="false" outlineLevel="0" collapsed="false">
      <c r="A5594" s="1" t="s">
        <v>867</v>
      </c>
      <c r="B5594" s="1" t="s">
        <v>79</v>
      </c>
      <c r="E5594" s="18" t="n">
        <f aca="false">sh_out26</f>
        <v>7.427</v>
      </c>
      <c r="F5594" s="18" t="n">
        <f aca="false">Sens!E5594+sh_iss-Sens!F5588/Sens!F5593</f>
        <v>7.472</v>
      </c>
      <c r="G5594" s="18" t="n">
        <f aca="false">Sens!F5594+sh_iss-Sens!G5588/Sens!G5593</f>
        <v>7.517</v>
      </c>
      <c r="H5594" s="18" t="n">
        <f aca="false">Sens!G5594+sh_iss-Sens!H5588/Sens!H5593</f>
        <v>7.5275031716999</v>
      </c>
      <c r="I5594" s="18" t="n">
        <f aca="false">Sens!H5594+sh_iss-Sens!I5588/Sens!I5593</f>
        <v>7.54056166401463</v>
      </c>
      <c r="J5594" s="18" t="n">
        <f aca="false">Sens!I5594+sh_iss-Sens!J5588/Sens!J5593</f>
        <v>7.55598619393567</v>
      </c>
      <c r="K5594" s="18" t="n">
        <f aca="false">Sens!J5594+sh_iss-Sens!K5588/Sens!K5593</f>
        <v>7.57360149941811</v>
      </c>
    </row>
    <row r="5595" customFormat="false" ht="15" hidden="false" customHeight="false" outlineLevel="0" collapsed="false">
      <c r="A5595" s="1" t="s">
        <v>868</v>
      </c>
      <c r="B5595" s="1" t="s">
        <v>79</v>
      </c>
      <c r="E5595" s="18" t="n">
        <f aca="false">sh_dil26</f>
        <v>7.453</v>
      </c>
      <c r="F5595" s="18" t="n">
        <f aca="false">(Sens!E5594+Sens!F5594)/2+dil_gap</f>
        <v>7.4735</v>
      </c>
      <c r="G5595" s="18" t="n">
        <f aca="false">(Sens!F5594+Sens!G5594)/2+dil_gap</f>
        <v>7.5185</v>
      </c>
      <c r="H5595" s="18" t="n">
        <f aca="false">(Sens!G5594+Sens!H5594)/2+dil_gap</f>
        <v>7.54625158584995</v>
      </c>
      <c r="I5595" s="18" t="n">
        <f aca="false">(Sens!H5594+Sens!I5594)/2+dil_gap</f>
        <v>7.55803241785726</v>
      </c>
      <c r="J5595" s="18" t="n">
        <f aca="false">(Sens!I5594+Sens!J5594)/2+dil_gap</f>
        <v>7.57227392897515</v>
      </c>
      <c r="K5595" s="18" t="n">
        <f aca="false">(Sens!J5594+Sens!K5594)/2+dil_gap</f>
        <v>7.58879384667689</v>
      </c>
    </row>
    <row r="5596" customFormat="false" ht="17.15" hidden="false" customHeight="false" outlineLevel="0" collapsed="false">
      <c r="A5596" s="1" t="s">
        <v>869</v>
      </c>
      <c r="B5596" s="0" t="s">
        <v>95</v>
      </c>
      <c r="C5596" s="6" t="n">
        <f aca="false">SUM(Sens!F5586:J5586)</f>
        <v>112.885056680584</v>
      </c>
    </row>
    <row r="5597" customFormat="false" ht="17.15" hidden="false" customHeight="false" outlineLevel="0" collapsed="false">
      <c r="A5597" s="1" t="s">
        <v>836</v>
      </c>
      <c r="B5597" s="1" t="s">
        <v>870</v>
      </c>
      <c r="C5597" s="30" t="str">
        <f aca="false">IF(SUM(Sens!F5589:J5589)&gt;0.05,"需要舉債 "&amp;TEXT(SUM(Sens!F5589:J5589),"0.0")&amp;" 十億美元","不需舉債")&amp;"；"&amp;IF(SUM(Sens!F5588:J5588)&lt;5*bb_target-0.05,"回購較每年 "&amp;TEXT(bb_target,"0.0")&amp;" 的目標少 "&amp;TEXT(5*bb_target-SUM(Sens!F5588:J5588),"0.0")&amp;" 十億美元（"&amp;TEXT(COUNTIF(Sens!F5588:J5588,"&lt;"&amp;(bb_target-0.05)),"0")&amp;" 年減少）","回購不減")</f>
        <v>需要舉債 12.9 十億美元；回購較每年 22.3 的目標少 44.5 十億美元（2 年減少）</v>
      </c>
    </row>
    <row r="5598" customFormat="false" ht="17.15" hidden="false" customHeight="false" outlineLevel="0" collapsed="false">
      <c r="A5598" s="3" t="s">
        <v>1273</v>
      </c>
    </row>
    <row r="5599" customFormat="false" ht="15" hidden="false" customHeight="false" outlineLevel="0" collapsed="false">
      <c r="A5599" s="4" t="s">
        <v>43</v>
      </c>
      <c r="B5599" s="4" t="s">
        <v>63</v>
      </c>
      <c r="C5599" s="19" t="s">
        <v>710</v>
      </c>
      <c r="D5599" s="19" t="s">
        <v>711</v>
      </c>
      <c r="E5599" s="19" t="s">
        <v>712</v>
      </c>
      <c r="F5599" s="19" t="s">
        <v>713</v>
      </c>
      <c r="G5599" s="19" t="s">
        <v>714</v>
      </c>
      <c r="H5599" s="19" t="s">
        <v>715</v>
      </c>
      <c r="I5599" s="19" t="s">
        <v>716</v>
      </c>
      <c r="J5599" s="19" t="s">
        <v>717</v>
      </c>
      <c r="K5599" s="19" t="s">
        <v>718</v>
      </c>
      <c r="L5599" s="4" t="s">
        <v>47</v>
      </c>
    </row>
    <row r="5600" customFormat="false" ht="17.15" hidden="false" customHeight="false" outlineLevel="0" collapsed="false">
      <c r="A5600" s="1" t="s">
        <v>938</v>
      </c>
      <c r="B5600" s="1" t="s">
        <v>213</v>
      </c>
      <c r="F5600" s="34" t="n">
        <f aca="false">1-0.5</f>
        <v>0.5</v>
      </c>
      <c r="G5600" s="34" t="n">
        <f aca="false">2-0.5</f>
        <v>1.5</v>
      </c>
      <c r="H5600" s="34" t="n">
        <f aca="false">3-0.5</f>
        <v>2.5</v>
      </c>
      <c r="I5600" s="34" t="n">
        <f aca="false">4-0.5</f>
        <v>3.5</v>
      </c>
      <c r="J5600" s="34" t="n">
        <f aca="false">5-0.5</f>
        <v>4.5</v>
      </c>
      <c r="K5600" s="34" t="n">
        <f aca="false">6-0.5</f>
        <v>5.5</v>
      </c>
    </row>
    <row r="5601" customFormat="false" ht="15" hidden="false" customHeight="false" outlineLevel="0" collapsed="false">
      <c r="A5601" s="1" t="s">
        <v>939</v>
      </c>
      <c r="B5601" s="0" t="s">
        <v>182</v>
      </c>
      <c r="F5601" s="18" t="n">
        <f aca="false">1/(1+wacc)^Sens!F5600</f>
        <v>0.949601579913219</v>
      </c>
      <c r="G5601" s="18" t="n">
        <f aca="false">1/(1+wacc)^Sens!G5600</f>
        <v>0.856296729956707</v>
      </c>
      <c r="H5601" s="18" t="n">
        <f aca="false">1/(1+wacc)^Sens!H5600</f>
        <v>0.772159719660069</v>
      </c>
      <c r="I5601" s="18" t="n">
        <f aca="false">1/(1+wacc)^Sens!I5600</f>
        <v>0.696289746073958</v>
      </c>
      <c r="J5601" s="18" t="n">
        <f aca="false">1/(1+wacc)^Sens!J5600</f>
        <v>0.627874516299776</v>
      </c>
      <c r="K5601" s="18" t="n">
        <f aca="false">1/(1+wacc)^Sens!K5600</f>
        <v>0.566181550771831</v>
      </c>
    </row>
    <row r="5602" customFormat="false" ht="15" hidden="false" customHeight="false" outlineLevel="0" collapsed="false">
      <c r="A5602" s="1" t="s">
        <v>940</v>
      </c>
      <c r="B5602" s="0" t="s">
        <v>95</v>
      </c>
      <c r="F5602" s="6" t="n">
        <f aca="false">Sens!F5583*Sens!F5601</f>
        <v>-0.453589829838474</v>
      </c>
      <c r="G5602" s="6" t="n">
        <f aca="false">Sens!G5583*Sens!G5601</f>
        <v>25.3965473261539</v>
      </c>
      <c r="H5602" s="6" t="n">
        <f aca="false">Sens!H5583*Sens!H5601</f>
        <v>52.3336260623909</v>
      </c>
      <c r="I5602" s="6" t="n">
        <f aca="false">Sens!I5583*Sens!I5601</f>
        <v>55.4572557714745</v>
      </c>
      <c r="J5602" s="6" t="n">
        <f aca="false">Sens!J5583*Sens!J5601</f>
        <v>66.3691584074519</v>
      </c>
      <c r="K5602" s="6" t="n">
        <f aca="false">Sens!K5583*Sens!K5601</f>
        <v>57.4467902110907</v>
      </c>
    </row>
    <row r="5603" customFormat="false" ht="17.15" hidden="false" customHeight="false" outlineLevel="0" collapsed="false">
      <c r="A5603" s="1" t="s">
        <v>941</v>
      </c>
      <c r="B5603" s="0" t="s">
        <v>95</v>
      </c>
      <c r="C5603" s="6" t="n">
        <f aca="false">SUM(Sens!F5602:K5602)</f>
        <v>256.549787948723</v>
      </c>
    </row>
    <row r="5604" customFormat="false" ht="17.15" hidden="false" customHeight="false" outlineLevel="0" collapsed="false">
      <c r="A5604" s="1" t="s">
        <v>942</v>
      </c>
      <c r="B5604" s="0" t="s">
        <v>95</v>
      </c>
      <c r="C5604" s="6" t="n">
        <f aca="false">Sens!K5549*(1+g_tv)*(1-tax_f)</f>
        <v>212.301897389032</v>
      </c>
    </row>
    <row r="5605" customFormat="false" ht="17.15" hidden="false" customHeight="false" outlineLevel="0" collapsed="false">
      <c r="A5605" s="1" t="s">
        <v>943</v>
      </c>
      <c r="B5605" s="0" t="s">
        <v>95</v>
      </c>
      <c r="C5605" s="6" t="n">
        <f aca="false">Sens!$C$5604*(1-g_tv/(wacc+ronic_prem))</f>
        <v>153.850459789841</v>
      </c>
    </row>
    <row r="5606" customFormat="false" ht="17.15" hidden="false" customHeight="false" outlineLevel="0" collapsed="false">
      <c r="A5606" s="1" t="s">
        <v>944</v>
      </c>
      <c r="B5606" s="0" t="s">
        <v>95</v>
      </c>
      <c r="C5606" s="6" t="n">
        <f aca="false">Sens!$C$5605/(wacc-g_tv)</f>
        <v>1948.38125330638</v>
      </c>
    </row>
    <row r="5607" customFormat="false" ht="15" hidden="false" customHeight="false" outlineLevel="0" collapsed="false">
      <c r="A5607" s="1" t="s">
        <v>945</v>
      </c>
      <c r="B5607" s="0" t="s">
        <v>95</v>
      </c>
      <c r="C5607" s="6" t="n">
        <f aca="false">Sens!$C$5606/(1+wacc)^6</f>
        <v>1047.54113137093</v>
      </c>
    </row>
    <row r="5608" customFormat="false" ht="17.15" hidden="false" customHeight="false" outlineLevel="0" collapsed="false">
      <c r="A5608" s="0" t="s">
        <v>877</v>
      </c>
      <c r="B5608" s="0" t="s">
        <v>95</v>
      </c>
      <c r="C5608" s="6" t="n">
        <f aca="false">Sens!$C$5603+Sens!$C$5607</f>
        <v>1304.09091931966</v>
      </c>
    </row>
    <row r="5609" customFormat="false" ht="15" hidden="false" customHeight="false" outlineLevel="0" collapsed="false">
      <c r="A5609" s="1" t="s">
        <v>878</v>
      </c>
      <c r="B5609" s="0" t="s">
        <v>126</v>
      </c>
      <c r="C5609" s="7" t="n">
        <f aca="false">Sens!$C$5607/Sens!$C$5608</f>
        <v>0.803273081540538</v>
      </c>
    </row>
    <row r="5610" customFormat="false" ht="17.15" hidden="false" customHeight="false" outlineLevel="0" collapsed="false">
      <c r="A5610" s="1" t="s">
        <v>946</v>
      </c>
      <c r="B5610" s="0" t="s">
        <v>95</v>
      </c>
      <c r="C5610" s="6" t="n">
        <f aca="false">Sens!$C$5608+Sens!E5592+oai_v</f>
        <v>1505.19791931966</v>
      </c>
    </row>
    <row r="5611" customFormat="false" ht="17.15" hidden="false" customHeight="false" outlineLevel="0" collapsed="false">
      <c r="A5611" s="0" t="s">
        <v>883</v>
      </c>
      <c r="B5611" s="0" t="s">
        <v>73</v>
      </c>
      <c r="C5611" s="5" t="n">
        <f aca="false">Sens!$C$5610/sh_dil26</f>
        <v>201.958663534101</v>
      </c>
    </row>
    <row r="5612" customFormat="false" ht="17.15" hidden="false" customHeight="false" outlineLevel="0" collapsed="false">
      <c r="A5612" s="0" t="s">
        <v>947</v>
      </c>
      <c r="B5612" s="0" t="s">
        <v>73</v>
      </c>
      <c r="C5612" s="5" t="n">
        <f aca="false">Sens!$C$5611*(1+wacc)^t_roll</f>
        <v>231.645490591859</v>
      </c>
    </row>
    <row r="5613" customFormat="false" ht="17.15" hidden="false" customHeight="false" outlineLevel="0" collapsed="false">
      <c r="A5613" s="1" t="s">
        <v>948</v>
      </c>
      <c r="B5613" s="0" t="s">
        <v>126</v>
      </c>
      <c r="F5613" s="7" t="n">
        <f aca="false">Sens!F5573/(Sens!F5524-Sens!F5480)</f>
        <v>0.0690065562557969</v>
      </c>
      <c r="G5613" s="7" t="n">
        <f aca="false">Sens!G5573/(Sens!G5524-Sens!G5480)</f>
        <v>0.0663028406557732</v>
      </c>
      <c r="H5613" s="7" t="n">
        <f aca="false">Sens!H5573/(Sens!H5524-Sens!H5480)</f>
        <v>0.0648874034966895</v>
      </c>
      <c r="I5613" s="7" t="n">
        <f aca="false">Sens!I5573/(Sens!I5524-Sens!I5480)</f>
        <v>0.0646226170189239</v>
      </c>
      <c r="J5613" s="7" t="n">
        <f aca="false">Sens!J5573/(Sens!J5524-Sens!J5480)</f>
        <v>0.0652594276909859</v>
      </c>
      <c r="K5613" s="7" t="n">
        <f aca="false">Sens!K5573/(Sens!K5524-Sens!K5480)</f>
        <v>0.0665079454530917</v>
      </c>
    </row>
    <row r="5614" customFormat="false" ht="17.15" hidden="false" customHeight="false" outlineLevel="0" collapsed="false">
      <c r="A5614" s="0" t="s">
        <v>949</v>
      </c>
      <c r="B5614" s="0" t="s">
        <v>95</v>
      </c>
      <c r="F5614" s="6" t="n">
        <f aca="false">Sens!F5509*(al_m365+Sens!F5613)</f>
        <v>77.2919248759162</v>
      </c>
      <c r="G5614" s="6" t="n">
        <f aca="false">Sens!G5509*(al_m365+Sens!G5613)</f>
        <v>87.9547524157613</v>
      </c>
      <c r="H5614" s="6" t="n">
        <f aca="false">Sens!H5509*(al_m365+Sens!H5613)</f>
        <v>98.7739169543312</v>
      </c>
      <c r="I5614" s="6" t="n">
        <f aca="false">Sens!I5509*(al_m365+Sens!I5613)</f>
        <v>108.901092946276</v>
      </c>
      <c r="J5614" s="6" t="n">
        <f aca="false">Sens!J5509*(al_m365+Sens!J5613)</f>
        <v>118.158525005708</v>
      </c>
      <c r="K5614" s="6" t="n">
        <f aca="false">Sens!K5509*(al_m365+Sens!K5613)</f>
        <v>127.048406201282</v>
      </c>
    </row>
    <row r="5615" customFormat="false" ht="17.15" hidden="false" customHeight="false" outlineLevel="0" collapsed="false">
      <c r="A5615" s="0" t="s">
        <v>950</v>
      </c>
      <c r="B5615" s="0" t="s">
        <v>95</v>
      </c>
      <c r="F5615" s="6" t="n">
        <f aca="false">Sens!F5510*(al_lic+Sens!F5613)</f>
        <v>32.0002924983401</v>
      </c>
      <c r="G5615" s="6" t="n">
        <f aca="false">Sens!G5510*(al_lic+Sens!G5613)</f>
        <v>33.2452090293078</v>
      </c>
      <c r="H5615" s="6" t="n">
        <f aca="false">Sens!H5510*(al_lic+Sens!H5613)</f>
        <v>34.4074787320509</v>
      </c>
      <c r="I5615" s="6" t="n">
        <f aca="false">Sens!I5510*(al_lic+Sens!I5613)</f>
        <v>35.4685048492397</v>
      </c>
      <c r="J5615" s="6" t="n">
        <f aca="false">Sens!J5510*(al_lic+Sens!J5613)</f>
        <v>36.4044405840798</v>
      </c>
      <c r="K5615" s="6" t="n">
        <f aca="false">Sens!K5510*(al_lic+Sens!K5613)</f>
        <v>37.1893954937516</v>
      </c>
    </row>
    <row r="5616" customFormat="false" ht="17.15" hidden="false" customHeight="false" outlineLevel="0" collapsed="false">
      <c r="A5616" s="0" t="s">
        <v>951</v>
      </c>
      <c r="B5616" s="0" t="s">
        <v>95</v>
      </c>
      <c r="F5616" s="6" t="n">
        <f aca="false">Sens!F5512*(al_ind+Sens!F5613)</f>
        <v>8.24996088023771</v>
      </c>
      <c r="G5616" s="6" t="n">
        <f aca="false">Sens!G5512*(al_ind+Sens!G5613)</f>
        <v>8.95215294152574</v>
      </c>
      <c r="H5616" s="6" t="n">
        <f aca="false">Sens!H5512*(al_ind+Sens!H5613)</f>
        <v>9.69644678339821</v>
      </c>
      <c r="I5616" s="6" t="n">
        <f aca="false">Sens!I5512*(al_ind+Sens!I5613)</f>
        <v>10.4796977284745</v>
      </c>
      <c r="J5616" s="6" t="n">
        <f aca="false">Sens!J5512*(al_ind+Sens!J5613)</f>
        <v>11.2935492177448</v>
      </c>
      <c r="K5616" s="6" t="n">
        <f aca="false">Sens!K5512*(al_ind+Sens!K5613)</f>
        <v>12.1254031281645</v>
      </c>
    </row>
    <row r="5617" customFormat="false" ht="17.15" hidden="false" customHeight="false" outlineLevel="0" collapsed="false">
      <c r="A5617" s="0" t="s">
        <v>952</v>
      </c>
      <c r="B5617" s="0" t="s">
        <v>95</v>
      </c>
      <c r="F5617" s="6" t="n">
        <f aca="false">Sens!F5514*(al_fro+Sens!F5613)</f>
        <v>3.24721356643191</v>
      </c>
      <c r="G5617" s="6" t="n">
        <f aca="false">Sens!G5514*(al_fro+Sens!G5613)</f>
        <v>3.4370974632833</v>
      </c>
      <c r="H5617" s="6" t="n">
        <f aca="false">Sens!H5514*(al_fro+Sens!H5613)</f>
        <v>3.65395303363864</v>
      </c>
      <c r="I5617" s="6" t="n">
        <f aca="false">Sens!I5514*(al_fro+Sens!I5613)</f>
        <v>3.90011697602746</v>
      </c>
      <c r="J5617" s="6" t="n">
        <f aca="false">Sens!J5514*(al_fro+Sens!J5613)</f>
        <v>4.17678851101315</v>
      </c>
      <c r="K5617" s="6" t="n">
        <f aca="false">Sens!K5514*(al_fro+Sens!K5613)</f>
        <v>4.4844400551728</v>
      </c>
    </row>
    <row r="5618" customFormat="false" ht="17.15" hidden="false" customHeight="false" outlineLevel="0" collapsed="false">
      <c r="A5618" s="0" t="s">
        <v>953</v>
      </c>
      <c r="B5618" s="0" t="s">
        <v>95</v>
      </c>
      <c r="F5618" s="6" t="n">
        <f aca="false">Sens!F5517*(al_srch+Sens!F5613)</f>
        <v>10.188820882957</v>
      </c>
      <c r="G5618" s="6" t="n">
        <f aca="false">Sens!G5517*(al_srch+Sens!G5613)</f>
        <v>11.1603562424791</v>
      </c>
      <c r="H5618" s="6" t="n">
        <f aca="false">Sens!H5517*(al_srch+Sens!H5613)</f>
        <v>12.1742407817352</v>
      </c>
      <c r="I5618" s="6" t="n">
        <f aca="false">Sens!I5517*(al_srch+Sens!I5613)</f>
        <v>13.2203780639428</v>
      </c>
      <c r="J5618" s="6" t="n">
        <f aca="false">Sens!J5517*(al_srch+Sens!J5613)</f>
        <v>14.2812187512042</v>
      </c>
      <c r="K5618" s="6" t="n">
        <f aca="false">Sens!K5517*(al_srch+Sens!K5613)</f>
        <v>15.3331367474602</v>
      </c>
    </row>
    <row r="5619" customFormat="false" ht="17.15" hidden="false" customHeight="false" outlineLevel="0" collapsed="false">
      <c r="A5619" s="0" t="s">
        <v>954</v>
      </c>
      <c r="B5619" s="0" t="s">
        <v>95</v>
      </c>
      <c r="F5619" s="6" t="n">
        <f aca="false">Sens!F5486</f>
        <v>39.4594407491938</v>
      </c>
      <c r="G5619" s="6" t="n">
        <f aca="false">Sens!G5486</f>
        <v>66.5527545578061</v>
      </c>
      <c r="H5619" s="6" t="n">
        <f aca="false">Sens!H5486</f>
        <v>95.219644983859</v>
      </c>
      <c r="I5619" s="6" t="n">
        <f aca="false">Sens!I5486</f>
        <v>124.031840462493</v>
      </c>
      <c r="J5619" s="6" t="n">
        <f aca="false">Sens!J5486</f>
        <v>152.919994097909</v>
      </c>
      <c r="K5619" s="6" t="n">
        <f aca="false">Sens!K5486</f>
        <v>181.852830263848</v>
      </c>
    </row>
    <row r="5620" customFormat="false" ht="17.15" hidden="false" customHeight="false" outlineLevel="0" collapsed="false">
      <c r="A5620" s="0" t="s">
        <v>955</v>
      </c>
      <c r="B5620" s="0" t="s">
        <v>95</v>
      </c>
      <c r="F5620" s="6" t="n">
        <f aca="false">Sens!F5546+Sens!F5497+Sens!F5613*(Sens!F5516-Sens!F5480)</f>
        <v>209.455128160622</v>
      </c>
      <c r="G5620" s="6" t="n">
        <f aca="false">Sens!G5546+Sens!G5497+Sens!G5613*(Sens!G5516-Sens!G5480)</f>
        <v>255.601182225301</v>
      </c>
      <c r="H5620" s="6" t="n">
        <f aca="false">Sens!H5546+Sens!H5497+Sens!H5613*(Sens!H5516-Sens!H5480)</f>
        <v>303.545086916897</v>
      </c>
      <c r="I5620" s="6" t="n">
        <f aca="false">Sens!I5546+Sens!I5497+Sens!I5613*(Sens!I5516-Sens!I5480)</f>
        <v>350.732986096467</v>
      </c>
      <c r="J5620" s="6" t="n">
        <f aca="false">Sens!J5546+Sens!J5497+Sens!J5613*(Sens!J5516-Sens!J5480)</f>
        <v>396.285942243008</v>
      </c>
      <c r="K5620" s="6" t="n">
        <f aca="false">Sens!K5546+Sens!K5497+Sens!K5613*(Sens!K5516-Sens!K5480)</f>
        <v>439.948809423589</v>
      </c>
    </row>
    <row r="5621" customFormat="false" ht="17.15" hidden="false" customHeight="false" outlineLevel="0" collapsed="false">
      <c r="A5621" s="0" t="s">
        <v>956</v>
      </c>
      <c r="B5621" s="0" t="s">
        <v>95</v>
      </c>
      <c r="F5621" s="6" t="n">
        <f aca="false">Sens!F5620-Sens!F5614-Sens!F5615-Sens!F5616-Sens!F5617-Sens!F5619</f>
        <v>49.2062955905023</v>
      </c>
      <c r="G5621" s="6" t="n">
        <f aca="false">Sens!G5620-Sens!G5614-Sens!G5615-Sens!G5616-Sens!G5617-Sens!G5619</f>
        <v>55.4592158176165</v>
      </c>
      <c r="H5621" s="6" t="n">
        <f aca="false">Sens!H5620-Sens!H5614-Sens!H5615-Sens!H5616-Sens!H5617-Sens!H5619</f>
        <v>61.7936464296192</v>
      </c>
      <c r="I5621" s="6" t="n">
        <f aca="false">Sens!I5620-Sens!I5614-Sens!I5615-Sens!I5616-Sens!I5617-Sens!I5619</f>
        <v>67.9517331339565</v>
      </c>
      <c r="J5621" s="6" t="n">
        <f aca="false">Sens!J5620-Sens!J5614-Sens!J5615-Sens!J5616-Sens!J5617-Sens!J5619</f>
        <v>73.3326448265535</v>
      </c>
      <c r="K5621" s="6" t="n">
        <f aca="false">Sens!K5620-Sens!K5614-Sens!K5615-Sens!K5616-Sens!K5617-Sens!K5619</f>
        <v>77.24833428137</v>
      </c>
    </row>
    <row r="5622" customFormat="false" ht="17.15" hidden="false" customHeight="false" outlineLevel="0" collapsed="false">
      <c r="A5622" s="0" t="s">
        <v>957</v>
      </c>
      <c r="B5622" s="0" t="s">
        <v>95</v>
      </c>
      <c r="F5622" s="6" t="n">
        <f aca="false">Sens!F5548+Sens!F5613*Sens!F5523</f>
        <v>23.7906477513889</v>
      </c>
      <c r="G5622" s="6" t="n">
        <f aca="false">Sens!G5548+Sens!G5613*Sens!G5523</f>
        <v>24.3336667582909</v>
      </c>
      <c r="H5622" s="6" t="n">
        <f aca="false">Sens!H5548+Sens!H5613*Sens!H5523</f>
        <v>25.1238600078135</v>
      </c>
      <c r="I5622" s="6" t="n">
        <f aca="false">Sens!I5548+Sens!I5613*Sens!I5523</f>
        <v>26.1325461562997</v>
      </c>
      <c r="J5622" s="6" t="n">
        <f aca="false">Sens!J5548+Sens!J5613*Sens!J5523</f>
        <v>27.3285266241809</v>
      </c>
      <c r="K5622" s="6" t="n">
        <f aca="false">Sens!K5548+Sens!K5613*Sens!K5523</f>
        <v>28.6804669260285</v>
      </c>
    </row>
    <row r="5623" customFormat="false" ht="17.15" hidden="false" customHeight="false" outlineLevel="0" collapsed="false">
      <c r="A5623" s="0" t="s">
        <v>958</v>
      </c>
      <c r="B5623" s="0" t="s">
        <v>95</v>
      </c>
      <c r="F5623" s="6" t="n">
        <f aca="false">(Sens!F5622-Sens!F5618)*Sens!F5519/(Sens!F5519+Sens!F5521)</f>
        <v>7.45638900940031</v>
      </c>
      <c r="G5623" s="6" t="n">
        <f aca="false">(Sens!G5622-Sens!G5618)*Sens!G5519/(Sens!G5519+Sens!G5521)</f>
        <v>7.09272197479441</v>
      </c>
      <c r="H5623" s="6" t="n">
        <f aca="false">(Sens!H5622-Sens!H5618)*Sens!H5519/(Sens!H5519+Sens!H5521)</f>
        <v>6.87809910020587</v>
      </c>
      <c r="I5623" s="6" t="n">
        <f aca="false">(Sens!I5622-Sens!I5618)*Sens!I5519/(Sens!I5519+Sens!I5521)</f>
        <v>6.79615404812872</v>
      </c>
      <c r="J5623" s="6" t="n">
        <f aca="false">(Sens!J5622-Sens!J5618)*Sens!J5519/(Sens!J5519+Sens!J5521)</f>
        <v>6.83622953721953</v>
      </c>
      <c r="K5623" s="6" t="n">
        <f aca="false">(Sens!K5622-Sens!K5618)*Sens!K5519/(Sens!K5519+Sens!K5521)</f>
        <v>6.99342835304253</v>
      </c>
    </row>
    <row r="5624" customFormat="false" ht="17.15" hidden="false" customHeight="false" outlineLevel="0" collapsed="false">
      <c r="A5624" s="0" t="s">
        <v>959</v>
      </c>
      <c r="B5624" s="0" t="s">
        <v>95</v>
      </c>
      <c r="F5624" s="6" t="n">
        <f aca="false">Sens!F5622-Sens!F5618-Sens!F5623</f>
        <v>6.14543785903161</v>
      </c>
      <c r="G5624" s="6" t="n">
        <f aca="false">Sens!G5622-Sens!G5618-Sens!G5623</f>
        <v>6.08058854101739</v>
      </c>
      <c r="H5624" s="6" t="n">
        <f aca="false">Sens!H5622-Sens!H5618-Sens!H5623</f>
        <v>6.07152012587238</v>
      </c>
      <c r="I5624" s="6" t="n">
        <f aca="false">Sens!I5622-Sens!I5618-Sens!I5623</f>
        <v>6.11601404422824</v>
      </c>
      <c r="J5624" s="6" t="n">
        <f aca="false">Sens!J5622-Sens!J5618-Sens!J5623</f>
        <v>6.21107833575717</v>
      </c>
      <c r="K5624" s="6" t="n">
        <f aca="false">Sens!K5622-Sens!K5618-Sens!K5623</f>
        <v>6.35390182552577</v>
      </c>
    </row>
    <row r="5625" customFormat="false" ht="17.15" hidden="false" customHeight="false" outlineLevel="0" collapsed="false">
      <c r="A5625" s="1" t="s">
        <v>960</v>
      </c>
      <c r="B5625" s="0" t="s">
        <v>95</v>
      </c>
      <c r="C5625" s="6" t="n">
        <f aca="false">(w_ntm28*Sens!G5619+(1-w_ntm28)*Sens!H5619)*m_ai*1</f>
        <v>454.922440830797</v>
      </c>
    </row>
    <row r="5626" customFormat="false" ht="17.15" hidden="false" customHeight="false" outlineLevel="0" collapsed="false">
      <c r="A5626" s="1" t="s">
        <v>961</v>
      </c>
      <c r="B5626" s="0" t="s">
        <v>95</v>
      </c>
      <c r="C5626" s="6" t="n">
        <f aca="false">(w_ntm28*Sens!G5621+(1-w_ntm28)*Sens!H5621)*m_cloud*1</f>
        <v>794.747557297623</v>
      </c>
    </row>
    <row r="5627" customFormat="false" ht="17.15" hidden="false" customHeight="false" outlineLevel="0" collapsed="false">
      <c r="A5627" s="1" t="s">
        <v>962</v>
      </c>
      <c r="B5627" s="0" t="s">
        <v>95</v>
      </c>
      <c r="C5627" s="6" t="n">
        <f aca="false">(w_ntm28*Sens!G5614+(1-w_ntm28)*Sens!H5614)*m_sw*1</f>
        <v>987.686513180506</v>
      </c>
    </row>
    <row r="5628" customFormat="false" ht="17.15" hidden="false" customHeight="false" outlineLevel="0" collapsed="false">
      <c r="A5628" s="1" t="s">
        <v>963</v>
      </c>
      <c r="B5628" s="0" t="s">
        <v>95</v>
      </c>
      <c r="C5628" s="6" t="n">
        <f aca="false">(w_ntm28*Sens!G5615+(1-w_ntm28)*Sens!H5615)*m_sw*1</f>
        <v>363.106330144403</v>
      </c>
    </row>
    <row r="5629" customFormat="false" ht="17.15" hidden="false" customHeight="false" outlineLevel="0" collapsed="false">
      <c r="A5629" s="1" t="s">
        <v>964</v>
      </c>
      <c r="B5629" s="0" t="s">
        <v>95</v>
      </c>
      <c r="C5629" s="6" t="n">
        <f aca="false">(w_ntm28*Sens!G5616+(1-w_ntm28)*Sens!H5616)*m_sw*1</f>
        <v>99.2819588152787</v>
      </c>
    </row>
    <row r="5630" customFormat="false" ht="17.15" hidden="false" customHeight="false" outlineLevel="0" collapsed="false">
      <c r="A5630" s="1" t="s">
        <v>965</v>
      </c>
      <c r="B5630" s="0" t="s">
        <v>95</v>
      </c>
      <c r="C5630" s="6" t="n">
        <f aca="false">(w_ntm28*Sens!G5617+(1-w_ntm28)*Sens!H5617)*m_sw*1</f>
        <v>37.8778053126674</v>
      </c>
    </row>
    <row r="5631" customFormat="false" ht="17.15" hidden="false" customHeight="false" outlineLevel="0" collapsed="false">
      <c r="A5631" s="1" t="s">
        <v>966</v>
      </c>
      <c r="B5631" s="0" t="s">
        <v>95</v>
      </c>
      <c r="C5631" s="6" t="n">
        <f aca="false">(w_ntm28*Sens!G5618+(1-w_ntm28)*Sens!H5618)*m_ads*1</f>
        <v>104.656888114217</v>
      </c>
    </row>
    <row r="5632" customFormat="false" ht="17.15" hidden="false" customHeight="false" outlineLevel="0" collapsed="false">
      <c r="A5632" s="1" t="s">
        <v>967</v>
      </c>
      <c r="B5632" s="0" t="s">
        <v>95</v>
      </c>
      <c r="C5632" s="6" t="n">
        <f aca="false">(w_ntm28*Sens!G5623+(1-w_ntm28)*Sens!H5623)*m_game*1</f>
        <v>88.704746884354</v>
      </c>
    </row>
    <row r="5633" customFormat="false" ht="17.15" hidden="false" customHeight="false" outlineLevel="0" collapsed="false">
      <c r="A5633" s="1" t="s">
        <v>968</v>
      </c>
      <c r="B5633" s="0" t="s">
        <v>95</v>
      </c>
      <c r="C5633" s="6" t="n">
        <f aca="false">(w_ntm28*Sens!G5624+(1-w_ntm28)*Sens!H5624)*m_pc*1</f>
        <v>87.943694390923</v>
      </c>
    </row>
    <row r="5634" customFormat="false" ht="17.15" hidden="false" customHeight="false" outlineLevel="0" collapsed="false">
      <c r="A5634" s="1" t="s">
        <v>969</v>
      </c>
      <c r="B5634" s="0" t="s">
        <v>95</v>
      </c>
      <c r="C5634" s="6" t="n">
        <f aca="false">Sens!$C$5625+Sens!$C$5626+Sens!$C$5627+Sens!$C$5628+Sens!$C$5629+Sens!$C$5630+Sens!$C$5631+Sens!$C$5632+Sens!$C$5633</f>
        <v>3018.92793497077</v>
      </c>
    </row>
    <row r="5635" customFormat="false" ht="17.15" hidden="false" customHeight="false" outlineLevel="0" collapsed="false">
      <c r="A5635" s="1" t="s">
        <v>903</v>
      </c>
      <c r="B5635" s="0" t="s">
        <v>95</v>
      </c>
      <c r="C5635" s="6" t="n">
        <f aca="false">Sens!F5592+oai_v-Sens!F5581</f>
        <v>109.565656694217</v>
      </c>
      <c r="L5635" s="1" t="s">
        <v>970</v>
      </c>
    </row>
    <row r="5636" customFormat="false" ht="15" hidden="false" customHeight="false" outlineLevel="0" collapsed="false">
      <c r="A5636" s="1" t="s">
        <v>904</v>
      </c>
      <c r="B5636" s="0" t="s">
        <v>73</v>
      </c>
      <c r="C5636" s="5" t="n">
        <f aca="false">(Sens!$C$5634+Sens!$C$5635)/Sens!F5594</f>
        <v>418.695609162873</v>
      </c>
    </row>
    <row r="5637" customFormat="false" ht="17.15" hidden="false" customHeight="false" outlineLevel="0" collapsed="false">
      <c r="A5637" s="1" t="s">
        <v>971</v>
      </c>
      <c r="B5637" s="0" t="s">
        <v>73</v>
      </c>
      <c r="C5637" s="5" t="n">
        <f aca="false">w_dcf*Sens!$C$5612+(1-w_dcf)*Sens!$C$5636</f>
        <v>325.170549877366</v>
      </c>
    </row>
    <row r="5638" customFormat="false" ht="17.15" hidden="false" customHeight="false" outlineLevel="0" collapsed="false">
      <c r="A5638" s="3" t="s">
        <v>1274</v>
      </c>
    </row>
    <row r="5639" customFormat="false" ht="15" hidden="false" customHeight="false" outlineLevel="0" collapsed="false">
      <c r="A5639" s="4" t="s">
        <v>43</v>
      </c>
      <c r="B5639" s="4" t="s">
        <v>63</v>
      </c>
      <c r="C5639" s="19" t="s">
        <v>710</v>
      </c>
      <c r="D5639" s="19" t="s">
        <v>711</v>
      </c>
      <c r="E5639" s="19" t="s">
        <v>712</v>
      </c>
      <c r="F5639" s="19" t="s">
        <v>713</v>
      </c>
      <c r="G5639" s="19" t="s">
        <v>714</v>
      </c>
      <c r="H5639" s="19" t="s">
        <v>715</v>
      </c>
      <c r="I5639" s="19" t="s">
        <v>716</v>
      </c>
      <c r="J5639" s="19" t="s">
        <v>717</v>
      </c>
      <c r="K5639" s="19" t="s">
        <v>718</v>
      </c>
      <c r="L5639" s="4" t="s">
        <v>47</v>
      </c>
    </row>
    <row r="5640" customFormat="false" ht="17.15" hidden="false" customHeight="false" outlineLevel="0" collapsed="false">
      <c r="A5640" s="1" t="s">
        <v>719</v>
      </c>
      <c r="B5640" s="0" t="s">
        <v>340</v>
      </c>
      <c r="C5640" s="27" t="n">
        <f aca="false">mw_ext_24</f>
        <v>640</v>
      </c>
      <c r="D5640" s="27" t="n">
        <f aca="false">mw_ext_25</f>
        <v>1630</v>
      </c>
      <c r="E5640" s="27" t="n">
        <f aca="false">mw_ext_26</f>
        <v>3250</v>
      </c>
      <c r="F5640" s="27" t="n">
        <f aca="false">MIN(1000000000,Sens!E5640+pace)</f>
        <v>5777.2</v>
      </c>
      <c r="G5640" s="27" t="n">
        <f aca="false">MIN(1000000000,Sens!F5640+pace)</f>
        <v>8304.4</v>
      </c>
      <c r="H5640" s="27" t="n">
        <f aca="false">MIN(1000000000,Sens!G5640+pace)</f>
        <v>10831.6</v>
      </c>
      <c r="I5640" s="27" t="n">
        <f aca="false">MIN(1000000000,Sens!H5640+pace)</f>
        <v>13358.8</v>
      </c>
      <c r="J5640" s="27" t="n">
        <f aca="false">MIN(1000000000,Sens!I5640+pace)</f>
        <v>15886</v>
      </c>
      <c r="K5640" s="27" t="n">
        <f aca="false">MIN(1000000000,Sens!J5640+pace)</f>
        <v>18413.2</v>
      </c>
      <c r="L5640" s="11" t="s">
        <v>720</v>
      </c>
    </row>
    <row r="5641" customFormat="false" ht="17.15" hidden="false" customHeight="false" outlineLevel="0" collapsed="false">
      <c r="A5641" s="1" t="s">
        <v>721</v>
      </c>
      <c r="B5641" s="0" t="s">
        <v>340</v>
      </c>
      <c r="C5641" s="27" t="n">
        <f aca="false">rent_ext_24</f>
        <v>150</v>
      </c>
      <c r="D5641" s="27" t="n">
        <f aca="false">rent_ext_25</f>
        <v>400</v>
      </c>
      <c r="E5641" s="27" t="n">
        <f aca="false">rent_ext_26</f>
        <v>550</v>
      </c>
      <c r="F5641" s="27" t="n">
        <f aca="false">rent_ext_f</f>
        <v>756</v>
      </c>
      <c r="G5641" s="27" t="n">
        <f aca="false">rent_ext_f</f>
        <v>756</v>
      </c>
      <c r="H5641" s="27" t="n">
        <f aca="false">rent_ext_f</f>
        <v>756</v>
      </c>
      <c r="I5641" s="27" t="n">
        <f aca="false">rent_ext_f</f>
        <v>756</v>
      </c>
      <c r="J5641" s="27" t="n">
        <f aca="false">rent_ext_f</f>
        <v>756</v>
      </c>
      <c r="K5641" s="27" t="n">
        <f aca="false">rent_ext_f</f>
        <v>756</v>
      </c>
      <c r="L5641" s="1" t="s">
        <v>722</v>
      </c>
    </row>
    <row r="5642" customFormat="false" ht="17.15" hidden="false" customHeight="false" outlineLevel="0" collapsed="false">
      <c r="A5642" s="1" t="s">
        <v>723</v>
      </c>
      <c r="B5642" s="0" t="s">
        <v>340</v>
      </c>
      <c r="C5642" s="27" t="n">
        <f aca="false">Sens!C5640-Sens!C5641</f>
        <v>490</v>
      </c>
      <c r="D5642" s="27" t="n">
        <f aca="false">Sens!D5640-Sens!D5641</f>
        <v>1230</v>
      </c>
      <c r="E5642" s="27" t="n">
        <f aca="false">Sens!E5640-Sens!E5641</f>
        <v>2700</v>
      </c>
      <c r="F5642" s="27" t="n">
        <f aca="false">Sens!F5640-Sens!F5641</f>
        <v>5021.2</v>
      </c>
      <c r="G5642" s="27" t="n">
        <f aca="false">Sens!G5640-Sens!G5641</f>
        <v>7548.4</v>
      </c>
      <c r="H5642" s="27" t="n">
        <f aca="false">Sens!H5640-Sens!H5641</f>
        <v>10075.6</v>
      </c>
      <c r="I5642" s="27" t="n">
        <f aca="false">Sens!I5640-Sens!I5641</f>
        <v>12602.8</v>
      </c>
      <c r="J5642" s="27" t="n">
        <f aca="false">Sens!J5640-Sens!J5641</f>
        <v>15130</v>
      </c>
      <c r="K5642" s="27" t="n">
        <f aca="false">Sens!K5640-Sens!K5641</f>
        <v>17657.2</v>
      </c>
    </row>
    <row r="5643" customFormat="false" ht="17.15" hidden="false" customHeight="false" outlineLevel="0" collapsed="false">
      <c r="A5643" s="1" t="s">
        <v>724</v>
      </c>
      <c r="B5643" s="0" t="s">
        <v>340</v>
      </c>
      <c r="C5643" s="27" t="n">
        <f aca="false">Sens!C5642/ext_sh</f>
        <v>816.666666666667</v>
      </c>
      <c r="D5643" s="27" t="n">
        <f aca="false">Sens!D5642/ext_sh</f>
        <v>2050</v>
      </c>
      <c r="E5643" s="27" t="n">
        <f aca="false">Sens!E5642/ext_sh</f>
        <v>4500</v>
      </c>
      <c r="F5643" s="27" t="n">
        <f aca="false">Sens!F5642/ext_sh</f>
        <v>8368.66666666667</v>
      </c>
      <c r="G5643" s="27" t="n">
        <f aca="false">Sens!G5642/ext_sh</f>
        <v>12580.6666666667</v>
      </c>
      <c r="H5643" s="27" t="n">
        <f aca="false">Sens!H5642/ext_sh</f>
        <v>16792.6666666667</v>
      </c>
      <c r="I5643" s="27" t="n">
        <f aca="false">Sens!I5642/ext_sh</f>
        <v>21004.6666666667</v>
      </c>
      <c r="J5643" s="27" t="n">
        <f aca="false">Sens!J5642/ext_sh</f>
        <v>25216.6666666667</v>
      </c>
      <c r="K5643" s="27" t="n">
        <f aca="false">Sens!K5642/ext_sh</f>
        <v>29428.6666666667</v>
      </c>
      <c r="L5643" s="1" t="s">
        <v>725</v>
      </c>
    </row>
    <row r="5644" customFormat="false" ht="17.15" hidden="false" customHeight="false" outlineLevel="0" collapsed="false">
      <c r="A5644" s="1" t="s">
        <v>726</v>
      </c>
      <c r="B5644" s="0" t="s">
        <v>340</v>
      </c>
      <c r="C5644" s="27" t="n">
        <f aca="false">Sens!C5643-Sens!C5642</f>
        <v>326.666666666667</v>
      </c>
      <c r="D5644" s="27" t="n">
        <f aca="false">Sens!D5643-Sens!D5642</f>
        <v>820</v>
      </c>
      <c r="E5644" s="27" t="n">
        <f aca="false">Sens!E5643-Sens!E5642</f>
        <v>1800</v>
      </c>
      <c r="F5644" s="27" t="n">
        <f aca="false">Sens!F5643-Sens!F5642</f>
        <v>3347.46666666667</v>
      </c>
      <c r="G5644" s="27" t="n">
        <f aca="false">Sens!G5643-Sens!G5642</f>
        <v>5032.26666666667</v>
      </c>
      <c r="H5644" s="27" t="n">
        <f aca="false">Sens!H5643-Sens!H5642</f>
        <v>6717.06666666667</v>
      </c>
      <c r="I5644" s="27" t="n">
        <f aca="false">Sens!I5643-Sens!I5642</f>
        <v>8401.86666666667</v>
      </c>
      <c r="J5644" s="27" t="n">
        <f aca="false">Sens!J5643-Sens!J5642</f>
        <v>10086.6666666667</v>
      </c>
      <c r="K5644" s="27" t="n">
        <f aca="false">Sens!K5643-Sens!K5642</f>
        <v>11771.4666666667</v>
      </c>
    </row>
    <row r="5645" customFormat="false" ht="17.15" hidden="false" customHeight="false" outlineLevel="0" collapsed="false">
      <c r="A5645" s="1" t="s">
        <v>727</v>
      </c>
      <c r="B5645" s="0" t="s">
        <v>340</v>
      </c>
      <c r="C5645" s="27" t="n">
        <f aca="false">Sens!C5643</f>
        <v>816.666666666667</v>
      </c>
      <c r="D5645" s="27" t="n">
        <f aca="false">Sens!D5643-Sens!C5643</f>
        <v>1233.33333333333</v>
      </c>
      <c r="E5645" s="27" t="n">
        <f aca="false">Sens!E5643-Sens!D5643</f>
        <v>2450</v>
      </c>
      <c r="F5645" s="27" t="n">
        <f aca="false">Sens!F5643-Sens!E5643</f>
        <v>3868.66666666667</v>
      </c>
      <c r="G5645" s="27" t="n">
        <f aca="false">Sens!G5643-Sens!F5643</f>
        <v>4212</v>
      </c>
      <c r="H5645" s="27" t="n">
        <f aca="false">Sens!H5643-Sens!G5643</f>
        <v>4212</v>
      </c>
      <c r="I5645" s="27" t="n">
        <f aca="false">Sens!I5643-Sens!H5643</f>
        <v>4212</v>
      </c>
      <c r="J5645" s="27" t="n">
        <f aca="false">Sens!J5643-Sens!I5643</f>
        <v>4212</v>
      </c>
      <c r="K5645" s="27" t="n">
        <f aca="false">Sens!K5643-Sens!J5643</f>
        <v>4212</v>
      </c>
    </row>
    <row r="5646" customFormat="false" ht="17.15" hidden="false" customHeight="false" outlineLevel="0" collapsed="false">
      <c r="A5646" s="1" t="s">
        <v>728</v>
      </c>
      <c r="B5646" s="0" t="s">
        <v>340</v>
      </c>
      <c r="D5646" s="27" t="n">
        <f aca="false">Sens!D5640-Sens!C5640</f>
        <v>990</v>
      </c>
      <c r="E5646" s="27" t="n">
        <f aca="false">Sens!E5640-Sens!D5640</f>
        <v>1620</v>
      </c>
      <c r="F5646" s="27" t="n">
        <f aca="false">Sens!F5640-Sens!E5640</f>
        <v>2527.2</v>
      </c>
      <c r="G5646" s="27" t="n">
        <f aca="false">Sens!G5640-Sens!F5640</f>
        <v>2527.2</v>
      </c>
      <c r="H5646" s="27" t="n">
        <f aca="false">Sens!H5640-Sens!G5640</f>
        <v>2527.2</v>
      </c>
      <c r="I5646" s="27" t="n">
        <f aca="false">Sens!I5640-Sens!H5640</f>
        <v>2527.2</v>
      </c>
      <c r="J5646" s="27" t="n">
        <f aca="false">Sens!J5640-Sens!I5640</f>
        <v>2527.2</v>
      </c>
      <c r="K5646" s="27" t="n">
        <f aca="false">Sens!K5640-Sens!J5640</f>
        <v>2527.2</v>
      </c>
    </row>
    <row r="5647" customFormat="false" ht="17.15" hidden="false" customHeight="false" outlineLevel="0" collapsed="false">
      <c r="A5647" s="1" t="s">
        <v>729</v>
      </c>
      <c r="B5647" s="0" t="s">
        <v>340</v>
      </c>
      <c r="C5647" s="27" t="n">
        <f aca="false">mix_h*Sens!C5640</f>
        <v>128</v>
      </c>
      <c r="D5647" s="27" t="n">
        <f aca="false">mix_h*Sens!D5640</f>
        <v>326</v>
      </c>
      <c r="E5647" s="27" t="n">
        <f aca="false">mix_h*Sens!E5640</f>
        <v>650</v>
      </c>
      <c r="F5647" s="27" t="n">
        <f aca="false">Sens!E5647</f>
        <v>650</v>
      </c>
      <c r="G5647" s="27" t="n">
        <f aca="false">Sens!F5647</f>
        <v>650</v>
      </c>
      <c r="H5647" s="27" t="n">
        <f aca="false">Sens!G5647</f>
        <v>650</v>
      </c>
      <c r="I5647" s="27" t="n">
        <f aca="false">Sens!H5647</f>
        <v>650</v>
      </c>
      <c r="J5647" s="27" t="n">
        <f aca="false">Sens!I5647</f>
        <v>650</v>
      </c>
      <c r="K5647" s="27" t="n">
        <f aca="false">Sens!J5647</f>
        <v>650</v>
      </c>
    </row>
    <row r="5648" customFormat="false" ht="17.15" hidden="false" customHeight="false" outlineLevel="0" collapsed="false">
      <c r="A5648" s="1" t="s">
        <v>730</v>
      </c>
      <c r="B5648" s="0" t="s">
        <v>340</v>
      </c>
      <c r="C5648" s="27" t="n">
        <f aca="false">mix_g2*Sens!C5640</f>
        <v>288</v>
      </c>
      <c r="D5648" s="27" t="n">
        <f aca="false">mix_g2*Sens!D5640</f>
        <v>733.5</v>
      </c>
      <c r="E5648" s="27" t="n">
        <f aca="false">mix_g2*Sens!E5640</f>
        <v>1462.5</v>
      </c>
      <c r="F5648" s="27" t="n">
        <f aca="false">Sens!E5648</f>
        <v>1462.5</v>
      </c>
      <c r="G5648" s="27" t="n">
        <f aca="false">Sens!F5648</f>
        <v>1462.5</v>
      </c>
      <c r="H5648" s="27" t="n">
        <f aca="false">Sens!G5648</f>
        <v>1462.5</v>
      </c>
      <c r="I5648" s="27" t="n">
        <f aca="false">Sens!H5648</f>
        <v>1462.5</v>
      </c>
      <c r="J5648" s="27" t="n">
        <f aca="false">Sens!I5648</f>
        <v>1462.5</v>
      </c>
      <c r="K5648" s="27" t="n">
        <f aca="false">Sens!J5648</f>
        <v>1462.5</v>
      </c>
    </row>
    <row r="5649" customFormat="false" ht="17.15" hidden="false" customHeight="false" outlineLevel="0" collapsed="false">
      <c r="A5649" s="1" t="s">
        <v>731</v>
      </c>
      <c r="B5649" s="0" t="s">
        <v>340</v>
      </c>
      <c r="C5649" s="27" t="n">
        <f aca="false">mix_g3*Sens!C5640</f>
        <v>224</v>
      </c>
      <c r="D5649" s="27" t="n">
        <f aca="false">mix_g3*Sens!D5640</f>
        <v>570.5</v>
      </c>
      <c r="E5649" s="27" t="n">
        <f aca="false">mix_g3*Sens!E5640</f>
        <v>1137.5</v>
      </c>
      <c r="F5649" s="27" t="n">
        <f aca="false">Sens!E5649+Sens!F5646*a_g3_27</f>
        <v>2906.54</v>
      </c>
      <c r="G5649" s="27" t="n">
        <f aca="false">Sens!F5649+Sens!G5646*a_g3_28</f>
        <v>3664.7</v>
      </c>
      <c r="H5649" s="27" t="n">
        <f aca="false">Sens!G5649+Sens!H5646*a_g3_29</f>
        <v>3917.42</v>
      </c>
      <c r="I5649" s="27" t="n">
        <f aca="false">Sens!H5649+Sens!I5646*a_g3_29</f>
        <v>4170.14</v>
      </c>
      <c r="J5649" s="27" t="n">
        <f aca="false">Sens!I5649+Sens!J5646*a_g3_29</f>
        <v>4422.86</v>
      </c>
      <c r="K5649" s="27" t="n">
        <f aca="false">Sens!J5649+Sens!K5646*a_g3_29</f>
        <v>4675.58</v>
      </c>
    </row>
    <row r="5650" customFormat="false" ht="17.15" hidden="false" customHeight="false" outlineLevel="0" collapsed="false">
      <c r="A5650" s="1" t="s">
        <v>732</v>
      </c>
      <c r="B5650" s="0" t="s">
        <v>340</v>
      </c>
      <c r="C5650" s="27" t="n">
        <f aca="false">0</f>
        <v>0</v>
      </c>
      <c r="D5650" s="27" t="n">
        <f aca="false">0</f>
        <v>0</v>
      </c>
      <c r="E5650" s="27" t="n">
        <f aca="false">0</f>
        <v>0</v>
      </c>
      <c r="F5650" s="27" t="n">
        <f aca="false">Sens!E5650+Sens!F5646*(1-a_g3_27)</f>
        <v>758.16</v>
      </c>
      <c r="G5650" s="27" t="n">
        <f aca="false">Sens!F5650+Sens!G5646*(1-a_g3_28)</f>
        <v>2527.2</v>
      </c>
      <c r="H5650" s="27" t="n">
        <f aca="false">Sens!G5650+Sens!H5646*(1-a_g3_29)</f>
        <v>4801.68</v>
      </c>
      <c r="I5650" s="27" t="n">
        <f aca="false">Sens!H5650+Sens!I5646*(1-a_g3_29)</f>
        <v>7076.16</v>
      </c>
      <c r="J5650" s="27" t="n">
        <f aca="false">Sens!I5650+Sens!J5646*(1-a_g3_29)</f>
        <v>9350.64</v>
      </c>
      <c r="K5650" s="27" t="n">
        <f aca="false">Sens!J5650+Sens!K5646*(1-a_g3_29)</f>
        <v>11625.12</v>
      </c>
    </row>
    <row r="5651" customFormat="false" ht="17.15" hidden="false" customHeight="false" outlineLevel="0" collapsed="false">
      <c r="A5651" s="1" t="s">
        <v>733</v>
      </c>
      <c r="B5651" s="0" t="s">
        <v>291</v>
      </c>
      <c r="C5651" s="18" t="n">
        <f aca="false">(Sens!C5647*tk_hold_h100+Sens!C5648*tk_hold_gb200+Sens!C5649*tk_hold_gb300+Sens!C5650*tk_hold_vr200)/Sens!C5640</f>
        <v>9.7235358126469</v>
      </c>
      <c r="D5651" s="18" t="n">
        <f aca="false">(Sens!D5647*tk_hold_h100+Sens!D5648*tk_hold_gb200+Sens!D5649*tk_hold_gb300+Sens!D5650*tk_hold_vr200)/Sens!D5640</f>
        <v>9.7235358126469</v>
      </c>
      <c r="E5651" s="18" t="n">
        <f aca="false">(Sens!E5647*tk_hold_h100+Sens!E5648*tk_hold_gb200+Sens!E5649*tk_hold_gb300+Sens!E5650*tk_hold_vr200)/Sens!E5640</f>
        <v>9.7235358126469</v>
      </c>
      <c r="F5651" s="18" t="n">
        <f aca="false">(Sens!F5647*tk_hold_h100+Sens!F5648*tk_hold_gb200+Sens!F5649*tk_hold_gb300+Sens!F5650*tk_hold_vr200)/Sens!F5640</f>
        <v>10.4079573161931</v>
      </c>
      <c r="G5651" s="18" t="n">
        <f aca="false">(Sens!G5647*tk_hold_h100+Sens!G5648*tk_hold_gb200+Sens!G5649*tk_hold_gb300+Sens!G5650*tk_hold_vr200)/Sens!G5640</f>
        <v>10.8388131109316</v>
      </c>
      <c r="H5651" s="18" t="n">
        <f aca="false">(Sens!H5647*tk_hold_h100+Sens!H5648*tk_hold_gb200+Sens!H5649*tk_hold_gb300+Sens!H5650*tk_hold_vr200)/Sens!H5640</f>
        <v>11.1311018388216</v>
      </c>
      <c r="I5651" s="18" t="n">
        <f aca="false">(Sens!I5647*tk_hold_h100+Sens!I5648*tk_hold_gb200+Sens!I5649*tk_hold_gb300+Sens!I5650*tk_hold_vr200)/Sens!I5640</f>
        <v>11.3128009818501</v>
      </c>
      <c r="J5651" s="18" t="n">
        <f aca="false">(Sens!J5647*tk_hold_h100+Sens!J5648*tk_hold_gb200+Sens!J5649*tk_hold_gb300+Sens!J5650*tk_hold_vr200)/Sens!J5640</f>
        <v>11.4366894646418</v>
      </c>
      <c r="K5651" s="18" t="n">
        <f aca="false">(Sens!K5647*tk_hold_h100+Sens!K5648*tk_hold_gb200+Sens!K5649*tk_hold_gb300+Sens!K5650*tk_hold_vr200)/Sens!K5640</f>
        <v>11.526570716348</v>
      </c>
    </row>
    <row r="5652" customFormat="false" ht="17.15" hidden="false" customHeight="false" outlineLevel="0" collapsed="false">
      <c r="A5652" s="0" t="s">
        <v>734</v>
      </c>
      <c r="B5652" s="0" t="s">
        <v>182</v>
      </c>
      <c r="C5652" s="18" t="n">
        <f aca="false">k_B</f>
        <v>1.17213932619116</v>
      </c>
      <c r="D5652" s="18" t="n">
        <f aca="false">k_B</f>
        <v>1.17213932619116</v>
      </c>
      <c r="E5652" s="18" t="n">
        <f aca="false">k_B</f>
        <v>1.17213932619116</v>
      </c>
      <c r="F5652" s="18" t="n">
        <f aca="false">(k_B+((ls_C*k_long+(1-ls_C)*k_spot)-k_B)*MIN(1,1/3))*1</f>
        <v>1.07843258004497</v>
      </c>
      <c r="G5652" s="18" t="n">
        <f aca="false">(k_B+((ls_C*k_long+(1-ls_C)*k_spot)-k_B)*MIN(1,2/3))*1</f>
        <v>0.984725833898784</v>
      </c>
      <c r="H5652" s="18" t="n">
        <f aca="false">(k_B+((ls_C*k_long+(1-ls_C)*k_spot)-k_B)*MIN(1,3/3))*1</f>
        <v>0.891019087752599</v>
      </c>
      <c r="I5652" s="18" t="n">
        <f aca="false">(k_B+((ls_C*k_long+(1-ls_C)*k_spot)-k_B)*MIN(1,4/3))*1</f>
        <v>0.891019087752599</v>
      </c>
      <c r="J5652" s="18" t="n">
        <f aca="false">(k_B+((ls_C*k_long+(1-ls_C)*k_spot)-k_B)*MIN(1,5/3))*1</f>
        <v>0.891019087752599</v>
      </c>
      <c r="K5652" s="18" t="n">
        <f aca="false">(k_B+((ls_C*k_long+(1-ls_C)*k_spot)-k_B)*MIN(1,6/3))*1</f>
        <v>0.891019087752599</v>
      </c>
      <c r="L5652" s="1" t="s">
        <v>735</v>
      </c>
    </row>
    <row r="5653" customFormat="false" ht="17.15" hidden="false" customHeight="false" outlineLevel="0" collapsed="false">
      <c r="A5653" s="1" t="s">
        <v>736</v>
      </c>
      <c r="B5653" s="0" t="s">
        <v>291</v>
      </c>
      <c r="C5653" s="18" t="n">
        <f aca="false">Sens!C5651*Sens!C5652*chip_f</f>
        <v>11.3973387156315</v>
      </c>
      <c r="D5653" s="18" t="n">
        <f aca="false">Sens!D5651*Sens!D5652*chip_f</f>
        <v>11.3973387156315</v>
      </c>
      <c r="E5653" s="18" t="n">
        <f aca="false">Sens!E5651*Sens!E5652*chip_f</f>
        <v>11.3973387156315</v>
      </c>
      <c r="F5653" s="18" t="n">
        <f aca="false">Sens!F5651*Sens!F5652*chip_f</f>
        <v>11.2242802615</v>
      </c>
      <c r="G5653" s="18" t="n">
        <f aca="false">Sens!G5651*Sens!G5652*chip_f</f>
        <v>10.6732592791352</v>
      </c>
      <c r="H5653" s="18" t="n">
        <f aca="false">Sens!H5651*Sens!H5652*chip_f</f>
        <v>9.91802420610807</v>
      </c>
      <c r="I5653" s="18" t="n">
        <f aca="false">Sens!I5651*Sens!I5652*chip_f</f>
        <v>10.0799216107748</v>
      </c>
      <c r="J5653" s="18" t="n">
        <f aca="false">Sens!J5651*Sens!J5652*chip_f</f>
        <v>10.1903086136949</v>
      </c>
      <c r="K5653" s="18" t="n">
        <f aca="false">Sens!K5651*Sens!K5652*chip_f</f>
        <v>10.2703945245962</v>
      </c>
      <c r="L5653" s="1" t="s">
        <v>737</v>
      </c>
    </row>
    <row r="5654" customFormat="false" ht="17.15" hidden="false" customHeight="false" outlineLevel="0" collapsed="false">
      <c r="A5654" s="0" t="s">
        <v>738</v>
      </c>
      <c r="B5654" s="0" t="s">
        <v>95</v>
      </c>
      <c r="D5654" s="6" t="n">
        <f aca="false">(Sens!C5640+Sens!D5640)/2*Sens!D5653/1000</f>
        <v>12.9359794422418</v>
      </c>
      <c r="E5654" s="6" t="n">
        <f aca="false">(Sens!D5640+Sens!E5640)/2*Sens!E5653/1000</f>
        <v>27.8095064661409</v>
      </c>
      <c r="F5654" s="6" t="n">
        <f aca="false">(Sens!E5640+Sens!F5640)/2*Sens!F5653/1000</f>
        <v>50.6619113883066</v>
      </c>
      <c r="G5654" s="6" t="n">
        <f aca="false">(Sens!F5640+Sens!G5640)/2*Sens!G5653/1000</f>
        <v>75.1482839325348</v>
      </c>
      <c r="H5654" s="6" t="n">
        <f aca="false">(Sens!G5640+Sens!H5640)/2*Sens!H5653/1000</f>
        <v>94.895655604042</v>
      </c>
      <c r="I5654" s="6" t="n">
        <f aca="false">(Sens!H5640+Sens!I5640)/2*Sens!I5653/1000</f>
        <v>121.918667866643</v>
      </c>
      <c r="J5654" s="6" t="n">
        <f aca="false">(Sens!I5640+Sens!J5640)/2*Sens!J5653/1000</f>
        <v>149.006768672892</v>
      </c>
      <c r="K5654" s="6" t="n">
        <f aca="false">(Sens!J5640+Sens!K5640)/2*Sens!K5653/1000</f>
        <v>176.133157939015</v>
      </c>
      <c r="L5654" s="11" t="s">
        <v>739</v>
      </c>
    </row>
    <row r="5655" customFormat="false" ht="17.15" hidden="false" customHeight="false" outlineLevel="0" collapsed="false">
      <c r="A5655" s="1" t="s">
        <v>740</v>
      </c>
      <c r="B5655" s="0" t="s">
        <v>291</v>
      </c>
      <c r="C5655" s="18" t="n">
        <f aca="false">(Sens!C5647*tk_opex_h100+Sens!C5648*tk_opex_gb200+Sens!C5649*tk_opex_gb300+Sens!C5650*tk_opex_vr200)/Sens!C5640</f>
        <v>1.88636041306092</v>
      </c>
      <c r="D5655" s="18" t="n">
        <f aca="false">(Sens!D5647*tk_opex_h100+Sens!D5648*tk_opex_gb200+Sens!D5649*tk_opex_gb300+Sens!D5650*tk_opex_vr200)/Sens!D5640</f>
        <v>1.88636041306092</v>
      </c>
      <c r="E5655" s="18" t="n">
        <f aca="false">(Sens!E5647*tk_opex_h100+Sens!E5648*tk_opex_gb200+Sens!E5649*tk_opex_gb300+Sens!E5650*tk_opex_vr200)/Sens!E5640</f>
        <v>1.88636041306092</v>
      </c>
      <c r="F5655" s="18" t="n">
        <f aca="false">(Sens!F5647*tk_opex_h100+Sens!F5648*tk_opex_gb200+Sens!F5649*tk_opex_gb300+Sens!F5650*tk_opex_vr200)/Sens!F5640</f>
        <v>1.9430236476499</v>
      </c>
      <c r="G5655" s="18" t="n">
        <f aca="false">(Sens!G5647*tk_opex_h100+Sens!G5648*tk_opex_gb200+Sens!G5649*tk_opex_gb300+Sens!G5650*tk_opex_vr200)/Sens!G5640</f>
        <v>1.9786941852423</v>
      </c>
      <c r="H5655" s="18" t="n">
        <f aca="false">(Sens!H5647*tk_opex_h100+Sens!H5648*tk_opex_gb200+Sens!H5649*tk_opex_gb300+Sens!H5650*tk_opex_vr200)/Sens!H5640</f>
        <v>2.00289275976156</v>
      </c>
      <c r="I5655" s="18" t="n">
        <f aca="false">(Sens!I5647*tk_opex_h100+Sens!I5648*tk_opex_gb200+Sens!I5649*tk_opex_gb300+Sens!I5650*tk_opex_vr200)/Sens!I5640</f>
        <v>2.01793562605478</v>
      </c>
      <c r="J5655" s="18" t="n">
        <f aca="false">(Sens!J5647*tk_opex_h100+Sens!J5648*tk_opex_gb200+Sens!J5649*tk_opex_gb300+Sens!J5650*tk_opex_vr200)/Sens!J5640</f>
        <v>2.02819234961902</v>
      </c>
      <c r="K5655" s="18" t="n">
        <f aca="false">(Sens!K5647*tk_opex_h100+Sens!K5648*tk_opex_gb200+Sens!K5649*tk_opex_gb300+Sens!K5650*tk_opex_vr200)/Sens!K5640</f>
        <v>2.0356336155994</v>
      </c>
    </row>
    <row r="5656" customFormat="false" ht="17.15" hidden="false" customHeight="false" outlineLevel="0" collapsed="false">
      <c r="A5656" s="0" t="s">
        <v>741</v>
      </c>
      <c r="B5656" s="0" t="s">
        <v>95</v>
      </c>
      <c r="D5656" s="6" t="n">
        <f aca="false">(Sens!C5643+Sens!D5643)/2*Sens!D5655/1000</f>
        <v>2.70378325872065</v>
      </c>
      <c r="E5656" s="6" t="n">
        <f aca="false">(Sens!D5643+Sens!E5643)/2*Sens!E5655/1000</f>
        <v>6.17783035277451</v>
      </c>
      <c r="F5656" s="6" t="n">
        <f aca="false">(Sens!E5643+Sens!F5643)/2*Sens!F5655/1000</f>
        <v>12.5020618235287</v>
      </c>
      <c r="G5656" s="6" t="n">
        <f aca="false">(Sens!F5643+Sens!G5643)/2*Sens!G5655/1000</f>
        <v>20.7261620256847</v>
      </c>
      <c r="H5656" s="6" t="n">
        <f aca="false">(Sens!G5643+Sens!H5643)/2*Sens!H5655/1000</f>
        <v>29.4158183316982</v>
      </c>
      <c r="I5656" s="6" t="n">
        <f aca="false">(Sens!H5643+Sens!I5643)/2*Sens!I5655/1000</f>
        <v>38.1362927516005</v>
      </c>
      <c r="J5656" s="6" t="n">
        <f aca="false">(Sens!I5643+Sens!J5643)/2*Sens!J5655/1000</f>
        <v>46.8728773279286</v>
      </c>
      <c r="K5656" s="6" t="n">
        <f aca="false">(Sens!J5643+Sens!K5643)/2*Sens!K5655/1000</f>
        <v>55.618938734484</v>
      </c>
    </row>
    <row r="5657" customFormat="false" ht="17.15" hidden="false" customHeight="false" outlineLevel="0" collapsed="false">
      <c r="A5657" s="0" t="s">
        <v>742</v>
      </c>
      <c r="B5657" s="0" t="s">
        <v>95</v>
      </c>
      <c r="D5657" s="6" t="n">
        <f aca="false">(Sens!C5641+Sens!D5641)/2*rent_mw/1000</f>
        <v>2.44475</v>
      </c>
      <c r="E5657" s="6" t="n">
        <f aca="false">(Sens!D5641+Sens!E5641)/2*rent_mw/1000</f>
        <v>4.22275</v>
      </c>
      <c r="F5657" s="6" t="n">
        <f aca="false">(Sens!E5641+Sens!F5641)/2*rent_mw/1000</f>
        <v>5.80517</v>
      </c>
      <c r="G5657" s="6" t="n">
        <f aca="false">(Sens!F5641+Sens!G5641)/2*rent_mw/1000</f>
        <v>6.72084</v>
      </c>
      <c r="H5657" s="6" t="n">
        <f aca="false">(Sens!G5641+Sens!H5641)/2*rent_mw/1000</f>
        <v>6.72084</v>
      </c>
      <c r="I5657" s="6" t="n">
        <f aca="false">(Sens!H5641+Sens!I5641)/2*rent_mw/1000</f>
        <v>6.72084</v>
      </c>
      <c r="J5657" s="6" t="n">
        <f aca="false">(Sens!I5641+Sens!J5641)/2*rent_mw/1000</f>
        <v>6.72084</v>
      </c>
      <c r="K5657" s="6" t="n">
        <f aca="false">(Sens!J5641+Sens!K5641)/2*rent_mw/1000</f>
        <v>6.72084</v>
      </c>
    </row>
    <row r="5658" customFormat="false" ht="17.15" hidden="false" customHeight="false" outlineLevel="0" collapsed="false">
      <c r="A5658" s="0" t="s">
        <v>743</v>
      </c>
      <c r="B5658" s="0" t="s">
        <v>95</v>
      </c>
      <c r="D5658" s="6" t="n">
        <f aca="false">(Sens!C5643+Sens!D5643)/2*(1-self_build)*fac_rent/1000</f>
        <v>0.853242375631075</v>
      </c>
      <c r="E5658" s="6" t="n">
        <f aca="false">(Sens!D5643+Sens!E5643)/2*(1-self_build)*fac_rent/1000</f>
        <v>1.94955961408728</v>
      </c>
      <c r="F5658" s="6" t="n">
        <f aca="false">(Sens!E5643+Sens!F5643)/2*(1-self_build)*fac_rent/1000</f>
        <v>3.83026455274573</v>
      </c>
      <c r="G5658" s="6" t="n">
        <f aca="false">(Sens!F5643+Sens!G5643)/2*(1-self_build)*fac_rent/1000</f>
        <v>6.23541590972812</v>
      </c>
      <c r="H5658" s="6" t="n">
        <f aca="false">(Sens!G5643+Sens!H5643)/2*(1-self_build)*fac_rent/1000</f>
        <v>8.74275792332679</v>
      </c>
      <c r="I5658" s="6" t="n">
        <f aca="false">(Sens!H5643+Sens!I5643)/2*(1-self_build)*fac_rent/1000</f>
        <v>11.2500999369255</v>
      </c>
      <c r="J5658" s="6" t="n">
        <f aca="false">(Sens!I5643+Sens!J5643)/2*(1-self_build)*fac_rent/1000</f>
        <v>13.7574419505241</v>
      </c>
      <c r="K5658" s="6" t="n">
        <f aca="false">(Sens!J5643+Sens!K5643)/2*(1-self_build)*fac_rent/1000</f>
        <v>16.2647839641228</v>
      </c>
      <c r="L5658" s="11" t="s">
        <v>744</v>
      </c>
    </row>
    <row r="5659" customFormat="false" ht="17.15" hidden="false" customHeight="false" outlineLevel="0" collapsed="false">
      <c r="A5659" s="1" t="s">
        <v>745</v>
      </c>
      <c r="B5659" s="0" t="s">
        <v>126</v>
      </c>
      <c r="D5659" s="7" t="n">
        <f aca="false">(Sens!C5642+Sens!D5642)/(Sens!C5643+Sens!D5643)</f>
        <v>0.6</v>
      </c>
      <c r="E5659" s="7" t="n">
        <f aca="false">(Sens!D5642+Sens!E5642)/(Sens!D5643+Sens!E5643)</f>
        <v>0.6</v>
      </c>
      <c r="F5659" s="7" t="n">
        <f aca="false">(Sens!E5642+Sens!F5642)/(Sens!E5643+Sens!F5643)</f>
        <v>0.6</v>
      </c>
      <c r="G5659" s="7" t="n">
        <f aca="false">(Sens!F5642+Sens!G5642)/(Sens!F5643+Sens!G5643)</f>
        <v>0.6</v>
      </c>
      <c r="H5659" s="7" t="n">
        <f aca="false">(Sens!G5642+Sens!H5642)/(Sens!G5643+Sens!H5643)</f>
        <v>0.6</v>
      </c>
      <c r="I5659" s="7" t="n">
        <f aca="false">(Sens!H5642+Sens!I5642)/(Sens!H5643+Sens!I5643)</f>
        <v>0.6</v>
      </c>
      <c r="J5659" s="7" t="n">
        <f aca="false">(Sens!I5642+Sens!J5642)/(Sens!I5643+Sens!J5643)</f>
        <v>0.6</v>
      </c>
      <c r="K5659" s="7" t="n">
        <f aca="false">(Sens!J5642+Sens!K5642)/(Sens!J5643+Sens!K5643)</f>
        <v>0.6</v>
      </c>
    </row>
    <row r="5660" customFormat="false" ht="17.15" hidden="false" customHeight="false" outlineLevel="0" collapsed="false">
      <c r="A5660" s="0" t="s">
        <v>746</v>
      </c>
      <c r="B5660" s="0" t="s">
        <v>95</v>
      </c>
      <c r="D5660" s="6" t="n">
        <f aca="false">Sens!D5654-Sens!D5659*(Sens!D5656+Sens!D5658)-Sens!D5657</f>
        <v>8.35701406163072</v>
      </c>
      <c r="E5660" s="6" t="n">
        <f aca="false">Sens!E5654-Sens!E5659*(Sens!E5656+Sens!E5658)-Sens!E5657</f>
        <v>18.7103224860238</v>
      </c>
      <c r="F5660" s="6" t="n">
        <f aca="false">Sens!F5654-Sens!F5659*(Sens!F5656+Sens!F5658)-Sens!F5657</f>
        <v>35.0573455625419</v>
      </c>
      <c r="G5660" s="6" t="n">
        <f aca="false">Sens!G5654-Sens!G5659*(Sens!G5656+Sens!G5658)-Sens!G5657</f>
        <v>52.2504971712871</v>
      </c>
      <c r="H5660" s="6" t="n">
        <f aca="false">Sens!H5654-Sens!H5659*(Sens!H5656+Sens!H5658)-Sens!H5657</f>
        <v>65.2796698510271</v>
      </c>
      <c r="I5660" s="6" t="n">
        <f aca="false">Sens!I5654-Sens!I5659*(Sens!I5656+Sens!I5658)-Sens!I5657</f>
        <v>85.5659922535278</v>
      </c>
      <c r="J5660" s="6" t="n">
        <f aca="false">Sens!J5654-Sens!J5659*(Sens!J5656+Sens!J5658)-Sens!J5657</f>
        <v>105.90773710582</v>
      </c>
      <c r="K5660" s="6" t="n">
        <f aca="false">Sens!K5654-Sens!K5659*(Sens!K5656+Sens!K5658)-Sens!K5657</f>
        <v>126.282084319851</v>
      </c>
    </row>
    <row r="5661" customFormat="false" ht="17.15" hidden="false" customHeight="false" outlineLevel="0" collapsed="false">
      <c r="A5661" s="1" t="s">
        <v>747</v>
      </c>
      <c r="B5661" s="0" t="s">
        <v>95</v>
      </c>
      <c r="D5661" s="6" t="n">
        <f aca="false">(1-Sens!D5659)*(Sens!D5656+Sens!D5658)</f>
        <v>1.42281025374069</v>
      </c>
      <c r="E5661" s="6" t="n">
        <f aca="false">(1-Sens!E5659)*(Sens!E5656+Sens!E5658)</f>
        <v>3.25095598674472</v>
      </c>
      <c r="F5661" s="6" t="n">
        <f aca="false">(1-Sens!F5659)*(Sens!F5656+Sens!F5658)</f>
        <v>6.53293055050977</v>
      </c>
      <c r="G5661" s="6" t="n">
        <f aca="false">(1-Sens!G5659)*(Sens!G5656+Sens!G5658)</f>
        <v>10.7846311741651</v>
      </c>
      <c r="H5661" s="6" t="n">
        <f aca="false">(1-Sens!H5659)*(Sens!H5656+Sens!H5658)</f>
        <v>15.26343050201</v>
      </c>
      <c r="I5661" s="6" t="n">
        <f aca="false">(1-Sens!I5659)*(Sens!I5656+Sens!I5658)</f>
        <v>19.7545570754104</v>
      </c>
      <c r="J5661" s="6" t="n">
        <f aca="false">(1-Sens!J5659)*(Sens!J5656+Sens!J5658)</f>
        <v>24.2521277113811</v>
      </c>
      <c r="K5661" s="6" t="n">
        <f aca="false">(1-Sens!K5659)*(Sens!K5656+Sens!K5658)</f>
        <v>28.7534890794427</v>
      </c>
    </row>
    <row r="5662" customFormat="false" ht="17.15" hidden="false" customHeight="false" outlineLevel="0" collapsed="false">
      <c r="A5662" s="1" t="s">
        <v>748</v>
      </c>
      <c r="B5662" s="0" t="s">
        <v>302</v>
      </c>
      <c r="C5662" s="8" t="n">
        <f aca="false">cxit_open</f>
        <v>27.5918995</v>
      </c>
      <c r="D5662" s="8" t="n">
        <f aca="false">cxit_open</f>
        <v>27.5918995</v>
      </c>
      <c r="E5662" s="8" t="n">
        <f aca="false">cxit_open</f>
        <v>27.5918995</v>
      </c>
      <c r="F5662" s="8" t="n">
        <f aca="false">(a_g3_27*tk_cxit_gb300+(1-a_g3_27)*tk_cxit_vr200)</f>
        <v>33.8419624</v>
      </c>
      <c r="G5662" s="8" t="n">
        <f aca="false">(a_g3_28*tk_cxit_gb300+(1-a_g3_28)*tk_cxit_vr200)</f>
        <v>35.9816136</v>
      </c>
      <c r="H5662" s="8" t="n">
        <f aca="false">(a_g3_29*tk_cxit_gb300+(1-a_g3_29)*tk_cxit_vr200)</f>
        <v>37.0514392</v>
      </c>
      <c r="I5662" s="8" t="n">
        <f aca="false">(a_g3_29*tk_cxit_gb300+(1-a_g3_29)*tk_cxit_vr200)</f>
        <v>37.0514392</v>
      </c>
      <c r="J5662" s="8" t="n">
        <f aca="false">(a_g3_29*tk_cxit_gb300+(1-a_g3_29)*tk_cxit_vr200)</f>
        <v>37.0514392</v>
      </c>
      <c r="K5662" s="8" t="n">
        <f aca="false">(a_g3_29*tk_cxit_gb300+(1-a_g3_29)*tk_cxit_vr200)</f>
        <v>37.0514392</v>
      </c>
      <c r="L5662" s="11" t="s">
        <v>749</v>
      </c>
    </row>
    <row r="5663" customFormat="false" ht="17.15" hidden="false" customHeight="false" outlineLevel="0" collapsed="false">
      <c r="A5663" s="0" t="s">
        <v>750</v>
      </c>
      <c r="B5663" s="0" t="s">
        <v>340</v>
      </c>
      <c r="F5663" s="27" t="n">
        <f aca="false">Sens!C5645*IF(3=life_it,1,0)+Sens!D5645*IF(2=life_it,1,0)+Sens!E5645*IF(1=life_it,1,0)</f>
        <v>0</v>
      </c>
      <c r="G5663" s="27" t="n">
        <f aca="false">Sens!C5645*IF(4=life_it,1,0)+Sens!D5645*IF(3=life_it,1,0)+Sens!E5645*IF(2=life_it,1,0)+Sens!F5645*IF(1=life_it,1,0)</f>
        <v>0</v>
      </c>
      <c r="H5663" s="27" t="n">
        <f aca="false">Sens!C5645*IF(5=life_it,1,0)+Sens!D5645*IF(4=life_it,1,0)+Sens!E5645*IF(3=life_it,1,0)+Sens!F5645*IF(2=life_it,1,0)+Sens!G5645*IF(1=life_it,1,0)</f>
        <v>0</v>
      </c>
      <c r="I5663" s="27" t="n">
        <f aca="false">Sens!C5645*IF(6=life_it,1,0)+Sens!D5645*IF(5=life_it,1,0)+Sens!E5645*IF(4=life_it,1,0)+Sens!F5645*IF(3=life_it,1,0)+Sens!G5645*IF(2=life_it,1,0)+Sens!H5645*IF(1=life_it,1,0)</f>
        <v>816.666666666667</v>
      </c>
      <c r="J5663" s="27" t="n">
        <f aca="false">Sens!C5645*IF(7=life_it,1,0)+Sens!D5645*IF(6=life_it,1,0)+Sens!E5645*IF(5=life_it,1,0)+Sens!F5645*IF(4=life_it,1,0)+Sens!G5645*IF(3=life_it,1,0)+Sens!H5645*IF(2=life_it,1,0)+Sens!I5645*IF(1=life_it,1,0)</f>
        <v>1233.33333333333</v>
      </c>
      <c r="K5663" s="27" t="n">
        <f aca="false">Sens!C5645*IF(8=life_it,1,0)+Sens!D5645*IF(7=life_it,1,0)+Sens!E5645*IF(6=life_it,1,0)+Sens!F5645*IF(5=life_it,1,0)+Sens!G5645*IF(4=life_it,1,0)+Sens!H5645*IF(3=life_it,1,0)+Sens!I5645*IF(2=life_it,1,0)+Sens!J5645*IF(1=life_it,1,0)</f>
        <v>2450</v>
      </c>
      <c r="L5663" s="1" t="s">
        <v>751</v>
      </c>
    </row>
    <row r="5664" customFormat="false" ht="17.15" hidden="false" customHeight="false" outlineLevel="0" collapsed="false">
      <c r="A5664" s="0" t="s">
        <v>752</v>
      </c>
      <c r="B5664" s="0" t="s">
        <v>95</v>
      </c>
      <c r="C5664" s="6" t="n">
        <f aca="false">Sens!C5645*Sens!C5662/1000</f>
        <v>22.5333845916667</v>
      </c>
      <c r="D5664" s="6" t="n">
        <f aca="false">Sens!D5645*Sens!D5662/1000</f>
        <v>34.0300093833333</v>
      </c>
      <c r="E5664" s="6" t="n">
        <f aca="false">Sens!E5645*Sens!E5662/1000</f>
        <v>67.600153775</v>
      </c>
      <c r="F5664" s="6" t="n">
        <f aca="false">(Sens!F5645+Sens!F5663)*Sens!F5662/1000</f>
        <v>130.923271871467</v>
      </c>
      <c r="G5664" s="6" t="n">
        <f aca="false">(Sens!G5645+Sens!G5663)*Sens!G5662/1000</f>
        <v>151.5545564832</v>
      </c>
      <c r="H5664" s="6" t="n">
        <f aca="false">(Sens!H5645+Sens!H5663)*Sens!H5662/1000</f>
        <v>156.0606619104</v>
      </c>
      <c r="I5664" s="6" t="n">
        <f aca="false">(Sens!I5645+Sens!I5663)*Sens!I5662/1000</f>
        <v>186.319337257067</v>
      </c>
      <c r="J5664" s="6" t="n">
        <f aca="false">(Sens!J5645+Sens!J5663)*Sens!J5662/1000</f>
        <v>201.757436923733</v>
      </c>
      <c r="K5664" s="6" t="n">
        <f aca="false">(Sens!K5645+Sens!K5663)*Sens!K5662/1000</f>
        <v>246.8366879504</v>
      </c>
    </row>
    <row r="5665" customFormat="false" ht="17.15" hidden="false" customHeight="false" outlineLevel="0" collapsed="false">
      <c r="A5665" s="0" t="s">
        <v>753</v>
      </c>
      <c r="B5665" s="0" t="s">
        <v>95</v>
      </c>
      <c r="C5665" s="6" t="n">
        <f aca="false">Sens!C5645*self_build*tk_cxfac/1000</f>
        <v>6.2083</v>
      </c>
      <c r="D5665" s="6" t="n">
        <f aca="false">Sens!D5645*self_build*tk_cxfac/1000</f>
        <v>9.3758</v>
      </c>
      <c r="E5665" s="6" t="n">
        <f aca="false">Sens!E5645*self_build*tk_cxfac/1000</f>
        <v>18.6249</v>
      </c>
      <c r="F5665" s="6" t="n">
        <f aca="false">Sens!F5645*self_build*tk_cxfac/1000</f>
        <v>29.409604</v>
      </c>
      <c r="G5665" s="6" t="n">
        <f aca="false">Sens!G5645*self_build*tk_cxfac/1000</f>
        <v>32.019624</v>
      </c>
      <c r="H5665" s="6" t="n">
        <f aca="false">Sens!H5645*self_build*tk_cxfac/1000</f>
        <v>32.019624</v>
      </c>
      <c r="I5665" s="6" t="n">
        <f aca="false">Sens!I5645*self_build*tk_cxfac/1000</f>
        <v>32.019624</v>
      </c>
      <c r="J5665" s="6" t="n">
        <f aca="false">Sens!J5645*self_build*tk_cxfac/1000</f>
        <v>32.019624</v>
      </c>
      <c r="K5665" s="6" t="n">
        <f aca="false">Sens!K5645*self_build*tk_cxfac/1000</f>
        <v>32.019624</v>
      </c>
    </row>
    <row r="5666" customFormat="false" ht="17.15" hidden="false" customHeight="false" outlineLevel="0" collapsed="false">
      <c r="A5666" s="0" t="s">
        <v>754</v>
      </c>
      <c r="B5666" s="0" t="s">
        <v>95</v>
      </c>
      <c r="F5666" s="6" t="n">
        <f aca="false">MAX(0,capex_floor27-Sens!F5664-Sens!F5665-Sens!F5753)</f>
        <v>8.73177689897089</v>
      </c>
      <c r="G5666" s="6" t="n">
        <f aca="false">0</f>
        <v>0</v>
      </c>
      <c r="H5666" s="6" t="n">
        <f aca="false">0</f>
        <v>0</v>
      </c>
      <c r="I5666" s="6" t="n">
        <f aca="false">0</f>
        <v>0</v>
      </c>
      <c r="J5666" s="6" t="n">
        <f aca="false">0</f>
        <v>0</v>
      </c>
      <c r="K5666" s="6" t="n">
        <f aca="false">0</f>
        <v>0</v>
      </c>
      <c r="L5666" s="1" t="s">
        <v>755</v>
      </c>
    </row>
    <row r="5667" customFormat="false" ht="17.15" hidden="false" customHeight="false" outlineLevel="0" collapsed="false">
      <c r="A5667" s="0" t="s">
        <v>756</v>
      </c>
      <c r="B5667" s="0" t="s">
        <v>95</v>
      </c>
      <c r="C5667" s="6" t="n">
        <f aca="false">Sens!C5664</f>
        <v>22.5333845916667</v>
      </c>
      <c r="D5667" s="6" t="n">
        <f aca="false">Sens!D5664</f>
        <v>34.0300093833333</v>
      </c>
      <c r="E5667" s="6" t="n">
        <f aca="false">Sens!E5664</f>
        <v>67.600153775</v>
      </c>
      <c r="F5667" s="6" t="n">
        <f aca="false">Sens!F5664+Sens!F5666</f>
        <v>139.655048770438</v>
      </c>
      <c r="G5667" s="6" t="n">
        <f aca="false">Sens!G5664+Sens!G5666</f>
        <v>151.5545564832</v>
      </c>
      <c r="H5667" s="6" t="n">
        <f aca="false">Sens!H5664+Sens!H5666</f>
        <v>156.0606619104</v>
      </c>
      <c r="I5667" s="6" t="n">
        <f aca="false">Sens!I5664+Sens!I5666</f>
        <v>186.319337257067</v>
      </c>
      <c r="J5667" s="6" t="n">
        <f aca="false">Sens!J5664+Sens!J5666</f>
        <v>201.757436923733</v>
      </c>
      <c r="K5667" s="6" t="n">
        <f aca="false">Sens!K5664+Sens!K5666</f>
        <v>246.8366879504</v>
      </c>
    </row>
    <row r="5668" customFormat="false" ht="17.15" hidden="false" customHeight="false" outlineLevel="0" collapsed="false">
      <c r="A5668" s="0" t="s">
        <v>757</v>
      </c>
      <c r="B5668" s="0" t="s">
        <v>95</v>
      </c>
      <c r="C5668" s="6" t="n">
        <f aca="false">Sens!C5667+Sens!C5665</f>
        <v>28.7416845916667</v>
      </c>
      <c r="D5668" s="6" t="n">
        <f aca="false">Sens!D5667+Sens!D5665</f>
        <v>43.4058093833333</v>
      </c>
      <c r="E5668" s="6" t="n">
        <f aca="false">Sens!E5667+Sens!E5665</f>
        <v>86.225053775</v>
      </c>
      <c r="F5668" s="6" t="n">
        <f aca="false">Sens!F5667+Sens!F5665</f>
        <v>169.064652770438</v>
      </c>
      <c r="G5668" s="6" t="n">
        <f aca="false">Sens!G5667+Sens!G5665</f>
        <v>183.5741804832</v>
      </c>
      <c r="H5668" s="6" t="n">
        <f aca="false">Sens!H5667+Sens!H5665</f>
        <v>188.0802859104</v>
      </c>
      <c r="I5668" s="6" t="n">
        <f aca="false">Sens!I5667+Sens!I5665</f>
        <v>218.338961257067</v>
      </c>
      <c r="J5668" s="6" t="n">
        <f aca="false">Sens!J5667+Sens!J5665</f>
        <v>233.777060923733</v>
      </c>
      <c r="K5668" s="6" t="n">
        <f aca="false">Sens!K5667+Sens!K5665</f>
        <v>278.8563119504</v>
      </c>
      <c r="L5668" s="11" t="s">
        <v>758</v>
      </c>
    </row>
    <row r="5669" customFormat="false" ht="17.15" hidden="false" customHeight="false" outlineLevel="0" collapsed="false">
      <c r="A5669" s="0" t="s">
        <v>759</v>
      </c>
      <c r="B5669" s="0" t="s">
        <v>95</v>
      </c>
      <c r="E5669" s="6" t="n">
        <f aca="false">(Sens!C5667*IF(2&lt;life_it,1,IF(2=life_it,0.5,0))+Sens!D5667*IF(1&lt;life_it,1,IF(1=life_it,0.5,0))+Sens!E5667*0.5)/life_it</f>
        <v>15.0605784770833</v>
      </c>
      <c r="F5669" s="6" t="n">
        <f aca="false">(Sens!C5667*IF(3&lt;life_it,1,IF(3=life_it,0.5,0))+Sens!D5667*IF(2&lt;life_it,1,IF(2=life_it,0.5,0))+Sens!E5667*IF(1&lt;life_it,1,IF(1=life_it,0.5,0))+Sens!F5667*0.5)/life_it</f>
        <v>32.3318453558698</v>
      </c>
      <c r="G5669" s="6" t="n">
        <f aca="false">(Sens!C5667*IF(4&lt;life_it,1,IF(4=life_it,0.5,0))+Sens!D5667*IF(3&lt;life_it,1,IF(3=life_it,0.5,0))+Sens!E5667*IF(2&lt;life_it,1,IF(2=life_it,0.5,0))+Sens!F5667*IF(1&lt;life_it,1,IF(1=life_it,0.5,0))+Sens!G5667*0.5)/life_it</f>
        <v>56.5993124603396</v>
      </c>
      <c r="H5669" s="6" t="n">
        <f aca="false">(Sens!C5667*IF(5&lt;life_it,1,IF(5=life_it,0.5,0))+Sens!D5667*IF(4&lt;life_it,1,IF(4=life_it,0.5,0))+Sens!E5667*IF(3&lt;life_it,1,IF(3=life_it,0.5,0))+Sens!F5667*IF(2&lt;life_it,1,IF(2=life_it,0.5,0))+Sens!G5667*IF(1&lt;life_it,1,IF(1=life_it,0.5,0))+Sens!H5667*0.5)/life_it</f>
        <v>82.2339139931396</v>
      </c>
      <c r="I5669" s="6" t="n">
        <f aca="false">(Sens!C5667*IF(6&lt;life_it,1,IF(6=life_it,0.5,0))+Sens!D5667*IF(5&lt;life_it,1,IF(5=life_it,0.5,0))+Sens!E5667*IF(4&lt;life_it,1,IF(4=life_it,0.5,0))+Sens!F5667*IF(3&lt;life_it,1,IF(3=life_it,0.5,0))+Sens!G5667*IF(2&lt;life_it,1,IF(2=life_it,0.5,0))+Sens!H5667*IF(1&lt;life_it,1,IF(1=life_it,0.5,0))+Sens!I5667*0.5)/life_it</f>
        <v>108.887798541123</v>
      </c>
      <c r="J5669" s="6" t="n">
        <f aca="false">(Sens!C5667*IF(7&lt;life_it,1,IF(7=life_it,0.5,0))+Sens!D5667*IF(6&lt;life_it,1,IF(6=life_it,0.5,0))+Sens!E5667*IF(5&lt;life_it,1,IF(5=life_it,0.5,0))+Sens!F5667*IF(4&lt;life_it,1,IF(4=life_it,0.5,0))+Sens!G5667*IF(3&lt;life_it,1,IF(3=life_it,0.5,0))+Sens!H5667*IF(2&lt;life_it,1,IF(2=life_it,0.5,0))+Sens!I5667*IF(1&lt;life_it,1,IF(1=life_it,0.5,0))+Sens!J5667*0.5)/life_it</f>
        <v>136.513913558273</v>
      </c>
      <c r="K5669" s="6" t="n">
        <f aca="false">(Sens!C5667*IF(8&lt;life_it,1,IF(8=life_it,0.5,0))+Sens!D5667*IF(7&lt;life_it,1,IF(7=life_it,0.5,0))+Sens!E5667*IF(6&lt;life_it,1,IF(6=life_it,0.5,0))+Sens!F5667*IF(5&lt;life_it,1,IF(5=life_it,0.5,0))+Sens!G5667*IF(4&lt;life_it,1,IF(4=life_it,0.5,0))+Sens!H5667*IF(3&lt;life_it,1,IF(3=life_it,0.5,0))+Sens!I5667*IF(2&lt;life_it,1,IF(2=life_it,0.5,0))+Sens!J5667*IF(1&lt;life_it,1,IF(1=life_it,0.5,0))+Sens!K5667*0.5)/life_it</f>
        <v>165.42757703459</v>
      </c>
    </row>
    <row r="5670" customFormat="false" ht="17.15" hidden="false" customHeight="false" outlineLevel="0" collapsed="false">
      <c r="A5670" s="0" t="s">
        <v>760</v>
      </c>
      <c r="B5670" s="0" t="s">
        <v>95</v>
      </c>
      <c r="E5670" s="6" t="n">
        <f aca="false">(Sens!C5665*IF(2&lt;life_fac,1,IF(2=life_fac,0.5,0))+Sens!D5665*IF(1&lt;life_fac,1,IF(1=life_fac,0.5,0))+Sens!E5665*0.5)/life_fac</f>
        <v>1.2448275</v>
      </c>
      <c r="F5670" s="6" t="n">
        <f aca="false">(Sens!C5665*IF(3&lt;life_fac,1,IF(3=life_fac,0.5,0))+Sens!D5665*IF(2&lt;life_fac,1,IF(2=life_fac,0.5,0))+Sens!E5665*IF(1&lt;life_fac,1,IF(1=life_fac,0.5,0))+Sens!F5665*0.5)/life_fac</f>
        <v>2.4456901</v>
      </c>
      <c r="G5670" s="6" t="n">
        <f aca="false">(Sens!C5665*IF(4&lt;life_fac,1,IF(4=life_fac,0.5,0))+Sens!D5665*IF(3&lt;life_fac,1,IF(3=life_fac,0.5,0))+Sens!E5665*IF(2&lt;life_fac,1,IF(2=life_fac,0.5,0))+Sens!F5665*IF(1&lt;life_fac,1,IF(1=life_fac,0.5,0))+Sens!G5665*0.5)/life_fac</f>
        <v>3.9814208</v>
      </c>
      <c r="H5670" s="6" t="n">
        <f aca="false">(Sens!C5665*IF(5&lt;life_fac,1,IF(5=life_fac,0.5,0))+Sens!D5665*IF(4&lt;life_fac,1,IF(4=life_fac,0.5,0))+Sens!E5665*IF(3&lt;life_fac,1,IF(3=life_fac,0.5,0))+Sens!F5665*IF(2&lt;life_fac,1,IF(2=life_fac,0.5,0))+Sens!G5665*IF(1&lt;life_fac,1,IF(1=life_fac,0.5,0))+Sens!H5665*0.5)/life_fac</f>
        <v>5.582402</v>
      </c>
      <c r="I5670" s="6" t="n">
        <f aca="false">(Sens!C5665*IF(6&lt;life_fac,1,IF(6=life_fac,0.5,0))+Sens!D5665*IF(5&lt;life_fac,1,IF(5=life_fac,0.5,0))+Sens!E5665*IF(4&lt;life_fac,1,IF(4=life_fac,0.5,0))+Sens!F5665*IF(3&lt;life_fac,1,IF(3=life_fac,0.5,0))+Sens!G5665*IF(2&lt;life_fac,1,IF(2=life_fac,0.5,0))+Sens!H5665*IF(1&lt;life_fac,1,IF(1=life_fac,0.5,0))+Sens!I5665*0.5)/life_fac</f>
        <v>7.1833832</v>
      </c>
      <c r="J5670" s="6" t="n">
        <f aca="false">(Sens!C5665*IF(7&lt;life_fac,1,IF(7=life_fac,0.5,0))+Sens!D5665*IF(6&lt;life_fac,1,IF(6=life_fac,0.5,0))+Sens!E5665*IF(5&lt;life_fac,1,IF(5=life_fac,0.5,0))+Sens!F5665*IF(4&lt;life_fac,1,IF(4=life_fac,0.5,0))+Sens!G5665*IF(3&lt;life_fac,1,IF(3=life_fac,0.5,0))+Sens!H5665*IF(2&lt;life_fac,1,IF(2=life_fac,0.5,0))+Sens!I5665*IF(1&lt;life_fac,1,IF(1=life_fac,0.5,0))+Sens!J5665*0.5)/life_fac</f>
        <v>8.7843644</v>
      </c>
      <c r="K5670" s="6" t="n">
        <f aca="false">(Sens!C5665*IF(8&lt;life_fac,1,IF(8=life_fac,0.5,0))+Sens!D5665*IF(7&lt;life_fac,1,IF(7=life_fac,0.5,0))+Sens!E5665*IF(6&lt;life_fac,1,IF(6=life_fac,0.5,0))+Sens!F5665*IF(5&lt;life_fac,1,IF(5=life_fac,0.5,0))+Sens!G5665*IF(4&lt;life_fac,1,IF(4=life_fac,0.5,0))+Sens!H5665*IF(3&lt;life_fac,1,IF(3=life_fac,0.5,0))+Sens!I5665*IF(2&lt;life_fac,1,IF(2=life_fac,0.5,0))+Sens!J5665*IF(1&lt;life_fac,1,IF(1=life_fac,0.5,0))+Sens!K5665*0.5)/life_fac</f>
        <v>10.3853456</v>
      </c>
    </row>
    <row r="5671" customFormat="false" ht="17.15" hidden="false" customHeight="false" outlineLevel="0" collapsed="false">
      <c r="A5671" s="0" t="s">
        <v>761</v>
      </c>
      <c r="B5671" s="0" t="s">
        <v>95</v>
      </c>
      <c r="E5671" s="6" t="n">
        <f aca="false">Sens!E5669+Sens!E5670</f>
        <v>16.3054059770833</v>
      </c>
      <c r="F5671" s="6" t="n">
        <f aca="false">Sens!F5669+Sens!F5670</f>
        <v>34.7775354558698</v>
      </c>
      <c r="G5671" s="6" t="n">
        <f aca="false">Sens!G5669+Sens!G5670</f>
        <v>60.5807332603396</v>
      </c>
      <c r="H5671" s="6" t="n">
        <f aca="false">Sens!H5669+Sens!H5670</f>
        <v>87.8163159931396</v>
      </c>
      <c r="I5671" s="6" t="n">
        <f aca="false">Sens!I5669+Sens!I5670</f>
        <v>116.071181741123</v>
      </c>
      <c r="J5671" s="6" t="n">
        <f aca="false">Sens!J5669+Sens!J5670</f>
        <v>145.298277958273</v>
      </c>
      <c r="K5671" s="6" t="n">
        <f aca="false">Sens!K5669+Sens!K5670</f>
        <v>175.81292263459</v>
      </c>
    </row>
    <row r="5672" customFormat="false" ht="17.15" hidden="false" customHeight="false" outlineLevel="0" collapsed="false">
      <c r="A5672" s="0" t="s">
        <v>762</v>
      </c>
      <c r="B5672" s="0" t="s">
        <v>95</v>
      </c>
      <c r="E5672" s="6" t="n">
        <f aca="false">Sens!E5660-Sens!E5659*Sens!E5671</f>
        <v>8.92707889977379</v>
      </c>
      <c r="F5672" s="6" t="n">
        <f aca="false">Sens!F5660-Sens!F5659*Sens!F5671</f>
        <v>14.1908242890201</v>
      </c>
      <c r="G5672" s="6" t="n">
        <f aca="false">Sens!G5660-Sens!G5659*Sens!G5671</f>
        <v>15.9020572150834</v>
      </c>
      <c r="H5672" s="6" t="n">
        <f aca="false">Sens!H5660-Sens!H5659*Sens!H5671</f>
        <v>12.5898802551433</v>
      </c>
      <c r="I5672" s="6" t="n">
        <f aca="false">Sens!I5660-Sens!I5659*Sens!I5671</f>
        <v>15.9232832088541</v>
      </c>
      <c r="J5672" s="6" t="n">
        <f aca="false">Sens!J5660-Sens!J5659*Sens!J5671</f>
        <v>18.7287703308565</v>
      </c>
      <c r="K5672" s="6" t="n">
        <f aca="false">Sens!K5660-Sens!K5659*Sens!K5671</f>
        <v>20.7943307390974</v>
      </c>
    </row>
    <row r="5673" customFormat="false" ht="17.15" hidden="false" customHeight="false" outlineLevel="0" collapsed="false">
      <c r="A5673" s="3" t="s">
        <v>1275</v>
      </c>
    </row>
    <row r="5674" customFormat="false" ht="15" hidden="false" customHeight="false" outlineLevel="0" collapsed="false">
      <c r="A5674" s="4" t="s">
        <v>43</v>
      </c>
      <c r="B5674" s="4" t="s">
        <v>63</v>
      </c>
      <c r="C5674" s="19" t="s">
        <v>710</v>
      </c>
      <c r="D5674" s="19" t="s">
        <v>711</v>
      </c>
      <c r="E5674" s="19" t="s">
        <v>712</v>
      </c>
      <c r="F5674" s="19" t="s">
        <v>713</v>
      </c>
      <c r="G5674" s="19" t="s">
        <v>714</v>
      </c>
      <c r="H5674" s="19" t="s">
        <v>715</v>
      </c>
      <c r="I5674" s="19" t="s">
        <v>716</v>
      </c>
      <c r="J5674" s="19" t="s">
        <v>717</v>
      </c>
      <c r="K5674" s="19" t="s">
        <v>718</v>
      </c>
      <c r="L5674" s="4" t="s">
        <v>47</v>
      </c>
    </row>
    <row r="5675" customFormat="false" ht="17.15" hidden="false" customHeight="false" outlineLevel="0" collapsed="false">
      <c r="A5675" s="0" t="s">
        <v>780</v>
      </c>
      <c r="B5675" s="0" t="s">
        <v>95</v>
      </c>
      <c r="D5675" s="6" t="n">
        <f aca="false">Sens!D5654</f>
        <v>12.9359794422418</v>
      </c>
      <c r="E5675" s="6" t="n">
        <f aca="false">Sens!E5654</f>
        <v>27.8095064661409</v>
      </c>
      <c r="F5675" s="6" t="n">
        <f aca="false">Sens!F5654</f>
        <v>50.6619113883066</v>
      </c>
      <c r="G5675" s="6" t="n">
        <f aca="false">Sens!G5654</f>
        <v>75.1482839325348</v>
      </c>
      <c r="H5675" s="6" t="n">
        <f aca="false">Sens!H5654</f>
        <v>94.895655604042</v>
      </c>
      <c r="I5675" s="6" t="n">
        <f aca="false">Sens!I5654</f>
        <v>121.918667866643</v>
      </c>
      <c r="J5675" s="6" t="n">
        <f aca="false">Sens!J5654</f>
        <v>149.006768672892</v>
      </c>
      <c r="K5675" s="6" t="n">
        <f aca="false">Sens!K5654</f>
        <v>176.133157939015</v>
      </c>
    </row>
    <row r="5676" customFormat="false" ht="17.15" hidden="false" customHeight="false" outlineLevel="0" collapsed="false">
      <c r="A5676" s="0" t="s">
        <v>781</v>
      </c>
      <c r="B5676" s="0" t="s">
        <v>95</v>
      </c>
      <c r="D5676" s="6" t="n">
        <f aca="false">Q!L6-Sens!D5675</f>
        <v>59.6740205577583</v>
      </c>
      <c r="E5676" s="6" t="n">
        <f aca="false">Q!M6-Sens!E5675</f>
        <v>74.1284935338591</v>
      </c>
      <c r="F5676" s="6" t="n">
        <f aca="false">Sens!E5676*(1+Sens!F5677)</f>
        <v>90.0799497373663</v>
      </c>
      <c r="G5676" s="6" t="n">
        <f aca="false">Sens!F5676*(1+Sens!G5677)</f>
        <v>107.02842520331</v>
      </c>
      <c r="H5676" s="6" t="n">
        <f aca="false">Sens!G5676*(1+Sens!H5677)</f>
        <v>124.271982585636</v>
      </c>
      <c r="I5676" s="6" t="n">
        <f aca="false">Sens!H5676*(1+Sens!I5677)</f>
        <v>140.933702381855</v>
      </c>
      <c r="J5676" s="6" t="n">
        <f aca="false">Sens!I5676*(1+Sens!J5677)</f>
        <v>156.018867314332</v>
      </c>
      <c r="K5676" s="6" t="n">
        <f aca="false">Sens!J5676*(1+Sens!K5677)</f>
        <v>168.500376699478</v>
      </c>
    </row>
    <row r="5677" customFormat="false" ht="15" hidden="false" customHeight="false" outlineLevel="0" collapsed="false">
      <c r="A5677" s="1" t="s">
        <v>782</v>
      </c>
      <c r="B5677" s="0" t="s">
        <v>126</v>
      </c>
      <c r="E5677" s="7" t="n">
        <f aca="false">Sens!E5676/Sens!D5676-1</f>
        <v>0.242223883039864</v>
      </c>
      <c r="F5677" s="7" t="n">
        <f aca="false">Sens!$E$5677+(glt_azo-Sens!$E$5677)*MIN(1,1/n_conv)</f>
        <v>0.215186569199887</v>
      </c>
      <c r="G5677" s="7" t="n">
        <f aca="false">Sens!$E$5677+(glt_azo-Sens!$E$5677)*MIN(1,2/n_conv)</f>
        <v>0.18814925535991</v>
      </c>
      <c r="H5677" s="7" t="n">
        <f aca="false">Sens!$E$5677+(glt_azo-Sens!$E$5677)*MIN(1,3/n_conv)</f>
        <v>0.161111941519932</v>
      </c>
      <c r="I5677" s="7" t="n">
        <f aca="false">Sens!$E$5677+(glt_azo-Sens!$E$5677)*MIN(1,4/n_conv)</f>
        <v>0.134074627679955</v>
      </c>
      <c r="J5677" s="7" t="n">
        <f aca="false">Sens!$E$5677+(glt_azo-Sens!$E$5677)*MIN(1,5/n_conv)</f>
        <v>0.107037313839977</v>
      </c>
      <c r="K5677" s="7" t="n">
        <f aca="false">Sens!$E$5677+(glt_azo-Sens!$E$5677)*MIN(1,6/n_conv)</f>
        <v>0.08</v>
      </c>
    </row>
    <row r="5678" customFormat="false" ht="15" hidden="false" customHeight="false" outlineLevel="0" collapsed="false">
      <c r="A5678" s="0" t="s">
        <v>783</v>
      </c>
      <c r="B5678" s="0" t="s">
        <v>95</v>
      </c>
      <c r="D5678" s="6" t="n">
        <f aca="false">Sens!D5675+Sens!D5676</f>
        <v>72.61</v>
      </c>
      <c r="E5678" s="6" t="n">
        <f aca="false">Sens!E5675+Sens!E5676</f>
        <v>101.938</v>
      </c>
      <c r="F5678" s="6" t="n">
        <f aca="false">Sens!F5675+Sens!F5676</f>
        <v>140.741861125673</v>
      </c>
      <c r="G5678" s="6" t="n">
        <f aca="false">Sens!G5675+Sens!G5676</f>
        <v>182.176709135845</v>
      </c>
      <c r="H5678" s="6" t="n">
        <f aca="false">Sens!H5675+Sens!H5676</f>
        <v>219.167638189678</v>
      </c>
      <c r="I5678" s="6" t="n">
        <f aca="false">Sens!I5675+Sens!I5676</f>
        <v>262.852370248498</v>
      </c>
      <c r="J5678" s="6" t="n">
        <f aca="false">Sens!J5675+Sens!J5676</f>
        <v>305.025635987223</v>
      </c>
      <c r="K5678" s="6" t="n">
        <f aca="false">Sens!K5675+Sens!K5676</f>
        <v>344.633534638493</v>
      </c>
    </row>
    <row r="5679" customFormat="false" ht="17.15" hidden="false" customHeight="false" outlineLevel="0" collapsed="false">
      <c r="A5679" s="0" t="s">
        <v>784</v>
      </c>
      <c r="B5679" s="1" t="s">
        <v>451</v>
      </c>
      <c r="C5679" s="27" t="n">
        <f aca="false">cop_s24</f>
        <v>1</v>
      </c>
      <c r="D5679" s="27" t="n">
        <f aca="false">cop_s25</f>
        <v>5</v>
      </c>
      <c r="E5679" s="27" t="n">
        <f aca="false">cop_s26</f>
        <v>30</v>
      </c>
      <c r="F5679" s="27" t="n">
        <f aca="false">Sens!E5679+IF(2027&lt;=2029,cop_add_C,cop_add_C*cop_tail)</f>
        <v>40</v>
      </c>
      <c r="G5679" s="27" t="n">
        <f aca="false">Sens!F5679+IF(2028&lt;=2029,cop_add_C,cop_add_C*cop_tail)</f>
        <v>50</v>
      </c>
      <c r="H5679" s="27" t="n">
        <f aca="false">Sens!G5679+IF(2029&lt;=2029,cop_add_C,cop_add_C*cop_tail)</f>
        <v>60</v>
      </c>
      <c r="I5679" s="27" t="n">
        <f aca="false">Sens!H5679+IF(2030&lt;=2029,cop_add_C,cop_add_C*cop_tail)</f>
        <v>65</v>
      </c>
      <c r="J5679" s="27" t="n">
        <f aca="false">Sens!I5679+IF(2031&lt;=2029,cop_add_C,cop_add_C*cop_tail)</f>
        <v>70</v>
      </c>
      <c r="K5679" s="27" t="n">
        <f aca="false">Sens!J5679+IF(2032&lt;=2029,cop_add_C,cop_add_C*cop_tail)</f>
        <v>75</v>
      </c>
    </row>
    <row r="5680" customFormat="false" ht="17.15" hidden="false" customHeight="false" outlineLevel="0" collapsed="false">
      <c r="A5680" s="0" t="s">
        <v>785</v>
      </c>
      <c r="B5680" s="0" t="s">
        <v>95</v>
      </c>
      <c r="D5680" s="6" t="n">
        <f aca="false">(Sens!C5679+Sens!D5679)/2*cop_px*12/1000</f>
        <v>0.9</v>
      </c>
      <c r="E5680" s="6" t="n">
        <f aca="false">(Sens!D5679+Sens!E5679)/2*cop_px*12/1000</f>
        <v>5.25</v>
      </c>
      <c r="F5680" s="6" t="n">
        <f aca="false">(Sens!E5679+Sens!F5679)/2*cop_px_lo*12/1000</f>
        <v>7.56</v>
      </c>
      <c r="G5680" s="6" t="n">
        <f aca="false">(Sens!F5679+Sens!G5679)/2*cop_px_lo*12/1000</f>
        <v>9.72</v>
      </c>
      <c r="H5680" s="6" t="n">
        <f aca="false">(Sens!G5679+Sens!H5679)/2*cop_px_lo*12/1000</f>
        <v>11.88</v>
      </c>
      <c r="I5680" s="6" t="n">
        <f aca="false">(Sens!H5679+Sens!I5679)/2*cop_px_lo*12/1000</f>
        <v>13.5</v>
      </c>
      <c r="J5680" s="6" t="n">
        <f aca="false">(Sens!I5679+Sens!J5679)/2*cop_px_lo*12/1000</f>
        <v>14.58</v>
      </c>
      <c r="K5680" s="6" t="n">
        <f aca="false">(Sens!J5679+Sens!K5679)/2*cop_px_lo*12/1000</f>
        <v>15.66</v>
      </c>
      <c r="L5680" s="1" t="s">
        <v>786</v>
      </c>
    </row>
    <row r="5681" customFormat="false" ht="17.15" hidden="false" customHeight="false" outlineLevel="0" collapsed="false">
      <c r="A5681" s="0" t="s">
        <v>787</v>
      </c>
      <c r="B5681" s="0" t="s">
        <v>95</v>
      </c>
      <c r="D5681" s="6" t="n">
        <f aca="false">Q!L7-Sens!D5680</f>
        <v>83.705</v>
      </c>
      <c r="E5681" s="6" t="n">
        <f aca="false">Q!M7-Sens!E5680</f>
        <v>95.049</v>
      </c>
      <c r="F5681" s="6" t="n">
        <f aca="false">Sens!E5681*(1+Sens!F5682)</f>
        <v>106.89238776686</v>
      </c>
      <c r="G5681" s="6" t="n">
        <f aca="false">Sens!F5681*(1+Sens!G5682)</f>
        <v>119.044168448684</v>
      </c>
      <c r="H5681" s="6" t="n">
        <f aca="false">Sens!G5681*(1+Sens!H5682)</f>
        <v>131.277359388781</v>
      </c>
      <c r="I5681" s="6" t="n">
        <f aca="false">Sens!H5681*(1+Sens!I5682)</f>
        <v>143.334028071957</v>
      </c>
      <c r="J5681" s="6" t="n">
        <f aca="false">Sens!I5681*(1+Sens!J5682)</f>
        <v>154.932702785465</v>
      </c>
      <c r="K5681" s="6" t="n">
        <f aca="false">Sens!J5681*(1+Sens!K5682)</f>
        <v>165.777991980448</v>
      </c>
    </row>
    <row r="5682" customFormat="false" ht="15" hidden="false" customHeight="false" outlineLevel="0" collapsed="false">
      <c r="A5682" s="1" t="s">
        <v>782</v>
      </c>
      <c r="B5682" s="0" t="s">
        <v>126</v>
      </c>
      <c r="E5682" s="7" t="n">
        <f aca="false">Sens!E5681/Sens!D5681-1</f>
        <v>0.135523564900544</v>
      </c>
      <c r="F5682" s="7" t="n">
        <f aca="false">Sens!$E$5682+(glt_m365b-Sens!$E$5682)*MIN(1,1/n_conv)</f>
        <v>0.124602970750453</v>
      </c>
      <c r="G5682" s="7" t="n">
        <f aca="false">Sens!$E$5682+(glt_m365b-Sens!$E$5682)*MIN(1,2/n_conv)</f>
        <v>0.113682376600363</v>
      </c>
      <c r="H5682" s="7" t="n">
        <f aca="false">Sens!$E$5682+(glt_m365b-Sens!$E$5682)*MIN(1,3/n_conv)</f>
        <v>0.102761782450272</v>
      </c>
      <c r="I5682" s="7" t="n">
        <f aca="false">Sens!$E$5682+(glt_m365b-Sens!$E$5682)*MIN(1,4/n_conv)</f>
        <v>0.0918411883001813</v>
      </c>
      <c r="J5682" s="7" t="n">
        <f aca="false">Sens!$E$5682+(glt_m365b-Sens!$E$5682)*MIN(1,5/n_conv)</f>
        <v>0.0809205941500906</v>
      </c>
      <c r="K5682" s="7" t="n">
        <f aca="false">Sens!$E$5682+(glt_m365b-Sens!$E$5682)*MIN(1,6/n_conv)</f>
        <v>0.07</v>
      </c>
    </row>
    <row r="5683" customFormat="false" ht="15" hidden="false" customHeight="false" outlineLevel="0" collapsed="false">
      <c r="A5683" s="0" t="s">
        <v>788</v>
      </c>
      <c r="B5683" s="0" t="s">
        <v>95</v>
      </c>
      <c r="D5683" s="6" t="n">
        <f aca="false">Sens!D5681+Sens!D5680</f>
        <v>84.605</v>
      </c>
      <c r="E5683" s="6" t="n">
        <f aca="false">Sens!E5681+Sens!E5680</f>
        <v>100.299</v>
      </c>
      <c r="F5683" s="6" t="n">
        <f aca="false">Sens!F5681+Sens!F5680</f>
        <v>114.45238776686</v>
      </c>
      <c r="G5683" s="6" t="n">
        <f aca="false">Sens!G5681+Sens!G5680</f>
        <v>128.764168448684</v>
      </c>
      <c r="H5683" s="6" t="n">
        <f aca="false">Sens!H5681+Sens!H5680</f>
        <v>143.157359388781</v>
      </c>
      <c r="I5683" s="6" t="n">
        <f aca="false">Sens!I5681+Sens!I5680</f>
        <v>156.834028071957</v>
      </c>
      <c r="J5683" s="6" t="n">
        <f aca="false">Sens!J5681+Sens!J5680</f>
        <v>169.512702785465</v>
      </c>
      <c r="K5683" s="6" t="n">
        <f aca="false">Sens!K5681+Sens!K5680</f>
        <v>181.437991980448</v>
      </c>
    </row>
    <row r="5684" customFormat="false" ht="15" hidden="false" customHeight="false" outlineLevel="0" collapsed="false">
      <c r="A5684" s="0" t="s">
        <v>789</v>
      </c>
      <c r="B5684" s="0" t="s">
        <v>95</v>
      </c>
      <c r="D5684" s="6" t="n">
        <f aca="false">Q!L8</f>
        <v>35.391</v>
      </c>
      <c r="E5684" s="6" t="n">
        <f aca="false">Q!M8</f>
        <v>37.285</v>
      </c>
      <c r="F5684" s="6" t="n">
        <f aca="false">Sens!E5684*(1+Sens!F5685)</f>
        <v>39.0720834331704</v>
      </c>
      <c r="G5684" s="6" t="n">
        <f aca="false">Sens!F5684*(1+Sens!G5685)</f>
        <v>40.726562953769</v>
      </c>
      <c r="H5684" s="6" t="n">
        <f aca="false">Sens!G5684*(1+Sens!H5685)</f>
        <v>42.2235987259198</v>
      </c>
      <c r="I5684" s="6" t="n">
        <f aca="false">Sens!H5684*(1+Sens!I5685)</f>
        <v>43.5397988077414</v>
      </c>
      <c r="J5684" s="6" t="n">
        <f aca="false">Sens!I5684*(1+Sens!J5685)</f>
        <v>44.653811225693</v>
      </c>
      <c r="K5684" s="6" t="n">
        <f aca="false">Sens!J5684*(1+Sens!K5685)</f>
        <v>45.5468874502068</v>
      </c>
    </row>
    <row r="5685" customFormat="false" ht="15" hidden="false" customHeight="false" outlineLevel="0" collapsed="false">
      <c r="A5685" s="1" t="s">
        <v>782</v>
      </c>
      <c r="B5685" s="0" t="s">
        <v>126</v>
      </c>
      <c r="E5685" s="7" t="n">
        <f aca="false">Sens!E5684/Sens!D5684-1</f>
        <v>0.0535164307309768</v>
      </c>
      <c r="F5685" s="7" t="n">
        <f aca="false">Sens!$E$5685+(glt_lic-Sens!$E$5685)*MIN(1,1/n_conv)</f>
        <v>0.0479303589424807</v>
      </c>
      <c r="G5685" s="7" t="n">
        <f aca="false">Sens!$E$5685+(glt_lic-Sens!$E$5685)*MIN(1,2/n_conv)</f>
        <v>0.0423442871539845</v>
      </c>
      <c r="H5685" s="7" t="n">
        <f aca="false">Sens!$E$5685+(glt_lic-Sens!$E$5685)*MIN(1,3/n_conv)</f>
        <v>0.0367582153654884</v>
      </c>
      <c r="I5685" s="7" t="n">
        <f aca="false">Sens!$E$5685+(glt_lic-Sens!$E$5685)*MIN(1,4/n_conv)</f>
        <v>0.0311721435769923</v>
      </c>
      <c r="J5685" s="7" t="n">
        <f aca="false">Sens!$E$5685+(glt_lic-Sens!$E$5685)*MIN(1,5/n_conv)</f>
        <v>0.0255860717884961</v>
      </c>
      <c r="K5685" s="7" t="n">
        <f aca="false">Sens!$E$5685+(glt_lic-Sens!$E$5685)*MIN(1,6/n_conv)</f>
        <v>0.02</v>
      </c>
    </row>
    <row r="5686" customFormat="false" ht="15" hidden="false" customHeight="false" outlineLevel="0" collapsed="false">
      <c r="A5686" s="0" t="s">
        <v>790</v>
      </c>
      <c r="B5686" s="0" t="s">
        <v>95</v>
      </c>
      <c r="D5686" s="6" t="n">
        <f aca="false">Q!L9</f>
        <v>18.417</v>
      </c>
      <c r="E5686" s="6" t="n">
        <f aca="false">Q!M9</f>
        <v>20.345</v>
      </c>
      <c r="F5686" s="6" t="n">
        <f aca="false">Sens!E5686*(1+Sens!F5687)</f>
        <v>22.3572203267814</v>
      </c>
      <c r="G5686" s="6" t="n">
        <f aca="false">Sens!F5686*(1+Sens!G5687)</f>
        <v>24.4392124437232</v>
      </c>
      <c r="H5686" s="6" t="n">
        <f aca="false">Sens!G5686*(1+Sens!H5687)</f>
        <v>26.5738052080665</v>
      </c>
      <c r="I5686" s="6" t="n">
        <f aca="false">Sens!H5686*(1+Sens!I5687)</f>
        <v>28.7412169166967</v>
      </c>
      <c r="J5686" s="6" t="n">
        <f aca="false">Sens!I5686*(1+Sens!J5687)</f>
        <v>30.9192545395413</v>
      </c>
      <c r="K5686" s="6" t="n">
        <f aca="false">Sens!J5686*(1+Sens!K5687)</f>
        <v>33.0836023573092</v>
      </c>
    </row>
    <row r="5687" customFormat="false" ht="15" hidden="false" customHeight="false" outlineLevel="0" collapsed="false">
      <c r="A5687" s="1" t="s">
        <v>782</v>
      </c>
      <c r="B5687" s="0" t="s">
        <v>126</v>
      </c>
      <c r="E5687" s="7" t="n">
        <f aca="false">Sens!E5686/Sens!D5686-1</f>
        <v>0.104685888038225</v>
      </c>
      <c r="F5687" s="7" t="n">
        <f aca="false">Sens!$E$5687+(glt_ind-Sens!$E$5687)*MIN(1,1/n_conv)</f>
        <v>0.0989049066985211</v>
      </c>
      <c r="G5687" s="7" t="n">
        <f aca="false">Sens!$E$5687+(glt_ind-Sens!$E$5687)*MIN(1,2/n_conv)</f>
        <v>0.0931239253588169</v>
      </c>
      <c r="H5687" s="7" t="n">
        <f aca="false">Sens!$E$5687+(glt_ind-Sens!$E$5687)*MIN(1,3/n_conv)</f>
        <v>0.0873429440191127</v>
      </c>
      <c r="I5687" s="7" t="n">
        <f aca="false">Sens!$E$5687+(glt_ind-Sens!$E$5687)*MIN(1,4/n_conv)</f>
        <v>0.0815619626794085</v>
      </c>
      <c r="J5687" s="7" t="n">
        <f aca="false">Sens!$E$5687+(glt_ind-Sens!$E$5687)*MIN(1,5/n_conv)</f>
        <v>0.0757809813397042</v>
      </c>
      <c r="K5687" s="7" t="n">
        <f aca="false">Sens!$E$5687+(glt_ind-Sens!$E$5687)*MIN(1,6/n_conv)</f>
        <v>0.07</v>
      </c>
    </row>
    <row r="5688" customFormat="false" ht="15" hidden="false" customHeight="false" outlineLevel="0" collapsed="false">
      <c r="A5688" s="0" t="s">
        <v>791</v>
      </c>
      <c r="B5688" s="0" t="s">
        <v>95</v>
      </c>
      <c r="D5688" s="6" t="n">
        <f aca="false">Q!L10</f>
        <v>7.76</v>
      </c>
      <c r="E5688" s="6" t="n">
        <f aca="false">Q!M10</f>
        <v>8.26</v>
      </c>
      <c r="F5688" s="6" t="n">
        <f aca="false">Sens!E5688*(1+Sens!F5689)</f>
        <v>8.79988041237113</v>
      </c>
      <c r="G5688" s="6" t="n">
        <f aca="false">Sens!F5688*(1+Sens!G5689)</f>
        <v>9.38321269125306</v>
      </c>
      <c r="H5688" s="6" t="n">
        <f aca="false">Sens!G5688*(1+Sens!H5689)</f>
        <v>10.0139193587476</v>
      </c>
      <c r="I5688" s="6" t="n">
        <f aca="false">Sens!H5688*(1+Sens!I5689)</f>
        <v>10.6963111830911</v>
      </c>
      <c r="J5688" s="6" t="n">
        <f aca="false">Sens!I5688*(1+Sens!J5689)</f>
        <v>11.4351285534696</v>
      </c>
      <c r="K5688" s="6" t="n">
        <f aca="false">Sens!J5688*(1+Sens!K5689)</f>
        <v>12.2355875522124</v>
      </c>
    </row>
    <row r="5689" customFormat="false" ht="15" hidden="false" customHeight="false" outlineLevel="0" collapsed="false">
      <c r="A5689" s="1" t="s">
        <v>782</v>
      </c>
      <c r="B5689" s="0" t="s">
        <v>126</v>
      </c>
      <c r="E5689" s="7" t="n">
        <f aca="false">Sens!E5688/Sens!D5688-1</f>
        <v>0.0644329896907216</v>
      </c>
      <c r="F5689" s="7" t="n">
        <f aca="false">Sens!$E$5689+(glt_fro-Sens!$E$5689)*MIN(1,1/n_conv)</f>
        <v>0.065360824742268</v>
      </c>
      <c r="G5689" s="7" t="n">
        <f aca="false">Sens!$E$5689+(glt_fro-Sens!$E$5689)*MIN(1,2/n_conv)</f>
        <v>0.0662886597938144</v>
      </c>
      <c r="H5689" s="7" t="n">
        <f aca="false">Sens!$E$5689+(glt_fro-Sens!$E$5689)*MIN(1,3/n_conv)</f>
        <v>0.0672164948453608</v>
      </c>
      <c r="I5689" s="7" t="n">
        <f aca="false">Sens!$E$5689+(glt_fro-Sens!$E$5689)*MIN(1,4/n_conv)</f>
        <v>0.0681443298969072</v>
      </c>
      <c r="J5689" s="7" t="n">
        <f aca="false">Sens!$E$5689+(glt_fro-Sens!$E$5689)*MIN(1,5/n_conv)</f>
        <v>0.0690721649484536</v>
      </c>
      <c r="K5689" s="7" t="n">
        <f aca="false">Sens!$E$5689+(glt_fro-Sens!$E$5689)*MIN(1,6/n_conv)</f>
        <v>0.07</v>
      </c>
    </row>
    <row r="5690" customFormat="false" ht="15" hidden="false" customHeight="false" outlineLevel="0" collapsed="false">
      <c r="A5690" s="0" t="s">
        <v>626</v>
      </c>
      <c r="B5690" s="0" t="s">
        <v>95</v>
      </c>
      <c r="D5690" s="6" t="n">
        <f aca="false">Sens!D5678+Sens!D5683+Sens!D5684+Sens!D5686+Sens!D5688</f>
        <v>218.783</v>
      </c>
      <c r="E5690" s="6" t="n">
        <f aca="false">Sens!E5678+Sens!E5683+Sens!E5684+Sens!E5686+Sens!E5688</f>
        <v>268.127</v>
      </c>
      <c r="F5690" s="6" t="n">
        <f aca="false">Sens!F5678+Sens!F5683+Sens!F5684+Sens!F5686+Sens!F5688</f>
        <v>325.423433064856</v>
      </c>
      <c r="G5690" s="6" t="n">
        <f aca="false">Sens!G5678+Sens!G5683+Sens!G5684+Sens!G5686+Sens!G5688</f>
        <v>385.489865673274</v>
      </c>
      <c r="H5690" s="6" t="n">
        <f aca="false">Sens!H5678+Sens!H5683+Sens!H5684+Sens!H5686+Sens!H5688</f>
        <v>441.136320871193</v>
      </c>
      <c r="I5690" s="6" t="n">
        <f aca="false">Sens!I5678+Sens!I5683+Sens!I5684+Sens!I5686+Sens!I5688</f>
        <v>502.663725227984</v>
      </c>
      <c r="J5690" s="6" t="n">
        <f aca="false">Sens!J5678+Sens!J5683+Sens!J5684+Sens!J5686+Sens!J5688</f>
        <v>561.546533091393</v>
      </c>
      <c r="K5690" s="6" t="n">
        <f aca="false">Sens!K5678+Sens!K5683+Sens!K5684+Sens!K5686+Sens!K5688</f>
        <v>616.93760397867</v>
      </c>
    </row>
    <row r="5691" customFormat="false" ht="15" hidden="false" customHeight="false" outlineLevel="0" collapsed="false">
      <c r="A5691" s="0" t="s">
        <v>792</v>
      </c>
      <c r="B5691" s="0" t="s">
        <v>95</v>
      </c>
      <c r="D5691" s="6" t="n">
        <f aca="false">Q!L13</f>
        <v>22.171</v>
      </c>
      <c r="E5691" s="6" t="n">
        <f aca="false">Q!M13</f>
        <v>24.835</v>
      </c>
      <c r="F5691" s="6" t="n">
        <f aca="false">Sens!E5691*(1+Sens!F5692)</f>
        <v>27.6114901218559</v>
      </c>
      <c r="G5691" s="6" t="n">
        <f aca="false">Sens!F5691*(1+Sens!G5692)</f>
        <v>30.4675667338515</v>
      </c>
      <c r="H5691" s="6" t="n">
        <f aca="false">Sens!G5691*(1+Sens!H5692)</f>
        <v>33.3643766955789</v>
      </c>
      <c r="I5691" s="6" t="n">
        <f aca="false">Sens!H5691*(1+Sens!I5692)</f>
        <v>36.2577016533691</v>
      </c>
      <c r="J5691" s="6" t="n">
        <f aca="false">Sens!I5691*(1+Sens!J5692)</f>
        <v>39.0988367952171</v>
      </c>
      <c r="K5691" s="6" t="n">
        <f aca="false">Sens!J5691*(1+Sens!K5692)</f>
        <v>41.8357553708823</v>
      </c>
    </row>
    <row r="5692" customFormat="false" ht="15" hidden="false" customHeight="false" outlineLevel="0" collapsed="false">
      <c r="A5692" s="1" t="s">
        <v>782</v>
      </c>
      <c r="B5692" s="0" t="s">
        <v>126</v>
      </c>
      <c r="E5692" s="7" t="n">
        <f aca="false">Sens!E5691/Sens!D5691-1</f>
        <v>0.120156961796942</v>
      </c>
      <c r="F5692" s="7" t="n">
        <f aca="false">Sens!$E$5692+(glt_srch-Sens!$E$5692)*MIN(1,1/n_conv)</f>
        <v>0.111797468164118</v>
      </c>
      <c r="G5692" s="7" t="n">
        <f aca="false">Sens!$E$5692+(glt_srch-Sens!$E$5692)*MIN(1,2/n_conv)</f>
        <v>0.103437974531295</v>
      </c>
      <c r="H5692" s="7" t="n">
        <f aca="false">Sens!$E$5692+(glt_srch-Sens!$E$5692)*MIN(1,3/n_conv)</f>
        <v>0.095078480898471</v>
      </c>
      <c r="I5692" s="7" t="n">
        <f aca="false">Sens!$E$5692+(glt_srch-Sens!$E$5692)*MIN(1,4/n_conv)</f>
        <v>0.0867189872656474</v>
      </c>
      <c r="J5692" s="7" t="n">
        <f aca="false">Sens!$E$5692+(glt_srch-Sens!$E$5692)*MIN(1,5/n_conv)</f>
        <v>0.0783594936328237</v>
      </c>
      <c r="K5692" s="7" t="n">
        <f aca="false">Sens!$E$5692+(glt_srch-Sens!$E$5692)*MIN(1,6/n_conv)</f>
        <v>0.07</v>
      </c>
    </row>
    <row r="5693" customFormat="false" ht="15" hidden="false" customHeight="false" outlineLevel="0" collapsed="false">
      <c r="A5693" s="0" t="s">
        <v>793</v>
      </c>
      <c r="B5693" s="0" t="s">
        <v>95</v>
      </c>
      <c r="D5693" s="6" t="n">
        <f aca="false">Q!L14</f>
        <v>23.455</v>
      </c>
      <c r="E5693" s="6" t="n">
        <f aca="false">Q!M14</f>
        <v>21.79</v>
      </c>
      <c r="F5693" s="6" t="n">
        <f aca="false">Sens!E5693*(1+Sens!F5694)</f>
        <v>20.5736277908051</v>
      </c>
      <c r="G5693" s="6" t="n">
        <f aca="false">Sens!F5693*(1+Sens!G5694)</f>
        <v>19.7371452817919</v>
      </c>
      <c r="H5693" s="6" t="n">
        <f aca="false">Sens!G5693*(1+Sens!H5694)</f>
        <v>19.2339764043138</v>
      </c>
      <c r="I5693" s="6" t="n">
        <f aca="false">Sens!H5693*(1+Sens!I5694)</f>
        <v>19.0353086852681</v>
      </c>
      <c r="J5693" s="6" t="n">
        <f aca="false">Sens!I5693*(1+Sens!J5694)</f>
        <v>19.1273539319129</v>
      </c>
      <c r="K5693" s="6" t="n">
        <f aca="false">Sens!J5693*(1+Sens!K5694)</f>
        <v>19.5099010105511</v>
      </c>
    </row>
    <row r="5694" customFormat="false" ht="15" hidden="false" customHeight="false" outlineLevel="0" collapsed="false">
      <c r="A5694" s="1" t="s">
        <v>782</v>
      </c>
      <c r="B5694" s="0" t="s">
        <v>126</v>
      </c>
      <c r="E5694" s="7" t="n">
        <f aca="false">Sens!E5693/Sens!D5693-1</f>
        <v>-0.0709869963760392</v>
      </c>
      <c r="F5694" s="7" t="n">
        <f aca="false">Sens!$E$5694+(glt_xbox-Sens!$E$5694)*MIN(1,1/n_conv)</f>
        <v>-0.0558224969800327</v>
      </c>
      <c r="G5694" s="7" t="n">
        <f aca="false">Sens!$E$5694+(glt_xbox-Sens!$E$5694)*MIN(1,2/n_conv)</f>
        <v>-0.0406579975840262</v>
      </c>
      <c r="H5694" s="7" t="n">
        <f aca="false">Sens!$E$5694+(glt_xbox-Sens!$E$5694)*MIN(1,3/n_conv)</f>
        <v>-0.0254934981880196</v>
      </c>
      <c r="I5694" s="7" t="n">
        <f aca="false">Sens!$E$5694+(glt_xbox-Sens!$E$5694)*MIN(1,4/n_conv)</f>
        <v>-0.0103289987920131</v>
      </c>
      <c r="J5694" s="7" t="n">
        <f aca="false">Sens!$E$5694+(glt_xbox-Sens!$E$5694)*MIN(1,5/n_conv)</f>
        <v>0.00483550060399347</v>
      </c>
      <c r="K5694" s="7" t="n">
        <f aca="false">Sens!$E$5694+(glt_xbox-Sens!$E$5694)*MIN(1,6/n_conv)</f>
        <v>0.02</v>
      </c>
    </row>
    <row r="5695" customFormat="false" ht="15" hidden="false" customHeight="false" outlineLevel="0" collapsed="false">
      <c r="A5695" s="0" t="s">
        <v>794</v>
      </c>
      <c r="B5695" s="0" t="s">
        <v>95</v>
      </c>
      <c r="D5695" s="6" t="n">
        <f aca="false">Q!L15</f>
        <v>17.315</v>
      </c>
      <c r="E5695" s="6" t="n">
        <f aca="false">Q!M15</f>
        <v>17.087</v>
      </c>
      <c r="F5695" s="6" t="n">
        <f aca="false">Sens!E5695*(1+Sens!F5696)</f>
        <v>16.9564585436519</v>
      </c>
      <c r="G5695" s="6" t="n">
        <f aca="false">Sens!F5695*(1+Sens!G5696)</f>
        <v>16.9206490624268</v>
      </c>
      <c r="H5695" s="6" t="n">
        <f aca="false">Sens!G5695*(1+Sens!H5696)</f>
        <v>16.9784519149849</v>
      </c>
      <c r="I5695" s="6" t="n">
        <f aca="false">Sens!H5695*(1+Sens!I5696)</f>
        <v>17.1303084701817</v>
      </c>
      <c r="J5695" s="6" t="n">
        <f aca="false">Sens!I5695*(1+Sens!J5696)</f>
        <v>17.3782189407267</v>
      </c>
      <c r="K5695" s="6" t="n">
        <f aca="false">Sens!J5695*(1+Sens!K5696)</f>
        <v>17.7257833195413</v>
      </c>
    </row>
    <row r="5696" customFormat="false" ht="15" hidden="false" customHeight="false" outlineLevel="0" collapsed="false">
      <c r="A5696" s="1" t="s">
        <v>782</v>
      </c>
      <c r="B5696" s="0" t="s">
        <v>126</v>
      </c>
      <c r="E5696" s="7" t="n">
        <f aca="false">Sens!E5695/Sens!D5695-1</f>
        <v>-0.0131677736066995</v>
      </c>
      <c r="F5696" s="7" t="n">
        <f aca="false">Sens!$E$5696+(glt_win-Sens!$E$5696)*MIN(1,1/n_conv)</f>
        <v>-0.00763981133891627</v>
      </c>
      <c r="G5696" s="7" t="n">
        <f aca="false">Sens!$E$5696+(glt_win-Sens!$E$5696)*MIN(1,2/n_conv)</f>
        <v>-0.00211184907113301</v>
      </c>
      <c r="H5696" s="7" t="n">
        <f aca="false">Sens!$E$5696+(glt_win-Sens!$E$5696)*MIN(1,3/n_conv)</f>
        <v>0.00341611319665024</v>
      </c>
      <c r="I5696" s="7" t="n">
        <f aca="false">Sens!$E$5696+(glt_win-Sens!$E$5696)*MIN(1,4/n_conv)</f>
        <v>0.00894407546443349</v>
      </c>
      <c r="J5696" s="7" t="n">
        <f aca="false">Sens!$E$5696+(glt_win-Sens!$E$5696)*MIN(1,5/n_conv)</f>
        <v>0.0144720377322168</v>
      </c>
      <c r="K5696" s="7" t="n">
        <f aca="false">Sens!$E$5696+(glt_win-Sens!$E$5696)*MIN(1,6/n_conv)</f>
        <v>0.02</v>
      </c>
    </row>
    <row r="5697" customFormat="false" ht="15" hidden="false" customHeight="false" outlineLevel="0" collapsed="false">
      <c r="A5697" s="0" t="s">
        <v>640</v>
      </c>
      <c r="B5697" s="0" t="s">
        <v>95</v>
      </c>
      <c r="D5697" s="6" t="n">
        <f aca="false">Sens!D5691+Sens!D5693+Sens!D5695</f>
        <v>62.941</v>
      </c>
      <c r="E5697" s="6" t="n">
        <f aca="false">Sens!E5691+Sens!E5693+Sens!E5695</f>
        <v>63.712</v>
      </c>
      <c r="F5697" s="6" t="n">
        <f aca="false">Sens!F5691+Sens!F5693+Sens!F5695</f>
        <v>65.1415764563129</v>
      </c>
      <c r="G5697" s="6" t="n">
        <f aca="false">Sens!G5691+Sens!G5693+Sens!G5695</f>
        <v>67.1253610780702</v>
      </c>
      <c r="H5697" s="6" t="n">
        <f aca="false">Sens!H5691+Sens!H5693+Sens!H5695</f>
        <v>69.5768050148776</v>
      </c>
      <c r="I5697" s="6" t="n">
        <f aca="false">Sens!I5691+Sens!I5693+Sens!I5695</f>
        <v>72.4233188088189</v>
      </c>
      <c r="J5697" s="6" t="n">
        <f aca="false">Sens!J5691+Sens!J5693+Sens!J5695</f>
        <v>75.6044096678567</v>
      </c>
      <c r="K5697" s="6" t="n">
        <f aca="false">Sens!K5691+Sens!K5693+Sens!K5695</f>
        <v>79.0714397009747</v>
      </c>
    </row>
    <row r="5698" customFormat="false" ht="15" hidden="false" customHeight="false" outlineLevel="0" collapsed="false">
      <c r="A5698" s="1" t="s">
        <v>795</v>
      </c>
      <c r="B5698" s="0" t="s">
        <v>95</v>
      </c>
      <c r="D5698" s="6" t="n">
        <f aca="false">Sens!D5690+Sens!D5697</f>
        <v>281.724</v>
      </c>
      <c r="E5698" s="6" t="n">
        <f aca="false">Sens!E5690+Sens!E5697</f>
        <v>331.839</v>
      </c>
      <c r="F5698" s="6" t="n">
        <f aca="false">Sens!F5690+Sens!F5697</f>
        <v>390.565009521169</v>
      </c>
      <c r="G5698" s="6" t="n">
        <f aca="false">Sens!G5690+Sens!G5697</f>
        <v>452.615226751344</v>
      </c>
      <c r="H5698" s="6" t="n">
        <f aca="false">Sens!H5690+Sens!H5697</f>
        <v>510.713125886071</v>
      </c>
      <c r="I5698" s="6" t="n">
        <f aca="false">Sens!I5690+Sens!I5697</f>
        <v>575.087044036803</v>
      </c>
      <c r="J5698" s="6" t="n">
        <f aca="false">Sens!J5690+Sens!J5697</f>
        <v>637.150942759249</v>
      </c>
      <c r="K5698" s="6" t="n">
        <f aca="false">Sens!K5690+Sens!K5697</f>
        <v>696.009043679644</v>
      </c>
    </row>
    <row r="5699" customFormat="false" ht="15" hidden="false" customHeight="false" outlineLevel="0" collapsed="false">
      <c r="A5699" s="22" t="s">
        <v>796</v>
      </c>
      <c r="B5699" s="28" t="s">
        <v>95</v>
      </c>
      <c r="C5699" s="28"/>
      <c r="D5699" s="23" t="n">
        <f aca="false">(Sens!D5678+Sens!D5683+Sens!D5684+Sens!D5686+Sens!D5688-Sens!D5690)+(Sens!D5691+Sens!D5693+Sens!D5695-Sens!D5697)+(Sens!D5690-Q!L5)+(Sens!D5697-Q!L12)+(Sens!D5678-Q!L6)+(Sens!D5683-Q!L7)</f>
        <v>0</v>
      </c>
      <c r="E5699" s="23" t="n">
        <f aca="false">(Sens!E5678+Sens!E5683+Sens!E5684+Sens!E5686+Sens!E5688-Sens!E5690)+(Sens!E5691+Sens!E5693+Sens!E5695-Sens!E5697)+(Sens!E5690-Q!M5)+(Sens!E5697-Q!M12)+(Sens!E5678-Q!M6)+(Sens!E5683-Q!M7)</f>
        <v>0</v>
      </c>
      <c r="F5699" s="23" t="n">
        <f aca="false">(Sens!F5678+Sens!F5683+Sens!F5684+Sens!F5686+Sens!F5688-Sens!F5690)+(Sens!F5691+Sens!F5693+Sens!F5695-Sens!F5697)</f>
        <v>0</v>
      </c>
      <c r="G5699" s="23" t="n">
        <f aca="false">(Sens!G5678+Sens!G5683+Sens!G5684+Sens!G5686+Sens!G5688-Sens!G5690)+(Sens!G5691+Sens!G5693+Sens!G5695-Sens!G5697)</f>
        <v>0</v>
      </c>
      <c r="H5699" s="23" t="n">
        <f aca="false">(Sens!H5678+Sens!H5683+Sens!H5684+Sens!H5686+Sens!H5688-Sens!H5690)+(Sens!H5691+Sens!H5693+Sens!H5695-Sens!H5697)</f>
        <v>0</v>
      </c>
      <c r="I5699" s="23" t="n">
        <f aca="false">(Sens!I5678+Sens!I5683+Sens!I5684+Sens!I5686+Sens!I5688-Sens!I5690)+(Sens!I5691+Sens!I5693+Sens!I5695-Sens!I5697)</f>
        <v>0</v>
      </c>
      <c r="J5699" s="23" t="n">
        <f aca="false">(Sens!J5678+Sens!J5683+Sens!J5684+Sens!J5686+Sens!J5688-Sens!J5690)+(Sens!J5691+Sens!J5693+Sens!J5695-Sens!J5697)</f>
        <v>0</v>
      </c>
      <c r="K5699" s="23" t="n">
        <f aca="false">(Sens!K5678+Sens!K5683+Sens!K5684+Sens!K5686+Sens!K5688-Sens!K5690)+(Sens!K5691+Sens!K5693+Sens!K5695-Sens!K5697)</f>
        <v>0</v>
      </c>
    </row>
    <row r="5700" customFormat="false" ht="17.15" hidden="false" customHeight="false" outlineLevel="0" collapsed="false">
      <c r="A5700" s="3" t="s">
        <v>1276</v>
      </c>
    </row>
    <row r="5701" customFormat="false" ht="15" hidden="false" customHeight="false" outlineLevel="0" collapsed="false">
      <c r="A5701" s="4" t="s">
        <v>43</v>
      </c>
      <c r="B5701" s="4" t="s">
        <v>63</v>
      </c>
      <c r="C5701" s="19" t="s">
        <v>710</v>
      </c>
      <c r="D5701" s="19" t="s">
        <v>711</v>
      </c>
      <c r="E5701" s="19" t="s">
        <v>712</v>
      </c>
      <c r="F5701" s="19" t="s">
        <v>713</v>
      </c>
      <c r="G5701" s="19" t="s">
        <v>714</v>
      </c>
      <c r="H5701" s="19" t="s">
        <v>715</v>
      </c>
      <c r="I5701" s="19" t="s">
        <v>716</v>
      </c>
      <c r="J5701" s="19" t="s">
        <v>717</v>
      </c>
      <c r="K5701" s="19" t="s">
        <v>718</v>
      </c>
      <c r="L5701" s="4" t="s">
        <v>47</v>
      </c>
    </row>
    <row r="5702" customFormat="false" ht="15" hidden="false" customHeight="false" outlineLevel="0" collapsed="false">
      <c r="A5702" s="0" t="s">
        <v>783</v>
      </c>
      <c r="B5702" s="0" t="s">
        <v>95</v>
      </c>
      <c r="D5702" s="6" t="n">
        <f aca="false">Sens!D5678</f>
        <v>72.61</v>
      </c>
      <c r="E5702" s="6" t="n">
        <f aca="false">Sens!E5678</f>
        <v>101.938</v>
      </c>
      <c r="F5702" s="6" t="n">
        <f aca="false">Sens!F5678</f>
        <v>140.741861125673</v>
      </c>
      <c r="G5702" s="6" t="n">
        <f aca="false">Sens!G5678</f>
        <v>182.176709135845</v>
      </c>
      <c r="H5702" s="6" t="n">
        <f aca="false">Sens!H5678</f>
        <v>219.167638189678</v>
      </c>
      <c r="I5702" s="6" t="n">
        <f aca="false">Sens!I5678</f>
        <v>262.852370248498</v>
      </c>
      <c r="J5702" s="6" t="n">
        <f aca="false">Sens!J5678</f>
        <v>305.025635987223</v>
      </c>
      <c r="K5702" s="6" t="n">
        <f aca="false">Sens!K5678</f>
        <v>344.633534638493</v>
      </c>
    </row>
    <row r="5703" customFormat="false" ht="17.15" hidden="false" customHeight="false" outlineLevel="0" collapsed="false">
      <c r="A5703" s="0" t="s">
        <v>780</v>
      </c>
      <c r="B5703" s="0" t="s">
        <v>95</v>
      </c>
      <c r="D5703" s="6" t="n">
        <f aca="false">Sens!D5675</f>
        <v>12.9359794422418</v>
      </c>
      <c r="E5703" s="6" t="n">
        <f aca="false">Sens!E5675</f>
        <v>27.8095064661409</v>
      </c>
      <c r="F5703" s="6" t="n">
        <f aca="false">Sens!F5675</f>
        <v>50.6619113883066</v>
      </c>
      <c r="G5703" s="6" t="n">
        <f aca="false">Sens!G5675</f>
        <v>75.1482839325348</v>
      </c>
      <c r="H5703" s="6" t="n">
        <f aca="false">Sens!H5675</f>
        <v>94.895655604042</v>
      </c>
      <c r="I5703" s="6" t="n">
        <f aca="false">Sens!I5675</f>
        <v>121.918667866643</v>
      </c>
      <c r="J5703" s="6" t="n">
        <f aca="false">Sens!J5675</f>
        <v>149.006768672892</v>
      </c>
      <c r="K5703" s="6" t="n">
        <f aca="false">Sens!K5675</f>
        <v>176.133157939015</v>
      </c>
    </row>
    <row r="5704" customFormat="false" ht="17.15" hidden="false" customHeight="false" outlineLevel="0" collapsed="false">
      <c r="A5704" s="0" t="s">
        <v>807</v>
      </c>
      <c r="B5704" s="0" t="s">
        <v>95</v>
      </c>
      <c r="D5704" s="6" t="n">
        <f aca="false">Sens!D5676</f>
        <v>59.6740205577583</v>
      </c>
      <c r="E5704" s="6" t="n">
        <f aca="false">Sens!E5676</f>
        <v>74.1284935338591</v>
      </c>
      <c r="F5704" s="6" t="n">
        <f aca="false">Sens!F5676</f>
        <v>90.0799497373663</v>
      </c>
      <c r="G5704" s="6" t="n">
        <f aca="false">Sens!G5676</f>
        <v>107.02842520331</v>
      </c>
      <c r="H5704" s="6" t="n">
        <f aca="false">Sens!H5676</f>
        <v>124.271982585636</v>
      </c>
      <c r="I5704" s="6" t="n">
        <f aca="false">Sens!I5676</f>
        <v>140.933702381855</v>
      </c>
      <c r="J5704" s="6" t="n">
        <f aca="false">Sens!J5676</f>
        <v>156.018867314332</v>
      </c>
      <c r="K5704" s="6" t="n">
        <f aca="false">Sens!K5676</f>
        <v>168.500376699478</v>
      </c>
    </row>
    <row r="5705" customFormat="false" ht="15" hidden="false" customHeight="false" outlineLevel="0" collapsed="false">
      <c r="A5705" s="0" t="s">
        <v>788</v>
      </c>
      <c r="B5705" s="0" t="s">
        <v>95</v>
      </c>
      <c r="D5705" s="6" t="n">
        <f aca="false">Sens!D5683</f>
        <v>84.605</v>
      </c>
      <c r="E5705" s="6" t="n">
        <f aca="false">Sens!E5683</f>
        <v>100.299</v>
      </c>
      <c r="F5705" s="6" t="n">
        <f aca="false">Sens!F5683</f>
        <v>114.45238776686</v>
      </c>
      <c r="G5705" s="6" t="n">
        <f aca="false">Sens!G5683</f>
        <v>128.764168448684</v>
      </c>
      <c r="H5705" s="6" t="n">
        <f aca="false">Sens!H5683</f>
        <v>143.157359388781</v>
      </c>
      <c r="I5705" s="6" t="n">
        <f aca="false">Sens!I5683</f>
        <v>156.834028071957</v>
      </c>
      <c r="J5705" s="6" t="n">
        <f aca="false">Sens!J5683</f>
        <v>169.512702785465</v>
      </c>
      <c r="K5705" s="6" t="n">
        <f aca="false">Sens!K5683</f>
        <v>181.437991980448</v>
      </c>
    </row>
    <row r="5706" customFormat="false" ht="17.15" hidden="false" customHeight="false" outlineLevel="0" collapsed="false">
      <c r="A5706" s="0" t="s">
        <v>808</v>
      </c>
      <c r="B5706" s="0" t="s">
        <v>95</v>
      </c>
      <c r="D5706" s="6" t="n">
        <f aca="false">Sens!D5681</f>
        <v>83.705</v>
      </c>
      <c r="E5706" s="6" t="n">
        <f aca="false">Sens!E5681</f>
        <v>95.049</v>
      </c>
      <c r="F5706" s="6" t="n">
        <f aca="false">Sens!F5681</f>
        <v>106.89238776686</v>
      </c>
      <c r="G5706" s="6" t="n">
        <f aca="false">Sens!G5681</f>
        <v>119.044168448684</v>
      </c>
      <c r="H5706" s="6" t="n">
        <f aca="false">Sens!H5681</f>
        <v>131.277359388781</v>
      </c>
      <c r="I5706" s="6" t="n">
        <f aca="false">Sens!I5681</f>
        <v>143.334028071957</v>
      </c>
      <c r="J5706" s="6" t="n">
        <f aca="false">Sens!J5681</f>
        <v>154.932702785465</v>
      </c>
      <c r="K5706" s="6" t="n">
        <f aca="false">Sens!K5681</f>
        <v>165.777991980448</v>
      </c>
    </row>
    <row r="5707" customFormat="false" ht="17.15" hidden="false" customHeight="false" outlineLevel="0" collapsed="false">
      <c r="A5707" s="0" t="s">
        <v>809</v>
      </c>
      <c r="B5707" s="0" t="s">
        <v>95</v>
      </c>
      <c r="D5707" s="6" t="n">
        <f aca="false">Sens!D5680</f>
        <v>0.9</v>
      </c>
      <c r="E5707" s="6" t="n">
        <f aca="false">Sens!E5680</f>
        <v>5.25</v>
      </c>
      <c r="F5707" s="6" t="n">
        <f aca="false">Sens!F5680</f>
        <v>7.56</v>
      </c>
      <c r="G5707" s="6" t="n">
        <f aca="false">Sens!G5680</f>
        <v>9.72</v>
      </c>
      <c r="H5707" s="6" t="n">
        <f aca="false">Sens!H5680</f>
        <v>11.88</v>
      </c>
      <c r="I5707" s="6" t="n">
        <f aca="false">Sens!I5680</f>
        <v>13.5</v>
      </c>
      <c r="J5707" s="6" t="n">
        <f aca="false">Sens!J5680</f>
        <v>14.58</v>
      </c>
      <c r="K5707" s="6" t="n">
        <f aca="false">Sens!K5680</f>
        <v>15.66</v>
      </c>
    </row>
    <row r="5708" customFormat="false" ht="15" hidden="false" customHeight="false" outlineLevel="0" collapsed="false">
      <c r="A5708" s="0" t="s">
        <v>789</v>
      </c>
      <c r="B5708" s="0" t="s">
        <v>95</v>
      </c>
      <c r="D5708" s="6" t="n">
        <f aca="false">Sens!D5684</f>
        <v>35.391</v>
      </c>
      <c r="E5708" s="6" t="n">
        <f aca="false">Sens!E5684</f>
        <v>37.285</v>
      </c>
      <c r="F5708" s="6" t="n">
        <f aca="false">Sens!F5684</f>
        <v>39.0720834331704</v>
      </c>
      <c r="G5708" s="6" t="n">
        <f aca="false">Sens!G5684</f>
        <v>40.726562953769</v>
      </c>
      <c r="H5708" s="6" t="n">
        <f aca="false">Sens!H5684</f>
        <v>42.2235987259198</v>
      </c>
      <c r="I5708" s="6" t="n">
        <f aca="false">Sens!I5684</f>
        <v>43.5397988077414</v>
      </c>
      <c r="J5708" s="6" t="n">
        <f aca="false">Sens!J5684</f>
        <v>44.653811225693</v>
      </c>
      <c r="K5708" s="6" t="n">
        <f aca="false">Sens!K5684</f>
        <v>45.5468874502068</v>
      </c>
    </row>
    <row r="5709" customFormat="false" ht="15" hidden="false" customHeight="false" outlineLevel="0" collapsed="false">
      <c r="A5709" s="0" t="s">
        <v>790</v>
      </c>
      <c r="B5709" s="0" t="s">
        <v>95</v>
      </c>
      <c r="D5709" s="6" t="n">
        <f aca="false">Sens!D5686</f>
        <v>18.417</v>
      </c>
      <c r="E5709" s="6" t="n">
        <f aca="false">Sens!E5686</f>
        <v>20.345</v>
      </c>
      <c r="F5709" s="6" t="n">
        <f aca="false">Sens!F5686</f>
        <v>22.3572203267814</v>
      </c>
      <c r="G5709" s="6" t="n">
        <f aca="false">Sens!G5686</f>
        <v>24.4392124437232</v>
      </c>
      <c r="H5709" s="6" t="n">
        <f aca="false">Sens!H5686</f>
        <v>26.5738052080665</v>
      </c>
      <c r="I5709" s="6" t="n">
        <f aca="false">Sens!I5686</f>
        <v>28.7412169166967</v>
      </c>
      <c r="J5709" s="6" t="n">
        <f aca="false">Sens!J5686</f>
        <v>30.9192545395413</v>
      </c>
      <c r="K5709" s="6" t="n">
        <f aca="false">Sens!K5686</f>
        <v>33.0836023573092</v>
      </c>
    </row>
    <row r="5710" customFormat="false" ht="15" hidden="false" customHeight="false" outlineLevel="0" collapsed="false">
      <c r="A5710" s="0" t="s">
        <v>791</v>
      </c>
      <c r="B5710" s="0" t="s">
        <v>95</v>
      </c>
      <c r="D5710" s="6" t="n">
        <f aca="false">Sens!D5688</f>
        <v>7.76</v>
      </c>
      <c r="E5710" s="6" t="n">
        <f aca="false">Sens!E5688</f>
        <v>8.26</v>
      </c>
      <c r="F5710" s="6" t="n">
        <f aca="false">Sens!F5688</f>
        <v>8.79988041237113</v>
      </c>
      <c r="G5710" s="6" t="n">
        <f aca="false">Sens!G5688</f>
        <v>9.38321269125306</v>
      </c>
      <c r="H5710" s="6" t="n">
        <f aca="false">Sens!H5688</f>
        <v>10.0139193587476</v>
      </c>
      <c r="I5710" s="6" t="n">
        <f aca="false">Sens!I5688</f>
        <v>10.6963111830911</v>
      </c>
      <c r="J5710" s="6" t="n">
        <f aca="false">Sens!J5688</f>
        <v>11.4351285534696</v>
      </c>
      <c r="K5710" s="6" t="n">
        <f aca="false">Sens!K5688</f>
        <v>12.2355875522124</v>
      </c>
    </row>
    <row r="5711" customFormat="false" ht="15" hidden="false" customHeight="false" outlineLevel="0" collapsed="false">
      <c r="A5711" s="0" t="s">
        <v>626</v>
      </c>
      <c r="B5711" s="0" t="s">
        <v>95</v>
      </c>
      <c r="D5711" s="6" t="n">
        <f aca="false">Sens!D5690</f>
        <v>218.783</v>
      </c>
      <c r="E5711" s="6" t="n">
        <f aca="false">Sens!E5690</f>
        <v>268.127</v>
      </c>
      <c r="F5711" s="6" t="n">
        <f aca="false">Sens!F5690</f>
        <v>325.423433064856</v>
      </c>
      <c r="G5711" s="6" t="n">
        <f aca="false">Sens!G5690</f>
        <v>385.489865673274</v>
      </c>
      <c r="H5711" s="6" t="n">
        <f aca="false">Sens!H5690</f>
        <v>441.136320871193</v>
      </c>
      <c r="I5711" s="6" t="n">
        <f aca="false">Sens!I5690</f>
        <v>502.663725227984</v>
      </c>
      <c r="J5711" s="6" t="n">
        <f aca="false">Sens!J5690</f>
        <v>561.546533091393</v>
      </c>
      <c r="K5711" s="6" t="n">
        <f aca="false">Sens!K5690</f>
        <v>616.93760397867</v>
      </c>
    </row>
    <row r="5712" customFormat="false" ht="15" hidden="false" customHeight="false" outlineLevel="0" collapsed="false">
      <c r="A5712" s="0" t="s">
        <v>792</v>
      </c>
      <c r="B5712" s="0" t="s">
        <v>95</v>
      </c>
      <c r="D5712" s="6" t="n">
        <f aca="false">Sens!D5691</f>
        <v>22.171</v>
      </c>
      <c r="E5712" s="6" t="n">
        <f aca="false">Sens!E5691</f>
        <v>24.835</v>
      </c>
      <c r="F5712" s="6" t="n">
        <f aca="false">Sens!F5691</f>
        <v>27.6114901218559</v>
      </c>
      <c r="G5712" s="6" t="n">
        <f aca="false">Sens!G5691</f>
        <v>30.4675667338515</v>
      </c>
      <c r="H5712" s="6" t="n">
        <f aca="false">Sens!H5691</f>
        <v>33.3643766955789</v>
      </c>
      <c r="I5712" s="6" t="n">
        <f aca="false">Sens!I5691</f>
        <v>36.2577016533691</v>
      </c>
      <c r="J5712" s="6" t="n">
        <f aca="false">Sens!J5691</f>
        <v>39.0988367952171</v>
      </c>
      <c r="K5712" s="6" t="n">
        <f aca="false">Sens!K5691</f>
        <v>41.8357553708823</v>
      </c>
    </row>
    <row r="5713" customFormat="false" ht="15" hidden="false" customHeight="false" outlineLevel="0" collapsed="false">
      <c r="A5713" s="0" t="s">
        <v>793</v>
      </c>
      <c r="B5713" s="0" t="s">
        <v>95</v>
      </c>
      <c r="D5713" s="6" t="n">
        <f aca="false">Sens!D5693</f>
        <v>23.455</v>
      </c>
      <c r="E5713" s="6" t="n">
        <f aca="false">Sens!E5693</f>
        <v>21.79</v>
      </c>
      <c r="F5713" s="6" t="n">
        <f aca="false">Sens!F5693</f>
        <v>20.5736277908051</v>
      </c>
      <c r="G5713" s="6" t="n">
        <f aca="false">Sens!G5693</f>
        <v>19.7371452817919</v>
      </c>
      <c r="H5713" s="6" t="n">
        <f aca="false">Sens!H5693</f>
        <v>19.2339764043138</v>
      </c>
      <c r="I5713" s="6" t="n">
        <f aca="false">Sens!I5693</f>
        <v>19.0353086852681</v>
      </c>
      <c r="J5713" s="6" t="n">
        <f aca="false">Sens!J5693</f>
        <v>19.1273539319129</v>
      </c>
      <c r="K5713" s="6" t="n">
        <f aca="false">Sens!K5693</f>
        <v>19.5099010105511</v>
      </c>
    </row>
    <row r="5714" customFormat="false" ht="15" hidden="false" customHeight="false" outlineLevel="0" collapsed="false">
      <c r="A5714" s="0" t="s">
        <v>794</v>
      </c>
      <c r="B5714" s="0" t="s">
        <v>95</v>
      </c>
      <c r="D5714" s="6" t="n">
        <f aca="false">Sens!D5695</f>
        <v>17.315</v>
      </c>
      <c r="E5714" s="6" t="n">
        <f aca="false">Sens!E5695</f>
        <v>17.087</v>
      </c>
      <c r="F5714" s="6" t="n">
        <f aca="false">Sens!F5695</f>
        <v>16.9564585436519</v>
      </c>
      <c r="G5714" s="6" t="n">
        <f aca="false">Sens!G5695</f>
        <v>16.9206490624268</v>
      </c>
      <c r="H5714" s="6" t="n">
        <f aca="false">Sens!H5695</f>
        <v>16.9784519149849</v>
      </c>
      <c r="I5714" s="6" t="n">
        <f aca="false">Sens!I5695</f>
        <v>17.1303084701817</v>
      </c>
      <c r="J5714" s="6" t="n">
        <f aca="false">Sens!J5695</f>
        <v>17.3782189407267</v>
      </c>
      <c r="K5714" s="6" t="n">
        <f aca="false">Sens!K5695</f>
        <v>17.7257833195413</v>
      </c>
    </row>
    <row r="5715" customFormat="false" ht="15" hidden="false" customHeight="false" outlineLevel="0" collapsed="false">
      <c r="A5715" s="0" t="s">
        <v>640</v>
      </c>
      <c r="B5715" s="0" t="s">
        <v>95</v>
      </c>
      <c r="D5715" s="6" t="n">
        <f aca="false">Sens!D5697</f>
        <v>62.941</v>
      </c>
      <c r="E5715" s="6" t="n">
        <f aca="false">Sens!E5697</f>
        <v>63.712</v>
      </c>
      <c r="F5715" s="6" t="n">
        <f aca="false">Sens!F5697</f>
        <v>65.1415764563129</v>
      </c>
      <c r="G5715" s="6" t="n">
        <f aca="false">Sens!G5697</f>
        <v>67.1253610780702</v>
      </c>
      <c r="H5715" s="6" t="n">
        <f aca="false">Sens!H5697</f>
        <v>69.5768050148776</v>
      </c>
      <c r="I5715" s="6" t="n">
        <f aca="false">Sens!I5697</f>
        <v>72.4233188088189</v>
      </c>
      <c r="J5715" s="6" t="n">
        <f aca="false">Sens!J5697</f>
        <v>75.6044096678567</v>
      </c>
      <c r="K5715" s="6" t="n">
        <f aca="false">Sens!K5697</f>
        <v>79.0714397009747</v>
      </c>
    </row>
    <row r="5716" customFormat="false" ht="15" hidden="false" customHeight="false" outlineLevel="0" collapsed="false">
      <c r="A5716" s="1" t="s">
        <v>810</v>
      </c>
      <c r="B5716" s="0" t="s">
        <v>95</v>
      </c>
      <c r="D5716" s="6" t="n">
        <f aca="false">Sens!D5698</f>
        <v>281.724</v>
      </c>
      <c r="E5716" s="6" t="n">
        <f aca="false">Sens!E5698</f>
        <v>331.839</v>
      </c>
      <c r="F5716" s="6" t="n">
        <f aca="false">Sens!F5698</f>
        <v>390.565009521169</v>
      </c>
      <c r="G5716" s="6" t="n">
        <f aca="false">Sens!G5698</f>
        <v>452.615226751344</v>
      </c>
      <c r="H5716" s="6" t="n">
        <f aca="false">Sens!H5698</f>
        <v>510.713125886071</v>
      </c>
      <c r="I5716" s="6" t="n">
        <f aca="false">Sens!I5698</f>
        <v>575.087044036803</v>
      </c>
      <c r="J5716" s="6" t="n">
        <f aca="false">Sens!J5698</f>
        <v>637.150942759249</v>
      </c>
      <c r="K5716" s="6" t="n">
        <f aca="false">Sens!K5698</f>
        <v>696.009043679644</v>
      </c>
    </row>
    <row r="5717" customFormat="false" ht="15" hidden="false" customHeight="false" outlineLevel="0" collapsed="false">
      <c r="A5717" s="1" t="s">
        <v>811</v>
      </c>
      <c r="B5717" s="0" t="s">
        <v>126</v>
      </c>
      <c r="E5717" s="7" t="n">
        <f aca="false">Sens!E5716/Sens!D5716-1</f>
        <v>0.177886867998467</v>
      </c>
      <c r="F5717" s="7" t="n">
        <f aca="false">Sens!F5716/Sens!E5716-1</f>
        <v>0.176971391310752</v>
      </c>
      <c r="G5717" s="7" t="n">
        <f aca="false">Sens!G5716/Sens!F5716-1</f>
        <v>0.158872955122756</v>
      </c>
      <c r="H5717" s="7" t="n">
        <f aca="false">Sens!H5716/Sens!G5716-1</f>
        <v>0.12836046094102</v>
      </c>
      <c r="I5717" s="7" t="n">
        <f aca="false">Sens!I5716/Sens!H5716-1</f>
        <v>0.126047118994731</v>
      </c>
      <c r="J5717" s="7" t="n">
        <f aca="false">Sens!J5716/Sens!I5716-1</f>
        <v>0.107920878006207</v>
      </c>
      <c r="K5717" s="7" t="n">
        <f aca="false">Sens!K5716/Sens!J5716-1</f>
        <v>0.0923770129971147</v>
      </c>
    </row>
    <row r="5718" customFormat="false" ht="17.15" hidden="false" customHeight="false" outlineLevel="0" collapsed="false">
      <c r="A5718" s="22" t="s">
        <v>812</v>
      </c>
      <c r="B5718" s="28" t="s">
        <v>95</v>
      </c>
      <c r="C5718" s="28"/>
      <c r="D5718" s="23" t="n">
        <f aca="false">(Sens!D5711+Sens!D5715-Sens!D5716)+(Sens!D5703+Sens!D5704-Sens!D5702)+(Sens!D5706+Sens!D5707-Sens!D5705)+(Sens!D5716-Q!L18)</f>
        <v>0</v>
      </c>
      <c r="E5718" s="23" t="n">
        <f aca="false">(Sens!E5711+Sens!E5715-Sens!E5716)+(Sens!E5703+Sens!E5704-Sens!E5702)+(Sens!E5706+Sens!E5707-Sens!E5705)+(Sens!E5716-Q!M18)</f>
        <v>0</v>
      </c>
      <c r="F5718" s="23" t="n">
        <f aca="false">(Sens!F5711+Sens!F5715-Sens!F5716)+(Sens!F5703+Sens!F5704-Sens!F5702)+(Sens!F5706+Sens!F5707-Sens!F5705)</f>
        <v>0</v>
      </c>
      <c r="G5718" s="23" t="n">
        <f aca="false">(Sens!G5711+Sens!G5715-Sens!G5716)+(Sens!G5703+Sens!G5704-Sens!G5702)+(Sens!G5706+Sens!G5707-Sens!G5705)</f>
        <v>0</v>
      </c>
      <c r="H5718" s="23" t="n">
        <f aca="false">(Sens!H5711+Sens!H5715-Sens!H5716)+(Sens!H5703+Sens!H5704-Sens!H5702)+(Sens!H5706+Sens!H5707-Sens!H5705)</f>
        <v>0</v>
      </c>
      <c r="I5718" s="23" t="n">
        <f aca="false">(Sens!I5711+Sens!I5715-Sens!I5716)+(Sens!I5703+Sens!I5704-Sens!I5702)+(Sens!I5706+Sens!I5707-Sens!I5705)</f>
        <v>0</v>
      </c>
      <c r="J5718" s="23" t="n">
        <f aca="false">(Sens!J5711+Sens!J5715-Sens!J5716)+(Sens!J5703+Sens!J5704-Sens!J5702)+(Sens!J5706+Sens!J5707-Sens!J5705)</f>
        <v>0</v>
      </c>
      <c r="K5718" s="23" t="n">
        <f aca="false">(Sens!K5711+Sens!K5715-Sens!K5716)+(Sens!K5703+Sens!K5704-Sens!K5702)+(Sens!K5706+Sens!K5707-Sens!K5705)</f>
        <v>0</v>
      </c>
    </row>
    <row r="5719" customFormat="false" ht="17.15" hidden="false" customHeight="false" outlineLevel="0" collapsed="false">
      <c r="A5719" s="0" t="s">
        <v>813</v>
      </c>
      <c r="B5719" s="0" t="s">
        <v>126</v>
      </c>
      <c r="E5719" s="7" t="n">
        <f aca="false">(Q!M21+Sens!E5656+Sens!E5657+Sens!E5658+Sens!E5671-Sens!E5654)/(Q!M5-Sens!E5654)</f>
        <v>0.570957350878296</v>
      </c>
      <c r="F5719" s="7" t="n">
        <f aca="false">Sens!$E$5719+dm_seg</f>
        <v>0.570957350878296</v>
      </c>
      <c r="G5719" s="7" t="n">
        <f aca="false">Sens!$E$5719+dm_seg</f>
        <v>0.570957350878296</v>
      </c>
      <c r="H5719" s="7" t="n">
        <f aca="false">Sens!$E$5719+dm_seg</f>
        <v>0.570957350878296</v>
      </c>
      <c r="I5719" s="7" t="n">
        <f aca="false">Sens!$E$5719+dm_seg</f>
        <v>0.570957350878296</v>
      </c>
      <c r="J5719" s="7" t="n">
        <f aca="false">Sens!$E$5719+dm_seg</f>
        <v>0.570957350878296</v>
      </c>
      <c r="K5719" s="7" t="n">
        <f aca="false">Sens!$E$5719+dm_seg</f>
        <v>0.570957350878296</v>
      </c>
      <c r="L5719" s="11" t="s">
        <v>814</v>
      </c>
    </row>
    <row r="5720" customFormat="false" ht="17.15" hidden="false" customHeight="false" outlineLevel="0" collapsed="false">
      <c r="A5720" s="0" t="s">
        <v>654</v>
      </c>
      <c r="B5720" s="0" t="s">
        <v>95</v>
      </c>
      <c r="D5720" s="6" t="n">
        <f aca="false">Q!L21</f>
        <v>110.814</v>
      </c>
      <c r="E5720" s="6" t="n">
        <f aca="false">Q!M21</f>
        <v>136.365</v>
      </c>
      <c r="F5720" s="6" t="n">
        <f aca="false">Sens!F5719*(Sens!F5690-Sens!F5654)+Sens!F5654-(Sens!F5656+Sens!F5657+Sens!F5658)-Sens!F5671</f>
        <v>150.623990095894</v>
      </c>
      <c r="G5720" s="6" t="n">
        <f aca="false">Sens!G5719*(Sens!G5690-Sens!G5654)+Sens!G5654-(Sens!G5656+Sens!G5657+Sens!G5658)-Sens!G5671</f>
        <v>158.076940114855</v>
      </c>
      <c r="H5720" s="6" t="n">
        <f aca="false">Sens!H5719*(Sens!H5690-Sens!H5654)+Sens!H5654-(Sens!H5656+Sens!H5657+Sens!H5658)-Sens!H5671</f>
        <v>159.888576363149</v>
      </c>
      <c r="I5720" s="6" t="n">
        <f aca="false">Sens!I5719*(Sens!I5690-Sens!I5654)+Sens!I5654-(Sens!I5656+Sens!I5657+Sens!I5658)-Sens!I5671</f>
        <v>167.129442748031</v>
      </c>
      <c r="J5720" s="6" t="n">
        <f aca="false">Sens!J5719*(Sens!J5690-Sens!J5654)+Sens!J5654-(Sens!J5656+Sens!J5657+Sens!J5658)-Sens!J5671</f>
        <v>171.89994246051</v>
      </c>
      <c r="K5720" s="6" t="n">
        <f aca="false">Sens!K5719*(Sens!K5690-Sens!K5654)+Sens!K5654-(Sens!K5656+Sens!K5657+Sens!K5658)-Sens!K5671</f>
        <v>173.396211371995</v>
      </c>
      <c r="L5720" s="1" t="s">
        <v>815</v>
      </c>
    </row>
    <row r="5721" customFormat="false" ht="17.15" hidden="false" customHeight="false" outlineLevel="0" collapsed="false">
      <c r="A5721" s="0" t="s">
        <v>816</v>
      </c>
      <c r="B5721" s="0" t="s">
        <v>126</v>
      </c>
      <c r="E5721" s="7" t="n">
        <f aca="false">Q!M22/Q!M12</f>
        <v>0.296207935710698</v>
      </c>
      <c r="F5721" s="7" t="n">
        <f aca="false">Sens!$E$5721+dm_seg</f>
        <v>0.296207935710698</v>
      </c>
      <c r="G5721" s="7" t="n">
        <f aca="false">Sens!$E$5721+dm_seg</f>
        <v>0.296207935710698</v>
      </c>
      <c r="H5721" s="7" t="n">
        <f aca="false">Sens!$E$5721+dm_seg</f>
        <v>0.296207935710698</v>
      </c>
      <c r="I5721" s="7" t="n">
        <f aca="false">Sens!$E$5721+dm_seg</f>
        <v>0.296207935710698</v>
      </c>
      <c r="J5721" s="7" t="n">
        <f aca="false">Sens!$E$5721+dm_seg</f>
        <v>0.296207935710698</v>
      </c>
      <c r="K5721" s="7" t="n">
        <f aca="false">Sens!$E$5721+dm_seg</f>
        <v>0.296207935710698</v>
      </c>
      <c r="L5721" s="11" t="s">
        <v>817</v>
      </c>
    </row>
    <row r="5722" customFormat="false" ht="17.15" hidden="false" customHeight="false" outlineLevel="0" collapsed="false">
      <c r="A5722" s="0" t="s">
        <v>656</v>
      </c>
      <c r="B5722" s="0" t="s">
        <v>95</v>
      </c>
      <c r="D5722" s="6" t="n">
        <f aca="false">Q!L22</f>
        <v>17.714</v>
      </c>
      <c r="E5722" s="6" t="n">
        <f aca="false">Q!M22</f>
        <v>18.872</v>
      </c>
      <c r="F5722" s="6" t="n">
        <f aca="false">Sens!F5697*Sens!F5721</f>
        <v>19.2954518910651</v>
      </c>
      <c r="G5722" s="6" t="n">
        <f aca="false">Sens!G5697*Sens!G5721</f>
        <v>19.8830646387704</v>
      </c>
      <c r="H5722" s="6" t="n">
        <f aca="false">Sens!H5697*Sens!H5721</f>
        <v>20.6092017868026</v>
      </c>
      <c r="I5722" s="6" t="n">
        <f aca="false">Sens!I5697*Sens!I5721</f>
        <v>21.452361761678</v>
      </c>
      <c r="J5722" s="6" t="n">
        <f aca="false">Sens!J5697*Sens!J5721</f>
        <v>22.3946261183418</v>
      </c>
      <c r="K5722" s="6" t="n">
        <f aca="false">Sens!K5697*Sens!K5721</f>
        <v>23.4215879274986</v>
      </c>
    </row>
    <row r="5723" customFormat="false" ht="15" hidden="false" customHeight="false" outlineLevel="0" collapsed="false">
      <c r="A5723" s="1" t="s">
        <v>818</v>
      </c>
      <c r="B5723" s="0" t="s">
        <v>95</v>
      </c>
      <c r="D5723" s="6" t="n">
        <f aca="false">Sens!D5720+Sens!D5722</f>
        <v>128.528</v>
      </c>
      <c r="E5723" s="6" t="n">
        <f aca="false">Sens!E5720+Sens!E5722</f>
        <v>155.237</v>
      </c>
      <c r="F5723" s="6" t="n">
        <f aca="false">Sens!F5720+Sens!F5722</f>
        <v>169.919441986959</v>
      </c>
      <c r="G5723" s="6" t="n">
        <f aca="false">Sens!G5720+Sens!G5722</f>
        <v>177.960004753625</v>
      </c>
      <c r="H5723" s="6" t="n">
        <f aca="false">Sens!H5720+Sens!H5722</f>
        <v>180.497778149952</v>
      </c>
      <c r="I5723" s="6" t="n">
        <f aca="false">Sens!I5720+Sens!I5722</f>
        <v>188.581804509709</v>
      </c>
      <c r="J5723" s="6" t="n">
        <f aca="false">Sens!J5720+Sens!J5722</f>
        <v>194.294568578851</v>
      </c>
      <c r="K5723" s="6" t="n">
        <f aca="false">Sens!K5720+Sens!K5722</f>
        <v>196.817799299493</v>
      </c>
    </row>
    <row r="5724" customFormat="false" ht="15" hidden="false" customHeight="false" outlineLevel="0" collapsed="false">
      <c r="A5724" s="22" t="s">
        <v>819</v>
      </c>
      <c r="B5724" s="28" t="s">
        <v>95</v>
      </c>
      <c r="C5724" s="28"/>
      <c r="D5724" s="23" t="n">
        <f aca="false">Sens!D5723-Q!L23</f>
        <v>0</v>
      </c>
      <c r="E5724" s="23" t="n">
        <f aca="false">Sens!E5723-Q!M23</f>
        <v>0</v>
      </c>
      <c r="F5724" s="28"/>
      <c r="G5724" s="28"/>
      <c r="H5724" s="28"/>
      <c r="I5724" s="28"/>
      <c r="J5724" s="28"/>
      <c r="K5724" s="28"/>
    </row>
    <row r="5725" customFormat="false" ht="15" hidden="false" customHeight="false" outlineLevel="0" collapsed="false">
      <c r="A5725" s="1" t="s">
        <v>820</v>
      </c>
      <c r="B5725" s="0" t="s">
        <v>126</v>
      </c>
      <c r="D5725" s="7" t="n">
        <f aca="false">Sens!D5723/Sens!D5716</f>
        <v>0.456219562408598</v>
      </c>
      <c r="E5725" s="7" t="n">
        <f aca="false">Sens!E5723/Sens!E5716</f>
        <v>0.467808184089272</v>
      </c>
      <c r="F5725" s="7" t="n">
        <f aca="false">Sens!F5723/Sens!F5716</f>
        <v>0.435060586188405</v>
      </c>
      <c r="G5725" s="7" t="n">
        <f aca="false">Sens!G5723/Sens!G5716</f>
        <v>0.393181656814636</v>
      </c>
      <c r="H5725" s="7" t="n">
        <f aca="false">Sens!H5723/Sens!H5716</f>
        <v>0.353423025571927</v>
      </c>
      <c r="I5725" s="7" t="n">
        <f aca="false">Sens!I5723/Sens!I5716</f>
        <v>0.327918715027842</v>
      </c>
      <c r="J5725" s="7" t="n">
        <f aca="false">Sens!J5723/Sens!J5716</f>
        <v>0.304942762444074</v>
      </c>
      <c r="K5725" s="7" t="n">
        <f aca="false">Sens!K5723/Sens!K5716</f>
        <v>0.282780520004398</v>
      </c>
    </row>
    <row r="5726" customFormat="false" ht="17.15" hidden="false" customHeight="false" outlineLevel="0" collapsed="false">
      <c r="A5726" s="1" t="s">
        <v>821</v>
      </c>
      <c r="B5726" s="0" t="s">
        <v>95</v>
      </c>
      <c r="E5726" s="6" t="n">
        <f aca="false">Sens!E5671</f>
        <v>16.3054059770833</v>
      </c>
      <c r="F5726" s="6" t="n">
        <f aca="false">Sens!F5671</f>
        <v>34.7775354558698</v>
      </c>
      <c r="G5726" s="6" t="n">
        <f aca="false">Sens!G5671</f>
        <v>60.5807332603396</v>
      </c>
      <c r="H5726" s="6" t="n">
        <f aca="false">Sens!H5671</f>
        <v>87.8163159931396</v>
      </c>
      <c r="I5726" s="6" t="n">
        <f aca="false">Sens!I5671</f>
        <v>116.071181741123</v>
      </c>
      <c r="J5726" s="6" t="n">
        <f aca="false">Sens!J5671</f>
        <v>145.298277958273</v>
      </c>
      <c r="K5726" s="6" t="n">
        <f aca="false">Sens!K5671</f>
        <v>175.81292263459</v>
      </c>
    </row>
    <row r="5727" customFormat="false" ht="17.15" hidden="false" customHeight="false" outlineLevel="0" collapsed="false">
      <c r="A5727" s="1" t="s">
        <v>822</v>
      </c>
      <c r="B5727" s="0" t="s">
        <v>95</v>
      </c>
      <c r="E5727" s="6" t="n">
        <f aca="false">Sens!E5747</f>
        <v>22.2285940229167</v>
      </c>
      <c r="F5727" s="6" t="n">
        <f aca="false">Sens!F5747</f>
        <v>23.5192693435813</v>
      </c>
      <c r="G5727" s="6" t="n">
        <f aca="false">Sens!G5747</f>
        <v>25.1998317662621</v>
      </c>
      <c r="H5727" s="6" t="n">
        <f aca="false">Sens!H5747</f>
        <v>27.2397999540448</v>
      </c>
      <c r="I5727" s="6" t="n">
        <f aca="false">Sens!I5747</f>
        <v>29.5856599898047</v>
      </c>
      <c r="J5727" s="6" t="n">
        <f aca="false">Sens!J5747</f>
        <v>32.1659853158616</v>
      </c>
      <c r="K5727" s="6" t="n">
        <f aca="false">Sens!K5747</f>
        <v>34.8978570584749</v>
      </c>
    </row>
    <row r="5728" customFormat="false" ht="17.15" hidden="false" customHeight="false" outlineLevel="0" collapsed="false">
      <c r="A5728" s="1" t="s">
        <v>823</v>
      </c>
      <c r="B5728" s="0" t="s">
        <v>95</v>
      </c>
      <c r="D5728" s="6" t="n">
        <f aca="false">Q!L27</f>
        <v>-4.901</v>
      </c>
      <c r="E5728" s="6" t="n">
        <f aca="false">Q!M27</f>
        <v>10.697</v>
      </c>
      <c r="F5728" s="6" t="n">
        <f aca="false">oie_f</f>
        <v>-0.4</v>
      </c>
      <c r="G5728" s="6" t="n">
        <f aca="false">oie_f</f>
        <v>-0.4</v>
      </c>
      <c r="H5728" s="6" t="n">
        <f aca="false">oie_f</f>
        <v>-0.4</v>
      </c>
      <c r="I5728" s="6" t="n">
        <f aca="false">oie_f</f>
        <v>-0.4</v>
      </c>
      <c r="J5728" s="6" t="n">
        <f aca="false">oie_f</f>
        <v>-0.4</v>
      </c>
      <c r="K5728" s="6" t="n">
        <f aca="false">oie_f</f>
        <v>-0.4</v>
      </c>
      <c r="L5728" s="11" t="s">
        <v>824</v>
      </c>
    </row>
    <row r="5729" customFormat="false" ht="15" hidden="false" customHeight="false" outlineLevel="0" collapsed="false">
      <c r="A5729" s="1" t="s">
        <v>666</v>
      </c>
      <c r="B5729" s="0" t="s">
        <v>95</v>
      </c>
      <c r="D5729" s="6" t="n">
        <f aca="false">Sens!D5723+Sens!D5728</f>
        <v>123.627</v>
      </c>
      <c r="E5729" s="6" t="n">
        <f aca="false">Sens!E5723+Sens!E5728</f>
        <v>165.934</v>
      </c>
      <c r="F5729" s="6" t="n">
        <f aca="false">Sens!F5723+Sens!F5728</f>
        <v>169.519441986959</v>
      </c>
      <c r="G5729" s="6" t="n">
        <f aca="false">Sens!G5723+Sens!G5728</f>
        <v>177.560004753625</v>
      </c>
      <c r="H5729" s="6" t="n">
        <f aca="false">Sens!H5723+Sens!H5728</f>
        <v>180.097778149952</v>
      </c>
      <c r="I5729" s="6" t="n">
        <f aca="false">Sens!I5723+Sens!I5728</f>
        <v>188.181804509709</v>
      </c>
      <c r="J5729" s="6" t="n">
        <f aca="false">Sens!J5723+Sens!J5728</f>
        <v>193.894568578851</v>
      </c>
      <c r="K5729" s="6" t="n">
        <f aca="false">Sens!K5723+Sens!K5728</f>
        <v>196.417799299493</v>
      </c>
    </row>
    <row r="5730" customFormat="false" ht="15" hidden="false" customHeight="false" outlineLevel="0" collapsed="false">
      <c r="A5730" s="1" t="s">
        <v>668</v>
      </c>
      <c r="B5730" s="0" t="s">
        <v>95</v>
      </c>
      <c r="D5730" s="6" t="n">
        <f aca="false">Q!L29</f>
        <v>21.795</v>
      </c>
      <c r="E5730" s="6" t="n">
        <f aca="false">Q!M29</f>
        <v>32.185</v>
      </c>
      <c r="F5730" s="6" t="n">
        <f aca="false">Sens!F5729*tax_f</f>
        <v>33.9038883973919</v>
      </c>
      <c r="G5730" s="6" t="n">
        <f aca="false">Sens!G5729*tax_f</f>
        <v>35.5120009507251</v>
      </c>
      <c r="H5730" s="6" t="n">
        <f aca="false">Sens!H5729*tax_f</f>
        <v>36.0195556299903</v>
      </c>
      <c r="I5730" s="6" t="n">
        <f aca="false">Sens!I5729*tax_f</f>
        <v>37.6363609019417</v>
      </c>
      <c r="J5730" s="6" t="n">
        <f aca="false">Sens!J5729*tax_f</f>
        <v>38.7789137157703</v>
      </c>
      <c r="K5730" s="6" t="n">
        <f aca="false">Sens!K5729*tax_f</f>
        <v>39.2835598598987</v>
      </c>
    </row>
    <row r="5731" customFormat="false" ht="15" hidden="false" customHeight="false" outlineLevel="0" collapsed="false">
      <c r="A5731" s="1" t="s">
        <v>825</v>
      </c>
      <c r="B5731" s="0" t="s">
        <v>95</v>
      </c>
      <c r="D5731" s="6" t="n">
        <f aca="false">Sens!D5729-Sens!D5730</f>
        <v>101.832</v>
      </c>
      <c r="E5731" s="6" t="n">
        <f aca="false">Sens!E5729-Sens!E5730</f>
        <v>133.749</v>
      </c>
      <c r="F5731" s="6" t="n">
        <f aca="false">Sens!F5729-Sens!F5730</f>
        <v>135.615553589568</v>
      </c>
      <c r="G5731" s="6" t="n">
        <f aca="false">Sens!G5729-Sens!G5730</f>
        <v>142.0480038029</v>
      </c>
      <c r="H5731" s="6" t="n">
        <f aca="false">Sens!H5729-Sens!H5730</f>
        <v>144.078222519961</v>
      </c>
      <c r="I5731" s="6" t="n">
        <f aca="false">Sens!I5729-Sens!I5730</f>
        <v>150.545443607767</v>
      </c>
      <c r="J5731" s="6" t="n">
        <f aca="false">Sens!J5729-Sens!J5730</f>
        <v>155.115654863081</v>
      </c>
      <c r="K5731" s="6" t="n">
        <f aca="false">Sens!K5729-Sens!K5730</f>
        <v>157.134239439595</v>
      </c>
    </row>
    <row r="5732" customFormat="false" ht="17.15" hidden="false" customHeight="false" outlineLevel="0" collapsed="false">
      <c r="A5732" s="1" t="s">
        <v>826</v>
      </c>
      <c r="B5732" s="1" t="s">
        <v>79</v>
      </c>
      <c r="D5732" s="18" t="n">
        <f aca="false">Q!L31</f>
        <v>7.465</v>
      </c>
      <c r="E5732" s="18" t="n">
        <f aca="false">Q!M31</f>
        <v>7.453</v>
      </c>
      <c r="F5732" s="18" t="n">
        <f aca="false">Sens!F5769</f>
        <v>7.4735</v>
      </c>
      <c r="G5732" s="18" t="n">
        <f aca="false">Sens!G5769</f>
        <v>7.5185</v>
      </c>
      <c r="H5732" s="18" t="n">
        <f aca="false">Sens!H5769</f>
        <v>7.55983626327083</v>
      </c>
      <c r="I5732" s="18" t="n">
        <f aca="false">Sens!I5769</f>
        <v>7.5955212724021</v>
      </c>
      <c r="J5732" s="18" t="n">
        <f aca="false">Sens!J5769</f>
        <v>7.62008228322307</v>
      </c>
      <c r="K5732" s="18" t="n">
        <f aca="false">Sens!K5769</f>
        <v>7.64511544894476</v>
      </c>
    </row>
    <row r="5733" customFormat="false" ht="17.15" hidden="false" customHeight="false" outlineLevel="0" collapsed="false">
      <c r="A5733" s="0" t="s">
        <v>827</v>
      </c>
      <c r="B5733" s="0" t="s">
        <v>73</v>
      </c>
      <c r="D5733" s="8" t="n">
        <f aca="false">Sens!D5731/Sens!D5732</f>
        <v>13.641259209645</v>
      </c>
      <c r="E5733" s="8" t="n">
        <f aca="false">Sens!E5731/Sens!E5732</f>
        <v>17.9456594659869</v>
      </c>
      <c r="F5733" s="8" t="n">
        <f aca="false">Sens!F5731/Sens!F5732</f>
        <v>18.1461903511832</v>
      </c>
      <c r="G5733" s="8" t="n">
        <f aca="false">Sens!G5731/Sens!G5732</f>
        <v>18.8931307844517</v>
      </c>
      <c r="H5733" s="8" t="n">
        <f aca="false">Sens!H5731/Sens!H5732</f>
        <v>19.0583787138301</v>
      </c>
      <c r="I5733" s="8" t="n">
        <f aca="false">Sens!I5731/Sens!I5732</f>
        <v>19.8202912227717</v>
      </c>
      <c r="J5733" s="8" t="n">
        <f aca="false">Sens!J5731/Sens!J5732</f>
        <v>20.3561653401821</v>
      </c>
      <c r="K5733" s="8" t="n">
        <f aca="false">Sens!K5731/Sens!K5732</f>
        <v>20.5535469658975</v>
      </c>
      <c r="L5733" s="1" t="s">
        <v>828</v>
      </c>
    </row>
    <row r="5734" customFormat="false" ht="17.15" hidden="false" customHeight="false" outlineLevel="0" collapsed="false">
      <c r="A5734" s="0" t="s">
        <v>829</v>
      </c>
      <c r="B5734" s="0" t="s">
        <v>126</v>
      </c>
      <c r="E5734" s="7" t="n">
        <f aca="false">Sens!E5733/Sens!D5733-1</f>
        <v>0.315542736208578</v>
      </c>
      <c r="F5734" s="7" t="n">
        <f aca="false">Sens!F5733/Sens!E5733-1</f>
        <v>0.0111743391529524</v>
      </c>
      <c r="G5734" s="7" t="n">
        <f aca="false">Sens!G5733/Sens!F5733-1</f>
        <v>0.0411623827818959</v>
      </c>
      <c r="H5734" s="7" t="n">
        <f aca="false">Sens!H5733/Sens!G5733-1</f>
        <v>0.00874645559084963</v>
      </c>
      <c r="I5734" s="7" t="n">
        <f aca="false">Sens!I5733/Sens!H5733-1</f>
        <v>0.0399778239472555</v>
      </c>
      <c r="J5734" s="7" t="n">
        <f aca="false">Sens!J5733/Sens!I5733-1</f>
        <v>0.0270366419639059</v>
      </c>
      <c r="K5734" s="7" t="n">
        <f aca="false">Sens!K5733/Sens!J5733-1</f>
        <v>0.00969640511446257</v>
      </c>
    </row>
    <row r="5735" customFormat="false" ht="17.15" hidden="false" customHeight="false" outlineLevel="0" collapsed="false">
      <c r="A5735" s="0" t="s">
        <v>763</v>
      </c>
      <c r="B5735" s="0" t="s">
        <v>95</v>
      </c>
      <c r="E5735" s="6" t="n">
        <f aca="false">Sens!E5680</f>
        <v>5.25</v>
      </c>
      <c r="F5735" s="6" t="n">
        <f aca="false">Sens!F5680</f>
        <v>7.56</v>
      </c>
      <c r="G5735" s="6" t="n">
        <f aca="false">Sens!G5680</f>
        <v>9.72</v>
      </c>
      <c r="H5735" s="6" t="n">
        <f aca="false">Sens!H5680</f>
        <v>11.88</v>
      </c>
      <c r="I5735" s="6" t="n">
        <f aca="false">Sens!I5680</f>
        <v>13.5</v>
      </c>
      <c r="J5735" s="6" t="n">
        <f aca="false">Sens!J5680</f>
        <v>14.58</v>
      </c>
      <c r="K5735" s="6" t="n">
        <f aca="false">Sens!K5680</f>
        <v>15.66</v>
      </c>
    </row>
    <row r="5736" customFormat="false" ht="17.15" hidden="false" customHeight="false" outlineLevel="0" collapsed="false">
      <c r="A5736" s="0" t="s">
        <v>764</v>
      </c>
      <c r="B5736" s="0" t="s">
        <v>95</v>
      </c>
      <c r="E5736" s="6" t="n">
        <f aca="false">Sens!E5660+Sens!E5735*Sens!E5719-Sens!E5661-Sens!E5671</f>
        <v>2.1514866143068</v>
      </c>
      <c r="F5736" s="6" t="n">
        <f aca="false">Sens!F5660+Sens!F5735*Sens!F5719-Sens!F5661-Sens!F5671</f>
        <v>-1.93668287119772</v>
      </c>
      <c r="G5736" s="6" t="n">
        <f aca="false">Sens!G5660+Sens!G5735*Sens!G5719-Sens!G5661-Sens!G5671</f>
        <v>-13.5651618126806</v>
      </c>
      <c r="H5736" s="6" t="n">
        <f aca="false">Sens!H5660+Sens!H5735*Sens!H5719-Sens!H5661-Sens!H5671</f>
        <v>-31.0171033156884</v>
      </c>
      <c r="I5736" s="6" t="n">
        <f aca="false">Sens!I5660+Sens!I5735*Sens!I5719-Sens!I5661-Sens!I5671</f>
        <v>-42.5518223261485</v>
      </c>
      <c r="J5736" s="6" t="n">
        <f aca="false">Sens!J5660+Sens!J5735*Sens!J5719-Sens!J5661-Sens!J5671</f>
        <v>-55.3181103880282</v>
      </c>
      <c r="K5736" s="6" t="n">
        <f aca="false">Sens!K5660+Sens!K5735*Sens!K5719-Sens!K5661-Sens!K5671</f>
        <v>-69.3431352794271</v>
      </c>
    </row>
    <row r="5737" customFormat="false" ht="17.15" hidden="false" customHeight="false" outlineLevel="0" collapsed="false">
      <c r="A5737" s="0" t="s">
        <v>765</v>
      </c>
      <c r="B5737" s="0" t="s">
        <v>95</v>
      </c>
      <c r="E5737" s="6" t="n">
        <f aca="false">Sens!E5643*(cxit_open+self_build*tk_cxfac)/1000*ai_net_open</f>
        <v>126.6980382</v>
      </c>
      <c r="F5737" s="6" t="n">
        <f aca="false">Sens!E5737+Sens!F5668-Sens!F5671</f>
        <v>260.985155514568</v>
      </c>
      <c r="G5737" s="6" t="n">
        <f aca="false">Sens!F5737+Sens!G5668-Sens!G5671</f>
        <v>383.978602737428</v>
      </c>
      <c r="H5737" s="6" t="n">
        <f aca="false">Sens!G5737+Sens!H5668-Sens!H5671</f>
        <v>484.242572654689</v>
      </c>
      <c r="I5737" s="6" t="n">
        <f aca="false">Sens!H5737+Sens!I5668-Sens!I5671</f>
        <v>586.510352170632</v>
      </c>
      <c r="J5737" s="6" t="n">
        <f aca="false">Sens!I5737+Sens!J5668-Sens!J5671</f>
        <v>674.989135136093</v>
      </c>
      <c r="K5737" s="6" t="n">
        <f aca="false">Sens!J5737+Sens!K5668-Sens!K5671</f>
        <v>778.032524451903</v>
      </c>
      <c r="L5737" s="1" t="s">
        <v>766</v>
      </c>
    </row>
    <row r="5738" customFormat="false" ht="17.15" hidden="false" customHeight="false" outlineLevel="0" collapsed="false">
      <c r="A5738" s="0" t="s">
        <v>767</v>
      </c>
      <c r="B5738" s="0" t="s">
        <v>126</v>
      </c>
      <c r="F5738" s="7" t="n">
        <f aca="false">Sens!F5736*(1-tax_f)/((Sens!E5737+Sens!F5737)/2)</f>
        <v>-0.00799284736649628</v>
      </c>
      <c r="G5738" s="7" t="n">
        <f aca="false">Sens!G5736*(1-tax_f)/((Sens!F5737+Sens!G5737)/2)</f>
        <v>-0.0336519046575773</v>
      </c>
      <c r="H5738" s="7" t="n">
        <f aca="false">Sens!H5736*(1-tax_f)/((Sens!G5737+Sens!H5737)/2)</f>
        <v>-0.0571598190779994</v>
      </c>
      <c r="I5738" s="7" t="n">
        <f aca="false">Sens!I5736*(1-tax_f)/((Sens!H5737+Sens!I5737)/2)</f>
        <v>-0.0635841510616881</v>
      </c>
      <c r="J5738" s="7" t="n">
        <f aca="false">Sens!J5736*(1-tax_f)/((Sens!I5737+Sens!J5737)/2)</f>
        <v>-0.0701617222293209</v>
      </c>
      <c r="K5738" s="7" t="n">
        <f aca="false">Sens!K5736*(1-tax_f)/((Sens!J5737+Sens!K5737)/2)</f>
        <v>-0.0763574415528967</v>
      </c>
    </row>
    <row r="5739" customFormat="false" ht="17.15" hidden="false" customHeight="false" outlineLevel="0" collapsed="false">
      <c r="A5739" s="1" t="s">
        <v>768</v>
      </c>
      <c r="B5739" s="0" t="s">
        <v>126</v>
      </c>
      <c r="F5739" s="7" t="n">
        <f aca="false">Sens!F5672*(1-tax_f)/(Sens!F5659*(Sens!E5737+Sens!F5737)/2)</f>
        <v>0.0976111389855987</v>
      </c>
      <c r="G5739" s="7" t="n">
        <f aca="false">Sens!G5672*(1-tax_f)/(Sens!G5659*(Sens!F5737+Sens!G5737)/2)</f>
        <v>0.0657486337245023</v>
      </c>
      <c r="H5739" s="7" t="n">
        <f aca="false">Sens!H5672*(1-tax_f)/(Sens!H5659*(Sens!G5737+Sens!H5737)/2)</f>
        <v>0.0386687343792931</v>
      </c>
      <c r="I5739" s="7" t="n">
        <f aca="false">Sens!I5672*(1-tax_f)/(Sens!I5659*(Sens!H5737+Sens!I5737)/2)</f>
        <v>0.0396562900483054</v>
      </c>
      <c r="J5739" s="7" t="n">
        <f aca="false">Sens!J5672*(1-tax_f)/(Sens!J5659*(Sens!I5737+Sens!J5737)/2)</f>
        <v>0.0395904937350222</v>
      </c>
      <c r="K5739" s="7" t="n">
        <f aca="false">Sens!K5672*(1-tax_f)/(Sens!K5659*(Sens!J5737+Sens!K5737)/2)</f>
        <v>0.0381629195075566</v>
      </c>
    </row>
    <row r="5740" customFormat="false" ht="17.15" hidden="false" customHeight="false" outlineLevel="0" collapsed="false">
      <c r="A5740" s="0" t="s">
        <v>769</v>
      </c>
      <c r="B5740" s="0" t="s">
        <v>208</v>
      </c>
      <c r="F5740" s="7" t="n">
        <f aca="false">Sens!F5738-wacc</f>
        <v>-0.11695606851675</v>
      </c>
      <c r="G5740" s="7" t="n">
        <f aca="false">Sens!G5738-wacc</f>
        <v>-0.142615125807831</v>
      </c>
      <c r="H5740" s="7" t="n">
        <f aca="false">Sens!H5738-wacc</f>
        <v>-0.166123040228253</v>
      </c>
      <c r="I5740" s="7" t="n">
        <f aca="false">Sens!I5738-wacc</f>
        <v>-0.172547372211942</v>
      </c>
      <c r="J5740" s="7" t="n">
        <f aca="false">Sens!J5738-wacc</f>
        <v>-0.179124943379575</v>
      </c>
      <c r="K5740" s="7" t="n">
        <f aca="false">Sens!K5738-wacc</f>
        <v>-0.185320662703151</v>
      </c>
    </row>
    <row r="5741" customFormat="false" ht="17.15" hidden="false" customHeight="false" outlineLevel="0" collapsed="false">
      <c r="A5741" s="0" t="s">
        <v>770</v>
      </c>
      <c r="B5741" s="0" t="s">
        <v>95</v>
      </c>
      <c r="F5741" s="6" t="n">
        <f aca="false">Sens!F5736*(1-tax_f)-wacc*(Sens!E5737+Sens!F5737)/2</f>
        <v>-22.6709510834368</v>
      </c>
      <c r="G5741" s="6" t="n">
        <f aca="false">Sens!G5736*(1-tax_f)-wacc*(Sens!F5737+Sens!G5737)/2</f>
        <v>-45.9907937623</v>
      </c>
      <c r="H5741" s="6" t="n">
        <f aca="false">Sens!H5736*(1-tax_f)-wacc*(Sens!G5737+Sens!H5737)/2</f>
        <v>-72.115770623343</v>
      </c>
      <c r="I5741" s="6" t="n">
        <f aca="false">Sens!I5736*(1-tax_f)-wacc*(Sens!H5737+Sens!I5737)/2</f>
        <v>-92.3778017334301</v>
      </c>
      <c r="J5741" s="6" t="n">
        <f aca="false">Sens!J5736*(1-tax_f)-wacc*(Sens!I5737+Sens!J5737)/2</f>
        <v>-112.98301211859</v>
      </c>
      <c r="K5741" s="6" t="n">
        <f aca="false">Sens!K5736*(1-tax_f)-wacc*(Sens!J5737+Sens!K5737)/2</f>
        <v>-134.63746843844</v>
      </c>
    </row>
    <row r="5742" customFormat="false" ht="17.15" hidden="false" customHeight="false" outlineLevel="0" collapsed="false">
      <c r="A5742" s="1" t="s">
        <v>771</v>
      </c>
      <c r="B5742" s="0" t="s">
        <v>95</v>
      </c>
      <c r="F5742" s="6" t="n">
        <f aca="false">(Sens!E5644+Sens!F5644)/2*Sens!F5651/1000</f>
        <v>26.7873066765967</v>
      </c>
      <c r="G5742" s="6" t="n">
        <f aca="false">(Sens!F5644+Sens!G5644)/2*Sens!G5651/1000</f>
        <v>45.4131817597218</v>
      </c>
      <c r="H5742" s="6" t="n">
        <f aca="false">(Sens!G5644+Sens!H5644)/2*Sens!H5651/1000</f>
        <v>65.3915129357971</v>
      </c>
      <c r="I5742" s="6" t="n">
        <f aca="false">(Sens!H5644+Sens!I5644)/2*Sens!I5651/1000</f>
        <v>85.5187419289299</v>
      </c>
      <c r="J5742" s="6" t="n">
        <f aca="false">(Sens!I5644+Sens!J5644)/2*Sens!J5651/1000</f>
        <v>105.723807195006</v>
      </c>
      <c r="K5742" s="6" t="n">
        <f aca="false">(Sens!J5644+Sens!K5644)/2*Sens!K5651/1000</f>
        <v>125.974659797015</v>
      </c>
      <c r="L5742" s="1" t="s">
        <v>772</v>
      </c>
    </row>
    <row r="5743" customFormat="false" ht="17.15" hidden="false" customHeight="false" outlineLevel="0" collapsed="false">
      <c r="A5743" s="1" t="s">
        <v>773</v>
      </c>
      <c r="B5743" s="0" t="s">
        <v>126</v>
      </c>
      <c r="F5743" s="7" t="n">
        <f aca="false">(Sens!F5660+Sens!F5742-Sens!F5661-Sens!F5671)*(1-tax_f)/((Sens!E5737+Sens!F5737)/2)</f>
        <v>0.0847462528814283</v>
      </c>
      <c r="G5743" s="7" t="n">
        <f aca="false">(Sens!G5660+Sens!G5742-Sens!G5661-Sens!G5671)*(1-tax_f)/((Sens!F5737+Sens!G5737)/2)</f>
        <v>0.0652397947265224</v>
      </c>
      <c r="H5743" s="7" t="n">
        <f aca="false">(Sens!H5660+Sens!H5742-Sens!H5661-Sens!H5671)*(1-tax_f)/((Sens!G5737+Sens!H5737)/2)</f>
        <v>0.0508468340993198</v>
      </c>
      <c r="I5743" s="7" t="n">
        <f aca="false">(Sens!I5660+Sens!I5742-Sens!I5661-Sens!I5671)*(1-tax_f)/((Sens!H5737+Sens!I5737)/2)</f>
        <v>0.0526866574701932</v>
      </c>
      <c r="J5743" s="7" t="n">
        <f aca="false">(Sens!J5660+Sens!J5742-Sens!J5661-Sens!J5671)*(1-tax_f)/((Sens!I5737+Sens!J5737)/2)</f>
        <v>0.053372849127052</v>
      </c>
      <c r="K5743" s="7" t="n">
        <f aca="false">(Sens!K5660+Sens!K5742-Sens!K5661-Sens!K5671)*(1-tax_f)/((Sens!J5737+Sens!K5737)/2)</f>
        <v>0.0525143801821717</v>
      </c>
      <c r="L5743" s="1" t="s">
        <v>774</v>
      </c>
    </row>
    <row r="5744" customFormat="false" ht="17.15" hidden="false" customHeight="false" outlineLevel="0" collapsed="false">
      <c r="A5744" s="3" t="s">
        <v>1277</v>
      </c>
    </row>
    <row r="5745" customFormat="false" ht="15" hidden="false" customHeight="false" outlineLevel="0" collapsed="false">
      <c r="A5745" s="4" t="s">
        <v>43</v>
      </c>
      <c r="B5745" s="4" t="s">
        <v>63</v>
      </c>
      <c r="C5745" s="19" t="s">
        <v>710</v>
      </c>
      <c r="D5745" s="19" t="s">
        <v>711</v>
      </c>
      <c r="E5745" s="19" t="s">
        <v>712</v>
      </c>
      <c r="F5745" s="19" t="s">
        <v>713</v>
      </c>
      <c r="G5745" s="19" t="s">
        <v>714</v>
      </c>
      <c r="H5745" s="19" t="s">
        <v>715</v>
      </c>
      <c r="I5745" s="19" t="s">
        <v>716</v>
      </c>
      <c r="J5745" s="19" t="s">
        <v>717</v>
      </c>
      <c r="K5745" s="19" t="s">
        <v>718</v>
      </c>
      <c r="L5745" s="4" t="s">
        <v>47</v>
      </c>
    </row>
    <row r="5746" customFormat="false" ht="15" hidden="false" customHeight="false" outlineLevel="0" collapsed="false">
      <c r="A5746" s="1" t="s">
        <v>825</v>
      </c>
      <c r="B5746" s="0" t="s">
        <v>95</v>
      </c>
      <c r="F5746" s="6" t="n">
        <f aca="false">Sens!F5731</f>
        <v>135.615553589568</v>
      </c>
      <c r="G5746" s="6" t="n">
        <f aca="false">Sens!G5731</f>
        <v>142.0480038029</v>
      </c>
      <c r="H5746" s="6" t="n">
        <f aca="false">Sens!H5731</f>
        <v>144.078222519961</v>
      </c>
      <c r="I5746" s="6" t="n">
        <f aca="false">Sens!I5731</f>
        <v>150.545443607767</v>
      </c>
      <c r="J5746" s="6" t="n">
        <f aca="false">Sens!J5731</f>
        <v>155.115654863081</v>
      </c>
      <c r="K5746" s="6" t="n">
        <f aca="false">Sens!K5731</f>
        <v>157.134239439595</v>
      </c>
    </row>
    <row r="5747" customFormat="false" ht="17.15" hidden="false" customHeight="false" outlineLevel="0" collapsed="false">
      <c r="A5747" s="1" t="s">
        <v>843</v>
      </c>
      <c r="B5747" s="0" t="s">
        <v>95</v>
      </c>
      <c r="E5747" s="6" t="n">
        <f aca="false">Q!M38-Sens!E5671</f>
        <v>22.2285940229167</v>
      </c>
      <c r="F5747" s="6" t="n">
        <f aca="false">Sens!E5747*(1-1/life_nonai)+Sens!F5753/life_nonai</f>
        <v>23.5192693435813</v>
      </c>
      <c r="G5747" s="6" t="n">
        <f aca="false">Sens!F5747*(1-1/life_nonai)+Sens!G5753/life_nonai</f>
        <v>25.1998317662621</v>
      </c>
      <c r="H5747" s="6" t="n">
        <f aca="false">Sens!G5747*(1-1/life_nonai)+Sens!H5753/life_nonai</f>
        <v>27.2397999540448</v>
      </c>
      <c r="I5747" s="6" t="n">
        <f aca="false">Sens!H5747*(1-1/life_nonai)+Sens!I5753/life_nonai</f>
        <v>29.5856599898047</v>
      </c>
      <c r="J5747" s="6" t="n">
        <f aca="false">Sens!I5747*(1-1/life_nonai)+Sens!J5753/life_nonai</f>
        <v>32.1659853158616</v>
      </c>
      <c r="K5747" s="6" t="n">
        <f aca="false">Sens!J5747*(1-1/life_nonai)+Sens!K5753/life_nonai</f>
        <v>34.8978570584749</v>
      </c>
      <c r="L5747" s="11" t="s">
        <v>844</v>
      </c>
    </row>
    <row r="5748" customFormat="false" ht="17.15" hidden="false" customHeight="false" outlineLevel="0" collapsed="false">
      <c r="A5748" s="1" t="s">
        <v>845</v>
      </c>
      <c r="B5748" s="0" t="s">
        <v>95</v>
      </c>
      <c r="E5748" s="6" t="n">
        <f aca="false">Sens!E5671+Sens!E5747</f>
        <v>38.534</v>
      </c>
      <c r="F5748" s="6" t="n">
        <f aca="false">Sens!F5671+Sens!F5747</f>
        <v>58.296804799451</v>
      </c>
      <c r="G5748" s="6" t="n">
        <f aca="false">Sens!G5671+Sens!G5747</f>
        <v>85.7805650266016</v>
      </c>
      <c r="H5748" s="6" t="n">
        <f aca="false">Sens!H5671+Sens!H5747</f>
        <v>115.056115947184</v>
      </c>
      <c r="I5748" s="6" t="n">
        <f aca="false">Sens!I5671+Sens!I5747</f>
        <v>145.656841730928</v>
      </c>
      <c r="J5748" s="6" t="n">
        <f aca="false">Sens!J5671+Sens!J5747</f>
        <v>177.464263274135</v>
      </c>
      <c r="K5748" s="6" t="n">
        <f aca="false">Sens!K5671+Sens!K5747</f>
        <v>210.710779693064</v>
      </c>
    </row>
    <row r="5749" customFormat="false" ht="15" hidden="false" customHeight="false" outlineLevel="0" collapsed="false">
      <c r="A5749" s="1" t="s">
        <v>685</v>
      </c>
      <c r="B5749" s="0" t="s">
        <v>95</v>
      </c>
      <c r="F5749" s="6" t="n">
        <f aca="false">Sens!F5698*sbc_r</f>
        <v>14.6003301092099</v>
      </c>
      <c r="G5749" s="6" t="n">
        <f aca="false">Sens!G5698*sbc_r</f>
        <v>16.9199276994278</v>
      </c>
      <c r="H5749" s="6" t="n">
        <f aca="false">Sens!H5698*sbc_r</f>
        <v>19.0917774180151</v>
      </c>
      <c r="I5749" s="6" t="n">
        <f aca="false">Sens!I5698*sbc_r</f>
        <v>21.4982409580445</v>
      </c>
      <c r="J5749" s="6" t="n">
        <f aca="false">Sens!J5698*sbc_r</f>
        <v>23.8183499978257</v>
      </c>
      <c r="K5749" s="6" t="n">
        <f aca="false">Sens!K5698*sbc_r</f>
        <v>26.0186180251447</v>
      </c>
    </row>
    <row r="5750" customFormat="false" ht="17.15" hidden="false" customHeight="false" outlineLevel="0" collapsed="false">
      <c r="A5750" s="1" t="s">
        <v>846</v>
      </c>
      <c r="B5750" s="0" t="s">
        <v>95</v>
      </c>
      <c r="F5750" s="6" t="n">
        <f aca="false">wc27</f>
        <v>-4.895</v>
      </c>
      <c r="G5750" s="6" t="n">
        <f aca="false">0</f>
        <v>0</v>
      </c>
      <c r="H5750" s="6" t="n">
        <f aca="false">0</f>
        <v>0</v>
      </c>
      <c r="I5750" s="6" t="n">
        <f aca="false">0</f>
        <v>0</v>
      </c>
      <c r="J5750" s="6" t="n">
        <f aca="false">0</f>
        <v>0</v>
      </c>
      <c r="K5750" s="6" t="n">
        <f aca="false">0</f>
        <v>0</v>
      </c>
      <c r="L5750" s="11" t="s">
        <v>847</v>
      </c>
    </row>
    <row r="5751" customFormat="false" ht="15" hidden="false" customHeight="false" outlineLevel="0" collapsed="false">
      <c r="A5751" s="1" t="s">
        <v>678</v>
      </c>
      <c r="B5751" s="0" t="s">
        <v>95</v>
      </c>
      <c r="E5751" s="6" t="n">
        <f aca="false">Q!M35</f>
        <v>182.935</v>
      </c>
      <c r="F5751" s="6" t="n">
        <f aca="false">Sens!F5746+Sens!F5748+Sens!F5749+Sens!F5750</f>
        <v>203.617688498228</v>
      </c>
      <c r="G5751" s="6" t="n">
        <f aca="false">Sens!G5746+Sens!G5748+Sens!G5749+Sens!G5750</f>
        <v>244.74849652893</v>
      </c>
      <c r="H5751" s="6" t="n">
        <f aca="false">Sens!H5746+Sens!H5748+Sens!H5749+Sens!H5750</f>
        <v>278.226115885161</v>
      </c>
      <c r="I5751" s="6" t="n">
        <f aca="false">Sens!I5746+Sens!I5748+Sens!I5749+Sens!I5750</f>
        <v>317.700526296739</v>
      </c>
      <c r="J5751" s="6" t="n">
        <f aca="false">Sens!J5746+Sens!J5748+Sens!J5749+Sens!J5750</f>
        <v>356.398268135041</v>
      </c>
      <c r="K5751" s="6" t="n">
        <f aca="false">Sens!K5746+Sens!K5748+Sens!K5749+Sens!K5750</f>
        <v>393.863637157804</v>
      </c>
    </row>
    <row r="5752" customFormat="false" ht="17.15" hidden="false" customHeight="false" outlineLevel="0" collapsed="false">
      <c r="A5752" s="0" t="s">
        <v>848</v>
      </c>
      <c r="B5752" s="0" t="s">
        <v>95</v>
      </c>
      <c r="F5752" s="6" t="n">
        <f aca="false">Sens!F5668</f>
        <v>169.064652770438</v>
      </c>
      <c r="G5752" s="6" t="n">
        <f aca="false">Sens!G5668</f>
        <v>183.5741804832</v>
      </c>
      <c r="H5752" s="6" t="n">
        <f aca="false">Sens!H5668</f>
        <v>188.0802859104</v>
      </c>
      <c r="I5752" s="6" t="n">
        <f aca="false">Sens!I5668</f>
        <v>218.338961257067</v>
      </c>
      <c r="J5752" s="6" t="n">
        <f aca="false">Sens!J5668</f>
        <v>233.777060923733</v>
      </c>
      <c r="K5752" s="6" t="n">
        <f aca="false">Sens!K5668</f>
        <v>278.8563119504</v>
      </c>
    </row>
    <row r="5753" customFormat="false" ht="17.15" hidden="false" customHeight="false" outlineLevel="0" collapsed="false">
      <c r="A5753" s="1" t="s">
        <v>849</v>
      </c>
      <c r="B5753" s="0" t="s">
        <v>95</v>
      </c>
      <c r="E5753" s="6" t="n">
        <f aca="false">Sens!E5676*cx_azo+Sens!E5683*cx_m365+Sens!E5684*cx_lic+(Sens!E5686+Sens!E5688)*cx_ind+Sens!E5691*cx_srch+(Sens!E5693+Sens!E5695)*cx_dev</f>
        <v>30.1846587067718</v>
      </c>
      <c r="F5753" s="6" t="n">
        <f aca="false">Sens!F5676*cx_azo+Sens!F5683*cx_m365+Sens!F5684*cx_lic+(Sens!F5686+Sens!F5688)*cx_ind+Sens!F5691*cx_srch+(Sens!F5693+Sens!F5695)*cx_dev</f>
        <v>35.1353472295625</v>
      </c>
      <c r="G5753" s="6" t="n">
        <f aca="false">Sens!G5676*cx_azo+Sens!G5683*cx_m365+Sens!G5684*cx_lic+(Sens!G5686+Sens!G5688)*cx_ind+Sens!G5691*cx_srch+(Sens!G5693+Sens!G5695)*cx_dev</f>
        <v>40.3248935703892</v>
      </c>
      <c r="H5753" s="6" t="n">
        <f aca="false">Sens!H5676*cx_azo+Sens!H5683*cx_m365+Sens!H5684*cx_lic+(Sens!H5686+Sens!H5688)*cx_ind+Sens!H5691*cx_srch+(Sens!H5693+Sens!H5695)*cx_dev</f>
        <v>45.5995136440897</v>
      </c>
      <c r="I5753" s="6" t="n">
        <f aca="false">Sens!I5676*cx_azo+Sens!I5683*cx_m365+Sens!I5684*cx_lic+(Sens!I5686+Sens!I5688)*cx_ind+Sens!I5691*cx_srch+(Sens!I5693+Sens!I5695)*cx_dev</f>
        <v>50.6984003116439</v>
      </c>
      <c r="J5753" s="6" t="n">
        <f aca="false">Sens!J5676*cx_azo+Sens!J5683*cx_m365+Sens!J5684*cx_lic+(Sens!J5686+Sens!J5688)*cx_ind+Sens!J5691*cx_srch+(Sens!J5693+Sens!J5695)*cx_dev</f>
        <v>55.3889132503738</v>
      </c>
      <c r="K5753" s="6" t="n">
        <f aca="false">Sens!K5676*cx_azo+Sens!K5683*cx_m365+Sens!K5684*cx_lic+(Sens!K5686+Sens!K5688)*cx_ind+Sens!K5691*cx_srch+(Sens!K5693+Sens!K5695)*cx_dev</f>
        <v>59.484702741994</v>
      </c>
    </row>
    <row r="5754" customFormat="false" ht="17.15" hidden="false" customHeight="false" outlineLevel="0" collapsed="false">
      <c r="A5754" s="1" t="s">
        <v>850</v>
      </c>
      <c r="B5754" s="0" t="s">
        <v>95</v>
      </c>
      <c r="E5754" s="6" t="n">
        <f aca="false">Q!M42</f>
        <v>145.3</v>
      </c>
      <c r="F5754" s="6" t="n">
        <f aca="false">Sens!F5752+Sens!F5753</f>
        <v>204.2</v>
      </c>
      <c r="G5754" s="6" t="n">
        <f aca="false">Sens!G5752+Sens!G5753</f>
        <v>223.899074053589</v>
      </c>
      <c r="H5754" s="6" t="n">
        <f aca="false">Sens!H5752+Sens!H5753</f>
        <v>233.67979955449</v>
      </c>
      <c r="I5754" s="6" t="n">
        <f aca="false">Sens!I5752+Sens!I5753</f>
        <v>269.037361568711</v>
      </c>
      <c r="J5754" s="6" t="n">
        <f aca="false">Sens!J5752+Sens!J5753</f>
        <v>289.165974174107</v>
      </c>
      <c r="K5754" s="6" t="n">
        <f aca="false">Sens!K5752+Sens!K5753</f>
        <v>338.341014692394</v>
      </c>
      <c r="L5754" s="1" t="s">
        <v>851</v>
      </c>
    </row>
    <row r="5755" customFormat="false" ht="15" hidden="false" customHeight="false" outlineLevel="0" collapsed="false">
      <c r="A5755" s="1" t="s">
        <v>852</v>
      </c>
      <c r="B5755" s="0" t="s">
        <v>95</v>
      </c>
      <c r="E5755" s="6" t="n">
        <f aca="false">fl_liab</f>
        <v>66.594</v>
      </c>
      <c r="F5755" s="6" t="n">
        <f aca="false">Sens!E5755-Sens!F5756</f>
        <v>62.46973</v>
      </c>
      <c r="G5755" s="6" t="n">
        <f aca="false">Sens!F5755-Sens!G5756</f>
        <v>57.98686785</v>
      </c>
      <c r="H5755" s="6" t="n">
        <f aca="false">Sens!G5755-Sens!H5756</f>
        <v>53.92827690325</v>
      </c>
      <c r="I5755" s="6" t="n">
        <f aca="false">Sens!H5755-Sens!I5756</f>
        <v>49.7850493638962</v>
      </c>
      <c r="J5755" s="6" t="n">
        <f aca="false">Sens!I5755-Sens!J5756</f>
        <v>45.4823765852716</v>
      </c>
      <c r="K5755" s="6" t="n">
        <f aca="false">Sens!J5755-Sens!K5756</f>
        <v>40.9860835316088</v>
      </c>
    </row>
    <row r="5756" customFormat="false" ht="15" hidden="false" customHeight="false" outlineLevel="0" collapsed="false">
      <c r="A5756" s="1" t="s">
        <v>853</v>
      </c>
      <c r="B5756" s="0" t="s">
        <v>95</v>
      </c>
      <c r="F5756" s="6" t="n">
        <f aca="false">fl_pay_27-Sens!E5755*fl_rate</f>
        <v>4.12427</v>
      </c>
      <c r="G5756" s="6" t="n">
        <f aca="false">fl_pay_28-Sens!F5755*fl_rate</f>
        <v>4.48286215</v>
      </c>
      <c r="H5756" s="6" t="n">
        <f aca="false">fl_pay_29-Sens!G5755*fl_rate</f>
        <v>4.05859094675</v>
      </c>
      <c r="I5756" s="6" t="n">
        <f aca="false">fl_pay_30-Sens!H5755*fl_rate</f>
        <v>4.14322753935375</v>
      </c>
      <c r="J5756" s="6" t="n">
        <f aca="false">fl_pay_31-Sens!I5755*fl_rate</f>
        <v>4.30267277862467</v>
      </c>
      <c r="K5756" s="6" t="n">
        <f aca="false">fl_pay_32-Sens!J5755*fl_rate</f>
        <v>4.49629305366278</v>
      </c>
    </row>
    <row r="5757" customFormat="false" ht="17.15" hidden="false" customHeight="false" outlineLevel="0" collapsed="false">
      <c r="A5757" s="1" t="s">
        <v>854</v>
      </c>
      <c r="B5757" s="0" t="s">
        <v>95</v>
      </c>
      <c r="E5757" s="6" t="n">
        <f aca="false">Q!M35-Q!M36-Q!M43</f>
        <v>63.886</v>
      </c>
      <c r="F5757" s="6" t="n">
        <f aca="false">Sens!F5751-Sens!F5754-Sens!F5756</f>
        <v>-4.70658150177159</v>
      </c>
      <c r="G5757" s="6" t="n">
        <f aca="false">Sens!G5751-Sens!G5754-Sens!G5756</f>
        <v>16.3665603253405</v>
      </c>
      <c r="H5757" s="6" t="n">
        <f aca="false">Sens!H5751-Sens!H5754-Sens!H5756</f>
        <v>40.4877253839211</v>
      </c>
      <c r="I5757" s="6" t="n">
        <f aca="false">Sens!I5751-Sens!I5754-Sens!I5756</f>
        <v>44.5199371886746</v>
      </c>
      <c r="J5757" s="6" t="n">
        <f aca="false">Sens!J5751-Sens!J5754-Sens!J5756</f>
        <v>62.9296211823097</v>
      </c>
      <c r="K5757" s="6" t="n">
        <f aca="false">Sens!K5751-Sens!K5754-Sens!K5756</f>
        <v>51.026329411747</v>
      </c>
      <c r="L5757" s="11" t="s">
        <v>855</v>
      </c>
    </row>
    <row r="5758" customFormat="false" ht="15" hidden="false" customHeight="false" outlineLevel="0" collapsed="false">
      <c r="A5758" s="1" t="s">
        <v>856</v>
      </c>
      <c r="B5758" s="0" t="s">
        <v>73</v>
      </c>
      <c r="F5758" s="8" t="n">
        <f aca="false">dps_27</f>
        <v>3.85</v>
      </c>
      <c r="G5758" s="8" t="n">
        <f aca="false">Sens!F5758*(1+dps_g)</f>
        <v>4.158</v>
      </c>
      <c r="H5758" s="8" t="n">
        <f aca="false">Sens!G5758*(1+dps_g)</f>
        <v>4.49064</v>
      </c>
      <c r="I5758" s="8" t="n">
        <f aca="false">Sens!H5758*(1+dps_g)</f>
        <v>4.8498912</v>
      </c>
      <c r="J5758" s="8" t="n">
        <f aca="false">Sens!I5758*(1+dps_g)</f>
        <v>5.237882496</v>
      </c>
      <c r="K5758" s="8" t="n">
        <f aca="false">Sens!J5758*(1+dps_g)</f>
        <v>5.65691309568</v>
      </c>
    </row>
    <row r="5759" customFormat="false" ht="17.15" hidden="false" customHeight="false" outlineLevel="0" collapsed="false">
      <c r="A5759" s="1" t="s">
        <v>857</v>
      </c>
      <c r="B5759" s="0" t="s">
        <v>95</v>
      </c>
      <c r="E5759" s="6" t="n">
        <f aca="false">Q!M41</f>
        <v>26.445</v>
      </c>
      <c r="F5759" s="6" t="n">
        <f aca="false">Sens!F5758*Sens!E5768</f>
        <v>28.59395</v>
      </c>
      <c r="G5759" s="6" t="n">
        <f aca="false">Sens!G5758*Sens!F5768</f>
        <v>31.068576</v>
      </c>
      <c r="H5759" s="6" t="n">
        <f aca="false">Sens!H5758*Sens!G5768</f>
        <v>33.75614088</v>
      </c>
      <c r="I5759" s="6" t="n">
        <f aca="false">Sens!I5758*Sens!H5768</f>
        <v>36.6393398053561</v>
      </c>
      <c r="J5759" s="6" t="n">
        <f aca="false">Sens!J5758*Sens!I5768</f>
        <v>39.7469904918286</v>
      </c>
      <c r="K5759" s="6" t="n">
        <f aca="false">Sens!K5758*Sens!J5768</f>
        <v>43.01400495648</v>
      </c>
      <c r="L5759" s="1" t="s">
        <v>858</v>
      </c>
    </row>
    <row r="5760" customFormat="false" ht="15" hidden="false" customHeight="false" outlineLevel="0" collapsed="false">
      <c r="A5760" s="1" t="s">
        <v>859</v>
      </c>
      <c r="B5760" s="0" t="s">
        <v>95</v>
      </c>
      <c r="E5760" s="6" t="n">
        <f aca="false">Sens!E5757-Sens!E5759</f>
        <v>37.441</v>
      </c>
      <c r="F5760" s="6" t="n">
        <f aca="false">Sens!F5757-Sens!F5759</f>
        <v>-33.3005315017716</v>
      </c>
      <c r="G5760" s="6" t="n">
        <f aca="false">Sens!G5757-Sens!G5759</f>
        <v>-14.7020156746595</v>
      </c>
      <c r="H5760" s="6" t="n">
        <f aca="false">Sens!H5757-Sens!H5759</f>
        <v>6.73158450392111</v>
      </c>
      <c r="I5760" s="6" t="n">
        <f aca="false">Sens!I5757-Sens!I5759</f>
        <v>7.88059738331851</v>
      </c>
      <c r="J5760" s="6" t="n">
        <f aca="false">Sens!J5757-Sens!J5759</f>
        <v>23.182630690481</v>
      </c>
      <c r="K5760" s="6" t="n">
        <f aca="false">Sens!K5757-Sens!K5759</f>
        <v>8.01232445526708</v>
      </c>
    </row>
    <row r="5761" customFormat="false" ht="15" hidden="false" customHeight="false" outlineLevel="0" collapsed="false">
      <c r="A5761" s="1" t="s">
        <v>860</v>
      </c>
      <c r="B5761" s="0" t="s">
        <v>95</v>
      </c>
      <c r="F5761" s="6" t="n">
        <f aca="false">debt_mat_27</f>
        <v>9.25</v>
      </c>
      <c r="G5761" s="6" t="n">
        <f aca="false">debt_mat_28</f>
        <v>0</v>
      </c>
      <c r="H5761" s="6" t="n">
        <f aca="false">debt_mat_29</f>
        <v>2.001</v>
      </c>
      <c r="I5761" s="6" t="n">
        <f aca="false">debt_mat_30</f>
        <v>0</v>
      </c>
      <c r="J5761" s="6" t="n">
        <f aca="false">debt_mat_31</f>
        <v>0.5</v>
      </c>
      <c r="K5761" s="6" t="n">
        <f aca="false">debt_mat_32</f>
        <v>0</v>
      </c>
    </row>
    <row r="5762" customFormat="false" ht="15" hidden="false" customHeight="false" outlineLevel="0" collapsed="false">
      <c r="A5762" s="1" t="s">
        <v>861</v>
      </c>
      <c r="B5762" s="0" t="s">
        <v>95</v>
      </c>
      <c r="E5762" s="6" t="n">
        <f aca="false">Q!M40</f>
        <v>22.271</v>
      </c>
      <c r="F5762" s="6" t="n">
        <f aca="false">MAX(0,MIN(bb_target,Sens!E5764+Sens!F5760-Sens!F5761-min_cash))</f>
        <v>0</v>
      </c>
      <c r="G5762" s="6" t="n">
        <f aca="false">MAX(0,MIN(bb_target,Sens!F5764+Sens!G5760-Sens!G5761-min_cash))</f>
        <v>0</v>
      </c>
      <c r="H5762" s="6" t="n">
        <f aca="false">MAX(0,MIN(bb_target,Sens!G5764+Sens!H5760-Sens!H5761-min_cash))</f>
        <v>4.73058450392112</v>
      </c>
      <c r="I5762" s="6" t="n">
        <f aca="false">MAX(0,MIN(bb_target,Sens!H5764+Sens!I5760-Sens!I5761-min_cash))</f>
        <v>7.88059738331851</v>
      </c>
      <c r="J5762" s="6" t="n">
        <f aca="false">MAX(0,MIN(bb_target,Sens!I5764+Sens!J5760-Sens!J5761-min_cash))</f>
        <v>22.271</v>
      </c>
      <c r="K5762" s="6" t="n">
        <f aca="false">MAX(0,MIN(bb_target,Sens!J5764+Sens!K5760-Sens!K5761-min_cash))</f>
        <v>8.42395514574812</v>
      </c>
    </row>
    <row r="5763" customFormat="false" ht="15" hidden="false" customHeight="false" outlineLevel="0" collapsed="false">
      <c r="A5763" s="1" t="s">
        <v>862</v>
      </c>
      <c r="B5763" s="0" t="s">
        <v>95</v>
      </c>
      <c r="F5763" s="6" t="n">
        <f aca="false">MAX(0,min_cash-(Sens!E5764+Sens!F5760-Sens!F5761-Sens!F5762))</f>
        <v>15.7075315017716</v>
      </c>
      <c r="G5763" s="6" t="n">
        <f aca="false">MAX(0,min_cash-(Sens!F5764+Sens!G5760-Sens!G5761-Sens!G5762))</f>
        <v>14.7020156746595</v>
      </c>
      <c r="H5763" s="6" t="n">
        <f aca="false">MAX(0,min_cash-(Sens!G5764+Sens!H5760-Sens!H5761-Sens!H5762))</f>
        <v>0</v>
      </c>
      <c r="I5763" s="6" t="n">
        <f aca="false">MAX(0,min_cash-(Sens!H5764+Sens!I5760-Sens!I5761-Sens!I5762))</f>
        <v>0</v>
      </c>
      <c r="J5763" s="6" t="n">
        <f aca="false">MAX(0,min_cash-(Sens!I5764+Sens!J5760-Sens!J5761-Sens!J5762))</f>
        <v>0</v>
      </c>
      <c r="K5763" s="6" t="n">
        <f aca="false">MAX(0,min_cash-(Sens!J5764+Sens!K5760-Sens!K5761-Sens!K5762))</f>
        <v>0</v>
      </c>
    </row>
    <row r="5764" customFormat="false" ht="15" hidden="false" customHeight="false" outlineLevel="0" collapsed="false">
      <c r="A5764" s="1" t="s">
        <v>863</v>
      </c>
      <c r="B5764" s="0" t="s">
        <v>95</v>
      </c>
      <c r="E5764" s="6" t="n">
        <f aca="false">cash_open</f>
        <v>76.843</v>
      </c>
      <c r="F5764" s="6" t="n">
        <f aca="false">Sens!E5764+Sens!F5760-Sens!F5761-Sens!F5762+Sens!F5763</f>
        <v>50</v>
      </c>
      <c r="G5764" s="6" t="n">
        <f aca="false">Sens!F5764+Sens!G5760-Sens!G5761-Sens!G5762+Sens!G5763</f>
        <v>50</v>
      </c>
      <c r="H5764" s="6" t="n">
        <f aca="false">Sens!G5764+Sens!H5760-Sens!H5761-Sens!H5762+Sens!H5763</f>
        <v>50</v>
      </c>
      <c r="I5764" s="6" t="n">
        <f aca="false">Sens!H5764+Sens!I5760-Sens!I5761-Sens!I5762+Sens!I5763</f>
        <v>50</v>
      </c>
      <c r="J5764" s="6" t="n">
        <f aca="false">Sens!I5764+Sens!J5760-Sens!J5761-Sens!J5762+Sens!J5763</f>
        <v>50.411630690481</v>
      </c>
      <c r="K5764" s="6" t="n">
        <f aca="false">Sens!J5764+Sens!K5760-Sens!K5761-Sens!K5762+Sens!K5763</f>
        <v>50</v>
      </c>
    </row>
    <row r="5765" customFormat="false" ht="15" hidden="false" customHeight="false" outlineLevel="0" collapsed="false">
      <c r="A5765" s="1" t="s">
        <v>864</v>
      </c>
      <c r="B5765" s="0" t="s">
        <v>95</v>
      </c>
      <c r="E5765" s="6" t="n">
        <f aca="false">debt_face</f>
        <v>46.136</v>
      </c>
      <c r="F5765" s="6" t="n">
        <f aca="false">Sens!E5765-Sens!F5761+Sens!F5763</f>
        <v>52.5935315017716</v>
      </c>
      <c r="G5765" s="6" t="n">
        <f aca="false">Sens!F5765-Sens!G5761+Sens!G5763</f>
        <v>67.2955471764311</v>
      </c>
      <c r="H5765" s="6" t="n">
        <f aca="false">Sens!G5765-Sens!H5761+Sens!H5763</f>
        <v>65.2945471764311</v>
      </c>
      <c r="I5765" s="6" t="n">
        <f aca="false">Sens!H5765-Sens!I5761+Sens!I5763</f>
        <v>65.2945471764311</v>
      </c>
      <c r="J5765" s="6" t="n">
        <f aca="false">Sens!I5765-Sens!J5761+Sens!J5763</f>
        <v>64.7945471764311</v>
      </c>
      <c r="K5765" s="6" t="n">
        <f aca="false">Sens!J5765-Sens!K5761+Sens!K5763</f>
        <v>64.7945471764311</v>
      </c>
    </row>
    <row r="5766" customFormat="false" ht="15" hidden="false" customHeight="false" outlineLevel="0" collapsed="false">
      <c r="A5766" s="1" t="s">
        <v>865</v>
      </c>
      <c r="B5766" s="0" t="s">
        <v>95</v>
      </c>
      <c r="E5766" s="6" t="n">
        <f aca="false">Sens!E5764-Sens!E5765</f>
        <v>30.707</v>
      </c>
      <c r="F5766" s="6" t="n">
        <f aca="false">Sens!F5764-Sens!F5765</f>
        <v>-2.59353150177159</v>
      </c>
      <c r="G5766" s="6" t="n">
        <f aca="false">Sens!G5764-Sens!G5765</f>
        <v>-17.2955471764311</v>
      </c>
      <c r="H5766" s="6" t="n">
        <f aca="false">Sens!H5764-Sens!H5765</f>
        <v>-15.2945471764311</v>
      </c>
      <c r="I5766" s="6" t="n">
        <f aca="false">Sens!I5764-Sens!I5765</f>
        <v>-15.2945471764311</v>
      </c>
      <c r="J5766" s="6" t="n">
        <f aca="false">Sens!J5764-Sens!J5765</f>
        <v>-14.38291648595</v>
      </c>
      <c r="K5766" s="6" t="n">
        <f aca="false">Sens!K5764-Sens!K5765</f>
        <v>-14.7945471764311</v>
      </c>
    </row>
    <row r="5767" customFormat="false" ht="15" hidden="false" customHeight="false" outlineLevel="0" collapsed="false">
      <c r="A5767" s="1" t="s">
        <v>866</v>
      </c>
      <c r="B5767" s="0" t="s">
        <v>73</v>
      </c>
      <c r="F5767" s="27" t="n">
        <f aca="false">px*(1+bb_g)^(1-0.5)</f>
        <v>553.494156066711</v>
      </c>
      <c r="G5767" s="27" t="n">
        <f aca="false">px*(1+bb_g)^(2-0.5)</f>
        <v>597.773688552047</v>
      </c>
      <c r="H5767" s="27" t="n">
        <f aca="false">px*(1+bb_g)^(3-0.5)</f>
        <v>645.595583636211</v>
      </c>
      <c r="I5767" s="27" t="n">
        <f aca="false">px*(1+bb_g)^(4-0.5)</f>
        <v>697.243230327108</v>
      </c>
      <c r="J5767" s="27" t="n">
        <f aca="false">px*(1+bb_g)^(5-0.5)</f>
        <v>753.022688753277</v>
      </c>
      <c r="K5767" s="27" t="n">
        <f aca="false">px*(1+bb_g)^(6-0.5)</f>
        <v>813.264503853539</v>
      </c>
    </row>
    <row r="5768" customFormat="false" ht="15" hidden="false" customHeight="false" outlineLevel="0" collapsed="false">
      <c r="A5768" s="1" t="s">
        <v>867</v>
      </c>
      <c r="B5768" s="1" t="s">
        <v>79</v>
      </c>
      <c r="E5768" s="18" t="n">
        <f aca="false">sh_out26</f>
        <v>7.427</v>
      </c>
      <c r="F5768" s="18" t="n">
        <f aca="false">Sens!E5768+sh_iss-Sens!F5762/Sens!F5767</f>
        <v>7.472</v>
      </c>
      <c r="G5768" s="18" t="n">
        <f aca="false">Sens!F5768+sh_iss-Sens!G5762/Sens!G5767</f>
        <v>7.517</v>
      </c>
      <c r="H5768" s="18" t="n">
        <f aca="false">Sens!G5768+sh_iss-Sens!H5762/Sens!H5767</f>
        <v>7.55467252654165</v>
      </c>
      <c r="I5768" s="18" t="n">
        <f aca="false">Sens!H5768+sh_iss-Sens!I5762/Sens!I5767</f>
        <v>7.58837001826255</v>
      </c>
      <c r="J5768" s="18" t="n">
        <f aca="false">Sens!I5768+sh_iss-Sens!J5762/Sens!J5767</f>
        <v>7.60379454818359</v>
      </c>
      <c r="K5768" s="18" t="n">
        <f aca="false">Sens!J5768+sh_iss-Sens!K5762/Sens!K5767</f>
        <v>7.63843634970594</v>
      </c>
    </row>
    <row r="5769" customFormat="false" ht="15" hidden="false" customHeight="false" outlineLevel="0" collapsed="false">
      <c r="A5769" s="1" t="s">
        <v>868</v>
      </c>
      <c r="B5769" s="1" t="s">
        <v>79</v>
      </c>
      <c r="E5769" s="18" t="n">
        <f aca="false">sh_dil26</f>
        <v>7.453</v>
      </c>
      <c r="F5769" s="18" t="n">
        <f aca="false">(Sens!E5768+Sens!F5768)/2+dil_gap</f>
        <v>7.4735</v>
      </c>
      <c r="G5769" s="18" t="n">
        <f aca="false">(Sens!F5768+Sens!G5768)/2+dil_gap</f>
        <v>7.5185</v>
      </c>
      <c r="H5769" s="18" t="n">
        <f aca="false">(Sens!G5768+Sens!H5768)/2+dil_gap</f>
        <v>7.55983626327083</v>
      </c>
      <c r="I5769" s="18" t="n">
        <f aca="false">(Sens!H5768+Sens!I5768)/2+dil_gap</f>
        <v>7.5955212724021</v>
      </c>
      <c r="J5769" s="18" t="n">
        <f aca="false">(Sens!I5768+Sens!J5768)/2+dil_gap</f>
        <v>7.62008228322307</v>
      </c>
      <c r="K5769" s="18" t="n">
        <f aca="false">(Sens!J5768+Sens!K5768)/2+dil_gap</f>
        <v>7.64511544894476</v>
      </c>
    </row>
    <row r="5770" customFormat="false" ht="17.15" hidden="false" customHeight="false" outlineLevel="0" collapsed="false">
      <c r="A5770" s="1" t="s">
        <v>869</v>
      </c>
      <c r="B5770" s="0" t="s">
        <v>95</v>
      </c>
      <c r="C5770" s="6" t="n">
        <f aca="false">SUM(Sens!F5760:J5760)</f>
        <v>-10.2077345987104</v>
      </c>
    </row>
    <row r="5771" customFormat="false" ht="17.15" hidden="false" customHeight="false" outlineLevel="0" collapsed="false">
      <c r="A5771" s="1" t="s">
        <v>836</v>
      </c>
      <c r="B5771" s="1" t="s">
        <v>870</v>
      </c>
      <c r="C5771" s="30" t="str">
        <f aca="false">IF(SUM(Sens!F5763:J5763)&gt;0.05,"需要舉債 "&amp;TEXT(SUM(Sens!F5763:J5763),"0.0")&amp;" 十億美元","不需舉債")&amp;"；"&amp;IF(SUM(Sens!F5762:J5762)&lt;5*bb_target-0.05,"回購較每年 "&amp;TEXT(bb_target,"0.0")&amp;" 的目標少 "&amp;TEXT(5*bb_target-SUM(Sens!F5762:J5762),"0.0")&amp;" 十億美元（"&amp;TEXT(COUNTIF(Sens!F5762:J5762,"&lt;"&amp;(bb_target-0.05)),"0")&amp;" 年減少）","回購不減")</f>
        <v>需要舉債 30.4 十億美元；回購較每年 22.3 的目標少 76.5 十億美元（4 年減少）</v>
      </c>
    </row>
    <row r="5772" customFormat="false" ht="17.15" hidden="false" customHeight="false" outlineLevel="0" collapsed="false">
      <c r="A5772" s="3" t="s">
        <v>1278</v>
      </c>
    </row>
    <row r="5773" customFormat="false" ht="15" hidden="false" customHeight="false" outlineLevel="0" collapsed="false">
      <c r="A5773" s="4" t="s">
        <v>43</v>
      </c>
      <c r="B5773" s="4" t="s">
        <v>63</v>
      </c>
      <c r="C5773" s="19" t="s">
        <v>710</v>
      </c>
      <c r="D5773" s="19" t="s">
        <v>711</v>
      </c>
      <c r="E5773" s="19" t="s">
        <v>712</v>
      </c>
      <c r="F5773" s="19" t="s">
        <v>713</v>
      </c>
      <c r="G5773" s="19" t="s">
        <v>714</v>
      </c>
      <c r="H5773" s="19" t="s">
        <v>715</v>
      </c>
      <c r="I5773" s="19" t="s">
        <v>716</v>
      </c>
      <c r="J5773" s="19" t="s">
        <v>717</v>
      </c>
      <c r="K5773" s="19" t="s">
        <v>718</v>
      </c>
      <c r="L5773" s="4" t="s">
        <v>47</v>
      </c>
    </row>
    <row r="5774" customFormat="false" ht="17.15" hidden="false" customHeight="false" outlineLevel="0" collapsed="false">
      <c r="A5774" s="1" t="s">
        <v>938</v>
      </c>
      <c r="B5774" s="1" t="s">
        <v>213</v>
      </c>
      <c r="F5774" s="34" t="n">
        <f aca="false">1-0.5</f>
        <v>0.5</v>
      </c>
      <c r="G5774" s="34" t="n">
        <f aca="false">2-0.5</f>
        <v>1.5</v>
      </c>
      <c r="H5774" s="34" t="n">
        <f aca="false">3-0.5</f>
        <v>2.5</v>
      </c>
      <c r="I5774" s="34" t="n">
        <f aca="false">4-0.5</f>
        <v>3.5</v>
      </c>
      <c r="J5774" s="34" t="n">
        <f aca="false">5-0.5</f>
        <v>4.5</v>
      </c>
      <c r="K5774" s="34" t="n">
        <f aca="false">6-0.5</f>
        <v>5.5</v>
      </c>
    </row>
    <row r="5775" customFormat="false" ht="15" hidden="false" customHeight="false" outlineLevel="0" collapsed="false">
      <c r="A5775" s="1" t="s">
        <v>939</v>
      </c>
      <c r="B5775" s="0" t="s">
        <v>182</v>
      </c>
      <c r="F5775" s="18" t="n">
        <f aca="false">1/(1+wacc)^Sens!F5774</f>
        <v>0.949601579913219</v>
      </c>
      <c r="G5775" s="18" t="n">
        <f aca="false">1/(1+wacc)^Sens!G5774</f>
        <v>0.856296729956707</v>
      </c>
      <c r="H5775" s="18" t="n">
        <f aca="false">1/(1+wacc)^Sens!H5774</f>
        <v>0.772159719660069</v>
      </c>
      <c r="I5775" s="18" t="n">
        <f aca="false">1/(1+wacc)^Sens!I5774</f>
        <v>0.696289746073958</v>
      </c>
      <c r="J5775" s="18" t="n">
        <f aca="false">1/(1+wacc)^Sens!J5774</f>
        <v>0.627874516299776</v>
      </c>
      <c r="K5775" s="18" t="n">
        <f aca="false">1/(1+wacc)^Sens!K5774</f>
        <v>0.566181550771831</v>
      </c>
    </row>
    <row r="5776" customFormat="false" ht="15" hidden="false" customHeight="false" outlineLevel="0" collapsed="false">
      <c r="A5776" s="1" t="s">
        <v>940</v>
      </c>
      <c r="B5776" s="0" t="s">
        <v>95</v>
      </c>
      <c r="F5776" s="6" t="n">
        <f aca="false">Sens!F5757*Sens!F5775</f>
        <v>-4.46937723007263</v>
      </c>
      <c r="G5776" s="6" t="n">
        <f aca="false">Sens!G5757*Sens!G5775</f>
        <v>14.0146320872283</v>
      </c>
      <c r="H5776" s="6" t="n">
        <f aca="false">Sens!H5757*Sens!H5775</f>
        <v>31.2629906821224</v>
      </c>
      <c r="I5776" s="6" t="n">
        <f aca="false">Sens!I5757*Sens!I5775</f>
        <v>30.9987757603308</v>
      </c>
      <c r="J5776" s="6" t="n">
        <f aca="false">Sens!J5757*Sens!J5775</f>
        <v>39.5119054607708</v>
      </c>
      <c r="K5776" s="6" t="n">
        <f aca="false">Sens!K5757*Sens!K5775</f>
        <v>28.8901663165373</v>
      </c>
    </row>
    <row r="5777" customFormat="false" ht="17.15" hidden="false" customHeight="false" outlineLevel="0" collapsed="false">
      <c r="A5777" s="1" t="s">
        <v>941</v>
      </c>
      <c r="B5777" s="0" t="s">
        <v>95</v>
      </c>
      <c r="C5777" s="6" t="n">
        <f aca="false">SUM(Sens!F5776:K5776)</f>
        <v>140.209093076917</v>
      </c>
    </row>
    <row r="5778" customFormat="false" ht="17.15" hidden="false" customHeight="false" outlineLevel="0" collapsed="false">
      <c r="A5778" s="1" t="s">
        <v>942</v>
      </c>
      <c r="B5778" s="0" t="s">
        <v>95</v>
      </c>
      <c r="C5778" s="6" t="n">
        <f aca="false">Sens!K5723*(1+g_tv)*(1-tax_f)</f>
        <v>162.177866622783</v>
      </c>
    </row>
    <row r="5779" customFormat="false" ht="17.15" hidden="false" customHeight="false" outlineLevel="0" collapsed="false">
      <c r="A5779" s="1" t="s">
        <v>943</v>
      </c>
      <c r="B5779" s="0" t="s">
        <v>95</v>
      </c>
      <c r="C5779" s="6" t="n">
        <f aca="false">Sens!$C$5778*(1-g_tv/(wacc+ronic_prem))</f>
        <v>117.526690314637</v>
      </c>
    </row>
    <row r="5780" customFormat="false" ht="17.15" hidden="false" customHeight="false" outlineLevel="0" collapsed="false">
      <c r="A5780" s="1" t="s">
        <v>944</v>
      </c>
      <c r="B5780" s="0" t="s">
        <v>95</v>
      </c>
      <c r="C5780" s="6" t="n">
        <f aca="false">Sens!$C$5779/(wacc-g_tv)</f>
        <v>1488.37254360486</v>
      </c>
    </row>
    <row r="5781" customFormat="false" ht="15" hidden="false" customHeight="false" outlineLevel="0" collapsed="false">
      <c r="A5781" s="1" t="s">
        <v>945</v>
      </c>
      <c r="B5781" s="0" t="s">
        <v>95</v>
      </c>
      <c r="C5781" s="6" t="n">
        <f aca="false">Sens!$C$5780/(1+wacc)^6</f>
        <v>800.218876866858</v>
      </c>
    </row>
    <row r="5782" customFormat="false" ht="17.15" hidden="false" customHeight="false" outlineLevel="0" collapsed="false">
      <c r="A5782" s="0" t="s">
        <v>877</v>
      </c>
      <c r="B5782" s="0" t="s">
        <v>95</v>
      </c>
      <c r="C5782" s="6" t="n">
        <f aca="false">Sens!$C$5777+Sens!$C$5781</f>
        <v>940.427969943774</v>
      </c>
    </row>
    <row r="5783" customFormat="false" ht="15" hidden="false" customHeight="false" outlineLevel="0" collapsed="false">
      <c r="A5783" s="1" t="s">
        <v>878</v>
      </c>
      <c r="B5783" s="0" t="s">
        <v>126</v>
      </c>
      <c r="C5783" s="7" t="n">
        <f aca="false">Sens!$C$5781/Sens!$C$5782</f>
        <v>0.850909269441125</v>
      </c>
    </row>
    <row r="5784" customFormat="false" ht="17.15" hidden="false" customHeight="false" outlineLevel="0" collapsed="false">
      <c r="A5784" s="1" t="s">
        <v>946</v>
      </c>
      <c r="B5784" s="0" t="s">
        <v>95</v>
      </c>
      <c r="C5784" s="6" t="n">
        <f aca="false">Sens!$C$5782+Sens!E5766+oai_v</f>
        <v>1141.53496994377</v>
      </c>
    </row>
    <row r="5785" customFormat="false" ht="17.15" hidden="false" customHeight="false" outlineLevel="0" collapsed="false">
      <c r="A5785" s="0" t="s">
        <v>883</v>
      </c>
      <c r="B5785" s="0" t="s">
        <v>73</v>
      </c>
      <c r="C5785" s="5" t="n">
        <f aca="false">Sens!$C$5784/sh_dil26</f>
        <v>153.164493485009</v>
      </c>
    </row>
    <row r="5786" customFormat="false" ht="17.15" hidden="false" customHeight="false" outlineLevel="0" collapsed="false">
      <c r="A5786" s="0" t="s">
        <v>947</v>
      </c>
      <c r="B5786" s="0" t="s">
        <v>73</v>
      </c>
      <c r="C5786" s="5" t="n">
        <f aca="false">Sens!$C$5785*(1+wacc)^t_roll</f>
        <v>175.678842460738</v>
      </c>
    </row>
    <row r="5787" customFormat="false" ht="17.15" hidden="false" customHeight="false" outlineLevel="0" collapsed="false">
      <c r="A5787" s="1" t="s">
        <v>948</v>
      </c>
      <c r="B5787" s="0" t="s">
        <v>126</v>
      </c>
      <c r="F5787" s="7" t="n">
        <f aca="false">Sens!F5747/(Sens!F5698-Sens!F5654)</f>
        <v>0.0691940422808032</v>
      </c>
      <c r="G5787" s="7" t="n">
        <f aca="false">Sens!G5747/(Sens!G5698-Sens!G5654)</f>
        <v>0.0667603673531709</v>
      </c>
      <c r="H5787" s="7" t="n">
        <f aca="false">Sens!H5747/(Sens!H5698-Sens!H5654)</f>
        <v>0.06550903196917</v>
      </c>
      <c r="I5787" s="7" t="n">
        <f aca="false">Sens!I5747/(Sens!I5698-Sens!I5654)</f>
        <v>0.065286241374212</v>
      </c>
      <c r="J5787" s="7" t="n">
        <f aca="false">Sens!J5747/(Sens!J5698-Sens!J5654)</f>
        <v>0.0658944365690026</v>
      </c>
      <c r="K5787" s="7" t="n">
        <f aca="false">Sens!K5747/(Sens!K5698-Sens!K5654)</f>
        <v>0.0671272855996359</v>
      </c>
    </row>
    <row r="5788" customFormat="false" ht="17.15" hidden="false" customHeight="false" outlineLevel="0" collapsed="false">
      <c r="A5788" s="0" t="s">
        <v>949</v>
      </c>
      <c r="B5788" s="0" t="s">
        <v>95</v>
      </c>
      <c r="F5788" s="6" t="n">
        <f aca="false">Sens!F5683*(al_m365+Sens!F5787)</f>
        <v>76.5908560183949</v>
      </c>
      <c r="G5788" s="6" t="n">
        <f aca="false">Sens!G5683*(al_m365+Sens!G5787)</f>
        <v>85.8548442567701</v>
      </c>
      <c r="H5788" s="6" t="n">
        <f aca="false">Sens!H5683*(al_m365+Sens!H5787)</f>
        <v>95.2725156660903</v>
      </c>
      <c r="I5788" s="6" t="n">
        <f aca="false">Sens!I5683*(al_m365+Sens!I5787)</f>
        <v>104.33952105557</v>
      </c>
      <c r="J5788" s="6" t="n">
        <f aca="false">Sens!J5683*(al_m365+Sens!J5787)</f>
        <v>112.877565712616</v>
      </c>
      <c r="K5788" s="6" t="n">
        <f aca="false">Sens!K5683*(al_m365+Sens!K5787)</f>
        <v>121.042235094565</v>
      </c>
    </row>
    <row r="5789" customFormat="false" ht="17.15" hidden="false" customHeight="false" outlineLevel="0" collapsed="false">
      <c r="A5789" s="0" t="s">
        <v>950</v>
      </c>
      <c r="B5789" s="0" t="s">
        <v>95</v>
      </c>
      <c r="F5789" s="6" t="n">
        <f aca="false">Sens!F5684*(al_lic+Sens!F5787)</f>
        <v>32.0076179679516</v>
      </c>
      <c r="G5789" s="6" t="n">
        <f aca="false">Sens!G5684*(al_lic+Sens!G5787)</f>
        <v>33.2638425191524</v>
      </c>
      <c r="H5789" s="6" t="n">
        <f aca="false">Sens!H5684*(al_lic+Sens!H5787)</f>
        <v>34.4337261232295</v>
      </c>
      <c r="I5789" s="6" t="n">
        <f aca="false">Sens!I5684*(al_lic+Sens!I5787)</f>
        <v>35.4973989201529</v>
      </c>
      <c r="J5789" s="6" t="n">
        <f aca="false">Sens!J5684*(al_lic+Sens!J5787)</f>
        <v>36.4327961506454</v>
      </c>
      <c r="K5789" s="6" t="n">
        <f aca="false">Sens!K5684*(al_lic+Sens!K5787)</f>
        <v>37.2176045096996</v>
      </c>
    </row>
    <row r="5790" customFormat="false" ht="17.15" hidden="false" customHeight="false" outlineLevel="0" collapsed="false">
      <c r="A5790" s="0" t="s">
        <v>951</v>
      </c>
      <c r="B5790" s="0" t="s">
        <v>95</v>
      </c>
      <c r="F5790" s="6" t="n">
        <f aca="false">Sens!F5686*(al_ind+Sens!F5787)</f>
        <v>8.25415254660697</v>
      </c>
      <c r="G5790" s="6" t="n">
        <f aca="false">Sens!G5686*(al_ind+Sens!G5787)</f>
        <v>8.96333453368212</v>
      </c>
      <c r="H5790" s="6" t="n">
        <f aca="false">Sens!H5686*(al_ind+Sens!H5787)</f>
        <v>9.71296581733769</v>
      </c>
      <c r="I5790" s="6" t="n">
        <f aca="false">Sens!I5686*(al_ind+Sens!I5787)</f>
        <v>10.4987711000211</v>
      </c>
      <c r="J5790" s="6" t="n">
        <f aca="false">Sens!J5686*(al_ind+Sens!J5787)</f>
        <v>11.313183218879</v>
      </c>
      <c r="K5790" s="6" t="n">
        <f aca="false">Sens!K5686*(al_ind+Sens!K5787)</f>
        <v>12.1458931312966</v>
      </c>
    </row>
    <row r="5791" customFormat="false" ht="17.15" hidden="false" customHeight="false" outlineLevel="0" collapsed="false">
      <c r="A5791" s="0" t="s">
        <v>952</v>
      </c>
      <c r="B5791" s="0" t="s">
        <v>95</v>
      </c>
      <c r="F5791" s="6" t="n">
        <f aca="false">Sens!F5688*(al_fro+Sens!F5787)</f>
        <v>3.24886342103096</v>
      </c>
      <c r="G5791" s="6" t="n">
        <f aca="false">Sens!G5688*(al_fro+Sens!G5787)</f>
        <v>3.44139053359691</v>
      </c>
      <c r="H5791" s="6" t="n">
        <f aca="false">Sens!H5688*(al_fro+Sens!H5787)</f>
        <v>3.66017797103316</v>
      </c>
      <c r="I5791" s="6" t="n">
        <f aca="false">Sens!I5688*(al_fro+Sens!I5787)</f>
        <v>3.9072153086403</v>
      </c>
      <c r="J5791" s="6" t="n">
        <f aca="false">Sens!J5688*(al_fro+Sens!J5787)</f>
        <v>4.18404991916586</v>
      </c>
      <c r="K5791" s="6" t="n">
        <f aca="false">Sens!K5688*(al_fro+Sens!K5787)</f>
        <v>4.49201804576045</v>
      </c>
    </row>
    <row r="5792" customFormat="false" ht="17.15" hidden="false" customHeight="false" outlineLevel="0" collapsed="false">
      <c r="A5792" s="0" t="s">
        <v>953</v>
      </c>
      <c r="B5792" s="0" t="s">
        <v>95</v>
      </c>
      <c r="F5792" s="6" t="n">
        <f aca="false">Sens!F5691*(al_srch+Sens!F5787)</f>
        <v>10.1939976514844</v>
      </c>
      <c r="G5792" s="6" t="n">
        <f aca="false">Sens!G5691*(al_srch+Sens!G5787)</f>
        <v>11.1742959676646</v>
      </c>
      <c r="H5792" s="6" t="n">
        <f aca="false">Sens!H5691*(al_srch+Sens!H5787)</f>
        <v>12.1949810282558</v>
      </c>
      <c r="I5792" s="6" t="n">
        <f aca="false">Sens!I5691*(al_srch+Sens!I5787)</f>
        <v>13.2444395578267</v>
      </c>
      <c r="J5792" s="6" t="n">
        <f aca="false">Sens!J5691*(al_srch+Sens!J5787)</f>
        <v>14.3060468596893</v>
      </c>
      <c r="K5792" s="6" t="n">
        <f aca="false">Sens!K5691*(al_srch+Sens!K5787)</f>
        <v>15.3590473103224</v>
      </c>
    </row>
    <row r="5793" customFormat="false" ht="17.15" hidden="false" customHeight="false" outlineLevel="0" collapsed="false">
      <c r="A5793" s="0" t="s">
        <v>954</v>
      </c>
      <c r="B5793" s="0" t="s">
        <v>95</v>
      </c>
      <c r="F5793" s="6" t="n">
        <f aca="false">Sens!F5660</f>
        <v>35.0573455625419</v>
      </c>
      <c r="G5793" s="6" t="n">
        <f aca="false">Sens!G5660</f>
        <v>52.2504971712871</v>
      </c>
      <c r="H5793" s="6" t="n">
        <f aca="false">Sens!H5660</f>
        <v>65.2796698510271</v>
      </c>
      <c r="I5793" s="6" t="n">
        <f aca="false">Sens!I5660</f>
        <v>85.5659922535278</v>
      </c>
      <c r="J5793" s="6" t="n">
        <f aca="false">Sens!J5660</f>
        <v>105.90773710582</v>
      </c>
      <c r="K5793" s="6" t="n">
        <f aca="false">Sens!K5660</f>
        <v>126.282084319851</v>
      </c>
    </row>
    <row r="5794" customFormat="false" ht="17.15" hidden="false" customHeight="false" outlineLevel="0" collapsed="false">
      <c r="A5794" s="0" t="s">
        <v>955</v>
      </c>
      <c r="B5794" s="0" t="s">
        <v>95</v>
      </c>
      <c r="F5794" s="6" t="n">
        <f aca="false">Sens!F5720+Sens!F5671+Sens!F5787*(Sens!F5690-Sens!F5654)</f>
        <v>204.413385899789</v>
      </c>
      <c r="G5794" s="6" t="n">
        <f aca="false">Sens!G5720+Sens!G5671+Sens!G5787*(Sens!G5690-Sens!G5654)</f>
        <v>239.37619137717</v>
      </c>
      <c r="H5794" s="6" t="n">
        <f aca="false">Sens!H5720+Sens!H5671+Sens!H5787*(Sens!H5690-Sens!H5654)</f>
        <v>270.386783166301</v>
      </c>
      <c r="I5794" s="6" t="n">
        <f aca="false">Sens!I5720+Sens!I5671+Sens!I5787*(Sens!I5690-Sens!I5654)</f>
        <v>308.058038206084</v>
      </c>
      <c r="J5794" s="6" t="n">
        <f aca="false">Sens!J5720+Sens!J5671+Sens!J5787*(Sens!J5690-Sens!J5654)</f>
        <v>344.382295757449</v>
      </c>
      <c r="K5794" s="6" t="n">
        <f aca="false">Sens!K5720+Sens!K5671+Sens!K5787*(Sens!K5690-Sens!K5654)</f>
        <v>378.799139949477</v>
      </c>
    </row>
    <row r="5795" customFormat="false" ht="17.15" hidden="false" customHeight="false" outlineLevel="0" collapsed="false">
      <c r="A5795" s="0" t="s">
        <v>956</v>
      </c>
      <c r="B5795" s="0" t="s">
        <v>95</v>
      </c>
      <c r="F5795" s="6" t="n">
        <f aca="false">Sens!F5794-Sens!F5788-Sens!F5789-Sens!F5790-Sens!F5791-Sens!F5793</f>
        <v>49.2545503832627</v>
      </c>
      <c r="G5795" s="6" t="n">
        <f aca="false">Sens!G5794-Sens!G5788-Sens!G5789-Sens!G5790-Sens!G5791-Sens!G5793</f>
        <v>55.6022823626818</v>
      </c>
      <c r="H5795" s="6" t="n">
        <f aca="false">Sens!H5794-Sens!H5788-Sens!H5789-Sens!H5790-Sens!H5791-Sens!H5793</f>
        <v>62.0277277375833</v>
      </c>
      <c r="I5795" s="6" t="n">
        <f aca="false">Sens!I5794-Sens!I5788-Sens!I5789-Sens!I5790-Sens!I5791-Sens!I5793</f>
        <v>68.2491395681724</v>
      </c>
      <c r="J5795" s="6" t="n">
        <f aca="false">Sens!J5794-Sens!J5788-Sens!J5789-Sens!J5790-Sens!J5791-Sens!J5793</f>
        <v>73.6669636503221</v>
      </c>
      <c r="K5795" s="6" t="n">
        <f aca="false">Sens!K5794-Sens!K5788-Sens!K5789-Sens!K5790-Sens!K5791-Sens!K5793</f>
        <v>77.6193048483049</v>
      </c>
    </row>
    <row r="5796" customFormat="false" ht="17.15" hidden="false" customHeight="false" outlineLevel="0" collapsed="false">
      <c r="A5796" s="0" t="s">
        <v>957</v>
      </c>
      <c r="B5796" s="0" t="s">
        <v>95</v>
      </c>
      <c r="F5796" s="6" t="n">
        <f aca="false">Sens!F5722+Sens!F5787*Sens!F5697</f>
        <v>23.8028608866214</v>
      </c>
      <c r="G5796" s="6" t="n">
        <f aca="false">Sens!G5722+Sens!G5787*Sens!G5697</f>
        <v>24.3643784030566</v>
      </c>
      <c r="H5796" s="6" t="n">
        <f aca="false">Sens!H5722+Sens!H5787*Sens!H5697</f>
        <v>25.167110930835</v>
      </c>
      <c r="I5796" s="6" t="n">
        <f aca="false">Sens!I5722+Sens!I5787*Sens!I5697</f>
        <v>26.1806080345521</v>
      </c>
      <c r="J5796" s="6" t="n">
        <f aca="false">Sens!J5722+Sens!J5787*Sens!J5697</f>
        <v>27.3765360955372</v>
      </c>
      <c r="K5796" s="6" t="n">
        <f aca="false">Sens!K5722+Sens!K5787*Sens!K5697</f>
        <v>28.7294390430804</v>
      </c>
    </row>
    <row r="5797" customFormat="false" ht="17.15" hidden="false" customHeight="false" outlineLevel="0" collapsed="false">
      <c r="A5797" s="0" t="s">
        <v>958</v>
      </c>
      <c r="B5797" s="0" t="s">
        <v>95</v>
      </c>
      <c r="F5797" s="6" t="n">
        <f aca="false">(Sens!F5796-Sens!F5792)*Sens!F5693/(Sens!F5693+Sens!F5695)</f>
        <v>7.46024627709477</v>
      </c>
      <c r="G5797" s="6" t="n">
        <f aca="false">(Sens!G5796-Sens!G5792)*Sens!G5693/(Sens!G5693+Sens!G5695)</f>
        <v>7.10175224569125</v>
      </c>
      <c r="H5797" s="6" t="n">
        <f aca="false">(Sens!H5796-Sens!H5792)*Sens!H5693/(Sens!H5693+Sens!H5695)</f>
        <v>6.89005548757781</v>
      </c>
      <c r="I5797" s="6" t="n">
        <f aca="false">(Sens!I5796-Sens!I5792)*Sens!I5693/(Sens!I5693+Sens!I5695)</f>
        <v>6.80878634258269</v>
      </c>
      <c r="J5797" s="6" t="n">
        <f aca="false">(Sens!J5796-Sens!J5792)*Sens!J5693/(Sens!J5693+Sens!J5695)</f>
        <v>6.84837557677926</v>
      </c>
      <c r="K5797" s="6" t="n">
        <f aca="false">(Sens!K5796-Sens!K5792)*Sens!K5693/(Sens!K5693+Sens!K5695)</f>
        <v>7.00551161799346</v>
      </c>
    </row>
    <row r="5798" customFormat="false" ht="17.15" hidden="false" customHeight="false" outlineLevel="0" collapsed="false">
      <c r="A5798" s="0" t="s">
        <v>959</v>
      </c>
      <c r="B5798" s="0" t="s">
        <v>95</v>
      </c>
      <c r="F5798" s="6" t="n">
        <f aca="false">Sens!F5796-Sens!F5792-Sens!F5797</f>
        <v>6.14861695804214</v>
      </c>
      <c r="G5798" s="6" t="n">
        <f aca="false">Sens!G5796-Sens!G5792-Sens!G5797</f>
        <v>6.08833018970075</v>
      </c>
      <c r="H5798" s="6" t="n">
        <f aca="false">Sens!H5796-Sens!H5792-Sens!H5797</f>
        <v>6.08207441500138</v>
      </c>
      <c r="I5798" s="6" t="n">
        <f aca="false">Sens!I5796-Sens!I5792-Sens!I5797</f>
        <v>6.12738213414265</v>
      </c>
      <c r="J5798" s="6" t="n">
        <f aca="false">Sens!J5796-Sens!J5792-Sens!J5797</f>
        <v>6.22211365906865</v>
      </c>
      <c r="K5798" s="6" t="n">
        <f aca="false">Sens!K5796-Sens!K5792-Sens!K5797</f>
        <v>6.36488011476451</v>
      </c>
    </row>
    <row r="5799" customFormat="false" ht="17.15" hidden="false" customHeight="false" outlineLevel="0" collapsed="false">
      <c r="A5799" s="1" t="s">
        <v>960</v>
      </c>
      <c r="B5799" s="0" t="s">
        <v>95</v>
      </c>
      <c r="C5799" s="6" t="n">
        <f aca="false">(w_ntm28*Sens!G5793+(1-w_ntm28)*Sens!H5793)*m_ai*1</f>
        <v>338.776008390068</v>
      </c>
    </row>
    <row r="5800" customFormat="false" ht="17.15" hidden="false" customHeight="false" outlineLevel="0" collapsed="false">
      <c r="A5800" s="1" t="s">
        <v>961</v>
      </c>
      <c r="B5800" s="0" t="s">
        <v>95</v>
      </c>
      <c r="C5800" s="6" t="n">
        <f aca="false">(w_ntm28*Sens!G5795+(1-w_ntm28)*Sens!H5795)*m_cloud*1</f>
        <v>797.131375949726</v>
      </c>
    </row>
    <row r="5801" customFormat="false" ht="17.15" hidden="false" customHeight="false" outlineLevel="0" collapsed="false">
      <c r="A5801" s="1" t="s">
        <v>962</v>
      </c>
      <c r="B5801" s="0" t="s">
        <v>95</v>
      </c>
      <c r="C5801" s="6" t="n">
        <f aca="false">(w_ntm28*Sens!G5788+(1-w_ntm28)*Sens!H5788)*m_sw*1</f>
        <v>960.114182203357</v>
      </c>
    </row>
    <row r="5802" customFormat="false" ht="17.15" hidden="false" customHeight="false" outlineLevel="0" collapsed="false">
      <c r="A5802" s="1" t="s">
        <v>963</v>
      </c>
      <c r="B5802" s="0" t="s">
        <v>95</v>
      </c>
      <c r="C5802" s="6" t="n">
        <f aca="false">(w_ntm28*Sens!G5789+(1-w_ntm28)*Sens!H5789)*m_sw*1</f>
        <v>363.334155823383</v>
      </c>
    </row>
    <row r="5803" customFormat="false" ht="17.15" hidden="false" customHeight="false" outlineLevel="0" collapsed="false">
      <c r="A5803" s="1" t="s">
        <v>964</v>
      </c>
      <c r="B5803" s="0" t="s">
        <v>95</v>
      </c>
      <c r="C5803" s="6" t="n">
        <f aca="false">(w_ntm28*Sens!G5790+(1-w_ntm28)*Sens!H5790)*m_sw*1</f>
        <v>99.4213557251111</v>
      </c>
    </row>
    <row r="5804" customFormat="false" ht="17.15" hidden="false" customHeight="false" outlineLevel="0" collapsed="false">
      <c r="A5804" s="1" t="s">
        <v>965</v>
      </c>
      <c r="B5804" s="0" t="s">
        <v>95</v>
      </c>
      <c r="C5804" s="6" t="n">
        <f aca="false">(w_ntm28*Sens!G5791+(1-w_ntm28)*Sens!H5791)*m_sw*1</f>
        <v>37.9309155991994</v>
      </c>
    </row>
    <row r="5805" customFormat="false" ht="17.15" hidden="false" customHeight="false" outlineLevel="0" collapsed="false">
      <c r="A5805" s="1" t="s">
        <v>966</v>
      </c>
      <c r="B5805" s="0" t="s">
        <v>95</v>
      </c>
      <c r="C5805" s="6" t="n">
        <f aca="false">(w_ntm28*Sens!G5792+(1-w_ntm28)*Sens!H5792)*m_ads*1</f>
        <v>104.803907570724</v>
      </c>
    </row>
    <row r="5806" customFormat="false" ht="17.15" hidden="false" customHeight="false" outlineLevel="0" collapsed="false">
      <c r="A5806" s="1" t="s">
        <v>967</v>
      </c>
      <c r="B5806" s="0" t="s">
        <v>95</v>
      </c>
      <c r="C5806" s="6" t="n">
        <f aca="false">(w_ntm28*Sens!G5797+(1-w_ntm28)*Sens!H5797)*m_game*1</f>
        <v>88.830746900103</v>
      </c>
    </row>
    <row r="5807" customFormat="false" ht="17.15" hidden="false" customHeight="false" outlineLevel="0" collapsed="false">
      <c r="A5807" s="1" t="s">
        <v>968</v>
      </c>
      <c r="B5807" s="0" t="s">
        <v>95</v>
      </c>
      <c r="C5807" s="6" t="n">
        <f aca="false">(w_ntm28*Sens!G5798+(1-w_ntm28)*Sens!H5798)*m_pc*1</f>
        <v>88.0688735023173</v>
      </c>
    </row>
    <row r="5808" customFormat="false" ht="17.15" hidden="false" customHeight="false" outlineLevel="0" collapsed="false">
      <c r="A5808" s="1" t="s">
        <v>969</v>
      </c>
      <c r="B5808" s="0" t="s">
        <v>95</v>
      </c>
      <c r="C5808" s="6" t="n">
        <f aca="false">Sens!$C$5799+Sens!$C$5800+Sens!$C$5801+Sens!$C$5802+Sens!$C$5803+Sens!$C$5804+Sens!$C$5805+Sens!$C$5806+Sens!$C$5807</f>
        <v>2878.41152166399</v>
      </c>
    </row>
    <row r="5809" customFormat="false" ht="17.15" hidden="false" customHeight="false" outlineLevel="0" collapsed="false">
      <c r="A5809" s="1" t="s">
        <v>903</v>
      </c>
      <c r="B5809" s="0" t="s">
        <v>95</v>
      </c>
      <c r="C5809" s="6" t="n">
        <f aca="false">Sens!F5766+oai_v-Sens!F5755</f>
        <v>105.336738498228</v>
      </c>
      <c r="L5809" s="1" t="s">
        <v>970</v>
      </c>
    </row>
    <row r="5810" customFormat="false" ht="15" hidden="false" customHeight="false" outlineLevel="0" collapsed="false">
      <c r="A5810" s="1" t="s">
        <v>904</v>
      </c>
      <c r="B5810" s="0" t="s">
        <v>73</v>
      </c>
      <c r="C5810" s="5" t="n">
        <f aca="false">(Sens!$C$5808+Sens!$C$5809)/Sens!F5768</f>
        <v>399.323910621282</v>
      </c>
    </row>
    <row r="5811" customFormat="false" ht="17.15" hidden="false" customHeight="false" outlineLevel="0" collapsed="false">
      <c r="A5811" s="1" t="s">
        <v>971</v>
      </c>
      <c r="B5811" s="0" t="s">
        <v>73</v>
      </c>
      <c r="C5811" s="5" t="n">
        <f aca="false">w_dcf*Sens!$C$5786+(1-w_dcf)*Sens!$C$5810</f>
        <v>287.50137654101</v>
      </c>
    </row>
    <row r="5812" customFormat="false" ht="17.15" hidden="false" customHeight="false" outlineLevel="0" collapsed="false">
      <c r="A5812" s="3" t="s">
        <v>1279</v>
      </c>
    </row>
    <row r="5813" customFormat="false" ht="15" hidden="false" customHeight="false" outlineLevel="0" collapsed="false">
      <c r="A5813" s="4" t="s">
        <v>43</v>
      </c>
      <c r="B5813" s="4" t="s">
        <v>63</v>
      </c>
      <c r="C5813" s="19" t="s">
        <v>710</v>
      </c>
      <c r="D5813" s="19" t="s">
        <v>711</v>
      </c>
      <c r="E5813" s="19" t="s">
        <v>712</v>
      </c>
      <c r="F5813" s="19" t="s">
        <v>713</v>
      </c>
      <c r="G5813" s="19" t="s">
        <v>714</v>
      </c>
      <c r="H5813" s="19" t="s">
        <v>715</v>
      </c>
      <c r="I5813" s="19" t="s">
        <v>716</v>
      </c>
      <c r="J5813" s="19" t="s">
        <v>717</v>
      </c>
      <c r="K5813" s="19" t="s">
        <v>718</v>
      </c>
      <c r="L5813" s="4" t="s">
        <v>47</v>
      </c>
    </row>
    <row r="5814" customFormat="false" ht="17.15" hidden="false" customHeight="false" outlineLevel="0" collapsed="false">
      <c r="A5814" s="1" t="s">
        <v>719</v>
      </c>
      <c r="B5814" s="0" t="s">
        <v>340</v>
      </c>
      <c r="C5814" s="27" t="n">
        <f aca="false">mw_ext_24</f>
        <v>640</v>
      </c>
      <c r="D5814" s="27" t="n">
        <f aca="false">mw_ext_25</f>
        <v>1630</v>
      </c>
      <c r="E5814" s="27" t="n">
        <f aca="false">mw_ext_26</f>
        <v>3250</v>
      </c>
      <c r="F5814" s="27" t="n">
        <f aca="false">MIN(1000000000,Sens!E5814+pace)</f>
        <v>5777.2</v>
      </c>
      <c r="G5814" s="27" t="n">
        <f aca="false">MIN(1000000000,Sens!F5814+pace)</f>
        <v>8304.4</v>
      </c>
      <c r="H5814" s="27" t="n">
        <f aca="false">MIN(1000000000,Sens!G5814+pace)</f>
        <v>10831.6</v>
      </c>
      <c r="I5814" s="27" t="n">
        <f aca="false">MIN(1000000000,Sens!H5814+pace)</f>
        <v>13358.8</v>
      </c>
      <c r="J5814" s="27" t="n">
        <f aca="false">MIN(1000000000,Sens!I5814+pace)</f>
        <v>15886</v>
      </c>
      <c r="K5814" s="27" t="n">
        <f aca="false">MIN(1000000000,Sens!J5814+pace)</f>
        <v>18413.2</v>
      </c>
      <c r="L5814" s="11" t="s">
        <v>720</v>
      </c>
    </row>
    <row r="5815" customFormat="false" ht="17.15" hidden="false" customHeight="false" outlineLevel="0" collapsed="false">
      <c r="A5815" s="1" t="s">
        <v>721</v>
      </c>
      <c r="B5815" s="0" t="s">
        <v>340</v>
      </c>
      <c r="C5815" s="27" t="n">
        <f aca="false">rent_ext_24</f>
        <v>150</v>
      </c>
      <c r="D5815" s="27" t="n">
        <f aca="false">rent_ext_25</f>
        <v>400</v>
      </c>
      <c r="E5815" s="27" t="n">
        <f aca="false">rent_ext_26</f>
        <v>550</v>
      </c>
      <c r="F5815" s="27" t="n">
        <f aca="false">rent_ext_f</f>
        <v>756</v>
      </c>
      <c r="G5815" s="27" t="n">
        <f aca="false">rent_ext_f</f>
        <v>756</v>
      </c>
      <c r="H5815" s="27" t="n">
        <f aca="false">rent_ext_f</f>
        <v>756</v>
      </c>
      <c r="I5815" s="27" t="n">
        <f aca="false">rent_ext_f</f>
        <v>756</v>
      </c>
      <c r="J5815" s="27" t="n">
        <f aca="false">rent_ext_f</f>
        <v>756</v>
      </c>
      <c r="K5815" s="27" t="n">
        <f aca="false">rent_ext_f</f>
        <v>756</v>
      </c>
      <c r="L5815" s="1" t="s">
        <v>722</v>
      </c>
    </row>
    <row r="5816" customFormat="false" ht="17.15" hidden="false" customHeight="false" outlineLevel="0" collapsed="false">
      <c r="A5816" s="1" t="s">
        <v>723</v>
      </c>
      <c r="B5816" s="0" t="s">
        <v>340</v>
      </c>
      <c r="C5816" s="27" t="n">
        <f aca="false">Sens!C5814-Sens!C5815</f>
        <v>490</v>
      </c>
      <c r="D5816" s="27" t="n">
        <f aca="false">Sens!D5814-Sens!D5815</f>
        <v>1230</v>
      </c>
      <c r="E5816" s="27" t="n">
        <f aca="false">Sens!E5814-Sens!E5815</f>
        <v>2700</v>
      </c>
      <c r="F5816" s="27" t="n">
        <f aca="false">Sens!F5814-Sens!F5815</f>
        <v>5021.2</v>
      </c>
      <c r="G5816" s="27" t="n">
        <f aca="false">Sens!G5814-Sens!G5815</f>
        <v>7548.4</v>
      </c>
      <c r="H5816" s="27" t="n">
        <f aca="false">Sens!H5814-Sens!H5815</f>
        <v>10075.6</v>
      </c>
      <c r="I5816" s="27" t="n">
        <f aca="false">Sens!I5814-Sens!I5815</f>
        <v>12602.8</v>
      </c>
      <c r="J5816" s="27" t="n">
        <f aca="false">Sens!J5814-Sens!J5815</f>
        <v>15130</v>
      </c>
      <c r="K5816" s="27" t="n">
        <f aca="false">Sens!K5814-Sens!K5815</f>
        <v>17657.2</v>
      </c>
    </row>
    <row r="5817" customFormat="false" ht="17.15" hidden="false" customHeight="false" outlineLevel="0" collapsed="false">
      <c r="A5817" s="1" t="s">
        <v>724</v>
      </c>
      <c r="B5817" s="0" t="s">
        <v>340</v>
      </c>
      <c r="C5817" s="27" t="n">
        <f aca="false">Sens!C5816/ext_sh</f>
        <v>816.666666666667</v>
      </c>
      <c r="D5817" s="27" t="n">
        <f aca="false">Sens!D5816/ext_sh</f>
        <v>2050</v>
      </c>
      <c r="E5817" s="27" t="n">
        <f aca="false">Sens!E5816/ext_sh</f>
        <v>4500</v>
      </c>
      <c r="F5817" s="27" t="n">
        <f aca="false">Sens!F5816/ext_sh</f>
        <v>8368.66666666667</v>
      </c>
      <c r="G5817" s="27" t="n">
        <f aca="false">Sens!G5816/ext_sh</f>
        <v>12580.6666666667</v>
      </c>
      <c r="H5817" s="27" t="n">
        <f aca="false">Sens!H5816/ext_sh</f>
        <v>16792.6666666667</v>
      </c>
      <c r="I5817" s="27" t="n">
        <f aca="false">Sens!I5816/ext_sh</f>
        <v>21004.6666666667</v>
      </c>
      <c r="J5817" s="27" t="n">
        <f aca="false">Sens!J5816/ext_sh</f>
        <v>25216.6666666667</v>
      </c>
      <c r="K5817" s="27" t="n">
        <f aca="false">Sens!K5816/ext_sh</f>
        <v>29428.6666666667</v>
      </c>
      <c r="L5817" s="1" t="s">
        <v>725</v>
      </c>
    </row>
    <row r="5818" customFormat="false" ht="17.15" hidden="false" customHeight="false" outlineLevel="0" collapsed="false">
      <c r="A5818" s="1" t="s">
        <v>726</v>
      </c>
      <c r="B5818" s="0" t="s">
        <v>340</v>
      </c>
      <c r="C5818" s="27" t="n">
        <f aca="false">Sens!C5817-Sens!C5816</f>
        <v>326.666666666667</v>
      </c>
      <c r="D5818" s="27" t="n">
        <f aca="false">Sens!D5817-Sens!D5816</f>
        <v>820</v>
      </c>
      <c r="E5818" s="27" t="n">
        <f aca="false">Sens!E5817-Sens!E5816</f>
        <v>1800</v>
      </c>
      <c r="F5818" s="27" t="n">
        <f aca="false">Sens!F5817-Sens!F5816</f>
        <v>3347.46666666667</v>
      </c>
      <c r="G5818" s="27" t="n">
        <f aca="false">Sens!G5817-Sens!G5816</f>
        <v>5032.26666666667</v>
      </c>
      <c r="H5818" s="27" t="n">
        <f aca="false">Sens!H5817-Sens!H5816</f>
        <v>6717.06666666667</v>
      </c>
      <c r="I5818" s="27" t="n">
        <f aca="false">Sens!I5817-Sens!I5816</f>
        <v>8401.86666666667</v>
      </c>
      <c r="J5818" s="27" t="n">
        <f aca="false">Sens!J5817-Sens!J5816</f>
        <v>10086.6666666667</v>
      </c>
      <c r="K5818" s="27" t="n">
        <f aca="false">Sens!K5817-Sens!K5816</f>
        <v>11771.4666666667</v>
      </c>
    </row>
    <row r="5819" customFormat="false" ht="17.15" hidden="false" customHeight="false" outlineLevel="0" collapsed="false">
      <c r="A5819" s="1" t="s">
        <v>727</v>
      </c>
      <c r="B5819" s="0" t="s">
        <v>340</v>
      </c>
      <c r="C5819" s="27" t="n">
        <f aca="false">Sens!C5817</f>
        <v>816.666666666667</v>
      </c>
      <c r="D5819" s="27" t="n">
        <f aca="false">Sens!D5817-Sens!C5817</f>
        <v>1233.33333333333</v>
      </c>
      <c r="E5819" s="27" t="n">
        <f aca="false">Sens!E5817-Sens!D5817</f>
        <v>2450</v>
      </c>
      <c r="F5819" s="27" t="n">
        <f aca="false">Sens!F5817-Sens!E5817</f>
        <v>3868.66666666667</v>
      </c>
      <c r="G5819" s="27" t="n">
        <f aca="false">Sens!G5817-Sens!F5817</f>
        <v>4212</v>
      </c>
      <c r="H5819" s="27" t="n">
        <f aca="false">Sens!H5817-Sens!G5817</f>
        <v>4212</v>
      </c>
      <c r="I5819" s="27" t="n">
        <f aca="false">Sens!I5817-Sens!H5817</f>
        <v>4212</v>
      </c>
      <c r="J5819" s="27" t="n">
        <f aca="false">Sens!J5817-Sens!I5817</f>
        <v>4212</v>
      </c>
      <c r="K5819" s="27" t="n">
        <f aca="false">Sens!K5817-Sens!J5817</f>
        <v>4212</v>
      </c>
    </row>
    <row r="5820" customFormat="false" ht="17.15" hidden="false" customHeight="false" outlineLevel="0" collapsed="false">
      <c r="A5820" s="1" t="s">
        <v>728</v>
      </c>
      <c r="B5820" s="0" t="s">
        <v>340</v>
      </c>
      <c r="D5820" s="27" t="n">
        <f aca="false">Sens!D5814-Sens!C5814</f>
        <v>990</v>
      </c>
      <c r="E5820" s="27" t="n">
        <f aca="false">Sens!E5814-Sens!D5814</f>
        <v>1620</v>
      </c>
      <c r="F5820" s="27" t="n">
        <f aca="false">Sens!F5814-Sens!E5814</f>
        <v>2527.2</v>
      </c>
      <c r="G5820" s="27" t="n">
        <f aca="false">Sens!G5814-Sens!F5814</f>
        <v>2527.2</v>
      </c>
      <c r="H5820" s="27" t="n">
        <f aca="false">Sens!H5814-Sens!G5814</f>
        <v>2527.2</v>
      </c>
      <c r="I5820" s="27" t="n">
        <f aca="false">Sens!I5814-Sens!H5814</f>
        <v>2527.2</v>
      </c>
      <c r="J5820" s="27" t="n">
        <f aca="false">Sens!J5814-Sens!I5814</f>
        <v>2527.2</v>
      </c>
      <c r="K5820" s="27" t="n">
        <f aca="false">Sens!K5814-Sens!J5814</f>
        <v>2527.2</v>
      </c>
    </row>
    <row r="5821" customFormat="false" ht="17.15" hidden="false" customHeight="false" outlineLevel="0" collapsed="false">
      <c r="A5821" s="1" t="s">
        <v>729</v>
      </c>
      <c r="B5821" s="0" t="s">
        <v>340</v>
      </c>
      <c r="C5821" s="27" t="n">
        <f aca="false">mix_h*Sens!C5814</f>
        <v>128</v>
      </c>
      <c r="D5821" s="27" t="n">
        <f aca="false">mix_h*Sens!D5814</f>
        <v>326</v>
      </c>
      <c r="E5821" s="27" t="n">
        <f aca="false">mix_h*Sens!E5814</f>
        <v>650</v>
      </c>
      <c r="F5821" s="27" t="n">
        <f aca="false">Sens!E5821</f>
        <v>650</v>
      </c>
      <c r="G5821" s="27" t="n">
        <f aca="false">Sens!F5821</f>
        <v>650</v>
      </c>
      <c r="H5821" s="27" t="n">
        <f aca="false">Sens!G5821</f>
        <v>650</v>
      </c>
      <c r="I5821" s="27" t="n">
        <f aca="false">Sens!H5821</f>
        <v>650</v>
      </c>
      <c r="J5821" s="27" t="n">
        <f aca="false">Sens!I5821</f>
        <v>650</v>
      </c>
      <c r="K5821" s="27" t="n">
        <f aca="false">Sens!J5821</f>
        <v>650</v>
      </c>
    </row>
    <row r="5822" customFormat="false" ht="17.15" hidden="false" customHeight="false" outlineLevel="0" collapsed="false">
      <c r="A5822" s="1" t="s">
        <v>730</v>
      </c>
      <c r="B5822" s="0" t="s">
        <v>340</v>
      </c>
      <c r="C5822" s="27" t="n">
        <f aca="false">mix_g2*Sens!C5814</f>
        <v>288</v>
      </c>
      <c r="D5822" s="27" t="n">
        <f aca="false">mix_g2*Sens!D5814</f>
        <v>733.5</v>
      </c>
      <c r="E5822" s="27" t="n">
        <f aca="false">mix_g2*Sens!E5814</f>
        <v>1462.5</v>
      </c>
      <c r="F5822" s="27" t="n">
        <f aca="false">Sens!E5822</f>
        <v>1462.5</v>
      </c>
      <c r="G5822" s="27" t="n">
        <f aca="false">Sens!F5822</f>
        <v>1462.5</v>
      </c>
      <c r="H5822" s="27" t="n">
        <f aca="false">Sens!G5822</f>
        <v>1462.5</v>
      </c>
      <c r="I5822" s="27" t="n">
        <f aca="false">Sens!H5822</f>
        <v>1462.5</v>
      </c>
      <c r="J5822" s="27" t="n">
        <f aca="false">Sens!I5822</f>
        <v>1462.5</v>
      </c>
      <c r="K5822" s="27" t="n">
        <f aca="false">Sens!J5822</f>
        <v>1462.5</v>
      </c>
    </row>
    <row r="5823" customFormat="false" ht="17.15" hidden="false" customHeight="false" outlineLevel="0" collapsed="false">
      <c r="A5823" s="1" t="s">
        <v>731</v>
      </c>
      <c r="B5823" s="0" t="s">
        <v>340</v>
      </c>
      <c r="C5823" s="27" t="n">
        <f aca="false">mix_g3*Sens!C5814</f>
        <v>224</v>
      </c>
      <c r="D5823" s="27" t="n">
        <f aca="false">mix_g3*Sens!D5814</f>
        <v>570.5</v>
      </c>
      <c r="E5823" s="27" t="n">
        <f aca="false">mix_g3*Sens!E5814</f>
        <v>1137.5</v>
      </c>
      <c r="F5823" s="27" t="n">
        <f aca="false">Sens!E5823+Sens!F5820*a_g3_27</f>
        <v>2906.54</v>
      </c>
      <c r="G5823" s="27" t="n">
        <f aca="false">Sens!F5823+Sens!G5820*a_g3_28</f>
        <v>3664.7</v>
      </c>
      <c r="H5823" s="27" t="n">
        <f aca="false">Sens!G5823+Sens!H5820*a_g3_29</f>
        <v>3917.42</v>
      </c>
      <c r="I5823" s="27" t="n">
        <f aca="false">Sens!H5823+Sens!I5820*a_g3_29</f>
        <v>4170.14</v>
      </c>
      <c r="J5823" s="27" t="n">
        <f aca="false">Sens!I5823+Sens!J5820*a_g3_29</f>
        <v>4422.86</v>
      </c>
      <c r="K5823" s="27" t="n">
        <f aca="false">Sens!J5823+Sens!K5820*a_g3_29</f>
        <v>4675.58</v>
      </c>
    </row>
    <row r="5824" customFormat="false" ht="17.15" hidden="false" customHeight="false" outlineLevel="0" collapsed="false">
      <c r="A5824" s="1" t="s">
        <v>732</v>
      </c>
      <c r="B5824" s="0" t="s">
        <v>340</v>
      </c>
      <c r="C5824" s="27" t="n">
        <f aca="false">0</f>
        <v>0</v>
      </c>
      <c r="D5824" s="27" t="n">
        <f aca="false">0</f>
        <v>0</v>
      </c>
      <c r="E5824" s="27" t="n">
        <f aca="false">0</f>
        <v>0</v>
      </c>
      <c r="F5824" s="27" t="n">
        <f aca="false">Sens!E5824+Sens!F5820*(1-a_g3_27)</f>
        <v>758.16</v>
      </c>
      <c r="G5824" s="27" t="n">
        <f aca="false">Sens!F5824+Sens!G5820*(1-a_g3_28)</f>
        <v>2527.2</v>
      </c>
      <c r="H5824" s="27" t="n">
        <f aca="false">Sens!G5824+Sens!H5820*(1-a_g3_29)</f>
        <v>4801.68</v>
      </c>
      <c r="I5824" s="27" t="n">
        <f aca="false">Sens!H5824+Sens!I5820*(1-a_g3_29)</f>
        <v>7076.16</v>
      </c>
      <c r="J5824" s="27" t="n">
        <f aca="false">Sens!I5824+Sens!J5820*(1-a_g3_29)</f>
        <v>9350.64</v>
      </c>
      <c r="K5824" s="27" t="n">
        <f aca="false">Sens!J5824+Sens!K5820*(1-a_g3_29)</f>
        <v>11625.12</v>
      </c>
    </row>
    <row r="5825" customFormat="false" ht="17.15" hidden="false" customHeight="false" outlineLevel="0" collapsed="false">
      <c r="A5825" s="1" t="s">
        <v>733</v>
      </c>
      <c r="B5825" s="0" t="s">
        <v>291</v>
      </c>
      <c r="C5825" s="18" t="n">
        <f aca="false">(Sens!C5821*tk_hold_h100+Sens!C5822*tk_hold_gb200+Sens!C5823*tk_hold_gb300+Sens!C5824*tk_hold_vr200)/Sens!C5814</f>
        <v>9.7235358126469</v>
      </c>
      <c r="D5825" s="18" t="n">
        <f aca="false">(Sens!D5821*tk_hold_h100+Sens!D5822*tk_hold_gb200+Sens!D5823*tk_hold_gb300+Sens!D5824*tk_hold_vr200)/Sens!D5814</f>
        <v>9.7235358126469</v>
      </c>
      <c r="E5825" s="18" t="n">
        <f aca="false">(Sens!E5821*tk_hold_h100+Sens!E5822*tk_hold_gb200+Sens!E5823*tk_hold_gb300+Sens!E5824*tk_hold_vr200)/Sens!E5814</f>
        <v>9.7235358126469</v>
      </c>
      <c r="F5825" s="18" t="n">
        <f aca="false">(Sens!F5821*tk_hold_h100+Sens!F5822*tk_hold_gb200+Sens!F5823*tk_hold_gb300+Sens!F5824*tk_hold_vr200)/Sens!F5814</f>
        <v>10.4079573161931</v>
      </c>
      <c r="G5825" s="18" t="n">
        <f aca="false">(Sens!G5821*tk_hold_h100+Sens!G5822*tk_hold_gb200+Sens!G5823*tk_hold_gb300+Sens!G5824*tk_hold_vr200)/Sens!G5814</f>
        <v>10.8388131109316</v>
      </c>
      <c r="H5825" s="18" t="n">
        <f aca="false">(Sens!H5821*tk_hold_h100+Sens!H5822*tk_hold_gb200+Sens!H5823*tk_hold_gb300+Sens!H5824*tk_hold_vr200)/Sens!H5814</f>
        <v>11.1311018388216</v>
      </c>
      <c r="I5825" s="18" t="n">
        <f aca="false">(Sens!I5821*tk_hold_h100+Sens!I5822*tk_hold_gb200+Sens!I5823*tk_hold_gb300+Sens!I5824*tk_hold_vr200)/Sens!I5814</f>
        <v>11.3128009818501</v>
      </c>
      <c r="J5825" s="18" t="n">
        <f aca="false">(Sens!J5821*tk_hold_h100+Sens!J5822*tk_hold_gb200+Sens!J5823*tk_hold_gb300+Sens!J5824*tk_hold_vr200)/Sens!J5814</f>
        <v>11.4366894646418</v>
      </c>
      <c r="K5825" s="18" t="n">
        <f aca="false">(Sens!K5821*tk_hold_h100+Sens!K5822*tk_hold_gb200+Sens!K5823*tk_hold_gb300+Sens!K5824*tk_hold_vr200)/Sens!K5814</f>
        <v>11.526570716348</v>
      </c>
    </row>
    <row r="5826" customFormat="false" ht="17.15" hidden="false" customHeight="false" outlineLevel="0" collapsed="false">
      <c r="A5826" s="0" t="s">
        <v>734</v>
      </c>
      <c r="B5826" s="0" t="s">
        <v>182</v>
      </c>
      <c r="C5826" s="18" t="n">
        <f aca="false">k_B</f>
        <v>1.17213932619116</v>
      </c>
      <c r="D5826" s="18" t="n">
        <f aca="false">k_B</f>
        <v>1.17213932619116</v>
      </c>
      <c r="E5826" s="18" t="n">
        <f aca="false">k_B</f>
        <v>1.17213932619116</v>
      </c>
      <c r="F5826" s="18" t="n">
        <f aca="false">(k_B+((ls_A*k_long+(1-ls_A)*k_spot)-k_B)*MIN(1,1/3))*1</f>
        <v>1.25022828131298</v>
      </c>
      <c r="G5826" s="18" t="n">
        <f aca="false">(k_B+((ls_A*k_long+(1-ls_A)*k_spot)-k_B)*MIN(1,2/3))*1</f>
        <v>1.3283172364348</v>
      </c>
      <c r="H5826" s="18" t="n">
        <f aca="false">(k_B+((ls_A*k_long+(1-ls_A)*k_spot)-k_B)*MIN(1,3/3))*1</f>
        <v>1.40640619155662</v>
      </c>
      <c r="I5826" s="18" t="n">
        <f aca="false">(k_B+((ls_A*k_long+(1-ls_A)*k_spot)-k_B)*MIN(1,4/3))*1</f>
        <v>1.40640619155662</v>
      </c>
      <c r="J5826" s="18" t="n">
        <f aca="false">(k_B+((ls_A*k_long+(1-ls_A)*k_spot)-k_B)*MIN(1,5/3))*1</f>
        <v>1.40640619155662</v>
      </c>
      <c r="K5826" s="18" t="n">
        <f aca="false">(k_B+((ls_A*k_long+(1-ls_A)*k_spot)-k_B)*MIN(1,6/3))*1</f>
        <v>1.40640619155662</v>
      </c>
      <c r="L5826" s="1" t="s">
        <v>735</v>
      </c>
    </row>
    <row r="5827" customFormat="false" ht="17.15" hidden="false" customHeight="false" outlineLevel="0" collapsed="false">
      <c r="A5827" s="1" t="s">
        <v>736</v>
      </c>
      <c r="B5827" s="0" t="s">
        <v>291</v>
      </c>
      <c r="C5827" s="18" t="n">
        <f aca="false">Sens!C5825*Sens!C5826*chip_f</f>
        <v>11.3973387156315</v>
      </c>
      <c r="D5827" s="18" t="n">
        <f aca="false">Sens!D5825*Sens!D5826*chip_f</f>
        <v>11.3973387156315</v>
      </c>
      <c r="E5827" s="18" t="n">
        <f aca="false">Sens!E5825*Sens!E5826*chip_f</f>
        <v>11.3973387156315</v>
      </c>
      <c r="F5827" s="18" t="n">
        <f aca="false">Sens!F5825*Sens!F5826*chip_f</f>
        <v>13.0123225874029</v>
      </c>
      <c r="G5827" s="18" t="n">
        <f aca="false">Sens!G5825*Sens!G5826*chip_f</f>
        <v>14.3973822777458</v>
      </c>
      <c r="H5827" s="18" t="n">
        <f aca="false">Sens!H5825*Sens!H5826*chip_f</f>
        <v>15.6548505449659</v>
      </c>
      <c r="I5827" s="18" t="n">
        <f aca="false">Sens!I5825*Sens!I5826*chip_f</f>
        <v>15.9103933447218</v>
      </c>
      <c r="J5827" s="18" t="n">
        <f aca="false">Sens!J5825*Sens!J5826*chip_f</f>
        <v>16.0846308739825</v>
      </c>
      <c r="K5827" s="18" t="n">
        <f aca="false">Sens!K5825*Sens!K5826*chip_f</f>
        <v>16.211040422887</v>
      </c>
      <c r="L5827" s="1" t="s">
        <v>737</v>
      </c>
    </row>
    <row r="5828" customFormat="false" ht="17.15" hidden="false" customHeight="false" outlineLevel="0" collapsed="false">
      <c r="A5828" s="0" t="s">
        <v>738</v>
      </c>
      <c r="B5828" s="0" t="s">
        <v>95</v>
      </c>
      <c r="D5828" s="6" t="n">
        <f aca="false">(Sens!C5814+Sens!D5814)/2*Sens!D5827/1000</f>
        <v>12.9359794422418</v>
      </c>
      <c r="E5828" s="6" t="n">
        <f aca="false">(Sens!D5814+Sens!E5814)/2*Sens!E5827/1000</f>
        <v>27.8095064661409</v>
      </c>
      <c r="F5828" s="6" t="n">
        <f aca="false">(Sens!E5814+Sens!F5814)/2*Sens!F5827/1000</f>
        <v>58.7324192305018</v>
      </c>
      <c r="G5828" s="6" t="n">
        <f aca="false">(Sens!F5814+Sens!G5814)/2*Sens!G5827/1000</f>
        <v>101.369089141153</v>
      </c>
      <c r="H5828" s="6" t="n">
        <f aca="false">(Sens!G5814+Sens!H5814)/2*Sens!H5827/1000</f>
        <v>149.785610014234</v>
      </c>
      <c r="I5828" s="6" t="n">
        <f aca="false">(Sens!H5814+Sens!I5814)/2*Sens!I5827/1000</f>
        <v>192.439389583079</v>
      </c>
      <c r="J5828" s="6" t="n">
        <f aca="false">(Sens!I5814+Sens!J5814)/2*Sens!J5827/1000</f>
        <v>235.195906491722</v>
      </c>
      <c r="K5828" s="6" t="n">
        <f aca="false">(Sens!J5814+Sens!K5814)/2*Sens!K5827/1000</f>
        <v>278.012858836343</v>
      </c>
      <c r="L5828" s="11" t="s">
        <v>739</v>
      </c>
    </row>
    <row r="5829" customFormat="false" ht="17.15" hidden="false" customHeight="false" outlineLevel="0" collapsed="false">
      <c r="A5829" s="1" t="s">
        <v>740</v>
      </c>
      <c r="B5829" s="0" t="s">
        <v>291</v>
      </c>
      <c r="C5829" s="18" t="n">
        <f aca="false">(Sens!C5821*tk_opex_h100+Sens!C5822*tk_opex_gb200+Sens!C5823*tk_opex_gb300+Sens!C5824*tk_opex_vr200)/Sens!C5814</f>
        <v>1.88636041306092</v>
      </c>
      <c r="D5829" s="18" t="n">
        <f aca="false">(Sens!D5821*tk_opex_h100+Sens!D5822*tk_opex_gb200+Sens!D5823*tk_opex_gb300+Sens!D5824*tk_opex_vr200)/Sens!D5814</f>
        <v>1.88636041306092</v>
      </c>
      <c r="E5829" s="18" t="n">
        <f aca="false">(Sens!E5821*tk_opex_h100+Sens!E5822*tk_opex_gb200+Sens!E5823*tk_opex_gb300+Sens!E5824*tk_opex_vr200)/Sens!E5814</f>
        <v>1.88636041306092</v>
      </c>
      <c r="F5829" s="18" t="n">
        <f aca="false">(Sens!F5821*tk_opex_h100+Sens!F5822*tk_opex_gb200+Sens!F5823*tk_opex_gb300+Sens!F5824*tk_opex_vr200)/Sens!F5814</f>
        <v>1.9430236476499</v>
      </c>
      <c r="G5829" s="18" t="n">
        <f aca="false">(Sens!G5821*tk_opex_h100+Sens!G5822*tk_opex_gb200+Sens!G5823*tk_opex_gb300+Sens!G5824*tk_opex_vr200)/Sens!G5814</f>
        <v>1.9786941852423</v>
      </c>
      <c r="H5829" s="18" t="n">
        <f aca="false">(Sens!H5821*tk_opex_h100+Sens!H5822*tk_opex_gb200+Sens!H5823*tk_opex_gb300+Sens!H5824*tk_opex_vr200)/Sens!H5814</f>
        <v>2.00289275976156</v>
      </c>
      <c r="I5829" s="18" t="n">
        <f aca="false">(Sens!I5821*tk_opex_h100+Sens!I5822*tk_opex_gb200+Sens!I5823*tk_opex_gb300+Sens!I5824*tk_opex_vr200)/Sens!I5814</f>
        <v>2.01793562605478</v>
      </c>
      <c r="J5829" s="18" t="n">
        <f aca="false">(Sens!J5821*tk_opex_h100+Sens!J5822*tk_opex_gb200+Sens!J5823*tk_opex_gb300+Sens!J5824*tk_opex_vr200)/Sens!J5814</f>
        <v>2.02819234961902</v>
      </c>
      <c r="K5829" s="18" t="n">
        <f aca="false">(Sens!K5821*tk_opex_h100+Sens!K5822*tk_opex_gb200+Sens!K5823*tk_opex_gb300+Sens!K5824*tk_opex_vr200)/Sens!K5814</f>
        <v>2.0356336155994</v>
      </c>
    </row>
    <row r="5830" customFormat="false" ht="17.15" hidden="false" customHeight="false" outlineLevel="0" collapsed="false">
      <c r="A5830" s="0" t="s">
        <v>741</v>
      </c>
      <c r="B5830" s="0" t="s">
        <v>95</v>
      </c>
      <c r="D5830" s="6" t="n">
        <f aca="false">(Sens!C5817+Sens!D5817)/2*Sens!D5829/1000</f>
        <v>2.70378325872065</v>
      </c>
      <c r="E5830" s="6" t="n">
        <f aca="false">(Sens!D5817+Sens!E5817)/2*Sens!E5829/1000</f>
        <v>6.17783035277451</v>
      </c>
      <c r="F5830" s="6" t="n">
        <f aca="false">(Sens!E5817+Sens!F5817)/2*Sens!F5829/1000</f>
        <v>12.5020618235287</v>
      </c>
      <c r="G5830" s="6" t="n">
        <f aca="false">(Sens!F5817+Sens!G5817)/2*Sens!G5829/1000</f>
        <v>20.7261620256847</v>
      </c>
      <c r="H5830" s="6" t="n">
        <f aca="false">(Sens!G5817+Sens!H5817)/2*Sens!H5829/1000</f>
        <v>29.4158183316982</v>
      </c>
      <c r="I5830" s="6" t="n">
        <f aca="false">(Sens!H5817+Sens!I5817)/2*Sens!I5829/1000</f>
        <v>38.1362927516005</v>
      </c>
      <c r="J5830" s="6" t="n">
        <f aca="false">(Sens!I5817+Sens!J5817)/2*Sens!J5829/1000</f>
        <v>46.8728773279286</v>
      </c>
      <c r="K5830" s="6" t="n">
        <f aca="false">(Sens!J5817+Sens!K5817)/2*Sens!K5829/1000</f>
        <v>55.618938734484</v>
      </c>
    </row>
    <row r="5831" customFormat="false" ht="17.15" hidden="false" customHeight="false" outlineLevel="0" collapsed="false">
      <c r="A5831" s="0" t="s">
        <v>742</v>
      </c>
      <c r="B5831" s="0" t="s">
        <v>95</v>
      </c>
      <c r="D5831" s="6" t="n">
        <f aca="false">(Sens!C5815+Sens!D5815)/2*rent_mw/1000</f>
        <v>2.44475</v>
      </c>
      <c r="E5831" s="6" t="n">
        <f aca="false">(Sens!D5815+Sens!E5815)/2*rent_mw/1000</f>
        <v>4.22275</v>
      </c>
      <c r="F5831" s="6" t="n">
        <f aca="false">(Sens!E5815+Sens!F5815)/2*rent_mw/1000</f>
        <v>5.80517</v>
      </c>
      <c r="G5831" s="6" t="n">
        <f aca="false">(Sens!F5815+Sens!G5815)/2*rent_mw/1000</f>
        <v>6.72084</v>
      </c>
      <c r="H5831" s="6" t="n">
        <f aca="false">(Sens!G5815+Sens!H5815)/2*rent_mw/1000</f>
        <v>6.72084</v>
      </c>
      <c r="I5831" s="6" t="n">
        <f aca="false">(Sens!H5815+Sens!I5815)/2*rent_mw/1000</f>
        <v>6.72084</v>
      </c>
      <c r="J5831" s="6" t="n">
        <f aca="false">(Sens!I5815+Sens!J5815)/2*rent_mw/1000</f>
        <v>6.72084</v>
      </c>
      <c r="K5831" s="6" t="n">
        <f aca="false">(Sens!J5815+Sens!K5815)/2*rent_mw/1000</f>
        <v>6.72084</v>
      </c>
    </row>
    <row r="5832" customFormat="false" ht="17.15" hidden="false" customHeight="false" outlineLevel="0" collapsed="false">
      <c r="A5832" s="0" t="s">
        <v>743</v>
      </c>
      <c r="B5832" s="0" t="s">
        <v>95</v>
      </c>
      <c r="D5832" s="6" t="n">
        <f aca="false">(Sens!C5817+Sens!D5817)/2*(1-self_build)*fac_rent/1000</f>
        <v>0.853242375631075</v>
      </c>
      <c r="E5832" s="6" t="n">
        <f aca="false">(Sens!D5817+Sens!E5817)/2*(1-self_build)*fac_rent/1000</f>
        <v>1.94955961408728</v>
      </c>
      <c r="F5832" s="6" t="n">
        <f aca="false">(Sens!E5817+Sens!F5817)/2*(1-self_build)*fac_rent/1000</f>
        <v>3.83026455274573</v>
      </c>
      <c r="G5832" s="6" t="n">
        <f aca="false">(Sens!F5817+Sens!G5817)/2*(1-self_build)*fac_rent/1000</f>
        <v>6.23541590972812</v>
      </c>
      <c r="H5832" s="6" t="n">
        <f aca="false">(Sens!G5817+Sens!H5817)/2*(1-self_build)*fac_rent/1000</f>
        <v>8.74275792332679</v>
      </c>
      <c r="I5832" s="6" t="n">
        <f aca="false">(Sens!H5817+Sens!I5817)/2*(1-self_build)*fac_rent/1000</f>
        <v>11.2500999369255</v>
      </c>
      <c r="J5832" s="6" t="n">
        <f aca="false">(Sens!I5817+Sens!J5817)/2*(1-self_build)*fac_rent/1000</f>
        <v>13.7574419505241</v>
      </c>
      <c r="K5832" s="6" t="n">
        <f aca="false">(Sens!J5817+Sens!K5817)/2*(1-self_build)*fac_rent/1000</f>
        <v>16.2647839641228</v>
      </c>
      <c r="L5832" s="11" t="s">
        <v>744</v>
      </c>
    </row>
    <row r="5833" customFormat="false" ht="17.15" hidden="false" customHeight="false" outlineLevel="0" collapsed="false">
      <c r="A5833" s="1" t="s">
        <v>745</v>
      </c>
      <c r="B5833" s="0" t="s">
        <v>126</v>
      </c>
      <c r="D5833" s="7" t="n">
        <f aca="false">(Sens!C5816+Sens!D5816)/(Sens!C5817+Sens!D5817)</f>
        <v>0.6</v>
      </c>
      <c r="E5833" s="7" t="n">
        <f aca="false">(Sens!D5816+Sens!E5816)/(Sens!D5817+Sens!E5817)</f>
        <v>0.6</v>
      </c>
      <c r="F5833" s="7" t="n">
        <f aca="false">(Sens!E5816+Sens!F5816)/(Sens!E5817+Sens!F5817)</f>
        <v>0.6</v>
      </c>
      <c r="G5833" s="7" t="n">
        <f aca="false">(Sens!F5816+Sens!G5816)/(Sens!F5817+Sens!G5817)</f>
        <v>0.6</v>
      </c>
      <c r="H5833" s="7" t="n">
        <f aca="false">(Sens!G5816+Sens!H5816)/(Sens!G5817+Sens!H5817)</f>
        <v>0.6</v>
      </c>
      <c r="I5833" s="7" t="n">
        <f aca="false">(Sens!H5816+Sens!I5816)/(Sens!H5817+Sens!I5817)</f>
        <v>0.6</v>
      </c>
      <c r="J5833" s="7" t="n">
        <f aca="false">(Sens!I5816+Sens!J5816)/(Sens!I5817+Sens!J5817)</f>
        <v>0.6</v>
      </c>
      <c r="K5833" s="7" t="n">
        <f aca="false">(Sens!J5816+Sens!K5816)/(Sens!J5817+Sens!K5817)</f>
        <v>0.6</v>
      </c>
    </row>
    <row r="5834" customFormat="false" ht="17.15" hidden="false" customHeight="false" outlineLevel="0" collapsed="false">
      <c r="A5834" s="0" t="s">
        <v>746</v>
      </c>
      <c r="B5834" s="0" t="s">
        <v>95</v>
      </c>
      <c r="D5834" s="6" t="n">
        <f aca="false">Sens!D5828-Sens!D5833*(Sens!D5830+Sens!D5832)-Sens!D5831</f>
        <v>8.35701406163072</v>
      </c>
      <c r="E5834" s="6" t="n">
        <f aca="false">Sens!E5828-Sens!E5833*(Sens!E5830+Sens!E5832)-Sens!E5831</f>
        <v>18.7103224860238</v>
      </c>
      <c r="F5834" s="6" t="n">
        <f aca="false">Sens!F5828-Sens!F5833*(Sens!F5830+Sens!F5832)-Sens!F5831</f>
        <v>43.1278534047371</v>
      </c>
      <c r="G5834" s="6" t="n">
        <f aca="false">Sens!G5828-Sens!G5833*(Sens!G5830+Sens!G5832)-Sens!G5831</f>
        <v>78.4713023799053</v>
      </c>
      <c r="H5834" s="6" t="n">
        <f aca="false">Sens!H5828-Sens!H5833*(Sens!H5830+Sens!H5832)-Sens!H5831</f>
        <v>120.169624261219</v>
      </c>
      <c r="I5834" s="6" t="n">
        <f aca="false">Sens!I5828-Sens!I5833*(Sens!I5830+Sens!I5832)-Sens!I5831</f>
        <v>156.086713969963</v>
      </c>
      <c r="J5834" s="6" t="n">
        <f aca="false">Sens!J5828-Sens!J5833*(Sens!J5830+Sens!J5832)-Sens!J5831</f>
        <v>192.09687492465</v>
      </c>
      <c r="K5834" s="6" t="n">
        <f aca="false">Sens!K5828-Sens!K5833*(Sens!K5830+Sens!K5832)-Sens!K5831</f>
        <v>228.161785217179</v>
      </c>
    </row>
    <row r="5835" customFormat="false" ht="17.15" hidden="false" customHeight="false" outlineLevel="0" collapsed="false">
      <c r="A5835" s="1" t="s">
        <v>747</v>
      </c>
      <c r="B5835" s="0" t="s">
        <v>95</v>
      </c>
      <c r="D5835" s="6" t="n">
        <f aca="false">(1-Sens!D5833)*(Sens!D5830+Sens!D5832)</f>
        <v>1.42281025374069</v>
      </c>
      <c r="E5835" s="6" t="n">
        <f aca="false">(1-Sens!E5833)*(Sens!E5830+Sens!E5832)</f>
        <v>3.25095598674472</v>
      </c>
      <c r="F5835" s="6" t="n">
        <f aca="false">(1-Sens!F5833)*(Sens!F5830+Sens!F5832)</f>
        <v>6.53293055050977</v>
      </c>
      <c r="G5835" s="6" t="n">
        <f aca="false">(1-Sens!G5833)*(Sens!G5830+Sens!G5832)</f>
        <v>10.7846311741651</v>
      </c>
      <c r="H5835" s="6" t="n">
        <f aca="false">(1-Sens!H5833)*(Sens!H5830+Sens!H5832)</f>
        <v>15.26343050201</v>
      </c>
      <c r="I5835" s="6" t="n">
        <f aca="false">(1-Sens!I5833)*(Sens!I5830+Sens!I5832)</f>
        <v>19.7545570754104</v>
      </c>
      <c r="J5835" s="6" t="n">
        <f aca="false">(1-Sens!J5833)*(Sens!J5830+Sens!J5832)</f>
        <v>24.2521277113811</v>
      </c>
      <c r="K5835" s="6" t="n">
        <f aca="false">(1-Sens!K5833)*(Sens!K5830+Sens!K5832)</f>
        <v>28.7534890794427</v>
      </c>
    </row>
    <row r="5836" customFormat="false" ht="17.15" hidden="false" customHeight="false" outlineLevel="0" collapsed="false">
      <c r="A5836" s="1" t="s">
        <v>748</v>
      </c>
      <c r="B5836" s="0" t="s">
        <v>302</v>
      </c>
      <c r="C5836" s="8" t="n">
        <f aca="false">cxit_open</f>
        <v>27.5918995</v>
      </c>
      <c r="D5836" s="8" t="n">
        <f aca="false">cxit_open</f>
        <v>27.5918995</v>
      </c>
      <c r="E5836" s="8" t="n">
        <f aca="false">cxit_open</f>
        <v>27.5918995</v>
      </c>
      <c r="F5836" s="8" t="n">
        <f aca="false">(a_g3_27*tk_cxit_gb300+(1-a_g3_27)*tk_cxit_vr200)</f>
        <v>33.8419624</v>
      </c>
      <c r="G5836" s="8" t="n">
        <f aca="false">(a_g3_28*tk_cxit_gb300+(1-a_g3_28)*tk_cxit_vr200)</f>
        <v>35.9816136</v>
      </c>
      <c r="H5836" s="8" t="n">
        <f aca="false">(a_g3_29*tk_cxit_gb300+(1-a_g3_29)*tk_cxit_vr200)</f>
        <v>37.0514392</v>
      </c>
      <c r="I5836" s="8" t="n">
        <f aca="false">(a_g3_29*tk_cxit_gb300+(1-a_g3_29)*tk_cxit_vr200)</f>
        <v>37.0514392</v>
      </c>
      <c r="J5836" s="8" t="n">
        <f aca="false">(a_g3_29*tk_cxit_gb300+(1-a_g3_29)*tk_cxit_vr200)</f>
        <v>37.0514392</v>
      </c>
      <c r="K5836" s="8" t="n">
        <f aca="false">(a_g3_29*tk_cxit_gb300+(1-a_g3_29)*tk_cxit_vr200)</f>
        <v>37.0514392</v>
      </c>
      <c r="L5836" s="11" t="s">
        <v>749</v>
      </c>
    </row>
    <row r="5837" customFormat="false" ht="17.15" hidden="false" customHeight="false" outlineLevel="0" collapsed="false">
      <c r="A5837" s="0" t="s">
        <v>750</v>
      </c>
      <c r="B5837" s="0" t="s">
        <v>340</v>
      </c>
      <c r="F5837" s="27" t="n">
        <f aca="false">Sens!C5819*IF(3=life_it,1,0)+Sens!D5819*IF(2=life_it,1,0)+Sens!E5819*IF(1=life_it,1,0)</f>
        <v>0</v>
      </c>
      <c r="G5837" s="27" t="n">
        <f aca="false">Sens!C5819*IF(4=life_it,1,0)+Sens!D5819*IF(3=life_it,1,0)+Sens!E5819*IF(2=life_it,1,0)+Sens!F5819*IF(1=life_it,1,0)</f>
        <v>0</v>
      </c>
      <c r="H5837" s="27" t="n">
        <f aca="false">Sens!C5819*IF(5=life_it,1,0)+Sens!D5819*IF(4=life_it,1,0)+Sens!E5819*IF(3=life_it,1,0)+Sens!F5819*IF(2=life_it,1,0)+Sens!G5819*IF(1=life_it,1,0)</f>
        <v>0</v>
      </c>
      <c r="I5837" s="27" t="n">
        <f aca="false">Sens!C5819*IF(6=life_it,1,0)+Sens!D5819*IF(5=life_it,1,0)+Sens!E5819*IF(4=life_it,1,0)+Sens!F5819*IF(3=life_it,1,0)+Sens!G5819*IF(2=life_it,1,0)+Sens!H5819*IF(1=life_it,1,0)</f>
        <v>816.666666666667</v>
      </c>
      <c r="J5837" s="27" t="n">
        <f aca="false">Sens!C5819*IF(7=life_it,1,0)+Sens!D5819*IF(6=life_it,1,0)+Sens!E5819*IF(5=life_it,1,0)+Sens!F5819*IF(4=life_it,1,0)+Sens!G5819*IF(3=life_it,1,0)+Sens!H5819*IF(2=life_it,1,0)+Sens!I5819*IF(1=life_it,1,0)</f>
        <v>1233.33333333333</v>
      </c>
      <c r="K5837" s="27" t="n">
        <f aca="false">Sens!C5819*IF(8=life_it,1,0)+Sens!D5819*IF(7=life_it,1,0)+Sens!E5819*IF(6=life_it,1,0)+Sens!F5819*IF(5=life_it,1,0)+Sens!G5819*IF(4=life_it,1,0)+Sens!H5819*IF(3=life_it,1,0)+Sens!I5819*IF(2=life_it,1,0)+Sens!J5819*IF(1=life_it,1,0)</f>
        <v>2450</v>
      </c>
      <c r="L5837" s="1" t="s">
        <v>751</v>
      </c>
    </row>
    <row r="5838" customFormat="false" ht="17.15" hidden="false" customHeight="false" outlineLevel="0" collapsed="false">
      <c r="A5838" s="0" t="s">
        <v>752</v>
      </c>
      <c r="B5838" s="0" t="s">
        <v>95</v>
      </c>
      <c r="C5838" s="6" t="n">
        <f aca="false">Sens!C5819*Sens!C5836/1000</f>
        <v>22.5333845916667</v>
      </c>
      <c r="D5838" s="6" t="n">
        <f aca="false">Sens!D5819*Sens!D5836/1000</f>
        <v>34.0300093833333</v>
      </c>
      <c r="E5838" s="6" t="n">
        <f aca="false">Sens!E5819*Sens!E5836/1000</f>
        <v>67.600153775</v>
      </c>
      <c r="F5838" s="6" t="n">
        <f aca="false">(Sens!F5819+Sens!F5837)*Sens!F5836/1000</f>
        <v>130.923271871467</v>
      </c>
      <c r="G5838" s="6" t="n">
        <f aca="false">(Sens!G5819+Sens!G5837)*Sens!G5836/1000</f>
        <v>151.5545564832</v>
      </c>
      <c r="H5838" s="6" t="n">
        <f aca="false">(Sens!H5819+Sens!H5837)*Sens!H5836/1000</f>
        <v>156.0606619104</v>
      </c>
      <c r="I5838" s="6" t="n">
        <f aca="false">(Sens!I5819+Sens!I5837)*Sens!I5836/1000</f>
        <v>186.319337257067</v>
      </c>
      <c r="J5838" s="6" t="n">
        <f aca="false">(Sens!J5819+Sens!J5837)*Sens!J5836/1000</f>
        <v>201.757436923733</v>
      </c>
      <c r="K5838" s="6" t="n">
        <f aca="false">(Sens!K5819+Sens!K5837)*Sens!K5836/1000</f>
        <v>246.8366879504</v>
      </c>
    </row>
    <row r="5839" customFormat="false" ht="17.15" hidden="false" customHeight="false" outlineLevel="0" collapsed="false">
      <c r="A5839" s="0" t="s">
        <v>753</v>
      </c>
      <c r="B5839" s="0" t="s">
        <v>95</v>
      </c>
      <c r="C5839" s="6" t="n">
        <f aca="false">Sens!C5819*self_build*tk_cxfac/1000</f>
        <v>6.2083</v>
      </c>
      <c r="D5839" s="6" t="n">
        <f aca="false">Sens!D5819*self_build*tk_cxfac/1000</f>
        <v>9.3758</v>
      </c>
      <c r="E5839" s="6" t="n">
        <f aca="false">Sens!E5819*self_build*tk_cxfac/1000</f>
        <v>18.6249</v>
      </c>
      <c r="F5839" s="6" t="n">
        <f aca="false">Sens!F5819*self_build*tk_cxfac/1000</f>
        <v>29.409604</v>
      </c>
      <c r="G5839" s="6" t="n">
        <f aca="false">Sens!G5819*self_build*tk_cxfac/1000</f>
        <v>32.019624</v>
      </c>
      <c r="H5839" s="6" t="n">
        <f aca="false">Sens!H5819*self_build*tk_cxfac/1000</f>
        <v>32.019624</v>
      </c>
      <c r="I5839" s="6" t="n">
        <f aca="false">Sens!I5819*self_build*tk_cxfac/1000</f>
        <v>32.019624</v>
      </c>
      <c r="J5839" s="6" t="n">
        <f aca="false">Sens!J5819*self_build*tk_cxfac/1000</f>
        <v>32.019624</v>
      </c>
      <c r="K5839" s="6" t="n">
        <f aca="false">Sens!K5819*self_build*tk_cxfac/1000</f>
        <v>32.019624</v>
      </c>
    </row>
    <row r="5840" customFormat="false" ht="17.15" hidden="false" customHeight="false" outlineLevel="0" collapsed="false">
      <c r="A5840" s="0" t="s">
        <v>754</v>
      </c>
      <c r="B5840" s="0" t="s">
        <v>95</v>
      </c>
      <c r="F5840" s="6" t="n">
        <f aca="false">MAX(0,capex_floor27-Sens!F5838-Sens!F5839-Sens!F5927)</f>
        <v>7.86777689897088</v>
      </c>
      <c r="G5840" s="6" t="n">
        <f aca="false">0</f>
        <v>0</v>
      </c>
      <c r="H5840" s="6" t="n">
        <f aca="false">0</f>
        <v>0</v>
      </c>
      <c r="I5840" s="6" t="n">
        <f aca="false">0</f>
        <v>0</v>
      </c>
      <c r="J5840" s="6" t="n">
        <f aca="false">0</f>
        <v>0</v>
      </c>
      <c r="K5840" s="6" t="n">
        <f aca="false">0</f>
        <v>0</v>
      </c>
      <c r="L5840" s="1" t="s">
        <v>755</v>
      </c>
    </row>
    <row r="5841" customFormat="false" ht="17.15" hidden="false" customHeight="false" outlineLevel="0" collapsed="false">
      <c r="A5841" s="0" t="s">
        <v>756</v>
      </c>
      <c r="B5841" s="0" t="s">
        <v>95</v>
      </c>
      <c r="C5841" s="6" t="n">
        <f aca="false">Sens!C5838</f>
        <v>22.5333845916667</v>
      </c>
      <c r="D5841" s="6" t="n">
        <f aca="false">Sens!D5838</f>
        <v>34.0300093833333</v>
      </c>
      <c r="E5841" s="6" t="n">
        <f aca="false">Sens!E5838</f>
        <v>67.600153775</v>
      </c>
      <c r="F5841" s="6" t="n">
        <f aca="false">Sens!F5838+Sens!F5840</f>
        <v>138.791048770438</v>
      </c>
      <c r="G5841" s="6" t="n">
        <f aca="false">Sens!G5838+Sens!G5840</f>
        <v>151.5545564832</v>
      </c>
      <c r="H5841" s="6" t="n">
        <f aca="false">Sens!H5838+Sens!H5840</f>
        <v>156.0606619104</v>
      </c>
      <c r="I5841" s="6" t="n">
        <f aca="false">Sens!I5838+Sens!I5840</f>
        <v>186.319337257067</v>
      </c>
      <c r="J5841" s="6" t="n">
        <f aca="false">Sens!J5838+Sens!J5840</f>
        <v>201.757436923733</v>
      </c>
      <c r="K5841" s="6" t="n">
        <f aca="false">Sens!K5838+Sens!K5840</f>
        <v>246.8366879504</v>
      </c>
    </row>
    <row r="5842" customFormat="false" ht="17.15" hidden="false" customHeight="false" outlineLevel="0" collapsed="false">
      <c r="A5842" s="0" t="s">
        <v>757</v>
      </c>
      <c r="B5842" s="0" t="s">
        <v>95</v>
      </c>
      <c r="C5842" s="6" t="n">
        <f aca="false">Sens!C5841+Sens!C5839</f>
        <v>28.7416845916667</v>
      </c>
      <c r="D5842" s="6" t="n">
        <f aca="false">Sens!D5841+Sens!D5839</f>
        <v>43.4058093833333</v>
      </c>
      <c r="E5842" s="6" t="n">
        <f aca="false">Sens!E5841+Sens!E5839</f>
        <v>86.225053775</v>
      </c>
      <c r="F5842" s="6" t="n">
        <f aca="false">Sens!F5841+Sens!F5839</f>
        <v>168.200652770438</v>
      </c>
      <c r="G5842" s="6" t="n">
        <f aca="false">Sens!G5841+Sens!G5839</f>
        <v>183.5741804832</v>
      </c>
      <c r="H5842" s="6" t="n">
        <f aca="false">Sens!H5841+Sens!H5839</f>
        <v>188.0802859104</v>
      </c>
      <c r="I5842" s="6" t="n">
        <f aca="false">Sens!I5841+Sens!I5839</f>
        <v>218.338961257067</v>
      </c>
      <c r="J5842" s="6" t="n">
        <f aca="false">Sens!J5841+Sens!J5839</f>
        <v>233.777060923733</v>
      </c>
      <c r="K5842" s="6" t="n">
        <f aca="false">Sens!K5841+Sens!K5839</f>
        <v>278.8563119504</v>
      </c>
      <c r="L5842" s="11" t="s">
        <v>758</v>
      </c>
    </row>
    <row r="5843" customFormat="false" ht="17.15" hidden="false" customHeight="false" outlineLevel="0" collapsed="false">
      <c r="A5843" s="0" t="s">
        <v>759</v>
      </c>
      <c r="B5843" s="0" t="s">
        <v>95</v>
      </c>
      <c r="E5843" s="6" t="n">
        <f aca="false">(Sens!C5841*IF(2&lt;life_it,1,IF(2=life_it,0.5,0))+Sens!D5841*IF(1&lt;life_it,1,IF(1=life_it,0.5,0))+Sens!E5841*0.5)/life_it</f>
        <v>15.0605784770833</v>
      </c>
      <c r="F5843" s="6" t="n">
        <f aca="false">(Sens!C5841*IF(3&lt;life_it,1,IF(3=life_it,0.5,0))+Sens!D5841*IF(2&lt;life_it,1,IF(2=life_it,0.5,0))+Sens!E5841*IF(1&lt;life_it,1,IF(1=life_it,0.5,0))+Sens!F5841*0.5)/life_it</f>
        <v>32.2598453558698</v>
      </c>
      <c r="G5843" s="6" t="n">
        <f aca="false">(Sens!C5841*IF(4&lt;life_it,1,IF(4=life_it,0.5,0))+Sens!D5841*IF(3&lt;life_it,1,IF(3=life_it,0.5,0))+Sens!E5841*IF(2&lt;life_it,1,IF(2=life_it,0.5,0))+Sens!F5841*IF(1&lt;life_it,1,IF(1=life_it,0.5,0))+Sens!G5841*0.5)/life_it</f>
        <v>56.4553124603396</v>
      </c>
      <c r="H5843" s="6" t="n">
        <f aca="false">(Sens!C5841*IF(5&lt;life_it,1,IF(5=life_it,0.5,0))+Sens!D5841*IF(4&lt;life_it,1,IF(4=life_it,0.5,0))+Sens!E5841*IF(3&lt;life_it,1,IF(3=life_it,0.5,0))+Sens!F5841*IF(2&lt;life_it,1,IF(2=life_it,0.5,0))+Sens!G5841*IF(1&lt;life_it,1,IF(1=life_it,0.5,0))+Sens!H5841*0.5)/life_it</f>
        <v>82.0899139931396</v>
      </c>
      <c r="I5843" s="6" t="n">
        <f aca="false">(Sens!C5841*IF(6&lt;life_it,1,IF(6=life_it,0.5,0))+Sens!D5841*IF(5&lt;life_it,1,IF(5=life_it,0.5,0))+Sens!E5841*IF(4&lt;life_it,1,IF(4=life_it,0.5,0))+Sens!F5841*IF(3&lt;life_it,1,IF(3=life_it,0.5,0))+Sens!G5841*IF(2&lt;life_it,1,IF(2=life_it,0.5,0))+Sens!H5841*IF(1&lt;life_it,1,IF(1=life_it,0.5,0))+Sens!I5841*0.5)/life_it</f>
        <v>108.743798541123</v>
      </c>
      <c r="J5843" s="6" t="n">
        <f aca="false">(Sens!C5841*IF(7&lt;life_it,1,IF(7=life_it,0.5,0))+Sens!D5841*IF(6&lt;life_it,1,IF(6=life_it,0.5,0))+Sens!E5841*IF(5&lt;life_it,1,IF(5=life_it,0.5,0))+Sens!F5841*IF(4&lt;life_it,1,IF(4=life_it,0.5,0))+Sens!G5841*IF(3&lt;life_it,1,IF(3=life_it,0.5,0))+Sens!H5841*IF(2&lt;life_it,1,IF(2=life_it,0.5,0))+Sens!I5841*IF(1&lt;life_it,1,IF(1=life_it,0.5,0))+Sens!J5841*0.5)/life_it</f>
        <v>136.369913558273</v>
      </c>
      <c r="K5843" s="6" t="n">
        <f aca="false">(Sens!C5841*IF(8&lt;life_it,1,IF(8=life_it,0.5,0))+Sens!D5841*IF(7&lt;life_it,1,IF(7=life_it,0.5,0))+Sens!E5841*IF(6&lt;life_it,1,IF(6=life_it,0.5,0))+Sens!F5841*IF(5&lt;life_it,1,IF(5=life_it,0.5,0))+Sens!G5841*IF(4&lt;life_it,1,IF(4=life_it,0.5,0))+Sens!H5841*IF(3&lt;life_it,1,IF(3=life_it,0.5,0))+Sens!I5841*IF(2&lt;life_it,1,IF(2=life_it,0.5,0))+Sens!J5841*IF(1&lt;life_it,1,IF(1=life_it,0.5,0))+Sens!K5841*0.5)/life_it</f>
        <v>165.28357703459</v>
      </c>
    </row>
    <row r="5844" customFormat="false" ht="17.15" hidden="false" customHeight="false" outlineLevel="0" collapsed="false">
      <c r="A5844" s="0" t="s">
        <v>760</v>
      </c>
      <c r="B5844" s="0" t="s">
        <v>95</v>
      </c>
      <c r="E5844" s="6" t="n">
        <f aca="false">(Sens!C5839*IF(2&lt;life_fac,1,IF(2=life_fac,0.5,0))+Sens!D5839*IF(1&lt;life_fac,1,IF(1=life_fac,0.5,0))+Sens!E5839*0.5)/life_fac</f>
        <v>1.2448275</v>
      </c>
      <c r="F5844" s="6" t="n">
        <f aca="false">(Sens!C5839*IF(3&lt;life_fac,1,IF(3=life_fac,0.5,0))+Sens!D5839*IF(2&lt;life_fac,1,IF(2=life_fac,0.5,0))+Sens!E5839*IF(1&lt;life_fac,1,IF(1=life_fac,0.5,0))+Sens!F5839*0.5)/life_fac</f>
        <v>2.4456901</v>
      </c>
      <c r="G5844" s="6" t="n">
        <f aca="false">(Sens!C5839*IF(4&lt;life_fac,1,IF(4=life_fac,0.5,0))+Sens!D5839*IF(3&lt;life_fac,1,IF(3=life_fac,0.5,0))+Sens!E5839*IF(2&lt;life_fac,1,IF(2=life_fac,0.5,0))+Sens!F5839*IF(1&lt;life_fac,1,IF(1=life_fac,0.5,0))+Sens!G5839*0.5)/life_fac</f>
        <v>3.9814208</v>
      </c>
      <c r="H5844" s="6" t="n">
        <f aca="false">(Sens!C5839*IF(5&lt;life_fac,1,IF(5=life_fac,0.5,0))+Sens!D5839*IF(4&lt;life_fac,1,IF(4=life_fac,0.5,0))+Sens!E5839*IF(3&lt;life_fac,1,IF(3=life_fac,0.5,0))+Sens!F5839*IF(2&lt;life_fac,1,IF(2=life_fac,0.5,0))+Sens!G5839*IF(1&lt;life_fac,1,IF(1=life_fac,0.5,0))+Sens!H5839*0.5)/life_fac</f>
        <v>5.582402</v>
      </c>
      <c r="I5844" s="6" t="n">
        <f aca="false">(Sens!C5839*IF(6&lt;life_fac,1,IF(6=life_fac,0.5,0))+Sens!D5839*IF(5&lt;life_fac,1,IF(5=life_fac,0.5,0))+Sens!E5839*IF(4&lt;life_fac,1,IF(4=life_fac,0.5,0))+Sens!F5839*IF(3&lt;life_fac,1,IF(3=life_fac,0.5,0))+Sens!G5839*IF(2&lt;life_fac,1,IF(2=life_fac,0.5,0))+Sens!H5839*IF(1&lt;life_fac,1,IF(1=life_fac,0.5,0))+Sens!I5839*0.5)/life_fac</f>
        <v>7.1833832</v>
      </c>
      <c r="J5844" s="6" t="n">
        <f aca="false">(Sens!C5839*IF(7&lt;life_fac,1,IF(7=life_fac,0.5,0))+Sens!D5839*IF(6&lt;life_fac,1,IF(6=life_fac,0.5,0))+Sens!E5839*IF(5&lt;life_fac,1,IF(5=life_fac,0.5,0))+Sens!F5839*IF(4&lt;life_fac,1,IF(4=life_fac,0.5,0))+Sens!G5839*IF(3&lt;life_fac,1,IF(3=life_fac,0.5,0))+Sens!H5839*IF(2&lt;life_fac,1,IF(2=life_fac,0.5,0))+Sens!I5839*IF(1&lt;life_fac,1,IF(1=life_fac,0.5,0))+Sens!J5839*0.5)/life_fac</f>
        <v>8.7843644</v>
      </c>
      <c r="K5844" s="6" t="n">
        <f aca="false">(Sens!C5839*IF(8&lt;life_fac,1,IF(8=life_fac,0.5,0))+Sens!D5839*IF(7&lt;life_fac,1,IF(7=life_fac,0.5,0))+Sens!E5839*IF(6&lt;life_fac,1,IF(6=life_fac,0.5,0))+Sens!F5839*IF(5&lt;life_fac,1,IF(5=life_fac,0.5,0))+Sens!G5839*IF(4&lt;life_fac,1,IF(4=life_fac,0.5,0))+Sens!H5839*IF(3&lt;life_fac,1,IF(3=life_fac,0.5,0))+Sens!I5839*IF(2&lt;life_fac,1,IF(2=life_fac,0.5,0))+Sens!J5839*IF(1&lt;life_fac,1,IF(1=life_fac,0.5,0))+Sens!K5839*0.5)/life_fac</f>
        <v>10.3853456</v>
      </c>
    </row>
    <row r="5845" customFormat="false" ht="17.15" hidden="false" customHeight="false" outlineLevel="0" collapsed="false">
      <c r="A5845" s="0" t="s">
        <v>761</v>
      </c>
      <c r="B5845" s="0" t="s">
        <v>95</v>
      </c>
      <c r="E5845" s="6" t="n">
        <f aca="false">Sens!E5843+Sens!E5844</f>
        <v>16.3054059770833</v>
      </c>
      <c r="F5845" s="6" t="n">
        <f aca="false">Sens!F5843+Sens!F5844</f>
        <v>34.7055354558698</v>
      </c>
      <c r="G5845" s="6" t="n">
        <f aca="false">Sens!G5843+Sens!G5844</f>
        <v>60.4367332603396</v>
      </c>
      <c r="H5845" s="6" t="n">
        <f aca="false">Sens!H5843+Sens!H5844</f>
        <v>87.6723159931396</v>
      </c>
      <c r="I5845" s="6" t="n">
        <f aca="false">Sens!I5843+Sens!I5844</f>
        <v>115.927181741123</v>
      </c>
      <c r="J5845" s="6" t="n">
        <f aca="false">Sens!J5843+Sens!J5844</f>
        <v>145.154277958273</v>
      </c>
      <c r="K5845" s="6" t="n">
        <f aca="false">Sens!K5843+Sens!K5844</f>
        <v>175.66892263459</v>
      </c>
    </row>
    <row r="5846" customFormat="false" ht="17.15" hidden="false" customHeight="false" outlineLevel="0" collapsed="false">
      <c r="A5846" s="0" t="s">
        <v>762</v>
      </c>
      <c r="B5846" s="0" t="s">
        <v>95</v>
      </c>
      <c r="E5846" s="6" t="n">
        <f aca="false">Sens!E5834-Sens!E5833*Sens!E5845</f>
        <v>8.92707889977379</v>
      </c>
      <c r="F5846" s="6" t="n">
        <f aca="false">Sens!F5834-Sens!F5833*Sens!F5845</f>
        <v>22.3045321312152</v>
      </c>
      <c r="G5846" s="6" t="n">
        <f aca="false">Sens!G5834-Sens!G5833*Sens!G5845</f>
        <v>42.2092624237015</v>
      </c>
      <c r="H5846" s="6" t="n">
        <f aca="false">Sens!H5834-Sens!H5833*Sens!H5845</f>
        <v>67.5662346653351</v>
      </c>
      <c r="I5846" s="6" t="n">
        <f aca="false">Sens!I5834-Sens!I5833*Sens!I5845</f>
        <v>86.5304049252897</v>
      </c>
      <c r="J5846" s="6" t="n">
        <f aca="false">Sens!J5834-Sens!J5833*Sens!J5845</f>
        <v>105.004308149687</v>
      </c>
      <c r="K5846" s="6" t="n">
        <f aca="false">Sens!K5834-Sens!K5833*Sens!K5845</f>
        <v>122.760431636425</v>
      </c>
    </row>
    <row r="5847" customFormat="false" ht="17.15" hidden="false" customHeight="false" outlineLevel="0" collapsed="false">
      <c r="A5847" s="3" t="s">
        <v>1280</v>
      </c>
    </row>
    <row r="5848" customFormat="false" ht="15" hidden="false" customHeight="false" outlineLevel="0" collapsed="false">
      <c r="A5848" s="4" t="s">
        <v>43</v>
      </c>
      <c r="B5848" s="4" t="s">
        <v>63</v>
      </c>
      <c r="C5848" s="19" t="s">
        <v>710</v>
      </c>
      <c r="D5848" s="19" t="s">
        <v>711</v>
      </c>
      <c r="E5848" s="19" t="s">
        <v>712</v>
      </c>
      <c r="F5848" s="19" t="s">
        <v>713</v>
      </c>
      <c r="G5848" s="19" t="s">
        <v>714</v>
      </c>
      <c r="H5848" s="19" t="s">
        <v>715</v>
      </c>
      <c r="I5848" s="19" t="s">
        <v>716</v>
      </c>
      <c r="J5848" s="19" t="s">
        <v>717</v>
      </c>
      <c r="K5848" s="19" t="s">
        <v>718</v>
      </c>
      <c r="L5848" s="4" t="s">
        <v>47</v>
      </c>
    </row>
    <row r="5849" customFormat="false" ht="17.15" hidden="false" customHeight="false" outlineLevel="0" collapsed="false">
      <c r="A5849" s="0" t="s">
        <v>780</v>
      </c>
      <c r="B5849" s="0" t="s">
        <v>95</v>
      </c>
      <c r="D5849" s="6" t="n">
        <f aca="false">Sens!D5828</f>
        <v>12.9359794422418</v>
      </c>
      <c r="E5849" s="6" t="n">
        <f aca="false">Sens!E5828</f>
        <v>27.8095064661409</v>
      </c>
      <c r="F5849" s="6" t="n">
        <f aca="false">Sens!F5828</f>
        <v>58.7324192305018</v>
      </c>
      <c r="G5849" s="6" t="n">
        <f aca="false">Sens!G5828</f>
        <v>101.369089141153</v>
      </c>
      <c r="H5849" s="6" t="n">
        <f aca="false">Sens!H5828</f>
        <v>149.785610014234</v>
      </c>
      <c r="I5849" s="6" t="n">
        <f aca="false">Sens!I5828</f>
        <v>192.439389583079</v>
      </c>
      <c r="J5849" s="6" t="n">
        <f aca="false">Sens!J5828</f>
        <v>235.195906491722</v>
      </c>
      <c r="K5849" s="6" t="n">
        <f aca="false">Sens!K5828</f>
        <v>278.012858836343</v>
      </c>
    </row>
    <row r="5850" customFormat="false" ht="17.15" hidden="false" customHeight="false" outlineLevel="0" collapsed="false">
      <c r="A5850" s="0" t="s">
        <v>781</v>
      </c>
      <c r="B5850" s="0" t="s">
        <v>95</v>
      </c>
      <c r="D5850" s="6" t="n">
        <f aca="false">Q!L6-Sens!D5849</f>
        <v>59.6740205577583</v>
      </c>
      <c r="E5850" s="6" t="n">
        <f aca="false">Q!M6-Sens!E5849</f>
        <v>74.1284935338591</v>
      </c>
      <c r="F5850" s="6" t="n">
        <f aca="false">Sens!E5850*(1+Sens!F5851)</f>
        <v>90.0799497373663</v>
      </c>
      <c r="G5850" s="6" t="n">
        <f aca="false">Sens!F5850*(1+Sens!G5851)</f>
        <v>107.02842520331</v>
      </c>
      <c r="H5850" s="6" t="n">
        <f aca="false">Sens!G5850*(1+Sens!H5851)</f>
        <v>124.271982585636</v>
      </c>
      <c r="I5850" s="6" t="n">
        <f aca="false">Sens!H5850*(1+Sens!I5851)</f>
        <v>140.933702381855</v>
      </c>
      <c r="J5850" s="6" t="n">
        <f aca="false">Sens!I5850*(1+Sens!J5851)</f>
        <v>156.018867314332</v>
      </c>
      <c r="K5850" s="6" t="n">
        <f aca="false">Sens!J5850*(1+Sens!K5851)</f>
        <v>168.500376699478</v>
      </c>
    </row>
    <row r="5851" customFormat="false" ht="15" hidden="false" customHeight="false" outlineLevel="0" collapsed="false">
      <c r="A5851" s="1" t="s">
        <v>782</v>
      </c>
      <c r="B5851" s="0" t="s">
        <v>126</v>
      </c>
      <c r="E5851" s="7" t="n">
        <f aca="false">Sens!E5850/Sens!D5850-1</f>
        <v>0.242223883039864</v>
      </c>
      <c r="F5851" s="7" t="n">
        <f aca="false">Sens!$E$5851+(glt_azo-Sens!$E$5851)*MIN(1,1/n_conv)</f>
        <v>0.215186569199887</v>
      </c>
      <c r="G5851" s="7" t="n">
        <f aca="false">Sens!$E$5851+(glt_azo-Sens!$E$5851)*MIN(1,2/n_conv)</f>
        <v>0.18814925535991</v>
      </c>
      <c r="H5851" s="7" t="n">
        <f aca="false">Sens!$E$5851+(glt_azo-Sens!$E$5851)*MIN(1,3/n_conv)</f>
        <v>0.161111941519932</v>
      </c>
      <c r="I5851" s="7" t="n">
        <f aca="false">Sens!$E$5851+(glt_azo-Sens!$E$5851)*MIN(1,4/n_conv)</f>
        <v>0.134074627679955</v>
      </c>
      <c r="J5851" s="7" t="n">
        <f aca="false">Sens!$E$5851+(glt_azo-Sens!$E$5851)*MIN(1,5/n_conv)</f>
        <v>0.107037313839977</v>
      </c>
      <c r="K5851" s="7" t="n">
        <f aca="false">Sens!$E$5851+(glt_azo-Sens!$E$5851)*MIN(1,6/n_conv)</f>
        <v>0.08</v>
      </c>
    </row>
    <row r="5852" customFormat="false" ht="15" hidden="false" customHeight="false" outlineLevel="0" collapsed="false">
      <c r="A5852" s="0" t="s">
        <v>783</v>
      </c>
      <c r="B5852" s="0" t="s">
        <v>95</v>
      </c>
      <c r="D5852" s="6" t="n">
        <f aca="false">Sens!D5849+Sens!D5850</f>
        <v>72.61</v>
      </c>
      <c r="E5852" s="6" t="n">
        <f aca="false">Sens!E5849+Sens!E5850</f>
        <v>101.938</v>
      </c>
      <c r="F5852" s="6" t="n">
        <f aca="false">Sens!F5849+Sens!F5850</f>
        <v>148.812368967868</v>
      </c>
      <c r="G5852" s="6" t="n">
        <f aca="false">Sens!G5849+Sens!G5850</f>
        <v>208.397514344463</v>
      </c>
      <c r="H5852" s="6" t="n">
        <f aca="false">Sens!H5849+Sens!H5850</f>
        <v>274.05759259987</v>
      </c>
      <c r="I5852" s="6" t="n">
        <f aca="false">Sens!I5849+Sens!I5850</f>
        <v>333.373091964934</v>
      </c>
      <c r="J5852" s="6" t="n">
        <f aca="false">Sens!J5849+Sens!J5850</f>
        <v>391.214773806054</v>
      </c>
      <c r="K5852" s="6" t="n">
        <f aca="false">Sens!K5849+Sens!K5850</f>
        <v>446.513235535821</v>
      </c>
    </row>
    <row r="5853" customFormat="false" ht="17.15" hidden="false" customHeight="false" outlineLevel="0" collapsed="false">
      <c r="A5853" s="0" t="s">
        <v>784</v>
      </c>
      <c r="B5853" s="1" t="s">
        <v>451</v>
      </c>
      <c r="C5853" s="27" t="n">
        <f aca="false">cop_s24</f>
        <v>1</v>
      </c>
      <c r="D5853" s="27" t="n">
        <f aca="false">cop_s25</f>
        <v>5</v>
      </c>
      <c r="E5853" s="27" t="n">
        <f aca="false">cop_s26</f>
        <v>30</v>
      </c>
      <c r="F5853" s="27" t="n">
        <f aca="false">Sens!E5853+IF(2027&lt;=2029,cop_add_A,cop_add_A*cop_tail)</f>
        <v>60</v>
      </c>
      <c r="G5853" s="27" t="n">
        <f aca="false">Sens!F5853+IF(2028&lt;=2029,cop_add_A,cop_add_A*cop_tail)</f>
        <v>90</v>
      </c>
      <c r="H5853" s="27" t="n">
        <f aca="false">Sens!G5853+IF(2029&lt;=2029,cop_add_A,cop_add_A*cop_tail)</f>
        <v>120</v>
      </c>
      <c r="I5853" s="27" t="n">
        <f aca="false">Sens!H5853+IF(2030&lt;=2029,cop_add_A,cop_add_A*cop_tail)</f>
        <v>135</v>
      </c>
      <c r="J5853" s="27" t="n">
        <f aca="false">Sens!I5853+IF(2031&lt;=2029,cop_add_A,cop_add_A*cop_tail)</f>
        <v>150</v>
      </c>
      <c r="K5853" s="27" t="n">
        <f aca="false">Sens!J5853+IF(2032&lt;=2029,cop_add_A,cop_add_A*cop_tail)</f>
        <v>165</v>
      </c>
    </row>
    <row r="5854" customFormat="false" ht="17.15" hidden="false" customHeight="false" outlineLevel="0" collapsed="false">
      <c r="A5854" s="0" t="s">
        <v>785</v>
      </c>
      <c r="B5854" s="0" t="s">
        <v>95</v>
      </c>
      <c r="D5854" s="6" t="n">
        <f aca="false">(Sens!C5853+Sens!D5853)/2*cop_px*12/1000</f>
        <v>0.9</v>
      </c>
      <c r="E5854" s="6" t="n">
        <f aca="false">(Sens!D5853+Sens!E5853)/2*cop_px*12/1000</f>
        <v>5.25</v>
      </c>
      <c r="F5854" s="6" t="n">
        <f aca="false">(Sens!E5853+Sens!F5853)/2*cop_px_hi*12/1000</f>
        <v>16.2</v>
      </c>
      <c r="G5854" s="6" t="n">
        <f aca="false">(Sens!F5853+Sens!G5853)/2*cop_px_hi*12/1000</f>
        <v>27</v>
      </c>
      <c r="H5854" s="6" t="n">
        <f aca="false">(Sens!G5853+Sens!H5853)/2*cop_px_hi*12/1000</f>
        <v>37.8</v>
      </c>
      <c r="I5854" s="6" t="n">
        <f aca="false">(Sens!H5853+Sens!I5853)/2*cop_px_hi*12/1000</f>
        <v>45.9</v>
      </c>
      <c r="J5854" s="6" t="n">
        <f aca="false">(Sens!I5853+Sens!J5853)/2*cop_px_hi*12/1000</f>
        <v>51.3</v>
      </c>
      <c r="K5854" s="6" t="n">
        <f aca="false">(Sens!J5853+Sens!K5853)/2*cop_px_hi*12/1000</f>
        <v>56.7</v>
      </c>
      <c r="L5854" s="1" t="s">
        <v>786</v>
      </c>
    </row>
    <row r="5855" customFormat="false" ht="17.15" hidden="false" customHeight="false" outlineLevel="0" collapsed="false">
      <c r="A5855" s="0" t="s">
        <v>787</v>
      </c>
      <c r="B5855" s="0" t="s">
        <v>95</v>
      </c>
      <c r="D5855" s="6" t="n">
        <f aca="false">Q!L7-Sens!D5854</f>
        <v>83.705</v>
      </c>
      <c r="E5855" s="6" t="n">
        <f aca="false">Q!M7-Sens!E5854</f>
        <v>95.049</v>
      </c>
      <c r="F5855" s="6" t="n">
        <f aca="false">Sens!E5855*(1+Sens!F5856)</f>
        <v>106.89238776686</v>
      </c>
      <c r="G5855" s="6" t="n">
        <f aca="false">Sens!F5855*(1+Sens!G5856)</f>
        <v>119.044168448684</v>
      </c>
      <c r="H5855" s="6" t="n">
        <f aca="false">Sens!G5855*(1+Sens!H5856)</f>
        <v>131.277359388781</v>
      </c>
      <c r="I5855" s="6" t="n">
        <f aca="false">Sens!H5855*(1+Sens!I5856)</f>
        <v>143.334028071957</v>
      </c>
      <c r="J5855" s="6" t="n">
        <f aca="false">Sens!I5855*(1+Sens!J5856)</f>
        <v>154.932702785465</v>
      </c>
      <c r="K5855" s="6" t="n">
        <f aca="false">Sens!J5855*(1+Sens!K5856)</f>
        <v>165.777991980448</v>
      </c>
    </row>
    <row r="5856" customFormat="false" ht="15" hidden="false" customHeight="false" outlineLevel="0" collapsed="false">
      <c r="A5856" s="1" t="s">
        <v>782</v>
      </c>
      <c r="B5856" s="0" t="s">
        <v>126</v>
      </c>
      <c r="E5856" s="7" t="n">
        <f aca="false">Sens!E5855/Sens!D5855-1</f>
        <v>0.135523564900544</v>
      </c>
      <c r="F5856" s="7" t="n">
        <f aca="false">Sens!$E$5856+(glt_m365b-Sens!$E$5856)*MIN(1,1/n_conv)</f>
        <v>0.124602970750453</v>
      </c>
      <c r="G5856" s="7" t="n">
        <f aca="false">Sens!$E$5856+(glt_m365b-Sens!$E$5856)*MIN(1,2/n_conv)</f>
        <v>0.113682376600363</v>
      </c>
      <c r="H5856" s="7" t="n">
        <f aca="false">Sens!$E$5856+(glt_m365b-Sens!$E$5856)*MIN(1,3/n_conv)</f>
        <v>0.102761782450272</v>
      </c>
      <c r="I5856" s="7" t="n">
        <f aca="false">Sens!$E$5856+(glt_m365b-Sens!$E$5856)*MIN(1,4/n_conv)</f>
        <v>0.0918411883001813</v>
      </c>
      <c r="J5856" s="7" t="n">
        <f aca="false">Sens!$E$5856+(glt_m365b-Sens!$E$5856)*MIN(1,5/n_conv)</f>
        <v>0.0809205941500906</v>
      </c>
      <c r="K5856" s="7" t="n">
        <f aca="false">Sens!$E$5856+(glt_m365b-Sens!$E$5856)*MIN(1,6/n_conv)</f>
        <v>0.07</v>
      </c>
    </row>
    <row r="5857" customFormat="false" ht="15" hidden="false" customHeight="false" outlineLevel="0" collapsed="false">
      <c r="A5857" s="0" t="s">
        <v>788</v>
      </c>
      <c r="B5857" s="0" t="s">
        <v>95</v>
      </c>
      <c r="D5857" s="6" t="n">
        <f aca="false">Sens!D5855+Sens!D5854</f>
        <v>84.605</v>
      </c>
      <c r="E5857" s="6" t="n">
        <f aca="false">Sens!E5855+Sens!E5854</f>
        <v>100.299</v>
      </c>
      <c r="F5857" s="6" t="n">
        <f aca="false">Sens!F5855+Sens!F5854</f>
        <v>123.09238776686</v>
      </c>
      <c r="G5857" s="6" t="n">
        <f aca="false">Sens!G5855+Sens!G5854</f>
        <v>146.044168448684</v>
      </c>
      <c r="H5857" s="6" t="n">
        <f aca="false">Sens!H5855+Sens!H5854</f>
        <v>169.077359388781</v>
      </c>
      <c r="I5857" s="6" t="n">
        <f aca="false">Sens!I5855+Sens!I5854</f>
        <v>189.234028071957</v>
      </c>
      <c r="J5857" s="6" t="n">
        <f aca="false">Sens!J5855+Sens!J5854</f>
        <v>206.232702785465</v>
      </c>
      <c r="K5857" s="6" t="n">
        <f aca="false">Sens!K5855+Sens!K5854</f>
        <v>222.477991980448</v>
      </c>
    </row>
    <row r="5858" customFormat="false" ht="15" hidden="false" customHeight="false" outlineLevel="0" collapsed="false">
      <c r="A5858" s="0" t="s">
        <v>789</v>
      </c>
      <c r="B5858" s="0" t="s">
        <v>95</v>
      </c>
      <c r="D5858" s="6" t="n">
        <f aca="false">Q!L8</f>
        <v>35.391</v>
      </c>
      <c r="E5858" s="6" t="n">
        <f aca="false">Q!M8</f>
        <v>37.285</v>
      </c>
      <c r="F5858" s="6" t="n">
        <f aca="false">Sens!E5858*(1+Sens!F5859)</f>
        <v>39.0720834331704</v>
      </c>
      <c r="G5858" s="6" t="n">
        <f aca="false">Sens!F5858*(1+Sens!G5859)</f>
        <v>40.726562953769</v>
      </c>
      <c r="H5858" s="6" t="n">
        <f aca="false">Sens!G5858*(1+Sens!H5859)</f>
        <v>42.2235987259198</v>
      </c>
      <c r="I5858" s="6" t="n">
        <f aca="false">Sens!H5858*(1+Sens!I5859)</f>
        <v>43.5397988077414</v>
      </c>
      <c r="J5858" s="6" t="n">
        <f aca="false">Sens!I5858*(1+Sens!J5859)</f>
        <v>44.653811225693</v>
      </c>
      <c r="K5858" s="6" t="n">
        <f aca="false">Sens!J5858*(1+Sens!K5859)</f>
        <v>45.5468874502068</v>
      </c>
    </row>
    <row r="5859" customFormat="false" ht="15" hidden="false" customHeight="false" outlineLevel="0" collapsed="false">
      <c r="A5859" s="1" t="s">
        <v>782</v>
      </c>
      <c r="B5859" s="0" t="s">
        <v>126</v>
      </c>
      <c r="E5859" s="7" t="n">
        <f aca="false">Sens!E5858/Sens!D5858-1</f>
        <v>0.0535164307309768</v>
      </c>
      <c r="F5859" s="7" t="n">
        <f aca="false">Sens!$E$5859+(glt_lic-Sens!$E$5859)*MIN(1,1/n_conv)</f>
        <v>0.0479303589424807</v>
      </c>
      <c r="G5859" s="7" t="n">
        <f aca="false">Sens!$E$5859+(glt_lic-Sens!$E$5859)*MIN(1,2/n_conv)</f>
        <v>0.0423442871539845</v>
      </c>
      <c r="H5859" s="7" t="n">
        <f aca="false">Sens!$E$5859+(glt_lic-Sens!$E$5859)*MIN(1,3/n_conv)</f>
        <v>0.0367582153654884</v>
      </c>
      <c r="I5859" s="7" t="n">
        <f aca="false">Sens!$E$5859+(glt_lic-Sens!$E$5859)*MIN(1,4/n_conv)</f>
        <v>0.0311721435769923</v>
      </c>
      <c r="J5859" s="7" t="n">
        <f aca="false">Sens!$E$5859+(glt_lic-Sens!$E$5859)*MIN(1,5/n_conv)</f>
        <v>0.0255860717884961</v>
      </c>
      <c r="K5859" s="7" t="n">
        <f aca="false">Sens!$E$5859+(glt_lic-Sens!$E$5859)*MIN(1,6/n_conv)</f>
        <v>0.02</v>
      </c>
    </row>
    <row r="5860" customFormat="false" ht="15" hidden="false" customHeight="false" outlineLevel="0" collapsed="false">
      <c r="A5860" s="0" t="s">
        <v>790</v>
      </c>
      <c r="B5860" s="0" t="s">
        <v>95</v>
      </c>
      <c r="D5860" s="6" t="n">
        <f aca="false">Q!L9</f>
        <v>18.417</v>
      </c>
      <c r="E5860" s="6" t="n">
        <f aca="false">Q!M9</f>
        <v>20.345</v>
      </c>
      <c r="F5860" s="6" t="n">
        <f aca="false">Sens!E5860*(1+Sens!F5861)</f>
        <v>22.3572203267814</v>
      </c>
      <c r="G5860" s="6" t="n">
        <f aca="false">Sens!F5860*(1+Sens!G5861)</f>
        <v>24.4392124437232</v>
      </c>
      <c r="H5860" s="6" t="n">
        <f aca="false">Sens!G5860*(1+Sens!H5861)</f>
        <v>26.5738052080665</v>
      </c>
      <c r="I5860" s="6" t="n">
        <f aca="false">Sens!H5860*(1+Sens!I5861)</f>
        <v>28.7412169166967</v>
      </c>
      <c r="J5860" s="6" t="n">
        <f aca="false">Sens!I5860*(1+Sens!J5861)</f>
        <v>30.9192545395413</v>
      </c>
      <c r="K5860" s="6" t="n">
        <f aca="false">Sens!J5860*(1+Sens!K5861)</f>
        <v>33.0836023573092</v>
      </c>
    </row>
    <row r="5861" customFormat="false" ht="15" hidden="false" customHeight="false" outlineLevel="0" collapsed="false">
      <c r="A5861" s="1" t="s">
        <v>782</v>
      </c>
      <c r="B5861" s="0" t="s">
        <v>126</v>
      </c>
      <c r="E5861" s="7" t="n">
        <f aca="false">Sens!E5860/Sens!D5860-1</f>
        <v>0.104685888038225</v>
      </c>
      <c r="F5861" s="7" t="n">
        <f aca="false">Sens!$E$5861+(glt_ind-Sens!$E$5861)*MIN(1,1/n_conv)</f>
        <v>0.0989049066985211</v>
      </c>
      <c r="G5861" s="7" t="n">
        <f aca="false">Sens!$E$5861+(glt_ind-Sens!$E$5861)*MIN(1,2/n_conv)</f>
        <v>0.0931239253588169</v>
      </c>
      <c r="H5861" s="7" t="n">
        <f aca="false">Sens!$E$5861+(glt_ind-Sens!$E$5861)*MIN(1,3/n_conv)</f>
        <v>0.0873429440191127</v>
      </c>
      <c r="I5861" s="7" t="n">
        <f aca="false">Sens!$E$5861+(glt_ind-Sens!$E$5861)*MIN(1,4/n_conv)</f>
        <v>0.0815619626794085</v>
      </c>
      <c r="J5861" s="7" t="n">
        <f aca="false">Sens!$E$5861+(glt_ind-Sens!$E$5861)*MIN(1,5/n_conv)</f>
        <v>0.0757809813397042</v>
      </c>
      <c r="K5861" s="7" t="n">
        <f aca="false">Sens!$E$5861+(glt_ind-Sens!$E$5861)*MIN(1,6/n_conv)</f>
        <v>0.07</v>
      </c>
    </row>
    <row r="5862" customFormat="false" ht="15" hidden="false" customHeight="false" outlineLevel="0" collapsed="false">
      <c r="A5862" s="0" t="s">
        <v>791</v>
      </c>
      <c r="B5862" s="0" t="s">
        <v>95</v>
      </c>
      <c r="D5862" s="6" t="n">
        <f aca="false">Q!L10</f>
        <v>7.76</v>
      </c>
      <c r="E5862" s="6" t="n">
        <f aca="false">Q!M10</f>
        <v>8.26</v>
      </c>
      <c r="F5862" s="6" t="n">
        <f aca="false">Sens!E5862*(1+Sens!F5863)</f>
        <v>8.79988041237113</v>
      </c>
      <c r="G5862" s="6" t="n">
        <f aca="false">Sens!F5862*(1+Sens!G5863)</f>
        <v>9.38321269125306</v>
      </c>
      <c r="H5862" s="6" t="n">
        <f aca="false">Sens!G5862*(1+Sens!H5863)</f>
        <v>10.0139193587476</v>
      </c>
      <c r="I5862" s="6" t="n">
        <f aca="false">Sens!H5862*(1+Sens!I5863)</f>
        <v>10.6963111830911</v>
      </c>
      <c r="J5862" s="6" t="n">
        <f aca="false">Sens!I5862*(1+Sens!J5863)</f>
        <v>11.4351285534696</v>
      </c>
      <c r="K5862" s="6" t="n">
        <f aca="false">Sens!J5862*(1+Sens!K5863)</f>
        <v>12.2355875522124</v>
      </c>
    </row>
    <row r="5863" customFormat="false" ht="15" hidden="false" customHeight="false" outlineLevel="0" collapsed="false">
      <c r="A5863" s="1" t="s">
        <v>782</v>
      </c>
      <c r="B5863" s="0" t="s">
        <v>126</v>
      </c>
      <c r="E5863" s="7" t="n">
        <f aca="false">Sens!E5862/Sens!D5862-1</f>
        <v>0.0644329896907216</v>
      </c>
      <c r="F5863" s="7" t="n">
        <f aca="false">Sens!$E$5863+(glt_fro-Sens!$E$5863)*MIN(1,1/n_conv)</f>
        <v>0.065360824742268</v>
      </c>
      <c r="G5863" s="7" t="n">
        <f aca="false">Sens!$E$5863+(glt_fro-Sens!$E$5863)*MIN(1,2/n_conv)</f>
        <v>0.0662886597938144</v>
      </c>
      <c r="H5863" s="7" t="n">
        <f aca="false">Sens!$E$5863+(glt_fro-Sens!$E$5863)*MIN(1,3/n_conv)</f>
        <v>0.0672164948453608</v>
      </c>
      <c r="I5863" s="7" t="n">
        <f aca="false">Sens!$E$5863+(glt_fro-Sens!$E$5863)*MIN(1,4/n_conv)</f>
        <v>0.0681443298969072</v>
      </c>
      <c r="J5863" s="7" t="n">
        <f aca="false">Sens!$E$5863+(glt_fro-Sens!$E$5863)*MIN(1,5/n_conv)</f>
        <v>0.0690721649484536</v>
      </c>
      <c r="K5863" s="7" t="n">
        <f aca="false">Sens!$E$5863+(glt_fro-Sens!$E$5863)*MIN(1,6/n_conv)</f>
        <v>0.07</v>
      </c>
    </row>
    <row r="5864" customFormat="false" ht="15" hidden="false" customHeight="false" outlineLevel="0" collapsed="false">
      <c r="A5864" s="0" t="s">
        <v>626</v>
      </c>
      <c r="B5864" s="0" t="s">
        <v>95</v>
      </c>
      <c r="D5864" s="6" t="n">
        <f aca="false">Sens!D5852+Sens!D5857+Sens!D5858+Sens!D5860+Sens!D5862</f>
        <v>218.783</v>
      </c>
      <c r="E5864" s="6" t="n">
        <f aca="false">Sens!E5852+Sens!E5857+Sens!E5858+Sens!E5860+Sens!E5862</f>
        <v>268.127</v>
      </c>
      <c r="F5864" s="6" t="n">
        <f aca="false">Sens!F5852+Sens!F5857+Sens!F5858+Sens!F5860+Sens!F5862</f>
        <v>342.133940907051</v>
      </c>
      <c r="G5864" s="6" t="n">
        <f aca="false">Sens!G5852+Sens!G5857+Sens!G5858+Sens!G5860+Sens!G5862</f>
        <v>428.990670881892</v>
      </c>
      <c r="H5864" s="6" t="n">
        <f aca="false">Sens!H5852+Sens!H5857+Sens!H5858+Sens!H5860+Sens!H5862</f>
        <v>521.946275281385</v>
      </c>
      <c r="I5864" s="6" t="n">
        <f aca="false">Sens!I5852+Sens!I5857+Sens!I5858+Sens!I5860+Sens!I5862</f>
        <v>605.58444694442</v>
      </c>
      <c r="J5864" s="6" t="n">
        <f aca="false">Sens!J5852+Sens!J5857+Sens!J5858+Sens!J5860+Sens!J5862</f>
        <v>684.455670910223</v>
      </c>
      <c r="K5864" s="6" t="n">
        <f aca="false">Sens!K5852+Sens!K5857+Sens!K5858+Sens!K5860+Sens!K5862</f>
        <v>759.857304875998</v>
      </c>
    </row>
    <row r="5865" customFormat="false" ht="15" hidden="false" customHeight="false" outlineLevel="0" collapsed="false">
      <c r="A5865" s="0" t="s">
        <v>792</v>
      </c>
      <c r="B5865" s="0" t="s">
        <v>95</v>
      </c>
      <c r="D5865" s="6" t="n">
        <f aca="false">Q!L13</f>
        <v>22.171</v>
      </c>
      <c r="E5865" s="6" t="n">
        <f aca="false">Q!M13</f>
        <v>24.835</v>
      </c>
      <c r="F5865" s="6" t="n">
        <f aca="false">Sens!E5865*(1+Sens!F5866)</f>
        <v>27.6114901218559</v>
      </c>
      <c r="G5865" s="6" t="n">
        <f aca="false">Sens!F5865*(1+Sens!G5866)</f>
        <v>30.4675667338515</v>
      </c>
      <c r="H5865" s="6" t="n">
        <f aca="false">Sens!G5865*(1+Sens!H5866)</f>
        <v>33.3643766955789</v>
      </c>
      <c r="I5865" s="6" t="n">
        <f aca="false">Sens!H5865*(1+Sens!I5866)</f>
        <v>36.2577016533691</v>
      </c>
      <c r="J5865" s="6" t="n">
        <f aca="false">Sens!I5865*(1+Sens!J5866)</f>
        <v>39.0988367952171</v>
      </c>
      <c r="K5865" s="6" t="n">
        <f aca="false">Sens!J5865*(1+Sens!K5866)</f>
        <v>41.8357553708823</v>
      </c>
    </row>
    <row r="5866" customFormat="false" ht="15" hidden="false" customHeight="false" outlineLevel="0" collapsed="false">
      <c r="A5866" s="1" t="s">
        <v>782</v>
      </c>
      <c r="B5866" s="0" t="s">
        <v>126</v>
      </c>
      <c r="E5866" s="7" t="n">
        <f aca="false">Sens!E5865/Sens!D5865-1</f>
        <v>0.120156961796942</v>
      </c>
      <c r="F5866" s="7" t="n">
        <f aca="false">Sens!$E$5866+(glt_srch-Sens!$E$5866)*MIN(1,1/n_conv)</f>
        <v>0.111797468164118</v>
      </c>
      <c r="G5866" s="7" t="n">
        <f aca="false">Sens!$E$5866+(glt_srch-Sens!$E$5866)*MIN(1,2/n_conv)</f>
        <v>0.103437974531295</v>
      </c>
      <c r="H5866" s="7" t="n">
        <f aca="false">Sens!$E$5866+(glt_srch-Sens!$E$5866)*MIN(1,3/n_conv)</f>
        <v>0.095078480898471</v>
      </c>
      <c r="I5866" s="7" t="n">
        <f aca="false">Sens!$E$5866+(glt_srch-Sens!$E$5866)*MIN(1,4/n_conv)</f>
        <v>0.0867189872656474</v>
      </c>
      <c r="J5866" s="7" t="n">
        <f aca="false">Sens!$E$5866+(glt_srch-Sens!$E$5866)*MIN(1,5/n_conv)</f>
        <v>0.0783594936328237</v>
      </c>
      <c r="K5866" s="7" t="n">
        <f aca="false">Sens!$E$5866+(glt_srch-Sens!$E$5866)*MIN(1,6/n_conv)</f>
        <v>0.07</v>
      </c>
    </row>
    <row r="5867" customFormat="false" ht="15" hidden="false" customHeight="false" outlineLevel="0" collapsed="false">
      <c r="A5867" s="0" t="s">
        <v>793</v>
      </c>
      <c r="B5867" s="0" t="s">
        <v>95</v>
      </c>
      <c r="D5867" s="6" t="n">
        <f aca="false">Q!L14</f>
        <v>23.455</v>
      </c>
      <c r="E5867" s="6" t="n">
        <f aca="false">Q!M14</f>
        <v>21.79</v>
      </c>
      <c r="F5867" s="6" t="n">
        <f aca="false">Sens!E5867*(1+Sens!F5868)</f>
        <v>20.5736277908051</v>
      </c>
      <c r="G5867" s="6" t="n">
        <f aca="false">Sens!F5867*(1+Sens!G5868)</f>
        <v>19.7371452817919</v>
      </c>
      <c r="H5867" s="6" t="n">
        <f aca="false">Sens!G5867*(1+Sens!H5868)</f>
        <v>19.2339764043138</v>
      </c>
      <c r="I5867" s="6" t="n">
        <f aca="false">Sens!H5867*(1+Sens!I5868)</f>
        <v>19.0353086852681</v>
      </c>
      <c r="J5867" s="6" t="n">
        <f aca="false">Sens!I5867*(1+Sens!J5868)</f>
        <v>19.1273539319129</v>
      </c>
      <c r="K5867" s="6" t="n">
        <f aca="false">Sens!J5867*(1+Sens!K5868)</f>
        <v>19.5099010105511</v>
      </c>
    </row>
    <row r="5868" customFormat="false" ht="15" hidden="false" customHeight="false" outlineLevel="0" collapsed="false">
      <c r="A5868" s="1" t="s">
        <v>782</v>
      </c>
      <c r="B5868" s="0" t="s">
        <v>126</v>
      </c>
      <c r="E5868" s="7" t="n">
        <f aca="false">Sens!E5867/Sens!D5867-1</f>
        <v>-0.0709869963760392</v>
      </c>
      <c r="F5868" s="7" t="n">
        <f aca="false">Sens!$E$5868+(glt_xbox-Sens!$E$5868)*MIN(1,1/n_conv)</f>
        <v>-0.0558224969800327</v>
      </c>
      <c r="G5868" s="7" t="n">
        <f aca="false">Sens!$E$5868+(glt_xbox-Sens!$E$5868)*MIN(1,2/n_conv)</f>
        <v>-0.0406579975840262</v>
      </c>
      <c r="H5868" s="7" t="n">
        <f aca="false">Sens!$E$5868+(glt_xbox-Sens!$E$5868)*MIN(1,3/n_conv)</f>
        <v>-0.0254934981880196</v>
      </c>
      <c r="I5868" s="7" t="n">
        <f aca="false">Sens!$E$5868+(glt_xbox-Sens!$E$5868)*MIN(1,4/n_conv)</f>
        <v>-0.0103289987920131</v>
      </c>
      <c r="J5868" s="7" t="n">
        <f aca="false">Sens!$E$5868+(glt_xbox-Sens!$E$5868)*MIN(1,5/n_conv)</f>
        <v>0.00483550060399347</v>
      </c>
      <c r="K5868" s="7" t="n">
        <f aca="false">Sens!$E$5868+(glt_xbox-Sens!$E$5868)*MIN(1,6/n_conv)</f>
        <v>0.02</v>
      </c>
    </row>
    <row r="5869" customFormat="false" ht="15" hidden="false" customHeight="false" outlineLevel="0" collapsed="false">
      <c r="A5869" s="0" t="s">
        <v>794</v>
      </c>
      <c r="B5869" s="0" t="s">
        <v>95</v>
      </c>
      <c r="D5869" s="6" t="n">
        <f aca="false">Q!L15</f>
        <v>17.315</v>
      </c>
      <c r="E5869" s="6" t="n">
        <f aca="false">Q!M15</f>
        <v>17.087</v>
      </c>
      <c r="F5869" s="6" t="n">
        <f aca="false">Sens!E5869*(1+Sens!F5870)</f>
        <v>16.9564585436519</v>
      </c>
      <c r="G5869" s="6" t="n">
        <f aca="false">Sens!F5869*(1+Sens!G5870)</f>
        <v>16.9206490624268</v>
      </c>
      <c r="H5869" s="6" t="n">
        <f aca="false">Sens!G5869*(1+Sens!H5870)</f>
        <v>16.9784519149849</v>
      </c>
      <c r="I5869" s="6" t="n">
        <f aca="false">Sens!H5869*(1+Sens!I5870)</f>
        <v>17.1303084701817</v>
      </c>
      <c r="J5869" s="6" t="n">
        <f aca="false">Sens!I5869*(1+Sens!J5870)</f>
        <v>17.3782189407267</v>
      </c>
      <c r="K5869" s="6" t="n">
        <f aca="false">Sens!J5869*(1+Sens!K5870)</f>
        <v>17.7257833195413</v>
      </c>
    </row>
    <row r="5870" customFormat="false" ht="15" hidden="false" customHeight="false" outlineLevel="0" collapsed="false">
      <c r="A5870" s="1" t="s">
        <v>782</v>
      </c>
      <c r="B5870" s="0" t="s">
        <v>126</v>
      </c>
      <c r="E5870" s="7" t="n">
        <f aca="false">Sens!E5869/Sens!D5869-1</f>
        <v>-0.0131677736066995</v>
      </c>
      <c r="F5870" s="7" t="n">
        <f aca="false">Sens!$E$5870+(glt_win-Sens!$E$5870)*MIN(1,1/n_conv)</f>
        <v>-0.00763981133891627</v>
      </c>
      <c r="G5870" s="7" t="n">
        <f aca="false">Sens!$E$5870+(glt_win-Sens!$E$5870)*MIN(1,2/n_conv)</f>
        <v>-0.00211184907113301</v>
      </c>
      <c r="H5870" s="7" t="n">
        <f aca="false">Sens!$E$5870+(glt_win-Sens!$E$5870)*MIN(1,3/n_conv)</f>
        <v>0.00341611319665024</v>
      </c>
      <c r="I5870" s="7" t="n">
        <f aca="false">Sens!$E$5870+(glt_win-Sens!$E$5870)*MIN(1,4/n_conv)</f>
        <v>0.00894407546443349</v>
      </c>
      <c r="J5870" s="7" t="n">
        <f aca="false">Sens!$E$5870+(glt_win-Sens!$E$5870)*MIN(1,5/n_conv)</f>
        <v>0.0144720377322168</v>
      </c>
      <c r="K5870" s="7" t="n">
        <f aca="false">Sens!$E$5870+(glt_win-Sens!$E$5870)*MIN(1,6/n_conv)</f>
        <v>0.02</v>
      </c>
    </row>
    <row r="5871" customFormat="false" ht="15" hidden="false" customHeight="false" outlineLevel="0" collapsed="false">
      <c r="A5871" s="0" t="s">
        <v>640</v>
      </c>
      <c r="B5871" s="0" t="s">
        <v>95</v>
      </c>
      <c r="D5871" s="6" t="n">
        <f aca="false">Sens!D5865+Sens!D5867+Sens!D5869</f>
        <v>62.941</v>
      </c>
      <c r="E5871" s="6" t="n">
        <f aca="false">Sens!E5865+Sens!E5867+Sens!E5869</f>
        <v>63.712</v>
      </c>
      <c r="F5871" s="6" t="n">
        <f aca="false">Sens!F5865+Sens!F5867+Sens!F5869</f>
        <v>65.1415764563129</v>
      </c>
      <c r="G5871" s="6" t="n">
        <f aca="false">Sens!G5865+Sens!G5867+Sens!G5869</f>
        <v>67.1253610780702</v>
      </c>
      <c r="H5871" s="6" t="n">
        <f aca="false">Sens!H5865+Sens!H5867+Sens!H5869</f>
        <v>69.5768050148776</v>
      </c>
      <c r="I5871" s="6" t="n">
        <f aca="false">Sens!I5865+Sens!I5867+Sens!I5869</f>
        <v>72.4233188088189</v>
      </c>
      <c r="J5871" s="6" t="n">
        <f aca="false">Sens!J5865+Sens!J5867+Sens!J5869</f>
        <v>75.6044096678567</v>
      </c>
      <c r="K5871" s="6" t="n">
        <f aca="false">Sens!K5865+Sens!K5867+Sens!K5869</f>
        <v>79.0714397009747</v>
      </c>
    </row>
    <row r="5872" customFormat="false" ht="15" hidden="false" customHeight="false" outlineLevel="0" collapsed="false">
      <c r="A5872" s="1" t="s">
        <v>795</v>
      </c>
      <c r="B5872" s="0" t="s">
        <v>95</v>
      </c>
      <c r="D5872" s="6" t="n">
        <f aca="false">Sens!D5864+Sens!D5871</f>
        <v>281.724</v>
      </c>
      <c r="E5872" s="6" t="n">
        <f aca="false">Sens!E5864+Sens!E5871</f>
        <v>331.839</v>
      </c>
      <c r="F5872" s="6" t="n">
        <f aca="false">Sens!F5864+Sens!F5871</f>
        <v>407.275517363364</v>
      </c>
      <c r="G5872" s="6" t="n">
        <f aca="false">Sens!G5864+Sens!G5871</f>
        <v>496.116031959962</v>
      </c>
      <c r="H5872" s="6" t="n">
        <f aca="false">Sens!H5864+Sens!H5871</f>
        <v>591.523080296262</v>
      </c>
      <c r="I5872" s="6" t="n">
        <f aca="false">Sens!I5864+Sens!I5871</f>
        <v>678.007765753239</v>
      </c>
      <c r="J5872" s="6" t="n">
        <f aca="false">Sens!J5864+Sens!J5871</f>
        <v>760.060080578079</v>
      </c>
      <c r="K5872" s="6" t="n">
        <f aca="false">Sens!K5864+Sens!K5871</f>
        <v>838.928744576972</v>
      </c>
    </row>
    <row r="5873" customFormat="false" ht="15" hidden="false" customHeight="false" outlineLevel="0" collapsed="false">
      <c r="A5873" s="22" t="s">
        <v>796</v>
      </c>
      <c r="B5873" s="28" t="s">
        <v>95</v>
      </c>
      <c r="C5873" s="28"/>
      <c r="D5873" s="23" t="n">
        <f aca="false">(Sens!D5852+Sens!D5857+Sens!D5858+Sens!D5860+Sens!D5862-Sens!D5864)+(Sens!D5865+Sens!D5867+Sens!D5869-Sens!D5871)+(Sens!D5864-Q!L5)+(Sens!D5871-Q!L12)+(Sens!D5852-Q!L6)+(Sens!D5857-Q!L7)</f>
        <v>0</v>
      </c>
      <c r="E5873" s="23" t="n">
        <f aca="false">(Sens!E5852+Sens!E5857+Sens!E5858+Sens!E5860+Sens!E5862-Sens!E5864)+(Sens!E5865+Sens!E5867+Sens!E5869-Sens!E5871)+(Sens!E5864-Q!M5)+(Sens!E5871-Q!M12)+(Sens!E5852-Q!M6)+(Sens!E5857-Q!M7)</f>
        <v>0</v>
      </c>
      <c r="F5873" s="23" t="n">
        <f aca="false">(Sens!F5852+Sens!F5857+Sens!F5858+Sens!F5860+Sens!F5862-Sens!F5864)+(Sens!F5865+Sens!F5867+Sens!F5869-Sens!F5871)</f>
        <v>0</v>
      </c>
      <c r="G5873" s="23" t="n">
        <f aca="false">(Sens!G5852+Sens!G5857+Sens!G5858+Sens!G5860+Sens!G5862-Sens!G5864)+(Sens!G5865+Sens!G5867+Sens!G5869-Sens!G5871)</f>
        <v>0</v>
      </c>
      <c r="H5873" s="23" t="n">
        <f aca="false">(Sens!H5852+Sens!H5857+Sens!H5858+Sens!H5860+Sens!H5862-Sens!H5864)+(Sens!H5865+Sens!H5867+Sens!H5869-Sens!H5871)</f>
        <v>0</v>
      </c>
      <c r="I5873" s="23" t="n">
        <f aca="false">(Sens!I5852+Sens!I5857+Sens!I5858+Sens!I5860+Sens!I5862-Sens!I5864)+(Sens!I5865+Sens!I5867+Sens!I5869-Sens!I5871)</f>
        <v>0</v>
      </c>
      <c r="J5873" s="23" t="n">
        <f aca="false">(Sens!J5852+Sens!J5857+Sens!J5858+Sens!J5860+Sens!J5862-Sens!J5864)+(Sens!J5865+Sens!J5867+Sens!J5869-Sens!J5871)</f>
        <v>0</v>
      </c>
      <c r="K5873" s="23" t="n">
        <f aca="false">(Sens!K5852+Sens!K5857+Sens!K5858+Sens!K5860+Sens!K5862-Sens!K5864)+(Sens!K5865+Sens!K5867+Sens!K5869-Sens!K5871)</f>
        <v>0</v>
      </c>
    </row>
    <row r="5874" customFormat="false" ht="17.15" hidden="false" customHeight="false" outlineLevel="0" collapsed="false">
      <c r="A5874" s="3" t="s">
        <v>1281</v>
      </c>
    </row>
    <row r="5875" customFormat="false" ht="15" hidden="false" customHeight="false" outlineLevel="0" collapsed="false">
      <c r="A5875" s="4" t="s">
        <v>43</v>
      </c>
      <c r="B5875" s="4" t="s">
        <v>63</v>
      </c>
      <c r="C5875" s="19" t="s">
        <v>710</v>
      </c>
      <c r="D5875" s="19" t="s">
        <v>711</v>
      </c>
      <c r="E5875" s="19" t="s">
        <v>712</v>
      </c>
      <c r="F5875" s="19" t="s">
        <v>713</v>
      </c>
      <c r="G5875" s="19" t="s">
        <v>714</v>
      </c>
      <c r="H5875" s="19" t="s">
        <v>715</v>
      </c>
      <c r="I5875" s="19" t="s">
        <v>716</v>
      </c>
      <c r="J5875" s="19" t="s">
        <v>717</v>
      </c>
      <c r="K5875" s="19" t="s">
        <v>718</v>
      </c>
      <c r="L5875" s="4" t="s">
        <v>47</v>
      </c>
    </row>
    <row r="5876" customFormat="false" ht="15" hidden="false" customHeight="false" outlineLevel="0" collapsed="false">
      <c r="A5876" s="0" t="s">
        <v>783</v>
      </c>
      <c r="B5876" s="0" t="s">
        <v>95</v>
      </c>
      <c r="D5876" s="6" t="n">
        <f aca="false">Sens!D5852</f>
        <v>72.61</v>
      </c>
      <c r="E5876" s="6" t="n">
        <f aca="false">Sens!E5852</f>
        <v>101.938</v>
      </c>
      <c r="F5876" s="6" t="n">
        <f aca="false">Sens!F5852</f>
        <v>148.812368967868</v>
      </c>
      <c r="G5876" s="6" t="n">
        <f aca="false">Sens!G5852</f>
        <v>208.397514344463</v>
      </c>
      <c r="H5876" s="6" t="n">
        <f aca="false">Sens!H5852</f>
        <v>274.05759259987</v>
      </c>
      <c r="I5876" s="6" t="n">
        <f aca="false">Sens!I5852</f>
        <v>333.373091964934</v>
      </c>
      <c r="J5876" s="6" t="n">
        <f aca="false">Sens!J5852</f>
        <v>391.214773806054</v>
      </c>
      <c r="K5876" s="6" t="n">
        <f aca="false">Sens!K5852</f>
        <v>446.513235535821</v>
      </c>
    </row>
    <row r="5877" customFormat="false" ht="17.15" hidden="false" customHeight="false" outlineLevel="0" collapsed="false">
      <c r="A5877" s="0" t="s">
        <v>780</v>
      </c>
      <c r="B5877" s="0" t="s">
        <v>95</v>
      </c>
      <c r="D5877" s="6" t="n">
        <f aca="false">Sens!D5849</f>
        <v>12.9359794422418</v>
      </c>
      <c r="E5877" s="6" t="n">
        <f aca="false">Sens!E5849</f>
        <v>27.8095064661409</v>
      </c>
      <c r="F5877" s="6" t="n">
        <f aca="false">Sens!F5849</f>
        <v>58.7324192305018</v>
      </c>
      <c r="G5877" s="6" t="n">
        <f aca="false">Sens!G5849</f>
        <v>101.369089141153</v>
      </c>
      <c r="H5877" s="6" t="n">
        <f aca="false">Sens!H5849</f>
        <v>149.785610014234</v>
      </c>
      <c r="I5877" s="6" t="n">
        <f aca="false">Sens!I5849</f>
        <v>192.439389583079</v>
      </c>
      <c r="J5877" s="6" t="n">
        <f aca="false">Sens!J5849</f>
        <v>235.195906491722</v>
      </c>
      <c r="K5877" s="6" t="n">
        <f aca="false">Sens!K5849</f>
        <v>278.012858836343</v>
      </c>
    </row>
    <row r="5878" customFormat="false" ht="17.15" hidden="false" customHeight="false" outlineLevel="0" collapsed="false">
      <c r="A5878" s="0" t="s">
        <v>807</v>
      </c>
      <c r="B5878" s="0" t="s">
        <v>95</v>
      </c>
      <c r="D5878" s="6" t="n">
        <f aca="false">Sens!D5850</f>
        <v>59.6740205577583</v>
      </c>
      <c r="E5878" s="6" t="n">
        <f aca="false">Sens!E5850</f>
        <v>74.1284935338591</v>
      </c>
      <c r="F5878" s="6" t="n">
        <f aca="false">Sens!F5850</f>
        <v>90.0799497373663</v>
      </c>
      <c r="G5878" s="6" t="n">
        <f aca="false">Sens!G5850</f>
        <v>107.02842520331</v>
      </c>
      <c r="H5878" s="6" t="n">
        <f aca="false">Sens!H5850</f>
        <v>124.271982585636</v>
      </c>
      <c r="I5878" s="6" t="n">
        <f aca="false">Sens!I5850</f>
        <v>140.933702381855</v>
      </c>
      <c r="J5878" s="6" t="n">
        <f aca="false">Sens!J5850</f>
        <v>156.018867314332</v>
      </c>
      <c r="K5878" s="6" t="n">
        <f aca="false">Sens!K5850</f>
        <v>168.500376699478</v>
      </c>
    </row>
    <row r="5879" customFormat="false" ht="15" hidden="false" customHeight="false" outlineLevel="0" collapsed="false">
      <c r="A5879" s="0" t="s">
        <v>788</v>
      </c>
      <c r="B5879" s="0" t="s">
        <v>95</v>
      </c>
      <c r="D5879" s="6" t="n">
        <f aca="false">Sens!D5857</f>
        <v>84.605</v>
      </c>
      <c r="E5879" s="6" t="n">
        <f aca="false">Sens!E5857</f>
        <v>100.299</v>
      </c>
      <c r="F5879" s="6" t="n">
        <f aca="false">Sens!F5857</f>
        <v>123.09238776686</v>
      </c>
      <c r="G5879" s="6" t="n">
        <f aca="false">Sens!G5857</f>
        <v>146.044168448684</v>
      </c>
      <c r="H5879" s="6" t="n">
        <f aca="false">Sens!H5857</f>
        <v>169.077359388781</v>
      </c>
      <c r="I5879" s="6" t="n">
        <f aca="false">Sens!I5857</f>
        <v>189.234028071957</v>
      </c>
      <c r="J5879" s="6" t="n">
        <f aca="false">Sens!J5857</f>
        <v>206.232702785465</v>
      </c>
      <c r="K5879" s="6" t="n">
        <f aca="false">Sens!K5857</f>
        <v>222.477991980448</v>
      </c>
    </row>
    <row r="5880" customFormat="false" ht="17.15" hidden="false" customHeight="false" outlineLevel="0" collapsed="false">
      <c r="A5880" s="0" t="s">
        <v>808</v>
      </c>
      <c r="B5880" s="0" t="s">
        <v>95</v>
      </c>
      <c r="D5880" s="6" t="n">
        <f aca="false">Sens!D5855</f>
        <v>83.705</v>
      </c>
      <c r="E5880" s="6" t="n">
        <f aca="false">Sens!E5855</f>
        <v>95.049</v>
      </c>
      <c r="F5880" s="6" t="n">
        <f aca="false">Sens!F5855</f>
        <v>106.89238776686</v>
      </c>
      <c r="G5880" s="6" t="n">
        <f aca="false">Sens!G5855</f>
        <v>119.044168448684</v>
      </c>
      <c r="H5880" s="6" t="n">
        <f aca="false">Sens!H5855</f>
        <v>131.277359388781</v>
      </c>
      <c r="I5880" s="6" t="n">
        <f aca="false">Sens!I5855</f>
        <v>143.334028071957</v>
      </c>
      <c r="J5880" s="6" t="n">
        <f aca="false">Sens!J5855</f>
        <v>154.932702785465</v>
      </c>
      <c r="K5880" s="6" t="n">
        <f aca="false">Sens!K5855</f>
        <v>165.777991980448</v>
      </c>
    </row>
    <row r="5881" customFormat="false" ht="17.15" hidden="false" customHeight="false" outlineLevel="0" collapsed="false">
      <c r="A5881" s="0" t="s">
        <v>809</v>
      </c>
      <c r="B5881" s="0" t="s">
        <v>95</v>
      </c>
      <c r="D5881" s="6" t="n">
        <f aca="false">Sens!D5854</f>
        <v>0.9</v>
      </c>
      <c r="E5881" s="6" t="n">
        <f aca="false">Sens!E5854</f>
        <v>5.25</v>
      </c>
      <c r="F5881" s="6" t="n">
        <f aca="false">Sens!F5854</f>
        <v>16.2</v>
      </c>
      <c r="G5881" s="6" t="n">
        <f aca="false">Sens!G5854</f>
        <v>27</v>
      </c>
      <c r="H5881" s="6" t="n">
        <f aca="false">Sens!H5854</f>
        <v>37.8</v>
      </c>
      <c r="I5881" s="6" t="n">
        <f aca="false">Sens!I5854</f>
        <v>45.9</v>
      </c>
      <c r="J5881" s="6" t="n">
        <f aca="false">Sens!J5854</f>
        <v>51.3</v>
      </c>
      <c r="K5881" s="6" t="n">
        <f aca="false">Sens!K5854</f>
        <v>56.7</v>
      </c>
    </row>
    <row r="5882" customFormat="false" ht="15" hidden="false" customHeight="false" outlineLevel="0" collapsed="false">
      <c r="A5882" s="0" t="s">
        <v>789</v>
      </c>
      <c r="B5882" s="0" t="s">
        <v>95</v>
      </c>
      <c r="D5882" s="6" t="n">
        <f aca="false">Sens!D5858</f>
        <v>35.391</v>
      </c>
      <c r="E5882" s="6" t="n">
        <f aca="false">Sens!E5858</f>
        <v>37.285</v>
      </c>
      <c r="F5882" s="6" t="n">
        <f aca="false">Sens!F5858</f>
        <v>39.0720834331704</v>
      </c>
      <c r="G5882" s="6" t="n">
        <f aca="false">Sens!G5858</f>
        <v>40.726562953769</v>
      </c>
      <c r="H5882" s="6" t="n">
        <f aca="false">Sens!H5858</f>
        <v>42.2235987259198</v>
      </c>
      <c r="I5882" s="6" t="n">
        <f aca="false">Sens!I5858</f>
        <v>43.5397988077414</v>
      </c>
      <c r="J5882" s="6" t="n">
        <f aca="false">Sens!J5858</f>
        <v>44.653811225693</v>
      </c>
      <c r="K5882" s="6" t="n">
        <f aca="false">Sens!K5858</f>
        <v>45.5468874502068</v>
      </c>
    </row>
    <row r="5883" customFormat="false" ht="15" hidden="false" customHeight="false" outlineLevel="0" collapsed="false">
      <c r="A5883" s="0" t="s">
        <v>790</v>
      </c>
      <c r="B5883" s="0" t="s">
        <v>95</v>
      </c>
      <c r="D5883" s="6" t="n">
        <f aca="false">Sens!D5860</f>
        <v>18.417</v>
      </c>
      <c r="E5883" s="6" t="n">
        <f aca="false">Sens!E5860</f>
        <v>20.345</v>
      </c>
      <c r="F5883" s="6" t="n">
        <f aca="false">Sens!F5860</f>
        <v>22.3572203267814</v>
      </c>
      <c r="G5883" s="6" t="n">
        <f aca="false">Sens!G5860</f>
        <v>24.4392124437232</v>
      </c>
      <c r="H5883" s="6" t="n">
        <f aca="false">Sens!H5860</f>
        <v>26.5738052080665</v>
      </c>
      <c r="I5883" s="6" t="n">
        <f aca="false">Sens!I5860</f>
        <v>28.7412169166967</v>
      </c>
      <c r="J5883" s="6" t="n">
        <f aca="false">Sens!J5860</f>
        <v>30.9192545395413</v>
      </c>
      <c r="K5883" s="6" t="n">
        <f aca="false">Sens!K5860</f>
        <v>33.0836023573092</v>
      </c>
    </row>
    <row r="5884" customFormat="false" ht="15" hidden="false" customHeight="false" outlineLevel="0" collapsed="false">
      <c r="A5884" s="0" t="s">
        <v>791</v>
      </c>
      <c r="B5884" s="0" t="s">
        <v>95</v>
      </c>
      <c r="D5884" s="6" t="n">
        <f aca="false">Sens!D5862</f>
        <v>7.76</v>
      </c>
      <c r="E5884" s="6" t="n">
        <f aca="false">Sens!E5862</f>
        <v>8.26</v>
      </c>
      <c r="F5884" s="6" t="n">
        <f aca="false">Sens!F5862</f>
        <v>8.79988041237113</v>
      </c>
      <c r="G5884" s="6" t="n">
        <f aca="false">Sens!G5862</f>
        <v>9.38321269125306</v>
      </c>
      <c r="H5884" s="6" t="n">
        <f aca="false">Sens!H5862</f>
        <v>10.0139193587476</v>
      </c>
      <c r="I5884" s="6" t="n">
        <f aca="false">Sens!I5862</f>
        <v>10.6963111830911</v>
      </c>
      <c r="J5884" s="6" t="n">
        <f aca="false">Sens!J5862</f>
        <v>11.4351285534696</v>
      </c>
      <c r="K5884" s="6" t="n">
        <f aca="false">Sens!K5862</f>
        <v>12.2355875522124</v>
      </c>
    </row>
    <row r="5885" customFormat="false" ht="15" hidden="false" customHeight="false" outlineLevel="0" collapsed="false">
      <c r="A5885" s="0" t="s">
        <v>626</v>
      </c>
      <c r="B5885" s="0" t="s">
        <v>95</v>
      </c>
      <c r="D5885" s="6" t="n">
        <f aca="false">Sens!D5864</f>
        <v>218.783</v>
      </c>
      <c r="E5885" s="6" t="n">
        <f aca="false">Sens!E5864</f>
        <v>268.127</v>
      </c>
      <c r="F5885" s="6" t="n">
        <f aca="false">Sens!F5864</f>
        <v>342.133940907051</v>
      </c>
      <c r="G5885" s="6" t="n">
        <f aca="false">Sens!G5864</f>
        <v>428.990670881892</v>
      </c>
      <c r="H5885" s="6" t="n">
        <f aca="false">Sens!H5864</f>
        <v>521.946275281385</v>
      </c>
      <c r="I5885" s="6" t="n">
        <f aca="false">Sens!I5864</f>
        <v>605.58444694442</v>
      </c>
      <c r="J5885" s="6" t="n">
        <f aca="false">Sens!J5864</f>
        <v>684.455670910223</v>
      </c>
      <c r="K5885" s="6" t="n">
        <f aca="false">Sens!K5864</f>
        <v>759.857304875998</v>
      </c>
    </row>
    <row r="5886" customFormat="false" ht="15" hidden="false" customHeight="false" outlineLevel="0" collapsed="false">
      <c r="A5886" s="0" t="s">
        <v>792</v>
      </c>
      <c r="B5886" s="0" t="s">
        <v>95</v>
      </c>
      <c r="D5886" s="6" t="n">
        <f aca="false">Sens!D5865</f>
        <v>22.171</v>
      </c>
      <c r="E5886" s="6" t="n">
        <f aca="false">Sens!E5865</f>
        <v>24.835</v>
      </c>
      <c r="F5886" s="6" t="n">
        <f aca="false">Sens!F5865</f>
        <v>27.6114901218559</v>
      </c>
      <c r="G5886" s="6" t="n">
        <f aca="false">Sens!G5865</f>
        <v>30.4675667338515</v>
      </c>
      <c r="H5886" s="6" t="n">
        <f aca="false">Sens!H5865</f>
        <v>33.3643766955789</v>
      </c>
      <c r="I5886" s="6" t="n">
        <f aca="false">Sens!I5865</f>
        <v>36.2577016533691</v>
      </c>
      <c r="J5886" s="6" t="n">
        <f aca="false">Sens!J5865</f>
        <v>39.0988367952171</v>
      </c>
      <c r="K5886" s="6" t="n">
        <f aca="false">Sens!K5865</f>
        <v>41.8357553708823</v>
      </c>
    </row>
    <row r="5887" customFormat="false" ht="15" hidden="false" customHeight="false" outlineLevel="0" collapsed="false">
      <c r="A5887" s="0" t="s">
        <v>793</v>
      </c>
      <c r="B5887" s="0" t="s">
        <v>95</v>
      </c>
      <c r="D5887" s="6" t="n">
        <f aca="false">Sens!D5867</f>
        <v>23.455</v>
      </c>
      <c r="E5887" s="6" t="n">
        <f aca="false">Sens!E5867</f>
        <v>21.79</v>
      </c>
      <c r="F5887" s="6" t="n">
        <f aca="false">Sens!F5867</f>
        <v>20.5736277908051</v>
      </c>
      <c r="G5887" s="6" t="n">
        <f aca="false">Sens!G5867</f>
        <v>19.7371452817919</v>
      </c>
      <c r="H5887" s="6" t="n">
        <f aca="false">Sens!H5867</f>
        <v>19.2339764043138</v>
      </c>
      <c r="I5887" s="6" t="n">
        <f aca="false">Sens!I5867</f>
        <v>19.0353086852681</v>
      </c>
      <c r="J5887" s="6" t="n">
        <f aca="false">Sens!J5867</f>
        <v>19.1273539319129</v>
      </c>
      <c r="K5887" s="6" t="n">
        <f aca="false">Sens!K5867</f>
        <v>19.5099010105511</v>
      </c>
    </row>
    <row r="5888" customFormat="false" ht="15" hidden="false" customHeight="false" outlineLevel="0" collapsed="false">
      <c r="A5888" s="0" t="s">
        <v>794</v>
      </c>
      <c r="B5888" s="0" t="s">
        <v>95</v>
      </c>
      <c r="D5888" s="6" t="n">
        <f aca="false">Sens!D5869</f>
        <v>17.315</v>
      </c>
      <c r="E5888" s="6" t="n">
        <f aca="false">Sens!E5869</f>
        <v>17.087</v>
      </c>
      <c r="F5888" s="6" t="n">
        <f aca="false">Sens!F5869</f>
        <v>16.9564585436519</v>
      </c>
      <c r="G5888" s="6" t="n">
        <f aca="false">Sens!G5869</f>
        <v>16.9206490624268</v>
      </c>
      <c r="H5888" s="6" t="n">
        <f aca="false">Sens!H5869</f>
        <v>16.9784519149849</v>
      </c>
      <c r="I5888" s="6" t="n">
        <f aca="false">Sens!I5869</f>
        <v>17.1303084701817</v>
      </c>
      <c r="J5888" s="6" t="n">
        <f aca="false">Sens!J5869</f>
        <v>17.3782189407267</v>
      </c>
      <c r="K5888" s="6" t="n">
        <f aca="false">Sens!K5869</f>
        <v>17.7257833195413</v>
      </c>
    </row>
    <row r="5889" customFormat="false" ht="15" hidden="false" customHeight="false" outlineLevel="0" collapsed="false">
      <c r="A5889" s="0" t="s">
        <v>640</v>
      </c>
      <c r="B5889" s="0" t="s">
        <v>95</v>
      </c>
      <c r="D5889" s="6" t="n">
        <f aca="false">Sens!D5871</f>
        <v>62.941</v>
      </c>
      <c r="E5889" s="6" t="n">
        <f aca="false">Sens!E5871</f>
        <v>63.712</v>
      </c>
      <c r="F5889" s="6" t="n">
        <f aca="false">Sens!F5871</f>
        <v>65.1415764563129</v>
      </c>
      <c r="G5889" s="6" t="n">
        <f aca="false">Sens!G5871</f>
        <v>67.1253610780702</v>
      </c>
      <c r="H5889" s="6" t="n">
        <f aca="false">Sens!H5871</f>
        <v>69.5768050148776</v>
      </c>
      <c r="I5889" s="6" t="n">
        <f aca="false">Sens!I5871</f>
        <v>72.4233188088189</v>
      </c>
      <c r="J5889" s="6" t="n">
        <f aca="false">Sens!J5871</f>
        <v>75.6044096678567</v>
      </c>
      <c r="K5889" s="6" t="n">
        <f aca="false">Sens!K5871</f>
        <v>79.0714397009747</v>
      </c>
    </row>
    <row r="5890" customFormat="false" ht="15" hidden="false" customHeight="false" outlineLevel="0" collapsed="false">
      <c r="A5890" s="1" t="s">
        <v>810</v>
      </c>
      <c r="B5890" s="0" t="s">
        <v>95</v>
      </c>
      <c r="D5890" s="6" t="n">
        <f aca="false">Sens!D5872</f>
        <v>281.724</v>
      </c>
      <c r="E5890" s="6" t="n">
        <f aca="false">Sens!E5872</f>
        <v>331.839</v>
      </c>
      <c r="F5890" s="6" t="n">
        <f aca="false">Sens!F5872</f>
        <v>407.275517363364</v>
      </c>
      <c r="G5890" s="6" t="n">
        <f aca="false">Sens!G5872</f>
        <v>496.116031959962</v>
      </c>
      <c r="H5890" s="6" t="n">
        <f aca="false">Sens!H5872</f>
        <v>591.523080296262</v>
      </c>
      <c r="I5890" s="6" t="n">
        <f aca="false">Sens!I5872</f>
        <v>678.007765753239</v>
      </c>
      <c r="J5890" s="6" t="n">
        <f aca="false">Sens!J5872</f>
        <v>760.060080578079</v>
      </c>
      <c r="K5890" s="6" t="n">
        <f aca="false">Sens!K5872</f>
        <v>838.928744576972</v>
      </c>
    </row>
    <row r="5891" customFormat="false" ht="15" hidden="false" customHeight="false" outlineLevel="0" collapsed="false">
      <c r="A5891" s="1" t="s">
        <v>811</v>
      </c>
      <c r="B5891" s="0" t="s">
        <v>126</v>
      </c>
      <c r="E5891" s="7" t="n">
        <f aca="false">Sens!E5890/Sens!D5890-1</f>
        <v>0.177886867998467</v>
      </c>
      <c r="F5891" s="7" t="n">
        <f aca="false">Sens!F5890/Sens!E5890-1</f>
        <v>0.22732866650202</v>
      </c>
      <c r="G5891" s="7" t="n">
        <f aca="false">Sens!G5890/Sens!F5890-1</f>
        <v>0.218133697728107</v>
      </c>
      <c r="H5891" s="7" t="n">
        <f aca="false">Sens!H5890/Sens!G5890-1</f>
        <v>0.192307932399169</v>
      </c>
      <c r="I5891" s="7" t="n">
        <f aca="false">Sens!I5890/Sens!H5890-1</f>
        <v>0.146206780999418</v>
      </c>
      <c r="J5891" s="7" t="n">
        <f aca="false">Sens!J5890/Sens!I5890-1</f>
        <v>0.121019727161507</v>
      </c>
      <c r="K5891" s="7" t="n">
        <f aca="false">Sens!K5890/Sens!J5890-1</f>
        <v>0.103766354810935</v>
      </c>
    </row>
    <row r="5892" customFormat="false" ht="17.15" hidden="false" customHeight="false" outlineLevel="0" collapsed="false">
      <c r="A5892" s="22" t="s">
        <v>812</v>
      </c>
      <c r="B5892" s="28" t="s">
        <v>95</v>
      </c>
      <c r="C5892" s="28"/>
      <c r="D5892" s="23" t="n">
        <f aca="false">(Sens!D5885+Sens!D5889-Sens!D5890)+(Sens!D5877+Sens!D5878-Sens!D5876)+(Sens!D5880+Sens!D5881-Sens!D5879)+(Sens!D5890-Q!L18)</f>
        <v>0</v>
      </c>
      <c r="E5892" s="23" t="n">
        <f aca="false">(Sens!E5885+Sens!E5889-Sens!E5890)+(Sens!E5877+Sens!E5878-Sens!E5876)+(Sens!E5880+Sens!E5881-Sens!E5879)+(Sens!E5890-Q!M18)</f>
        <v>0</v>
      </c>
      <c r="F5892" s="23" t="n">
        <f aca="false">(Sens!F5885+Sens!F5889-Sens!F5890)+(Sens!F5877+Sens!F5878-Sens!F5876)+(Sens!F5880+Sens!F5881-Sens!F5879)</f>
        <v>0</v>
      </c>
      <c r="G5892" s="23" t="n">
        <f aca="false">(Sens!G5885+Sens!G5889-Sens!G5890)+(Sens!G5877+Sens!G5878-Sens!G5876)+(Sens!G5880+Sens!G5881-Sens!G5879)</f>
        <v>0</v>
      </c>
      <c r="H5892" s="23" t="n">
        <f aca="false">(Sens!H5885+Sens!H5889-Sens!H5890)+(Sens!H5877+Sens!H5878-Sens!H5876)+(Sens!H5880+Sens!H5881-Sens!H5879)</f>
        <v>0</v>
      </c>
      <c r="I5892" s="23" t="n">
        <f aca="false">(Sens!I5885+Sens!I5889-Sens!I5890)+(Sens!I5877+Sens!I5878-Sens!I5876)+(Sens!I5880+Sens!I5881-Sens!I5879)</f>
        <v>0</v>
      </c>
      <c r="J5892" s="23" t="n">
        <f aca="false">(Sens!J5885+Sens!J5889-Sens!J5890)+(Sens!J5877+Sens!J5878-Sens!J5876)+(Sens!J5880+Sens!J5881-Sens!J5879)</f>
        <v>0</v>
      </c>
      <c r="K5892" s="23" t="n">
        <f aca="false">(Sens!K5885+Sens!K5889-Sens!K5890)+(Sens!K5877+Sens!K5878-Sens!K5876)+(Sens!K5880+Sens!K5881-Sens!K5879)</f>
        <v>0</v>
      </c>
    </row>
    <row r="5893" customFormat="false" ht="17.15" hidden="false" customHeight="false" outlineLevel="0" collapsed="false">
      <c r="A5893" s="0" t="s">
        <v>813</v>
      </c>
      <c r="B5893" s="0" t="s">
        <v>126</v>
      </c>
      <c r="E5893" s="7" t="n">
        <f aca="false">(Q!M21+Sens!E5830+Sens!E5831+Sens!E5832+Sens!E5845-Sens!E5828)/(Q!M5-Sens!E5828)</f>
        <v>0.570957350878296</v>
      </c>
      <c r="F5893" s="7" t="n">
        <f aca="false">Sens!$E$5893+dm_seg</f>
        <v>0.570957350878296</v>
      </c>
      <c r="G5893" s="7" t="n">
        <f aca="false">Sens!$E$5893+dm_seg</f>
        <v>0.570957350878296</v>
      </c>
      <c r="H5893" s="7" t="n">
        <f aca="false">Sens!$E$5893+dm_seg</f>
        <v>0.570957350878296</v>
      </c>
      <c r="I5893" s="7" t="n">
        <f aca="false">Sens!$E$5893+dm_seg</f>
        <v>0.570957350878296</v>
      </c>
      <c r="J5893" s="7" t="n">
        <f aca="false">Sens!$E$5893+dm_seg</f>
        <v>0.570957350878296</v>
      </c>
      <c r="K5893" s="7" t="n">
        <f aca="false">Sens!$E$5893+dm_seg</f>
        <v>0.570957350878296</v>
      </c>
      <c r="L5893" s="11" t="s">
        <v>814</v>
      </c>
    </row>
    <row r="5894" customFormat="false" ht="17.15" hidden="false" customHeight="false" outlineLevel="0" collapsed="false">
      <c r="A5894" s="0" t="s">
        <v>654</v>
      </c>
      <c r="B5894" s="0" t="s">
        <v>95</v>
      </c>
      <c r="D5894" s="6" t="n">
        <f aca="false">Q!L21</f>
        <v>110.814</v>
      </c>
      <c r="E5894" s="6" t="n">
        <f aca="false">Q!M21</f>
        <v>136.365</v>
      </c>
      <c r="F5894" s="6" t="n">
        <f aca="false">Sens!F5893*(Sens!F5864-Sens!F5828)+Sens!F5828-(Sens!F5830+Sens!F5831+Sens!F5832)-Sens!F5845</f>
        <v>163.699569449678</v>
      </c>
      <c r="G5894" s="6" t="n">
        <f aca="false">Sens!G5893*(Sens!G5864-Sens!G5828)+Sens!G5828-(Sens!G5830+Sens!G5831+Sens!G5832)-Sens!G5845</f>
        <v>194.30788834665</v>
      </c>
      <c r="H5894" s="6" t="n">
        <f aca="false">Sens!H5893*(Sens!H5864-Sens!H5828)+Sens!H5828-(Sens!H5830+Sens!H5831+Sens!H5832)-Sens!H5845</f>
        <v>229.721745308106</v>
      </c>
      <c r="I5894" s="6" t="n">
        <f aca="false">Sens!I5893*(Sens!I5864-Sens!I5828)+Sens!I5828-(Sens!I5830+Sens!I5831+Sens!I5832)-Sens!I5845</f>
        <v>256.293182632923</v>
      </c>
      <c r="J5894" s="6" t="n">
        <f aca="false">Sens!J5893*(Sens!J5864-Sens!J5828)+Sens!J5828-(Sens!J5830+Sens!J5831+Sens!J5832)-Sens!J5845</f>
        <v>279.198634203591</v>
      </c>
      <c r="K5894" s="6" t="n">
        <f aca="false">Sens!K5893*(Sens!K5864-Sens!K5828)+Sens!K5828-(Sens!K5830+Sens!K5831+Sens!K5832)-Sens!K5845</f>
        <v>298.852001949368</v>
      </c>
      <c r="L5894" s="1" t="s">
        <v>815</v>
      </c>
    </row>
    <row r="5895" customFormat="false" ht="17.15" hidden="false" customHeight="false" outlineLevel="0" collapsed="false">
      <c r="A5895" s="0" t="s">
        <v>816</v>
      </c>
      <c r="B5895" s="0" t="s">
        <v>126</v>
      </c>
      <c r="E5895" s="7" t="n">
        <f aca="false">Q!M22/Q!M12</f>
        <v>0.296207935710698</v>
      </c>
      <c r="F5895" s="7" t="n">
        <f aca="false">Sens!$E$5895+dm_seg</f>
        <v>0.296207935710698</v>
      </c>
      <c r="G5895" s="7" t="n">
        <f aca="false">Sens!$E$5895+dm_seg</f>
        <v>0.296207935710698</v>
      </c>
      <c r="H5895" s="7" t="n">
        <f aca="false">Sens!$E$5895+dm_seg</f>
        <v>0.296207935710698</v>
      </c>
      <c r="I5895" s="7" t="n">
        <f aca="false">Sens!$E$5895+dm_seg</f>
        <v>0.296207935710698</v>
      </c>
      <c r="J5895" s="7" t="n">
        <f aca="false">Sens!$E$5895+dm_seg</f>
        <v>0.296207935710698</v>
      </c>
      <c r="K5895" s="7" t="n">
        <f aca="false">Sens!$E$5895+dm_seg</f>
        <v>0.296207935710698</v>
      </c>
      <c r="L5895" s="11" t="s">
        <v>817</v>
      </c>
    </row>
    <row r="5896" customFormat="false" ht="17.15" hidden="false" customHeight="false" outlineLevel="0" collapsed="false">
      <c r="A5896" s="0" t="s">
        <v>656</v>
      </c>
      <c r="B5896" s="0" t="s">
        <v>95</v>
      </c>
      <c r="D5896" s="6" t="n">
        <f aca="false">Q!L22</f>
        <v>17.714</v>
      </c>
      <c r="E5896" s="6" t="n">
        <f aca="false">Q!M22</f>
        <v>18.872</v>
      </c>
      <c r="F5896" s="6" t="n">
        <f aca="false">Sens!F5871*Sens!F5895</f>
        <v>19.2954518910651</v>
      </c>
      <c r="G5896" s="6" t="n">
        <f aca="false">Sens!G5871*Sens!G5895</f>
        <v>19.8830646387704</v>
      </c>
      <c r="H5896" s="6" t="n">
        <f aca="false">Sens!H5871*Sens!H5895</f>
        <v>20.6092017868026</v>
      </c>
      <c r="I5896" s="6" t="n">
        <f aca="false">Sens!I5871*Sens!I5895</f>
        <v>21.452361761678</v>
      </c>
      <c r="J5896" s="6" t="n">
        <f aca="false">Sens!J5871*Sens!J5895</f>
        <v>22.3946261183418</v>
      </c>
      <c r="K5896" s="6" t="n">
        <f aca="false">Sens!K5871*Sens!K5895</f>
        <v>23.4215879274986</v>
      </c>
    </row>
    <row r="5897" customFormat="false" ht="15" hidden="false" customHeight="false" outlineLevel="0" collapsed="false">
      <c r="A5897" s="1" t="s">
        <v>818</v>
      </c>
      <c r="B5897" s="0" t="s">
        <v>95</v>
      </c>
      <c r="D5897" s="6" t="n">
        <f aca="false">Sens!D5894+Sens!D5896</f>
        <v>128.528</v>
      </c>
      <c r="E5897" s="6" t="n">
        <f aca="false">Sens!E5894+Sens!E5896</f>
        <v>155.237</v>
      </c>
      <c r="F5897" s="6" t="n">
        <f aca="false">Sens!F5894+Sens!F5896</f>
        <v>182.995021340743</v>
      </c>
      <c r="G5897" s="6" t="n">
        <f aca="false">Sens!G5894+Sens!G5896</f>
        <v>214.19095298542</v>
      </c>
      <c r="H5897" s="6" t="n">
        <f aca="false">Sens!H5894+Sens!H5896</f>
        <v>250.330947094909</v>
      </c>
      <c r="I5897" s="6" t="n">
        <f aca="false">Sens!I5894+Sens!I5896</f>
        <v>277.745544394601</v>
      </c>
      <c r="J5897" s="6" t="n">
        <f aca="false">Sens!J5894+Sens!J5896</f>
        <v>301.593260321933</v>
      </c>
      <c r="K5897" s="6" t="n">
        <f aca="false">Sens!K5894+Sens!K5896</f>
        <v>322.273589876867</v>
      </c>
    </row>
    <row r="5898" customFormat="false" ht="15" hidden="false" customHeight="false" outlineLevel="0" collapsed="false">
      <c r="A5898" s="22" t="s">
        <v>819</v>
      </c>
      <c r="B5898" s="28" t="s">
        <v>95</v>
      </c>
      <c r="C5898" s="28"/>
      <c r="D5898" s="23" t="n">
        <f aca="false">Sens!D5897-Q!L23</f>
        <v>0</v>
      </c>
      <c r="E5898" s="23" t="n">
        <f aca="false">Sens!E5897-Q!M23</f>
        <v>0</v>
      </c>
      <c r="F5898" s="28"/>
      <c r="G5898" s="28"/>
      <c r="H5898" s="28"/>
      <c r="I5898" s="28"/>
      <c r="J5898" s="28"/>
      <c r="K5898" s="28"/>
    </row>
    <row r="5899" customFormat="false" ht="15" hidden="false" customHeight="false" outlineLevel="0" collapsed="false">
      <c r="A5899" s="1" t="s">
        <v>820</v>
      </c>
      <c r="B5899" s="0" t="s">
        <v>126</v>
      </c>
      <c r="D5899" s="7" t="n">
        <f aca="false">Sens!D5897/Sens!D5890</f>
        <v>0.456219562408598</v>
      </c>
      <c r="E5899" s="7" t="n">
        <f aca="false">Sens!E5897/Sens!E5890</f>
        <v>0.467808184089272</v>
      </c>
      <c r="F5899" s="7" t="n">
        <f aca="false">Sens!F5897/Sens!F5890</f>
        <v>0.449315054647585</v>
      </c>
      <c r="G5899" s="7" t="n">
        <f aca="false">Sens!G5897/Sens!G5890</f>
        <v>0.431735600519167</v>
      </c>
      <c r="H5899" s="7" t="n">
        <f aca="false">Sens!H5897/Sens!H5890</f>
        <v>0.4231972604848</v>
      </c>
      <c r="I5899" s="7" t="n">
        <f aca="false">Sens!I5897/Sens!I5890</f>
        <v>0.409649503182367</v>
      </c>
      <c r="J5899" s="7" t="n">
        <f aca="false">Sens!J5897/Sens!J5890</f>
        <v>0.396801868731943</v>
      </c>
      <c r="K5899" s="7" t="n">
        <f aca="false">Sens!K5897/Sens!K5890</f>
        <v>0.384148942279207</v>
      </c>
    </row>
    <row r="5900" customFormat="false" ht="17.15" hidden="false" customHeight="false" outlineLevel="0" collapsed="false">
      <c r="A5900" s="1" t="s">
        <v>821</v>
      </c>
      <c r="B5900" s="0" t="s">
        <v>95</v>
      </c>
      <c r="E5900" s="6" t="n">
        <f aca="false">Sens!E5845</f>
        <v>16.3054059770833</v>
      </c>
      <c r="F5900" s="6" t="n">
        <f aca="false">Sens!F5845</f>
        <v>34.7055354558698</v>
      </c>
      <c r="G5900" s="6" t="n">
        <f aca="false">Sens!G5845</f>
        <v>60.4367332603396</v>
      </c>
      <c r="H5900" s="6" t="n">
        <f aca="false">Sens!H5845</f>
        <v>87.6723159931396</v>
      </c>
      <c r="I5900" s="6" t="n">
        <f aca="false">Sens!I5845</f>
        <v>115.927181741123</v>
      </c>
      <c r="J5900" s="6" t="n">
        <f aca="false">Sens!J5845</f>
        <v>145.154277958273</v>
      </c>
      <c r="K5900" s="6" t="n">
        <f aca="false">Sens!K5845</f>
        <v>175.66892263459</v>
      </c>
    </row>
    <row r="5901" customFormat="false" ht="17.15" hidden="false" customHeight="false" outlineLevel="0" collapsed="false">
      <c r="A5901" s="1" t="s">
        <v>822</v>
      </c>
      <c r="B5901" s="0" t="s">
        <v>95</v>
      </c>
      <c r="E5901" s="6" t="n">
        <f aca="false">Sens!E5921</f>
        <v>22.2285940229167</v>
      </c>
      <c r="F5901" s="6" t="n">
        <f aca="false">Sens!F5921</f>
        <v>23.6056693435812</v>
      </c>
      <c r="G5901" s="6" t="n">
        <f aca="false">Sens!G5921</f>
        <v>25.450391766262</v>
      </c>
      <c r="H5901" s="6" t="n">
        <f aca="false">Sens!H5921</f>
        <v>27.7245039540448</v>
      </c>
      <c r="I5901" s="6" t="n">
        <f aca="false">Sens!I5921</f>
        <v>30.3458935898047</v>
      </c>
      <c r="J5901" s="6" t="n">
        <f aca="false">Sens!J5921</f>
        <v>33.2173955558616</v>
      </c>
      <c r="K5901" s="6" t="n">
        <f aca="false">Sens!K5921</f>
        <v>36.2545262744749</v>
      </c>
    </row>
    <row r="5902" customFormat="false" ht="17.15" hidden="false" customHeight="false" outlineLevel="0" collapsed="false">
      <c r="A5902" s="1" t="s">
        <v>823</v>
      </c>
      <c r="B5902" s="0" t="s">
        <v>95</v>
      </c>
      <c r="D5902" s="6" t="n">
        <f aca="false">Q!L27</f>
        <v>-4.901</v>
      </c>
      <c r="E5902" s="6" t="n">
        <f aca="false">Q!M27</f>
        <v>10.697</v>
      </c>
      <c r="F5902" s="6" t="n">
        <f aca="false">oie_f</f>
        <v>-0.4</v>
      </c>
      <c r="G5902" s="6" t="n">
        <f aca="false">oie_f</f>
        <v>-0.4</v>
      </c>
      <c r="H5902" s="6" t="n">
        <f aca="false">oie_f</f>
        <v>-0.4</v>
      </c>
      <c r="I5902" s="6" t="n">
        <f aca="false">oie_f</f>
        <v>-0.4</v>
      </c>
      <c r="J5902" s="6" t="n">
        <f aca="false">oie_f</f>
        <v>-0.4</v>
      </c>
      <c r="K5902" s="6" t="n">
        <f aca="false">oie_f</f>
        <v>-0.4</v>
      </c>
      <c r="L5902" s="11" t="s">
        <v>824</v>
      </c>
    </row>
    <row r="5903" customFormat="false" ht="15" hidden="false" customHeight="false" outlineLevel="0" collapsed="false">
      <c r="A5903" s="1" t="s">
        <v>666</v>
      </c>
      <c r="B5903" s="0" t="s">
        <v>95</v>
      </c>
      <c r="D5903" s="6" t="n">
        <f aca="false">Sens!D5897+Sens!D5902</f>
        <v>123.627</v>
      </c>
      <c r="E5903" s="6" t="n">
        <f aca="false">Sens!E5897+Sens!E5902</f>
        <v>165.934</v>
      </c>
      <c r="F5903" s="6" t="n">
        <f aca="false">Sens!F5897+Sens!F5902</f>
        <v>182.595021340743</v>
      </c>
      <c r="G5903" s="6" t="n">
        <f aca="false">Sens!G5897+Sens!G5902</f>
        <v>213.79095298542</v>
      </c>
      <c r="H5903" s="6" t="n">
        <f aca="false">Sens!H5897+Sens!H5902</f>
        <v>249.930947094909</v>
      </c>
      <c r="I5903" s="6" t="n">
        <f aca="false">Sens!I5897+Sens!I5902</f>
        <v>277.345544394601</v>
      </c>
      <c r="J5903" s="6" t="n">
        <f aca="false">Sens!J5897+Sens!J5902</f>
        <v>301.193260321933</v>
      </c>
      <c r="K5903" s="6" t="n">
        <f aca="false">Sens!K5897+Sens!K5902</f>
        <v>321.873589876867</v>
      </c>
    </row>
    <row r="5904" customFormat="false" ht="15" hidden="false" customHeight="false" outlineLevel="0" collapsed="false">
      <c r="A5904" s="1" t="s">
        <v>668</v>
      </c>
      <c r="B5904" s="0" t="s">
        <v>95</v>
      </c>
      <c r="D5904" s="6" t="n">
        <f aca="false">Q!L29</f>
        <v>21.795</v>
      </c>
      <c r="E5904" s="6" t="n">
        <f aca="false">Q!M29</f>
        <v>32.185</v>
      </c>
      <c r="F5904" s="6" t="n">
        <f aca="false">Sens!F5903*tax_f</f>
        <v>36.5190042681486</v>
      </c>
      <c r="G5904" s="6" t="n">
        <f aca="false">Sens!G5903*tax_f</f>
        <v>42.7581905970841</v>
      </c>
      <c r="H5904" s="6" t="n">
        <f aca="false">Sens!H5903*tax_f</f>
        <v>49.9861894189818</v>
      </c>
      <c r="I5904" s="6" t="n">
        <f aca="false">Sens!I5903*tax_f</f>
        <v>55.4691088789202</v>
      </c>
      <c r="J5904" s="6" t="n">
        <f aca="false">Sens!J5903*tax_f</f>
        <v>60.2386520643865</v>
      </c>
      <c r="K5904" s="6" t="n">
        <f aca="false">Sens!K5903*tax_f</f>
        <v>64.3747179753733</v>
      </c>
    </row>
    <row r="5905" customFormat="false" ht="15" hidden="false" customHeight="false" outlineLevel="0" collapsed="false">
      <c r="A5905" s="1" t="s">
        <v>825</v>
      </c>
      <c r="B5905" s="0" t="s">
        <v>95</v>
      </c>
      <c r="D5905" s="6" t="n">
        <f aca="false">Sens!D5903-Sens!D5904</f>
        <v>101.832</v>
      </c>
      <c r="E5905" s="6" t="n">
        <f aca="false">Sens!E5903-Sens!E5904</f>
        <v>133.749</v>
      </c>
      <c r="F5905" s="6" t="n">
        <f aca="false">Sens!F5903-Sens!F5904</f>
        <v>146.076017072594</v>
      </c>
      <c r="G5905" s="6" t="n">
        <f aca="false">Sens!G5903-Sens!G5904</f>
        <v>171.032762388336</v>
      </c>
      <c r="H5905" s="6" t="n">
        <f aca="false">Sens!H5903-Sens!H5904</f>
        <v>199.944757675927</v>
      </c>
      <c r="I5905" s="6" t="n">
        <f aca="false">Sens!I5903-Sens!I5904</f>
        <v>221.876435515681</v>
      </c>
      <c r="J5905" s="6" t="n">
        <f aca="false">Sens!J5903-Sens!J5904</f>
        <v>240.954608257546</v>
      </c>
      <c r="K5905" s="6" t="n">
        <f aca="false">Sens!K5903-Sens!K5904</f>
        <v>257.498871901493</v>
      </c>
    </row>
    <row r="5906" customFormat="false" ht="17.15" hidden="false" customHeight="false" outlineLevel="0" collapsed="false">
      <c r="A5906" s="1" t="s">
        <v>826</v>
      </c>
      <c r="B5906" s="1" t="s">
        <v>79</v>
      </c>
      <c r="D5906" s="18" t="n">
        <f aca="false">Q!L31</f>
        <v>7.465</v>
      </c>
      <c r="E5906" s="18" t="n">
        <f aca="false">Q!M31</f>
        <v>7.453</v>
      </c>
      <c r="F5906" s="18" t="n">
        <f aca="false">Sens!F5943</f>
        <v>7.4735</v>
      </c>
      <c r="G5906" s="18" t="n">
        <f aca="false">Sens!G5943</f>
        <v>7.50654942758272</v>
      </c>
      <c r="H5906" s="18" t="n">
        <f aca="false">Sens!H5943</f>
        <v>7.52235044101539</v>
      </c>
      <c r="I5906" s="18" t="n">
        <f aca="false">Sens!I5943</f>
        <v>7.53413127302271</v>
      </c>
      <c r="J5906" s="18" t="n">
        <f aca="false">Sens!J5943</f>
        <v>7.54837278414059</v>
      </c>
      <c r="K5906" s="18" t="n">
        <f aca="false">Sens!K5943</f>
        <v>7.56489270184233</v>
      </c>
    </row>
    <row r="5907" customFormat="false" ht="17.15" hidden="false" customHeight="false" outlineLevel="0" collapsed="false">
      <c r="A5907" s="0" t="s">
        <v>827</v>
      </c>
      <c r="B5907" s="0" t="s">
        <v>73</v>
      </c>
      <c r="D5907" s="8" t="n">
        <f aca="false">Sens!D5905/Sens!D5906</f>
        <v>13.641259209645</v>
      </c>
      <c r="E5907" s="8" t="n">
        <f aca="false">Sens!E5905/Sens!E5906</f>
        <v>17.9456594659869</v>
      </c>
      <c r="F5907" s="8" t="n">
        <f aca="false">Sens!F5905/Sens!F5906</f>
        <v>19.545864330313</v>
      </c>
      <c r="G5907" s="8" t="n">
        <f aca="false">Sens!G5905/Sens!G5906</f>
        <v>22.7844716188611</v>
      </c>
      <c r="H5907" s="8" t="n">
        <f aca="false">Sens!H5905/Sens!H5906</f>
        <v>26.580090789939</v>
      </c>
      <c r="I5907" s="8" t="n">
        <f aca="false">Sens!I5905/Sens!I5906</f>
        <v>29.4495048566713</v>
      </c>
      <c r="J5907" s="8" t="n">
        <f aca="false">Sens!J5905/Sens!J5906</f>
        <v>31.9213975181248</v>
      </c>
      <c r="K5907" s="8" t="n">
        <f aca="false">Sens!K5905/Sens!K5906</f>
        <v>34.038668101503</v>
      </c>
      <c r="L5907" s="1" t="s">
        <v>828</v>
      </c>
    </row>
    <row r="5908" customFormat="false" ht="17.15" hidden="false" customHeight="false" outlineLevel="0" collapsed="false">
      <c r="A5908" s="0" t="s">
        <v>829</v>
      </c>
      <c r="B5908" s="0" t="s">
        <v>126</v>
      </c>
      <c r="E5908" s="7" t="n">
        <f aca="false">Sens!E5907/Sens!D5907-1</f>
        <v>0.315542736208578</v>
      </c>
      <c r="F5908" s="7" t="n">
        <f aca="false">Sens!F5907/Sens!E5907-1</f>
        <v>0.0891694655946815</v>
      </c>
      <c r="G5908" s="7" t="n">
        <f aca="false">Sens!G5907/Sens!F5907-1</f>
        <v>0.165692712986112</v>
      </c>
      <c r="H5908" s="7" t="n">
        <f aca="false">Sens!H5907/Sens!G5907-1</f>
        <v>0.166587983016289</v>
      </c>
      <c r="I5908" s="7" t="n">
        <f aca="false">Sens!I5907/Sens!H5907-1</f>
        <v>0.107953508865302</v>
      </c>
      <c r="J5908" s="7" t="n">
        <f aca="false">Sens!J5907/Sens!I5907-1</f>
        <v>0.083936645912523</v>
      </c>
      <c r="K5908" s="7" t="n">
        <f aca="false">Sens!K5907/Sens!J5907-1</f>
        <v>0.0663276281113949</v>
      </c>
    </row>
    <row r="5909" customFormat="false" ht="17.15" hidden="false" customHeight="false" outlineLevel="0" collapsed="false">
      <c r="A5909" s="0" t="s">
        <v>763</v>
      </c>
      <c r="B5909" s="0" t="s">
        <v>95</v>
      </c>
      <c r="E5909" s="6" t="n">
        <f aca="false">Sens!E5854</f>
        <v>5.25</v>
      </c>
      <c r="F5909" s="6" t="n">
        <f aca="false">Sens!F5854</f>
        <v>16.2</v>
      </c>
      <c r="G5909" s="6" t="n">
        <f aca="false">Sens!G5854</f>
        <v>27</v>
      </c>
      <c r="H5909" s="6" t="n">
        <f aca="false">Sens!H5854</f>
        <v>37.8</v>
      </c>
      <c r="I5909" s="6" t="n">
        <f aca="false">Sens!I5854</f>
        <v>45.9</v>
      </c>
      <c r="J5909" s="6" t="n">
        <f aca="false">Sens!J5854</f>
        <v>51.3</v>
      </c>
      <c r="K5909" s="6" t="n">
        <f aca="false">Sens!K5854</f>
        <v>56.7</v>
      </c>
    </row>
    <row r="5910" customFormat="false" ht="17.15" hidden="false" customHeight="false" outlineLevel="0" collapsed="false">
      <c r="A5910" s="0" t="s">
        <v>764</v>
      </c>
      <c r="B5910" s="0" t="s">
        <v>95</v>
      </c>
      <c r="E5910" s="6" t="n">
        <f aca="false">Sens!E5834+Sens!E5909*Sens!E5893-Sens!E5835-Sens!E5845</f>
        <v>2.1514866143068</v>
      </c>
      <c r="F5910" s="6" t="n">
        <f aca="false">Sens!F5834+Sens!F5909*Sens!F5893-Sens!F5835-Sens!F5845</f>
        <v>11.1388964825859</v>
      </c>
      <c r="G5910" s="6" t="n">
        <f aca="false">Sens!G5834+Sens!G5909*Sens!G5893-Sens!G5835-Sens!G5845</f>
        <v>22.6657864191145</v>
      </c>
      <c r="H5910" s="6" t="n">
        <f aca="false">Sens!H5834+Sens!H5909*Sens!H5893-Sens!H5835-Sens!H5845</f>
        <v>38.8160656292689</v>
      </c>
      <c r="I5910" s="6" t="n">
        <f aca="false">Sens!I5834+Sens!I5909*Sens!I5893-Sens!I5835-Sens!I5845</f>
        <v>46.611917558744</v>
      </c>
      <c r="J5910" s="6" t="n">
        <f aca="false">Sens!J5834+Sens!J5909*Sens!J5893-Sens!J5835-Sens!J5845</f>
        <v>51.980581355053</v>
      </c>
      <c r="K5910" s="6" t="n">
        <f aca="false">Sens!K5834+Sens!K5909*Sens!K5893-Sens!K5835-Sens!K5845</f>
        <v>56.1126552979462</v>
      </c>
    </row>
    <row r="5911" customFormat="false" ht="17.15" hidden="false" customHeight="false" outlineLevel="0" collapsed="false">
      <c r="A5911" s="0" t="s">
        <v>765</v>
      </c>
      <c r="B5911" s="0" t="s">
        <v>95</v>
      </c>
      <c r="E5911" s="6" t="n">
        <f aca="false">Sens!E5817*(cxit_open+self_build*tk_cxfac)/1000*ai_net_open</f>
        <v>126.6980382</v>
      </c>
      <c r="F5911" s="6" t="n">
        <f aca="false">Sens!E5911+Sens!F5842-Sens!F5845</f>
        <v>260.193155514568</v>
      </c>
      <c r="G5911" s="6" t="n">
        <f aca="false">Sens!F5911+Sens!G5842-Sens!G5845</f>
        <v>383.330602737428</v>
      </c>
      <c r="H5911" s="6" t="n">
        <f aca="false">Sens!G5911+Sens!H5842-Sens!H5845</f>
        <v>483.738572654689</v>
      </c>
      <c r="I5911" s="6" t="n">
        <f aca="false">Sens!H5911+Sens!I5842-Sens!I5845</f>
        <v>586.150352170632</v>
      </c>
      <c r="J5911" s="6" t="n">
        <f aca="false">Sens!I5911+Sens!J5842-Sens!J5845</f>
        <v>674.773135136093</v>
      </c>
      <c r="K5911" s="6" t="n">
        <f aca="false">Sens!J5911+Sens!K5842-Sens!K5845</f>
        <v>777.960524451903</v>
      </c>
      <c r="L5911" s="1" t="s">
        <v>766</v>
      </c>
    </row>
    <row r="5912" customFormat="false" ht="17.15" hidden="false" customHeight="false" outlineLevel="0" collapsed="false">
      <c r="A5912" s="0" t="s">
        <v>767</v>
      </c>
      <c r="B5912" s="0" t="s">
        <v>126</v>
      </c>
      <c r="F5912" s="7" t="n">
        <f aca="false">Sens!F5910*(1-tax_f)/((Sens!E5911+Sens!F5911)/2)</f>
        <v>0.0460652365876438</v>
      </c>
      <c r="G5912" s="7" t="n">
        <f aca="false">Sens!G5910*(1-tax_f)/((Sens!F5911+Sens!G5911)/2)</f>
        <v>0.0563541870918497</v>
      </c>
      <c r="H5912" s="7" t="n">
        <f aca="false">Sens!H5910*(1-tax_f)/((Sens!G5911+Sens!H5911)/2)</f>
        <v>0.0716271628255543</v>
      </c>
      <c r="I5912" s="7" t="n">
        <f aca="false">Sens!I5910*(1-tax_f)/((Sens!H5911+Sens!I5911)/2)</f>
        <v>0.0697072998546712</v>
      </c>
      <c r="J5912" s="7" t="n">
        <f aca="false">Sens!J5910*(1-tax_f)/((Sens!I5911+Sens!J5911)/2)</f>
        <v>0.0659587445275763</v>
      </c>
      <c r="K5912" s="7" t="n">
        <f aca="false">Sens!K5910*(1-tax_f)/((Sens!J5911+Sens!K5911)/2)</f>
        <v>0.0618009005877761</v>
      </c>
    </row>
    <row r="5913" customFormat="false" ht="17.15" hidden="false" customHeight="false" outlineLevel="0" collapsed="false">
      <c r="A5913" s="1" t="s">
        <v>768</v>
      </c>
      <c r="B5913" s="0" t="s">
        <v>126</v>
      </c>
      <c r="F5913" s="7" t="n">
        <f aca="false">Sens!F5846*(1-tax_f)/(Sens!F5833*(Sens!E5911+Sens!F5911)/2)</f>
        <v>0.153735089648456</v>
      </c>
      <c r="G5913" s="7" t="n">
        <f aca="false">Sens!G5846*(1-tax_f)/(Sens!G5833*(Sens!F5911+Sens!G5911)/2)</f>
        <v>0.174908900699505</v>
      </c>
      <c r="H5913" s="7" t="n">
        <f aca="false">Sens!H5846*(1-tax_f)/(Sens!H5833*(Sens!G5911+Sens!H5911)/2)</f>
        <v>0.207799597641959</v>
      </c>
      <c r="I5913" s="7" t="n">
        <f aca="false">Sens!I5846*(1-tax_f)/(Sens!I5833*(Sens!H5911+Sens!I5911)/2)</f>
        <v>0.215674488363466</v>
      </c>
      <c r="J5913" s="7" t="n">
        <f aca="false">Sens!J5846*(1-tax_f)/(Sens!J5833*(Sens!I5911+Sens!J5911)/2)</f>
        <v>0.222068580066865</v>
      </c>
      <c r="K5913" s="7" t="n">
        <f aca="false">Sens!K5846*(1-tax_f)/(Sens!K5833*(Sens!J5911+Sens!K5911)/2)</f>
        <v>0.2253414787149</v>
      </c>
    </row>
    <row r="5914" customFormat="false" ht="17.15" hidden="false" customHeight="false" outlineLevel="0" collapsed="false">
      <c r="A5914" s="0" t="s">
        <v>769</v>
      </c>
      <c r="B5914" s="0" t="s">
        <v>208</v>
      </c>
      <c r="F5914" s="7" t="n">
        <f aca="false">Sens!F5912-wacc</f>
        <v>-0.0628979845626101</v>
      </c>
      <c r="G5914" s="7" t="n">
        <f aca="false">Sens!G5912-wacc</f>
        <v>-0.0526090340584042</v>
      </c>
      <c r="H5914" s="7" t="n">
        <f aca="false">Sens!H5912-wacc</f>
        <v>-0.0373360583246997</v>
      </c>
      <c r="I5914" s="7" t="n">
        <f aca="false">Sens!I5912-wacc</f>
        <v>-0.0392559212955828</v>
      </c>
      <c r="J5914" s="7" t="n">
        <f aca="false">Sens!J5912-wacc</f>
        <v>-0.0430044766226777</v>
      </c>
      <c r="K5914" s="7" t="n">
        <f aca="false">Sens!K5912-wacc</f>
        <v>-0.0471623205624779</v>
      </c>
    </row>
    <row r="5915" customFormat="false" ht="17.15" hidden="false" customHeight="false" outlineLevel="0" collapsed="false">
      <c r="A5915" s="0" t="s">
        <v>770</v>
      </c>
      <c r="B5915" s="0" t="s">
        <v>95</v>
      </c>
      <c r="F5915" s="6" t="n">
        <f aca="false">Sens!F5910*(1-tax_f)-wacc*(Sens!E5911+Sens!F5911)/2</f>
        <v>-12.1673381648343</v>
      </c>
      <c r="G5915" s="6" t="n">
        <f aca="false">Sens!G5910*(1-tax_f)-wacc*(Sens!F5911+Sens!G5911)/2</f>
        <v>-16.9275816576358</v>
      </c>
      <c r="H5915" s="6" t="n">
        <f aca="false">Sens!H5910*(1-tax_f)-wacc*(Sens!G5911+Sens!H5911)/2</f>
        <v>-16.1864726519947</v>
      </c>
      <c r="I5915" s="6" t="n">
        <f aca="false">Sens!I5910*(1-tax_f)-wacc*(Sens!H5911+Sens!I5911)/2</f>
        <v>-20.9997377139793</v>
      </c>
      <c r="J5915" s="6" t="n">
        <f aca="false">Sens!J5910*(1-tax_f)-wacc*(Sens!I5911+Sens!J5911)/2</f>
        <v>-27.1126773164336</v>
      </c>
      <c r="K5915" s="6" t="n">
        <f aca="false">Sens!K5910*(1-tax_f)-wacc*(Sens!J5911+Sens!K5911)/2</f>
        <v>-34.2571452726953</v>
      </c>
    </row>
    <row r="5916" customFormat="false" ht="17.15" hidden="false" customHeight="false" outlineLevel="0" collapsed="false">
      <c r="A5916" s="1" t="s">
        <v>771</v>
      </c>
      <c r="B5916" s="0" t="s">
        <v>95</v>
      </c>
      <c r="F5916" s="6" t="n">
        <f aca="false">(Sens!E5818+Sens!F5818)/2*Sens!F5825/1000</f>
        <v>26.7873066765967</v>
      </c>
      <c r="G5916" s="6" t="n">
        <f aca="false">(Sens!F5818+Sens!G5818)/2*Sens!G5825/1000</f>
        <v>45.4131817597218</v>
      </c>
      <c r="H5916" s="6" t="n">
        <f aca="false">(Sens!G5818+Sens!H5818)/2*Sens!H5825/1000</f>
        <v>65.3915129357971</v>
      </c>
      <c r="I5916" s="6" t="n">
        <f aca="false">(Sens!H5818+Sens!I5818)/2*Sens!I5825/1000</f>
        <v>85.5187419289299</v>
      </c>
      <c r="J5916" s="6" t="n">
        <f aca="false">(Sens!I5818+Sens!J5818)/2*Sens!J5825/1000</f>
        <v>105.723807195006</v>
      </c>
      <c r="K5916" s="6" t="n">
        <f aca="false">(Sens!J5818+Sens!K5818)/2*Sens!K5825/1000</f>
        <v>125.974659797015</v>
      </c>
      <c r="L5916" s="1" t="s">
        <v>772</v>
      </c>
    </row>
    <row r="5917" customFormat="false" ht="17.15" hidden="false" customHeight="false" outlineLevel="0" collapsed="false">
      <c r="A5917" s="1" t="s">
        <v>773</v>
      </c>
      <c r="B5917" s="0" t="s">
        <v>126</v>
      </c>
      <c r="F5917" s="7" t="n">
        <f aca="false">(Sens!F5834+Sens!F5916-Sens!F5835-Sens!F5845)*(1-tax_f)/((Sens!E5911+Sens!F5911)/2)</f>
        <v>0.118593318393742</v>
      </c>
      <c r="G5917" s="7" t="n">
        <f aca="false">(Sens!G5834+Sens!G5916-Sens!G5835-Sens!G5845)*(1-tax_f)/((Sens!F5911+Sens!G5911)/2)</f>
        <v>0.130936877539804</v>
      </c>
      <c r="H5917" s="7" t="n">
        <f aca="false">(Sens!H5834+Sens!H5916-Sens!H5835-Sens!H5845)*(1-tax_f)/((Sens!G5911+Sens!H5911)/2)</f>
        <v>0.152468371468979</v>
      </c>
      <c r="I5917" s="7" t="n">
        <f aca="false">(Sens!I5834+Sens!I5916-Sens!I5835-Sens!I5845)*(1-tax_f)/((Sens!H5911+Sens!I5911)/2)</f>
        <v>0.15840704899291</v>
      </c>
      <c r="J5917" s="7" t="n">
        <f aca="false">(Sens!J5834+Sens!J5916-Sens!J5835-Sens!J5845)*(1-tax_f)/((Sens!I5911+Sens!J5911)/2)</f>
        <v>0.16294632020763</v>
      </c>
      <c r="K5917" s="7" t="n">
        <f aca="false">(Sens!K5834+Sens!K5916-Sens!K5835-Sens!K5845)*(1-tax_f)/((Sens!J5911+Sens!K5911)/2)</f>
        <v>0.164890826132709</v>
      </c>
      <c r="L5917" s="1" t="s">
        <v>774</v>
      </c>
    </row>
    <row r="5918" customFormat="false" ht="17.15" hidden="false" customHeight="false" outlineLevel="0" collapsed="false">
      <c r="A5918" s="3" t="s">
        <v>1282</v>
      </c>
    </row>
    <row r="5919" customFormat="false" ht="15" hidden="false" customHeight="false" outlineLevel="0" collapsed="false">
      <c r="A5919" s="4" t="s">
        <v>43</v>
      </c>
      <c r="B5919" s="4" t="s">
        <v>63</v>
      </c>
      <c r="C5919" s="19" t="s">
        <v>710</v>
      </c>
      <c r="D5919" s="19" t="s">
        <v>711</v>
      </c>
      <c r="E5919" s="19" t="s">
        <v>712</v>
      </c>
      <c r="F5919" s="19" t="s">
        <v>713</v>
      </c>
      <c r="G5919" s="19" t="s">
        <v>714</v>
      </c>
      <c r="H5919" s="19" t="s">
        <v>715</v>
      </c>
      <c r="I5919" s="19" t="s">
        <v>716</v>
      </c>
      <c r="J5919" s="19" t="s">
        <v>717</v>
      </c>
      <c r="K5919" s="19" t="s">
        <v>718</v>
      </c>
      <c r="L5919" s="4" t="s">
        <v>47</v>
      </c>
    </row>
    <row r="5920" customFormat="false" ht="15" hidden="false" customHeight="false" outlineLevel="0" collapsed="false">
      <c r="A5920" s="1" t="s">
        <v>825</v>
      </c>
      <c r="B5920" s="0" t="s">
        <v>95</v>
      </c>
      <c r="F5920" s="6" t="n">
        <f aca="false">Sens!F5905</f>
        <v>146.076017072594</v>
      </c>
      <c r="G5920" s="6" t="n">
        <f aca="false">Sens!G5905</f>
        <v>171.032762388336</v>
      </c>
      <c r="H5920" s="6" t="n">
        <f aca="false">Sens!H5905</f>
        <v>199.944757675927</v>
      </c>
      <c r="I5920" s="6" t="n">
        <f aca="false">Sens!I5905</f>
        <v>221.876435515681</v>
      </c>
      <c r="J5920" s="6" t="n">
        <f aca="false">Sens!J5905</f>
        <v>240.954608257546</v>
      </c>
      <c r="K5920" s="6" t="n">
        <f aca="false">Sens!K5905</f>
        <v>257.498871901493</v>
      </c>
    </row>
    <row r="5921" customFormat="false" ht="17.15" hidden="false" customHeight="false" outlineLevel="0" collapsed="false">
      <c r="A5921" s="1" t="s">
        <v>843</v>
      </c>
      <c r="B5921" s="0" t="s">
        <v>95</v>
      </c>
      <c r="E5921" s="6" t="n">
        <f aca="false">Q!M38-Sens!E5845</f>
        <v>22.2285940229167</v>
      </c>
      <c r="F5921" s="6" t="n">
        <f aca="false">Sens!E5921*(1-1/life_nonai)+Sens!F5927/life_nonai</f>
        <v>23.6056693435812</v>
      </c>
      <c r="G5921" s="6" t="n">
        <f aca="false">Sens!F5921*(1-1/life_nonai)+Sens!G5927/life_nonai</f>
        <v>25.450391766262</v>
      </c>
      <c r="H5921" s="6" t="n">
        <f aca="false">Sens!G5921*(1-1/life_nonai)+Sens!H5927/life_nonai</f>
        <v>27.7245039540448</v>
      </c>
      <c r="I5921" s="6" t="n">
        <f aca="false">Sens!H5921*(1-1/life_nonai)+Sens!I5927/life_nonai</f>
        <v>30.3458935898047</v>
      </c>
      <c r="J5921" s="6" t="n">
        <f aca="false">Sens!I5921*(1-1/life_nonai)+Sens!J5927/life_nonai</f>
        <v>33.2173955558616</v>
      </c>
      <c r="K5921" s="6" t="n">
        <f aca="false">Sens!J5921*(1-1/life_nonai)+Sens!K5927/life_nonai</f>
        <v>36.2545262744749</v>
      </c>
      <c r="L5921" s="11" t="s">
        <v>844</v>
      </c>
    </row>
    <row r="5922" customFormat="false" ht="17.15" hidden="false" customHeight="false" outlineLevel="0" collapsed="false">
      <c r="A5922" s="1" t="s">
        <v>845</v>
      </c>
      <c r="B5922" s="0" t="s">
        <v>95</v>
      </c>
      <c r="E5922" s="6" t="n">
        <f aca="false">Sens!E5845+Sens!E5921</f>
        <v>38.534</v>
      </c>
      <c r="F5922" s="6" t="n">
        <f aca="false">Sens!F5845+Sens!F5921</f>
        <v>58.311204799451</v>
      </c>
      <c r="G5922" s="6" t="n">
        <f aca="false">Sens!G5845+Sens!G5921</f>
        <v>85.8871250266016</v>
      </c>
      <c r="H5922" s="6" t="n">
        <f aca="false">Sens!H5845+Sens!H5921</f>
        <v>115.396819947184</v>
      </c>
      <c r="I5922" s="6" t="n">
        <f aca="false">Sens!I5845+Sens!I5921</f>
        <v>146.273075330928</v>
      </c>
      <c r="J5922" s="6" t="n">
        <f aca="false">Sens!J5845+Sens!J5921</f>
        <v>178.371673514135</v>
      </c>
      <c r="K5922" s="6" t="n">
        <f aca="false">Sens!K5845+Sens!K5921</f>
        <v>211.923448909064</v>
      </c>
    </row>
    <row r="5923" customFormat="false" ht="15" hidden="false" customHeight="false" outlineLevel="0" collapsed="false">
      <c r="A5923" s="1" t="s">
        <v>685</v>
      </c>
      <c r="B5923" s="0" t="s">
        <v>95</v>
      </c>
      <c r="F5923" s="6" t="n">
        <f aca="false">Sens!F5872*sbc_r</f>
        <v>15.2250121079576</v>
      </c>
      <c r="G5923" s="6" t="n">
        <f aca="false">Sens!G5872*sbc_r</f>
        <v>18.5461002970215</v>
      </c>
      <c r="H5923" s="6" t="n">
        <f aca="false">Sens!H5872*sbc_r</f>
        <v>22.1126624992094</v>
      </c>
      <c r="I5923" s="6" t="n">
        <f aca="false">Sens!I5872*sbc_r</f>
        <v>25.3456837025453</v>
      </c>
      <c r="J5923" s="6" t="n">
        <f aca="false">Sens!J5872*sbc_r</f>
        <v>28.4130114289492</v>
      </c>
      <c r="K5923" s="6" t="n">
        <f aca="false">Sens!K5872*sbc_r</f>
        <v>31.3613260541327</v>
      </c>
    </row>
    <row r="5924" customFormat="false" ht="17.15" hidden="false" customHeight="false" outlineLevel="0" collapsed="false">
      <c r="A5924" s="1" t="s">
        <v>846</v>
      </c>
      <c r="B5924" s="0" t="s">
        <v>95</v>
      </c>
      <c r="F5924" s="6" t="n">
        <f aca="false">wc27</f>
        <v>-4.895</v>
      </c>
      <c r="G5924" s="6" t="n">
        <f aca="false">0</f>
        <v>0</v>
      </c>
      <c r="H5924" s="6" t="n">
        <f aca="false">0</f>
        <v>0</v>
      </c>
      <c r="I5924" s="6" t="n">
        <f aca="false">0</f>
        <v>0</v>
      </c>
      <c r="J5924" s="6" t="n">
        <f aca="false">0</f>
        <v>0</v>
      </c>
      <c r="K5924" s="6" t="n">
        <f aca="false">0</f>
        <v>0</v>
      </c>
      <c r="L5924" s="11" t="s">
        <v>847</v>
      </c>
    </row>
    <row r="5925" customFormat="false" ht="15" hidden="false" customHeight="false" outlineLevel="0" collapsed="false">
      <c r="A5925" s="1" t="s">
        <v>678</v>
      </c>
      <c r="B5925" s="0" t="s">
        <v>95</v>
      </c>
      <c r="E5925" s="6" t="n">
        <f aca="false">Q!M35</f>
        <v>182.935</v>
      </c>
      <c r="F5925" s="6" t="n">
        <f aca="false">Sens!F5920+Sens!F5922+Sens!F5923+Sens!F5924</f>
        <v>214.717233980003</v>
      </c>
      <c r="G5925" s="6" t="n">
        <f aca="false">Sens!G5920+Sens!G5922+Sens!G5923+Sens!G5924</f>
        <v>275.46598771196</v>
      </c>
      <c r="H5925" s="6" t="n">
        <f aca="false">Sens!H5920+Sens!H5922+Sens!H5923+Sens!H5924</f>
        <v>337.454240122321</v>
      </c>
      <c r="I5925" s="6" t="n">
        <f aca="false">Sens!I5920+Sens!I5922+Sens!I5923+Sens!I5924</f>
        <v>393.495194549154</v>
      </c>
      <c r="J5925" s="6" t="n">
        <f aca="false">Sens!J5920+Sens!J5922+Sens!J5923+Sens!J5924</f>
        <v>447.73929320063</v>
      </c>
      <c r="K5925" s="6" t="n">
        <f aca="false">Sens!K5920+Sens!K5922+Sens!K5923+Sens!K5924</f>
        <v>500.78364686469</v>
      </c>
    </row>
    <row r="5926" customFormat="false" ht="17.15" hidden="false" customHeight="false" outlineLevel="0" collapsed="false">
      <c r="A5926" s="0" t="s">
        <v>848</v>
      </c>
      <c r="B5926" s="0" t="s">
        <v>95</v>
      </c>
      <c r="F5926" s="6" t="n">
        <f aca="false">Sens!F5842</f>
        <v>168.200652770438</v>
      </c>
      <c r="G5926" s="6" t="n">
        <f aca="false">Sens!G5842</f>
        <v>183.5741804832</v>
      </c>
      <c r="H5926" s="6" t="n">
        <f aca="false">Sens!H5842</f>
        <v>188.0802859104</v>
      </c>
      <c r="I5926" s="6" t="n">
        <f aca="false">Sens!I5842</f>
        <v>218.338961257067</v>
      </c>
      <c r="J5926" s="6" t="n">
        <f aca="false">Sens!J5842</f>
        <v>233.777060923733</v>
      </c>
      <c r="K5926" s="6" t="n">
        <f aca="false">Sens!K5842</f>
        <v>278.8563119504</v>
      </c>
    </row>
    <row r="5927" customFormat="false" ht="17.15" hidden="false" customHeight="false" outlineLevel="0" collapsed="false">
      <c r="A5927" s="1" t="s">
        <v>849</v>
      </c>
      <c r="B5927" s="0" t="s">
        <v>95</v>
      </c>
      <c r="E5927" s="6" t="n">
        <f aca="false">Sens!E5850*cx_azo+Sens!E5857*cx_m365+Sens!E5858*cx_lic+(Sens!E5860+Sens!E5862)*cx_ind+Sens!E5865*cx_srch+(Sens!E5867+Sens!E5869)*cx_dev</f>
        <v>30.1846587067718</v>
      </c>
      <c r="F5927" s="6" t="n">
        <f aca="false">Sens!F5850*cx_azo+Sens!F5857*cx_m365+Sens!F5858*cx_lic+(Sens!F5860+Sens!F5862)*cx_ind+Sens!F5865*cx_srch+(Sens!F5867+Sens!F5869)*cx_dev</f>
        <v>35.9993472295625</v>
      </c>
      <c r="G5927" s="6" t="n">
        <f aca="false">Sens!G5850*cx_azo+Sens!G5857*cx_m365+Sens!G5858*cx_lic+(Sens!G5860+Sens!G5862)*cx_ind+Sens!G5865*cx_srch+(Sens!G5867+Sens!G5869)*cx_dev</f>
        <v>42.0528935703892</v>
      </c>
      <c r="H5927" s="6" t="n">
        <f aca="false">Sens!H5850*cx_azo+Sens!H5857*cx_m365+Sens!H5858*cx_lic+(Sens!H5860+Sens!H5862)*cx_ind+Sens!H5865*cx_srch+(Sens!H5867+Sens!H5869)*cx_dev</f>
        <v>48.1915136440897</v>
      </c>
      <c r="I5927" s="6" t="n">
        <f aca="false">Sens!I5850*cx_azo+Sens!I5857*cx_m365+Sens!I5858*cx_lic+(Sens!I5860+Sens!I5862)*cx_ind+Sens!I5865*cx_srch+(Sens!I5867+Sens!I5869)*cx_dev</f>
        <v>53.9384003116439</v>
      </c>
      <c r="J5927" s="6" t="n">
        <f aca="false">Sens!J5850*cx_azo+Sens!J5857*cx_m365+Sens!J5858*cx_lic+(Sens!J5860+Sens!J5862)*cx_ind+Sens!J5865*cx_srch+(Sens!J5867+Sens!J5869)*cx_dev</f>
        <v>59.0609132503738</v>
      </c>
      <c r="K5927" s="6" t="n">
        <f aca="false">Sens!K5850*cx_azo+Sens!K5857*cx_m365+Sens!K5858*cx_lic+(Sens!K5860+Sens!K5862)*cx_ind+Sens!K5865*cx_srch+(Sens!K5867+Sens!K5869)*cx_dev</f>
        <v>63.588702741994</v>
      </c>
    </row>
    <row r="5928" customFormat="false" ht="17.15" hidden="false" customHeight="false" outlineLevel="0" collapsed="false">
      <c r="A5928" s="1" t="s">
        <v>850</v>
      </c>
      <c r="B5928" s="0" t="s">
        <v>95</v>
      </c>
      <c r="E5928" s="6" t="n">
        <f aca="false">Q!M42</f>
        <v>145.3</v>
      </c>
      <c r="F5928" s="6" t="n">
        <f aca="false">Sens!F5926+Sens!F5927</f>
        <v>204.2</v>
      </c>
      <c r="G5928" s="6" t="n">
        <f aca="false">Sens!G5926+Sens!G5927</f>
        <v>225.627074053589</v>
      </c>
      <c r="H5928" s="6" t="n">
        <f aca="false">Sens!H5926+Sens!H5927</f>
        <v>236.27179955449</v>
      </c>
      <c r="I5928" s="6" t="n">
        <f aca="false">Sens!I5926+Sens!I5927</f>
        <v>272.277361568711</v>
      </c>
      <c r="J5928" s="6" t="n">
        <f aca="false">Sens!J5926+Sens!J5927</f>
        <v>292.837974174107</v>
      </c>
      <c r="K5928" s="6" t="n">
        <f aca="false">Sens!K5926+Sens!K5927</f>
        <v>342.445014692394</v>
      </c>
      <c r="L5928" s="1" t="s">
        <v>851</v>
      </c>
    </row>
    <row r="5929" customFormat="false" ht="15" hidden="false" customHeight="false" outlineLevel="0" collapsed="false">
      <c r="A5929" s="1" t="s">
        <v>852</v>
      </c>
      <c r="B5929" s="0" t="s">
        <v>95</v>
      </c>
      <c r="E5929" s="6" t="n">
        <f aca="false">fl_liab</f>
        <v>66.594</v>
      </c>
      <c r="F5929" s="6" t="n">
        <f aca="false">Sens!E5929-Sens!F5930</f>
        <v>62.46973</v>
      </c>
      <c r="G5929" s="6" t="n">
        <f aca="false">Sens!F5929-Sens!G5930</f>
        <v>57.98686785</v>
      </c>
      <c r="H5929" s="6" t="n">
        <f aca="false">Sens!G5929-Sens!H5930</f>
        <v>53.92827690325</v>
      </c>
      <c r="I5929" s="6" t="n">
        <f aca="false">Sens!H5929-Sens!I5930</f>
        <v>49.7850493638962</v>
      </c>
      <c r="J5929" s="6" t="n">
        <f aca="false">Sens!I5929-Sens!J5930</f>
        <v>45.4823765852716</v>
      </c>
      <c r="K5929" s="6" t="n">
        <f aca="false">Sens!J5929-Sens!K5930</f>
        <v>40.9860835316088</v>
      </c>
    </row>
    <row r="5930" customFormat="false" ht="15" hidden="false" customHeight="false" outlineLevel="0" collapsed="false">
      <c r="A5930" s="1" t="s">
        <v>853</v>
      </c>
      <c r="B5930" s="0" t="s">
        <v>95</v>
      </c>
      <c r="F5930" s="6" t="n">
        <f aca="false">fl_pay_27-Sens!E5929*fl_rate</f>
        <v>4.12427</v>
      </c>
      <c r="G5930" s="6" t="n">
        <f aca="false">fl_pay_28-Sens!F5929*fl_rate</f>
        <v>4.48286215</v>
      </c>
      <c r="H5930" s="6" t="n">
        <f aca="false">fl_pay_29-Sens!G5929*fl_rate</f>
        <v>4.05859094675</v>
      </c>
      <c r="I5930" s="6" t="n">
        <f aca="false">fl_pay_30-Sens!H5929*fl_rate</f>
        <v>4.14322753935375</v>
      </c>
      <c r="J5930" s="6" t="n">
        <f aca="false">fl_pay_31-Sens!I5929*fl_rate</f>
        <v>4.30267277862467</v>
      </c>
      <c r="K5930" s="6" t="n">
        <f aca="false">fl_pay_32-Sens!J5929*fl_rate</f>
        <v>4.49629305366278</v>
      </c>
    </row>
    <row r="5931" customFormat="false" ht="17.15" hidden="false" customHeight="false" outlineLevel="0" collapsed="false">
      <c r="A5931" s="1" t="s">
        <v>854</v>
      </c>
      <c r="B5931" s="0" t="s">
        <v>95</v>
      </c>
      <c r="E5931" s="6" t="n">
        <f aca="false">Q!M35-Q!M36-Q!M43</f>
        <v>63.886</v>
      </c>
      <c r="F5931" s="6" t="n">
        <f aca="false">Sens!F5925-Sens!F5928-Sens!F5930</f>
        <v>6.39296398000308</v>
      </c>
      <c r="G5931" s="6" t="n">
        <f aca="false">Sens!G5925-Sens!G5928-Sens!G5930</f>
        <v>45.3560515083703</v>
      </c>
      <c r="H5931" s="6" t="n">
        <f aca="false">Sens!H5925-Sens!H5928-Sens!H5930</f>
        <v>97.1238496210812</v>
      </c>
      <c r="I5931" s="6" t="n">
        <f aca="false">Sens!I5925-Sens!I5928-Sens!I5930</f>
        <v>117.074605441089</v>
      </c>
      <c r="J5931" s="6" t="n">
        <f aca="false">Sens!J5925-Sens!J5928-Sens!J5930</f>
        <v>150.598646247898</v>
      </c>
      <c r="K5931" s="6" t="n">
        <f aca="false">Sens!K5925-Sens!K5928-Sens!K5930</f>
        <v>153.842339118634</v>
      </c>
      <c r="L5931" s="11" t="s">
        <v>855</v>
      </c>
    </row>
    <row r="5932" customFormat="false" ht="15" hidden="false" customHeight="false" outlineLevel="0" collapsed="false">
      <c r="A5932" s="1" t="s">
        <v>856</v>
      </c>
      <c r="B5932" s="0" t="s">
        <v>73</v>
      </c>
      <c r="F5932" s="8" t="n">
        <f aca="false">dps_27</f>
        <v>3.85</v>
      </c>
      <c r="G5932" s="8" t="n">
        <f aca="false">Sens!F5932*(1+dps_g)</f>
        <v>4.158</v>
      </c>
      <c r="H5932" s="8" t="n">
        <f aca="false">Sens!G5932*(1+dps_g)</f>
        <v>4.49064</v>
      </c>
      <c r="I5932" s="8" t="n">
        <f aca="false">Sens!H5932*(1+dps_g)</f>
        <v>4.8498912</v>
      </c>
      <c r="J5932" s="8" t="n">
        <f aca="false">Sens!I5932*(1+dps_g)</f>
        <v>5.237882496</v>
      </c>
      <c r="K5932" s="8" t="n">
        <f aca="false">Sens!J5932*(1+dps_g)</f>
        <v>5.65691309568</v>
      </c>
    </row>
    <row r="5933" customFormat="false" ht="17.15" hidden="false" customHeight="false" outlineLevel="0" collapsed="false">
      <c r="A5933" s="1" t="s">
        <v>857</v>
      </c>
      <c r="B5933" s="0" t="s">
        <v>95</v>
      </c>
      <c r="E5933" s="6" t="n">
        <f aca="false">Q!M41</f>
        <v>26.445</v>
      </c>
      <c r="F5933" s="6" t="n">
        <f aca="false">Sens!F5932*Sens!E5942</f>
        <v>28.59395</v>
      </c>
      <c r="G5933" s="6" t="n">
        <f aca="false">Sens!G5932*Sens!F5942</f>
        <v>31.068576</v>
      </c>
      <c r="H5933" s="6" t="n">
        <f aca="false">Sens!H5932*Sens!G5942</f>
        <v>33.6488094429601</v>
      </c>
      <c r="I5933" s="6" t="n">
        <f aca="false">Sens!I5932*Sens!H5942</f>
        <v>36.3916534383964</v>
      </c>
      <c r="J5933" s="6" t="n">
        <f aca="false">Sens!J5932*Sens!I5942</f>
        <v>39.3713845617876</v>
      </c>
      <c r="K5933" s="6" t="n">
        <f aca="false">Sens!K5932*Sens!J5942</f>
        <v>42.6083505520356</v>
      </c>
      <c r="L5933" s="1" t="s">
        <v>858</v>
      </c>
    </row>
    <row r="5934" customFormat="false" ht="15" hidden="false" customHeight="false" outlineLevel="0" collapsed="false">
      <c r="A5934" s="1" t="s">
        <v>859</v>
      </c>
      <c r="B5934" s="0" t="s">
        <v>95</v>
      </c>
      <c r="E5934" s="6" t="n">
        <f aca="false">Sens!E5931-Sens!E5933</f>
        <v>37.441</v>
      </c>
      <c r="F5934" s="6" t="n">
        <f aca="false">Sens!F5931-Sens!F5933</f>
        <v>-22.2009860199969</v>
      </c>
      <c r="G5934" s="6" t="n">
        <f aca="false">Sens!G5931-Sens!G5933</f>
        <v>14.2874755083703</v>
      </c>
      <c r="H5934" s="6" t="n">
        <f aca="false">Sens!H5931-Sens!H5933</f>
        <v>63.4750401781211</v>
      </c>
      <c r="I5934" s="6" t="n">
        <f aca="false">Sens!I5931-Sens!I5933</f>
        <v>80.682952002693</v>
      </c>
      <c r="J5934" s="6" t="n">
        <f aca="false">Sens!J5931-Sens!J5933</f>
        <v>111.227261686111</v>
      </c>
      <c r="K5934" s="6" t="n">
        <f aca="false">Sens!K5931-Sens!K5933</f>
        <v>111.233988566598</v>
      </c>
    </row>
    <row r="5935" customFormat="false" ht="15" hidden="false" customHeight="false" outlineLevel="0" collapsed="false">
      <c r="A5935" s="1" t="s">
        <v>860</v>
      </c>
      <c r="B5935" s="0" t="s">
        <v>95</v>
      </c>
      <c r="F5935" s="6" t="n">
        <f aca="false">debt_mat_27</f>
        <v>9.25</v>
      </c>
      <c r="G5935" s="6" t="n">
        <f aca="false">debt_mat_28</f>
        <v>0</v>
      </c>
      <c r="H5935" s="6" t="n">
        <f aca="false">debt_mat_29</f>
        <v>2.001</v>
      </c>
      <c r="I5935" s="6" t="n">
        <f aca="false">debt_mat_30</f>
        <v>0</v>
      </c>
      <c r="J5935" s="6" t="n">
        <f aca="false">debt_mat_31</f>
        <v>0.5</v>
      </c>
      <c r="K5935" s="6" t="n">
        <f aca="false">debt_mat_32</f>
        <v>0</v>
      </c>
    </row>
    <row r="5936" customFormat="false" ht="15" hidden="false" customHeight="false" outlineLevel="0" collapsed="false">
      <c r="A5936" s="1" t="s">
        <v>861</v>
      </c>
      <c r="B5936" s="0" t="s">
        <v>95</v>
      </c>
      <c r="E5936" s="6" t="n">
        <f aca="false">Q!M40</f>
        <v>22.271</v>
      </c>
      <c r="F5936" s="6" t="n">
        <f aca="false">MAX(0,MIN(bb_target,Sens!E5938+Sens!F5934-Sens!F5935-min_cash))</f>
        <v>0</v>
      </c>
      <c r="G5936" s="6" t="n">
        <f aca="false">MAX(0,MIN(bb_target,Sens!F5938+Sens!G5934-Sens!G5935-min_cash))</f>
        <v>14.2874755083703</v>
      </c>
      <c r="H5936" s="6" t="n">
        <f aca="false">MAX(0,MIN(bb_target,Sens!G5938+Sens!H5934-Sens!H5935-min_cash))</f>
        <v>22.271</v>
      </c>
      <c r="I5936" s="6" t="n">
        <f aca="false">MAX(0,MIN(bb_target,Sens!H5938+Sens!I5934-Sens!I5935-min_cash))</f>
        <v>22.271</v>
      </c>
      <c r="J5936" s="6" t="n">
        <f aca="false">MAX(0,MIN(bb_target,Sens!I5938+Sens!J5934-Sens!J5935-min_cash))</f>
        <v>22.271</v>
      </c>
      <c r="K5936" s="6" t="n">
        <f aca="false">MAX(0,MIN(bb_target,Sens!J5938+Sens!K5934-Sens!K5935-min_cash))</f>
        <v>22.271</v>
      </c>
    </row>
    <row r="5937" customFormat="false" ht="15" hidden="false" customHeight="false" outlineLevel="0" collapsed="false">
      <c r="A5937" s="1" t="s">
        <v>862</v>
      </c>
      <c r="B5937" s="0" t="s">
        <v>95</v>
      </c>
      <c r="F5937" s="6" t="n">
        <f aca="false">MAX(0,min_cash-(Sens!E5938+Sens!F5934-Sens!F5935-Sens!F5936))</f>
        <v>4.60798601999692</v>
      </c>
      <c r="G5937" s="6" t="n">
        <f aca="false">MAX(0,min_cash-(Sens!F5938+Sens!G5934-Sens!G5935-Sens!G5936))</f>
        <v>0</v>
      </c>
      <c r="H5937" s="6" t="n">
        <f aca="false">MAX(0,min_cash-(Sens!G5938+Sens!H5934-Sens!H5935-Sens!H5936))</f>
        <v>0</v>
      </c>
      <c r="I5937" s="6" t="n">
        <f aca="false">MAX(0,min_cash-(Sens!H5938+Sens!I5934-Sens!I5935-Sens!I5936))</f>
        <v>0</v>
      </c>
      <c r="J5937" s="6" t="n">
        <f aca="false">MAX(0,min_cash-(Sens!I5938+Sens!J5934-Sens!J5935-Sens!J5936))</f>
        <v>0</v>
      </c>
      <c r="K5937" s="6" t="n">
        <f aca="false">MAX(0,min_cash-(Sens!J5938+Sens!K5934-Sens!K5935-Sens!K5936))</f>
        <v>0</v>
      </c>
    </row>
    <row r="5938" customFormat="false" ht="15" hidden="false" customHeight="false" outlineLevel="0" collapsed="false">
      <c r="A5938" s="1" t="s">
        <v>863</v>
      </c>
      <c r="B5938" s="0" t="s">
        <v>95</v>
      </c>
      <c r="E5938" s="6" t="n">
        <f aca="false">cash_open</f>
        <v>76.843</v>
      </c>
      <c r="F5938" s="6" t="n">
        <f aca="false">Sens!E5938+Sens!F5934-Sens!F5935-Sens!F5936+Sens!F5937</f>
        <v>50</v>
      </c>
      <c r="G5938" s="6" t="n">
        <f aca="false">Sens!F5938+Sens!G5934-Sens!G5935-Sens!G5936+Sens!G5937</f>
        <v>50</v>
      </c>
      <c r="H5938" s="6" t="n">
        <f aca="false">Sens!G5938+Sens!H5934-Sens!H5935-Sens!H5936+Sens!H5937</f>
        <v>89.2030401781211</v>
      </c>
      <c r="I5938" s="6" t="n">
        <f aca="false">Sens!H5938+Sens!I5934-Sens!I5935-Sens!I5936+Sens!I5937</f>
        <v>147.614992180814</v>
      </c>
      <c r="J5938" s="6" t="n">
        <f aca="false">Sens!I5938+Sens!J5934-Sens!J5935-Sens!J5936+Sens!J5937</f>
        <v>236.071253866925</v>
      </c>
      <c r="K5938" s="6" t="n">
        <f aca="false">Sens!J5938+Sens!K5934-Sens!K5935-Sens!K5936+Sens!K5937</f>
        <v>325.034242433523</v>
      </c>
    </row>
    <row r="5939" customFormat="false" ht="15" hidden="false" customHeight="false" outlineLevel="0" collapsed="false">
      <c r="A5939" s="1" t="s">
        <v>864</v>
      </c>
      <c r="B5939" s="0" t="s">
        <v>95</v>
      </c>
      <c r="E5939" s="6" t="n">
        <f aca="false">debt_face</f>
        <v>46.136</v>
      </c>
      <c r="F5939" s="6" t="n">
        <f aca="false">Sens!E5939-Sens!F5935+Sens!F5937</f>
        <v>41.4939860199969</v>
      </c>
      <c r="G5939" s="6" t="n">
        <f aca="false">Sens!F5939-Sens!G5935+Sens!G5937</f>
        <v>41.4939860199969</v>
      </c>
      <c r="H5939" s="6" t="n">
        <f aca="false">Sens!G5939-Sens!H5935+Sens!H5937</f>
        <v>39.4929860199969</v>
      </c>
      <c r="I5939" s="6" t="n">
        <f aca="false">Sens!H5939-Sens!I5935+Sens!I5937</f>
        <v>39.4929860199969</v>
      </c>
      <c r="J5939" s="6" t="n">
        <f aca="false">Sens!I5939-Sens!J5935+Sens!J5937</f>
        <v>38.9929860199969</v>
      </c>
      <c r="K5939" s="6" t="n">
        <f aca="false">Sens!J5939-Sens!K5935+Sens!K5937</f>
        <v>38.9929860199969</v>
      </c>
    </row>
    <row r="5940" customFormat="false" ht="15" hidden="false" customHeight="false" outlineLevel="0" collapsed="false">
      <c r="A5940" s="1" t="s">
        <v>865</v>
      </c>
      <c r="B5940" s="0" t="s">
        <v>95</v>
      </c>
      <c r="E5940" s="6" t="n">
        <f aca="false">Sens!E5938-Sens!E5939</f>
        <v>30.707</v>
      </c>
      <c r="F5940" s="6" t="n">
        <f aca="false">Sens!F5938-Sens!F5939</f>
        <v>8.50601398000308</v>
      </c>
      <c r="G5940" s="6" t="n">
        <f aca="false">Sens!G5938-Sens!G5939</f>
        <v>8.50601398000308</v>
      </c>
      <c r="H5940" s="6" t="n">
        <f aca="false">Sens!H5938-Sens!H5939</f>
        <v>49.7100541581242</v>
      </c>
      <c r="I5940" s="6" t="n">
        <f aca="false">Sens!I5938-Sens!I5939</f>
        <v>108.122006160817</v>
      </c>
      <c r="J5940" s="6" t="n">
        <f aca="false">Sens!J5938-Sens!J5939</f>
        <v>197.078267846928</v>
      </c>
      <c r="K5940" s="6" t="n">
        <f aca="false">Sens!K5938-Sens!K5939</f>
        <v>286.041256413526</v>
      </c>
    </row>
    <row r="5941" customFormat="false" ht="15" hidden="false" customHeight="false" outlineLevel="0" collapsed="false">
      <c r="A5941" s="1" t="s">
        <v>866</v>
      </c>
      <c r="B5941" s="0" t="s">
        <v>73</v>
      </c>
      <c r="F5941" s="27" t="n">
        <f aca="false">px*(1+bb_g)^(1-0.5)</f>
        <v>553.494156066711</v>
      </c>
      <c r="G5941" s="27" t="n">
        <f aca="false">px*(1+bb_g)^(2-0.5)</f>
        <v>597.773688552047</v>
      </c>
      <c r="H5941" s="27" t="n">
        <f aca="false">px*(1+bb_g)^(3-0.5)</f>
        <v>645.595583636211</v>
      </c>
      <c r="I5941" s="27" t="n">
        <f aca="false">px*(1+bb_g)^(4-0.5)</f>
        <v>697.243230327108</v>
      </c>
      <c r="J5941" s="27" t="n">
        <f aca="false">px*(1+bb_g)^(5-0.5)</f>
        <v>753.022688753277</v>
      </c>
      <c r="K5941" s="27" t="n">
        <f aca="false">px*(1+bb_g)^(6-0.5)</f>
        <v>813.264503853539</v>
      </c>
    </row>
    <row r="5942" customFormat="false" ht="15" hidden="false" customHeight="false" outlineLevel="0" collapsed="false">
      <c r="A5942" s="1" t="s">
        <v>867</v>
      </c>
      <c r="B5942" s="1" t="s">
        <v>79</v>
      </c>
      <c r="E5942" s="18" t="n">
        <f aca="false">sh_out26</f>
        <v>7.427</v>
      </c>
      <c r="F5942" s="18" t="n">
        <f aca="false">Sens!E5942+sh_iss-Sens!F5936/Sens!F5941</f>
        <v>7.472</v>
      </c>
      <c r="G5942" s="18" t="n">
        <f aca="false">Sens!F5942+sh_iss-Sens!G5936/Sens!G5941</f>
        <v>7.49309885516544</v>
      </c>
      <c r="H5942" s="18" t="n">
        <f aca="false">Sens!G5942+sh_iss-Sens!H5936/Sens!H5941</f>
        <v>7.50360202686534</v>
      </c>
      <c r="I5942" s="18" t="n">
        <f aca="false">Sens!H5942+sh_iss-Sens!I5936/Sens!I5941</f>
        <v>7.51666051918007</v>
      </c>
      <c r="J5942" s="18" t="n">
        <f aca="false">Sens!I5942+sh_iss-Sens!J5936/Sens!J5941</f>
        <v>7.53208504910111</v>
      </c>
      <c r="K5942" s="18" t="n">
        <f aca="false">Sens!J5942+sh_iss-Sens!K5936/Sens!K5941</f>
        <v>7.54970035458355</v>
      </c>
    </row>
    <row r="5943" customFormat="false" ht="15" hidden="false" customHeight="false" outlineLevel="0" collapsed="false">
      <c r="A5943" s="1" t="s">
        <v>868</v>
      </c>
      <c r="B5943" s="1" t="s">
        <v>79</v>
      </c>
      <c r="E5943" s="18" t="n">
        <f aca="false">sh_dil26</f>
        <v>7.453</v>
      </c>
      <c r="F5943" s="18" t="n">
        <f aca="false">(Sens!E5942+Sens!F5942)/2+dil_gap</f>
        <v>7.4735</v>
      </c>
      <c r="G5943" s="18" t="n">
        <f aca="false">(Sens!F5942+Sens!G5942)/2+dil_gap</f>
        <v>7.50654942758272</v>
      </c>
      <c r="H5943" s="18" t="n">
        <f aca="false">(Sens!G5942+Sens!H5942)/2+dil_gap</f>
        <v>7.52235044101539</v>
      </c>
      <c r="I5943" s="18" t="n">
        <f aca="false">(Sens!H5942+Sens!I5942)/2+dil_gap</f>
        <v>7.53413127302271</v>
      </c>
      <c r="J5943" s="18" t="n">
        <f aca="false">(Sens!I5942+Sens!J5942)/2+dil_gap</f>
        <v>7.54837278414059</v>
      </c>
      <c r="K5943" s="18" t="n">
        <f aca="false">(Sens!J5942+Sens!K5942)/2+dil_gap</f>
        <v>7.56489270184233</v>
      </c>
    </row>
    <row r="5944" customFormat="false" ht="17.15" hidden="false" customHeight="false" outlineLevel="0" collapsed="false">
      <c r="A5944" s="1" t="s">
        <v>869</v>
      </c>
      <c r="B5944" s="0" t="s">
        <v>95</v>
      </c>
      <c r="C5944" s="6" t="n">
        <f aca="false">SUM(Sens!F5934:J5934)</f>
        <v>247.471743355298</v>
      </c>
    </row>
    <row r="5945" customFormat="false" ht="17.15" hidden="false" customHeight="false" outlineLevel="0" collapsed="false">
      <c r="A5945" s="1" t="s">
        <v>836</v>
      </c>
      <c r="B5945" s="1" t="s">
        <v>870</v>
      </c>
      <c r="C5945" s="30" t="str">
        <f aca="false">IF(SUM(Sens!F5937:J5937)&gt;0.05,"需要舉債 "&amp;TEXT(SUM(Sens!F5937:J5937),"0.0")&amp;" 十億美元","不需舉債")&amp;"；"&amp;IF(SUM(Sens!F5936:J5936)&lt;5*bb_target-0.05,"回購較每年 "&amp;TEXT(bb_target,"0.0")&amp;" 的目標少 "&amp;TEXT(5*bb_target-SUM(Sens!F5936:J5936),"0.0")&amp;" 十億美元（"&amp;TEXT(COUNTIF(Sens!F5936:J5936,"&lt;"&amp;(bb_target-0.05)),"0")&amp;" 年減少）","回購不減")</f>
        <v>需要舉債 4.6 十億美元；回購較每年 22.3 的目標少 30.3 十億美元（2 年減少）</v>
      </c>
    </row>
    <row r="5946" customFormat="false" ht="17.15" hidden="false" customHeight="false" outlineLevel="0" collapsed="false">
      <c r="A5946" s="3" t="s">
        <v>1283</v>
      </c>
    </row>
    <row r="5947" customFormat="false" ht="15" hidden="false" customHeight="false" outlineLevel="0" collapsed="false">
      <c r="A5947" s="4" t="s">
        <v>43</v>
      </c>
      <c r="B5947" s="4" t="s">
        <v>63</v>
      </c>
      <c r="C5947" s="19" t="s">
        <v>710</v>
      </c>
      <c r="D5947" s="19" t="s">
        <v>711</v>
      </c>
      <c r="E5947" s="19" t="s">
        <v>712</v>
      </c>
      <c r="F5947" s="19" t="s">
        <v>713</v>
      </c>
      <c r="G5947" s="19" t="s">
        <v>714</v>
      </c>
      <c r="H5947" s="19" t="s">
        <v>715</v>
      </c>
      <c r="I5947" s="19" t="s">
        <v>716</v>
      </c>
      <c r="J5947" s="19" t="s">
        <v>717</v>
      </c>
      <c r="K5947" s="19" t="s">
        <v>718</v>
      </c>
      <c r="L5947" s="4" t="s">
        <v>47</v>
      </c>
    </row>
    <row r="5948" customFormat="false" ht="17.15" hidden="false" customHeight="false" outlineLevel="0" collapsed="false">
      <c r="A5948" s="1" t="s">
        <v>938</v>
      </c>
      <c r="B5948" s="1" t="s">
        <v>213</v>
      </c>
      <c r="F5948" s="34" t="n">
        <f aca="false">1-0.5</f>
        <v>0.5</v>
      </c>
      <c r="G5948" s="34" t="n">
        <f aca="false">2-0.5</f>
        <v>1.5</v>
      </c>
      <c r="H5948" s="34" t="n">
        <f aca="false">3-0.5</f>
        <v>2.5</v>
      </c>
      <c r="I5948" s="34" t="n">
        <f aca="false">4-0.5</f>
        <v>3.5</v>
      </c>
      <c r="J5948" s="34" t="n">
        <f aca="false">5-0.5</f>
        <v>4.5</v>
      </c>
      <c r="K5948" s="34" t="n">
        <f aca="false">6-0.5</f>
        <v>5.5</v>
      </c>
    </row>
    <row r="5949" customFormat="false" ht="15" hidden="false" customHeight="false" outlineLevel="0" collapsed="false">
      <c r="A5949" s="1" t="s">
        <v>939</v>
      </c>
      <c r="B5949" s="0" t="s">
        <v>182</v>
      </c>
      <c r="F5949" s="18" t="n">
        <f aca="false">1/(1+wacc)^Sens!F5948</f>
        <v>0.949601579913219</v>
      </c>
      <c r="G5949" s="18" t="n">
        <f aca="false">1/(1+wacc)^Sens!G5948</f>
        <v>0.856296729956707</v>
      </c>
      <c r="H5949" s="18" t="n">
        <f aca="false">1/(1+wacc)^Sens!H5948</f>
        <v>0.772159719660069</v>
      </c>
      <c r="I5949" s="18" t="n">
        <f aca="false">1/(1+wacc)^Sens!I5948</f>
        <v>0.696289746073958</v>
      </c>
      <c r="J5949" s="18" t="n">
        <f aca="false">1/(1+wacc)^Sens!J5948</f>
        <v>0.627874516299776</v>
      </c>
      <c r="K5949" s="18" t="n">
        <f aca="false">1/(1+wacc)^Sens!K5948</f>
        <v>0.566181550771831</v>
      </c>
    </row>
    <row r="5950" customFormat="false" ht="15" hidden="false" customHeight="false" outlineLevel="0" collapsed="false">
      <c r="A5950" s="1" t="s">
        <v>940</v>
      </c>
      <c r="B5950" s="0" t="s">
        <v>95</v>
      </c>
      <c r="F5950" s="6" t="n">
        <f aca="false">Sens!F5931*Sens!F5949</f>
        <v>6.07076869573923</v>
      </c>
      <c r="G5950" s="6" t="n">
        <f aca="false">Sens!G5931*Sens!G5949</f>
        <v>38.8382385903654</v>
      </c>
      <c r="H5950" s="6" t="n">
        <f aca="false">Sens!H5931*Sens!H5949</f>
        <v>74.9951244957207</v>
      </c>
      <c r="I5950" s="6" t="n">
        <f aca="false">Sens!I5931*Sens!I5949</f>
        <v>81.5178472942849</v>
      </c>
      <c r="J5950" s="6" t="n">
        <f aca="false">Sens!J5931*Sens!J5949</f>
        <v>94.5570521683001</v>
      </c>
      <c r="K5950" s="6" t="n">
        <f aca="false">Sens!K5931*Sens!K5949</f>
        <v>87.102694136554</v>
      </c>
    </row>
    <row r="5951" customFormat="false" ht="17.15" hidden="false" customHeight="false" outlineLevel="0" collapsed="false">
      <c r="A5951" s="1" t="s">
        <v>941</v>
      </c>
      <c r="B5951" s="0" t="s">
        <v>95</v>
      </c>
      <c r="C5951" s="6" t="n">
        <f aca="false">SUM(Sens!F5950:K5950)</f>
        <v>383.081725380965</v>
      </c>
    </row>
    <row r="5952" customFormat="false" ht="17.15" hidden="false" customHeight="false" outlineLevel="0" collapsed="false">
      <c r="A5952" s="1" t="s">
        <v>942</v>
      </c>
      <c r="B5952" s="0" t="s">
        <v>95</v>
      </c>
      <c r="C5952" s="6" t="n">
        <f aca="false">Sens!K5897*(1+g_tv)*(1-tax_f)</f>
        <v>265.553438058538</v>
      </c>
    </row>
    <row r="5953" customFormat="false" ht="17.15" hidden="false" customHeight="false" outlineLevel="0" collapsed="false">
      <c r="A5953" s="1" t="s">
        <v>943</v>
      </c>
      <c r="B5953" s="0" t="s">
        <v>95</v>
      </c>
      <c r="C5953" s="6" t="n">
        <f aca="false">Sens!$C$5952*(1-g_tv/(wacc+ronic_prem))</f>
        <v>192.440666082289</v>
      </c>
    </row>
    <row r="5954" customFormat="false" ht="17.15" hidden="false" customHeight="false" outlineLevel="0" collapsed="false">
      <c r="A5954" s="1" t="s">
        <v>944</v>
      </c>
      <c r="B5954" s="0" t="s">
        <v>95</v>
      </c>
      <c r="C5954" s="6" t="n">
        <f aca="false">Sens!$C$5953/(wacc-g_tv)</f>
        <v>2437.09239920831</v>
      </c>
    </row>
    <row r="5955" customFormat="false" ht="15" hidden="false" customHeight="false" outlineLevel="0" collapsed="false">
      <c r="A5955" s="1" t="s">
        <v>945</v>
      </c>
      <c r="B5955" s="0" t="s">
        <v>95</v>
      </c>
      <c r="C5955" s="6" t="n">
        <f aca="false">Sens!$C$5954/(1+wacc)^6</f>
        <v>1310.29516158085</v>
      </c>
    </row>
    <row r="5956" customFormat="false" ht="17.15" hidden="false" customHeight="false" outlineLevel="0" collapsed="false">
      <c r="A5956" s="0" t="s">
        <v>877</v>
      </c>
      <c r="B5956" s="0" t="s">
        <v>95</v>
      </c>
      <c r="C5956" s="6" t="n">
        <f aca="false">Sens!$C$5951+Sens!$C$5955</f>
        <v>1693.37688696181</v>
      </c>
    </row>
    <row r="5957" customFormat="false" ht="15" hidden="false" customHeight="false" outlineLevel="0" collapsed="false">
      <c r="A5957" s="1" t="s">
        <v>878</v>
      </c>
      <c r="B5957" s="0" t="s">
        <v>126</v>
      </c>
      <c r="C5957" s="7" t="n">
        <f aca="false">Sens!$C$5955/Sens!$C$5956</f>
        <v>0.773776453233471</v>
      </c>
    </row>
    <row r="5958" customFormat="false" ht="17.15" hidden="false" customHeight="false" outlineLevel="0" collapsed="false">
      <c r="A5958" s="1" t="s">
        <v>946</v>
      </c>
      <c r="B5958" s="0" t="s">
        <v>95</v>
      </c>
      <c r="C5958" s="6" t="n">
        <f aca="false">Sens!$C$5956+Sens!E5940+oai_v</f>
        <v>1894.48388696181</v>
      </c>
    </row>
    <row r="5959" customFormat="false" ht="17.15" hidden="false" customHeight="false" outlineLevel="0" collapsed="false">
      <c r="A5959" s="0" t="s">
        <v>883</v>
      </c>
      <c r="B5959" s="0" t="s">
        <v>73</v>
      </c>
      <c r="C5959" s="5" t="n">
        <f aca="false">Sens!$C$5958/sh_dil26</f>
        <v>254.190780485954</v>
      </c>
    </row>
    <row r="5960" customFormat="false" ht="17.15" hidden="false" customHeight="false" outlineLevel="0" collapsed="false">
      <c r="A5960" s="0" t="s">
        <v>947</v>
      </c>
      <c r="B5960" s="0" t="s">
        <v>73</v>
      </c>
      <c r="C5960" s="5" t="n">
        <f aca="false">Sens!$C$5959*(1+wacc)^t_roll</f>
        <v>291.555445155012</v>
      </c>
    </row>
    <row r="5961" customFormat="false" ht="17.15" hidden="false" customHeight="false" outlineLevel="0" collapsed="false">
      <c r="A5961" s="1" t="s">
        <v>948</v>
      </c>
      <c r="B5961" s="0" t="s">
        <v>126</v>
      </c>
      <c r="F5961" s="7" t="n">
        <f aca="false">Sens!F5921/(Sens!F5872-Sens!F5828)</f>
        <v>0.0677266870870097</v>
      </c>
      <c r="G5961" s="7" t="n">
        <f aca="false">Sens!G5921/(Sens!G5872-Sens!G5828)</f>
        <v>0.0644726760504486</v>
      </c>
      <c r="H5961" s="7" t="n">
        <f aca="false">Sens!H5921/(Sens!H5872-Sens!H5828)</f>
        <v>0.0627624003377935</v>
      </c>
      <c r="I5961" s="7" t="n">
        <f aca="false">Sens!I5921/(Sens!I5872-Sens!I5828)</f>
        <v>0.0624956135511808</v>
      </c>
      <c r="J5961" s="7" t="n">
        <f aca="false">Sens!J5921/(Sens!J5872-Sens!J5828)</f>
        <v>0.0632876031473931</v>
      </c>
      <c r="K5961" s="7" t="n">
        <f aca="false">Sens!K5921/(Sens!K5872-Sens!K5828)</f>
        <v>0.064634515078147</v>
      </c>
    </row>
    <row r="5962" customFormat="false" ht="17.15" hidden="false" customHeight="false" outlineLevel="0" collapsed="false">
      <c r="A5962" s="0" t="s">
        <v>949</v>
      </c>
      <c r="B5962" s="0" t="s">
        <v>95</v>
      </c>
      <c r="F5962" s="6" t="n">
        <f aca="false">Sens!F5857*(al_m365+Sens!F5961)</f>
        <v>82.1920722891949</v>
      </c>
      <c r="G5962" s="6" t="n">
        <f aca="false">Sens!G5857*(al_m365+Sens!G5961)</f>
        <v>97.0423594306595</v>
      </c>
      <c r="H5962" s="6" t="n">
        <f aca="false">Sens!H5857*(al_m365+Sens!H5961)</f>
        <v>112.058116551284</v>
      </c>
      <c r="I5962" s="6" t="n">
        <f aca="false">Sens!I5857*(al_m365+Sens!I5961)</f>
        <v>125.366713532292</v>
      </c>
      <c r="J5962" s="6" t="n">
        <f aca="false">Sens!J5857*(al_m365+Sens!J5961)</f>
        <v>136.79159512118</v>
      </c>
      <c r="K5962" s="6" t="n">
        <f aca="false">Sens!K5857*(al_m365+Sens!K5961)</f>
        <v>147.866552315485</v>
      </c>
    </row>
    <row r="5963" customFormat="false" ht="17.15" hidden="false" customHeight="false" outlineLevel="0" collapsed="false">
      <c r="A5963" s="0" t="s">
        <v>950</v>
      </c>
      <c r="B5963" s="0" t="s">
        <v>95</v>
      </c>
      <c r="F5963" s="6" t="n">
        <f aca="false">Sens!F5858*(al_lic+Sens!F5961)</f>
        <v>31.9502853433937</v>
      </c>
      <c r="G5963" s="6" t="n">
        <f aca="false">Sens!G5858*(al_lic+Sens!G5961)</f>
        <v>33.1706727152933</v>
      </c>
      <c r="H5963" s="6" t="n">
        <f aca="false">Sens!H5858*(al_lic+Sens!H5961)</f>
        <v>34.3177534513783</v>
      </c>
      <c r="I5963" s="6" t="n">
        <f aca="false">Sens!I5858*(al_lic+Sens!I5961)</f>
        <v>35.3758955461908</v>
      </c>
      <c r="J5963" s="6" t="n">
        <f aca="false">Sens!J5858*(al_lic+Sens!J5961)</f>
        <v>36.31639110314</v>
      </c>
      <c r="K5963" s="6" t="n">
        <f aca="false">Sens!K5858*(al_lic+Sens!K5961)</f>
        <v>37.1040665713182</v>
      </c>
    </row>
    <row r="5964" customFormat="false" ht="17.15" hidden="false" customHeight="false" outlineLevel="0" collapsed="false">
      <c r="A5964" s="0" t="s">
        <v>951</v>
      </c>
      <c r="B5964" s="0" t="s">
        <v>95</v>
      </c>
      <c r="F5964" s="6" t="n">
        <f aca="false">Sens!F5860*(al_ind+Sens!F5961)</f>
        <v>8.22134656324168</v>
      </c>
      <c r="G5964" s="6" t="n">
        <f aca="false">Sens!G5860*(al_ind+Sens!G5961)</f>
        <v>8.90742515992923</v>
      </c>
      <c r="H5964" s="6" t="n">
        <f aca="false">Sens!H5860*(al_ind+Sens!H5961)</f>
        <v>9.63997736338718</v>
      </c>
      <c r="I5964" s="6" t="n">
        <f aca="false">Sens!I5860*(al_ind+Sens!I5961)</f>
        <v>10.4185650604256</v>
      </c>
      <c r="J5964" s="6" t="n">
        <f aca="false">Sens!J5860*(al_ind+Sens!J5961)</f>
        <v>11.2325818727741</v>
      </c>
      <c r="K5964" s="6" t="n">
        <f aca="false">Sens!K5860*(al_ind+Sens!K5961)</f>
        <v>12.0634233025957</v>
      </c>
    </row>
    <row r="5965" customFormat="false" ht="17.15" hidden="false" customHeight="false" outlineLevel="0" collapsed="false">
      <c r="A5965" s="0" t="s">
        <v>952</v>
      </c>
      <c r="B5965" s="0" t="s">
        <v>95</v>
      </c>
      <c r="F5965" s="6" t="n">
        <f aca="false">Sens!F5862*(al_fro+Sens!F5961)</f>
        <v>3.23595087080311</v>
      </c>
      <c r="G5965" s="6" t="n">
        <f aca="false">Sens!G5862*(al_fro+Sens!G5961)</f>
        <v>3.41992463953153</v>
      </c>
      <c r="H5965" s="6" t="n">
        <f aca="false">Sens!H5862*(al_fro+Sens!H5961)</f>
        <v>3.63267342336837</v>
      </c>
      <c r="I5965" s="6" t="n">
        <f aca="false">Sens!I5862*(al_fro+Sens!I5961)</f>
        <v>3.87736588504897</v>
      </c>
      <c r="J5965" s="6" t="n">
        <f aca="false">Sens!J5862*(al_fro+Sens!J5961)</f>
        <v>4.15424044387228</v>
      </c>
      <c r="K5965" s="6" t="n">
        <f aca="false">Sens!K5862*(al_fro+Sens!K5961)</f>
        <v>4.4615175337972</v>
      </c>
    </row>
    <row r="5966" customFormat="false" ht="17.15" hidden="false" customHeight="false" outlineLevel="0" collapsed="false">
      <c r="A5966" s="0" t="s">
        <v>953</v>
      </c>
      <c r="B5966" s="0" t="s">
        <v>95</v>
      </c>
      <c r="F5966" s="6" t="n">
        <f aca="false">Sens!F5865*(al_srch+Sens!F5961)</f>
        <v>10.1534817880458</v>
      </c>
      <c r="G5966" s="6" t="n">
        <f aca="false">Sens!G5865*(al_srch+Sens!G5961)</f>
        <v>11.1045955802325</v>
      </c>
      <c r="H5966" s="6" t="n">
        <f aca="false">Sens!H5865*(al_srch+Sens!H5961)</f>
        <v>12.1033413758625</v>
      </c>
      <c r="I5966" s="6" t="n">
        <f aca="false">Sens!I5865*(al_srch+Sens!I5961)</f>
        <v>13.1432578067937</v>
      </c>
      <c r="J5966" s="6" t="n">
        <f aca="false">Sens!J5865*(al_srch+Sens!J5961)</f>
        <v>14.2041227051855</v>
      </c>
      <c r="K5966" s="6" t="n">
        <f aca="false">Sens!K5865*(al_srch+Sens!K5961)</f>
        <v>15.2547603725896</v>
      </c>
    </row>
    <row r="5967" customFormat="false" ht="17.15" hidden="false" customHeight="false" outlineLevel="0" collapsed="false">
      <c r="A5967" s="0" t="s">
        <v>954</v>
      </c>
      <c r="B5967" s="0" t="s">
        <v>95</v>
      </c>
      <c r="F5967" s="6" t="n">
        <f aca="false">Sens!F5834</f>
        <v>43.1278534047371</v>
      </c>
      <c r="G5967" s="6" t="n">
        <f aca="false">Sens!G5834</f>
        <v>78.4713023799053</v>
      </c>
      <c r="H5967" s="6" t="n">
        <f aca="false">Sens!H5834</f>
        <v>120.169624261219</v>
      </c>
      <c r="I5967" s="6" t="n">
        <f aca="false">Sens!I5834</f>
        <v>156.086713969963</v>
      </c>
      <c r="J5967" s="6" t="n">
        <f aca="false">Sens!J5834</f>
        <v>192.09687492465</v>
      </c>
      <c r="K5967" s="6" t="n">
        <f aca="false">Sens!K5834</f>
        <v>228.161785217179</v>
      </c>
    </row>
    <row r="5968" customFormat="false" ht="17.15" hidden="false" customHeight="false" outlineLevel="0" collapsed="false">
      <c r="A5968" s="0" t="s">
        <v>955</v>
      </c>
      <c r="B5968" s="0" t="s">
        <v>95</v>
      </c>
      <c r="F5968" s="6" t="n">
        <f aca="false">Sens!F5894+Sens!F5845+Sens!F5961*(Sens!F5864-Sens!F5828)</f>
        <v>217.598951084118</v>
      </c>
      <c r="G5968" s="6" t="n">
        <f aca="false">Sens!G5894+Sens!G5845+Sens!G5961*(Sens!G5864-Sens!G5828)</f>
        <v>275.867261713696</v>
      </c>
      <c r="H5968" s="6" t="n">
        <f aca="false">Sens!H5894+Sens!H5845+Sens!H5961*(Sens!H5864-Sens!H5828)</f>
        <v>340.751757964722</v>
      </c>
      <c r="I5968" s="6" t="n">
        <f aca="false">Sens!I5894+Sens!I5845+Sens!I5961*(Sens!I5864-Sens!I5828)</f>
        <v>398.040118219481</v>
      </c>
      <c r="J5968" s="6" t="n">
        <f aca="false">Sens!J5894+Sens!J5845+Sens!J5961*(Sens!J5864-Sens!J5828)</f>
        <v>452.785485842473</v>
      </c>
      <c r="K5968" s="6" t="n">
        <f aca="false">Sens!K5894+Sens!K5845+Sens!K5961*(Sens!K5864-Sens!K5828)</f>
        <v>505.664706696829</v>
      </c>
    </row>
    <row r="5969" customFormat="false" ht="17.15" hidden="false" customHeight="false" outlineLevel="0" collapsed="false">
      <c r="A5969" s="0" t="s">
        <v>956</v>
      </c>
      <c r="B5969" s="0" t="s">
        <v>95</v>
      </c>
      <c r="F5969" s="6" t="n">
        <f aca="false">Sens!F5968-Sens!F5962-Sens!F5963-Sens!F5964-Sens!F5965-Sens!F5967</f>
        <v>48.8714426127474</v>
      </c>
      <c r="G5969" s="6" t="n">
        <f aca="false">Sens!G5968-Sens!G5962-Sens!G5963-Sens!G5964-Sens!G5965-Sens!G5967</f>
        <v>54.855577388377</v>
      </c>
      <c r="H5969" s="6" t="n">
        <f aca="false">Sens!H5968-Sens!H5962-Sens!H5963-Sens!H5964-Sens!H5965-Sens!H5967</f>
        <v>60.9336129140851</v>
      </c>
      <c r="I5969" s="6" t="n">
        <f aca="false">Sens!I5968-Sens!I5962-Sens!I5963-Sens!I5964-Sens!I5965-Sens!I5967</f>
        <v>66.9148642255597</v>
      </c>
      <c r="J5969" s="6" t="n">
        <f aca="false">Sens!J5968-Sens!J5962-Sens!J5963-Sens!J5964-Sens!J5965-Sens!J5967</f>
        <v>72.1938023768564</v>
      </c>
      <c r="K5969" s="6" t="n">
        <f aca="false">Sens!K5968-Sens!K5962-Sens!K5963-Sens!K5964-Sens!K5965-Sens!K5967</f>
        <v>76.0073617564539</v>
      </c>
    </row>
    <row r="5970" customFormat="false" ht="17.15" hidden="false" customHeight="false" outlineLevel="0" collapsed="false">
      <c r="A5970" s="0" t="s">
        <v>957</v>
      </c>
      <c r="B5970" s="0" t="s">
        <v>95</v>
      </c>
      <c r="F5970" s="6" t="n">
        <f aca="false">Sens!F5896+Sens!F5961*Sens!F5871</f>
        <v>23.7072750560763</v>
      </c>
      <c r="G5970" s="6" t="n">
        <f aca="false">Sens!G5896+Sens!G5961*Sens!G5871</f>
        <v>24.2108162983262</v>
      </c>
      <c r="H5970" s="6" t="n">
        <f aca="false">Sens!H5896+Sens!H5961*Sens!H5871</f>
        <v>24.976009077371</v>
      </c>
      <c r="I5970" s="6" t="n">
        <f aca="false">Sens!I5896+Sens!I5961*Sens!I5871</f>
        <v>25.9785015060479</v>
      </c>
      <c r="J5970" s="6" t="n">
        <f aca="false">Sens!J5896+Sens!J5961*Sens!J5871</f>
        <v>27.179447993594</v>
      </c>
      <c r="K5970" s="6" t="n">
        <f aca="false">Sens!K5896+Sens!K5961*Sens!K5871</f>
        <v>28.5323320891021</v>
      </c>
    </row>
    <row r="5971" customFormat="false" ht="17.15" hidden="false" customHeight="false" outlineLevel="0" collapsed="false">
      <c r="A5971" s="0" t="s">
        <v>958</v>
      </c>
      <c r="B5971" s="0" t="s">
        <v>95</v>
      </c>
      <c r="F5971" s="6" t="n">
        <f aca="false">(Sens!F5970-Sens!F5966)*Sens!F5867/(Sens!F5867+Sens!F5869)</f>
        <v>7.43005745750076</v>
      </c>
      <c r="G5971" s="6" t="n">
        <f aca="false">(Sens!G5970-Sens!G5966)*Sens!G5867/(Sens!G5867+Sens!G5869)</f>
        <v>7.05659975008953</v>
      </c>
      <c r="H5971" s="6" t="n">
        <f aca="false">(Sens!H5970-Sens!H5966)*Sens!H5867/(Sens!H5867+Sens!H5869)</f>
        <v>6.83722683958857</v>
      </c>
      <c r="I5971" s="6" t="n">
        <f aca="false">(Sens!I5970-Sens!I5966)*Sens!I5867/(Sens!I5867+Sens!I5869)</f>
        <v>6.75566588054559</v>
      </c>
      <c r="J5971" s="6" t="n">
        <f aca="false">(Sens!J5970-Sens!J5966)*Sens!J5867/(Sens!J5867+Sens!J5869)</f>
        <v>6.7985137512826</v>
      </c>
      <c r="K5971" s="6" t="n">
        <f aca="false">(Sens!K5970-Sens!K5966)*Sens!K5867/(Sens!K5867+Sens!K5869)</f>
        <v>6.9568779118772</v>
      </c>
    </row>
    <row r="5972" customFormat="false" ht="17.15" hidden="false" customHeight="false" outlineLevel="0" collapsed="false">
      <c r="A5972" s="0" t="s">
        <v>959</v>
      </c>
      <c r="B5972" s="0" t="s">
        <v>95</v>
      </c>
      <c r="F5972" s="6" t="n">
        <f aca="false">Sens!F5970-Sens!F5966-Sens!F5971</f>
        <v>6.12373581052977</v>
      </c>
      <c r="G5972" s="6" t="n">
        <f aca="false">Sens!G5970-Sens!G5966-Sens!G5971</f>
        <v>6.04962096800422</v>
      </c>
      <c r="H5972" s="6" t="n">
        <f aca="false">Sens!H5970-Sens!H5966-Sens!H5971</f>
        <v>6.03544086191988</v>
      </c>
      <c r="I5972" s="6" t="n">
        <f aca="false">Sens!I5970-Sens!I5966-Sens!I5971</f>
        <v>6.07957781870865</v>
      </c>
      <c r="J5972" s="6" t="n">
        <f aca="false">Sens!J5970-Sens!J5966-Sens!J5971</f>
        <v>6.17681153712592</v>
      </c>
      <c r="K5972" s="6" t="n">
        <f aca="false">Sens!K5970-Sens!K5966-Sens!K5971</f>
        <v>6.32069380463526</v>
      </c>
    </row>
    <row r="5973" customFormat="false" ht="17.15" hidden="false" customHeight="false" outlineLevel="0" collapsed="false">
      <c r="A5973" s="1" t="s">
        <v>960</v>
      </c>
      <c r="B5973" s="0" t="s">
        <v>95</v>
      </c>
      <c r="C5973" s="6" t="n">
        <f aca="false">(w_ntm28*Sens!G5967+(1-w_ntm28)*Sens!H5967)*m_ai*1</f>
        <v>551.711134531404</v>
      </c>
    </row>
    <row r="5974" customFormat="false" ht="17.15" hidden="false" customHeight="false" outlineLevel="0" collapsed="false">
      <c r="A5974" s="1" t="s">
        <v>961</v>
      </c>
      <c r="B5974" s="0" t="s">
        <v>95</v>
      </c>
      <c r="C5974" s="6" t="n">
        <f aca="false">(w_ntm28*Sens!G5969+(1-w_ntm28)*Sens!H5969)*m_cloud*1</f>
        <v>785.259743107107</v>
      </c>
    </row>
    <row r="5975" customFormat="false" ht="17.15" hidden="false" customHeight="false" outlineLevel="0" collapsed="false">
      <c r="A5975" s="1" t="s">
        <v>962</v>
      </c>
      <c r="B5975" s="0" t="s">
        <v>95</v>
      </c>
      <c r="C5975" s="6" t="n">
        <f aca="false">(w_ntm28*Sens!G5962+(1-w_ntm28)*Sens!H5962)*m_sw*1</f>
        <v>1100.48510068544</v>
      </c>
    </row>
    <row r="5976" customFormat="false" ht="17.15" hidden="false" customHeight="false" outlineLevel="0" collapsed="false">
      <c r="A5976" s="1" t="s">
        <v>963</v>
      </c>
      <c r="B5976" s="0" t="s">
        <v>95</v>
      </c>
      <c r="C5976" s="6" t="n">
        <f aca="false">(w_ntm28*Sens!G5963+(1-w_ntm28)*Sens!H5963)*m_sw*1</f>
        <v>362.248305571926</v>
      </c>
    </row>
    <row r="5977" customFormat="false" ht="17.15" hidden="false" customHeight="false" outlineLevel="0" collapsed="false">
      <c r="A5977" s="1" t="s">
        <v>964</v>
      </c>
      <c r="B5977" s="0" t="s">
        <v>95</v>
      </c>
      <c r="C5977" s="6" t="n">
        <f aca="false">(w_ntm28*Sens!G5964+(1-w_ntm28)*Sens!H5964)*m_sw*1</f>
        <v>98.7579027630899</v>
      </c>
    </row>
    <row r="5978" customFormat="false" ht="17.15" hidden="false" customHeight="false" outlineLevel="0" collapsed="false">
      <c r="A5978" s="1" t="s">
        <v>965</v>
      </c>
      <c r="B5978" s="0" t="s">
        <v>95</v>
      </c>
      <c r="C5978" s="6" t="n">
        <f aca="false">(w_ntm28*Sens!G5965+(1-w_ntm28)*Sens!H5965)*m_sw*1</f>
        <v>37.6779999428903</v>
      </c>
    </row>
    <row r="5979" customFormat="false" ht="17.15" hidden="false" customHeight="false" outlineLevel="0" collapsed="false">
      <c r="A5979" s="1" t="s">
        <v>966</v>
      </c>
      <c r="B5979" s="0" t="s">
        <v>95</v>
      </c>
      <c r="C5979" s="6" t="n">
        <f aca="false">(w_ntm28*Sens!G5966+(1-w_ntm28)*Sens!H5966)*m_ads*1</f>
        <v>104.10432259999</v>
      </c>
    </row>
    <row r="5980" customFormat="false" ht="17.15" hidden="false" customHeight="false" outlineLevel="0" collapsed="false">
      <c r="A5980" s="1" t="s">
        <v>967</v>
      </c>
      <c r="B5980" s="0" t="s">
        <v>95</v>
      </c>
      <c r="C5980" s="6" t="n">
        <f aca="false">(w_ntm28*Sens!G5971+(1-w_ntm28)*Sens!H5971)*m_game*1</f>
        <v>88.2291282040801</v>
      </c>
    </row>
    <row r="5981" customFormat="false" ht="17.15" hidden="false" customHeight="false" outlineLevel="0" collapsed="false">
      <c r="A5981" s="1" t="s">
        <v>968</v>
      </c>
      <c r="B5981" s="0" t="s">
        <v>95</v>
      </c>
      <c r="C5981" s="6" t="n">
        <f aca="false">(w_ntm28*Sens!G5972+(1-w_ntm28)*Sens!H5972)*m_pc*1</f>
        <v>87.4716812592545</v>
      </c>
    </row>
    <row r="5982" customFormat="false" ht="17.15" hidden="false" customHeight="false" outlineLevel="0" collapsed="false">
      <c r="A5982" s="1" t="s">
        <v>969</v>
      </c>
      <c r="B5982" s="0" t="s">
        <v>95</v>
      </c>
      <c r="C5982" s="6" t="n">
        <f aca="false">Sens!$C$5973+Sens!$C$5974+Sens!$C$5975+Sens!$C$5976+Sens!$C$5977+Sens!$C$5978+Sens!$C$5979+Sens!$C$5980+Sens!$C$5981</f>
        <v>3215.94531866518</v>
      </c>
    </row>
    <row r="5983" customFormat="false" ht="17.15" hidden="false" customHeight="false" outlineLevel="0" collapsed="false">
      <c r="A5983" s="1" t="s">
        <v>903</v>
      </c>
      <c r="B5983" s="0" t="s">
        <v>95</v>
      </c>
      <c r="C5983" s="6" t="n">
        <f aca="false">Sens!F5940+oai_v-Sens!F5929</f>
        <v>116.436283980003</v>
      </c>
      <c r="L5983" s="1" t="s">
        <v>970</v>
      </c>
    </row>
    <row r="5984" customFormat="false" ht="15" hidden="false" customHeight="false" outlineLevel="0" collapsed="false">
      <c r="A5984" s="1" t="s">
        <v>904</v>
      </c>
      <c r="B5984" s="0" t="s">
        <v>73</v>
      </c>
      <c r="C5984" s="5" t="n">
        <f aca="false">(Sens!$C$5982+Sens!$C$5983)/Sens!F5942</f>
        <v>445.982548533884</v>
      </c>
    </row>
    <row r="5985" customFormat="false" ht="17.15" hidden="false" customHeight="false" outlineLevel="0" collapsed="false">
      <c r="A5985" s="1" t="s">
        <v>971</v>
      </c>
      <c r="B5985" s="0" t="s">
        <v>73</v>
      </c>
      <c r="C5985" s="5" t="n">
        <f aca="false">w_dcf*Sens!$C$5960+(1-w_dcf)*Sens!$C$5984</f>
        <v>368.768996844448</v>
      </c>
    </row>
    <row r="5986" customFormat="false" ht="17.15" hidden="false" customHeight="false" outlineLevel="0" collapsed="false">
      <c r="A5986" s="3" t="s">
        <v>1284</v>
      </c>
    </row>
    <row r="5987" customFormat="false" ht="15" hidden="false" customHeight="false" outlineLevel="0" collapsed="false">
      <c r="A5987" s="4" t="s">
        <v>43</v>
      </c>
      <c r="B5987" s="4" t="s">
        <v>63</v>
      </c>
      <c r="C5987" s="19" t="s">
        <v>710</v>
      </c>
      <c r="D5987" s="19" t="s">
        <v>711</v>
      </c>
      <c r="E5987" s="19" t="s">
        <v>712</v>
      </c>
      <c r="F5987" s="19" t="s">
        <v>713</v>
      </c>
      <c r="G5987" s="19" t="s">
        <v>714</v>
      </c>
      <c r="H5987" s="19" t="s">
        <v>715</v>
      </c>
      <c r="I5987" s="19" t="s">
        <v>716</v>
      </c>
      <c r="J5987" s="19" t="s">
        <v>717</v>
      </c>
      <c r="K5987" s="19" t="s">
        <v>718</v>
      </c>
      <c r="L5987" s="4" t="s">
        <v>47</v>
      </c>
    </row>
    <row r="5988" customFormat="false" ht="17.15" hidden="false" customHeight="false" outlineLevel="0" collapsed="false">
      <c r="A5988" s="1" t="s">
        <v>719</v>
      </c>
      <c r="B5988" s="0" t="s">
        <v>340</v>
      </c>
      <c r="C5988" s="27" t="n">
        <f aca="false">mw_ext_24</f>
        <v>640</v>
      </c>
      <c r="D5988" s="27" t="n">
        <f aca="false">mw_ext_25</f>
        <v>1630</v>
      </c>
      <c r="E5988" s="27" t="n">
        <f aca="false">mw_ext_26</f>
        <v>3250</v>
      </c>
      <c r="F5988" s="27" t="n">
        <f aca="false">MIN(1000000000,Sens!E5988+pace)</f>
        <v>5777.2</v>
      </c>
      <c r="G5988" s="27" t="n">
        <f aca="false">MIN(1000000000,Sens!F5988+pace)</f>
        <v>8304.4</v>
      </c>
      <c r="H5988" s="27" t="n">
        <f aca="false">MIN(1000000000,Sens!G5988+pace)</f>
        <v>10831.6</v>
      </c>
      <c r="I5988" s="27" t="n">
        <f aca="false">MIN(1000000000,Sens!H5988+pace)</f>
        <v>13358.8</v>
      </c>
      <c r="J5988" s="27" t="n">
        <f aca="false">MIN(1000000000,Sens!I5988+pace)</f>
        <v>15886</v>
      </c>
      <c r="K5988" s="27" t="n">
        <f aca="false">MIN(1000000000,Sens!J5988+pace)</f>
        <v>18413.2</v>
      </c>
      <c r="L5988" s="11" t="s">
        <v>720</v>
      </c>
    </row>
    <row r="5989" customFormat="false" ht="17.15" hidden="false" customHeight="false" outlineLevel="0" collapsed="false">
      <c r="A5989" s="1" t="s">
        <v>721</v>
      </c>
      <c r="B5989" s="0" t="s">
        <v>340</v>
      </c>
      <c r="C5989" s="27" t="n">
        <f aca="false">rent_ext_24</f>
        <v>150</v>
      </c>
      <c r="D5989" s="27" t="n">
        <f aca="false">rent_ext_25</f>
        <v>400</v>
      </c>
      <c r="E5989" s="27" t="n">
        <f aca="false">rent_ext_26</f>
        <v>550</v>
      </c>
      <c r="F5989" s="27" t="n">
        <f aca="false">rent_ext_f</f>
        <v>756</v>
      </c>
      <c r="G5989" s="27" t="n">
        <f aca="false">rent_ext_f</f>
        <v>756</v>
      </c>
      <c r="H5989" s="27" t="n">
        <f aca="false">rent_ext_f</f>
        <v>756</v>
      </c>
      <c r="I5989" s="27" t="n">
        <f aca="false">rent_ext_f</f>
        <v>756</v>
      </c>
      <c r="J5989" s="27" t="n">
        <f aca="false">rent_ext_f</f>
        <v>756</v>
      </c>
      <c r="K5989" s="27" t="n">
        <f aca="false">rent_ext_f</f>
        <v>756</v>
      </c>
      <c r="L5989" s="1" t="s">
        <v>722</v>
      </c>
    </row>
    <row r="5990" customFormat="false" ht="17.15" hidden="false" customHeight="false" outlineLevel="0" collapsed="false">
      <c r="A5990" s="1" t="s">
        <v>723</v>
      </c>
      <c r="B5990" s="0" t="s">
        <v>340</v>
      </c>
      <c r="C5990" s="27" t="n">
        <f aca="false">Sens!C5988-Sens!C5989</f>
        <v>490</v>
      </c>
      <c r="D5990" s="27" t="n">
        <f aca="false">Sens!D5988-Sens!D5989</f>
        <v>1230</v>
      </c>
      <c r="E5990" s="27" t="n">
        <f aca="false">Sens!E5988-Sens!E5989</f>
        <v>2700</v>
      </c>
      <c r="F5990" s="27" t="n">
        <f aca="false">Sens!F5988-Sens!F5989</f>
        <v>5021.2</v>
      </c>
      <c r="G5990" s="27" t="n">
        <f aca="false">Sens!G5988-Sens!G5989</f>
        <v>7548.4</v>
      </c>
      <c r="H5990" s="27" t="n">
        <f aca="false">Sens!H5988-Sens!H5989</f>
        <v>10075.6</v>
      </c>
      <c r="I5990" s="27" t="n">
        <f aca="false">Sens!I5988-Sens!I5989</f>
        <v>12602.8</v>
      </c>
      <c r="J5990" s="27" t="n">
        <f aca="false">Sens!J5988-Sens!J5989</f>
        <v>15130</v>
      </c>
      <c r="K5990" s="27" t="n">
        <f aca="false">Sens!K5988-Sens!K5989</f>
        <v>17657.2</v>
      </c>
    </row>
    <row r="5991" customFormat="false" ht="17.15" hidden="false" customHeight="false" outlineLevel="0" collapsed="false">
      <c r="A5991" s="1" t="s">
        <v>724</v>
      </c>
      <c r="B5991" s="0" t="s">
        <v>340</v>
      </c>
      <c r="C5991" s="27" t="n">
        <f aca="false">Sens!C5990/ext_sh</f>
        <v>816.666666666667</v>
      </c>
      <c r="D5991" s="27" t="n">
        <f aca="false">Sens!D5990/ext_sh</f>
        <v>2050</v>
      </c>
      <c r="E5991" s="27" t="n">
        <f aca="false">Sens!E5990/ext_sh</f>
        <v>4500</v>
      </c>
      <c r="F5991" s="27" t="n">
        <f aca="false">Sens!F5990/ext_sh</f>
        <v>8368.66666666667</v>
      </c>
      <c r="G5991" s="27" t="n">
        <f aca="false">Sens!G5990/ext_sh</f>
        <v>12580.6666666667</v>
      </c>
      <c r="H5991" s="27" t="n">
        <f aca="false">Sens!H5990/ext_sh</f>
        <v>16792.6666666667</v>
      </c>
      <c r="I5991" s="27" t="n">
        <f aca="false">Sens!I5990/ext_sh</f>
        <v>21004.6666666667</v>
      </c>
      <c r="J5991" s="27" t="n">
        <f aca="false">Sens!J5990/ext_sh</f>
        <v>25216.6666666667</v>
      </c>
      <c r="K5991" s="27" t="n">
        <f aca="false">Sens!K5990/ext_sh</f>
        <v>29428.6666666667</v>
      </c>
      <c r="L5991" s="1" t="s">
        <v>725</v>
      </c>
    </row>
    <row r="5992" customFormat="false" ht="17.15" hidden="false" customHeight="false" outlineLevel="0" collapsed="false">
      <c r="A5992" s="1" t="s">
        <v>726</v>
      </c>
      <c r="B5992" s="0" t="s">
        <v>340</v>
      </c>
      <c r="C5992" s="27" t="n">
        <f aca="false">Sens!C5991-Sens!C5990</f>
        <v>326.666666666667</v>
      </c>
      <c r="D5992" s="27" t="n">
        <f aca="false">Sens!D5991-Sens!D5990</f>
        <v>820</v>
      </c>
      <c r="E5992" s="27" t="n">
        <f aca="false">Sens!E5991-Sens!E5990</f>
        <v>1800</v>
      </c>
      <c r="F5992" s="27" t="n">
        <f aca="false">Sens!F5991-Sens!F5990</f>
        <v>3347.46666666667</v>
      </c>
      <c r="G5992" s="27" t="n">
        <f aca="false">Sens!G5991-Sens!G5990</f>
        <v>5032.26666666667</v>
      </c>
      <c r="H5992" s="27" t="n">
        <f aca="false">Sens!H5991-Sens!H5990</f>
        <v>6717.06666666667</v>
      </c>
      <c r="I5992" s="27" t="n">
        <f aca="false">Sens!I5991-Sens!I5990</f>
        <v>8401.86666666667</v>
      </c>
      <c r="J5992" s="27" t="n">
        <f aca="false">Sens!J5991-Sens!J5990</f>
        <v>10086.6666666667</v>
      </c>
      <c r="K5992" s="27" t="n">
        <f aca="false">Sens!K5991-Sens!K5990</f>
        <v>11771.4666666667</v>
      </c>
    </row>
    <row r="5993" customFormat="false" ht="17.15" hidden="false" customHeight="false" outlineLevel="0" collapsed="false">
      <c r="A5993" s="1" t="s">
        <v>727</v>
      </c>
      <c r="B5993" s="0" t="s">
        <v>340</v>
      </c>
      <c r="C5993" s="27" t="n">
        <f aca="false">Sens!C5991</f>
        <v>816.666666666667</v>
      </c>
      <c r="D5993" s="27" t="n">
        <f aca="false">Sens!D5991-Sens!C5991</f>
        <v>1233.33333333333</v>
      </c>
      <c r="E5993" s="27" t="n">
        <f aca="false">Sens!E5991-Sens!D5991</f>
        <v>2450</v>
      </c>
      <c r="F5993" s="27" t="n">
        <f aca="false">Sens!F5991-Sens!E5991</f>
        <v>3868.66666666667</v>
      </c>
      <c r="G5993" s="27" t="n">
        <f aca="false">Sens!G5991-Sens!F5991</f>
        <v>4212</v>
      </c>
      <c r="H5993" s="27" t="n">
        <f aca="false">Sens!H5991-Sens!G5991</f>
        <v>4212</v>
      </c>
      <c r="I5993" s="27" t="n">
        <f aca="false">Sens!I5991-Sens!H5991</f>
        <v>4212</v>
      </c>
      <c r="J5993" s="27" t="n">
        <f aca="false">Sens!J5991-Sens!I5991</f>
        <v>4212</v>
      </c>
      <c r="K5993" s="27" t="n">
        <f aca="false">Sens!K5991-Sens!J5991</f>
        <v>4212</v>
      </c>
    </row>
    <row r="5994" customFormat="false" ht="17.15" hidden="false" customHeight="false" outlineLevel="0" collapsed="false">
      <c r="A5994" s="1" t="s">
        <v>728</v>
      </c>
      <c r="B5994" s="0" t="s">
        <v>340</v>
      </c>
      <c r="D5994" s="27" t="n">
        <f aca="false">Sens!D5988-Sens!C5988</f>
        <v>990</v>
      </c>
      <c r="E5994" s="27" t="n">
        <f aca="false">Sens!E5988-Sens!D5988</f>
        <v>1620</v>
      </c>
      <c r="F5994" s="27" t="n">
        <f aca="false">Sens!F5988-Sens!E5988</f>
        <v>2527.2</v>
      </c>
      <c r="G5994" s="27" t="n">
        <f aca="false">Sens!G5988-Sens!F5988</f>
        <v>2527.2</v>
      </c>
      <c r="H5994" s="27" t="n">
        <f aca="false">Sens!H5988-Sens!G5988</f>
        <v>2527.2</v>
      </c>
      <c r="I5994" s="27" t="n">
        <f aca="false">Sens!I5988-Sens!H5988</f>
        <v>2527.2</v>
      </c>
      <c r="J5994" s="27" t="n">
        <f aca="false">Sens!J5988-Sens!I5988</f>
        <v>2527.2</v>
      </c>
      <c r="K5994" s="27" t="n">
        <f aca="false">Sens!K5988-Sens!J5988</f>
        <v>2527.2</v>
      </c>
    </row>
    <row r="5995" customFormat="false" ht="17.15" hidden="false" customHeight="false" outlineLevel="0" collapsed="false">
      <c r="A5995" s="1" t="s">
        <v>729</v>
      </c>
      <c r="B5995" s="0" t="s">
        <v>340</v>
      </c>
      <c r="C5995" s="27" t="n">
        <f aca="false">mix_h*Sens!C5988</f>
        <v>128</v>
      </c>
      <c r="D5995" s="27" t="n">
        <f aca="false">mix_h*Sens!D5988</f>
        <v>326</v>
      </c>
      <c r="E5995" s="27" t="n">
        <f aca="false">mix_h*Sens!E5988</f>
        <v>650</v>
      </c>
      <c r="F5995" s="27" t="n">
        <f aca="false">Sens!E5995</f>
        <v>650</v>
      </c>
      <c r="G5995" s="27" t="n">
        <f aca="false">Sens!F5995</f>
        <v>650</v>
      </c>
      <c r="H5995" s="27" t="n">
        <f aca="false">Sens!G5995</f>
        <v>650</v>
      </c>
      <c r="I5995" s="27" t="n">
        <f aca="false">Sens!H5995</f>
        <v>650</v>
      </c>
      <c r="J5995" s="27" t="n">
        <f aca="false">Sens!I5995</f>
        <v>650</v>
      </c>
      <c r="K5995" s="27" t="n">
        <f aca="false">Sens!J5995</f>
        <v>650</v>
      </c>
    </row>
    <row r="5996" customFormat="false" ht="17.15" hidden="false" customHeight="false" outlineLevel="0" collapsed="false">
      <c r="A5996" s="1" t="s">
        <v>730</v>
      </c>
      <c r="B5996" s="0" t="s">
        <v>340</v>
      </c>
      <c r="C5996" s="27" t="n">
        <f aca="false">mix_g2*Sens!C5988</f>
        <v>288</v>
      </c>
      <c r="D5996" s="27" t="n">
        <f aca="false">mix_g2*Sens!D5988</f>
        <v>733.5</v>
      </c>
      <c r="E5996" s="27" t="n">
        <f aca="false">mix_g2*Sens!E5988</f>
        <v>1462.5</v>
      </c>
      <c r="F5996" s="27" t="n">
        <f aca="false">Sens!E5996</f>
        <v>1462.5</v>
      </c>
      <c r="G5996" s="27" t="n">
        <f aca="false">Sens!F5996</f>
        <v>1462.5</v>
      </c>
      <c r="H5996" s="27" t="n">
        <f aca="false">Sens!G5996</f>
        <v>1462.5</v>
      </c>
      <c r="I5996" s="27" t="n">
        <f aca="false">Sens!H5996</f>
        <v>1462.5</v>
      </c>
      <c r="J5996" s="27" t="n">
        <f aca="false">Sens!I5996</f>
        <v>1462.5</v>
      </c>
      <c r="K5996" s="27" t="n">
        <f aca="false">Sens!J5996</f>
        <v>1462.5</v>
      </c>
    </row>
    <row r="5997" customFormat="false" ht="17.15" hidden="false" customHeight="false" outlineLevel="0" collapsed="false">
      <c r="A5997" s="1" t="s">
        <v>731</v>
      </c>
      <c r="B5997" s="0" t="s">
        <v>340</v>
      </c>
      <c r="C5997" s="27" t="n">
        <f aca="false">mix_g3*Sens!C5988</f>
        <v>224</v>
      </c>
      <c r="D5997" s="27" t="n">
        <f aca="false">mix_g3*Sens!D5988</f>
        <v>570.5</v>
      </c>
      <c r="E5997" s="27" t="n">
        <f aca="false">mix_g3*Sens!E5988</f>
        <v>1137.5</v>
      </c>
      <c r="F5997" s="27" t="n">
        <f aca="false">Sens!E5997+Sens!F5994*a_g3_27</f>
        <v>2906.54</v>
      </c>
      <c r="G5997" s="27" t="n">
        <f aca="false">Sens!F5997+Sens!G5994*a_g3_28</f>
        <v>3664.7</v>
      </c>
      <c r="H5997" s="27" t="n">
        <f aca="false">Sens!G5997+Sens!H5994*a_g3_29</f>
        <v>3917.42</v>
      </c>
      <c r="I5997" s="27" t="n">
        <f aca="false">Sens!H5997+Sens!I5994*a_g3_29</f>
        <v>4170.14</v>
      </c>
      <c r="J5997" s="27" t="n">
        <f aca="false">Sens!I5997+Sens!J5994*a_g3_29</f>
        <v>4422.86</v>
      </c>
      <c r="K5997" s="27" t="n">
        <f aca="false">Sens!J5997+Sens!K5994*a_g3_29</f>
        <v>4675.58</v>
      </c>
    </row>
    <row r="5998" customFormat="false" ht="17.15" hidden="false" customHeight="false" outlineLevel="0" collapsed="false">
      <c r="A5998" s="1" t="s">
        <v>732</v>
      </c>
      <c r="B5998" s="0" t="s">
        <v>340</v>
      </c>
      <c r="C5998" s="27" t="n">
        <f aca="false">0</f>
        <v>0</v>
      </c>
      <c r="D5998" s="27" t="n">
        <f aca="false">0</f>
        <v>0</v>
      </c>
      <c r="E5998" s="27" t="n">
        <f aca="false">0</f>
        <v>0</v>
      </c>
      <c r="F5998" s="27" t="n">
        <f aca="false">Sens!E5998+Sens!F5994*(1-a_g3_27)</f>
        <v>758.16</v>
      </c>
      <c r="G5998" s="27" t="n">
        <f aca="false">Sens!F5998+Sens!G5994*(1-a_g3_28)</f>
        <v>2527.2</v>
      </c>
      <c r="H5998" s="27" t="n">
        <f aca="false">Sens!G5998+Sens!H5994*(1-a_g3_29)</f>
        <v>4801.68</v>
      </c>
      <c r="I5998" s="27" t="n">
        <f aca="false">Sens!H5998+Sens!I5994*(1-a_g3_29)</f>
        <v>7076.16</v>
      </c>
      <c r="J5998" s="27" t="n">
        <f aca="false">Sens!I5998+Sens!J5994*(1-a_g3_29)</f>
        <v>9350.64</v>
      </c>
      <c r="K5998" s="27" t="n">
        <f aca="false">Sens!J5998+Sens!K5994*(1-a_g3_29)</f>
        <v>11625.12</v>
      </c>
    </row>
    <row r="5999" customFormat="false" ht="17.15" hidden="false" customHeight="false" outlineLevel="0" collapsed="false">
      <c r="A5999" s="1" t="s">
        <v>733</v>
      </c>
      <c r="B5999" s="0" t="s">
        <v>291</v>
      </c>
      <c r="C5999" s="18" t="n">
        <f aca="false">(Sens!C5995*tk_hold_h100+Sens!C5996*tk_hold_gb200+Sens!C5997*tk_hold_gb300+Sens!C5998*tk_hold_vr200)/Sens!C5988</f>
        <v>9.7235358126469</v>
      </c>
      <c r="D5999" s="18" t="n">
        <f aca="false">(Sens!D5995*tk_hold_h100+Sens!D5996*tk_hold_gb200+Sens!D5997*tk_hold_gb300+Sens!D5998*tk_hold_vr200)/Sens!D5988</f>
        <v>9.7235358126469</v>
      </c>
      <c r="E5999" s="18" t="n">
        <f aca="false">(Sens!E5995*tk_hold_h100+Sens!E5996*tk_hold_gb200+Sens!E5997*tk_hold_gb300+Sens!E5998*tk_hold_vr200)/Sens!E5988</f>
        <v>9.7235358126469</v>
      </c>
      <c r="F5999" s="18" t="n">
        <f aca="false">(Sens!F5995*tk_hold_h100+Sens!F5996*tk_hold_gb200+Sens!F5997*tk_hold_gb300+Sens!F5998*tk_hold_vr200)/Sens!F5988</f>
        <v>10.4079573161931</v>
      </c>
      <c r="G5999" s="18" t="n">
        <f aca="false">(Sens!G5995*tk_hold_h100+Sens!G5996*tk_hold_gb200+Sens!G5997*tk_hold_gb300+Sens!G5998*tk_hold_vr200)/Sens!G5988</f>
        <v>10.8388131109316</v>
      </c>
      <c r="H5999" s="18" t="n">
        <f aca="false">(Sens!H5995*tk_hold_h100+Sens!H5996*tk_hold_gb200+Sens!H5997*tk_hold_gb300+Sens!H5998*tk_hold_vr200)/Sens!H5988</f>
        <v>11.1311018388216</v>
      </c>
      <c r="I5999" s="18" t="n">
        <f aca="false">(Sens!I5995*tk_hold_h100+Sens!I5996*tk_hold_gb200+Sens!I5997*tk_hold_gb300+Sens!I5998*tk_hold_vr200)/Sens!I5988</f>
        <v>11.3128009818501</v>
      </c>
      <c r="J5999" s="18" t="n">
        <f aca="false">(Sens!J5995*tk_hold_h100+Sens!J5996*tk_hold_gb200+Sens!J5997*tk_hold_gb300+Sens!J5998*tk_hold_vr200)/Sens!J5988</f>
        <v>11.4366894646418</v>
      </c>
      <c r="K5999" s="18" t="n">
        <f aca="false">(Sens!K5995*tk_hold_h100+Sens!K5996*tk_hold_gb200+Sens!K5997*tk_hold_gb300+Sens!K5998*tk_hold_vr200)/Sens!K5988</f>
        <v>11.526570716348</v>
      </c>
    </row>
    <row r="6000" customFormat="false" ht="17.15" hidden="false" customHeight="false" outlineLevel="0" collapsed="false">
      <c r="A6000" s="0" t="s">
        <v>734</v>
      </c>
      <c r="B6000" s="0" t="s">
        <v>182</v>
      </c>
      <c r="C6000" s="18" t="n">
        <f aca="false">k_B</f>
        <v>1.17213932619116</v>
      </c>
      <c r="D6000" s="18" t="n">
        <f aca="false">k_B</f>
        <v>1.17213932619116</v>
      </c>
      <c r="E6000" s="18" t="n">
        <f aca="false">k_B</f>
        <v>1.17213932619116</v>
      </c>
      <c r="F6000" s="18" t="n">
        <f aca="false">(k_B+((ls_B*k_long+(1-ls_B)*k_spot)-k_B)*MIN(1,1/3))*1</f>
        <v>1.17213932619116</v>
      </c>
      <c r="G6000" s="18" t="n">
        <f aca="false">(k_B+((ls_B*k_long+(1-ls_B)*k_spot)-k_B)*MIN(1,2/3))*1</f>
        <v>1.17213932619116</v>
      </c>
      <c r="H6000" s="18" t="n">
        <f aca="false">(k_B+((ls_B*k_long+(1-ls_B)*k_spot)-k_B)*MIN(1,3/3))*1</f>
        <v>1.17213932619116</v>
      </c>
      <c r="I6000" s="18" t="n">
        <f aca="false">(k_B+((ls_B*k_long+(1-ls_B)*k_spot)-k_B)*MIN(1,4/3))*1</f>
        <v>1.17213932619116</v>
      </c>
      <c r="J6000" s="18" t="n">
        <f aca="false">(k_B+((ls_B*k_long+(1-ls_B)*k_spot)-k_B)*MIN(1,5/3))*1</f>
        <v>1.17213932619116</v>
      </c>
      <c r="K6000" s="18" t="n">
        <f aca="false">(k_B+((ls_B*k_long+(1-ls_B)*k_spot)-k_B)*MIN(1,6/3))*1</f>
        <v>1.17213932619116</v>
      </c>
      <c r="L6000" s="1" t="s">
        <v>735</v>
      </c>
    </row>
    <row r="6001" customFormat="false" ht="17.15" hidden="false" customHeight="false" outlineLevel="0" collapsed="false">
      <c r="A6001" s="1" t="s">
        <v>736</v>
      </c>
      <c r="B6001" s="0" t="s">
        <v>291</v>
      </c>
      <c r="C6001" s="18" t="n">
        <f aca="false">Sens!C5999*Sens!C6000*chip_f</f>
        <v>11.3973387156315</v>
      </c>
      <c r="D6001" s="18" t="n">
        <f aca="false">Sens!D5999*Sens!D6000*chip_f</f>
        <v>11.3973387156315</v>
      </c>
      <c r="E6001" s="18" t="n">
        <f aca="false">Sens!E5999*Sens!E6000*chip_f</f>
        <v>11.3973387156315</v>
      </c>
      <c r="F6001" s="18" t="n">
        <f aca="false">Sens!F5999*Sens!F6000*chip_f</f>
        <v>12.1995760756289</v>
      </c>
      <c r="G6001" s="18" t="n">
        <f aca="false">Sens!G5999*Sens!G6000*chip_f</f>
        <v>12.7045990965592</v>
      </c>
      <c r="H6001" s="18" t="n">
        <f aca="false">Sens!H5999*Sens!H6000*chip_f</f>
        <v>13.0472022091214</v>
      </c>
      <c r="I6001" s="18" t="n">
        <f aca="false">Sens!I5999*Sens!I6000*chip_f</f>
        <v>13.2601789202004</v>
      </c>
      <c r="J6001" s="18" t="n">
        <f aca="false">Sens!J5999*Sens!J6000*chip_f</f>
        <v>13.4053934829427</v>
      </c>
      <c r="K6001" s="18" t="n">
        <f aca="false">Sens!K5999*Sens!K6000*chip_f</f>
        <v>13.5107468327548</v>
      </c>
      <c r="L6001" s="1" t="s">
        <v>737</v>
      </c>
    </row>
    <row r="6002" customFormat="false" ht="17.15" hidden="false" customHeight="false" outlineLevel="0" collapsed="false">
      <c r="A6002" s="0" t="s">
        <v>738</v>
      </c>
      <c r="B6002" s="0" t="s">
        <v>95</v>
      </c>
      <c r="D6002" s="6" t="n">
        <f aca="false">(Sens!C5988+Sens!D5988)/2*Sens!D6001/1000</f>
        <v>12.9359794422418</v>
      </c>
      <c r="E6002" s="6" t="n">
        <f aca="false">(Sens!D5988+Sens!E5988)/2*Sens!E6001/1000</f>
        <v>27.8095064661409</v>
      </c>
      <c r="F6002" s="6" t="n">
        <f aca="false">(Sens!E5988+Sens!F5988)/2*Sens!F6001/1000</f>
        <v>55.0640065749585</v>
      </c>
      <c r="G6002" s="6" t="n">
        <f aca="false">(Sens!F5988+Sens!G5988)/2*Sens!G6001/1000</f>
        <v>89.4505413190538</v>
      </c>
      <c r="H6002" s="6" t="n">
        <f aca="false">(Sens!G5988+Sens!H5988)/2*Sens!H6001/1000</f>
        <v>124.835630736874</v>
      </c>
      <c r="I6002" s="6" t="n">
        <f aca="false">(Sens!H5988+Sens!I5988)/2*Sens!I6001/1000</f>
        <v>160.384516075608</v>
      </c>
      <c r="J6002" s="6" t="n">
        <f aca="false">(Sens!I5988+Sens!J5988)/2*Sens!J6001/1000</f>
        <v>196.019025664981</v>
      </c>
      <c r="K6002" s="6" t="n">
        <f aca="false">(Sens!J5988+Sens!K5988)/2*Sens!K6001/1000</f>
        <v>231.703903883012</v>
      </c>
      <c r="L6002" s="11" t="s">
        <v>739</v>
      </c>
    </row>
    <row r="6003" customFormat="false" ht="17.15" hidden="false" customHeight="false" outlineLevel="0" collapsed="false">
      <c r="A6003" s="1" t="s">
        <v>740</v>
      </c>
      <c r="B6003" s="0" t="s">
        <v>291</v>
      </c>
      <c r="C6003" s="18" t="n">
        <f aca="false">(Sens!C5995*tk_opex_h100+Sens!C5996*tk_opex_gb200+Sens!C5997*tk_opex_gb300+Sens!C5998*tk_opex_vr200)/Sens!C5988</f>
        <v>1.88636041306092</v>
      </c>
      <c r="D6003" s="18" t="n">
        <f aca="false">(Sens!D5995*tk_opex_h100+Sens!D5996*tk_opex_gb200+Sens!D5997*tk_opex_gb300+Sens!D5998*tk_opex_vr200)/Sens!D5988</f>
        <v>1.88636041306092</v>
      </c>
      <c r="E6003" s="18" t="n">
        <f aca="false">(Sens!E5995*tk_opex_h100+Sens!E5996*tk_opex_gb200+Sens!E5997*tk_opex_gb300+Sens!E5998*tk_opex_vr200)/Sens!E5988</f>
        <v>1.88636041306092</v>
      </c>
      <c r="F6003" s="18" t="n">
        <f aca="false">(Sens!F5995*tk_opex_h100+Sens!F5996*tk_opex_gb200+Sens!F5997*tk_opex_gb300+Sens!F5998*tk_opex_vr200)/Sens!F5988</f>
        <v>1.9430236476499</v>
      </c>
      <c r="G6003" s="18" t="n">
        <f aca="false">(Sens!G5995*tk_opex_h100+Sens!G5996*tk_opex_gb200+Sens!G5997*tk_opex_gb300+Sens!G5998*tk_opex_vr200)/Sens!G5988</f>
        <v>1.9786941852423</v>
      </c>
      <c r="H6003" s="18" t="n">
        <f aca="false">(Sens!H5995*tk_opex_h100+Sens!H5996*tk_opex_gb200+Sens!H5997*tk_opex_gb300+Sens!H5998*tk_opex_vr200)/Sens!H5988</f>
        <v>2.00289275976156</v>
      </c>
      <c r="I6003" s="18" t="n">
        <f aca="false">(Sens!I5995*tk_opex_h100+Sens!I5996*tk_opex_gb200+Sens!I5997*tk_opex_gb300+Sens!I5998*tk_opex_vr200)/Sens!I5988</f>
        <v>2.01793562605478</v>
      </c>
      <c r="J6003" s="18" t="n">
        <f aca="false">(Sens!J5995*tk_opex_h100+Sens!J5996*tk_opex_gb200+Sens!J5997*tk_opex_gb300+Sens!J5998*tk_opex_vr200)/Sens!J5988</f>
        <v>2.02819234961902</v>
      </c>
      <c r="K6003" s="18" t="n">
        <f aca="false">(Sens!K5995*tk_opex_h100+Sens!K5996*tk_opex_gb200+Sens!K5997*tk_opex_gb300+Sens!K5998*tk_opex_vr200)/Sens!K5988</f>
        <v>2.0356336155994</v>
      </c>
    </row>
    <row r="6004" customFormat="false" ht="17.15" hidden="false" customHeight="false" outlineLevel="0" collapsed="false">
      <c r="A6004" s="0" t="s">
        <v>741</v>
      </c>
      <c r="B6004" s="0" t="s">
        <v>95</v>
      </c>
      <c r="D6004" s="6" t="n">
        <f aca="false">(Sens!C5991+Sens!D5991)/2*Sens!D6003/1000</f>
        <v>2.70378325872065</v>
      </c>
      <c r="E6004" s="6" t="n">
        <f aca="false">(Sens!D5991+Sens!E5991)/2*Sens!E6003/1000</f>
        <v>6.17783035277451</v>
      </c>
      <c r="F6004" s="6" t="n">
        <f aca="false">(Sens!E5991+Sens!F5991)/2*Sens!F6003/1000</f>
        <v>12.5020618235287</v>
      </c>
      <c r="G6004" s="6" t="n">
        <f aca="false">(Sens!F5991+Sens!G5991)/2*Sens!G6003/1000</f>
        <v>20.7261620256847</v>
      </c>
      <c r="H6004" s="6" t="n">
        <f aca="false">(Sens!G5991+Sens!H5991)/2*Sens!H6003/1000</f>
        <v>29.4158183316982</v>
      </c>
      <c r="I6004" s="6" t="n">
        <f aca="false">(Sens!H5991+Sens!I5991)/2*Sens!I6003/1000</f>
        <v>38.1362927516005</v>
      </c>
      <c r="J6004" s="6" t="n">
        <f aca="false">(Sens!I5991+Sens!J5991)/2*Sens!J6003/1000</f>
        <v>46.8728773279286</v>
      </c>
      <c r="K6004" s="6" t="n">
        <f aca="false">(Sens!J5991+Sens!K5991)/2*Sens!K6003/1000</f>
        <v>55.618938734484</v>
      </c>
    </row>
    <row r="6005" customFormat="false" ht="17.15" hidden="false" customHeight="false" outlineLevel="0" collapsed="false">
      <c r="A6005" s="0" t="s">
        <v>742</v>
      </c>
      <c r="B6005" s="0" t="s">
        <v>95</v>
      </c>
      <c r="D6005" s="6" t="n">
        <f aca="false">(Sens!C5989+Sens!D5989)/2*rent_mw/1000</f>
        <v>2.44475</v>
      </c>
      <c r="E6005" s="6" t="n">
        <f aca="false">(Sens!D5989+Sens!E5989)/2*rent_mw/1000</f>
        <v>4.22275</v>
      </c>
      <c r="F6005" s="6" t="n">
        <f aca="false">(Sens!E5989+Sens!F5989)/2*rent_mw/1000</f>
        <v>5.80517</v>
      </c>
      <c r="G6005" s="6" t="n">
        <f aca="false">(Sens!F5989+Sens!G5989)/2*rent_mw/1000</f>
        <v>6.72084</v>
      </c>
      <c r="H6005" s="6" t="n">
        <f aca="false">(Sens!G5989+Sens!H5989)/2*rent_mw/1000</f>
        <v>6.72084</v>
      </c>
      <c r="I6005" s="6" t="n">
        <f aca="false">(Sens!H5989+Sens!I5989)/2*rent_mw/1000</f>
        <v>6.72084</v>
      </c>
      <c r="J6005" s="6" t="n">
        <f aca="false">(Sens!I5989+Sens!J5989)/2*rent_mw/1000</f>
        <v>6.72084</v>
      </c>
      <c r="K6005" s="6" t="n">
        <f aca="false">(Sens!J5989+Sens!K5989)/2*rent_mw/1000</f>
        <v>6.72084</v>
      </c>
    </row>
    <row r="6006" customFormat="false" ht="17.15" hidden="false" customHeight="false" outlineLevel="0" collapsed="false">
      <c r="A6006" s="0" t="s">
        <v>743</v>
      </c>
      <c r="B6006" s="0" t="s">
        <v>95</v>
      </c>
      <c r="D6006" s="6" t="n">
        <f aca="false">(Sens!C5991+Sens!D5991)/2*(1-self_build)*fac_rent/1000</f>
        <v>0.853242375631075</v>
      </c>
      <c r="E6006" s="6" t="n">
        <f aca="false">(Sens!D5991+Sens!E5991)/2*(1-self_build)*fac_rent/1000</f>
        <v>1.94955961408728</v>
      </c>
      <c r="F6006" s="6" t="n">
        <f aca="false">(Sens!E5991+Sens!F5991)/2*(1-self_build)*fac_rent/1000</f>
        <v>3.83026455274573</v>
      </c>
      <c r="G6006" s="6" t="n">
        <f aca="false">(Sens!F5991+Sens!G5991)/2*(1-self_build)*fac_rent/1000</f>
        <v>6.23541590972812</v>
      </c>
      <c r="H6006" s="6" t="n">
        <f aca="false">(Sens!G5991+Sens!H5991)/2*(1-self_build)*fac_rent/1000</f>
        <v>8.74275792332679</v>
      </c>
      <c r="I6006" s="6" t="n">
        <f aca="false">(Sens!H5991+Sens!I5991)/2*(1-self_build)*fac_rent/1000</f>
        <v>11.2500999369255</v>
      </c>
      <c r="J6006" s="6" t="n">
        <f aca="false">(Sens!I5991+Sens!J5991)/2*(1-self_build)*fac_rent/1000</f>
        <v>13.7574419505241</v>
      </c>
      <c r="K6006" s="6" t="n">
        <f aca="false">(Sens!J5991+Sens!K5991)/2*(1-self_build)*fac_rent/1000</f>
        <v>16.2647839641228</v>
      </c>
      <c r="L6006" s="11" t="s">
        <v>744</v>
      </c>
    </row>
    <row r="6007" customFormat="false" ht="17.15" hidden="false" customHeight="false" outlineLevel="0" collapsed="false">
      <c r="A6007" s="1" t="s">
        <v>745</v>
      </c>
      <c r="B6007" s="0" t="s">
        <v>126</v>
      </c>
      <c r="D6007" s="7" t="n">
        <f aca="false">(Sens!C5990+Sens!D5990)/(Sens!C5991+Sens!D5991)</f>
        <v>0.6</v>
      </c>
      <c r="E6007" s="7" t="n">
        <f aca="false">(Sens!D5990+Sens!E5990)/(Sens!D5991+Sens!E5991)</f>
        <v>0.6</v>
      </c>
      <c r="F6007" s="7" t="n">
        <f aca="false">(Sens!E5990+Sens!F5990)/(Sens!E5991+Sens!F5991)</f>
        <v>0.6</v>
      </c>
      <c r="G6007" s="7" t="n">
        <f aca="false">(Sens!F5990+Sens!G5990)/(Sens!F5991+Sens!G5991)</f>
        <v>0.6</v>
      </c>
      <c r="H6007" s="7" t="n">
        <f aca="false">(Sens!G5990+Sens!H5990)/(Sens!G5991+Sens!H5991)</f>
        <v>0.6</v>
      </c>
      <c r="I6007" s="7" t="n">
        <f aca="false">(Sens!H5990+Sens!I5990)/(Sens!H5991+Sens!I5991)</f>
        <v>0.6</v>
      </c>
      <c r="J6007" s="7" t="n">
        <f aca="false">(Sens!I5990+Sens!J5990)/(Sens!I5991+Sens!J5991)</f>
        <v>0.6</v>
      </c>
      <c r="K6007" s="7" t="n">
        <f aca="false">(Sens!J5990+Sens!K5990)/(Sens!J5991+Sens!K5991)</f>
        <v>0.6</v>
      </c>
    </row>
    <row r="6008" customFormat="false" ht="17.15" hidden="false" customHeight="false" outlineLevel="0" collapsed="false">
      <c r="A6008" s="0" t="s">
        <v>746</v>
      </c>
      <c r="B6008" s="0" t="s">
        <v>95</v>
      </c>
      <c r="D6008" s="6" t="n">
        <f aca="false">Sens!D6002-Sens!D6007*(Sens!D6004+Sens!D6006)-Sens!D6005</f>
        <v>8.35701406163072</v>
      </c>
      <c r="E6008" s="6" t="n">
        <f aca="false">Sens!E6002-Sens!E6007*(Sens!E6004+Sens!E6006)-Sens!E6005</f>
        <v>18.7103224860238</v>
      </c>
      <c r="F6008" s="6" t="n">
        <f aca="false">Sens!F6002-Sens!F6007*(Sens!F6004+Sens!F6006)-Sens!F6005</f>
        <v>39.4594407491938</v>
      </c>
      <c r="G6008" s="6" t="n">
        <f aca="false">Sens!G6002-Sens!G6007*(Sens!G6004+Sens!G6006)-Sens!G6005</f>
        <v>66.5527545578061</v>
      </c>
      <c r="H6008" s="6" t="n">
        <f aca="false">Sens!H6002-Sens!H6007*(Sens!H6004+Sens!H6006)-Sens!H6005</f>
        <v>95.219644983859</v>
      </c>
      <c r="I6008" s="6" t="n">
        <f aca="false">Sens!I6002-Sens!I6007*(Sens!I6004+Sens!I6006)-Sens!I6005</f>
        <v>124.031840462493</v>
      </c>
      <c r="J6008" s="6" t="n">
        <f aca="false">Sens!J6002-Sens!J6007*(Sens!J6004+Sens!J6006)-Sens!J6005</f>
        <v>152.919994097909</v>
      </c>
      <c r="K6008" s="6" t="n">
        <f aca="false">Sens!K6002-Sens!K6007*(Sens!K6004+Sens!K6006)-Sens!K6005</f>
        <v>181.852830263848</v>
      </c>
    </row>
    <row r="6009" customFormat="false" ht="17.15" hidden="false" customHeight="false" outlineLevel="0" collapsed="false">
      <c r="A6009" s="1" t="s">
        <v>747</v>
      </c>
      <c r="B6009" s="0" t="s">
        <v>95</v>
      </c>
      <c r="D6009" s="6" t="n">
        <f aca="false">(1-Sens!D6007)*(Sens!D6004+Sens!D6006)</f>
        <v>1.42281025374069</v>
      </c>
      <c r="E6009" s="6" t="n">
        <f aca="false">(1-Sens!E6007)*(Sens!E6004+Sens!E6006)</f>
        <v>3.25095598674472</v>
      </c>
      <c r="F6009" s="6" t="n">
        <f aca="false">(1-Sens!F6007)*(Sens!F6004+Sens!F6006)</f>
        <v>6.53293055050977</v>
      </c>
      <c r="G6009" s="6" t="n">
        <f aca="false">(1-Sens!G6007)*(Sens!G6004+Sens!G6006)</f>
        <v>10.7846311741651</v>
      </c>
      <c r="H6009" s="6" t="n">
        <f aca="false">(1-Sens!H6007)*(Sens!H6004+Sens!H6006)</f>
        <v>15.26343050201</v>
      </c>
      <c r="I6009" s="6" t="n">
        <f aca="false">(1-Sens!I6007)*(Sens!I6004+Sens!I6006)</f>
        <v>19.7545570754104</v>
      </c>
      <c r="J6009" s="6" t="n">
        <f aca="false">(1-Sens!J6007)*(Sens!J6004+Sens!J6006)</f>
        <v>24.2521277113811</v>
      </c>
      <c r="K6009" s="6" t="n">
        <f aca="false">(1-Sens!K6007)*(Sens!K6004+Sens!K6006)</f>
        <v>28.7534890794427</v>
      </c>
    </row>
    <row r="6010" customFormat="false" ht="17.15" hidden="false" customHeight="false" outlineLevel="0" collapsed="false">
      <c r="A6010" s="1" t="s">
        <v>748</v>
      </c>
      <c r="B6010" s="0" t="s">
        <v>302</v>
      </c>
      <c r="C6010" s="8" t="n">
        <f aca="false">cxit_open</f>
        <v>27.5918995</v>
      </c>
      <c r="D6010" s="8" t="n">
        <f aca="false">cxit_open</f>
        <v>27.5918995</v>
      </c>
      <c r="E6010" s="8" t="n">
        <f aca="false">cxit_open</f>
        <v>27.5918995</v>
      </c>
      <c r="F6010" s="8" t="n">
        <f aca="false">(a_g3_27*tk_cxit_gb300+(1-a_g3_27)*tk_cxit_vr200)</f>
        <v>33.8419624</v>
      </c>
      <c r="G6010" s="8" t="n">
        <f aca="false">(a_g3_28*tk_cxit_gb300+(1-a_g3_28)*tk_cxit_vr200)</f>
        <v>35.9816136</v>
      </c>
      <c r="H6010" s="8" t="n">
        <f aca="false">(a_g3_29*tk_cxit_gb300+(1-a_g3_29)*tk_cxit_vr200)</f>
        <v>37.0514392</v>
      </c>
      <c r="I6010" s="8" t="n">
        <f aca="false">(a_g3_29*tk_cxit_gb300+(1-a_g3_29)*tk_cxit_vr200)</f>
        <v>37.0514392</v>
      </c>
      <c r="J6010" s="8" t="n">
        <f aca="false">(a_g3_29*tk_cxit_gb300+(1-a_g3_29)*tk_cxit_vr200)</f>
        <v>37.0514392</v>
      </c>
      <c r="K6010" s="8" t="n">
        <f aca="false">(a_g3_29*tk_cxit_gb300+(1-a_g3_29)*tk_cxit_vr200)</f>
        <v>37.0514392</v>
      </c>
      <c r="L6010" s="11" t="s">
        <v>749</v>
      </c>
    </row>
    <row r="6011" customFormat="false" ht="17.15" hidden="false" customHeight="false" outlineLevel="0" collapsed="false">
      <c r="A6011" s="0" t="s">
        <v>750</v>
      </c>
      <c r="B6011" s="0" t="s">
        <v>340</v>
      </c>
      <c r="F6011" s="27" t="n">
        <f aca="false">Sens!C5993*IF(3=life_it,1,0)+Sens!D5993*IF(2=life_it,1,0)+Sens!E5993*IF(1=life_it,1,0)</f>
        <v>0</v>
      </c>
      <c r="G6011" s="27" t="n">
        <f aca="false">Sens!C5993*IF(4=life_it,1,0)+Sens!D5993*IF(3=life_it,1,0)+Sens!E5993*IF(2=life_it,1,0)+Sens!F5993*IF(1=life_it,1,0)</f>
        <v>0</v>
      </c>
      <c r="H6011" s="27" t="n">
        <f aca="false">Sens!C5993*IF(5=life_it,1,0)+Sens!D5993*IF(4=life_it,1,0)+Sens!E5993*IF(3=life_it,1,0)+Sens!F5993*IF(2=life_it,1,0)+Sens!G5993*IF(1=life_it,1,0)</f>
        <v>0</v>
      </c>
      <c r="I6011" s="27" t="n">
        <f aca="false">Sens!C5993*IF(6=life_it,1,0)+Sens!D5993*IF(5=life_it,1,0)+Sens!E5993*IF(4=life_it,1,0)+Sens!F5993*IF(3=life_it,1,0)+Sens!G5993*IF(2=life_it,1,0)+Sens!H5993*IF(1=life_it,1,0)</f>
        <v>816.666666666667</v>
      </c>
      <c r="J6011" s="27" t="n">
        <f aca="false">Sens!C5993*IF(7=life_it,1,0)+Sens!D5993*IF(6=life_it,1,0)+Sens!E5993*IF(5=life_it,1,0)+Sens!F5993*IF(4=life_it,1,0)+Sens!G5993*IF(3=life_it,1,0)+Sens!H5993*IF(2=life_it,1,0)+Sens!I5993*IF(1=life_it,1,0)</f>
        <v>1233.33333333333</v>
      </c>
      <c r="K6011" s="27" t="n">
        <f aca="false">Sens!C5993*IF(8=life_it,1,0)+Sens!D5993*IF(7=life_it,1,0)+Sens!E5993*IF(6=life_it,1,0)+Sens!F5993*IF(5=life_it,1,0)+Sens!G5993*IF(4=life_it,1,0)+Sens!H5993*IF(3=life_it,1,0)+Sens!I5993*IF(2=life_it,1,0)+Sens!J5993*IF(1=life_it,1,0)</f>
        <v>2450</v>
      </c>
      <c r="L6011" s="1" t="s">
        <v>751</v>
      </c>
    </row>
    <row r="6012" customFormat="false" ht="17.15" hidden="false" customHeight="false" outlineLevel="0" collapsed="false">
      <c r="A6012" s="0" t="s">
        <v>752</v>
      </c>
      <c r="B6012" s="0" t="s">
        <v>95</v>
      </c>
      <c r="C6012" s="6" t="n">
        <f aca="false">Sens!C5993*Sens!C6010/1000</f>
        <v>22.5333845916667</v>
      </c>
      <c r="D6012" s="6" t="n">
        <f aca="false">Sens!D5993*Sens!D6010/1000</f>
        <v>34.0300093833333</v>
      </c>
      <c r="E6012" s="6" t="n">
        <f aca="false">Sens!E5993*Sens!E6010/1000</f>
        <v>67.600153775</v>
      </c>
      <c r="F6012" s="6" t="n">
        <f aca="false">(Sens!F5993+Sens!F6011)*Sens!F6010/1000</f>
        <v>130.923271871467</v>
      </c>
      <c r="G6012" s="6" t="n">
        <f aca="false">(Sens!G5993+Sens!G6011)*Sens!G6010/1000</f>
        <v>151.5545564832</v>
      </c>
      <c r="H6012" s="6" t="n">
        <f aca="false">(Sens!H5993+Sens!H6011)*Sens!H6010/1000</f>
        <v>156.0606619104</v>
      </c>
      <c r="I6012" s="6" t="n">
        <f aca="false">(Sens!I5993+Sens!I6011)*Sens!I6010/1000</f>
        <v>186.319337257067</v>
      </c>
      <c r="J6012" s="6" t="n">
        <f aca="false">(Sens!J5993+Sens!J6011)*Sens!J6010/1000</f>
        <v>201.757436923733</v>
      </c>
      <c r="K6012" s="6" t="n">
        <f aca="false">(Sens!K5993+Sens!K6011)*Sens!K6010/1000</f>
        <v>246.8366879504</v>
      </c>
    </row>
    <row r="6013" customFormat="false" ht="17.15" hidden="false" customHeight="false" outlineLevel="0" collapsed="false">
      <c r="A6013" s="0" t="s">
        <v>753</v>
      </c>
      <c r="B6013" s="0" t="s">
        <v>95</v>
      </c>
      <c r="C6013" s="6" t="n">
        <f aca="false">Sens!C5993*self_build*tk_cxfac/1000</f>
        <v>6.2083</v>
      </c>
      <c r="D6013" s="6" t="n">
        <f aca="false">Sens!D5993*self_build*tk_cxfac/1000</f>
        <v>9.3758</v>
      </c>
      <c r="E6013" s="6" t="n">
        <f aca="false">Sens!E5993*self_build*tk_cxfac/1000</f>
        <v>18.6249</v>
      </c>
      <c r="F6013" s="6" t="n">
        <f aca="false">Sens!F5993*self_build*tk_cxfac/1000</f>
        <v>29.409604</v>
      </c>
      <c r="G6013" s="6" t="n">
        <f aca="false">Sens!G5993*self_build*tk_cxfac/1000</f>
        <v>32.019624</v>
      </c>
      <c r="H6013" s="6" t="n">
        <f aca="false">Sens!H5993*self_build*tk_cxfac/1000</f>
        <v>32.019624</v>
      </c>
      <c r="I6013" s="6" t="n">
        <f aca="false">Sens!I5993*self_build*tk_cxfac/1000</f>
        <v>32.019624</v>
      </c>
      <c r="J6013" s="6" t="n">
        <f aca="false">Sens!J5993*self_build*tk_cxfac/1000</f>
        <v>32.019624</v>
      </c>
      <c r="K6013" s="6" t="n">
        <f aca="false">Sens!K5993*self_build*tk_cxfac/1000</f>
        <v>32.019624</v>
      </c>
    </row>
    <row r="6014" customFormat="false" ht="17.15" hidden="false" customHeight="false" outlineLevel="0" collapsed="false">
      <c r="A6014" s="0" t="s">
        <v>754</v>
      </c>
      <c r="B6014" s="0" t="s">
        <v>95</v>
      </c>
      <c r="F6014" s="6" t="n">
        <f aca="false">MAX(0,capex_floor27-Sens!F6012-Sens!F6013-Sens!F6101)</f>
        <v>8.04777689897088</v>
      </c>
      <c r="G6014" s="6" t="n">
        <f aca="false">0</f>
        <v>0</v>
      </c>
      <c r="H6014" s="6" t="n">
        <f aca="false">0</f>
        <v>0</v>
      </c>
      <c r="I6014" s="6" t="n">
        <f aca="false">0</f>
        <v>0</v>
      </c>
      <c r="J6014" s="6" t="n">
        <f aca="false">0</f>
        <v>0</v>
      </c>
      <c r="K6014" s="6" t="n">
        <f aca="false">0</f>
        <v>0</v>
      </c>
      <c r="L6014" s="1" t="s">
        <v>755</v>
      </c>
    </row>
    <row r="6015" customFormat="false" ht="17.15" hidden="false" customHeight="false" outlineLevel="0" collapsed="false">
      <c r="A6015" s="0" t="s">
        <v>756</v>
      </c>
      <c r="B6015" s="0" t="s">
        <v>95</v>
      </c>
      <c r="C6015" s="6" t="n">
        <f aca="false">Sens!C6012</f>
        <v>22.5333845916667</v>
      </c>
      <c r="D6015" s="6" t="n">
        <f aca="false">Sens!D6012</f>
        <v>34.0300093833333</v>
      </c>
      <c r="E6015" s="6" t="n">
        <f aca="false">Sens!E6012</f>
        <v>67.600153775</v>
      </c>
      <c r="F6015" s="6" t="n">
        <f aca="false">Sens!F6012+Sens!F6014</f>
        <v>138.971048770438</v>
      </c>
      <c r="G6015" s="6" t="n">
        <f aca="false">Sens!G6012+Sens!G6014</f>
        <v>151.5545564832</v>
      </c>
      <c r="H6015" s="6" t="n">
        <f aca="false">Sens!H6012+Sens!H6014</f>
        <v>156.0606619104</v>
      </c>
      <c r="I6015" s="6" t="n">
        <f aca="false">Sens!I6012+Sens!I6014</f>
        <v>186.319337257067</v>
      </c>
      <c r="J6015" s="6" t="n">
        <f aca="false">Sens!J6012+Sens!J6014</f>
        <v>201.757436923733</v>
      </c>
      <c r="K6015" s="6" t="n">
        <f aca="false">Sens!K6012+Sens!K6014</f>
        <v>246.8366879504</v>
      </c>
    </row>
    <row r="6016" customFormat="false" ht="17.15" hidden="false" customHeight="false" outlineLevel="0" collapsed="false">
      <c r="A6016" s="0" t="s">
        <v>757</v>
      </c>
      <c r="B6016" s="0" t="s">
        <v>95</v>
      </c>
      <c r="C6016" s="6" t="n">
        <f aca="false">Sens!C6015+Sens!C6013</f>
        <v>28.7416845916667</v>
      </c>
      <c r="D6016" s="6" t="n">
        <f aca="false">Sens!D6015+Sens!D6013</f>
        <v>43.4058093833333</v>
      </c>
      <c r="E6016" s="6" t="n">
        <f aca="false">Sens!E6015+Sens!E6013</f>
        <v>86.225053775</v>
      </c>
      <c r="F6016" s="6" t="n">
        <f aca="false">Sens!F6015+Sens!F6013</f>
        <v>168.380652770438</v>
      </c>
      <c r="G6016" s="6" t="n">
        <f aca="false">Sens!G6015+Sens!G6013</f>
        <v>183.5741804832</v>
      </c>
      <c r="H6016" s="6" t="n">
        <f aca="false">Sens!H6015+Sens!H6013</f>
        <v>188.0802859104</v>
      </c>
      <c r="I6016" s="6" t="n">
        <f aca="false">Sens!I6015+Sens!I6013</f>
        <v>218.338961257067</v>
      </c>
      <c r="J6016" s="6" t="n">
        <f aca="false">Sens!J6015+Sens!J6013</f>
        <v>233.777060923733</v>
      </c>
      <c r="K6016" s="6" t="n">
        <f aca="false">Sens!K6015+Sens!K6013</f>
        <v>278.8563119504</v>
      </c>
      <c r="L6016" s="11" t="s">
        <v>758</v>
      </c>
    </row>
    <row r="6017" customFormat="false" ht="17.15" hidden="false" customHeight="false" outlineLevel="0" collapsed="false">
      <c r="A6017" s="0" t="s">
        <v>759</v>
      </c>
      <c r="B6017" s="0" t="s">
        <v>95</v>
      </c>
      <c r="E6017" s="6" t="n">
        <f aca="false">(Sens!C6015*IF(2&lt;life_it,1,IF(2=life_it,0.5,0))+Sens!D6015*IF(1&lt;life_it,1,IF(1=life_it,0.5,0))+Sens!E6015*0.5)/life_it</f>
        <v>15.0605784770833</v>
      </c>
      <c r="F6017" s="6" t="n">
        <f aca="false">(Sens!C6015*IF(3&lt;life_it,1,IF(3=life_it,0.5,0))+Sens!D6015*IF(2&lt;life_it,1,IF(2=life_it,0.5,0))+Sens!E6015*IF(1&lt;life_it,1,IF(1=life_it,0.5,0))+Sens!F6015*0.5)/life_it</f>
        <v>32.2748453558698</v>
      </c>
      <c r="G6017" s="6" t="n">
        <f aca="false">(Sens!C6015*IF(4&lt;life_it,1,IF(4=life_it,0.5,0))+Sens!D6015*IF(3&lt;life_it,1,IF(3=life_it,0.5,0))+Sens!E6015*IF(2&lt;life_it,1,IF(2=life_it,0.5,0))+Sens!F6015*IF(1&lt;life_it,1,IF(1=life_it,0.5,0))+Sens!G6015*0.5)/life_it</f>
        <v>56.4853124603396</v>
      </c>
      <c r="H6017" s="6" t="n">
        <f aca="false">(Sens!C6015*IF(5&lt;life_it,1,IF(5=life_it,0.5,0))+Sens!D6015*IF(4&lt;life_it,1,IF(4=life_it,0.5,0))+Sens!E6015*IF(3&lt;life_it,1,IF(3=life_it,0.5,0))+Sens!F6015*IF(2&lt;life_it,1,IF(2=life_it,0.5,0))+Sens!G6015*IF(1&lt;life_it,1,IF(1=life_it,0.5,0))+Sens!H6015*0.5)/life_it</f>
        <v>82.1199139931396</v>
      </c>
      <c r="I6017" s="6" t="n">
        <f aca="false">(Sens!C6015*IF(6&lt;life_it,1,IF(6=life_it,0.5,0))+Sens!D6015*IF(5&lt;life_it,1,IF(5=life_it,0.5,0))+Sens!E6015*IF(4&lt;life_it,1,IF(4=life_it,0.5,0))+Sens!F6015*IF(3&lt;life_it,1,IF(3=life_it,0.5,0))+Sens!G6015*IF(2&lt;life_it,1,IF(2=life_it,0.5,0))+Sens!H6015*IF(1&lt;life_it,1,IF(1=life_it,0.5,0))+Sens!I6015*0.5)/life_it</f>
        <v>108.773798541123</v>
      </c>
      <c r="J6017" s="6" t="n">
        <f aca="false">(Sens!C6015*IF(7&lt;life_it,1,IF(7=life_it,0.5,0))+Sens!D6015*IF(6&lt;life_it,1,IF(6=life_it,0.5,0))+Sens!E6015*IF(5&lt;life_it,1,IF(5=life_it,0.5,0))+Sens!F6015*IF(4&lt;life_it,1,IF(4=life_it,0.5,0))+Sens!G6015*IF(3&lt;life_it,1,IF(3=life_it,0.5,0))+Sens!H6015*IF(2&lt;life_it,1,IF(2=life_it,0.5,0))+Sens!I6015*IF(1&lt;life_it,1,IF(1=life_it,0.5,0))+Sens!J6015*0.5)/life_it</f>
        <v>136.399913558273</v>
      </c>
      <c r="K6017" s="6" t="n">
        <f aca="false">(Sens!C6015*IF(8&lt;life_it,1,IF(8=life_it,0.5,0))+Sens!D6015*IF(7&lt;life_it,1,IF(7=life_it,0.5,0))+Sens!E6015*IF(6&lt;life_it,1,IF(6=life_it,0.5,0))+Sens!F6015*IF(5&lt;life_it,1,IF(5=life_it,0.5,0))+Sens!G6015*IF(4&lt;life_it,1,IF(4=life_it,0.5,0))+Sens!H6015*IF(3&lt;life_it,1,IF(3=life_it,0.5,0))+Sens!I6015*IF(2&lt;life_it,1,IF(2=life_it,0.5,0))+Sens!J6015*IF(1&lt;life_it,1,IF(1=life_it,0.5,0))+Sens!K6015*0.5)/life_it</f>
        <v>165.31357703459</v>
      </c>
    </row>
    <row r="6018" customFormat="false" ht="17.15" hidden="false" customHeight="false" outlineLevel="0" collapsed="false">
      <c r="A6018" s="0" t="s">
        <v>760</v>
      </c>
      <c r="B6018" s="0" t="s">
        <v>95</v>
      </c>
      <c r="E6018" s="6" t="n">
        <f aca="false">(Sens!C6013*IF(2&lt;life_fac,1,IF(2=life_fac,0.5,0))+Sens!D6013*IF(1&lt;life_fac,1,IF(1=life_fac,0.5,0))+Sens!E6013*0.5)/life_fac</f>
        <v>1.2448275</v>
      </c>
      <c r="F6018" s="6" t="n">
        <f aca="false">(Sens!C6013*IF(3&lt;life_fac,1,IF(3=life_fac,0.5,0))+Sens!D6013*IF(2&lt;life_fac,1,IF(2=life_fac,0.5,0))+Sens!E6013*IF(1&lt;life_fac,1,IF(1=life_fac,0.5,0))+Sens!F6013*0.5)/life_fac</f>
        <v>2.4456901</v>
      </c>
      <c r="G6018" s="6" t="n">
        <f aca="false">(Sens!C6013*IF(4&lt;life_fac,1,IF(4=life_fac,0.5,0))+Sens!D6013*IF(3&lt;life_fac,1,IF(3=life_fac,0.5,0))+Sens!E6013*IF(2&lt;life_fac,1,IF(2=life_fac,0.5,0))+Sens!F6013*IF(1&lt;life_fac,1,IF(1=life_fac,0.5,0))+Sens!G6013*0.5)/life_fac</f>
        <v>3.9814208</v>
      </c>
      <c r="H6018" s="6" t="n">
        <f aca="false">(Sens!C6013*IF(5&lt;life_fac,1,IF(5=life_fac,0.5,0))+Sens!D6013*IF(4&lt;life_fac,1,IF(4=life_fac,0.5,0))+Sens!E6013*IF(3&lt;life_fac,1,IF(3=life_fac,0.5,0))+Sens!F6013*IF(2&lt;life_fac,1,IF(2=life_fac,0.5,0))+Sens!G6013*IF(1&lt;life_fac,1,IF(1=life_fac,0.5,0))+Sens!H6013*0.5)/life_fac</f>
        <v>5.582402</v>
      </c>
      <c r="I6018" s="6" t="n">
        <f aca="false">(Sens!C6013*IF(6&lt;life_fac,1,IF(6=life_fac,0.5,0))+Sens!D6013*IF(5&lt;life_fac,1,IF(5=life_fac,0.5,0))+Sens!E6013*IF(4&lt;life_fac,1,IF(4=life_fac,0.5,0))+Sens!F6013*IF(3&lt;life_fac,1,IF(3=life_fac,0.5,0))+Sens!G6013*IF(2&lt;life_fac,1,IF(2=life_fac,0.5,0))+Sens!H6013*IF(1&lt;life_fac,1,IF(1=life_fac,0.5,0))+Sens!I6013*0.5)/life_fac</f>
        <v>7.1833832</v>
      </c>
      <c r="J6018" s="6" t="n">
        <f aca="false">(Sens!C6013*IF(7&lt;life_fac,1,IF(7=life_fac,0.5,0))+Sens!D6013*IF(6&lt;life_fac,1,IF(6=life_fac,0.5,0))+Sens!E6013*IF(5&lt;life_fac,1,IF(5=life_fac,0.5,0))+Sens!F6013*IF(4&lt;life_fac,1,IF(4=life_fac,0.5,0))+Sens!G6013*IF(3&lt;life_fac,1,IF(3=life_fac,0.5,0))+Sens!H6013*IF(2&lt;life_fac,1,IF(2=life_fac,0.5,0))+Sens!I6013*IF(1&lt;life_fac,1,IF(1=life_fac,0.5,0))+Sens!J6013*0.5)/life_fac</f>
        <v>8.7843644</v>
      </c>
      <c r="K6018" s="6" t="n">
        <f aca="false">(Sens!C6013*IF(8&lt;life_fac,1,IF(8=life_fac,0.5,0))+Sens!D6013*IF(7&lt;life_fac,1,IF(7=life_fac,0.5,0))+Sens!E6013*IF(6&lt;life_fac,1,IF(6=life_fac,0.5,0))+Sens!F6013*IF(5&lt;life_fac,1,IF(5=life_fac,0.5,0))+Sens!G6013*IF(4&lt;life_fac,1,IF(4=life_fac,0.5,0))+Sens!H6013*IF(3&lt;life_fac,1,IF(3=life_fac,0.5,0))+Sens!I6013*IF(2&lt;life_fac,1,IF(2=life_fac,0.5,0))+Sens!J6013*IF(1&lt;life_fac,1,IF(1=life_fac,0.5,0))+Sens!K6013*0.5)/life_fac</f>
        <v>10.3853456</v>
      </c>
    </row>
    <row r="6019" customFormat="false" ht="17.15" hidden="false" customHeight="false" outlineLevel="0" collapsed="false">
      <c r="A6019" s="0" t="s">
        <v>761</v>
      </c>
      <c r="B6019" s="0" t="s">
        <v>95</v>
      </c>
      <c r="E6019" s="6" t="n">
        <f aca="false">Sens!E6017+Sens!E6018</f>
        <v>16.3054059770833</v>
      </c>
      <c r="F6019" s="6" t="n">
        <f aca="false">Sens!F6017+Sens!F6018</f>
        <v>34.7205354558698</v>
      </c>
      <c r="G6019" s="6" t="n">
        <f aca="false">Sens!G6017+Sens!G6018</f>
        <v>60.4667332603396</v>
      </c>
      <c r="H6019" s="6" t="n">
        <f aca="false">Sens!H6017+Sens!H6018</f>
        <v>87.7023159931396</v>
      </c>
      <c r="I6019" s="6" t="n">
        <f aca="false">Sens!I6017+Sens!I6018</f>
        <v>115.957181741123</v>
      </c>
      <c r="J6019" s="6" t="n">
        <f aca="false">Sens!J6017+Sens!J6018</f>
        <v>145.184277958273</v>
      </c>
      <c r="K6019" s="6" t="n">
        <f aca="false">Sens!K6017+Sens!K6018</f>
        <v>175.69892263459</v>
      </c>
    </row>
    <row r="6020" customFormat="false" ht="17.15" hidden="false" customHeight="false" outlineLevel="0" collapsed="false">
      <c r="A6020" s="0" t="s">
        <v>762</v>
      </c>
      <c r="B6020" s="0" t="s">
        <v>95</v>
      </c>
      <c r="E6020" s="6" t="n">
        <f aca="false">Sens!E6008-Sens!E6007*Sens!E6019</f>
        <v>8.92707889977379</v>
      </c>
      <c r="F6020" s="6" t="n">
        <f aca="false">Sens!F6008-Sens!F6007*Sens!F6019</f>
        <v>18.627119475672</v>
      </c>
      <c r="G6020" s="6" t="n">
        <f aca="false">Sens!G6008-Sens!G6007*Sens!G6019</f>
        <v>30.2727146016024</v>
      </c>
      <c r="H6020" s="6" t="n">
        <f aca="false">Sens!H6008-Sens!H6007*Sens!H6019</f>
        <v>42.5982553879752</v>
      </c>
      <c r="I6020" s="6" t="n">
        <f aca="false">Sens!I6008-Sens!I6007*Sens!I6019</f>
        <v>54.457531417819</v>
      </c>
      <c r="J6020" s="6" t="n">
        <f aca="false">Sens!J6008-Sens!J6007*Sens!J6019</f>
        <v>65.8094273229457</v>
      </c>
      <c r="K6020" s="6" t="n">
        <f aca="false">Sens!K6008-Sens!K6007*Sens!K6019</f>
        <v>76.4334766830945</v>
      </c>
    </row>
    <row r="6021" customFormat="false" ht="17.15" hidden="false" customHeight="false" outlineLevel="0" collapsed="false">
      <c r="A6021" s="3" t="s">
        <v>1285</v>
      </c>
    </row>
    <row r="6022" customFormat="false" ht="15" hidden="false" customHeight="false" outlineLevel="0" collapsed="false">
      <c r="A6022" s="4" t="s">
        <v>43</v>
      </c>
      <c r="B6022" s="4" t="s">
        <v>63</v>
      </c>
      <c r="C6022" s="19" t="s">
        <v>710</v>
      </c>
      <c r="D6022" s="19" t="s">
        <v>711</v>
      </c>
      <c r="E6022" s="19" t="s">
        <v>712</v>
      </c>
      <c r="F6022" s="19" t="s">
        <v>713</v>
      </c>
      <c r="G6022" s="19" t="s">
        <v>714</v>
      </c>
      <c r="H6022" s="19" t="s">
        <v>715</v>
      </c>
      <c r="I6022" s="19" t="s">
        <v>716</v>
      </c>
      <c r="J6022" s="19" t="s">
        <v>717</v>
      </c>
      <c r="K6022" s="19" t="s">
        <v>718</v>
      </c>
      <c r="L6022" s="4" t="s">
        <v>47</v>
      </c>
    </row>
    <row r="6023" customFormat="false" ht="17.15" hidden="false" customHeight="false" outlineLevel="0" collapsed="false">
      <c r="A6023" s="0" t="s">
        <v>780</v>
      </c>
      <c r="B6023" s="0" t="s">
        <v>95</v>
      </c>
      <c r="D6023" s="6" t="n">
        <f aca="false">Sens!D6002</f>
        <v>12.9359794422418</v>
      </c>
      <c r="E6023" s="6" t="n">
        <f aca="false">Sens!E6002</f>
        <v>27.8095064661409</v>
      </c>
      <c r="F6023" s="6" t="n">
        <f aca="false">Sens!F6002</f>
        <v>55.0640065749585</v>
      </c>
      <c r="G6023" s="6" t="n">
        <f aca="false">Sens!G6002</f>
        <v>89.4505413190538</v>
      </c>
      <c r="H6023" s="6" t="n">
        <f aca="false">Sens!H6002</f>
        <v>124.835630736874</v>
      </c>
      <c r="I6023" s="6" t="n">
        <f aca="false">Sens!I6002</f>
        <v>160.384516075608</v>
      </c>
      <c r="J6023" s="6" t="n">
        <f aca="false">Sens!J6002</f>
        <v>196.019025664981</v>
      </c>
      <c r="K6023" s="6" t="n">
        <f aca="false">Sens!K6002</f>
        <v>231.703903883012</v>
      </c>
    </row>
    <row r="6024" customFormat="false" ht="17.15" hidden="false" customHeight="false" outlineLevel="0" collapsed="false">
      <c r="A6024" s="0" t="s">
        <v>781</v>
      </c>
      <c r="B6024" s="0" t="s">
        <v>95</v>
      </c>
      <c r="D6024" s="6" t="n">
        <f aca="false">Q!L6-Sens!D6023</f>
        <v>59.6740205577583</v>
      </c>
      <c r="E6024" s="6" t="n">
        <f aca="false">Q!M6-Sens!E6023</f>
        <v>74.1284935338591</v>
      </c>
      <c r="F6024" s="6" t="n">
        <f aca="false">Sens!E6024*(1+Sens!F6025)</f>
        <v>90.0799497373663</v>
      </c>
      <c r="G6024" s="6" t="n">
        <f aca="false">Sens!F6024*(1+Sens!G6025)</f>
        <v>107.02842520331</v>
      </c>
      <c r="H6024" s="6" t="n">
        <f aca="false">Sens!G6024*(1+Sens!H6025)</f>
        <v>124.271982585636</v>
      </c>
      <c r="I6024" s="6" t="n">
        <f aca="false">Sens!H6024*(1+Sens!I6025)</f>
        <v>140.933702381855</v>
      </c>
      <c r="J6024" s="6" t="n">
        <f aca="false">Sens!I6024*(1+Sens!J6025)</f>
        <v>156.018867314332</v>
      </c>
      <c r="K6024" s="6" t="n">
        <f aca="false">Sens!J6024*(1+Sens!K6025)</f>
        <v>168.500376699478</v>
      </c>
    </row>
    <row r="6025" customFormat="false" ht="15" hidden="false" customHeight="false" outlineLevel="0" collapsed="false">
      <c r="A6025" s="1" t="s">
        <v>782</v>
      </c>
      <c r="B6025" s="0" t="s">
        <v>126</v>
      </c>
      <c r="E6025" s="7" t="n">
        <f aca="false">Sens!E6024/Sens!D6024-1</f>
        <v>0.242223883039864</v>
      </c>
      <c r="F6025" s="7" t="n">
        <f aca="false">Sens!$E$6025+(glt_azo-Sens!$E$6025)*MIN(1,1/n_conv)</f>
        <v>0.215186569199887</v>
      </c>
      <c r="G6025" s="7" t="n">
        <f aca="false">Sens!$E$6025+(glt_azo-Sens!$E$6025)*MIN(1,2/n_conv)</f>
        <v>0.18814925535991</v>
      </c>
      <c r="H6025" s="7" t="n">
        <f aca="false">Sens!$E$6025+(glt_azo-Sens!$E$6025)*MIN(1,3/n_conv)</f>
        <v>0.161111941519932</v>
      </c>
      <c r="I6025" s="7" t="n">
        <f aca="false">Sens!$E$6025+(glt_azo-Sens!$E$6025)*MIN(1,4/n_conv)</f>
        <v>0.134074627679955</v>
      </c>
      <c r="J6025" s="7" t="n">
        <f aca="false">Sens!$E$6025+(glt_azo-Sens!$E$6025)*MIN(1,5/n_conv)</f>
        <v>0.107037313839977</v>
      </c>
      <c r="K6025" s="7" t="n">
        <f aca="false">Sens!$E$6025+(glt_azo-Sens!$E$6025)*MIN(1,6/n_conv)</f>
        <v>0.08</v>
      </c>
    </row>
    <row r="6026" customFormat="false" ht="15" hidden="false" customHeight="false" outlineLevel="0" collapsed="false">
      <c r="A6026" s="0" t="s">
        <v>783</v>
      </c>
      <c r="B6026" s="0" t="s">
        <v>95</v>
      </c>
      <c r="D6026" s="6" t="n">
        <f aca="false">Sens!D6023+Sens!D6024</f>
        <v>72.61</v>
      </c>
      <c r="E6026" s="6" t="n">
        <f aca="false">Sens!E6023+Sens!E6024</f>
        <v>101.938</v>
      </c>
      <c r="F6026" s="6" t="n">
        <f aca="false">Sens!F6023+Sens!F6024</f>
        <v>145.143956312325</v>
      </c>
      <c r="G6026" s="6" t="n">
        <f aca="false">Sens!G6023+Sens!G6024</f>
        <v>196.478966522364</v>
      </c>
      <c r="H6026" s="6" t="n">
        <f aca="false">Sens!H6023+Sens!H6024</f>
        <v>249.10761332251</v>
      </c>
      <c r="I6026" s="6" t="n">
        <f aca="false">Sens!I6023+Sens!I6024</f>
        <v>301.318218457463</v>
      </c>
      <c r="J6026" s="6" t="n">
        <f aca="false">Sens!J6023+Sens!J6024</f>
        <v>352.037892979313</v>
      </c>
      <c r="K6026" s="6" t="n">
        <f aca="false">Sens!K6023+Sens!K6024</f>
        <v>400.20428058249</v>
      </c>
    </row>
    <row r="6027" customFormat="false" ht="17.15" hidden="false" customHeight="false" outlineLevel="0" collapsed="false">
      <c r="A6027" s="0" t="s">
        <v>784</v>
      </c>
      <c r="B6027" s="1" t="s">
        <v>451</v>
      </c>
      <c r="C6027" s="27" t="n">
        <f aca="false">cop_s24</f>
        <v>1</v>
      </c>
      <c r="D6027" s="27" t="n">
        <f aca="false">cop_s25</f>
        <v>5</v>
      </c>
      <c r="E6027" s="27" t="n">
        <f aca="false">cop_s26</f>
        <v>30</v>
      </c>
      <c r="F6027" s="27" t="n">
        <f aca="false">Sens!E6027+IF(2027&lt;=2029,cop_add_B,cop_add_B*cop_tail)</f>
        <v>50</v>
      </c>
      <c r="G6027" s="27" t="n">
        <f aca="false">Sens!F6027+IF(2028&lt;=2029,cop_add_B,cop_add_B*cop_tail)</f>
        <v>70</v>
      </c>
      <c r="H6027" s="27" t="n">
        <f aca="false">Sens!G6027+IF(2029&lt;=2029,cop_add_B,cop_add_B*cop_tail)</f>
        <v>90</v>
      </c>
      <c r="I6027" s="27" t="n">
        <f aca="false">Sens!H6027+IF(2030&lt;=2029,cop_add_B,cop_add_B*cop_tail)</f>
        <v>100</v>
      </c>
      <c r="J6027" s="27" t="n">
        <f aca="false">Sens!I6027+IF(2031&lt;=2029,cop_add_B,cop_add_B*cop_tail)</f>
        <v>110</v>
      </c>
      <c r="K6027" s="27" t="n">
        <f aca="false">Sens!J6027+IF(2032&lt;=2029,cop_add_B,cop_add_B*cop_tail)</f>
        <v>120</v>
      </c>
    </row>
    <row r="6028" customFormat="false" ht="17.15" hidden="false" customHeight="false" outlineLevel="0" collapsed="false">
      <c r="A6028" s="0" t="s">
        <v>785</v>
      </c>
      <c r="B6028" s="0" t="s">
        <v>95</v>
      </c>
      <c r="D6028" s="6" t="n">
        <f aca="false">(Sens!C6027+Sens!D6027)/2*cop_px*12/1000</f>
        <v>0.9</v>
      </c>
      <c r="E6028" s="6" t="n">
        <f aca="false">(Sens!D6027+Sens!E6027)/2*cop_px*12/1000</f>
        <v>5.25</v>
      </c>
      <c r="F6028" s="6" t="n">
        <f aca="false">(Sens!E6027+Sens!F6027)/2*cop_px_hi*12/1000</f>
        <v>14.4</v>
      </c>
      <c r="G6028" s="6" t="n">
        <f aca="false">(Sens!F6027+Sens!G6027)/2*cop_px_hi*12/1000</f>
        <v>21.6</v>
      </c>
      <c r="H6028" s="6" t="n">
        <f aca="false">(Sens!G6027+Sens!H6027)/2*cop_px_hi*12/1000</f>
        <v>28.8</v>
      </c>
      <c r="I6028" s="6" t="n">
        <f aca="false">(Sens!H6027+Sens!I6027)/2*cop_px_hi*12/1000</f>
        <v>34.2</v>
      </c>
      <c r="J6028" s="6" t="n">
        <f aca="false">(Sens!I6027+Sens!J6027)/2*cop_px_hi*12/1000</f>
        <v>37.8</v>
      </c>
      <c r="K6028" s="6" t="n">
        <f aca="false">(Sens!J6027+Sens!K6027)/2*cop_px_hi*12/1000</f>
        <v>41.4</v>
      </c>
      <c r="L6028" s="1" t="s">
        <v>786</v>
      </c>
    </row>
    <row r="6029" customFormat="false" ht="17.15" hidden="false" customHeight="false" outlineLevel="0" collapsed="false">
      <c r="A6029" s="0" t="s">
        <v>787</v>
      </c>
      <c r="B6029" s="0" t="s">
        <v>95</v>
      </c>
      <c r="D6029" s="6" t="n">
        <f aca="false">Q!L7-Sens!D6028</f>
        <v>83.705</v>
      </c>
      <c r="E6029" s="6" t="n">
        <f aca="false">Q!M7-Sens!E6028</f>
        <v>95.049</v>
      </c>
      <c r="F6029" s="6" t="n">
        <f aca="false">Sens!E6029*(1+Sens!F6030)</f>
        <v>106.89238776686</v>
      </c>
      <c r="G6029" s="6" t="n">
        <f aca="false">Sens!F6029*(1+Sens!G6030)</f>
        <v>119.044168448684</v>
      </c>
      <c r="H6029" s="6" t="n">
        <f aca="false">Sens!G6029*(1+Sens!H6030)</f>
        <v>131.277359388781</v>
      </c>
      <c r="I6029" s="6" t="n">
        <f aca="false">Sens!H6029*(1+Sens!I6030)</f>
        <v>143.334028071957</v>
      </c>
      <c r="J6029" s="6" t="n">
        <f aca="false">Sens!I6029*(1+Sens!J6030)</f>
        <v>154.932702785465</v>
      </c>
      <c r="K6029" s="6" t="n">
        <f aca="false">Sens!J6029*(1+Sens!K6030)</f>
        <v>165.777991980448</v>
      </c>
    </row>
    <row r="6030" customFormat="false" ht="15" hidden="false" customHeight="false" outlineLevel="0" collapsed="false">
      <c r="A6030" s="1" t="s">
        <v>782</v>
      </c>
      <c r="B6030" s="0" t="s">
        <v>126</v>
      </c>
      <c r="E6030" s="7" t="n">
        <f aca="false">Sens!E6029/Sens!D6029-1</f>
        <v>0.135523564900544</v>
      </c>
      <c r="F6030" s="7" t="n">
        <f aca="false">Sens!$E$6030+(glt_m365b-Sens!$E$6030)*MIN(1,1/n_conv)</f>
        <v>0.124602970750453</v>
      </c>
      <c r="G6030" s="7" t="n">
        <f aca="false">Sens!$E$6030+(glt_m365b-Sens!$E$6030)*MIN(1,2/n_conv)</f>
        <v>0.113682376600363</v>
      </c>
      <c r="H6030" s="7" t="n">
        <f aca="false">Sens!$E$6030+(glt_m365b-Sens!$E$6030)*MIN(1,3/n_conv)</f>
        <v>0.102761782450272</v>
      </c>
      <c r="I6030" s="7" t="n">
        <f aca="false">Sens!$E$6030+(glt_m365b-Sens!$E$6030)*MIN(1,4/n_conv)</f>
        <v>0.0918411883001813</v>
      </c>
      <c r="J6030" s="7" t="n">
        <f aca="false">Sens!$E$6030+(glt_m365b-Sens!$E$6030)*MIN(1,5/n_conv)</f>
        <v>0.0809205941500906</v>
      </c>
      <c r="K6030" s="7" t="n">
        <f aca="false">Sens!$E$6030+(glt_m365b-Sens!$E$6030)*MIN(1,6/n_conv)</f>
        <v>0.07</v>
      </c>
    </row>
    <row r="6031" customFormat="false" ht="15" hidden="false" customHeight="false" outlineLevel="0" collapsed="false">
      <c r="A6031" s="0" t="s">
        <v>788</v>
      </c>
      <c r="B6031" s="0" t="s">
        <v>95</v>
      </c>
      <c r="D6031" s="6" t="n">
        <f aca="false">Sens!D6029+Sens!D6028</f>
        <v>84.605</v>
      </c>
      <c r="E6031" s="6" t="n">
        <f aca="false">Sens!E6029+Sens!E6028</f>
        <v>100.299</v>
      </c>
      <c r="F6031" s="6" t="n">
        <f aca="false">Sens!F6029+Sens!F6028</f>
        <v>121.29238776686</v>
      </c>
      <c r="G6031" s="6" t="n">
        <f aca="false">Sens!G6029+Sens!G6028</f>
        <v>140.644168448684</v>
      </c>
      <c r="H6031" s="6" t="n">
        <f aca="false">Sens!H6029+Sens!H6028</f>
        <v>160.077359388781</v>
      </c>
      <c r="I6031" s="6" t="n">
        <f aca="false">Sens!I6029+Sens!I6028</f>
        <v>177.534028071957</v>
      </c>
      <c r="J6031" s="6" t="n">
        <f aca="false">Sens!J6029+Sens!J6028</f>
        <v>192.732702785465</v>
      </c>
      <c r="K6031" s="6" t="n">
        <f aca="false">Sens!K6029+Sens!K6028</f>
        <v>207.177991980448</v>
      </c>
    </row>
    <row r="6032" customFormat="false" ht="15" hidden="false" customHeight="false" outlineLevel="0" collapsed="false">
      <c r="A6032" s="0" t="s">
        <v>789</v>
      </c>
      <c r="B6032" s="0" t="s">
        <v>95</v>
      </c>
      <c r="D6032" s="6" t="n">
        <f aca="false">Q!L8</f>
        <v>35.391</v>
      </c>
      <c r="E6032" s="6" t="n">
        <f aca="false">Q!M8</f>
        <v>37.285</v>
      </c>
      <c r="F6032" s="6" t="n">
        <f aca="false">Sens!E6032*(1+Sens!F6033)</f>
        <v>39.0720834331704</v>
      </c>
      <c r="G6032" s="6" t="n">
        <f aca="false">Sens!F6032*(1+Sens!G6033)</f>
        <v>40.726562953769</v>
      </c>
      <c r="H6032" s="6" t="n">
        <f aca="false">Sens!G6032*(1+Sens!H6033)</f>
        <v>42.2235987259198</v>
      </c>
      <c r="I6032" s="6" t="n">
        <f aca="false">Sens!H6032*(1+Sens!I6033)</f>
        <v>43.5397988077414</v>
      </c>
      <c r="J6032" s="6" t="n">
        <f aca="false">Sens!I6032*(1+Sens!J6033)</f>
        <v>44.653811225693</v>
      </c>
      <c r="K6032" s="6" t="n">
        <f aca="false">Sens!J6032*(1+Sens!K6033)</f>
        <v>45.5468874502068</v>
      </c>
    </row>
    <row r="6033" customFormat="false" ht="15" hidden="false" customHeight="false" outlineLevel="0" collapsed="false">
      <c r="A6033" s="1" t="s">
        <v>782</v>
      </c>
      <c r="B6033" s="0" t="s">
        <v>126</v>
      </c>
      <c r="E6033" s="7" t="n">
        <f aca="false">Sens!E6032/Sens!D6032-1</f>
        <v>0.0535164307309768</v>
      </c>
      <c r="F6033" s="7" t="n">
        <f aca="false">Sens!$E$6033+(glt_lic-Sens!$E$6033)*MIN(1,1/n_conv)</f>
        <v>0.0479303589424807</v>
      </c>
      <c r="G6033" s="7" t="n">
        <f aca="false">Sens!$E$6033+(glt_lic-Sens!$E$6033)*MIN(1,2/n_conv)</f>
        <v>0.0423442871539845</v>
      </c>
      <c r="H6033" s="7" t="n">
        <f aca="false">Sens!$E$6033+(glt_lic-Sens!$E$6033)*MIN(1,3/n_conv)</f>
        <v>0.0367582153654884</v>
      </c>
      <c r="I6033" s="7" t="n">
        <f aca="false">Sens!$E$6033+(glt_lic-Sens!$E$6033)*MIN(1,4/n_conv)</f>
        <v>0.0311721435769923</v>
      </c>
      <c r="J6033" s="7" t="n">
        <f aca="false">Sens!$E$6033+(glt_lic-Sens!$E$6033)*MIN(1,5/n_conv)</f>
        <v>0.0255860717884961</v>
      </c>
      <c r="K6033" s="7" t="n">
        <f aca="false">Sens!$E$6033+(glt_lic-Sens!$E$6033)*MIN(1,6/n_conv)</f>
        <v>0.02</v>
      </c>
    </row>
    <row r="6034" customFormat="false" ht="15" hidden="false" customHeight="false" outlineLevel="0" collapsed="false">
      <c r="A6034" s="0" t="s">
        <v>790</v>
      </c>
      <c r="B6034" s="0" t="s">
        <v>95</v>
      </c>
      <c r="D6034" s="6" t="n">
        <f aca="false">Q!L9</f>
        <v>18.417</v>
      </c>
      <c r="E6034" s="6" t="n">
        <f aca="false">Q!M9</f>
        <v>20.345</v>
      </c>
      <c r="F6034" s="6" t="n">
        <f aca="false">Sens!E6034*(1+Sens!F6035)</f>
        <v>22.3572203267814</v>
      </c>
      <c r="G6034" s="6" t="n">
        <f aca="false">Sens!F6034*(1+Sens!G6035)</f>
        <v>24.4392124437232</v>
      </c>
      <c r="H6034" s="6" t="n">
        <f aca="false">Sens!G6034*(1+Sens!H6035)</f>
        <v>26.5738052080665</v>
      </c>
      <c r="I6034" s="6" t="n">
        <f aca="false">Sens!H6034*(1+Sens!I6035)</f>
        <v>28.7412169166967</v>
      </c>
      <c r="J6034" s="6" t="n">
        <f aca="false">Sens!I6034*(1+Sens!J6035)</f>
        <v>30.9192545395413</v>
      </c>
      <c r="K6034" s="6" t="n">
        <f aca="false">Sens!J6034*(1+Sens!K6035)</f>
        <v>33.0836023573092</v>
      </c>
    </row>
    <row r="6035" customFormat="false" ht="15" hidden="false" customHeight="false" outlineLevel="0" collapsed="false">
      <c r="A6035" s="1" t="s">
        <v>782</v>
      </c>
      <c r="B6035" s="0" t="s">
        <v>126</v>
      </c>
      <c r="E6035" s="7" t="n">
        <f aca="false">Sens!E6034/Sens!D6034-1</f>
        <v>0.104685888038225</v>
      </c>
      <c r="F6035" s="7" t="n">
        <f aca="false">Sens!$E$6035+(glt_ind-Sens!$E$6035)*MIN(1,1/n_conv)</f>
        <v>0.0989049066985211</v>
      </c>
      <c r="G6035" s="7" t="n">
        <f aca="false">Sens!$E$6035+(glt_ind-Sens!$E$6035)*MIN(1,2/n_conv)</f>
        <v>0.0931239253588169</v>
      </c>
      <c r="H6035" s="7" t="n">
        <f aca="false">Sens!$E$6035+(glt_ind-Sens!$E$6035)*MIN(1,3/n_conv)</f>
        <v>0.0873429440191127</v>
      </c>
      <c r="I6035" s="7" t="n">
        <f aca="false">Sens!$E$6035+(glt_ind-Sens!$E$6035)*MIN(1,4/n_conv)</f>
        <v>0.0815619626794085</v>
      </c>
      <c r="J6035" s="7" t="n">
        <f aca="false">Sens!$E$6035+(glt_ind-Sens!$E$6035)*MIN(1,5/n_conv)</f>
        <v>0.0757809813397042</v>
      </c>
      <c r="K6035" s="7" t="n">
        <f aca="false">Sens!$E$6035+(glt_ind-Sens!$E$6035)*MIN(1,6/n_conv)</f>
        <v>0.07</v>
      </c>
    </row>
    <row r="6036" customFormat="false" ht="15" hidden="false" customHeight="false" outlineLevel="0" collapsed="false">
      <c r="A6036" s="0" t="s">
        <v>791</v>
      </c>
      <c r="B6036" s="0" t="s">
        <v>95</v>
      </c>
      <c r="D6036" s="6" t="n">
        <f aca="false">Q!L10</f>
        <v>7.76</v>
      </c>
      <c r="E6036" s="6" t="n">
        <f aca="false">Q!M10</f>
        <v>8.26</v>
      </c>
      <c r="F6036" s="6" t="n">
        <f aca="false">Sens!E6036*(1+Sens!F6037)</f>
        <v>8.79988041237113</v>
      </c>
      <c r="G6036" s="6" t="n">
        <f aca="false">Sens!F6036*(1+Sens!G6037)</f>
        <v>9.38321269125306</v>
      </c>
      <c r="H6036" s="6" t="n">
        <f aca="false">Sens!G6036*(1+Sens!H6037)</f>
        <v>10.0139193587476</v>
      </c>
      <c r="I6036" s="6" t="n">
        <f aca="false">Sens!H6036*(1+Sens!I6037)</f>
        <v>10.6963111830911</v>
      </c>
      <c r="J6036" s="6" t="n">
        <f aca="false">Sens!I6036*(1+Sens!J6037)</f>
        <v>11.4351285534696</v>
      </c>
      <c r="K6036" s="6" t="n">
        <f aca="false">Sens!J6036*(1+Sens!K6037)</f>
        <v>12.2355875522124</v>
      </c>
    </row>
    <row r="6037" customFormat="false" ht="15" hidden="false" customHeight="false" outlineLevel="0" collapsed="false">
      <c r="A6037" s="1" t="s">
        <v>782</v>
      </c>
      <c r="B6037" s="0" t="s">
        <v>126</v>
      </c>
      <c r="E6037" s="7" t="n">
        <f aca="false">Sens!E6036/Sens!D6036-1</f>
        <v>0.0644329896907216</v>
      </c>
      <c r="F6037" s="7" t="n">
        <f aca="false">Sens!$E$6037+(glt_fro-Sens!$E$6037)*MIN(1,1/n_conv)</f>
        <v>0.065360824742268</v>
      </c>
      <c r="G6037" s="7" t="n">
        <f aca="false">Sens!$E$6037+(glt_fro-Sens!$E$6037)*MIN(1,2/n_conv)</f>
        <v>0.0662886597938144</v>
      </c>
      <c r="H6037" s="7" t="n">
        <f aca="false">Sens!$E$6037+(glt_fro-Sens!$E$6037)*MIN(1,3/n_conv)</f>
        <v>0.0672164948453608</v>
      </c>
      <c r="I6037" s="7" t="n">
        <f aca="false">Sens!$E$6037+(glt_fro-Sens!$E$6037)*MIN(1,4/n_conv)</f>
        <v>0.0681443298969072</v>
      </c>
      <c r="J6037" s="7" t="n">
        <f aca="false">Sens!$E$6037+(glt_fro-Sens!$E$6037)*MIN(1,5/n_conv)</f>
        <v>0.0690721649484536</v>
      </c>
      <c r="K6037" s="7" t="n">
        <f aca="false">Sens!$E$6037+(glt_fro-Sens!$E$6037)*MIN(1,6/n_conv)</f>
        <v>0.07</v>
      </c>
    </row>
    <row r="6038" customFormat="false" ht="15" hidden="false" customHeight="false" outlineLevel="0" collapsed="false">
      <c r="A6038" s="0" t="s">
        <v>626</v>
      </c>
      <c r="B6038" s="0" t="s">
        <v>95</v>
      </c>
      <c r="D6038" s="6" t="n">
        <f aca="false">Sens!D6026+Sens!D6031+Sens!D6032+Sens!D6034+Sens!D6036</f>
        <v>218.783</v>
      </c>
      <c r="E6038" s="6" t="n">
        <f aca="false">Sens!E6026+Sens!E6031+Sens!E6032+Sens!E6034+Sens!E6036</f>
        <v>268.127</v>
      </c>
      <c r="F6038" s="6" t="n">
        <f aca="false">Sens!F6026+Sens!F6031+Sens!F6032+Sens!F6034+Sens!F6036</f>
        <v>336.665528251508</v>
      </c>
      <c r="G6038" s="6" t="n">
        <f aca="false">Sens!G6026+Sens!G6031+Sens!G6032+Sens!G6034+Sens!G6036</f>
        <v>411.672123059793</v>
      </c>
      <c r="H6038" s="6" t="n">
        <f aca="false">Sens!H6026+Sens!H6031+Sens!H6032+Sens!H6034+Sens!H6036</f>
        <v>487.996296004025</v>
      </c>
      <c r="I6038" s="6" t="n">
        <f aca="false">Sens!I6026+Sens!I6031+Sens!I6032+Sens!I6034+Sens!I6036</f>
        <v>561.829573436949</v>
      </c>
      <c r="J6038" s="6" t="n">
        <f aca="false">Sens!J6026+Sens!J6031+Sens!J6032+Sens!J6034+Sens!J6036</f>
        <v>631.778790083482</v>
      </c>
      <c r="K6038" s="6" t="n">
        <f aca="false">Sens!K6026+Sens!K6031+Sens!K6032+Sens!K6034+Sens!K6036</f>
        <v>698.248349922667</v>
      </c>
    </row>
    <row r="6039" customFormat="false" ht="15" hidden="false" customHeight="false" outlineLevel="0" collapsed="false">
      <c r="A6039" s="0" t="s">
        <v>792</v>
      </c>
      <c r="B6039" s="0" t="s">
        <v>95</v>
      </c>
      <c r="D6039" s="6" t="n">
        <f aca="false">Q!L13</f>
        <v>22.171</v>
      </c>
      <c r="E6039" s="6" t="n">
        <f aca="false">Q!M13</f>
        <v>24.835</v>
      </c>
      <c r="F6039" s="6" t="n">
        <f aca="false">Sens!E6039*(1+Sens!F6040)</f>
        <v>27.6114901218559</v>
      </c>
      <c r="G6039" s="6" t="n">
        <f aca="false">Sens!F6039*(1+Sens!G6040)</f>
        <v>30.4675667338515</v>
      </c>
      <c r="H6039" s="6" t="n">
        <f aca="false">Sens!G6039*(1+Sens!H6040)</f>
        <v>33.3643766955789</v>
      </c>
      <c r="I6039" s="6" t="n">
        <f aca="false">Sens!H6039*(1+Sens!I6040)</f>
        <v>36.2577016533691</v>
      </c>
      <c r="J6039" s="6" t="n">
        <f aca="false">Sens!I6039*(1+Sens!J6040)</f>
        <v>39.0988367952171</v>
      </c>
      <c r="K6039" s="6" t="n">
        <f aca="false">Sens!J6039*(1+Sens!K6040)</f>
        <v>41.8357553708823</v>
      </c>
    </row>
    <row r="6040" customFormat="false" ht="15" hidden="false" customHeight="false" outlineLevel="0" collapsed="false">
      <c r="A6040" s="1" t="s">
        <v>782</v>
      </c>
      <c r="B6040" s="0" t="s">
        <v>126</v>
      </c>
      <c r="E6040" s="7" t="n">
        <f aca="false">Sens!E6039/Sens!D6039-1</f>
        <v>0.120156961796942</v>
      </c>
      <c r="F6040" s="7" t="n">
        <f aca="false">Sens!$E$6040+(glt_srch-Sens!$E$6040)*MIN(1,1/n_conv)</f>
        <v>0.111797468164118</v>
      </c>
      <c r="G6040" s="7" t="n">
        <f aca="false">Sens!$E$6040+(glt_srch-Sens!$E$6040)*MIN(1,2/n_conv)</f>
        <v>0.103437974531295</v>
      </c>
      <c r="H6040" s="7" t="n">
        <f aca="false">Sens!$E$6040+(glt_srch-Sens!$E$6040)*MIN(1,3/n_conv)</f>
        <v>0.095078480898471</v>
      </c>
      <c r="I6040" s="7" t="n">
        <f aca="false">Sens!$E$6040+(glt_srch-Sens!$E$6040)*MIN(1,4/n_conv)</f>
        <v>0.0867189872656474</v>
      </c>
      <c r="J6040" s="7" t="n">
        <f aca="false">Sens!$E$6040+(glt_srch-Sens!$E$6040)*MIN(1,5/n_conv)</f>
        <v>0.0783594936328237</v>
      </c>
      <c r="K6040" s="7" t="n">
        <f aca="false">Sens!$E$6040+(glt_srch-Sens!$E$6040)*MIN(1,6/n_conv)</f>
        <v>0.07</v>
      </c>
    </row>
    <row r="6041" customFormat="false" ht="15" hidden="false" customHeight="false" outlineLevel="0" collapsed="false">
      <c r="A6041" s="0" t="s">
        <v>793</v>
      </c>
      <c r="B6041" s="0" t="s">
        <v>95</v>
      </c>
      <c r="D6041" s="6" t="n">
        <f aca="false">Q!L14</f>
        <v>23.455</v>
      </c>
      <c r="E6041" s="6" t="n">
        <f aca="false">Q!M14</f>
        <v>21.79</v>
      </c>
      <c r="F6041" s="6" t="n">
        <f aca="false">Sens!E6041*(1+Sens!F6042)</f>
        <v>20.5736277908051</v>
      </c>
      <c r="G6041" s="6" t="n">
        <f aca="false">Sens!F6041*(1+Sens!G6042)</f>
        <v>19.7371452817919</v>
      </c>
      <c r="H6041" s="6" t="n">
        <f aca="false">Sens!G6041*(1+Sens!H6042)</f>
        <v>19.2339764043138</v>
      </c>
      <c r="I6041" s="6" t="n">
        <f aca="false">Sens!H6041*(1+Sens!I6042)</f>
        <v>19.0353086852681</v>
      </c>
      <c r="J6041" s="6" t="n">
        <f aca="false">Sens!I6041*(1+Sens!J6042)</f>
        <v>19.1273539319129</v>
      </c>
      <c r="K6041" s="6" t="n">
        <f aca="false">Sens!J6041*(1+Sens!K6042)</f>
        <v>19.5099010105511</v>
      </c>
    </row>
    <row r="6042" customFormat="false" ht="15" hidden="false" customHeight="false" outlineLevel="0" collapsed="false">
      <c r="A6042" s="1" t="s">
        <v>782</v>
      </c>
      <c r="B6042" s="0" t="s">
        <v>126</v>
      </c>
      <c r="E6042" s="7" t="n">
        <f aca="false">Sens!E6041/Sens!D6041-1</f>
        <v>-0.0709869963760392</v>
      </c>
      <c r="F6042" s="7" t="n">
        <f aca="false">Sens!$E$6042+(glt_xbox-Sens!$E$6042)*MIN(1,1/n_conv)</f>
        <v>-0.0558224969800327</v>
      </c>
      <c r="G6042" s="7" t="n">
        <f aca="false">Sens!$E$6042+(glt_xbox-Sens!$E$6042)*MIN(1,2/n_conv)</f>
        <v>-0.0406579975840262</v>
      </c>
      <c r="H6042" s="7" t="n">
        <f aca="false">Sens!$E$6042+(glt_xbox-Sens!$E$6042)*MIN(1,3/n_conv)</f>
        <v>-0.0254934981880196</v>
      </c>
      <c r="I6042" s="7" t="n">
        <f aca="false">Sens!$E$6042+(glt_xbox-Sens!$E$6042)*MIN(1,4/n_conv)</f>
        <v>-0.0103289987920131</v>
      </c>
      <c r="J6042" s="7" t="n">
        <f aca="false">Sens!$E$6042+(glt_xbox-Sens!$E$6042)*MIN(1,5/n_conv)</f>
        <v>0.00483550060399347</v>
      </c>
      <c r="K6042" s="7" t="n">
        <f aca="false">Sens!$E$6042+(glt_xbox-Sens!$E$6042)*MIN(1,6/n_conv)</f>
        <v>0.02</v>
      </c>
    </row>
    <row r="6043" customFormat="false" ht="15" hidden="false" customHeight="false" outlineLevel="0" collapsed="false">
      <c r="A6043" s="0" t="s">
        <v>794</v>
      </c>
      <c r="B6043" s="0" t="s">
        <v>95</v>
      </c>
      <c r="D6043" s="6" t="n">
        <f aca="false">Q!L15</f>
        <v>17.315</v>
      </c>
      <c r="E6043" s="6" t="n">
        <f aca="false">Q!M15</f>
        <v>17.087</v>
      </c>
      <c r="F6043" s="6" t="n">
        <f aca="false">Sens!E6043*(1+Sens!F6044)</f>
        <v>16.9564585436519</v>
      </c>
      <c r="G6043" s="6" t="n">
        <f aca="false">Sens!F6043*(1+Sens!G6044)</f>
        <v>16.9206490624268</v>
      </c>
      <c r="H6043" s="6" t="n">
        <f aca="false">Sens!G6043*(1+Sens!H6044)</f>
        <v>16.9784519149849</v>
      </c>
      <c r="I6043" s="6" t="n">
        <f aca="false">Sens!H6043*(1+Sens!I6044)</f>
        <v>17.1303084701817</v>
      </c>
      <c r="J6043" s="6" t="n">
        <f aca="false">Sens!I6043*(1+Sens!J6044)</f>
        <v>17.3782189407267</v>
      </c>
      <c r="K6043" s="6" t="n">
        <f aca="false">Sens!J6043*(1+Sens!K6044)</f>
        <v>17.7257833195413</v>
      </c>
    </row>
    <row r="6044" customFormat="false" ht="15" hidden="false" customHeight="false" outlineLevel="0" collapsed="false">
      <c r="A6044" s="1" t="s">
        <v>782</v>
      </c>
      <c r="B6044" s="0" t="s">
        <v>126</v>
      </c>
      <c r="E6044" s="7" t="n">
        <f aca="false">Sens!E6043/Sens!D6043-1</f>
        <v>-0.0131677736066995</v>
      </c>
      <c r="F6044" s="7" t="n">
        <f aca="false">Sens!$E$6044+(glt_win-Sens!$E$6044)*MIN(1,1/n_conv)</f>
        <v>-0.00763981133891627</v>
      </c>
      <c r="G6044" s="7" t="n">
        <f aca="false">Sens!$E$6044+(glt_win-Sens!$E$6044)*MIN(1,2/n_conv)</f>
        <v>-0.00211184907113301</v>
      </c>
      <c r="H6044" s="7" t="n">
        <f aca="false">Sens!$E$6044+(glt_win-Sens!$E$6044)*MIN(1,3/n_conv)</f>
        <v>0.00341611319665024</v>
      </c>
      <c r="I6044" s="7" t="n">
        <f aca="false">Sens!$E$6044+(glt_win-Sens!$E$6044)*MIN(1,4/n_conv)</f>
        <v>0.00894407546443349</v>
      </c>
      <c r="J6044" s="7" t="n">
        <f aca="false">Sens!$E$6044+(glt_win-Sens!$E$6044)*MIN(1,5/n_conv)</f>
        <v>0.0144720377322168</v>
      </c>
      <c r="K6044" s="7" t="n">
        <f aca="false">Sens!$E$6044+(glt_win-Sens!$E$6044)*MIN(1,6/n_conv)</f>
        <v>0.02</v>
      </c>
    </row>
    <row r="6045" customFormat="false" ht="15" hidden="false" customHeight="false" outlineLevel="0" collapsed="false">
      <c r="A6045" s="0" t="s">
        <v>640</v>
      </c>
      <c r="B6045" s="0" t="s">
        <v>95</v>
      </c>
      <c r="D6045" s="6" t="n">
        <f aca="false">Sens!D6039+Sens!D6041+Sens!D6043</f>
        <v>62.941</v>
      </c>
      <c r="E6045" s="6" t="n">
        <f aca="false">Sens!E6039+Sens!E6041+Sens!E6043</f>
        <v>63.712</v>
      </c>
      <c r="F6045" s="6" t="n">
        <f aca="false">Sens!F6039+Sens!F6041+Sens!F6043</f>
        <v>65.1415764563129</v>
      </c>
      <c r="G6045" s="6" t="n">
        <f aca="false">Sens!G6039+Sens!G6041+Sens!G6043</f>
        <v>67.1253610780702</v>
      </c>
      <c r="H6045" s="6" t="n">
        <f aca="false">Sens!H6039+Sens!H6041+Sens!H6043</f>
        <v>69.5768050148776</v>
      </c>
      <c r="I6045" s="6" t="n">
        <f aca="false">Sens!I6039+Sens!I6041+Sens!I6043</f>
        <v>72.4233188088189</v>
      </c>
      <c r="J6045" s="6" t="n">
        <f aca="false">Sens!J6039+Sens!J6041+Sens!J6043</f>
        <v>75.6044096678567</v>
      </c>
      <c r="K6045" s="6" t="n">
        <f aca="false">Sens!K6039+Sens!K6041+Sens!K6043</f>
        <v>79.0714397009747</v>
      </c>
    </row>
    <row r="6046" customFormat="false" ht="15" hidden="false" customHeight="false" outlineLevel="0" collapsed="false">
      <c r="A6046" s="1" t="s">
        <v>795</v>
      </c>
      <c r="B6046" s="0" t="s">
        <v>95</v>
      </c>
      <c r="D6046" s="6" t="n">
        <f aca="false">Sens!D6038+Sens!D6045</f>
        <v>281.724</v>
      </c>
      <c r="E6046" s="6" t="n">
        <f aca="false">Sens!E6038+Sens!E6045</f>
        <v>331.839</v>
      </c>
      <c r="F6046" s="6" t="n">
        <f aca="false">Sens!F6038+Sens!F6045</f>
        <v>401.807104707821</v>
      </c>
      <c r="G6046" s="6" t="n">
        <f aca="false">Sens!G6038+Sens!G6045</f>
        <v>478.797484137863</v>
      </c>
      <c r="H6046" s="6" t="n">
        <f aca="false">Sens!H6038+Sens!H6045</f>
        <v>557.573101018903</v>
      </c>
      <c r="I6046" s="6" t="n">
        <f aca="false">Sens!I6038+Sens!I6045</f>
        <v>634.252892245768</v>
      </c>
      <c r="J6046" s="6" t="n">
        <f aca="false">Sens!J6038+Sens!J6045</f>
        <v>707.383199751338</v>
      </c>
      <c r="K6046" s="6" t="n">
        <f aca="false">Sens!K6038+Sens!K6045</f>
        <v>777.319789623641</v>
      </c>
    </row>
    <row r="6047" customFormat="false" ht="15" hidden="false" customHeight="false" outlineLevel="0" collapsed="false">
      <c r="A6047" s="22" t="s">
        <v>796</v>
      </c>
      <c r="B6047" s="28" t="s">
        <v>95</v>
      </c>
      <c r="C6047" s="28"/>
      <c r="D6047" s="23" t="n">
        <f aca="false">(Sens!D6026+Sens!D6031+Sens!D6032+Sens!D6034+Sens!D6036-Sens!D6038)+(Sens!D6039+Sens!D6041+Sens!D6043-Sens!D6045)+(Sens!D6038-Q!L5)+(Sens!D6045-Q!L12)+(Sens!D6026-Q!L6)+(Sens!D6031-Q!L7)</f>
        <v>0</v>
      </c>
      <c r="E6047" s="23" t="n">
        <f aca="false">(Sens!E6026+Sens!E6031+Sens!E6032+Sens!E6034+Sens!E6036-Sens!E6038)+(Sens!E6039+Sens!E6041+Sens!E6043-Sens!E6045)+(Sens!E6038-Q!M5)+(Sens!E6045-Q!M12)+(Sens!E6026-Q!M6)+(Sens!E6031-Q!M7)</f>
        <v>0</v>
      </c>
      <c r="F6047" s="23" t="n">
        <f aca="false">(Sens!F6026+Sens!F6031+Sens!F6032+Sens!F6034+Sens!F6036-Sens!F6038)+(Sens!F6039+Sens!F6041+Sens!F6043-Sens!F6045)</f>
        <v>0</v>
      </c>
      <c r="G6047" s="23" t="n">
        <f aca="false">(Sens!G6026+Sens!G6031+Sens!G6032+Sens!G6034+Sens!G6036-Sens!G6038)+(Sens!G6039+Sens!G6041+Sens!G6043-Sens!G6045)</f>
        <v>0</v>
      </c>
      <c r="H6047" s="23" t="n">
        <f aca="false">(Sens!H6026+Sens!H6031+Sens!H6032+Sens!H6034+Sens!H6036-Sens!H6038)+(Sens!H6039+Sens!H6041+Sens!H6043-Sens!H6045)</f>
        <v>0</v>
      </c>
      <c r="I6047" s="23" t="n">
        <f aca="false">(Sens!I6026+Sens!I6031+Sens!I6032+Sens!I6034+Sens!I6036-Sens!I6038)+(Sens!I6039+Sens!I6041+Sens!I6043-Sens!I6045)</f>
        <v>0</v>
      </c>
      <c r="J6047" s="23" t="n">
        <f aca="false">(Sens!J6026+Sens!J6031+Sens!J6032+Sens!J6034+Sens!J6036-Sens!J6038)+(Sens!J6039+Sens!J6041+Sens!J6043-Sens!J6045)</f>
        <v>0</v>
      </c>
      <c r="K6047" s="23" t="n">
        <f aca="false">(Sens!K6026+Sens!K6031+Sens!K6032+Sens!K6034+Sens!K6036-Sens!K6038)+(Sens!K6039+Sens!K6041+Sens!K6043-Sens!K6045)</f>
        <v>0</v>
      </c>
    </row>
    <row r="6048" customFormat="false" ht="17.15" hidden="false" customHeight="false" outlineLevel="0" collapsed="false">
      <c r="A6048" s="3" t="s">
        <v>1286</v>
      </c>
    </row>
    <row r="6049" customFormat="false" ht="15" hidden="false" customHeight="false" outlineLevel="0" collapsed="false">
      <c r="A6049" s="4" t="s">
        <v>43</v>
      </c>
      <c r="B6049" s="4" t="s">
        <v>63</v>
      </c>
      <c r="C6049" s="19" t="s">
        <v>710</v>
      </c>
      <c r="D6049" s="19" t="s">
        <v>711</v>
      </c>
      <c r="E6049" s="19" t="s">
        <v>712</v>
      </c>
      <c r="F6049" s="19" t="s">
        <v>713</v>
      </c>
      <c r="G6049" s="19" t="s">
        <v>714</v>
      </c>
      <c r="H6049" s="19" t="s">
        <v>715</v>
      </c>
      <c r="I6049" s="19" t="s">
        <v>716</v>
      </c>
      <c r="J6049" s="19" t="s">
        <v>717</v>
      </c>
      <c r="K6049" s="19" t="s">
        <v>718</v>
      </c>
      <c r="L6049" s="4" t="s">
        <v>47</v>
      </c>
    </row>
    <row r="6050" customFormat="false" ht="15" hidden="false" customHeight="false" outlineLevel="0" collapsed="false">
      <c r="A6050" s="0" t="s">
        <v>783</v>
      </c>
      <c r="B6050" s="0" t="s">
        <v>95</v>
      </c>
      <c r="D6050" s="6" t="n">
        <f aca="false">Sens!D6026</f>
        <v>72.61</v>
      </c>
      <c r="E6050" s="6" t="n">
        <f aca="false">Sens!E6026</f>
        <v>101.938</v>
      </c>
      <c r="F6050" s="6" t="n">
        <f aca="false">Sens!F6026</f>
        <v>145.143956312325</v>
      </c>
      <c r="G6050" s="6" t="n">
        <f aca="false">Sens!G6026</f>
        <v>196.478966522364</v>
      </c>
      <c r="H6050" s="6" t="n">
        <f aca="false">Sens!H6026</f>
        <v>249.10761332251</v>
      </c>
      <c r="I6050" s="6" t="n">
        <f aca="false">Sens!I6026</f>
        <v>301.318218457463</v>
      </c>
      <c r="J6050" s="6" t="n">
        <f aca="false">Sens!J6026</f>
        <v>352.037892979313</v>
      </c>
      <c r="K6050" s="6" t="n">
        <f aca="false">Sens!K6026</f>
        <v>400.20428058249</v>
      </c>
    </row>
    <row r="6051" customFormat="false" ht="17.15" hidden="false" customHeight="false" outlineLevel="0" collapsed="false">
      <c r="A6051" s="0" t="s">
        <v>780</v>
      </c>
      <c r="B6051" s="0" t="s">
        <v>95</v>
      </c>
      <c r="D6051" s="6" t="n">
        <f aca="false">Sens!D6023</f>
        <v>12.9359794422418</v>
      </c>
      <c r="E6051" s="6" t="n">
        <f aca="false">Sens!E6023</f>
        <v>27.8095064661409</v>
      </c>
      <c r="F6051" s="6" t="n">
        <f aca="false">Sens!F6023</f>
        <v>55.0640065749585</v>
      </c>
      <c r="G6051" s="6" t="n">
        <f aca="false">Sens!G6023</f>
        <v>89.4505413190538</v>
      </c>
      <c r="H6051" s="6" t="n">
        <f aca="false">Sens!H6023</f>
        <v>124.835630736874</v>
      </c>
      <c r="I6051" s="6" t="n">
        <f aca="false">Sens!I6023</f>
        <v>160.384516075608</v>
      </c>
      <c r="J6051" s="6" t="n">
        <f aca="false">Sens!J6023</f>
        <v>196.019025664981</v>
      </c>
      <c r="K6051" s="6" t="n">
        <f aca="false">Sens!K6023</f>
        <v>231.703903883012</v>
      </c>
    </row>
    <row r="6052" customFormat="false" ht="17.15" hidden="false" customHeight="false" outlineLevel="0" collapsed="false">
      <c r="A6052" s="0" t="s">
        <v>807</v>
      </c>
      <c r="B6052" s="0" t="s">
        <v>95</v>
      </c>
      <c r="D6052" s="6" t="n">
        <f aca="false">Sens!D6024</f>
        <v>59.6740205577583</v>
      </c>
      <c r="E6052" s="6" t="n">
        <f aca="false">Sens!E6024</f>
        <v>74.1284935338591</v>
      </c>
      <c r="F6052" s="6" t="n">
        <f aca="false">Sens!F6024</f>
        <v>90.0799497373663</v>
      </c>
      <c r="G6052" s="6" t="n">
        <f aca="false">Sens!G6024</f>
        <v>107.02842520331</v>
      </c>
      <c r="H6052" s="6" t="n">
        <f aca="false">Sens!H6024</f>
        <v>124.271982585636</v>
      </c>
      <c r="I6052" s="6" t="n">
        <f aca="false">Sens!I6024</f>
        <v>140.933702381855</v>
      </c>
      <c r="J6052" s="6" t="n">
        <f aca="false">Sens!J6024</f>
        <v>156.018867314332</v>
      </c>
      <c r="K6052" s="6" t="n">
        <f aca="false">Sens!K6024</f>
        <v>168.500376699478</v>
      </c>
    </row>
    <row r="6053" customFormat="false" ht="15" hidden="false" customHeight="false" outlineLevel="0" collapsed="false">
      <c r="A6053" s="0" t="s">
        <v>788</v>
      </c>
      <c r="B6053" s="0" t="s">
        <v>95</v>
      </c>
      <c r="D6053" s="6" t="n">
        <f aca="false">Sens!D6031</f>
        <v>84.605</v>
      </c>
      <c r="E6053" s="6" t="n">
        <f aca="false">Sens!E6031</f>
        <v>100.299</v>
      </c>
      <c r="F6053" s="6" t="n">
        <f aca="false">Sens!F6031</f>
        <v>121.29238776686</v>
      </c>
      <c r="G6053" s="6" t="n">
        <f aca="false">Sens!G6031</f>
        <v>140.644168448684</v>
      </c>
      <c r="H6053" s="6" t="n">
        <f aca="false">Sens!H6031</f>
        <v>160.077359388781</v>
      </c>
      <c r="I6053" s="6" t="n">
        <f aca="false">Sens!I6031</f>
        <v>177.534028071957</v>
      </c>
      <c r="J6053" s="6" t="n">
        <f aca="false">Sens!J6031</f>
        <v>192.732702785465</v>
      </c>
      <c r="K6053" s="6" t="n">
        <f aca="false">Sens!K6031</f>
        <v>207.177991980448</v>
      </c>
    </row>
    <row r="6054" customFormat="false" ht="17.15" hidden="false" customHeight="false" outlineLevel="0" collapsed="false">
      <c r="A6054" s="0" t="s">
        <v>808</v>
      </c>
      <c r="B6054" s="0" t="s">
        <v>95</v>
      </c>
      <c r="D6054" s="6" t="n">
        <f aca="false">Sens!D6029</f>
        <v>83.705</v>
      </c>
      <c r="E6054" s="6" t="n">
        <f aca="false">Sens!E6029</f>
        <v>95.049</v>
      </c>
      <c r="F6054" s="6" t="n">
        <f aca="false">Sens!F6029</f>
        <v>106.89238776686</v>
      </c>
      <c r="G6054" s="6" t="n">
        <f aca="false">Sens!G6029</f>
        <v>119.044168448684</v>
      </c>
      <c r="H6054" s="6" t="n">
        <f aca="false">Sens!H6029</f>
        <v>131.277359388781</v>
      </c>
      <c r="I6054" s="6" t="n">
        <f aca="false">Sens!I6029</f>
        <v>143.334028071957</v>
      </c>
      <c r="J6054" s="6" t="n">
        <f aca="false">Sens!J6029</f>
        <v>154.932702785465</v>
      </c>
      <c r="K6054" s="6" t="n">
        <f aca="false">Sens!K6029</f>
        <v>165.777991980448</v>
      </c>
    </row>
    <row r="6055" customFormat="false" ht="17.15" hidden="false" customHeight="false" outlineLevel="0" collapsed="false">
      <c r="A6055" s="0" t="s">
        <v>809</v>
      </c>
      <c r="B6055" s="0" t="s">
        <v>95</v>
      </c>
      <c r="D6055" s="6" t="n">
        <f aca="false">Sens!D6028</f>
        <v>0.9</v>
      </c>
      <c r="E6055" s="6" t="n">
        <f aca="false">Sens!E6028</f>
        <v>5.25</v>
      </c>
      <c r="F6055" s="6" t="n">
        <f aca="false">Sens!F6028</f>
        <v>14.4</v>
      </c>
      <c r="G6055" s="6" t="n">
        <f aca="false">Sens!G6028</f>
        <v>21.6</v>
      </c>
      <c r="H6055" s="6" t="n">
        <f aca="false">Sens!H6028</f>
        <v>28.8</v>
      </c>
      <c r="I6055" s="6" t="n">
        <f aca="false">Sens!I6028</f>
        <v>34.2</v>
      </c>
      <c r="J6055" s="6" t="n">
        <f aca="false">Sens!J6028</f>
        <v>37.8</v>
      </c>
      <c r="K6055" s="6" t="n">
        <f aca="false">Sens!K6028</f>
        <v>41.4</v>
      </c>
    </row>
    <row r="6056" customFormat="false" ht="15" hidden="false" customHeight="false" outlineLevel="0" collapsed="false">
      <c r="A6056" s="0" t="s">
        <v>789</v>
      </c>
      <c r="B6056" s="0" t="s">
        <v>95</v>
      </c>
      <c r="D6056" s="6" t="n">
        <f aca="false">Sens!D6032</f>
        <v>35.391</v>
      </c>
      <c r="E6056" s="6" t="n">
        <f aca="false">Sens!E6032</f>
        <v>37.285</v>
      </c>
      <c r="F6056" s="6" t="n">
        <f aca="false">Sens!F6032</f>
        <v>39.0720834331704</v>
      </c>
      <c r="G6056" s="6" t="n">
        <f aca="false">Sens!G6032</f>
        <v>40.726562953769</v>
      </c>
      <c r="H6056" s="6" t="n">
        <f aca="false">Sens!H6032</f>
        <v>42.2235987259198</v>
      </c>
      <c r="I6056" s="6" t="n">
        <f aca="false">Sens!I6032</f>
        <v>43.5397988077414</v>
      </c>
      <c r="J6056" s="6" t="n">
        <f aca="false">Sens!J6032</f>
        <v>44.653811225693</v>
      </c>
      <c r="K6056" s="6" t="n">
        <f aca="false">Sens!K6032</f>
        <v>45.5468874502068</v>
      </c>
    </row>
    <row r="6057" customFormat="false" ht="15" hidden="false" customHeight="false" outlineLevel="0" collapsed="false">
      <c r="A6057" s="0" t="s">
        <v>790</v>
      </c>
      <c r="B6057" s="0" t="s">
        <v>95</v>
      </c>
      <c r="D6057" s="6" t="n">
        <f aca="false">Sens!D6034</f>
        <v>18.417</v>
      </c>
      <c r="E6057" s="6" t="n">
        <f aca="false">Sens!E6034</f>
        <v>20.345</v>
      </c>
      <c r="F6057" s="6" t="n">
        <f aca="false">Sens!F6034</f>
        <v>22.3572203267814</v>
      </c>
      <c r="G6057" s="6" t="n">
        <f aca="false">Sens!G6034</f>
        <v>24.4392124437232</v>
      </c>
      <c r="H6057" s="6" t="n">
        <f aca="false">Sens!H6034</f>
        <v>26.5738052080665</v>
      </c>
      <c r="I6057" s="6" t="n">
        <f aca="false">Sens!I6034</f>
        <v>28.7412169166967</v>
      </c>
      <c r="J6057" s="6" t="n">
        <f aca="false">Sens!J6034</f>
        <v>30.9192545395413</v>
      </c>
      <c r="K6057" s="6" t="n">
        <f aca="false">Sens!K6034</f>
        <v>33.0836023573092</v>
      </c>
    </row>
    <row r="6058" customFormat="false" ht="15" hidden="false" customHeight="false" outlineLevel="0" collapsed="false">
      <c r="A6058" s="0" t="s">
        <v>791</v>
      </c>
      <c r="B6058" s="0" t="s">
        <v>95</v>
      </c>
      <c r="D6058" s="6" t="n">
        <f aca="false">Sens!D6036</f>
        <v>7.76</v>
      </c>
      <c r="E6058" s="6" t="n">
        <f aca="false">Sens!E6036</f>
        <v>8.26</v>
      </c>
      <c r="F6058" s="6" t="n">
        <f aca="false">Sens!F6036</f>
        <v>8.79988041237113</v>
      </c>
      <c r="G6058" s="6" t="n">
        <f aca="false">Sens!G6036</f>
        <v>9.38321269125306</v>
      </c>
      <c r="H6058" s="6" t="n">
        <f aca="false">Sens!H6036</f>
        <v>10.0139193587476</v>
      </c>
      <c r="I6058" s="6" t="n">
        <f aca="false">Sens!I6036</f>
        <v>10.6963111830911</v>
      </c>
      <c r="J6058" s="6" t="n">
        <f aca="false">Sens!J6036</f>
        <v>11.4351285534696</v>
      </c>
      <c r="K6058" s="6" t="n">
        <f aca="false">Sens!K6036</f>
        <v>12.2355875522124</v>
      </c>
    </row>
    <row r="6059" customFormat="false" ht="15" hidden="false" customHeight="false" outlineLevel="0" collapsed="false">
      <c r="A6059" s="0" t="s">
        <v>626</v>
      </c>
      <c r="B6059" s="0" t="s">
        <v>95</v>
      </c>
      <c r="D6059" s="6" t="n">
        <f aca="false">Sens!D6038</f>
        <v>218.783</v>
      </c>
      <c r="E6059" s="6" t="n">
        <f aca="false">Sens!E6038</f>
        <v>268.127</v>
      </c>
      <c r="F6059" s="6" t="n">
        <f aca="false">Sens!F6038</f>
        <v>336.665528251508</v>
      </c>
      <c r="G6059" s="6" t="n">
        <f aca="false">Sens!G6038</f>
        <v>411.672123059793</v>
      </c>
      <c r="H6059" s="6" t="n">
        <f aca="false">Sens!H6038</f>
        <v>487.996296004025</v>
      </c>
      <c r="I6059" s="6" t="n">
        <f aca="false">Sens!I6038</f>
        <v>561.829573436949</v>
      </c>
      <c r="J6059" s="6" t="n">
        <f aca="false">Sens!J6038</f>
        <v>631.778790083482</v>
      </c>
      <c r="K6059" s="6" t="n">
        <f aca="false">Sens!K6038</f>
        <v>698.248349922667</v>
      </c>
    </row>
    <row r="6060" customFormat="false" ht="15" hidden="false" customHeight="false" outlineLevel="0" collapsed="false">
      <c r="A6060" s="0" t="s">
        <v>792</v>
      </c>
      <c r="B6060" s="0" t="s">
        <v>95</v>
      </c>
      <c r="D6060" s="6" t="n">
        <f aca="false">Sens!D6039</f>
        <v>22.171</v>
      </c>
      <c r="E6060" s="6" t="n">
        <f aca="false">Sens!E6039</f>
        <v>24.835</v>
      </c>
      <c r="F6060" s="6" t="n">
        <f aca="false">Sens!F6039</f>
        <v>27.6114901218559</v>
      </c>
      <c r="G6060" s="6" t="n">
        <f aca="false">Sens!G6039</f>
        <v>30.4675667338515</v>
      </c>
      <c r="H6060" s="6" t="n">
        <f aca="false">Sens!H6039</f>
        <v>33.3643766955789</v>
      </c>
      <c r="I6060" s="6" t="n">
        <f aca="false">Sens!I6039</f>
        <v>36.2577016533691</v>
      </c>
      <c r="J6060" s="6" t="n">
        <f aca="false">Sens!J6039</f>
        <v>39.0988367952171</v>
      </c>
      <c r="K6060" s="6" t="n">
        <f aca="false">Sens!K6039</f>
        <v>41.8357553708823</v>
      </c>
    </row>
    <row r="6061" customFormat="false" ht="15" hidden="false" customHeight="false" outlineLevel="0" collapsed="false">
      <c r="A6061" s="0" t="s">
        <v>793</v>
      </c>
      <c r="B6061" s="0" t="s">
        <v>95</v>
      </c>
      <c r="D6061" s="6" t="n">
        <f aca="false">Sens!D6041</f>
        <v>23.455</v>
      </c>
      <c r="E6061" s="6" t="n">
        <f aca="false">Sens!E6041</f>
        <v>21.79</v>
      </c>
      <c r="F6061" s="6" t="n">
        <f aca="false">Sens!F6041</f>
        <v>20.5736277908051</v>
      </c>
      <c r="G6061" s="6" t="n">
        <f aca="false">Sens!G6041</f>
        <v>19.7371452817919</v>
      </c>
      <c r="H6061" s="6" t="n">
        <f aca="false">Sens!H6041</f>
        <v>19.2339764043138</v>
      </c>
      <c r="I6061" s="6" t="n">
        <f aca="false">Sens!I6041</f>
        <v>19.0353086852681</v>
      </c>
      <c r="J6061" s="6" t="n">
        <f aca="false">Sens!J6041</f>
        <v>19.1273539319129</v>
      </c>
      <c r="K6061" s="6" t="n">
        <f aca="false">Sens!K6041</f>
        <v>19.5099010105511</v>
      </c>
    </row>
    <row r="6062" customFormat="false" ht="15" hidden="false" customHeight="false" outlineLevel="0" collapsed="false">
      <c r="A6062" s="0" t="s">
        <v>794</v>
      </c>
      <c r="B6062" s="0" t="s">
        <v>95</v>
      </c>
      <c r="D6062" s="6" t="n">
        <f aca="false">Sens!D6043</f>
        <v>17.315</v>
      </c>
      <c r="E6062" s="6" t="n">
        <f aca="false">Sens!E6043</f>
        <v>17.087</v>
      </c>
      <c r="F6062" s="6" t="n">
        <f aca="false">Sens!F6043</f>
        <v>16.9564585436519</v>
      </c>
      <c r="G6062" s="6" t="n">
        <f aca="false">Sens!G6043</f>
        <v>16.9206490624268</v>
      </c>
      <c r="H6062" s="6" t="n">
        <f aca="false">Sens!H6043</f>
        <v>16.9784519149849</v>
      </c>
      <c r="I6062" s="6" t="n">
        <f aca="false">Sens!I6043</f>
        <v>17.1303084701817</v>
      </c>
      <c r="J6062" s="6" t="n">
        <f aca="false">Sens!J6043</f>
        <v>17.3782189407267</v>
      </c>
      <c r="K6062" s="6" t="n">
        <f aca="false">Sens!K6043</f>
        <v>17.7257833195413</v>
      </c>
    </row>
    <row r="6063" customFormat="false" ht="15" hidden="false" customHeight="false" outlineLevel="0" collapsed="false">
      <c r="A6063" s="0" t="s">
        <v>640</v>
      </c>
      <c r="B6063" s="0" t="s">
        <v>95</v>
      </c>
      <c r="D6063" s="6" t="n">
        <f aca="false">Sens!D6045</f>
        <v>62.941</v>
      </c>
      <c r="E6063" s="6" t="n">
        <f aca="false">Sens!E6045</f>
        <v>63.712</v>
      </c>
      <c r="F6063" s="6" t="n">
        <f aca="false">Sens!F6045</f>
        <v>65.1415764563129</v>
      </c>
      <c r="G6063" s="6" t="n">
        <f aca="false">Sens!G6045</f>
        <v>67.1253610780702</v>
      </c>
      <c r="H6063" s="6" t="n">
        <f aca="false">Sens!H6045</f>
        <v>69.5768050148776</v>
      </c>
      <c r="I6063" s="6" t="n">
        <f aca="false">Sens!I6045</f>
        <v>72.4233188088189</v>
      </c>
      <c r="J6063" s="6" t="n">
        <f aca="false">Sens!J6045</f>
        <v>75.6044096678567</v>
      </c>
      <c r="K6063" s="6" t="n">
        <f aca="false">Sens!K6045</f>
        <v>79.0714397009747</v>
      </c>
    </row>
    <row r="6064" customFormat="false" ht="15" hidden="false" customHeight="false" outlineLevel="0" collapsed="false">
      <c r="A6064" s="1" t="s">
        <v>810</v>
      </c>
      <c r="B6064" s="0" t="s">
        <v>95</v>
      </c>
      <c r="D6064" s="6" t="n">
        <f aca="false">Sens!D6046</f>
        <v>281.724</v>
      </c>
      <c r="E6064" s="6" t="n">
        <f aca="false">Sens!E6046</f>
        <v>331.839</v>
      </c>
      <c r="F6064" s="6" t="n">
        <f aca="false">Sens!F6046</f>
        <v>401.807104707821</v>
      </c>
      <c r="G6064" s="6" t="n">
        <f aca="false">Sens!G6046</f>
        <v>478.797484137863</v>
      </c>
      <c r="H6064" s="6" t="n">
        <f aca="false">Sens!H6046</f>
        <v>557.573101018903</v>
      </c>
      <c r="I6064" s="6" t="n">
        <f aca="false">Sens!I6046</f>
        <v>634.252892245768</v>
      </c>
      <c r="J6064" s="6" t="n">
        <f aca="false">Sens!J6046</f>
        <v>707.383199751338</v>
      </c>
      <c r="K6064" s="6" t="n">
        <f aca="false">Sens!K6046</f>
        <v>777.319789623641</v>
      </c>
    </row>
    <row r="6065" customFormat="false" ht="15" hidden="false" customHeight="false" outlineLevel="0" collapsed="false">
      <c r="A6065" s="1" t="s">
        <v>811</v>
      </c>
      <c r="B6065" s="0" t="s">
        <v>126</v>
      </c>
      <c r="E6065" s="7" t="n">
        <f aca="false">Sens!E6064/Sens!D6064-1</f>
        <v>0.177886867998467</v>
      </c>
      <c r="F6065" s="7" t="n">
        <f aca="false">Sens!F6064/Sens!E6064-1</f>
        <v>0.210849552668072</v>
      </c>
      <c r="G6065" s="7" t="n">
        <f aca="false">Sens!G6064/Sens!F6064-1</f>
        <v>0.191610298892119</v>
      </c>
      <c r="H6065" s="7" t="n">
        <f aca="false">Sens!H6064/Sens!G6064-1</f>
        <v>0.16452805098357</v>
      </c>
      <c r="I6065" s="7" t="n">
        <f aca="false">Sens!I6064/Sens!H6064-1</f>
        <v>0.137524193844254</v>
      </c>
      <c r="J6065" s="7" t="n">
        <f aca="false">Sens!J6064/Sens!I6064-1</f>
        <v>0.115301496295318</v>
      </c>
      <c r="K6065" s="7" t="n">
        <f aca="false">Sens!K6064/Sens!J6064-1</f>
        <v>0.0988666254681869</v>
      </c>
    </row>
    <row r="6066" customFormat="false" ht="17.15" hidden="false" customHeight="false" outlineLevel="0" collapsed="false">
      <c r="A6066" s="22" t="s">
        <v>812</v>
      </c>
      <c r="B6066" s="28" t="s">
        <v>95</v>
      </c>
      <c r="C6066" s="28"/>
      <c r="D6066" s="23" t="n">
        <f aca="false">(Sens!D6059+Sens!D6063-Sens!D6064)+(Sens!D6051+Sens!D6052-Sens!D6050)+(Sens!D6054+Sens!D6055-Sens!D6053)+(Sens!D6064-Q!L18)</f>
        <v>0</v>
      </c>
      <c r="E6066" s="23" t="n">
        <f aca="false">(Sens!E6059+Sens!E6063-Sens!E6064)+(Sens!E6051+Sens!E6052-Sens!E6050)+(Sens!E6054+Sens!E6055-Sens!E6053)+(Sens!E6064-Q!M18)</f>
        <v>0</v>
      </c>
      <c r="F6066" s="23" t="n">
        <f aca="false">(Sens!F6059+Sens!F6063-Sens!F6064)+(Sens!F6051+Sens!F6052-Sens!F6050)+(Sens!F6054+Sens!F6055-Sens!F6053)</f>
        <v>0</v>
      </c>
      <c r="G6066" s="23" t="n">
        <f aca="false">(Sens!G6059+Sens!G6063-Sens!G6064)+(Sens!G6051+Sens!G6052-Sens!G6050)+(Sens!G6054+Sens!G6055-Sens!G6053)</f>
        <v>0</v>
      </c>
      <c r="H6066" s="23" t="n">
        <f aca="false">(Sens!H6059+Sens!H6063-Sens!H6064)+(Sens!H6051+Sens!H6052-Sens!H6050)+(Sens!H6054+Sens!H6055-Sens!H6053)</f>
        <v>0</v>
      </c>
      <c r="I6066" s="23" t="n">
        <f aca="false">(Sens!I6059+Sens!I6063-Sens!I6064)+(Sens!I6051+Sens!I6052-Sens!I6050)+(Sens!I6054+Sens!I6055-Sens!I6053)</f>
        <v>0</v>
      </c>
      <c r="J6066" s="23" t="n">
        <f aca="false">(Sens!J6059+Sens!J6063-Sens!J6064)+(Sens!J6051+Sens!J6052-Sens!J6050)+(Sens!J6054+Sens!J6055-Sens!J6053)</f>
        <v>0</v>
      </c>
      <c r="K6066" s="23" t="n">
        <f aca="false">(Sens!K6059+Sens!K6063-Sens!K6064)+(Sens!K6051+Sens!K6052-Sens!K6050)+(Sens!K6054+Sens!K6055-Sens!K6053)</f>
        <v>0</v>
      </c>
    </row>
    <row r="6067" customFormat="false" ht="17.15" hidden="false" customHeight="false" outlineLevel="0" collapsed="false">
      <c r="A6067" s="0" t="s">
        <v>813</v>
      </c>
      <c r="B6067" s="0" t="s">
        <v>126</v>
      </c>
      <c r="E6067" s="7" t="n">
        <f aca="false">(Q!M21+Sens!E6004+Sens!E6005+Sens!E6006+Sens!E6019-Sens!E6002)/(Q!M5-Sens!E6002)</f>
        <v>0.570957350878296</v>
      </c>
      <c r="F6067" s="7" t="n">
        <f aca="false">Sens!$E$6067+dm_seg</f>
        <v>0.570957350878296</v>
      </c>
      <c r="G6067" s="7" t="n">
        <f aca="false">Sens!$E$6067+dm_seg</f>
        <v>0.570957350878296</v>
      </c>
      <c r="H6067" s="7" t="n">
        <f aca="false">Sens!$E$6067+dm_seg</f>
        <v>0.570957350878296</v>
      </c>
      <c r="I6067" s="7" t="n">
        <f aca="false">Sens!$E$6067+dm_seg</f>
        <v>0.570957350878296</v>
      </c>
      <c r="J6067" s="7" t="n">
        <f aca="false">Sens!$E$6067+dm_seg</f>
        <v>0.570957350878296</v>
      </c>
      <c r="K6067" s="7" t="n">
        <f aca="false">Sens!$E$6067+dm_seg</f>
        <v>0.570957350878296</v>
      </c>
      <c r="L6067" s="11" t="s">
        <v>814</v>
      </c>
    </row>
    <row r="6068" customFormat="false" ht="17.15" hidden="false" customHeight="false" outlineLevel="0" collapsed="false">
      <c r="A6068" s="0" t="s">
        <v>654</v>
      </c>
      <c r="B6068" s="0" t="s">
        <v>95</v>
      </c>
      <c r="D6068" s="6" t="n">
        <f aca="false">Q!L21</f>
        <v>110.814</v>
      </c>
      <c r="E6068" s="6" t="n">
        <f aca="false">Q!M21</f>
        <v>136.365</v>
      </c>
      <c r="F6068" s="6" t="n">
        <f aca="false">Sens!F6067*(Sens!F6038-Sens!F6002)+Sens!F6002-(Sens!F6004+Sens!F6005+Sens!F6006)-Sens!F6019</f>
        <v>158.988433562554</v>
      </c>
      <c r="G6068" s="6" t="n">
        <f aca="false">Sens!G6067*(Sens!G6038-Sens!G6002)+Sens!G6002-(Sens!G6004+Sens!G6005+Sens!G6006)-Sens!G6019</f>
        <v>179.276170829808</v>
      </c>
      <c r="H6068" s="6" t="n">
        <f aca="false">Sens!H6067*(Sens!H6038-Sens!H6002)+Sens!H6002-(Sens!H6004+Sens!H6005+Sens!H6006)-Sens!H6019</f>
        <v>199.603149872842</v>
      </c>
      <c r="I6068" s="6" t="n">
        <f aca="false">Sens!I6067*(Sens!I6038-Sens!I6002)+Sens!I6002-(Sens!I6004+Sens!I6005+Sens!I6006)-Sens!I6019</f>
        <v>217.528108120176</v>
      </c>
      <c r="J6068" s="6" t="n">
        <f aca="false">Sens!J6067*(Sens!J6038-Sens!J6002)+Sens!J6002-(Sens!J6004+Sens!J6005+Sens!J6006)-Sens!J6019</f>
        <v>232.283829139993</v>
      </c>
      <c r="K6068" s="6" t="n">
        <f aca="false">Sens!K6067*(Sens!K6038-Sens!K6002)+Sens!K6002-(Sens!K6004+Sens!K6005+Sens!K6006)-Sens!K6019</f>
        <v>243.777399527599</v>
      </c>
      <c r="L6068" s="1" t="s">
        <v>815</v>
      </c>
    </row>
    <row r="6069" customFormat="false" ht="17.15" hidden="false" customHeight="false" outlineLevel="0" collapsed="false">
      <c r="A6069" s="0" t="s">
        <v>816</v>
      </c>
      <c r="B6069" s="0" t="s">
        <v>126</v>
      </c>
      <c r="E6069" s="7" t="n">
        <f aca="false">Q!M22/Q!M12</f>
        <v>0.296207935710698</v>
      </c>
      <c r="F6069" s="7" t="n">
        <f aca="false">Sens!$E$6069+dm_seg</f>
        <v>0.296207935710698</v>
      </c>
      <c r="G6069" s="7" t="n">
        <f aca="false">Sens!$E$6069+dm_seg</f>
        <v>0.296207935710698</v>
      </c>
      <c r="H6069" s="7" t="n">
        <f aca="false">Sens!$E$6069+dm_seg</f>
        <v>0.296207935710698</v>
      </c>
      <c r="I6069" s="7" t="n">
        <f aca="false">Sens!$E$6069+dm_seg</f>
        <v>0.296207935710698</v>
      </c>
      <c r="J6069" s="7" t="n">
        <f aca="false">Sens!$E$6069+dm_seg</f>
        <v>0.296207935710698</v>
      </c>
      <c r="K6069" s="7" t="n">
        <f aca="false">Sens!$E$6069+dm_seg</f>
        <v>0.296207935710698</v>
      </c>
      <c r="L6069" s="11" t="s">
        <v>817</v>
      </c>
    </row>
    <row r="6070" customFormat="false" ht="17.15" hidden="false" customHeight="false" outlineLevel="0" collapsed="false">
      <c r="A6070" s="0" t="s">
        <v>656</v>
      </c>
      <c r="B6070" s="0" t="s">
        <v>95</v>
      </c>
      <c r="D6070" s="6" t="n">
        <f aca="false">Q!L22</f>
        <v>17.714</v>
      </c>
      <c r="E6070" s="6" t="n">
        <f aca="false">Q!M22</f>
        <v>18.872</v>
      </c>
      <c r="F6070" s="6" t="n">
        <f aca="false">Sens!F6045*Sens!F6069</f>
        <v>19.2954518910651</v>
      </c>
      <c r="G6070" s="6" t="n">
        <f aca="false">Sens!G6045*Sens!G6069</f>
        <v>19.8830646387704</v>
      </c>
      <c r="H6070" s="6" t="n">
        <f aca="false">Sens!H6045*Sens!H6069</f>
        <v>20.6092017868026</v>
      </c>
      <c r="I6070" s="6" t="n">
        <f aca="false">Sens!I6045*Sens!I6069</f>
        <v>21.452361761678</v>
      </c>
      <c r="J6070" s="6" t="n">
        <f aca="false">Sens!J6045*Sens!J6069</f>
        <v>22.3946261183418</v>
      </c>
      <c r="K6070" s="6" t="n">
        <f aca="false">Sens!K6045*Sens!K6069</f>
        <v>23.4215879274986</v>
      </c>
    </row>
    <row r="6071" customFormat="false" ht="15" hidden="false" customHeight="false" outlineLevel="0" collapsed="false">
      <c r="A6071" s="1" t="s">
        <v>818</v>
      </c>
      <c r="B6071" s="0" t="s">
        <v>95</v>
      </c>
      <c r="D6071" s="6" t="n">
        <f aca="false">Sens!D6068+Sens!D6070</f>
        <v>128.528</v>
      </c>
      <c r="E6071" s="6" t="n">
        <f aca="false">Sens!E6068+Sens!E6070</f>
        <v>155.237</v>
      </c>
      <c r="F6071" s="6" t="n">
        <f aca="false">Sens!F6068+Sens!F6070</f>
        <v>178.283885453619</v>
      </c>
      <c r="G6071" s="6" t="n">
        <f aca="false">Sens!G6068+Sens!G6070</f>
        <v>199.159235468579</v>
      </c>
      <c r="H6071" s="6" t="n">
        <f aca="false">Sens!H6068+Sens!H6070</f>
        <v>220.212351659644</v>
      </c>
      <c r="I6071" s="6" t="n">
        <f aca="false">Sens!I6068+Sens!I6070</f>
        <v>238.980469881854</v>
      </c>
      <c r="J6071" s="6" t="n">
        <f aca="false">Sens!J6068+Sens!J6070</f>
        <v>254.678455258335</v>
      </c>
      <c r="K6071" s="6" t="n">
        <f aca="false">Sens!K6068+Sens!K6070</f>
        <v>267.198987455098</v>
      </c>
    </row>
    <row r="6072" customFormat="false" ht="15" hidden="false" customHeight="false" outlineLevel="0" collapsed="false">
      <c r="A6072" s="22" t="s">
        <v>819</v>
      </c>
      <c r="B6072" s="28" t="s">
        <v>95</v>
      </c>
      <c r="C6072" s="28"/>
      <c r="D6072" s="23" t="n">
        <f aca="false">Sens!D6071-Q!L23</f>
        <v>0</v>
      </c>
      <c r="E6072" s="23" t="n">
        <f aca="false">Sens!E6071-Q!M23</f>
        <v>0</v>
      </c>
      <c r="F6072" s="28"/>
      <c r="G6072" s="28"/>
      <c r="H6072" s="28"/>
      <c r="I6072" s="28"/>
      <c r="J6072" s="28"/>
      <c r="K6072" s="28"/>
    </row>
    <row r="6073" customFormat="false" ht="15" hidden="false" customHeight="false" outlineLevel="0" collapsed="false">
      <c r="A6073" s="1" t="s">
        <v>820</v>
      </c>
      <c r="B6073" s="0" t="s">
        <v>126</v>
      </c>
      <c r="D6073" s="7" t="n">
        <f aca="false">Sens!D6071/Sens!D6064</f>
        <v>0.456219562408598</v>
      </c>
      <c r="E6073" s="7" t="n">
        <f aca="false">Sens!E6071/Sens!E6064</f>
        <v>0.467808184089272</v>
      </c>
      <c r="F6073" s="7" t="n">
        <f aca="false">Sens!F6071/Sens!F6064</f>
        <v>0.443705159427831</v>
      </c>
      <c r="G6073" s="7" t="n">
        <f aca="false">Sens!G6071/Sens!G6064</f>
        <v>0.415957146949489</v>
      </c>
      <c r="H6073" s="7" t="n">
        <f aca="false">Sens!H6071/Sens!H6064</f>
        <v>0.394947947196934</v>
      </c>
      <c r="I6073" s="7" t="n">
        <f aca="false">Sens!I6071/Sens!I6064</f>
        <v>0.376790508649744</v>
      </c>
      <c r="J6073" s="7" t="n">
        <f aca="false">Sens!J6071/Sens!J6064</f>
        <v>0.360028984782025</v>
      </c>
      <c r="K6073" s="7" t="n">
        <f aca="false">Sens!K6071/Sens!K6064</f>
        <v>0.343743966153838</v>
      </c>
    </row>
    <row r="6074" customFormat="false" ht="17.15" hidden="false" customHeight="false" outlineLevel="0" collapsed="false">
      <c r="A6074" s="1" t="s">
        <v>821</v>
      </c>
      <c r="B6074" s="0" t="s">
        <v>95</v>
      </c>
      <c r="E6074" s="6" t="n">
        <f aca="false">Sens!E6019</f>
        <v>16.3054059770833</v>
      </c>
      <c r="F6074" s="6" t="n">
        <f aca="false">Sens!F6019</f>
        <v>34.7205354558698</v>
      </c>
      <c r="G6074" s="6" t="n">
        <f aca="false">Sens!G6019</f>
        <v>60.4667332603396</v>
      </c>
      <c r="H6074" s="6" t="n">
        <f aca="false">Sens!H6019</f>
        <v>87.7023159931396</v>
      </c>
      <c r="I6074" s="6" t="n">
        <f aca="false">Sens!I6019</f>
        <v>115.957181741123</v>
      </c>
      <c r="J6074" s="6" t="n">
        <f aca="false">Sens!J6019</f>
        <v>145.184277958273</v>
      </c>
      <c r="K6074" s="6" t="n">
        <f aca="false">Sens!K6019</f>
        <v>175.69892263459</v>
      </c>
    </row>
    <row r="6075" customFormat="false" ht="17.15" hidden="false" customHeight="false" outlineLevel="0" collapsed="false">
      <c r="A6075" s="1" t="s">
        <v>822</v>
      </c>
      <c r="B6075" s="0" t="s">
        <v>95</v>
      </c>
      <c r="E6075" s="6" t="n">
        <f aca="false">Sens!E6095</f>
        <v>22.2285940229167</v>
      </c>
      <c r="F6075" s="6" t="n">
        <f aca="false">Sens!F6095</f>
        <v>23.5876693435813</v>
      </c>
      <c r="G6075" s="6" t="n">
        <f aca="false">Sens!G6095</f>
        <v>25.3801917662621</v>
      </c>
      <c r="H6075" s="6" t="n">
        <f aca="false">Sens!H6095</f>
        <v>27.5713239540448</v>
      </c>
      <c r="I6075" s="6" t="n">
        <f aca="false">Sens!I6095</f>
        <v>30.0910315898047</v>
      </c>
      <c r="J6075" s="6" t="n">
        <f aca="false">Sens!J6095</f>
        <v>32.8530197558616</v>
      </c>
      <c r="K6075" s="6" t="n">
        <f aca="false">Sens!K6095</f>
        <v>35.7735880544749</v>
      </c>
    </row>
    <row r="6076" customFormat="false" ht="17.15" hidden="false" customHeight="false" outlineLevel="0" collapsed="false">
      <c r="A6076" s="1" t="s">
        <v>823</v>
      </c>
      <c r="B6076" s="0" t="s">
        <v>95</v>
      </c>
      <c r="D6076" s="6" t="n">
        <f aca="false">Q!L27</f>
        <v>-4.901</v>
      </c>
      <c r="E6076" s="6" t="n">
        <f aca="false">Q!M27</f>
        <v>10.697</v>
      </c>
      <c r="F6076" s="6" t="n">
        <f aca="false">oie_f</f>
        <v>-0.4</v>
      </c>
      <c r="G6076" s="6" t="n">
        <f aca="false">oie_f</f>
        <v>-0.4</v>
      </c>
      <c r="H6076" s="6" t="n">
        <f aca="false">oie_f</f>
        <v>-0.4</v>
      </c>
      <c r="I6076" s="6" t="n">
        <f aca="false">oie_f</f>
        <v>-0.4</v>
      </c>
      <c r="J6076" s="6" t="n">
        <f aca="false">oie_f</f>
        <v>-0.4</v>
      </c>
      <c r="K6076" s="6" t="n">
        <f aca="false">oie_f</f>
        <v>-0.4</v>
      </c>
      <c r="L6076" s="11" t="s">
        <v>824</v>
      </c>
    </row>
    <row r="6077" customFormat="false" ht="15" hidden="false" customHeight="false" outlineLevel="0" collapsed="false">
      <c r="A6077" s="1" t="s">
        <v>666</v>
      </c>
      <c r="B6077" s="0" t="s">
        <v>95</v>
      </c>
      <c r="D6077" s="6" t="n">
        <f aca="false">Sens!D6071+Sens!D6076</f>
        <v>123.627</v>
      </c>
      <c r="E6077" s="6" t="n">
        <f aca="false">Sens!E6071+Sens!E6076</f>
        <v>165.934</v>
      </c>
      <c r="F6077" s="6" t="n">
        <f aca="false">Sens!F6071+Sens!F6076</f>
        <v>177.883885453619</v>
      </c>
      <c r="G6077" s="6" t="n">
        <f aca="false">Sens!G6071+Sens!G6076</f>
        <v>198.759235468579</v>
      </c>
      <c r="H6077" s="6" t="n">
        <f aca="false">Sens!H6071+Sens!H6076</f>
        <v>219.812351659644</v>
      </c>
      <c r="I6077" s="6" t="n">
        <f aca="false">Sens!I6071+Sens!I6076</f>
        <v>238.580469881854</v>
      </c>
      <c r="J6077" s="6" t="n">
        <f aca="false">Sens!J6071+Sens!J6076</f>
        <v>254.278455258335</v>
      </c>
      <c r="K6077" s="6" t="n">
        <f aca="false">Sens!K6071+Sens!K6076</f>
        <v>266.798987455098</v>
      </c>
    </row>
    <row r="6078" customFormat="false" ht="15" hidden="false" customHeight="false" outlineLevel="0" collapsed="false">
      <c r="A6078" s="1" t="s">
        <v>668</v>
      </c>
      <c r="B6078" s="0" t="s">
        <v>95</v>
      </c>
      <c r="D6078" s="6" t="n">
        <f aca="false">Q!L29</f>
        <v>21.795</v>
      </c>
      <c r="E6078" s="6" t="n">
        <f aca="false">Q!M29</f>
        <v>32.185</v>
      </c>
      <c r="F6078" s="6" t="n">
        <f aca="false">Sens!F6077*tax_f</f>
        <v>35.5767770907238</v>
      </c>
      <c r="G6078" s="6" t="n">
        <f aca="false">Sens!G6077*tax_f</f>
        <v>39.7518470937157</v>
      </c>
      <c r="H6078" s="6" t="n">
        <f aca="false">Sens!H6077*tax_f</f>
        <v>43.9624703319289</v>
      </c>
      <c r="I6078" s="6" t="n">
        <f aca="false">Sens!I6077*tax_f</f>
        <v>47.7160939763709</v>
      </c>
      <c r="J6078" s="6" t="n">
        <f aca="false">Sens!J6077*tax_f</f>
        <v>50.8556910516669</v>
      </c>
      <c r="K6078" s="6" t="n">
        <f aca="false">Sens!K6077*tax_f</f>
        <v>53.3597974910196</v>
      </c>
    </row>
    <row r="6079" customFormat="false" ht="15" hidden="false" customHeight="false" outlineLevel="0" collapsed="false">
      <c r="A6079" s="1" t="s">
        <v>825</v>
      </c>
      <c r="B6079" s="0" t="s">
        <v>95</v>
      </c>
      <c r="D6079" s="6" t="n">
        <f aca="false">Sens!D6077-Sens!D6078</f>
        <v>101.832</v>
      </c>
      <c r="E6079" s="6" t="n">
        <f aca="false">Sens!E6077-Sens!E6078</f>
        <v>133.749</v>
      </c>
      <c r="F6079" s="6" t="n">
        <f aca="false">Sens!F6077-Sens!F6078</f>
        <v>142.307108362895</v>
      </c>
      <c r="G6079" s="6" t="n">
        <f aca="false">Sens!G6077-Sens!G6078</f>
        <v>159.007388374863</v>
      </c>
      <c r="H6079" s="6" t="n">
        <f aca="false">Sens!H6077-Sens!H6078</f>
        <v>175.849881327715</v>
      </c>
      <c r="I6079" s="6" t="n">
        <f aca="false">Sens!I6077-Sens!I6078</f>
        <v>190.864375905483</v>
      </c>
      <c r="J6079" s="6" t="n">
        <f aca="false">Sens!J6077-Sens!J6078</f>
        <v>203.422764206668</v>
      </c>
      <c r="K6079" s="6" t="n">
        <f aca="false">Sens!K6077-Sens!K6078</f>
        <v>213.439189964078</v>
      </c>
    </row>
    <row r="6080" customFormat="false" ht="17.15" hidden="false" customHeight="false" outlineLevel="0" collapsed="false">
      <c r="A6080" s="1" t="s">
        <v>826</v>
      </c>
      <c r="B6080" s="1" t="s">
        <v>79</v>
      </c>
      <c r="D6080" s="18" t="n">
        <f aca="false">Q!L31</f>
        <v>7.465</v>
      </c>
      <c r="E6080" s="18" t="n">
        <f aca="false">Q!M31</f>
        <v>7.453</v>
      </c>
      <c r="F6080" s="18" t="n">
        <f aca="false">Sens!F6117</f>
        <v>7.4735</v>
      </c>
      <c r="G6080" s="18" t="n">
        <f aca="false">Sens!G6117</f>
        <v>7.51673136294745</v>
      </c>
      <c r="H6080" s="18" t="n">
        <f aca="false">Sens!H6117</f>
        <v>7.54271431174485</v>
      </c>
      <c r="I6080" s="18" t="n">
        <f aca="false">Sens!I6117</f>
        <v>7.55449514375216</v>
      </c>
      <c r="J6080" s="18" t="n">
        <f aca="false">Sens!J6117</f>
        <v>7.56873665487004</v>
      </c>
      <c r="K6080" s="18" t="n">
        <f aca="false">Sens!K6117</f>
        <v>7.58525657257179</v>
      </c>
    </row>
    <row r="6081" customFormat="false" ht="17.15" hidden="false" customHeight="false" outlineLevel="0" collapsed="false">
      <c r="A6081" s="0" t="s">
        <v>827</v>
      </c>
      <c r="B6081" s="0" t="s">
        <v>73</v>
      </c>
      <c r="D6081" s="8" t="n">
        <f aca="false">Sens!D6079/Sens!D6080</f>
        <v>13.641259209645</v>
      </c>
      <c r="E6081" s="8" t="n">
        <f aca="false">Sens!E6079/Sens!E6080</f>
        <v>17.9456594659869</v>
      </c>
      <c r="F6081" s="8" t="n">
        <f aca="false">Sens!F6079/Sens!F6080</f>
        <v>19.0415612983067</v>
      </c>
      <c r="G6081" s="8" t="n">
        <f aca="false">Sens!G6079/Sens!G6080</f>
        <v>21.1537942088319</v>
      </c>
      <c r="H6081" s="8" t="n">
        <f aca="false">Sens!H6079/Sens!H6080</f>
        <v>23.3138727067917</v>
      </c>
      <c r="I6081" s="8" t="n">
        <f aca="false">Sens!I6079/Sens!I6080</f>
        <v>25.2650074258549</v>
      </c>
      <c r="J6081" s="8" t="n">
        <f aca="false">Sens!J6079/Sens!J6080</f>
        <v>26.8767131798379</v>
      </c>
      <c r="K6081" s="8" t="n">
        <f aca="false">Sens!K6079/Sens!K6080</f>
        <v>28.1386908830312</v>
      </c>
      <c r="L6081" s="1" t="s">
        <v>828</v>
      </c>
    </row>
    <row r="6082" customFormat="false" ht="17.15" hidden="false" customHeight="false" outlineLevel="0" collapsed="false">
      <c r="A6082" s="0" t="s">
        <v>829</v>
      </c>
      <c r="B6082" s="0" t="s">
        <v>126</v>
      </c>
      <c r="E6082" s="7" t="n">
        <f aca="false">Sens!E6081/Sens!D6081-1</f>
        <v>0.315542736208578</v>
      </c>
      <c r="F6082" s="7" t="n">
        <f aca="false">Sens!F6081/Sens!E6081-1</f>
        <v>0.0610677938248494</v>
      </c>
      <c r="G6082" s="7" t="n">
        <f aca="false">Sens!G6081/Sens!F6081-1</f>
        <v>0.11092750628138</v>
      </c>
      <c r="H6082" s="7" t="n">
        <f aca="false">Sens!H6081/Sens!G6081-1</f>
        <v>0.10211305246876</v>
      </c>
      <c r="I6082" s="7" t="n">
        <f aca="false">Sens!I6081/Sens!H6081-1</f>
        <v>0.0836898589780339</v>
      </c>
      <c r="J6082" s="7" t="n">
        <f aca="false">Sens!J6081/Sens!I6081-1</f>
        <v>0.0637920158429715</v>
      </c>
      <c r="K6082" s="7" t="n">
        <f aca="false">Sens!K6081/Sens!J6081-1</f>
        <v>0.0469543167257533</v>
      </c>
    </row>
    <row r="6083" customFormat="false" ht="17.15" hidden="false" customHeight="false" outlineLevel="0" collapsed="false">
      <c r="A6083" s="0" t="s">
        <v>763</v>
      </c>
      <c r="B6083" s="0" t="s">
        <v>95</v>
      </c>
      <c r="E6083" s="6" t="n">
        <f aca="false">Sens!E6028</f>
        <v>5.25</v>
      </c>
      <c r="F6083" s="6" t="n">
        <f aca="false">Sens!F6028</f>
        <v>14.4</v>
      </c>
      <c r="G6083" s="6" t="n">
        <f aca="false">Sens!G6028</f>
        <v>21.6</v>
      </c>
      <c r="H6083" s="6" t="n">
        <f aca="false">Sens!H6028</f>
        <v>28.8</v>
      </c>
      <c r="I6083" s="6" t="n">
        <f aca="false">Sens!I6028</f>
        <v>34.2</v>
      </c>
      <c r="J6083" s="6" t="n">
        <f aca="false">Sens!J6028</f>
        <v>37.8</v>
      </c>
      <c r="K6083" s="6" t="n">
        <f aca="false">Sens!K6028</f>
        <v>41.4</v>
      </c>
    </row>
    <row r="6084" customFormat="false" ht="17.15" hidden="false" customHeight="false" outlineLevel="0" collapsed="false">
      <c r="A6084" s="0" t="s">
        <v>764</v>
      </c>
      <c r="B6084" s="0" t="s">
        <v>95</v>
      </c>
      <c r="E6084" s="6" t="n">
        <f aca="false">Sens!E6008+Sens!E6083*Sens!E6067-Sens!E6009-Sens!E6019</f>
        <v>2.1514866143068</v>
      </c>
      <c r="F6084" s="6" t="n">
        <f aca="false">Sens!F6008+Sens!F6083*Sens!F6067-Sens!F6009-Sens!F6019</f>
        <v>6.42776059546175</v>
      </c>
      <c r="G6084" s="6" t="n">
        <f aca="false">Sens!G6008+Sens!G6083*Sens!G6067-Sens!G6009-Sens!G6019</f>
        <v>7.63406890227259</v>
      </c>
      <c r="H6084" s="6" t="n">
        <f aca="false">Sens!H6008+Sens!H6083*Sens!H6067-Sens!H6009-Sens!H6019</f>
        <v>8.69747019400434</v>
      </c>
      <c r="I6084" s="6" t="n">
        <f aca="false">Sens!I6008+Sens!I6083*Sens!I6067-Sens!I6009-Sens!I6019</f>
        <v>7.8468430459972</v>
      </c>
      <c r="J6084" s="6" t="n">
        <f aca="false">Sens!J6008+Sens!J6083*Sens!J6067-Sens!J6009-Sens!J6019</f>
        <v>5.06577629145505</v>
      </c>
      <c r="K6084" s="6" t="n">
        <f aca="false">Sens!K6008+Sens!K6083*Sens!K6067-Sens!K6009-Sens!K6019</f>
        <v>1.03805287617743</v>
      </c>
    </row>
    <row r="6085" customFormat="false" ht="17.15" hidden="false" customHeight="false" outlineLevel="0" collapsed="false">
      <c r="A6085" s="0" t="s">
        <v>765</v>
      </c>
      <c r="B6085" s="0" t="s">
        <v>95</v>
      </c>
      <c r="E6085" s="6" t="n">
        <f aca="false">Sens!E5991*(cxit_open+self_build*tk_cxfac)/1000*ai_net_open</f>
        <v>126.6980382</v>
      </c>
      <c r="F6085" s="6" t="n">
        <f aca="false">Sens!E6085+Sens!F6016-Sens!F6019</f>
        <v>260.358155514568</v>
      </c>
      <c r="G6085" s="6" t="n">
        <f aca="false">Sens!F6085+Sens!G6016-Sens!G6019</f>
        <v>383.465602737428</v>
      </c>
      <c r="H6085" s="6" t="n">
        <f aca="false">Sens!G6085+Sens!H6016-Sens!H6019</f>
        <v>483.843572654689</v>
      </c>
      <c r="I6085" s="6" t="n">
        <f aca="false">Sens!H6085+Sens!I6016-Sens!I6019</f>
        <v>586.225352170632</v>
      </c>
      <c r="J6085" s="6" t="n">
        <f aca="false">Sens!I6085+Sens!J6016-Sens!J6019</f>
        <v>674.818135136093</v>
      </c>
      <c r="K6085" s="6" t="n">
        <f aca="false">Sens!J6085+Sens!K6016-Sens!K6019</f>
        <v>777.975524451903</v>
      </c>
      <c r="L6085" s="1" t="s">
        <v>766</v>
      </c>
    </row>
    <row r="6086" customFormat="false" ht="17.15" hidden="false" customHeight="false" outlineLevel="0" collapsed="false">
      <c r="A6086" s="0" t="s">
        <v>767</v>
      </c>
      <c r="B6086" s="0" t="s">
        <v>126</v>
      </c>
      <c r="F6086" s="7" t="n">
        <f aca="false">Sens!F6084*(1-tax_f)/((Sens!E6085+Sens!F6085)/2)</f>
        <v>0.0265708626286006</v>
      </c>
      <c r="G6086" s="7" t="n">
        <f aca="false">Sens!G6084*(1-tax_f)/((Sens!F6085+Sens!G6085)/2)</f>
        <v>0.0189718227808165</v>
      </c>
      <c r="H6086" s="7" t="n">
        <f aca="false">Sens!H6084*(1-tax_f)/((Sens!G6085+Sens!H6085)/2)</f>
        <v>0.0160449730099021</v>
      </c>
      <c r="I6086" s="7" t="n">
        <f aca="false">Sens!I6084*(1-tax_f)/((Sens!H6085+Sens!I6085)/2)</f>
        <v>0.0117328412986528</v>
      </c>
      <c r="J6086" s="7" t="n">
        <f aca="false">Sens!J6084*(1-tax_f)/((Sens!I6085+Sens!J6085)/2)</f>
        <v>0.00642740884665196</v>
      </c>
      <c r="K6086" s="7" t="n">
        <f aca="false">Sens!K6084*(1-tax_f)/((Sens!J6085+Sens!K6085)/2)</f>
        <v>0.00114323502922976</v>
      </c>
    </row>
    <row r="6087" customFormat="false" ht="17.15" hidden="false" customHeight="false" outlineLevel="0" collapsed="false">
      <c r="A6087" s="1" t="s">
        <v>768</v>
      </c>
      <c r="B6087" s="0" t="s">
        <v>126</v>
      </c>
      <c r="F6087" s="7" t="n">
        <f aca="false">Sens!F6020*(1-tax_f)/(Sens!F6007*(Sens!E6085+Sens!F6085)/2)</f>
        <v>0.128333609972981</v>
      </c>
      <c r="G6087" s="7" t="n">
        <f aca="false">Sens!G6020*(1-tax_f)/(Sens!G6007*(Sens!F6085+Sens!G6085)/2)</f>
        <v>0.125387169862733</v>
      </c>
      <c r="H6087" s="7" t="n">
        <f aca="false">Sens!H6020*(1-tax_f)/(Sens!H6007*(Sens!G6085+Sens!H6085)/2)</f>
        <v>0.130974456311857</v>
      </c>
      <c r="I6087" s="7" t="n">
        <f aca="false">Sens!I6020*(1-tax_f)/(Sens!I6007*(Sens!H6085+Sens!I6085)/2)</f>
        <v>0.135710962548096</v>
      </c>
      <c r="J6087" s="7" t="n">
        <f aca="false">Sens!J6020*(1-tax_f)/(Sens!J6007*(Sens!I6085+Sens!J6085)/2)</f>
        <v>0.139163960609581</v>
      </c>
      <c r="K6087" s="7" t="n">
        <f aca="false">Sens!K6020*(1-tax_f)/(Sens!K6007*(Sens!J6085+Sens!K6085)/2)</f>
        <v>0.140297008555265</v>
      </c>
    </row>
    <row r="6088" customFormat="false" ht="17.15" hidden="false" customHeight="false" outlineLevel="0" collapsed="false">
      <c r="A6088" s="0" t="s">
        <v>769</v>
      </c>
      <c r="B6088" s="0" t="s">
        <v>208</v>
      </c>
      <c r="F6088" s="7" t="n">
        <f aca="false">Sens!F6086-wacc</f>
        <v>-0.0823923585216534</v>
      </c>
      <c r="G6088" s="7" t="n">
        <f aca="false">Sens!G6086-wacc</f>
        <v>-0.0899913983694374</v>
      </c>
      <c r="H6088" s="7" t="n">
        <f aca="false">Sens!H6086-wacc</f>
        <v>-0.0929182481403519</v>
      </c>
      <c r="I6088" s="7" t="n">
        <f aca="false">Sens!I6086-wacc</f>
        <v>-0.0972303798516012</v>
      </c>
      <c r="J6088" s="7" t="n">
        <f aca="false">Sens!J6086-wacc</f>
        <v>-0.102535812303602</v>
      </c>
      <c r="K6088" s="7" t="n">
        <f aca="false">Sens!K6086-wacc</f>
        <v>-0.107819986121024</v>
      </c>
    </row>
    <row r="6089" customFormat="false" ht="17.15" hidden="false" customHeight="false" outlineLevel="0" collapsed="false">
      <c r="A6089" s="0" t="s">
        <v>770</v>
      </c>
      <c r="B6089" s="0" t="s">
        <v>95</v>
      </c>
      <c r="F6089" s="6" t="n">
        <f aca="false">Sens!F6084*(1-tax_f)-wacc*(Sens!E6085+Sens!F6085)/2</f>
        <v>-15.9452363402786</v>
      </c>
      <c r="G6089" s="6" t="n">
        <f aca="false">Sens!G6084*(1-tax_f)-wacc*(Sens!F6085+Sens!G6085)/2</f>
        <v>-28.9693001542819</v>
      </c>
      <c r="H6089" s="6" t="n">
        <f aca="false">Sens!H6084*(1-tax_f)-wacc*(Sens!G6085+Sens!H6085)/2</f>
        <v>-40.2944245867443</v>
      </c>
      <c r="I6089" s="6" t="n">
        <f aca="false">Sens!I6084*(1-tax_f)-wacc*(Sens!H6085+Sens!I6085)/2</f>
        <v>-52.0216040140802</v>
      </c>
      <c r="J6089" s="6" t="n">
        <f aca="false">Sens!J6084*(1-tax_f)-wacc*(Sens!I6085+Sens!J6085)/2</f>
        <v>-64.6510591605811</v>
      </c>
      <c r="K6089" s="6" t="n">
        <f aca="false">Sens!K6084*(1-tax_f)-wacc*(Sens!J6085+Sens!K6085)/2</f>
        <v>-78.3200961067449</v>
      </c>
    </row>
    <row r="6090" customFormat="false" ht="17.15" hidden="false" customHeight="false" outlineLevel="0" collapsed="false">
      <c r="A6090" s="1" t="s">
        <v>771</v>
      </c>
      <c r="B6090" s="0" t="s">
        <v>95</v>
      </c>
      <c r="F6090" s="6" t="n">
        <f aca="false">(Sens!E5992+Sens!F5992)/2*Sens!F5999/1000</f>
        <v>26.7873066765967</v>
      </c>
      <c r="G6090" s="6" t="n">
        <f aca="false">(Sens!F5992+Sens!G5992)/2*Sens!G5999/1000</f>
        <v>45.4131817597218</v>
      </c>
      <c r="H6090" s="6" t="n">
        <f aca="false">(Sens!G5992+Sens!H5992)/2*Sens!H5999/1000</f>
        <v>65.3915129357971</v>
      </c>
      <c r="I6090" s="6" t="n">
        <f aca="false">(Sens!H5992+Sens!I5992)/2*Sens!I5999/1000</f>
        <v>85.5187419289299</v>
      </c>
      <c r="J6090" s="6" t="n">
        <f aca="false">(Sens!I5992+Sens!J5992)/2*Sens!J5999/1000</f>
        <v>105.723807195006</v>
      </c>
      <c r="K6090" s="6" t="n">
        <f aca="false">(Sens!J5992+Sens!K5992)/2*Sens!K5999/1000</f>
        <v>125.974659797015</v>
      </c>
      <c r="L6090" s="1" t="s">
        <v>772</v>
      </c>
    </row>
    <row r="6091" customFormat="false" ht="17.15" hidden="false" customHeight="false" outlineLevel="0" collapsed="false">
      <c r="A6091" s="1" t="s">
        <v>773</v>
      </c>
      <c r="B6091" s="0" t="s">
        <v>126</v>
      </c>
      <c r="F6091" s="7" t="n">
        <f aca="false">(Sens!F6008+Sens!F6090-Sens!F6009-Sens!F6019)*(1-tax_f)/((Sens!E6085+Sens!F6085)/2)</f>
        <v>0.103316394157866</v>
      </c>
      <c r="G6091" s="7" t="n">
        <f aca="false">(Sens!G6008+Sens!G6090-Sens!G6009-Sens!G6019)*(1-tax_f)/((Sens!F6085+Sens!G6085)/2)</f>
        <v>0.101181906038546</v>
      </c>
      <c r="H6091" s="7" t="n">
        <f aca="false">(Sens!H6008+Sens!H6090-Sens!H6009-Sens!H6019)*(1-tax_f)/((Sens!G6085+Sens!H6085)/2)</f>
        <v>0.106343459629043</v>
      </c>
      <c r="I6091" s="7" t="n">
        <f aca="false">(Sens!I6008+Sens!I6090-Sens!I6009-Sens!I6019)*(1-tax_f)/((Sens!H6085+Sens!I6085)/2)</f>
        <v>0.110406112147504</v>
      </c>
      <c r="J6091" s="7" t="n">
        <f aca="false">(Sens!J6008+Sens!J6090-Sens!J6009-Sens!J6019)*(1-tax_f)/((Sens!I6085+Sens!J6085)/2)</f>
        <v>0.113185496324205</v>
      </c>
      <c r="K6091" s="7" t="n">
        <f aca="false">(Sens!K6008+Sens!K6090-Sens!K6009-Sens!K6019)*(1-tax_f)/((Sens!J6085+Sens!K6085)/2)</f>
        <v>0.11384970209867</v>
      </c>
      <c r="L6091" s="1" t="s">
        <v>774</v>
      </c>
    </row>
    <row r="6092" customFormat="false" ht="17.15" hidden="false" customHeight="false" outlineLevel="0" collapsed="false">
      <c r="A6092" s="3" t="s">
        <v>1287</v>
      </c>
    </row>
    <row r="6093" customFormat="false" ht="15" hidden="false" customHeight="false" outlineLevel="0" collapsed="false">
      <c r="A6093" s="4" t="s">
        <v>43</v>
      </c>
      <c r="B6093" s="4" t="s">
        <v>63</v>
      </c>
      <c r="C6093" s="19" t="s">
        <v>710</v>
      </c>
      <c r="D6093" s="19" t="s">
        <v>711</v>
      </c>
      <c r="E6093" s="19" t="s">
        <v>712</v>
      </c>
      <c r="F6093" s="19" t="s">
        <v>713</v>
      </c>
      <c r="G6093" s="19" t="s">
        <v>714</v>
      </c>
      <c r="H6093" s="19" t="s">
        <v>715</v>
      </c>
      <c r="I6093" s="19" t="s">
        <v>716</v>
      </c>
      <c r="J6093" s="19" t="s">
        <v>717</v>
      </c>
      <c r="K6093" s="19" t="s">
        <v>718</v>
      </c>
      <c r="L6093" s="4" t="s">
        <v>47</v>
      </c>
    </row>
    <row r="6094" customFormat="false" ht="15" hidden="false" customHeight="false" outlineLevel="0" collapsed="false">
      <c r="A6094" s="1" t="s">
        <v>825</v>
      </c>
      <c r="B6094" s="0" t="s">
        <v>95</v>
      </c>
      <c r="F6094" s="6" t="n">
        <f aca="false">Sens!F6079</f>
        <v>142.307108362895</v>
      </c>
      <c r="G6094" s="6" t="n">
        <f aca="false">Sens!G6079</f>
        <v>159.007388374863</v>
      </c>
      <c r="H6094" s="6" t="n">
        <f aca="false">Sens!H6079</f>
        <v>175.849881327715</v>
      </c>
      <c r="I6094" s="6" t="n">
        <f aca="false">Sens!I6079</f>
        <v>190.864375905483</v>
      </c>
      <c r="J6094" s="6" t="n">
        <f aca="false">Sens!J6079</f>
        <v>203.422764206668</v>
      </c>
      <c r="K6094" s="6" t="n">
        <f aca="false">Sens!K6079</f>
        <v>213.439189964078</v>
      </c>
    </row>
    <row r="6095" customFormat="false" ht="17.15" hidden="false" customHeight="false" outlineLevel="0" collapsed="false">
      <c r="A6095" s="1" t="s">
        <v>843</v>
      </c>
      <c r="B6095" s="0" t="s">
        <v>95</v>
      </c>
      <c r="E6095" s="6" t="n">
        <f aca="false">Q!M38-Sens!E6019</f>
        <v>22.2285940229167</v>
      </c>
      <c r="F6095" s="6" t="n">
        <f aca="false">Sens!E6095*(1-1/life_nonai)+Sens!F6101/life_nonai</f>
        <v>23.5876693435813</v>
      </c>
      <c r="G6095" s="6" t="n">
        <f aca="false">Sens!F6095*(1-1/life_nonai)+Sens!G6101/life_nonai</f>
        <v>25.3801917662621</v>
      </c>
      <c r="H6095" s="6" t="n">
        <f aca="false">Sens!G6095*(1-1/life_nonai)+Sens!H6101/life_nonai</f>
        <v>27.5713239540448</v>
      </c>
      <c r="I6095" s="6" t="n">
        <f aca="false">Sens!H6095*(1-1/life_nonai)+Sens!I6101/life_nonai</f>
        <v>30.0910315898047</v>
      </c>
      <c r="J6095" s="6" t="n">
        <f aca="false">Sens!I6095*(1-1/life_nonai)+Sens!J6101/life_nonai</f>
        <v>32.8530197558616</v>
      </c>
      <c r="K6095" s="6" t="n">
        <f aca="false">Sens!J6095*(1-1/life_nonai)+Sens!K6101/life_nonai</f>
        <v>35.7735880544749</v>
      </c>
      <c r="L6095" s="11" t="s">
        <v>844</v>
      </c>
    </row>
    <row r="6096" customFormat="false" ht="17.15" hidden="false" customHeight="false" outlineLevel="0" collapsed="false">
      <c r="A6096" s="1" t="s">
        <v>845</v>
      </c>
      <c r="B6096" s="0" t="s">
        <v>95</v>
      </c>
      <c r="E6096" s="6" t="n">
        <f aca="false">Sens!E6019+Sens!E6095</f>
        <v>38.534</v>
      </c>
      <c r="F6096" s="6" t="n">
        <f aca="false">Sens!F6019+Sens!F6095</f>
        <v>58.3082047994511</v>
      </c>
      <c r="G6096" s="6" t="n">
        <f aca="false">Sens!G6019+Sens!G6095</f>
        <v>85.8469250266016</v>
      </c>
      <c r="H6096" s="6" t="n">
        <f aca="false">Sens!H6019+Sens!H6095</f>
        <v>115.273639947184</v>
      </c>
      <c r="I6096" s="6" t="n">
        <f aca="false">Sens!I6019+Sens!I6095</f>
        <v>146.048213330928</v>
      </c>
      <c r="J6096" s="6" t="n">
        <f aca="false">Sens!J6019+Sens!J6095</f>
        <v>178.037297714135</v>
      </c>
      <c r="K6096" s="6" t="n">
        <f aca="false">Sens!K6019+Sens!K6095</f>
        <v>211.472510689064</v>
      </c>
    </row>
    <row r="6097" customFormat="false" ht="15" hidden="false" customHeight="false" outlineLevel="0" collapsed="false">
      <c r="A6097" s="1" t="s">
        <v>685</v>
      </c>
      <c r="B6097" s="0" t="s">
        <v>95</v>
      </c>
      <c r="F6097" s="6" t="n">
        <f aca="false">Sens!F6046*sbc_r</f>
        <v>15.0205887008474</v>
      </c>
      <c r="G6097" s="6" t="n">
        <f aca="false">Sens!G6046*sbc_r</f>
        <v>17.8986881913524</v>
      </c>
      <c r="H6097" s="6" t="n">
        <f aca="false">Sens!H6046*sbc_r</f>
        <v>20.8435244746383</v>
      </c>
      <c r="I6097" s="6" t="n">
        <f aca="false">Sens!I6046*sbc_r</f>
        <v>23.7100133748859</v>
      </c>
      <c r="J6097" s="6" t="n">
        <f aca="false">Sens!J6046*sbc_r</f>
        <v>26.4438133941922</v>
      </c>
      <c r="K6097" s="6" t="n">
        <f aca="false">Sens!K6046*sbc_r</f>
        <v>29.0582239889864</v>
      </c>
    </row>
    <row r="6098" customFormat="false" ht="17.15" hidden="false" customHeight="false" outlineLevel="0" collapsed="false">
      <c r="A6098" s="1" t="s">
        <v>846</v>
      </c>
      <c r="B6098" s="0" t="s">
        <v>95</v>
      </c>
      <c r="F6098" s="6" t="n">
        <f aca="false">wc27</f>
        <v>-4.895</v>
      </c>
      <c r="G6098" s="6" t="n">
        <f aca="false">0</f>
        <v>0</v>
      </c>
      <c r="H6098" s="6" t="n">
        <f aca="false">0</f>
        <v>0</v>
      </c>
      <c r="I6098" s="6" t="n">
        <f aca="false">0</f>
        <v>0</v>
      </c>
      <c r="J6098" s="6" t="n">
        <f aca="false">0</f>
        <v>0</v>
      </c>
      <c r="K6098" s="6" t="n">
        <f aca="false">0</f>
        <v>0</v>
      </c>
      <c r="L6098" s="11" t="s">
        <v>847</v>
      </c>
    </row>
    <row r="6099" customFormat="false" ht="15" hidden="false" customHeight="false" outlineLevel="0" collapsed="false">
      <c r="A6099" s="1" t="s">
        <v>678</v>
      </c>
      <c r="B6099" s="0" t="s">
        <v>95</v>
      </c>
      <c r="E6099" s="6" t="n">
        <f aca="false">Q!M35</f>
        <v>182.935</v>
      </c>
      <c r="F6099" s="6" t="n">
        <f aca="false">Sens!F6094+Sens!F6096+Sens!F6097+Sens!F6098</f>
        <v>210.740901863194</v>
      </c>
      <c r="G6099" s="6" t="n">
        <f aca="false">Sens!G6094+Sens!G6096+Sens!G6097+Sens!G6098</f>
        <v>262.753001592817</v>
      </c>
      <c r="H6099" s="6" t="n">
        <f aca="false">Sens!H6094+Sens!H6096+Sens!H6097+Sens!H6098</f>
        <v>311.967045749538</v>
      </c>
      <c r="I6099" s="6" t="n">
        <f aca="false">Sens!I6094+Sens!I6096+Sens!I6097+Sens!I6098</f>
        <v>360.622602611297</v>
      </c>
      <c r="J6099" s="6" t="n">
        <f aca="false">Sens!J6094+Sens!J6096+Sens!J6097+Sens!J6098</f>
        <v>407.903875314994</v>
      </c>
      <c r="K6099" s="6" t="n">
        <f aca="false">Sens!K6094+Sens!K6096+Sens!K6097+Sens!K6098</f>
        <v>453.969924642129</v>
      </c>
    </row>
    <row r="6100" customFormat="false" ht="17.15" hidden="false" customHeight="false" outlineLevel="0" collapsed="false">
      <c r="A6100" s="0" t="s">
        <v>848</v>
      </c>
      <c r="B6100" s="0" t="s">
        <v>95</v>
      </c>
      <c r="F6100" s="6" t="n">
        <f aca="false">Sens!F6016</f>
        <v>168.380652770438</v>
      </c>
      <c r="G6100" s="6" t="n">
        <f aca="false">Sens!G6016</f>
        <v>183.5741804832</v>
      </c>
      <c r="H6100" s="6" t="n">
        <f aca="false">Sens!H6016</f>
        <v>188.0802859104</v>
      </c>
      <c r="I6100" s="6" t="n">
        <f aca="false">Sens!I6016</f>
        <v>218.338961257067</v>
      </c>
      <c r="J6100" s="6" t="n">
        <f aca="false">Sens!J6016</f>
        <v>233.777060923733</v>
      </c>
      <c r="K6100" s="6" t="n">
        <f aca="false">Sens!K6016</f>
        <v>278.8563119504</v>
      </c>
    </row>
    <row r="6101" customFormat="false" ht="17.15" hidden="false" customHeight="false" outlineLevel="0" collapsed="false">
      <c r="A6101" s="1" t="s">
        <v>849</v>
      </c>
      <c r="B6101" s="0" t="s">
        <v>95</v>
      </c>
      <c r="E6101" s="6" t="n">
        <f aca="false">Sens!E6024*cx_azo+Sens!E6031*cx_m365+Sens!E6032*cx_lic+(Sens!E6034+Sens!E6036)*cx_ind+Sens!E6039*cx_srch+(Sens!E6041+Sens!E6043)*cx_dev</f>
        <v>30.1846587067718</v>
      </c>
      <c r="F6101" s="6" t="n">
        <f aca="false">Sens!F6024*cx_azo+Sens!F6031*cx_m365+Sens!F6032*cx_lic+(Sens!F6034+Sens!F6036)*cx_ind+Sens!F6039*cx_srch+(Sens!F6041+Sens!F6043)*cx_dev</f>
        <v>35.8193472295625</v>
      </c>
      <c r="G6101" s="6" t="n">
        <f aca="false">Sens!G6024*cx_azo+Sens!G6031*cx_m365+Sens!G6032*cx_lic+(Sens!G6034+Sens!G6036)*cx_ind+Sens!G6039*cx_srch+(Sens!G6041+Sens!G6043)*cx_dev</f>
        <v>41.5128935703892</v>
      </c>
      <c r="H6101" s="6" t="n">
        <f aca="false">Sens!H6024*cx_azo+Sens!H6031*cx_m365+Sens!H6032*cx_lic+(Sens!H6034+Sens!H6036)*cx_ind+Sens!H6039*cx_srch+(Sens!H6041+Sens!H6043)*cx_dev</f>
        <v>47.2915136440897</v>
      </c>
      <c r="I6101" s="6" t="n">
        <f aca="false">Sens!I6024*cx_azo+Sens!I6031*cx_m365+Sens!I6032*cx_lic+(Sens!I6034+Sens!I6036)*cx_ind+Sens!I6039*cx_srch+(Sens!I6041+Sens!I6043)*cx_dev</f>
        <v>52.7684003116439</v>
      </c>
      <c r="J6101" s="6" t="n">
        <f aca="false">Sens!J6024*cx_azo+Sens!J6031*cx_m365+Sens!J6032*cx_lic+(Sens!J6034+Sens!J6036)*cx_ind+Sens!J6039*cx_srch+(Sens!J6041+Sens!J6043)*cx_dev</f>
        <v>57.7109132503738</v>
      </c>
      <c r="K6101" s="6" t="n">
        <f aca="false">Sens!K6024*cx_azo+Sens!K6031*cx_m365+Sens!K6032*cx_lic+(Sens!K6034+Sens!K6036)*cx_ind+Sens!K6039*cx_srch+(Sens!K6041+Sens!K6043)*cx_dev</f>
        <v>62.058702741994</v>
      </c>
    </row>
    <row r="6102" customFormat="false" ht="17.15" hidden="false" customHeight="false" outlineLevel="0" collapsed="false">
      <c r="A6102" s="1" t="s">
        <v>850</v>
      </c>
      <c r="B6102" s="0" t="s">
        <v>95</v>
      </c>
      <c r="E6102" s="6" t="n">
        <f aca="false">Q!M42</f>
        <v>145.3</v>
      </c>
      <c r="F6102" s="6" t="n">
        <f aca="false">Sens!F6100+Sens!F6101</f>
        <v>204.2</v>
      </c>
      <c r="G6102" s="6" t="n">
        <f aca="false">Sens!G6100+Sens!G6101</f>
        <v>225.087074053589</v>
      </c>
      <c r="H6102" s="6" t="n">
        <f aca="false">Sens!H6100+Sens!H6101</f>
        <v>235.37179955449</v>
      </c>
      <c r="I6102" s="6" t="n">
        <f aca="false">Sens!I6100+Sens!I6101</f>
        <v>271.107361568711</v>
      </c>
      <c r="J6102" s="6" t="n">
        <f aca="false">Sens!J6100+Sens!J6101</f>
        <v>291.487974174107</v>
      </c>
      <c r="K6102" s="6" t="n">
        <f aca="false">Sens!K6100+Sens!K6101</f>
        <v>340.915014692394</v>
      </c>
      <c r="L6102" s="1" t="s">
        <v>851</v>
      </c>
    </row>
    <row r="6103" customFormat="false" ht="15" hidden="false" customHeight="false" outlineLevel="0" collapsed="false">
      <c r="A6103" s="1" t="s">
        <v>852</v>
      </c>
      <c r="B6103" s="0" t="s">
        <v>95</v>
      </c>
      <c r="E6103" s="6" t="n">
        <f aca="false">fl_liab</f>
        <v>66.594</v>
      </c>
      <c r="F6103" s="6" t="n">
        <f aca="false">Sens!E6103-Sens!F6104</f>
        <v>62.46973</v>
      </c>
      <c r="G6103" s="6" t="n">
        <f aca="false">Sens!F6103-Sens!G6104</f>
        <v>57.98686785</v>
      </c>
      <c r="H6103" s="6" t="n">
        <f aca="false">Sens!G6103-Sens!H6104</f>
        <v>53.92827690325</v>
      </c>
      <c r="I6103" s="6" t="n">
        <f aca="false">Sens!H6103-Sens!I6104</f>
        <v>49.7850493638962</v>
      </c>
      <c r="J6103" s="6" t="n">
        <f aca="false">Sens!I6103-Sens!J6104</f>
        <v>45.4823765852716</v>
      </c>
      <c r="K6103" s="6" t="n">
        <f aca="false">Sens!J6103-Sens!K6104</f>
        <v>40.9860835316088</v>
      </c>
    </row>
    <row r="6104" customFormat="false" ht="15" hidden="false" customHeight="false" outlineLevel="0" collapsed="false">
      <c r="A6104" s="1" t="s">
        <v>853</v>
      </c>
      <c r="B6104" s="0" t="s">
        <v>95</v>
      </c>
      <c r="F6104" s="6" t="n">
        <f aca="false">fl_pay_27-Sens!E6103*fl_rate</f>
        <v>4.12427</v>
      </c>
      <c r="G6104" s="6" t="n">
        <f aca="false">fl_pay_28-Sens!F6103*fl_rate</f>
        <v>4.48286215</v>
      </c>
      <c r="H6104" s="6" t="n">
        <f aca="false">fl_pay_29-Sens!G6103*fl_rate</f>
        <v>4.05859094675</v>
      </c>
      <c r="I6104" s="6" t="n">
        <f aca="false">fl_pay_30-Sens!H6103*fl_rate</f>
        <v>4.14322753935375</v>
      </c>
      <c r="J6104" s="6" t="n">
        <f aca="false">fl_pay_31-Sens!I6103*fl_rate</f>
        <v>4.30267277862467</v>
      </c>
      <c r="K6104" s="6" t="n">
        <f aca="false">fl_pay_32-Sens!J6103*fl_rate</f>
        <v>4.49629305366278</v>
      </c>
    </row>
    <row r="6105" customFormat="false" ht="17.15" hidden="false" customHeight="false" outlineLevel="0" collapsed="false">
      <c r="A6105" s="1" t="s">
        <v>854</v>
      </c>
      <c r="B6105" s="0" t="s">
        <v>95</v>
      </c>
      <c r="E6105" s="6" t="n">
        <f aca="false">Q!M35-Q!M36-Q!M43</f>
        <v>63.886</v>
      </c>
      <c r="F6105" s="6" t="n">
        <f aca="false">Sens!F6099-Sens!F6102-Sens!F6104</f>
        <v>2.41663186319357</v>
      </c>
      <c r="G6105" s="6" t="n">
        <f aca="false">Sens!G6099-Sens!G6102-Sens!G6104</f>
        <v>33.1830653892276</v>
      </c>
      <c r="H6105" s="6" t="n">
        <f aca="false">Sens!H6099-Sens!H6102-Sens!H6104</f>
        <v>72.5366552482984</v>
      </c>
      <c r="I6105" s="6" t="n">
        <f aca="false">Sens!I6099-Sens!I6102-Sens!I6104</f>
        <v>85.3720135032325</v>
      </c>
      <c r="J6105" s="6" t="n">
        <f aca="false">Sens!J6099-Sens!J6102-Sens!J6104</f>
        <v>112.113228362263</v>
      </c>
      <c r="K6105" s="6" t="n">
        <f aca="false">Sens!K6099-Sens!K6102-Sens!K6104</f>
        <v>108.558616896072</v>
      </c>
      <c r="L6105" s="11" t="s">
        <v>855</v>
      </c>
    </row>
    <row r="6106" customFormat="false" ht="15" hidden="false" customHeight="false" outlineLevel="0" collapsed="false">
      <c r="A6106" s="1" t="s">
        <v>856</v>
      </c>
      <c r="B6106" s="0" t="s">
        <v>73</v>
      </c>
      <c r="F6106" s="8" t="n">
        <f aca="false">dps_27</f>
        <v>3.85</v>
      </c>
      <c r="G6106" s="8" t="n">
        <f aca="false">Sens!F6106*(1+dps_g)</f>
        <v>4.158</v>
      </c>
      <c r="H6106" s="8" t="n">
        <f aca="false">Sens!G6106*(1+dps_g)</f>
        <v>4.49064</v>
      </c>
      <c r="I6106" s="8" t="n">
        <f aca="false">Sens!H6106*(1+dps_g)</f>
        <v>4.8498912</v>
      </c>
      <c r="J6106" s="8" t="n">
        <f aca="false">Sens!I6106*(1+dps_g)</f>
        <v>5.237882496</v>
      </c>
      <c r="K6106" s="8" t="n">
        <f aca="false">Sens!J6106*(1+dps_g)</f>
        <v>5.65691309568</v>
      </c>
    </row>
    <row r="6107" customFormat="false" ht="17.15" hidden="false" customHeight="false" outlineLevel="0" collapsed="false">
      <c r="A6107" s="1" t="s">
        <v>857</v>
      </c>
      <c r="B6107" s="0" t="s">
        <v>95</v>
      </c>
      <c r="E6107" s="6" t="n">
        <f aca="false">Q!M41</f>
        <v>26.445</v>
      </c>
      <c r="F6107" s="6" t="n">
        <f aca="false">Sens!F6106*Sens!E6116</f>
        <v>28.59395</v>
      </c>
      <c r="G6107" s="6" t="n">
        <f aca="false">Sens!G6106*Sens!F6116</f>
        <v>31.068576</v>
      </c>
      <c r="H6107" s="6" t="n">
        <f aca="false">Sens!H6106*Sens!G6116</f>
        <v>33.7402562554127</v>
      </c>
      <c r="I6107" s="6" t="n">
        <f aca="false">Sens!I6106*Sens!H6116</f>
        <v>36.4904159958451</v>
      </c>
      <c r="J6107" s="6" t="n">
        <f aca="false">Sens!J6106*Sens!I6116</f>
        <v>39.4780481238322</v>
      </c>
      <c r="K6107" s="6" t="n">
        <f aca="false">Sens!K6106*Sens!J6116</f>
        <v>42.7235471990438</v>
      </c>
      <c r="L6107" s="1" t="s">
        <v>858</v>
      </c>
    </row>
    <row r="6108" customFormat="false" ht="15" hidden="false" customHeight="false" outlineLevel="0" collapsed="false">
      <c r="A6108" s="1" t="s">
        <v>859</v>
      </c>
      <c r="B6108" s="0" t="s">
        <v>95</v>
      </c>
      <c r="E6108" s="6" t="n">
        <f aca="false">Sens!E6105-Sens!E6107</f>
        <v>37.441</v>
      </c>
      <c r="F6108" s="6" t="n">
        <f aca="false">Sens!F6105-Sens!F6107</f>
        <v>-26.1773181368064</v>
      </c>
      <c r="G6108" s="6" t="n">
        <f aca="false">Sens!G6105-Sens!G6107</f>
        <v>2.11448938922762</v>
      </c>
      <c r="H6108" s="6" t="n">
        <f aca="false">Sens!H6105-Sens!H6107</f>
        <v>38.7963989928857</v>
      </c>
      <c r="I6108" s="6" t="n">
        <f aca="false">Sens!I6105-Sens!I6107</f>
        <v>48.8815975073874</v>
      </c>
      <c r="J6108" s="6" t="n">
        <f aca="false">Sens!J6105-Sens!J6107</f>
        <v>72.6351802384305</v>
      </c>
      <c r="K6108" s="6" t="n">
        <f aca="false">Sens!K6105-Sens!K6107</f>
        <v>65.8350696970286</v>
      </c>
    </row>
    <row r="6109" customFormat="false" ht="15" hidden="false" customHeight="false" outlineLevel="0" collapsed="false">
      <c r="A6109" s="1" t="s">
        <v>860</v>
      </c>
      <c r="B6109" s="0" t="s">
        <v>95</v>
      </c>
      <c r="F6109" s="6" t="n">
        <f aca="false">debt_mat_27</f>
        <v>9.25</v>
      </c>
      <c r="G6109" s="6" t="n">
        <f aca="false">debt_mat_28</f>
        <v>0</v>
      </c>
      <c r="H6109" s="6" t="n">
        <f aca="false">debt_mat_29</f>
        <v>2.001</v>
      </c>
      <c r="I6109" s="6" t="n">
        <f aca="false">debt_mat_30</f>
        <v>0</v>
      </c>
      <c r="J6109" s="6" t="n">
        <f aca="false">debt_mat_31</f>
        <v>0.5</v>
      </c>
      <c r="K6109" s="6" t="n">
        <f aca="false">debt_mat_32</f>
        <v>0</v>
      </c>
    </row>
    <row r="6110" customFormat="false" ht="15" hidden="false" customHeight="false" outlineLevel="0" collapsed="false">
      <c r="A6110" s="1" t="s">
        <v>861</v>
      </c>
      <c r="B6110" s="0" t="s">
        <v>95</v>
      </c>
      <c r="E6110" s="6" t="n">
        <f aca="false">Q!M40</f>
        <v>22.271</v>
      </c>
      <c r="F6110" s="6" t="n">
        <f aca="false">MAX(0,MIN(bb_target,Sens!E6112+Sens!F6108-Sens!F6109-min_cash))</f>
        <v>0</v>
      </c>
      <c r="G6110" s="6" t="n">
        <f aca="false">MAX(0,MIN(bb_target,Sens!F6112+Sens!G6108-Sens!G6109-min_cash))</f>
        <v>2.11448938922762</v>
      </c>
      <c r="H6110" s="6" t="n">
        <f aca="false">MAX(0,MIN(bb_target,Sens!G6112+Sens!H6108-Sens!H6109-min_cash))</f>
        <v>22.271</v>
      </c>
      <c r="I6110" s="6" t="n">
        <f aca="false">MAX(0,MIN(bb_target,Sens!H6112+Sens!I6108-Sens!I6109-min_cash))</f>
        <v>22.271</v>
      </c>
      <c r="J6110" s="6" t="n">
        <f aca="false">MAX(0,MIN(bb_target,Sens!I6112+Sens!J6108-Sens!J6109-min_cash))</f>
        <v>22.271</v>
      </c>
      <c r="K6110" s="6" t="n">
        <f aca="false">MAX(0,MIN(bb_target,Sens!J6112+Sens!K6108-Sens!K6109-min_cash))</f>
        <v>22.271</v>
      </c>
    </row>
    <row r="6111" customFormat="false" ht="15" hidden="false" customHeight="false" outlineLevel="0" collapsed="false">
      <c r="A6111" s="1" t="s">
        <v>862</v>
      </c>
      <c r="B6111" s="0" t="s">
        <v>95</v>
      </c>
      <c r="F6111" s="6" t="n">
        <f aca="false">MAX(0,min_cash-(Sens!E6112+Sens!F6108-Sens!F6109-Sens!F6110))</f>
        <v>8.58431813680643</v>
      </c>
      <c r="G6111" s="6" t="n">
        <f aca="false">MAX(0,min_cash-(Sens!F6112+Sens!G6108-Sens!G6109-Sens!G6110))</f>
        <v>0</v>
      </c>
      <c r="H6111" s="6" t="n">
        <f aca="false">MAX(0,min_cash-(Sens!G6112+Sens!H6108-Sens!H6109-Sens!H6110))</f>
        <v>0</v>
      </c>
      <c r="I6111" s="6" t="n">
        <f aca="false">MAX(0,min_cash-(Sens!H6112+Sens!I6108-Sens!I6109-Sens!I6110))</f>
        <v>0</v>
      </c>
      <c r="J6111" s="6" t="n">
        <f aca="false">MAX(0,min_cash-(Sens!I6112+Sens!J6108-Sens!J6109-Sens!J6110))</f>
        <v>0</v>
      </c>
      <c r="K6111" s="6" t="n">
        <f aca="false">MAX(0,min_cash-(Sens!J6112+Sens!K6108-Sens!K6109-Sens!K6110))</f>
        <v>0</v>
      </c>
    </row>
    <row r="6112" customFormat="false" ht="15" hidden="false" customHeight="false" outlineLevel="0" collapsed="false">
      <c r="A6112" s="1" t="s">
        <v>863</v>
      </c>
      <c r="B6112" s="0" t="s">
        <v>95</v>
      </c>
      <c r="E6112" s="6" t="n">
        <f aca="false">cash_open</f>
        <v>76.843</v>
      </c>
      <c r="F6112" s="6" t="n">
        <f aca="false">Sens!E6112+Sens!F6108-Sens!F6109-Sens!F6110+Sens!F6111</f>
        <v>50</v>
      </c>
      <c r="G6112" s="6" t="n">
        <f aca="false">Sens!F6112+Sens!G6108-Sens!G6109-Sens!G6110+Sens!G6111</f>
        <v>50</v>
      </c>
      <c r="H6112" s="6" t="n">
        <f aca="false">Sens!G6112+Sens!H6108-Sens!H6109-Sens!H6110+Sens!H6111</f>
        <v>64.5243989928857</v>
      </c>
      <c r="I6112" s="6" t="n">
        <f aca="false">Sens!H6112+Sens!I6108-Sens!I6109-Sens!I6110+Sens!I6111</f>
        <v>91.1349965002731</v>
      </c>
      <c r="J6112" s="6" t="n">
        <f aca="false">Sens!I6112+Sens!J6108-Sens!J6109-Sens!J6110+Sens!J6111</f>
        <v>140.999176738704</v>
      </c>
      <c r="K6112" s="6" t="n">
        <f aca="false">Sens!J6112+Sens!K6108-Sens!K6109-Sens!K6110+Sens!K6111</f>
        <v>184.563246435732</v>
      </c>
    </row>
    <row r="6113" customFormat="false" ht="15" hidden="false" customHeight="false" outlineLevel="0" collapsed="false">
      <c r="A6113" s="1" t="s">
        <v>864</v>
      </c>
      <c r="B6113" s="0" t="s">
        <v>95</v>
      </c>
      <c r="E6113" s="6" t="n">
        <f aca="false">debt_face</f>
        <v>46.136</v>
      </c>
      <c r="F6113" s="6" t="n">
        <f aca="false">Sens!E6113-Sens!F6109+Sens!F6111</f>
        <v>45.4703181368064</v>
      </c>
      <c r="G6113" s="6" t="n">
        <f aca="false">Sens!F6113-Sens!G6109+Sens!G6111</f>
        <v>45.4703181368064</v>
      </c>
      <c r="H6113" s="6" t="n">
        <f aca="false">Sens!G6113-Sens!H6109+Sens!H6111</f>
        <v>43.4693181368064</v>
      </c>
      <c r="I6113" s="6" t="n">
        <f aca="false">Sens!H6113-Sens!I6109+Sens!I6111</f>
        <v>43.4693181368064</v>
      </c>
      <c r="J6113" s="6" t="n">
        <f aca="false">Sens!I6113-Sens!J6109+Sens!J6111</f>
        <v>42.9693181368064</v>
      </c>
      <c r="K6113" s="6" t="n">
        <f aca="false">Sens!J6113-Sens!K6109+Sens!K6111</f>
        <v>42.9693181368064</v>
      </c>
    </row>
    <row r="6114" customFormat="false" ht="15" hidden="false" customHeight="false" outlineLevel="0" collapsed="false">
      <c r="A6114" s="1" t="s">
        <v>865</v>
      </c>
      <c r="B6114" s="0" t="s">
        <v>95</v>
      </c>
      <c r="E6114" s="6" t="n">
        <f aca="false">Sens!E6112-Sens!E6113</f>
        <v>30.707</v>
      </c>
      <c r="F6114" s="6" t="n">
        <f aca="false">Sens!F6112-Sens!F6113</f>
        <v>4.52968186319357</v>
      </c>
      <c r="G6114" s="6" t="n">
        <f aca="false">Sens!G6112-Sens!G6113</f>
        <v>4.52968186319357</v>
      </c>
      <c r="H6114" s="6" t="n">
        <f aca="false">Sens!H6112-Sens!H6113</f>
        <v>21.0550808560793</v>
      </c>
      <c r="I6114" s="6" t="n">
        <f aca="false">Sens!I6112-Sens!I6113</f>
        <v>47.6656783634667</v>
      </c>
      <c r="J6114" s="6" t="n">
        <f aca="false">Sens!J6112-Sens!J6113</f>
        <v>98.0298586018971</v>
      </c>
      <c r="K6114" s="6" t="n">
        <f aca="false">Sens!K6112-Sens!K6113</f>
        <v>141.593928298926</v>
      </c>
    </row>
    <row r="6115" customFormat="false" ht="15" hidden="false" customHeight="false" outlineLevel="0" collapsed="false">
      <c r="A6115" s="1" t="s">
        <v>866</v>
      </c>
      <c r="B6115" s="0" t="s">
        <v>73</v>
      </c>
      <c r="F6115" s="27" t="n">
        <f aca="false">px*(1+bb_g)^(1-0.5)</f>
        <v>553.494156066711</v>
      </c>
      <c r="G6115" s="27" t="n">
        <f aca="false">px*(1+bb_g)^(2-0.5)</f>
        <v>597.773688552047</v>
      </c>
      <c r="H6115" s="27" t="n">
        <f aca="false">px*(1+bb_g)^(3-0.5)</f>
        <v>645.595583636211</v>
      </c>
      <c r="I6115" s="27" t="n">
        <f aca="false">px*(1+bb_g)^(4-0.5)</f>
        <v>697.243230327108</v>
      </c>
      <c r="J6115" s="27" t="n">
        <f aca="false">px*(1+bb_g)^(5-0.5)</f>
        <v>753.022688753277</v>
      </c>
      <c r="K6115" s="27" t="n">
        <f aca="false">px*(1+bb_g)^(6-0.5)</f>
        <v>813.264503853539</v>
      </c>
    </row>
    <row r="6116" customFormat="false" ht="15" hidden="false" customHeight="false" outlineLevel="0" collapsed="false">
      <c r="A6116" s="1" t="s">
        <v>867</v>
      </c>
      <c r="B6116" s="1" t="s">
        <v>79</v>
      </c>
      <c r="E6116" s="18" t="n">
        <f aca="false">sh_out26</f>
        <v>7.427</v>
      </c>
      <c r="F6116" s="18" t="n">
        <f aca="false">Sens!E6116+sh_iss-Sens!F6110/Sens!F6115</f>
        <v>7.472</v>
      </c>
      <c r="G6116" s="18" t="n">
        <f aca="false">Sens!F6116+sh_iss-Sens!G6110/Sens!G6115</f>
        <v>7.5134627258949</v>
      </c>
      <c r="H6116" s="18" t="n">
        <f aca="false">Sens!G6116+sh_iss-Sens!H6110/Sens!H6115</f>
        <v>7.5239658975948</v>
      </c>
      <c r="I6116" s="18" t="n">
        <f aca="false">Sens!H6116+sh_iss-Sens!I6110/Sens!I6115</f>
        <v>7.53702438990952</v>
      </c>
      <c r="J6116" s="18" t="n">
        <f aca="false">Sens!I6116+sh_iss-Sens!J6110/Sens!J6115</f>
        <v>7.55244891983056</v>
      </c>
      <c r="K6116" s="18" t="n">
        <f aca="false">Sens!J6116+sh_iss-Sens!K6110/Sens!K6115</f>
        <v>7.57006422531301</v>
      </c>
    </row>
    <row r="6117" customFormat="false" ht="15" hidden="false" customHeight="false" outlineLevel="0" collapsed="false">
      <c r="A6117" s="1" t="s">
        <v>868</v>
      </c>
      <c r="B6117" s="1" t="s">
        <v>79</v>
      </c>
      <c r="E6117" s="18" t="n">
        <f aca="false">sh_dil26</f>
        <v>7.453</v>
      </c>
      <c r="F6117" s="18" t="n">
        <f aca="false">(Sens!E6116+Sens!F6116)/2+dil_gap</f>
        <v>7.4735</v>
      </c>
      <c r="G6117" s="18" t="n">
        <f aca="false">(Sens!F6116+Sens!G6116)/2+dil_gap</f>
        <v>7.51673136294745</v>
      </c>
      <c r="H6117" s="18" t="n">
        <f aca="false">(Sens!G6116+Sens!H6116)/2+dil_gap</f>
        <v>7.54271431174485</v>
      </c>
      <c r="I6117" s="18" t="n">
        <f aca="false">(Sens!H6116+Sens!I6116)/2+dil_gap</f>
        <v>7.55449514375216</v>
      </c>
      <c r="J6117" s="18" t="n">
        <f aca="false">(Sens!I6116+Sens!J6116)/2+dil_gap</f>
        <v>7.56873665487004</v>
      </c>
      <c r="K6117" s="18" t="n">
        <f aca="false">(Sens!J6116+Sens!K6116)/2+dil_gap</f>
        <v>7.58525657257179</v>
      </c>
    </row>
    <row r="6118" customFormat="false" ht="17.15" hidden="false" customHeight="false" outlineLevel="0" collapsed="false">
      <c r="A6118" s="1" t="s">
        <v>869</v>
      </c>
      <c r="B6118" s="0" t="s">
        <v>95</v>
      </c>
      <c r="C6118" s="6" t="n">
        <f aca="false">SUM(Sens!F6108:J6108)</f>
        <v>136.250347991125</v>
      </c>
    </row>
    <row r="6119" customFormat="false" ht="17.15" hidden="false" customHeight="false" outlineLevel="0" collapsed="false">
      <c r="A6119" s="1" t="s">
        <v>836</v>
      </c>
      <c r="B6119" s="1" t="s">
        <v>870</v>
      </c>
      <c r="C6119" s="30" t="str">
        <f aca="false">IF(SUM(Sens!F6111:J6111)&gt;0.05,"需要舉債 "&amp;TEXT(SUM(Sens!F6111:J6111),"0.0")&amp;" 十億美元","不需舉債")&amp;"；"&amp;IF(SUM(Sens!F6110:J6110)&lt;5*bb_target-0.05,"回購較每年 "&amp;TEXT(bb_target,"0.0")&amp;" 的目標少 "&amp;TEXT(5*bb_target-SUM(Sens!F6110:J6110),"0.0")&amp;" 十億美元（"&amp;TEXT(COUNTIF(Sens!F6110:J6110,"&lt;"&amp;(bb_target-0.05)),"0")&amp;" 年減少）","回購不減")</f>
        <v>需要舉債 8.6 十億美元；回購較每年 22.3 的目標少 42.4 十億美元（2 年減少）</v>
      </c>
    </row>
    <row r="6120" customFormat="false" ht="17.15" hidden="false" customHeight="false" outlineLevel="0" collapsed="false">
      <c r="A6120" s="3" t="s">
        <v>1288</v>
      </c>
    </row>
    <row r="6121" customFormat="false" ht="15" hidden="false" customHeight="false" outlineLevel="0" collapsed="false">
      <c r="A6121" s="4" t="s">
        <v>43</v>
      </c>
      <c r="B6121" s="4" t="s">
        <v>63</v>
      </c>
      <c r="C6121" s="19" t="s">
        <v>710</v>
      </c>
      <c r="D6121" s="19" t="s">
        <v>711</v>
      </c>
      <c r="E6121" s="19" t="s">
        <v>712</v>
      </c>
      <c r="F6121" s="19" t="s">
        <v>713</v>
      </c>
      <c r="G6121" s="19" t="s">
        <v>714</v>
      </c>
      <c r="H6121" s="19" t="s">
        <v>715</v>
      </c>
      <c r="I6121" s="19" t="s">
        <v>716</v>
      </c>
      <c r="J6121" s="19" t="s">
        <v>717</v>
      </c>
      <c r="K6121" s="19" t="s">
        <v>718</v>
      </c>
      <c r="L6121" s="4" t="s">
        <v>47</v>
      </c>
    </row>
    <row r="6122" customFormat="false" ht="17.15" hidden="false" customHeight="false" outlineLevel="0" collapsed="false">
      <c r="A6122" s="1" t="s">
        <v>938</v>
      </c>
      <c r="B6122" s="1" t="s">
        <v>213</v>
      </c>
      <c r="F6122" s="34" t="n">
        <f aca="false">1-0.5</f>
        <v>0.5</v>
      </c>
      <c r="G6122" s="34" t="n">
        <f aca="false">2-0.5</f>
        <v>1.5</v>
      </c>
      <c r="H6122" s="34" t="n">
        <f aca="false">3-0.5</f>
        <v>2.5</v>
      </c>
      <c r="I6122" s="34" t="n">
        <f aca="false">4-0.5</f>
        <v>3.5</v>
      </c>
      <c r="J6122" s="34" t="n">
        <f aca="false">5-0.5</f>
        <v>4.5</v>
      </c>
      <c r="K6122" s="34" t="n">
        <f aca="false">6-0.5</f>
        <v>5.5</v>
      </c>
    </row>
    <row r="6123" customFormat="false" ht="15" hidden="false" customHeight="false" outlineLevel="0" collapsed="false">
      <c r="A6123" s="1" t="s">
        <v>939</v>
      </c>
      <c r="B6123" s="0" t="s">
        <v>182</v>
      </c>
      <c r="F6123" s="18" t="n">
        <f aca="false">1/(1+wacc)^Sens!F6122</f>
        <v>0.949601579913219</v>
      </c>
      <c r="G6123" s="18" t="n">
        <f aca="false">1/(1+wacc)^Sens!G6122</f>
        <v>0.856296729956707</v>
      </c>
      <c r="H6123" s="18" t="n">
        <f aca="false">1/(1+wacc)^Sens!H6122</f>
        <v>0.772159719660069</v>
      </c>
      <c r="I6123" s="18" t="n">
        <f aca="false">1/(1+wacc)^Sens!I6122</f>
        <v>0.696289746073958</v>
      </c>
      <c r="J6123" s="18" t="n">
        <f aca="false">1/(1+wacc)^Sens!J6122</f>
        <v>0.627874516299776</v>
      </c>
      <c r="K6123" s="18" t="n">
        <f aca="false">1/(1+wacc)^Sens!K6122</f>
        <v>0.566181550771831</v>
      </c>
    </row>
    <row r="6124" customFormat="false" ht="15" hidden="false" customHeight="false" outlineLevel="0" collapsed="false">
      <c r="A6124" s="1" t="s">
        <v>940</v>
      </c>
      <c r="B6124" s="0" t="s">
        <v>95</v>
      </c>
      <c r="F6124" s="6" t="n">
        <f aca="false">Sens!F6105*Sens!F6123</f>
        <v>2.29483743535724</v>
      </c>
      <c r="G6124" s="6" t="n">
        <f aca="false">Sens!G6105*Sens!G6123</f>
        <v>28.4145503827352</v>
      </c>
      <c r="H6124" s="6" t="n">
        <f aca="false">Sens!H6105*Sens!H6123</f>
        <v>56.0098833816051</v>
      </c>
      <c r="I6124" s="6" t="n">
        <f aca="false">Sens!I6105*Sens!I6123</f>
        <v>59.4436576039882</v>
      </c>
      <c r="J6124" s="6" t="n">
        <f aca="false">Sens!J6105*Sens!J6123</f>
        <v>70.393039028762</v>
      </c>
      <c r="K6124" s="6" t="n">
        <f aca="false">Sens!K6105*Sens!K6123</f>
        <v>61.4638860638634</v>
      </c>
    </row>
    <row r="6125" customFormat="false" ht="17.15" hidden="false" customHeight="false" outlineLevel="0" collapsed="false">
      <c r="A6125" s="1" t="s">
        <v>941</v>
      </c>
      <c r="B6125" s="0" t="s">
        <v>95</v>
      </c>
      <c r="C6125" s="6" t="n">
        <f aca="false">SUM(Sens!F6124:K6124)</f>
        <v>278.019853896311</v>
      </c>
    </row>
    <row r="6126" customFormat="false" ht="17.15" hidden="false" customHeight="false" outlineLevel="0" collapsed="false">
      <c r="A6126" s="1" t="s">
        <v>942</v>
      </c>
      <c r="B6126" s="0" t="s">
        <v>95</v>
      </c>
      <c r="C6126" s="6" t="n">
        <f aca="false">Sens!K6071*(1+g_tv)*(1-tax_f)</f>
        <v>220.171965663001</v>
      </c>
    </row>
    <row r="6127" customFormat="false" ht="17.15" hidden="false" customHeight="false" outlineLevel="0" collapsed="false">
      <c r="A6127" s="1" t="s">
        <v>943</v>
      </c>
      <c r="B6127" s="0" t="s">
        <v>95</v>
      </c>
      <c r="C6127" s="6" t="n">
        <f aca="false">Sens!$C$6126*(1-g_tv/(wacc+ronic_prem))</f>
        <v>159.553723102221</v>
      </c>
    </row>
    <row r="6128" customFormat="false" ht="17.15" hidden="false" customHeight="false" outlineLevel="0" collapsed="false">
      <c r="A6128" s="1" t="s">
        <v>944</v>
      </c>
      <c r="B6128" s="0" t="s">
        <v>95</v>
      </c>
      <c r="C6128" s="6" t="n">
        <f aca="false">Sens!$C$6127/(wacc-g_tv)</f>
        <v>2020.60808535934</v>
      </c>
    </row>
    <row r="6129" customFormat="false" ht="15" hidden="false" customHeight="false" outlineLevel="0" collapsed="false">
      <c r="A6129" s="1" t="s">
        <v>945</v>
      </c>
      <c r="B6129" s="0" t="s">
        <v>95</v>
      </c>
      <c r="C6129" s="6" t="n">
        <f aca="false">Sens!$C$6128/(1+wacc)^6</f>
        <v>1086.37366336933</v>
      </c>
    </row>
    <row r="6130" customFormat="false" ht="17.15" hidden="false" customHeight="false" outlineLevel="0" collapsed="false">
      <c r="A6130" s="0" t="s">
        <v>877</v>
      </c>
      <c r="B6130" s="0" t="s">
        <v>95</v>
      </c>
      <c r="C6130" s="6" t="n">
        <f aca="false">Sens!$C$6125+Sens!$C$6129</f>
        <v>1364.39351726564</v>
      </c>
    </row>
    <row r="6131" customFormat="false" ht="15" hidden="false" customHeight="false" outlineLevel="0" collapsed="false">
      <c r="A6131" s="1" t="s">
        <v>878</v>
      </c>
      <c r="B6131" s="0" t="s">
        <v>126</v>
      </c>
      <c r="C6131" s="7" t="n">
        <f aca="false">Sens!$C$6129/Sens!$C$6130</f>
        <v>0.796231915222313</v>
      </c>
    </row>
    <row r="6132" customFormat="false" ht="17.15" hidden="false" customHeight="false" outlineLevel="0" collapsed="false">
      <c r="A6132" s="1" t="s">
        <v>946</v>
      </c>
      <c r="B6132" s="0" t="s">
        <v>95</v>
      </c>
      <c r="C6132" s="6" t="n">
        <f aca="false">Sens!$C$6130+Sens!E6114+oai_v</f>
        <v>1565.50051726564</v>
      </c>
    </row>
    <row r="6133" customFormat="false" ht="17.15" hidden="false" customHeight="false" outlineLevel="0" collapsed="false">
      <c r="A6133" s="0" t="s">
        <v>883</v>
      </c>
      <c r="B6133" s="0" t="s">
        <v>73</v>
      </c>
      <c r="C6133" s="5" t="n">
        <f aca="false">Sens!$C$6132/sh_dil26</f>
        <v>210.049713842163</v>
      </c>
    </row>
    <row r="6134" customFormat="false" ht="17.15" hidden="false" customHeight="false" outlineLevel="0" collapsed="false">
      <c r="A6134" s="0" t="s">
        <v>947</v>
      </c>
      <c r="B6134" s="0" t="s">
        <v>73</v>
      </c>
      <c r="C6134" s="5" t="n">
        <f aca="false">Sens!$C$6133*(1+wacc)^t_roll</f>
        <v>240.925881366963</v>
      </c>
    </row>
    <row r="6135" customFormat="false" ht="17.15" hidden="false" customHeight="false" outlineLevel="0" collapsed="false">
      <c r="A6135" s="1" t="s">
        <v>948</v>
      </c>
      <c r="B6135" s="0" t="s">
        <v>126</v>
      </c>
      <c r="F6135" s="7" t="n">
        <f aca="false">Sens!F6095/(Sens!F6046-Sens!F6002)</f>
        <v>0.0680263557388621</v>
      </c>
      <c r="G6135" s="7" t="n">
        <f aca="false">Sens!G6095/(Sens!G6046-Sens!G6002)</f>
        <v>0.0651865700614304</v>
      </c>
      <c r="H6135" s="7" t="n">
        <f aca="false">Sens!H6095/(Sens!H6046-Sens!H6002)</f>
        <v>0.0637137429677068</v>
      </c>
      <c r="I6135" s="7" t="n">
        <f aca="false">Sens!I6095/(Sens!I6046-Sens!I6002)</f>
        <v>0.0635008223865934</v>
      </c>
      <c r="J6135" s="7" t="n">
        <f aca="false">Sens!J6095/(Sens!J6046-Sens!J6002)</f>
        <v>0.0642458377428559</v>
      </c>
      <c r="K6135" s="7" t="n">
        <f aca="false">Sens!K6095/(Sens!K6046-Sens!K6002)</f>
        <v>0.0655655177743132</v>
      </c>
    </row>
    <row r="6136" customFormat="false" ht="17.15" hidden="false" customHeight="false" outlineLevel="0" collapsed="false">
      <c r="A6136" s="0" t="s">
        <v>949</v>
      </c>
      <c r="B6136" s="0" t="s">
        <v>95</v>
      </c>
      <c r="F6136" s="6" t="n">
        <f aca="false">Sens!F6031*(al_m365+Sens!F6135)</f>
        <v>81.0265117787603</v>
      </c>
      <c r="G6136" s="6" t="n">
        <f aca="false">Sens!G6031*(al_m365+Sens!G6135)</f>
        <v>93.5546120095221</v>
      </c>
      <c r="H6136" s="6" t="n">
        <f aca="false">Sens!H6031*(al_m365+Sens!H6135)</f>
        <v>106.245543364315</v>
      </c>
      <c r="I6136" s="6" t="n">
        <f aca="false">Sens!I6031*(al_m365+Sens!I6135)</f>
        <v>117.793973627348</v>
      </c>
      <c r="J6136" s="6" t="n">
        <f aca="false">Sens!J6031*(al_m365+Sens!J6135)</f>
        <v>128.021895622176</v>
      </c>
      <c r="K6136" s="6" t="n">
        <f aca="false">Sens!K6031*(al_m365+Sens!K6135)</f>
        <v>137.890527503909</v>
      </c>
    </row>
    <row r="6137" customFormat="false" ht="17.15" hidden="false" customHeight="false" outlineLevel="0" collapsed="false">
      <c r="A6137" s="0" t="s">
        <v>950</v>
      </c>
      <c r="B6137" s="0" t="s">
        <v>95</v>
      </c>
      <c r="F6137" s="6" t="n">
        <f aca="false">Sens!F6032*(al_lic+Sens!F6135)</f>
        <v>31.9619940219611</v>
      </c>
      <c r="G6137" s="6" t="n">
        <f aca="false">Sens!G6032*(al_lic+Sens!G6135)</f>
        <v>33.1997471646739</v>
      </c>
      <c r="H6137" s="6" t="n">
        <f aca="false">Sens!H6032*(al_lic+Sens!H6135)</f>
        <v>34.3579225608347</v>
      </c>
      <c r="I6137" s="6" t="n">
        <f aca="false">Sens!I6032*(al_lic+Sens!I6135)</f>
        <v>35.4196621366445</v>
      </c>
      <c r="J6137" s="6" t="n">
        <f aca="false">Sens!J6032*(al_lic+Sens!J6135)</f>
        <v>36.3591799298757</v>
      </c>
      <c r="K6137" s="6" t="n">
        <f aca="false">Sens!K6032*(al_lic+Sens!K6135)</f>
        <v>37.1464708463363</v>
      </c>
    </row>
    <row r="6138" customFormat="false" ht="17.15" hidden="false" customHeight="false" outlineLevel="0" collapsed="false">
      <c r="A6138" s="0" t="s">
        <v>951</v>
      </c>
      <c r="B6138" s="0" t="s">
        <v>95</v>
      </c>
      <c r="F6138" s="6" t="n">
        <f aca="false">Sens!F6034*(al_ind+Sens!F6135)</f>
        <v>8.22804632131618</v>
      </c>
      <c r="G6138" s="6" t="n">
        <f aca="false">Sens!G6034*(al_ind+Sens!G6135)</f>
        <v>8.92487216732591</v>
      </c>
      <c r="H6138" s="6" t="n">
        <f aca="false">Sens!H6034*(al_ind+Sens!H6135)</f>
        <v>9.66525815712062</v>
      </c>
      <c r="I6138" s="6" t="n">
        <f aca="false">Sens!I6034*(al_ind+Sens!I6135)</f>
        <v>10.4474559856107</v>
      </c>
      <c r="J6138" s="6" t="n">
        <f aca="false">Sens!J6034*(al_ind+Sens!J6135)</f>
        <v>11.2622097721398</v>
      </c>
      <c r="K6138" s="6" t="n">
        <f aca="false">Sens!K6034*(al_ind+Sens!K6135)</f>
        <v>12.0942242255892</v>
      </c>
    </row>
    <row r="6139" customFormat="false" ht="17.15" hidden="false" customHeight="false" outlineLevel="0" collapsed="false">
      <c r="A6139" s="0" t="s">
        <v>952</v>
      </c>
      <c r="B6139" s="0" t="s">
        <v>95</v>
      </c>
      <c r="F6139" s="6" t="n">
        <f aca="false">Sens!F6036*(al_fro+Sens!F6135)</f>
        <v>3.23858791910274</v>
      </c>
      <c r="G6139" s="6" t="n">
        <f aca="false">Sens!G6036*(al_fro+Sens!G6135)</f>
        <v>3.42662325887559</v>
      </c>
      <c r="H6139" s="6" t="n">
        <f aca="false">Sens!H6036*(al_fro+Sens!H6135)</f>
        <v>3.64220009174686</v>
      </c>
      <c r="I6139" s="6" t="n">
        <f aca="false">Sens!I6036*(al_fro+Sens!I6135)</f>
        <v>3.88811791155653</v>
      </c>
      <c r="J6139" s="6" t="n">
        <f aca="false">Sens!J6036*(al_fro+Sens!J6135)</f>
        <v>4.16519797965578</v>
      </c>
      <c r="K6139" s="6" t="n">
        <f aca="false">Sens!K6036*(al_fro+Sens!K6135)</f>
        <v>4.47290889879748</v>
      </c>
    </row>
    <row r="6140" customFormat="false" ht="17.15" hidden="false" customHeight="false" outlineLevel="0" collapsed="false">
      <c r="A6140" s="0" t="s">
        <v>953</v>
      </c>
      <c r="B6140" s="0" t="s">
        <v>95</v>
      </c>
      <c r="F6140" s="6" t="n">
        <f aca="false">Sens!F6039*(al_srch+Sens!F6135)</f>
        <v>10.1617560860662</v>
      </c>
      <c r="G6140" s="6" t="n">
        <f aca="false">Sens!G6039*(al_srch+Sens!G6135)</f>
        <v>11.126346193653</v>
      </c>
      <c r="H6140" s="6" t="n">
        <f aca="false">Sens!H6039*(al_srch+Sens!H6135)</f>
        <v>12.1350823297335</v>
      </c>
      <c r="I6140" s="6" t="n">
        <f aca="false">Sens!I6039*(al_srch+Sens!I6135)</f>
        <v>13.1797043688474</v>
      </c>
      <c r="J6140" s="6" t="n">
        <f aca="false">Sens!J6039*(al_srch+Sens!J6135)</f>
        <v>14.241588563245</v>
      </c>
      <c r="K6140" s="6" t="n">
        <f aca="false">Sens!K6039*(al_srch+Sens!K6135)</f>
        <v>15.2937095736361</v>
      </c>
    </row>
    <row r="6141" customFormat="false" ht="17.15" hidden="false" customHeight="false" outlineLevel="0" collapsed="false">
      <c r="A6141" s="0" t="s">
        <v>954</v>
      </c>
      <c r="B6141" s="0" t="s">
        <v>95</v>
      </c>
      <c r="F6141" s="6" t="n">
        <f aca="false">Sens!F6008</f>
        <v>39.4594407491938</v>
      </c>
      <c r="G6141" s="6" t="n">
        <f aca="false">Sens!G6008</f>
        <v>66.5527545578061</v>
      </c>
      <c r="H6141" s="6" t="n">
        <f aca="false">Sens!H6008</f>
        <v>95.219644983859</v>
      </c>
      <c r="I6141" s="6" t="n">
        <f aca="false">Sens!I6008</f>
        <v>124.031840462493</v>
      </c>
      <c r="J6141" s="6" t="n">
        <f aca="false">Sens!J6008</f>
        <v>152.919994097909</v>
      </c>
      <c r="K6141" s="6" t="n">
        <f aca="false">Sens!K6008</f>
        <v>181.852830263848</v>
      </c>
    </row>
    <row r="6142" customFormat="false" ht="17.15" hidden="false" customHeight="false" outlineLevel="0" collapsed="false">
      <c r="A6142" s="0" t="s">
        <v>955</v>
      </c>
      <c r="B6142" s="0" t="s">
        <v>95</v>
      </c>
      <c r="F6142" s="6" t="n">
        <f aca="false">Sens!F6068+Sens!F6019+Sens!F6135*(Sens!F6038-Sens!F6002)</f>
        <v>212.865294308597</v>
      </c>
      <c r="G6142" s="6" t="n">
        <f aca="false">Sens!G6068+Sens!G6019+Sens!G6135*(Sens!G6038-Sens!G6002)</f>
        <v>260.747423803595</v>
      </c>
      <c r="H6142" s="6" t="n">
        <f aca="false">Sens!H6068+Sens!H6019+Sens!H6135*(Sens!H6038-Sens!H6002)</f>
        <v>310.443791148794</v>
      </c>
      <c r="I6142" s="6" t="n">
        <f aca="false">Sens!I6068+Sens!I6019+Sens!I6135*(Sens!I6038-Sens!I6002)</f>
        <v>358.977381146778</v>
      </c>
      <c r="J6142" s="6" t="n">
        <f aca="false">Sens!J6068+Sens!J6019+Sens!J6135*(Sens!J6038-Sens!J6002)</f>
        <v>405.463858217962</v>
      </c>
      <c r="K6142" s="6" t="n">
        <f aca="false">Sens!K6068+Sens!K6019+Sens!K6135*(Sens!K6038-Sens!K6002)</f>
        <v>450.065550331509</v>
      </c>
    </row>
    <row r="6143" customFormat="false" ht="17.15" hidden="false" customHeight="false" outlineLevel="0" collapsed="false">
      <c r="A6143" s="0" t="s">
        <v>956</v>
      </c>
      <c r="B6143" s="0" t="s">
        <v>95</v>
      </c>
      <c r="F6143" s="6" t="n">
        <f aca="false">Sens!F6142-Sens!F6136-Sens!F6137-Sens!F6138-Sens!F6139-Sens!F6141</f>
        <v>48.9507135182632</v>
      </c>
      <c r="G6143" s="6" t="n">
        <f aca="false">Sens!G6142-Sens!G6136-Sens!G6137-Sens!G6138-Sens!G6139-Sens!G6141</f>
        <v>55.0888146453917</v>
      </c>
      <c r="H6143" s="6" t="n">
        <f aca="false">Sens!H6142-Sens!H6136-Sens!H6137-Sens!H6138-Sens!H6139-Sens!H6141</f>
        <v>61.313221990918</v>
      </c>
      <c r="I6143" s="6" t="n">
        <f aca="false">Sens!I6142-Sens!I6136-Sens!I6137-Sens!I6138-Sens!I6139-Sens!I6141</f>
        <v>67.3963310231251</v>
      </c>
      <c r="J6143" s="6" t="n">
        <f aca="false">Sens!J6142-Sens!J6136-Sens!J6137-Sens!J6138-Sens!J6139-Sens!J6141</f>
        <v>72.7353808162048</v>
      </c>
      <c r="K6143" s="6" t="n">
        <f aca="false">Sens!K6142-Sens!K6136-Sens!K6137-Sens!K6138-Sens!K6139-Sens!K6141</f>
        <v>76.6085885930283</v>
      </c>
    </row>
    <row r="6144" customFormat="false" ht="17.15" hidden="false" customHeight="false" outlineLevel="0" collapsed="false">
      <c r="A6144" s="0" t="s">
        <v>957</v>
      </c>
      <c r="B6144" s="0" t="s">
        <v>95</v>
      </c>
      <c r="F6144" s="6" t="n">
        <f aca="false">Sens!F6070+Sens!F6135*Sens!F6045</f>
        <v>23.7267959444725</v>
      </c>
      <c r="G6144" s="6" t="n">
        <f aca="false">Sens!G6070+Sens!G6135*Sens!G6045</f>
        <v>24.2587366915849</v>
      </c>
      <c r="H6144" s="6" t="n">
        <f aca="false">Sens!H6070+Sens!H6135*Sens!H6045</f>
        <v>25.0422004580348</v>
      </c>
      <c r="I6144" s="6" t="n">
        <f aca="false">Sens!I6070+Sens!I6135*Sens!I6045</f>
        <v>26.0513020660044</v>
      </c>
      <c r="J6144" s="6" t="n">
        <f aca="false">Sens!J6070+Sens!J6135*Sens!J6045</f>
        <v>27.2518947545073</v>
      </c>
      <c r="K6144" s="6" t="n">
        <f aca="false">Sens!K6070+Sens!K6135*Sens!K6045</f>
        <v>28.6059478126534</v>
      </c>
    </row>
    <row r="6145" customFormat="false" ht="17.15" hidden="false" customHeight="false" outlineLevel="0" collapsed="false">
      <c r="A6145" s="0" t="s">
        <v>958</v>
      </c>
      <c r="B6145" s="0" t="s">
        <v>95</v>
      </c>
      <c r="F6145" s="6" t="n">
        <f aca="false">(Sens!F6144-Sens!F6140)*Sens!F6041/(Sens!F6041+Sens!F6043)</f>
        <v>7.43622272880454</v>
      </c>
      <c r="G6145" s="6" t="n">
        <f aca="false">(Sens!G6144-Sens!G6140)*Sens!G6041/(Sens!G6041+Sens!G6043)</f>
        <v>7.07068997990008</v>
      </c>
      <c r="H6145" s="6" t="n">
        <f aca="false">(Sens!H6144-Sens!H6140)*Sens!H6041/(Sens!H6041+Sens!H6043)</f>
        <v>6.85552494128474</v>
      </c>
      <c r="I6145" s="6" t="n">
        <f aca="false">(Sens!I6144-Sens!I6140)*Sens!I6041/(Sens!I6041+Sens!I6043)</f>
        <v>6.77480034102083</v>
      </c>
      <c r="J6145" s="6" t="n">
        <f aca="false">(Sens!J6144-Sens!J6140)*Sens!J6041/(Sens!J6041+Sens!J6043)</f>
        <v>6.81684224353982</v>
      </c>
      <c r="K6145" s="6" t="n">
        <f aca="false">(Sens!K6144-Sens!K6140)*Sens!K6041/(Sens!K6041+Sens!K6043)</f>
        <v>6.97504168231995</v>
      </c>
    </row>
    <row r="6146" customFormat="false" ht="17.15" hidden="false" customHeight="false" outlineLevel="0" collapsed="false">
      <c r="A6146" s="0" t="s">
        <v>959</v>
      </c>
      <c r="B6146" s="0" t="s">
        <v>95</v>
      </c>
      <c r="F6146" s="6" t="n">
        <f aca="false">Sens!F6144-Sens!F6140-Sens!F6145</f>
        <v>6.12881712960174</v>
      </c>
      <c r="G6146" s="6" t="n">
        <f aca="false">Sens!G6144-Sens!G6140-Sens!G6145</f>
        <v>6.06170051803181</v>
      </c>
      <c r="H6146" s="6" t="n">
        <f aca="false">Sens!H6144-Sens!H6140-Sens!H6145</f>
        <v>6.05159318701653</v>
      </c>
      <c r="I6146" s="6" t="n">
        <f aca="false">Sens!I6144-Sens!I6140-Sens!I6145</f>
        <v>6.09679735613622</v>
      </c>
      <c r="J6146" s="6" t="n">
        <f aca="false">Sens!J6144-Sens!J6140-Sens!J6145</f>
        <v>6.19346394772245</v>
      </c>
      <c r="K6146" s="6" t="n">
        <f aca="false">Sens!K6144-Sens!K6140-Sens!K6145</f>
        <v>6.33719655669741</v>
      </c>
    </row>
    <row r="6147" customFormat="false" ht="17.15" hidden="false" customHeight="false" outlineLevel="0" collapsed="false">
      <c r="A6147" s="1" t="s">
        <v>960</v>
      </c>
      <c r="B6147" s="0" t="s">
        <v>95</v>
      </c>
      <c r="C6147" s="6" t="n">
        <f aca="false">(w_ntm28*Sens!G6141+(1-w_ntm28)*Sens!H6141)*m_ai*1</f>
        <v>454.922440830797</v>
      </c>
    </row>
    <row r="6148" customFormat="false" ht="17.15" hidden="false" customHeight="false" outlineLevel="0" collapsed="false">
      <c r="A6148" s="1" t="s">
        <v>961</v>
      </c>
      <c r="B6148" s="0" t="s">
        <v>95</v>
      </c>
      <c r="C6148" s="6" t="n">
        <f aca="false">(w_ntm28*Sens!G6143+(1-w_ntm28)*Sens!H6143)*m_cloud*1</f>
        <v>789.137047228876</v>
      </c>
    </row>
    <row r="6149" customFormat="false" ht="17.15" hidden="false" customHeight="false" outlineLevel="0" collapsed="false">
      <c r="A6149" s="1" t="s">
        <v>962</v>
      </c>
      <c r="B6149" s="0" t="s">
        <v>95</v>
      </c>
      <c r="C6149" s="6" t="n">
        <f aca="false">(w_ntm28*Sens!G6136+(1-w_ntm28)*Sens!H6136)*m_sw*1</f>
        <v>1054.70028345228</v>
      </c>
    </row>
    <row r="6150" customFormat="false" ht="17.15" hidden="false" customHeight="false" outlineLevel="0" collapsed="false">
      <c r="A6150" s="1" t="s">
        <v>963</v>
      </c>
      <c r="B6150" s="0" t="s">
        <v>95</v>
      </c>
      <c r="C6150" s="6" t="n">
        <f aca="false">(w_ntm28*Sens!G6137+(1-w_ntm28)*Sens!H6137)*m_sw*1</f>
        <v>362.601046706881</v>
      </c>
    </row>
    <row r="6151" customFormat="false" ht="17.15" hidden="false" customHeight="false" outlineLevel="0" collapsed="false">
      <c r="A6151" s="1" t="s">
        <v>964</v>
      </c>
      <c r="B6151" s="0" t="s">
        <v>95</v>
      </c>
      <c r="C6151" s="6" t="n">
        <f aca="false">(w_ntm28*Sens!G6138+(1-w_ntm28)*Sens!H6138)*m_sw*1</f>
        <v>98.973682161625</v>
      </c>
    </row>
    <row r="6152" customFormat="false" ht="17.15" hidden="false" customHeight="false" outlineLevel="0" collapsed="false">
      <c r="A6152" s="1" t="s">
        <v>965</v>
      </c>
      <c r="B6152" s="0" t="s">
        <v>95</v>
      </c>
      <c r="C6152" s="6" t="n">
        <f aca="false">(w_ntm28*Sens!G6139+(1-w_ntm28)*Sens!H6139)*m_sw*1</f>
        <v>37.7602191843801</v>
      </c>
    </row>
    <row r="6153" customFormat="false" ht="17.15" hidden="false" customHeight="false" outlineLevel="0" collapsed="false">
      <c r="A6153" s="1" t="s">
        <v>966</v>
      </c>
      <c r="B6153" s="0" t="s">
        <v>95</v>
      </c>
      <c r="C6153" s="6" t="n">
        <f aca="false">(w_ntm28*Sens!G6140+(1-w_ntm28)*Sens!H6140)*m_ads*1</f>
        <v>104.331893746271</v>
      </c>
    </row>
    <row r="6154" customFormat="false" ht="17.15" hidden="false" customHeight="false" outlineLevel="0" collapsed="false">
      <c r="A6154" s="1" t="s">
        <v>967</v>
      </c>
      <c r="B6154" s="0" t="s">
        <v>95</v>
      </c>
      <c r="C6154" s="6" t="n">
        <f aca="false">(w_ntm28*Sens!G6145+(1-w_ntm28)*Sens!H6145)*m_game*1</f>
        <v>88.424269066275</v>
      </c>
    </row>
    <row r="6155" customFormat="false" ht="17.15" hidden="false" customHeight="false" outlineLevel="0" collapsed="false">
      <c r="A6155" s="1" t="s">
        <v>968</v>
      </c>
      <c r="B6155" s="0" t="s">
        <v>95</v>
      </c>
      <c r="C6155" s="6" t="n">
        <f aca="false">(w_ntm28*Sens!G6146+(1-w_ntm28)*Sens!H6146)*m_pc*1</f>
        <v>87.665524678344</v>
      </c>
    </row>
    <row r="6156" customFormat="false" ht="17.15" hidden="false" customHeight="false" outlineLevel="0" collapsed="false">
      <c r="A6156" s="1" t="s">
        <v>969</v>
      </c>
      <c r="B6156" s="0" t="s">
        <v>95</v>
      </c>
      <c r="C6156" s="6" t="n">
        <f aca="false">Sens!$C$6147+Sens!$C$6148+Sens!$C$6149+Sens!$C$6150+Sens!$C$6151+Sens!$C$6152+Sens!$C$6153+Sens!$C$6154+Sens!$C$6155</f>
        <v>3078.51640705574</v>
      </c>
    </row>
    <row r="6157" customFormat="false" ht="17.15" hidden="false" customHeight="false" outlineLevel="0" collapsed="false">
      <c r="A6157" s="1" t="s">
        <v>903</v>
      </c>
      <c r="B6157" s="0" t="s">
        <v>95</v>
      </c>
      <c r="C6157" s="6" t="n">
        <f aca="false">Sens!F6114+oai_v-Sens!F6103</f>
        <v>112.459951863194</v>
      </c>
      <c r="L6157" s="1" t="s">
        <v>970</v>
      </c>
    </row>
    <row r="6158" customFormat="false" ht="15" hidden="false" customHeight="false" outlineLevel="0" collapsed="false">
      <c r="A6158" s="1" t="s">
        <v>904</v>
      </c>
      <c r="B6158" s="0" t="s">
        <v>73</v>
      </c>
      <c r="C6158" s="5" t="n">
        <f aca="false">(Sens!$C$6156+Sens!$C$6157)/Sens!F6116</f>
        <v>427.057863881013</v>
      </c>
    </row>
    <row r="6159" customFormat="false" ht="17.15" hidden="false" customHeight="false" outlineLevel="0" collapsed="false">
      <c r="A6159" s="1" t="s">
        <v>971</v>
      </c>
      <c r="B6159" s="0" t="s">
        <v>73</v>
      </c>
      <c r="C6159" s="5" t="n">
        <f aca="false">w_dcf*Sens!$C$6134+(1-w_dcf)*Sens!$C$6158</f>
        <v>333.991872623988</v>
      </c>
    </row>
    <row r="6160" customFormat="false" ht="17.15" hidden="false" customHeight="false" outlineLevel="0" collapsed="false">
      <c r="A6160" s="3" t="s">
        <v>1289</v>
      </c>
    </row>
    <row r="6161" customFormat="false" ht="15" hidden="false" customHeight="false" outlineLevel="0" collapsed="false">
      <c r="A6161" s="4" t="s">
        <v>43</v>
      </c>
      <c r="B6161" s="4" t="s">
        <v>63</v>
      </c>
      <c r="C6161" s="19" t="s">
        <v>710</v>
      </c>
      <c r="D6161" s="19" t="s">
        <v>711</v>
      </c>
      <c r="E6161" s="19" t="s">
        <v>712</v>
      </c>
      <c r="F6161" s="19" t="s">
        <v>713</v>
      </c>
      <c r="G6161" s="19" t="s">
        <v>714</v>
      </c>
      <c r="H6161" s="19" t="s">
        <v>715</v>
      </c>
      <c r="I6161" s="19" t="s">
        <v>716</v>
      </c>
      <c r="J6161" s="19" t="s">
        <v>717</v>
      </c>
      <c r="K6161" s="19" t="s">
        <v>718</v>
      </c>
      <c r="L6161" s="4" t="s">
        <v>47</v>
      </c>
    </row>
    <row r="6162" customFormat="false" ht="17.15" hidden="false" customHeight="false" outlineLevel="0" collapsed="false">
      <c r="A6162" s="1" t="s">
        <v>719</v>
      </c>
      <c r="B6162" s="0" t="s">
        <v>340</v>
      </c>
      <c r="C6162" s="27" t="n">
        <f aca="false">mw_ext_24</f>
        <v>640</v>
      </c>
      <c r="D6162" s="27" t="n">
        <f aca="false">mw_ext_25</f>
        <v>1630</v>
      </c>
      <c r="E6162" s="27" t="n">
        <f aca="false">mw_ext_26</f>
        <v>3250</v>
      </c>
      <c r="F6162" s="27" t="n">
        <f aca="false">MIN(1000000000,Sens!E6162+pace)</f>
        <v>5777.2</v>
      </c>
      <c r="G6162" s="27" t="n">
        <f aca="false">MIN(1000000000,Sens!F6162+pace)</f>
        <v>8304.4</v>
      </c>
      <c r="H6162" s="27" t="n">
        <f aca="false">MIN(1000000000,Sens!G6162+pace)</f>
        <v>10831.6</v>
      </c>
      <c r="I6162" s="27" t="n">
        <f aca="false">MIN(1000000000,Sens!H6162+pace)</f>
        <v>13358.8</v>
      </c>
      <c r="J6162" s="27" t="n">
        <f aca="false">MIN(1000000000,Sens!I6162+pace)</f>
        <v>15886</v>
      </c>
      <c r="K6162" s="27" t="n">
        <f aca="false">MIN(1000000000,Sens!J6162+pace)</f>
        <v>18413.2</v>
      </c>
      <c r="L6162" s="11" t="s">
        <v>720</v>
      </c>
    </row>
    <row r="6163" customFormat="false" ht="17.15" hidden="false" customHeight="false" outlineLevel="0" collapsed="false">
      <c r="A6163" s="1" t="s">
        <v>721</v>
      </c>
      <c r="B6163" s="0" t="s">
        <v>340</v>
      </c>
      <c r="C6163" s="27" t="n">
        <f aca="false">rent_ext_24</f>
        <v>150</v>
      </c>
      <c r="D6163" s="27" t="n">
        <f aca="false">rent_ext_25</f>
        <v>400</v>
      </c>
      <c r="E6163" s="27" t="n">
        <f aca="false">rent_ext_26</f>
        <v>550</v>
      </c>
      <c r="F6163" s="27" t="n">
        <f aca="false">rent_ext_f</f>
        <v>756</v>
      </c>
      <c r="G6163" s="27" t="n">
        <f aca="false">rent_ext_f</f>
        <v>756</v>
      </c>
      <c r="H6163" s="27" t="n">
        <f aca="false">rent_ext_f</f>
        <v>756</v>
      </c>
      <c r="I6163" s="27" t="n">
        <f aca="false">rent_ext_f</f>
        <v>756</v>
      </c>
      <c r="J6163" s="27" t="n">
        <f aca="false">rent_ext_f</f>
        <v>756</v>
      </c>
      <c r="K6163" s="27" t="n">
        <f aca="false">rent_ext_f</f>
        <v>756</v>
      </c>
      <c r="L6163" s="1" t="s">
        <v>722</v>
      </c>
    </row>
    <row r="6164" customFormat="false" ht="17.15" hidden="false" customHeight="false" outlineLevel="0" collapsed="false">
      <c r="A6164" s="1" t="s">
        <v>723</v>
      </c>
      <c r="B6164" s="0" t="s">
        <v>340</v>
      </c>
      <c r="C6164" s="27" t="n">
        <f aca="false">Sens!C6162-Sens!C6163</f>
        <v>490</v>
      </c>
      <c r="D6164" s="27" t="n">
        <f aca="false">Sens!D6162-Sens!D6163</f>
        <v>1230</v>
      </c>
      <c r="E6164" s="27" t="n">
        <f aca="false">Sens!E6162-Sens!E6163</f>
        <v>2700</v>
      </c>
      <c r="F6164" s="27" t="n">
        <f aca="false">Sens!F6162-Sens!F6163</f>
        <v>5021.2</v>
      </c>
      <c r="G6164" s="27" t="n">
        <f aca="false">Sens!G6162-Sens!G6163</f>
        <v>7548.4</v>
      </c>
      <c r="H6164" s="27" t="n">
        <f aca="false">Sens!H6162-Sens!H6163</f>
        <v>10075.6</v>
      </c>
      <c r="I6164" s="27" t="n">
        <f aca="false">Sens!I6162-Sens!I6163</f>
        <v>12602.8</v>
      </c>
      <c r="J6164" s="27" t="n">
        <f aca="false">Sens!J6162-Sens!J6163</f>
        <v>15130</v>
      </c>
      <c r="K6164" s="27" t="n">
        <f aca="false">Sens!K6162-Sens!K6163</f>
        <v>17657.2</v>
      </c>
    </row>
    <row r="6165" customFormat="false" ht="17.15" hidden="false" customHeight="false" outlineLevel="0" collapsed="false">
      <c r="A6165" s="1" t="s">
        <v>724</v>
      </c>
      <c r="B6165" s="0" t="s">
        <v>340</v>
      </c>
      <c r="C6165" s="27" t="n">
        <f aca="false">Sens!C6164/ext_sh</f>
        <v>816.666666666667</v>
      </c>
      <c r="D6165" s="27" t="n">
        <f aca="false">Sens!D6164/ext_sh</f>
        <v>2050</v>
      </c>
      <c r="E6165" s="27" t="n">
        <f aca="false">Sens!E6164/ext_sh</f>
        <v>4500</v>
      </c>
      <c r="F6165" s="27" t="n">
        <f aca="false">Sens!F6164/ext_sh</f>
        <v>8368.66666666667</v>
      </c>
      <c r="G6165" s="27" t="n">
        <f aca="false">Sens!G6164/ext_sh</f>
        <v>12580.6666666667</v>
      </c>
      <c r="H6165" s="27" t="n">
        <f aca="false">Sens!H6164/ext_sh</f>
        <v>16792.6666666667</v>
      </c>
      <c r="I6165" s="27" t="n">
        <f aca="false">Sens!I6164/ext_sh</f>
        <v>21004.6666666667</v>
      </c>
      <c r="J6165" s="27" t="n">
        <f aca="false">Sens!J6164/ext_sh</f>
        <v>25216.6666666667</v>
      </c>
      <c r="K6165" s="27" t="n">
        <f aca="false">Sens!K6164/ext_sh</f>
        <v>29428.6666666667</v>
      </c>
      <c r="L6165" s="1" t="s">
        <v>725</v>
      </c>
    </row>
    <row r="6166" customFormat="false" ht="17.15" hidden="false" customHeight="false" outlineLevel="0" collapsed="false">
      <c r="A6166" s="1" t="s">
        <v>726</v>
      </c>
      <c r="B6166" s="0" t="s">
        <v>340</v>
      </c>
      <c r="C6166" s="27" t="n">
        <f aca="false">Sens!C6165-Sens!C6164</f>
        <v>326.666666666667</v>
      </c>
      <c r="D6166" s="27" t="n">
        <f aca="false">Sens!D6165-Sens!D6164</f>
        <v>820</v>
      </c>
      <c r="E6166" s="27" t="n">
        <f aca="false">Sens!E6165-Sens!E6164</f>
        <v>1800</v>
      </c>
      <c r="F6166" s="27" t="n">
        <f aca="false">Sens!F6165-Sens!F6164</f>
        <v>3347.46666666667</v>
      </c>
      <c r="G6166" s="27" t="n">
        <f aca="false">Sens!G6165-Sens!G6164</f>
        <v>5032.26666666667</v>
      </c>
      <c r="H6166" s="27" t="n">
        <f aca="false">Sens!H6165-Sens!H6164</f>
        <v>6717.06666666667</v>
      </c>
      <c r="I6166" s="27" t="n">
        <f aca="false">Sens!I6165-Sens!I6164</f>
        <v>8401.86666666667</v>
      </c>
      <c r="J6166" s="27" t="n">
        <f aca="false">Sens!J6165-Sens!J6164</f>
        <v>10086.6666666667</v>
      </c>
      <c r="K6166" s="27" t="n">
        <f aca="false">Sens!K6165-Sens!K6164</f>
        <v>11771.4666666667</v>
      </c>
    </row>
    <row r="6167" customFormat="false" ht="17.15" hidden="false" customHeight="false" outlineLevel="0" collapsed="false">
      <c r="A6167" s="1" t="s">
        <v>727</v>
      </c>
      <c r="B6167" s="0" t="s">
        <v>340</v>
      </c>
      <c r="C6167" s="27" t="n">
        <f aca="false">Sens!C6165</f>
        <v>816.666666666667</v>
      </c>
      <c r="D6167" s="27" t="n">
        <f aca="false">Sens!D6165-Sens!C6165</f>
        <v>1233.33333333333</v>
      </c>
      <c r="E6167" s="27" t="n">
        <f aca="false">Sens!E6165-Sens!D6165</f>
        <v>2450</v>
      </c>
      <c r="F6167" s="27" t="n">
        <f aca="false">Sens!F6165-Sens!E6165</f>
        <v>3868.66666666667</v>
      </c>
      <c r="G6167" s="27" t="n">
        <f aca="false">Sens!G6165-Sens!F6165</f>
        <v>4212</v>
      </c>
      <c r="H6167" s="27" t="n">
        <f aca="false">Sens!H6165-Sens!G6165</f>
        <v>4212</v>
      </c>
      <c r="I6167" s="27" t="n">
        <f aca="false">Sens!I6165-Sens!H6165</f>
        <v>4212</v>
      </c>
      <c r="J6167" s="27" t="n">
        <f aca="false">Sens!J6165-Sens!I6165</f>
        <v>4212</v>
      </c>
      <c r="K6167" s="27" t="n">
        <f aca="false">Sens!K6165-Sens!J6165</f>
        <v>4212</v>
      </c>
    </row>
    <row r="6168" customFormat="false" ht="17.15" hidden="false" customHeight="false" outlineLevel="0" collapsed="false">
      <c r="A6168" s="1" t="s">
        <v>728</v>
      </c>
      <c r="B6168" s="0" t="s">
        <v>340</v>
      </c>
      <c r="D6168" s="27" t="n">
        <f aca="false">Sens!D6162-Sens!C6162</f>
        <v>990</v>
      </c>
      <c r="E6168" s="27" t="n">
        <f aca="false">Sens!E6162-Sens!D6162</f>
        <v>1620</v>
      </c>
      <c r="F6168" s="27" t="n">
        <f aca="false">Sens!F6162-Sens!E6162</f>
        <v>2527.2</v>
      </c>
      <c r="G6168" s="27" t="n">
        <f aca="false">Sens!G6162-Sens!F6162</f>
        <v>2527.2</v>
      </c>
      <c r="H6168" s="27" t="n">
        <f aca="false">Sens!H6162-Sens!G6162</f>
        <v>2527.2</v>
      </c>
      <c r="I6168" s="27" t="n">
        <f aca="false">Sens!I6162-Sens!H6162</f>
        <v>2527.2</v>
      </c>
      <c r="J6168" s="27" t="n">
        <f aca="false">Sens!J6162-Sens!I6162</f>
        <v>2527.2</v>
      </c>
      <c r="K6168" s="27" t="n">
        <f aca="false">Sens!K6162-Sens!J6162</f>
        <v>2527.2</v>
      </c>
    </row>
    <row r="6169" customFormat="false" ht="17.15" hidden="false" customHeight="false" outlineLevel="0" collapsed="false">
      <c r="A6169" s="1" t="s">
        <v>729</v>
      </c>
      <c r="B6169" s="0" t="s">
        <v>340</v>
      </c>
      <c r="C6169" s="27" t="n">
        <f aca="false">mix_h*Sens!C6162</f>
        <v>128</v>
      </c>
      <c r="D6169" s="27" t="n">
        <f aca="false">mix_h*Sens!D6162</f>
        <v>326</v>
      </c>
      <c r="E6169" s="27" t="n">
        <f aca="false">mix_h*Sens!E6162</f>
        <v>650</v>
      </c>
      <c r="F6169" s="27" t="n">
        <f aca="false">Sens!E6169</f>
        <v>650</v>
      </c>
      <c r="G6169" s="27" t="n">
        <f aca="false">Sens!F6169</f>
        <v>650</v>
      </c>
      <c r="H6169" s="27" t="n">
        <f aca="false">Sens!G6169</f>
        <v>650</v>
      </c>
      <c r="I6169" s="27" t="n">
        <f aca="false">Sens!H6169</f>
        <v>650</v>
      </c>
      <c r="J6169" s="27" t="n">
        <f aca="false">Sens!I6169</f>
        <v>650</v>
      </c>
      <c r="K6169" s="27" t="n">
        <f aca="false">Sens!J6169</f>
        <v>650</v>
      </c>
    </row>
    <row r="6170" customFormat="false" ht="17.15" hidden="false" customHeight="false" outlineLevel="0" collapsed="false">
      <c r="A6170" s="1" t="s">
        <v>730</v>
      </c>
      <c r="B6170" s="0" t="s">
        <v>340</v>
      </c>
      <c r="C6170" s="27" t="n">
        <f aca="false">mix_g2*Sens!C6162</f>
        <v>288</v>
      </c>
      <c r="D6170" s="27" t="n">
        <f aca="false">mix_g2*Sens!D6162</f>
        <v>733.5</v>
      </c>
      <c r="E6170" s="27" t="n">
        <f aca="false">mix_g2*Sens!E6162</f>
        <v>1462.5</v>
      </c>
      <c r="F6170" s="27" t="n">
        <f aca="false">Sens!E6170</f>
        <v>1462.5</v>
      </c>
      <c r="G6170" s="27" t="n">
        <f aca="false">Sens!F6170</f>
        <v>1462.5</v>
      </c>
      <c r="H6170" s="27" t="n">
        <f aca="false">Sens!G6170</f>
        <v>1462.5</v>
      </c>
      <c r="I6170" s="27" t="n">
        <f aca="false">Sens!H6170</f>
        <v>1462.5</v>
      </c>
      <c r="J6170" s="27" t="n">
        <f aca="false">Sens!I6170</f>
        <v>1462.5</v>
      </c>
      <c r="K6170" s="27" t="n">
        <f aca="false">Sens!J6170</f>
        <v>1462.5</v>
      </c>
    </row>
    <row r="6171" customFormat="false" ht="17.15" hidden="false" customHeight="false" outlineLevel="0" collapsed="false">
      <c r="A6171" s="1" t="s">
        <v>731</v>
      </c>
      <c r="B6171" s="0" t="s">
        <v>340</v>
      </c>
      <c r="C6171" s="27" t="n">
        <f aca="false">mix_g3*Sens!C6162</f>
        <v>224</v>
      </c>
      <c r="D6171" s="27" t="n">
        <f aca="false">mix_g3*Sens!D6162</f>
        <v>570.5</v>
      </c>
      <c r="E6171" s="27" t="n">
        <f aca="false">mix_g3*Sens!E6162</f>
        <v>1137.5</v>
      </c>
      <c r="F6171" s="27" t="n">
        <f aca="false">Sens!E6171+Sens!F6168*a_g3_27</f>
        <v>2906.54</v>
      </c>
      <c r="G6171" s="27" t="n">
        <f aca="false">Sens!F6171+Sens!G6168*a_g3_28</f>
        <v>3664.7</v>
      </c>
      <c r="H6171" s="27" t="n">
        <f aca="false">Sens!G6171+Sens!H6168*a_g3_29</f>
        <v>3917.42</v>
      </c>
      <c r="I6171" s="27" t="n">
        <f aca="false">Sens!H6171+Sens!I6168*a_g3_29</f>
        <v>4170.14</v>
      </c>
      <c r="J6171" s="27" t="n">
        <f aca="false">Sens!I6171+Sens!J6168*a_g3_29</f>
        <v>4422.86</v>
      </c>
      <c r="K6171" s="27" t="n">
        <f aca="false">Sens!J6171+Sens!K6168*a_g3_29</f>
        <v>4675.58</v>
      </c>
    </row>
    <row r="6172" customFormat="false" ht="17.15" hidden="false" customHeight="false" outlineLevel="0" collapsed="false">
      <c r="A6172" s="1" t="s">
        <v>732</v>
      </c>
      <c r="B6172" s="0" t="s">
        <v>340</v>
      </c>
      <c r="C6172" s="27" t="n">
        <f aca="false">0</f>
        <v>0</v>
      </c>
      <c r="D6172" s="27" t="n">
        <f aca="false">0</f>
        <v>0</v>
      </c>
      <c r="E6172" s="27" t="n">
        <f aca="false">0</f>
        <v>0</v>
      </c>
      <c r="F6172" s="27" t="n">
        <f aca="false">Sens!E6172+Sens!F6168*(1-a_g3_27)</f>
        <v>758.16</v>
      </c>
      <c r="G6172" s="27" t="n">
        <f aca="false">Sens!F6172+Sens!G6168*(1-a_g3_28)</f>
        <v>2527.2</v>
      </c>
      <c r="H6172" s="27" t="n">
        <f aca="false">Sens!G6172+Sens!H6168*(1-a_g3_29)</f>
        <v>4801.68</v>
      </c>
      <c r="I6172" s="27" t="n">
        <f aca="false">Sens!H6172+Sens!I6168*(1-a_g3_29)</f>
        <v>7076.16</v>
      </c>
      <c r="J6172" s="27" t="n">
        <f aca="false">Sens!I6172+Sens!J6168*(1-a_g3_29)</f>
        <v>9350.64</v>
      </c>
      <c r="K6172" s="27" t="n">
        <f aca="false">Sens!J6172+Sens!K6168*(1-a_g3_29)</f>
        <v>11625.12</v>
      </c>
    </row>
    <row r="6173" customFormat="false" ht="17.15" hidden="false" customHeight="false" outlineLevel="0" collapsed="false">
      <c r="A6173" s="1" t="s">
        <v>733</v>
      </c>
      <c r="B6173" s="0" t="s">
        <v>291</v>
      </c>
      <c r="C6173" s="18" t="n">
        <f aca="false">(Sens!C6169*tk_hold_h100+Sens!C6170*tk_hold_gb200+Sens!C6171*tk_hold_gb300+Sens!C6172*tk_hold_vr200)/Sens!C6162</f>
        <v>9.7235358126469</v>
      </c>
      <c r="D6173" s="18" t="n">
        <f aca="false">(Sens!D6169*tk_hold_h100+Sens!D6170*tk_hold_gb200+Sens!D6171*tk_hold_gb300+Sens!D6172*tk_hold_vr200)/Sens!D6162</f>
        <v>9.7235358126469</v>
      </c>
      <c r="E6173" s="18" t="n">
        <f aca="false">(Sens!E6169*tk_hold_h100+Sens!E6170*tk_hold_gb200+Sens!E6171*tk_hold_gb300+Sens!E6172*tk_hold_vr200)/Sens!E6162</f>
        <v>9.7235358126469</v>
      </c>
      <c r="F6173" s="18" t="n">
        <f aca="false">(Sens!F6169*tk_hold_h100+Sens!F6170*tk_hold_gb200+Sens!F6171*tk_hold_gb300+Sens!F6172*tk_hold_vr200)/Sens!F6162</f>
        <v>10.4079573161931</v>
      </c>
      <c r="G6173" s="18" t="n">
        <f aca="false">(Sens!G6169*tk_hold_h100+Sens!G6170*tk_hold_gb200+Sens!G6171*tk_hold_gb300+Sens!G6172*tk_hold_vr200)/Sens!G6162</f>
        <v>10.8388131109316</v>
      </c>
      <c r="H6173" s="18" t="n">
        <f aca="false">(Sens!H6169*tk_hold_h100+Sens!H6170*tk_hold_gb200+Sens!H6171*tk_hold_gb300+Sens!H6172*tk_hold_vr200)/Sens!H6162</f>
        <v>11.1311018388216</v>
      </c>
      <c r="I6173" s="18" t="n">
        <f aca="false">(Sens!I6169*tk_hold_h100+Sens!I6170*tk_hold_gb200+Sens!I6171*tk_hold_gb300+Sens!I6172*tk_hold_vr200)/Sens!I6162</f>
        <v>11.3128009818501</v>
      </c>
      <c r="J6173" s="18" t="n">
        <f aca="false">(Sens!J6169*tk_hold_h100+Sens!J6170*tk_hold_gb200+Sens!J6171*tk_hold_gb300+Sens!J6172*tk_hold_vr200)/Sens!J6162</f>
        <v>11.4366894646418</v>
      </c>
      <c r="K6173" s="18" t="n">
        <f aca="false">(Sens!K6169*tk_hold_h100+Sens!K6170*tk_hold_gb200+Sens!K6171*tk_hold_gb300+Sens!K6172*tk_hold_vr200)/Sens!K6162</f>
        <v>11.526570716348</v>
      </c>
    </row>
    <row r="6174" customFormat="false" ht="17.15" hidden="false" customHeight="false" outlineLevel="0" collapsed="false">
      <c r="A6174" s="0" t="s">
        <v>734</v>
      </c>
      <c r="B6174" s="0" t="s">
        <v>182</v>
      </c>
      <c r="C6174" s="18" t="n">
        <f aca="false">k_B</f>
        <v>1.17213932619116</v>
      </c>
      <c r="D6174" s="18" t="n">
        <f aca="false">k_B</f>
        <v>1.17213932619116</v>
      </c>
      <c r="E6174" s="18" t="n">
        <f aca="false">k_B</f>
        <v>1.17213932619116</v>
      </c>
      <c r="F6174" s="18" t="n">
        <f aca="false">(k_B+((ls_C*k_long+(1-ls_C)*k_spot)-k_B)*MIN(1,1/3))*1</f>
        <v>1.07843258004497</v>
      </c>
      <c r="G6174" s="18" t="n">
        <f aca="false">(k_B+((ls_C*k_long+(1-ls_C)*k_spot)-k_B)*MIN(1,2/3))*1</f>
        <v>0.984725833898784</v>
      </c>
      <c r="H6174" s="18" t="n">
        <f aca="false">(k_B+((ls_C*k_long+(1-ls_C)*k_spot)-k_B)*MIN(1,3/3))*1</f>
        <v>0.891019087752599</v>
      </c>
      <c r="I6174" s="18" t="n">
        <f aca="false">(k_B+((ls_C*k_long+(1-ls_C)*k_spot)-k_B)*MIN(1,4/3))*1</f>
        <v>0.891019087752599</v>
      </c>
      <c r="J6174" s="18" t="n">
        <f aca="false">(k_B+((ls_C*k_long+(1-ls_C)*k_spot)-k_B)*MIN(1,5/3))*1</f>
        <v>0.891019087752599</v>
      </c>
      <c r="K6174" s="18" t="n">
        <f aca="false">(k_B+((ls_C*k_long+(1-ls_C)*k_spot)-k_B)*MIN(1,6/3))*1</f>
        <v>0.891019087752599</v>
      </c>
      <c r="L6174" s="1" t="s">
        <v>735</v>
      </c>
    </row>
    <row r="6175" customFormat="false" ht="17.15" hidden="false" customHeight="false" outlineLevel="0" collapsed="false">
      <c r="A6175" s="1" t="s">
        <v>736</v>
      </c>
      <c r="B6175" s="0" t="s">
        <v>291</v>
      </c>
      <c r="C6175" s="18" t="n">
        <f aca="false">Sens!C6173*Sens!C6174*chip_f</f>
        <v>11.3973387156315</v>
      </c>
      <c r="D6175" s="18" t="n">
        <f aca="false">Sens!D6173*Sens!D6174*chip_f</f>
        <v>11.3973387156315</v>
      </c>
      <c r="E6175" s="18" t="n">
        <f aca="false">Sens!E6173*Sens!E6174*chip_f</f>
        <v>11.3973387156315</v>
      </c>
      <c r="F6175" s="18" t="n">
        <f aca="false">Sens!F6173*Sens!F6174*chip_f</f>
        <v>11.2242802615</v>
      </c>
      <c r="G6175" s="18" t="n">
        <f aca="false">Sens!G6173*Sens!G6174*chip_f</f>
        <v>10.6732592791352</v>
      </c>
      <c r="H6175" s="18" t="n">
        <f aca="false">Sens!H6173*Sens!H6174*chip_f</f>
        <v>9.91802420610807</v>
      </c>
      <c r="I6175" s="18" t="n">
        <f aca="false">Sens!I6173*Sens!I6174*chip_f</f>
        <v>10.0799216107748</v>
      </c>
      <c r="J6175" s="18" t="n">
        <f aca="false">Sens!J6173*Sens!J6174*chip_f</f>
        <v>10.1903086136949</v>
      </c>
      <c r="K6175" s="18" t="n">
        <f aca="false">Sens!K6173*Sens!K6174*chip_f</f>
        <v>10.2703945245962</v>
      </c>
      <c r="L6175" s="1" t="s">
        <v>737</v>
      </c>
    </row>
    <row r="6176" customFormat="false" ht="17.15" hidden="false" customHeight="false" outlineLevel="0" collapsed="false">
      <c r="A6176" s="0" t="s">
        <v>738</v>
      </c>
      <c r="B6176" s="0" t="s">
        <v>95</v>
      </c>
      <c r="D6176" s="6" t="n">
        <f aca="false">(Sens!C6162+Sens!D6162)/2*Sens!D6175/1000</f>
        <v>12.9359794422418</v>
      </c>
      <c r="E6176" s="6" t="n">
        <f aca="false">(Sens!D6162+Sens!E6162)/2*Sens!E6175/1000</f>
        <v>27.8095064661409</v>
      </c>
      <c r="F6176" s="6" t="n">
        <f aca="false">(Sens!E6162+Sens!F6162)/2*Sens!F6175/1000</f>
        <v>50.6619113883066</v>
      </c>
      <c r="G6176" s="6" t="n">
        <f aca="false">(Sens!F6162+Sens!G6162)/2*Sens!G6175/1000</f>
        <v>75.1482839325348</v>
      </c>
      <c r="H6176" s="6" t="n">
        <f aca="false">(Sens!G6162+Sens!H6162)/2*Sens!H6175/1000</f>
        <v>94.895655604042</v>
      </c>
      <c r="I6176" s="6" t="n">
        <f aca="false">(Sens!H6162+Sens!I6162)/2*Sens!I6175/1000</f>
        <v>121.918667866643</v>
      </c>
      <c r="J6176" s="6" t="n">
        <f aca="false">(Sens!I6162+Sens!J6162)/2*Sens!J6175/1000</f>
        <v>149.006768672892</v>
      </c>
      <c r="K6176" s="6" t="n">
        <f aca="false">(Sens!J6162+Sens!K6162)/2*Sens!K6175/1000</f>
        <v>176.133157939015</v>
      </c>
      <c r="L6176" s="11" t="s">
        <v>739</v>
      </c>
    </row>
    <row r="6177" customFormat="false" ht="17.15" hidden="false" customHeight="false" outlineLevel="0" collapsed="false">
      <c r="A6177" s="1" t="s">
        <v>740</v>
      </c>
      <c r="B6177" s="0" t="s">
        <v>291</v>
      </c>
      <c r="C6177" s="18" t="n">
        <f aca="false">(Sens!C6169*tk_opex_h100+Sens!C6170*tk_opex_gb200+Sens!C6171*tk_opex_gb300+Sens!C6172*tk_opex_vr200)/Sens!C6162</f>
        <v>1.88636041306092</v>
      </c>
      <c r="D6177" s="18" t="n">
        <f aca="false">(Sens!D6169*tk_opex_h100+Sens!D6170*tk_opex_gb200+Sens!D6171*tk_opex_gb300+Sens!D6172*tk_opex_vr200)/Sens!D6162</f>
        <v>1.88636041306092</v>
      </c>
      <c r="E6177" s="18" t="n">
        <f aca="false">(Sens!E6169*tk_opex_h100+Sens!E6170*tk_opex_gb200+Sens!E6171*tk_opex_gb300+Sens!E6172*tk_opex_vr200)/Sens!E6162</f>
        <v>1.88636041306092</v>
      </c>
      <c r="F6177" s="18" t="n">
        <f aca="false">(Sens!F6169*tk_opex_h100+Sens!F6170*tk_opex_gb200+Sens!F6171*tk_opex_gb300+Sens!F6172*tk_opex_vr200)/Sens!F6162</f>
        <v>1.9430236476499</v>
      </c>
      <c r="G6177" s="18" t="n">
        <f aca="false">(Sens!G6169*tk_opex_h100+Sens!G6170*tk_opex_gb200+Sens!G6171*tk_opex_gb300+Sens!G6172*tk_opex_vr200)/Sens!G6162</f>
        <v>1.9786941852423</v>
      </c>
      <c r="H6177" s="18" t="n">
        <f aca="false">(Sens!H6169*tk_opex_h100+Sens!H6170*tk_opex_gb200+Sens!H6171*tk_opex_gb300+Sens!H6172*tk_opex_vr200)/Sens!H6162</f>
        <v>2.00289275976156</v>
      </c>
      <c r="I6177" s="18" t="n">
        <f aca="false">(Sens!I6169*tk_opex_h100+Sens!I6170*tk_opex_gb200+Sens!I6171*tk_opex_gb300+Sens!I6172*tk_opex_vr200)/Sens!I6162</f>
        <v>2.01793562605478</v>
      </c>
      <c r="J6177" s="18" t="n">
        <f aca="false">(Sens!J6169*tk_opex_h100+Sens!J6170*tk_opex_gb200+Sens!J6171*tk_opex_gb300+Sens!J6172*tk_opex_vr200)/Sens!J6162</f>
        <v>2.02819234961902</v>
      </c>
      <c r="K6177" s="18" t="n">
        <f aca="false">(Sens!K6169*tk_opex_h100+Sens!K6170*tk_opex_gb200+Sens!K6171*tk_opex_gb300+Sens!K6172*tk_opex_vr200)/Sens!K6162</f>
        <v>2.0356336155994</v>
      </c>
    </row>
    <row r="6178" customFormat="false" ht="17.15" hidden="false" customHeight="false" outlineLevel="0" collapsed="false">
      <c r="A6178" s="0" t="s">
        <v>741</v>
      </c>
      <c r="B6178" s="0" t="s">
        <v>95</v>
      </c>
      <c r="D6178" s="6" t="n">
        <f aca="false">(Sens!C6165+Sens!D6165)/2*Sens!D6177/1000</f>
        <v>2.70378325872065</v>
      </c>
      <c r="E6178" s="6" t="n">
        <f aca="false">(Sens!D6165+Sens!E6165)/2*Sens!E6177/1000</f>
        <v>6.17783035277451</v>
      </c>
      <c r="F6178" s="6" t="n">
        <f aca="false">(Sens!E6165+Sens!F6165)/2*Sens!F6177/1000</f>
        <v>12.5020618235287</v>
      </c>
      <c r="G6178" s="6" t="n">
        <f aca="false">(Sens!F6165+Sens!G6165)/2*Sens!G6177/1000</f>
        <v>20.7261620256847</v>
      </c>
      <c r="H6178" s="6" t="n">
        <f aca="false">(Sens!G6165+Sens!H6165)/2*Sens!H6177/1000</f>
        <v>29.4158183316982</v>
      </c>
      <c r="I6178" s="6" t="n">
        <f aca="false">(Sens!H6165+Sens!I6165)/2*Sens!I6177/1000</f>
        <v>38.1362927516005</v>
      </c>
      <c r="J6178" s="6" t="n">
        <f aca="false">(Sens!I6165+Sens!J6165)/2*Sens!J6177/1000</f>
        <v>46.8728773279286</v>
      </c>
      <c r="K6178" s="6" t="n">
        <f aca="false">(Sens!J6165+Sens!K6165)/2*Sens!K6177/1000</f>
        <v>55.618938734484</v>
      </c>
    </row>
    <row r="6179" customFormat="false" ht="17.15" hidden="false" customHeight="false" outlineLevel="0" collapsed="false">
      <c r="A6179" s="0" t="s">
        <v>742</v>
      </c>
      <c r="B6179" s="0" t="s">
        <v>95</v>
      </c>
      <c r="D6179" s="6" t="n">
        <f aca="false">(Sens!C6163+Sens!D6163)/2*rent_mw/1000</f>
        <v>2.44475</v>
      </c>
      <c r="E6179" s="6" t="n">
        <f aca="false">(Sens!D6163+Sens!E6163)/2*rent_mw/1000</f>
        <v>4.22275</v>
      </c>
      <c r="F6179" s="6" t="n">
        <f aca="false">(Sens!E6163+Sens!F6163)/2*rent_mw/1000</f>
        <v>5.80517</v>
      </c>
      <c r="G6179" s="6" t="n">
        <f aca="false">(Sens!F6163+Sens!G6163)/2*rent_mw/1000</f>
        <v>6.72084</v>
      </c>
      <c r="H6179" s="6" t="n">
        <f aca="false">(Sens!G6163+Sens!H6163)/2*rent_mw/1000</f>
        <v>6.72084</v>
      </c>
      <c r="I6179" s="6" t="n">
        <f aca="false">(Sens!H6163+Sens!I6163)/2*rent_mw/1000</f>
        <v>6.72084</v>
      </c>
      <c r="J6179" s="6" t="n">
        <f aca="false">(Sens!I6163+Sens!J6163)/2*rent_mw/1000</f>
        <v>6.72084</v>
      </c>
      <c r="K6179" s="6" t="n">
        <f aca="false">(Sens!J6163+Sens!K6163)/2*rent_mw/1000</f>
        <v>6.72084</v>
      </c>
    </row>
    <row r="6180" customFormat="false" ht="17.15" hidden="false" customHeight="false" outlineLevel="0" collapsed="false">
      <c r="A6180" s="0" t="s">
        <v>743</v>
      </c>
      <c r="B6180" s="0" t="s">
        <v>95</v>
      </c>
      <c r="D6180" s="6" t="n">
        <f aca="false">(Sens!C6165+Sens!D6165)/2*(1-self_build)*fac_rent/1000</f>
        <v>0.853242375631075</v>
      </c>
      <c r="E6180" s="6" t="n">
        <f aca="false">(Sens!D6165+Sens!E6165)/2*(1-self_build)*fac_rent/1000</f>
        <v>1.94955961408728</v>
      </c>
      <c r="F6180" s="6" t="n">
        <f aca="false">(Sens!E6165+Sens!F6165)/2*(1-self_build)*fac_rent/1000</f>
        <v>3.83026455274573</v>
      </c>
      <c r="G6180" s="6" t="n">
        <f aca="false">(Sens!F6165+Sens!G6165)/2*(1-self_build)*fac_rent/1000</f>
        <v>6.23541590972812</v>
      </c>
      <c r="H6180" s="6" t="n">
        <f aca="false">(Sens!G6165+Sens!H6165)/2*(1-self_build)*fac_rent/1000</f>
        <v>8.74275792332679</v>
      </c>
      <c r="I6180" s="6" t="n">
        <f aca="false">(Sens!H6165+Sens!I6165)/2*(1-self_build)*fac_rent/1000</f>
        <v>11.2500999369255</v>
      </c>
      <c r="J6180" s="6" t="n">
        <f aca="false">(Sens!I6165+Sens!J6165)/2*(1-self_build)*fac_rent/1000</f>
        <v>13.7574419505241</v>
      </c>
      <c r="K6180" s="6" t="n">
        <f aca="false">(Sens!J6165+Sens!K6165)/2*(1-self_build)*fac_rent/1000</f>
        <v>16.2647839641228</v>
      </c>
      <c r="L6180" s="11" t="s">
        <v>744</v>
      </c>
    </row>
    <row r="6181" customFormat="false" ht="17.15" hidden="false" customHeight="false" outlineLevel="0" collapsed="false">
      <c r="A6181" s="1" t="s">
        <v>745</v>
      </c>
      <c r="B6181" s="0" t="s">
        <v>126</v>
      </c>
      <c r="D6181" s="7" t="n">
        <f aca="false">(Sens!C6164+Sens!D6164)/(Sens!C6165+Sens!D6165)</f>
        <v>0.6</v>
      </c>
      <c r="E6181" s="7" t="n">
        <f aca="false">(Sens!D6164+Sens!E6164)/(Sens!D6165+Sens!E6165)</f>
        <v>0.6</v>
      </c>
      <c r="F6181" s="7" t="n">
        <f aca="false">(Sens!E6164+Sens!F6164)/(Sens!E6165+Sens!F6165)</f>
        <v>0.6</v>
      </c>
      <c r="G6181" s="7" t="n">
        <f aca="false">(Sens!F6164+Sens!G6164)/(Sens!F6165+Sens!G6165)</f>
        <v>0.6</v>
      </c>
      <c r="H6181" s="7" t="n">
        <f aca="false">(Sens!G6164+Sens!H6164)/(Sens!G6165+Sens!H6165)</f>
        <v>0.6</v>
      </c>
      <c r="I6181" s="7" t="n">
        <f aca="false">(Sens!H6164+Sens!I6164)/(Sens!H6165+Sens!I6165)</f>
        <v>0.6</v>
      </c>
      <c r="J6181" s="7" t="n">
        <f aca="false">(Sens!I6164+Sens!J6164)/(Sens!I6165+Sens!J6165)</f>
        <v>0.6</v>
      </c>
      <c r="K6181" s="7" t="n">
        <f aca="false">(Sens!J6164+Sens!K6164)/(Sens!J6165+Sens!K6165)</f>
        <v>0.6</v>
      </c>
    </row>
    <row r="6182" customFormat="false" ht="17.15" hidden="false" customHeight="false" outlineLevel="0" collapsed="false">
      <c r="A6182" s="0" t="s">
        <v>746</v>
      </c>
      <c r="B6182" s="0" t="s">
        <v>95</v>
      </c>
      <c r="D6182" s="6" t="n">
        <f aca="false">Sens!D6176-Sens!D6181*(Sens!D6178+Sens!D6180)-Sens!D6179</f>
        <v>8.35701406163072</v>
      </c>
      <c r="E6182" s="6" t="n">
        <f aca="false">Sens!E6176-Sens!E6181*(Sens!E6178+Sens!E6180)-Sens!E6179</f>
        <v>18.7103224860238</v>
      </c>
      <c r="F6182" s="6" t="n">
        <f aca="false">Sens!F6176-Sens!F6181*(Sens!F6178+Sens!F6180)-Sens!F6179</f>
        <v>35.0573455625419</v>
      </c>
      <c r="G6182" s="6" t="n">
        <f aca="false">Sens!G6176-Sens!G6181*(Sens!G6178+Sens!G6180)-Sens!G6179</f>
        <v>52.2504971712871</v>
      </c>
      <c r="H6182" s="6" t="n">
        <f aca="false">Sens!H6176-Sens!H6181*(Sens!H6178+Sens!H6180)-Sens!H6179</f>
        <v>65.2796698510271</v>
      </c>
      <c r="I6182" s="6" t="n">
        <f aca="false">Sens!I6176-Sens!I6181*(Sens!I6178+Sens!I6180)-Sens!I6179</f>
        <v>85.5659922535278</v>
      </c>
      <c r="J6182" s="6" t="n">
        <f aca="false">Sens!J6176-Sens!J6181*(Sens!J6178+Sens!J6180)-Sens!J6179</f>
        <v>105.90773710582</v>
      </c>
      <c r="K6182" s="6" t="n">
        <f aca="false">Sens!K6176-Sens!K6181*(Sens!K6178+Sens!K6180)-Sens!K6179</f>
        <v>126.282084319851</v>
      </c>
    </row>
    <row r="6183" customFormat="false" ht="17.15" hidden="false" customHeight="false" outlineLevel="0" collapsed="false">
      <c r="A6183" s="1" t="s">
        <v>747</v>
      </c>
      <c r="B6183" s="0" t="s">
        <v>95</v>
      </c>
      <c r="D6183" s="6" t="n">
        <f aca="false">(1-Sens!D6181)*(Sens!D6178+Sens!D6180)</f>
        <v>1.42281025374069</v>
      </c>
      <c r="E6183" s="6" t="n">
        <f aca="false">(1-Sens!E6181)*(Sens!E6178+Sens!E6180)</f>
        <v>3.25095598674472</v>
      </c>
      <c r="F6183" s="6" t="n">
        <f aca="false">(1-Sens!F6181)*(Sens!F6178+Sens!F6180)</f>
        <v>6.53293055050977</v>
      </c>
      <c r="G6183" s="6" t="n">
        <f aca="false">(1-Sens!G6181)*(Sens!G6178+Sens!G6180)</f>
        <v>10.7846311741651</v>
      </c>
      <c r="H6183" s="6" t="n">
        <f aca="false">(1-Sens!H6181)*(Sens!H6178+Sens!H6180)</f>
        <v>15.26343050201</v>
      </c>
      <c r="I6183" s="6" t="n">
        <f aca="false">(1-Sens!I6181)*(Sens!I6178+Sens!I6180)</f>
        <v>19.7545570754104</v>
      </c>
      <c r="J6183" s="6" t="n">
        <f aca="false">(1-Sens!J6181)*(Sens!J6178+Sens!J6180)</f>
        <v>24.2521277113811</v>
      </c>
      <c r="K6183" s="6" t="n">
        <f aca="false">(1-Sens!K6181)*(Sens!K6178+Sens!K6180)</f>
        <v>28.7534890794427</v>
      </c>
    </row>
    <row r="6184" customFormat="false" ht="17.15" hidden="false" customHeight="false" outlineLevel="0" collapsed="false">
      <c r="A6184" s="1" t="s">
        <v>748</v>
      </c>
      <c r="B6184" s="0" t="s">
        <v>302</v>
      </c>
      <c r="C6184" s="8" t="n">
        <f aca="false">cxit_open</f>
        <v>27.5918995</v>
      </c>
      <c r="D6184" s="8" t="n">
        <f aca="false">cxit_open</f>
        <v>27.5918995</v>
      </c>
      <c r="E6184" s="8" t="n">
        <f aca="false">cxit_open</f>
        <v>27.5918995</v>
      </c>
      <c r="F6184" s="8" t="n">
        <f aca="false">(a_g3_27*tk_cxit_gb300+(1-a_g3_27)*tk_cxit_vr200)</f>
        <v>33.8419624</v>
      </c>
      <c r="G6184" s="8" t="n">
        <f aca="false">(a_g3_28*tk_cxit_gb300+(1-a_g3_28)*tk_cxit_vr200)</f>
        <v>35.9816136</v>
      </c>
      <c r="H6184" s="8" t="n">
        <f aca="false">(a_g3_29*tk_cxit_gb300+(1-a_g3_29)*tk_cxit_vr200)</f>
        <v>37.0514392</v>
      </c>
      <c r="I6184" s="8" t="n">
        <f aca="false">(a_g3_29*tk_cxit_gb300+(1-a_g3_29)*tk_cxit_vr200)</f>
        <v>37.0514392</v>
      </c>
      <c r="J6184" s="8" t="n">
        <f aca="false">(a_g3_29*tk_cxit_gb300+(1-a_g3_29)*tk_cxit_vr200)</f>
        <v>37.0514392</v>
      </c>
      <c r="K6184" s="8" t="n">
        <f aca="false">(a_g3_29*tk_cxit_gb300+(1-a_g3_29)*tk_cxit_vr200)</f>
        <v>37.0514392</v>
      </c>
      <c r="L6184" s="11" t="s">
        <v>749</v>
      </c>
    </row>
    <row r="6185" customFormat="false" ht="17.15" hidden="false" customHeight="false" outlineLevel="0" collapsed="false">
      <c r="A6185" s="0" t="s">
        <v>750</v>
      </c>
      <c r="B6185" s="0" t="s">
        <v>340</v>
      </c>
      <c r="F6185" s="27" t="n">
        <f aca="false">Sens!C6167*IF(3=life_it,1,0)+Sens!D6167*IF(2=life_it,1,0)+Sens!E6167*IF(1=life_it,1,0)</f>
        <v>0</v>
      </c>
      <c r="G6185" s="27" t="n">
        <f aca="false">Sens!C6167*IF(4=life_it,1,0)+Sens!D6167*IF(3=life_it,1,0)+Sens!E6167*IF(2=life_it,1,0)+Sens!F6167*IF(1=life_it,1,0)</f>
        <v>0</v>
      </c>
      <c r="H6185" s="27" t="n">
        <f aca="false">Sens!C6167*IF(5=life_it,1,0)+Sens!D6167*IF(4=life_it,1,0)+Sens!E6167*IF(3=life_it,1,0)+Sens!F6167*IF(2=life_it,1,0)+Sens!G6167*IF(1=life_it,1,0)</f>
        <v>0</v>
      </c>
      <c r="I6185" s="27" t="n">
        <f aca="false">Sens!C6167*IF(6=life_it,1,0)+Sens!D6167*IF(5=life_it,1,0)+Sens!E6167*IF(4=life_it,1,0)+Sens!F6167*IF(3=life_it,1,0)+Sens!G6167*IF(2=life_it,1,0)+Sens!H6167*IF(1=life_it,1,0)</f>
        <v>816.666666666667</v>
      </c>
      <c r="J6185" s="27" t="n">
        <f aca="false">Sens!C6167*IF(7=life_it,1,0)+Sens!D6167*IF(6=life_it,1,0)+Sens!E6167*IF(5=life_it,1,0)+Sens!F6167*IF(4=life_it,1,0)+Sens!G6167*IF(3=life_it,1,0)+Sens!H6167*IF(2=life_it,1,0)+Sens!I6167*IF(1=life_it,1,0)</f>
        <v>1233.33333333333</v>
      </c>
      <c r="K6185" s="27" t="n">
        <f aca="false">Sens!C6167*IF(8=life_it,1,0)+Sens!D6167*IF(7=life_it,1,0)+Sens!E6167*IF(6=life_it,1,0)+Sens!F6167*IF(5=life_it,1,0)+Sens!G6167*IF(4=life_it,1,0)+Sens!H6167*IF(3=life_it,1,0)+Sens!I6167*IF(2=life_it,1,0)+Sens!J6167*IF(1=life_it,1,0)</f>
        <v>2450</v>
      </c>
      <c r="L6185" s="1" t="s">
        <v>751</v>
      </c>
    </row>
    <row r="6186" customFormat="false" ht="17.15" hidden="false" customHeight="false" outlineLevel="0" collapsed="false">
      <c r="A6186" s="0" t="s">
        <v>752</v>
      </c>
      <c r="B6186" s="0" t="s">
        <v>95</v>
      </c>
      <c r="C6186" s="6" t="n">
        <f aca="false">Sens!C6167*Sens!C6184/1000</f>
        <v>22.5333845916667</v>
      </c>
      <c r="D6186" s="6" t="n">
        <f aca="false">Sens!D6167*Sens!D6184/1000</f>
        <v>34.0300093833333</v>
      </c>
      <c r="E6186" s="6" t="n">
        <f aca="false">Sens!E6167*Sens!E6184/1000</f>
        <v>67.600153775</v>
      </c>
      <c r="F6186" s="6" t="n">
        <f aca="false">(Sens!F6167+Sens!F6185)*Sens!F6184/1000</f>
        <v>130.923271871467</v>
      </c>
      <c r="G6186" s="6" t="n">
        <f aca="false">(Sens!G6167+Sens!G6185)*Sens!G6184/1000</f>
        <v>151.5545564832</v>
      </c>
      <c r="H6186" s="6" t="n">
        <f aca="false">(Sens!H6167+Sens!H6185)*Sens!H6184/1000</f>
        <v>156.0606619104</v>
      </c>
      <c r="I6186" s="6" t="n">
        <f aca="false">(Sens!I6167+Sens!I6185)*Sens!I6184/1000</f>
        <v>186.319337257067</v>
      </c>
      <c r="J6186" s="6" t="n">
        <f aca="false">(Sens!J6167+Sens!J6185)*Sens!J6184/1000</f>
        <v>201.757436923733</v>
      </c>
      <c r="K6186" s="6" t="n">
        <f aca="false">(Sens!K6167+Sens!K6185)*Sens!K6184/1000</f>
        <v>246.8366879504</v>
      </c>
    </row>
    <row r="6187" customFormat="false" ht="17.15" hidden="false" customHeight="false" outlineLevel="0" collapsed="false">
      <c r="A6187" s="0" t="s">
        <v>753</v>
      </c>
      <c r="B6187" s="0" t="s">
        <v>95</v>
      </c>
      <c r="C6187" s="6" t="n">
        <f aca="false">Sens!C6167*self_build*tk_cxfac/1000</f>
        <v>6.2083</v>
      </c>
      <c r="D6187" s="6" t="n">
        <f aca="false">Sens!D6167*self_build*tk_cxfac/1000</f>
        <v>9.3758</v>
      </c>
      <c r="E6187" s="6" t="n">
        <f aca="false">Sens!E6167*self_build*tk_cxfac/1000</f>
        <v>18.6249</v>
      </c>
      <c r="F6187" s="6" t="n">
        <f aca="false">Sens!F6167*self_build*tk_cxfac/1000</f>
        <v>29.409604</v>
      </c>
      <c r="G6187" s="6" t="n">
        <f aca="false">Sens!G6167*self_build*tk_cxfac/1000</f>
        <v>32.019624</v>
      </c>
      <c r="H6187" s="6" t="n">
        <f aca="false">Sens!H6167*self_build*tk_cxfac/1000</f>
        <v>32.019624</v>
      </c>
      <c r="I6187" s="6" t="n">
        <f aca="false">Sens!I6167*self_build*tk_cxfac/1000</f>
        <v>32.019624</v>
      </c>
      <c r="J6187" s="6" t="n">
        <f aca="false">Sens!J6167*self_build*tk_cxfac/1000</f>
        <v>32.019624</v>
      </c>
      <c r="K6187" s="6" t="n">
        <f aca="false">Sens!K6167*self_build*tk_cxfac/1000</f>
        <v>32.019624</v>
      </c>
    </row>
    <row r="6188" customFormat="false" ht="17.15" hidden="false" customHeight="false" outlineLevel="0" collapsed="false">
      <c r="A6188" s="0" t="s">
        <v>754</v>
      </c>
      <c r="B6188" s="0" t="s">
        <v>95</v>
      </c>
      <c r="F6188" s="6" t="n">
        <f aca="false">MAX(0,capex_floor27-Sens!F6186-Sens!F6187-Sens!F6275)</f>
        <v>8.22777689897089</v>
      </c>
      <c r="G6188" s="6" t="n">
        <f aca="false">0</f>
        <v>0</v>
      </c>
      <c r="H6188" s="6" t="n">
        <f aca="false">0</f>
        <v>0</v>
      </c>
      <c r="I6188" s="6" t="n">
        <f aca="false">0</f>
        <v>0</v>
      </c>
      <c r="J6188" s="6" t="n">
        <f aca="false">0</f>
        <v>0</v>
      </c>
      <c r="K6188" s="6" t="n">
        <f aca="false">0</f>
        <v>0</v>
      </c>
      <c r="L6188" s="1" t="s">
        <v>755</v>
      </c>
    </row>
    <row r="6189" customFormat="false" ht="17.15" hidden="false" customHeight="false" outlineLevel="0" collapsed="false">
      <c r="A6189" s="0" t="s">
        <v>756</v>
      </c>
      <c r="B6189" s="0" t="s">
        <v>95</v>
      </c>
      <c r="C6189" s="6" t="n">
        <f aca="false">Sens!C6186</f>
        <v>22.5333845916667</v>
      </c>
      <c r="D6189" s="6" t="n">
        <f aca="false">Sens!D6186</f>
        <v>34.0300093833333</v>
      </c>
      <c r="E6189" s="6" t="n">
        <f aca="false">Sens!E6186</f>
        <v>67.600153775</v>
      </c>
      <c r="F6189" s="6" t="n">
        <f aca="false">Sens!F6186+Sens!F6188</f>
        <v>139.151048770438</v>
      </c>
      <c r="G6189" s="6" t="n">
        <f aca="false">Sens!G6186+Sens!G6188</f>
        <v>151.5545564832</v>
      </c>
      <c r="H6189" s="6" t="n">
        <f aca="false">Sens!H6186+Sens!H6188</f>
        <v>156.0606619104</v>
      </c>
      <c r="I6189" s="6" t="n">
        <f aca="false">Sens!I6186+Sens!I6188</f>
        <v>186.319337257067</v>
      </c>
      <c r="J6189" s="6" t="n">
        <f aca="false">Sens!J6186+Sens!J6188</f>
        <v>201.757436923733</v>
      </c>
      <c r="K6189" s="6" t="n">
        <f aca="false">Sens!K6186+Sens!K6188</f>
        <v>246.8366879504</v>
      </c>
    </row>
    <row r="6190" customFormat="false" ht="17.15" hidden="false" customHeight="false" outlineLevel="0" collapsed="false">
      <c r="A6190" s="0" t="s">
        <v>757</v>
      </c>
      <c r="B6190" s="0" t="s">
        <v>95</v>
      </c>
      <c r="C6190" s="6" t="n">
        <f aca="false">Sens!C6189+Sens!C6187</f>
        <v>28.7416845916667</v>
      </c>
      <c r="D6190" s="6" t="n">
        <f aca="false">Sens!D6189+Sens!D6187</f>
        <v>43.4058093833333</v>
      </c>
      <c r="E6190" s="6" t="n">
        <f aca="false">Sens!E6189+Sens!E6187</f>
        <v>86.225053775</v>
      </c>
      <c r="F6190" s="6" t="n">
        <f aca="false">Sens!F6189+Sens!F6187</f>
        <v>168.560652770438</v>
      </c>
      <c r="G6190" s="6" t="n">
        <f aca="false">Sens!G6189+Sens!G6187</f>
        <v>183.5741804832</v>
      </c>
      <c r="H6190" s="6" t="n">
        <f aca="false">Sens!H6189+Sens!H6187</f>
        <v>188.0802859104</v>
      </c>
      <c r="I6190" s="6" t="n">
        <f aca="false">Sens!I6189+Sens!I6187</f>
        <v>218.338961257067</v>
      </c>
      <c r="J6190" s="6" t="n">
        <f aca="false">Sens!J6189+Sens!J6187</f>
        <v>233.777060923733</v>
      </c>
      <c r="K6190" s="6" t="n">
        <f aca="false">Sens!K6189+Sens!K6187</f>
        <v>278.8563119504</v>
      </c>
      <c r="L6190" s="11" t="s">
        <v>758</v>
      </c>
    </row>
    <row r="6191" customFormat="false" ht="17.15" hidden="false" customHeight="false" outlineLevel="0" collapsed="false">
      <c r="A6191" s="0" t="s">
        <v>759</v>
      </c>
      <c r="B6191" s="0" t="s">
        <v>95</v>
      </c>
      <c r="E6191" s="6" t="n">
        <f aca="false">(Sens!C6189*IF(2&lt;life_it,1,IF(2=life_it,0.5,0))+Sens!D6189*IF(1&lt;life_it,1,IF(1=life_it,0.5,0))+Sens!E6189*0.5)/life_it</f>
        <v>15.0605784770833</v>
      </c>
      <c r="F6191" s="6" t="n">
        <f aca="false">(Sens!C6189*IF(3&lt;life_it,1,IF(3=life_it,0.5,0))+Sens!D6189*IF(2&lt;life_it,1,IF(2=life_it,0.5,0))+Sens!E6189*IF(1&lt;life_it,1,IF(1=life_it,0.5,0))+Sens!F6189*0.5)/life_it</f>
        <v>32.2898453558698</v>
      </c>
      <c r="G6191" s="6" t="n">
        <f aca="false">(Sens!C6189*IF(4&lt;life_it,1,IF(4=life_it,0.5,0))+Sens!D6189*IF(3&lt;life_it,1,IF(3=life_it,0.5,0))+Sens!E6189*IF(2&lt;life_it,1,IF(2=life_it,0.5,0))+Sens!F6189*IF(1&lt;life_it,1,IF(1=life_it,0.5,0))+Sens!G6189*0.5)/life_it</f>
        <v>56.5153124603396</v>
      </c>
      <c r="H6191" s="6" t="n">
        <f aca="false">(Sens!C6189*IF(5&lt;life_it,1,IF(5=life_it,0.5,0))+Sens!D6189*IF(4&lt;life_it,1,IF(4=life_it,0.5,0))+Sens!E6189*IF(3&lt;life_it,1,IF(3=life_it,0.5,0))+Sens!F6189*IF(2&lt;life_it,1,IF(2=life_it,0.5,0))+Sens!G6189*IF(1&lt;life_it,1,IF(1=life_it,0.5,0))+Sens!H6189*0.5)/life_it</f>
        <v>82.1499139931396</v>
      </c>
      <c r="I6191" s="6" t="n">
        <f aca="false">(Sens!C6189*IF(6&lt;life_it,1,IF(6=life_it,0.5,0))+Sens!D6189*IF(5&lt;life_it,1,IF(5=life_it,0.5,0))+Sens!E6189*IF(4&lt;life_it,1,IF(4=life_it,0.5,0))+Sens!F6189*IF(3&lt;life_it,1,IF(3=life_it,0.5,0))+Sens!G6189*IF(2&lt;life_it,1,IF(2=life_it,0.5,0))+Sens!H6189*IF(1&lt;life_it,1,IF(1=life_it,0.5,0))+Sens!I6189*0.5)/life_it</f>
        <v>108.803798541123</v>
      </c>
      <c r="J6191" s="6" t="n">
        <f aca="false">(Sens!C6189*IF(7&lt;life_it,1,IF(7=life_it,0.5,0))+Sens!D6189*IF(6&lt;life_it,1,IF(6=life_it,0.5,0))+Sens!E6189*IF(5&lt;life_it,1,IF(5=life_it,0.5,0))+Sens!F6189*IF(4&lt;life_it,1,IF(4=life_it,0.5,0))+Sens!G6189*IF(3&lt;life_it,1,IF(3=life_it,0.5,0))+Sens!H6189*IF(2&lt;life_it,1,IF(2=life_it,0.5,0))+Sens!I6189*IF(1&lt;life_it,1,IF(1=life_it,0.5,0))+Sens!J6189*0.5)/life_it</f>
        <v>136.429913558273</v>
      </c>
      <c r="K6191" s="6" t="n">
        <f aca="false">(Sens!C6189*IF(8&lt;life_it,1,IF(8=life_it,0.5,0))+Sens!D6189*IF(7&lt;life_it,1,IF(7=life_it,0.5,0))+Sens!E6189*IF(6&lt;life_it,1,IF(6=life_it,0.5,0))+Sens!F6189*IF(5&lt;life_it,1,IF(5=life_it,0.5,0))+Sens!G6189*IF(4&lt;life_it,1,IF(4=life_it,0.5,0))+Sens!H6189*IF(3&lt;life_it,1,IF(3=life_it,0.5,0))+Sens!I6189*IF(2&lt;life_it,1,IF(2=life_it,0.5,0))+Sens!J6189*IF(1&lt;life_it,1,IF(1=life_it,0.5,0))+Sens!K6189*0.5)/life_it</f>
        <v>165.34357703459</v>
      </c>
    </row>
    <row r="6192" customFormat="false" ht="17.15" hidden="false" customHeight="false" outlineLevel="0" collapsed="false">
      <c r="A6192" s="0" t="s">
        <v>760</v>
      </c>
      <c r="B6192" s="0" t="s">
        <v>95</v>
      </c>
      <c r="E6192" s="6" t="n">
        <f aca="false">(Sens!C6187*IF(2&lt;life_fac,1,IF(2=life_fac,0.5,0))+Sens!D6187*IF(1&lt;life_fac,1,IF(1=life_fac,0.5,0))+Sens!E6187*0.5)/life_fac</f>
        <v>1.2448275</v>
      </c>
      <c r="F6192" s="6" t="n">
        <f aca="false">(Sens!C6187*IF(3&lt;life_fac,1,IF(3=life_fac,0.5,0))+Sens!D6187*IF(2&lt;life_fac,1,IF(2=life_fac,0.5,0))+Sens!E6187*IF(1&lt;life_fac,1,IF(1=life_fac,0.5,0))+Sens!F6187*0.5)/life_fac</f>
        <v>2.4456901</v>
      </c>
      <c r="G6192" s="6" t="n">
        <f aca="false">(Sens!C6187*IF(4&lt;life_fac,1,IF(4=life_fac,0.5,0))+Sens!D6187*IF(3&lt;life_fac,1,IF(3=life_fac,0.5,0))+Sens!E6187*IF(2&lt;life_fac,1,IF(2=life_fac,0.5,0))+Sens!F6187*IF(1&lt;life_fac,1,IF(1=life_fac,0.5,0))+Sens!G6187*0.5)/life_fac</f>
        <v>3.9814208</v>
      </c>
      <c r="H6192" s="6" t="n">
        <f aca="false">(Sens!C6187*IF(5&lt;life_fac,1,IF(5=life_fac,0.5,0))+Sens!D6187*IF(4&lt;life_fac,1,IF(4=life_fac,0.5,0))+Sens!E6187*IF(3&lt;life_fac,1,IF(3=life_fac,0.5,0))+Sens!F6187*IF(2&lt;life_fac,1,IF(2=life_fac,0.5,0))+Sens!G6187*IF(1&lt;life_fac,1,IF(1=life_fac,0.5,0))+Sens!H6187*0.5)/life_fac</f>
        <v>5.582402</v>
      </c>
      <c r="I6192" s="6" t="n">
        <f aca="false">(Sens!C6187*IF(6&lt;life_fac,1,IF(6=life_fac,0.5,0))+Sens!D6187*IF(5&lt;life_fac,1,IF(5=life_fac,0.5,0))+Sens!E6187*IF(4&lt;life_fac,1,IF(4=life_fac,0.5,0))+Sens!F6187*IF(3&lt;life_fac,1,IF(3=life_fac,0.5,0))+Sens!G6187*IF(2&lt;life_fac,1,IF(2=life_fac,0.5,0))+Sens!H6187*IF(1&lt;life_fac,1,IF(1=life_fac,0.5,0))+Sens!I6187*0.5)/life_fac</f>
        <v>7.1833832</v>
      </c>
      <c r="J6192" s="6" t="n">
        <f aca="false">(Sens!C6187*IF(7&lt;life_fac,1,IF(7=life_fac,0.5,0))+Sens!D6187*IF(6&lt;life_fac,1,IF(6=life_fac,0.5,0))+Sens!E6187*IF(5&lt;life_fac,1,IF(5=life_fac,0.5,0))+Sens!F6187*IF(4&lt;life_fac,1,IF(4=life_fac,0.5,0))+Sens!G6187*IF(3&lt;life_fac,1,IF(3=life_fac,0.5,0))+Sens!H6187*IF(2&lt;life_fac,1,IF(2=life_fac,0.5,0))+Sens!I6187*IF(1&lt;life_fac,1,IF(1=life_fac,0.5,0))+Sens!J6187*0.5)/life_fac</f>
        <v>8.7843644</v>
      </c>
      <c r="K6192" s="6" t="n">
        <f aca="false">(Sens!C6187*IF(8&lt;life_fac,1,IF(8=life_fac,0.5,0))+Sens!D6187*IF(7&lt;life_fac,1,IF(7=life_fac,0.5,0))+Sens!E6187*IF(6&lt;life_fac,1,IF(6=life_fac,0.5,0))+Sens!F6187*IF(5&lt;life_fac,1,IF(5=life_fac,0.5,0))+Sens!G6187*IF(4&lt;life_fac,1,IF(4=life_fac,0.5,0))+Sens!H6187*IF(3&lt;life_fac,1,IF(3=life_fac,0.5,0))+Sens!I6187*IF(2&lt;life_fac,1,IF(2=life_fac,0.5,0))+Sens!J6187*IF(1&lt;life_fac,1,IF(1=life_fac,0.5,0))+Sens!K6187*0.5)/life_fac</f>
        <v>10.3853456</v>
      </c>
    </row>
    <row r="6193" customFormat="false" ht="17.15" hidden="false" customHeight="false" outlineLevel="0" collapsed="false">
      <c r="A6193" s="0" t="s">
        <v>761</v>
      </c>
      <c r="B6193" s="0" t="s">
        <v>95</v>
      </c>
      <c r="E6193" s="6" t="n">
        <f aca="false">Sens!E6191+Sens!E6192</f>
        <v>16.3054059770833</v>
      </c>
      <c r="F6193" s="6" t="n">
        <f aca="false">Sens!F6191+Sens!F6192</f>
        <v>34.7355354558698</v>
      </c>
      <c r="G6193" s="6" t="n">
        <f aca="false">Sens!G6191+Sens!G6192</f>
        <v>60.4967332603396</v>
      </c>
      <c r="H6193" s="6" t="n">
        <f aca="false">Sens!H6191+Sens!H6192</f>
        <v>87.7323159931396</v>
      </c>
      <c r="I6193" s="6" t="n">
        <f aca="false">Sens!I6191+Sens!I6192</f>
        <v>115.987181741123</v>
      </c>
      <c r="J6193" s="6" t="n">
        <f aca="false">Sens!J6191+Sens!J6192</f>
        <v>145.214277958273</v>
      </c>
      <c r="K6193" s="6" t="n">
        <f aca="false">Sens!K6191+Sens!K6192</f>
        <v>175.72892263459</v>
      </c>
    </row>
    <row r="6194" customFormat="false" ht="17.15" hidden="false" customHeight="false" outlineLevel="0" collapsed="false">
      <c r="A6194" s="0" t="s">
        <v>762</v>
      </c>
      <c r="B6194" s="0" t="s">
        <v>95</v>
      </c>
      <c r="E6194" s="6" t="n">
        <f aca="false">Sens!E6182-Sens!E6181*Sens!E6193</f>
        <v>8.92707889977379</v>
      </c>
      <c r="F6194" s="6" t="n">
        <f aca="false">Sens!F6182-Sens!F6181*Sens!F6193</f>
        <v>14.2160242890201</v>
      </c>
      <c r="G6194" s="6" t="n">
        <f aca="false">Sens!G6182-Sens!G6181*Sens!G6193</f>
        <v>15.9524572150833</v>
      </c>
      <c r="H6194" s="6" t="n">
        <f aca="false">Sens!H6182-Sens!H6181*Sens!H6193</f>
        <v>12.6402802551433</v>
      </c>
      <c r="I6194" s="6" t="n">
        <f aca="false">Sens!I6182-Sens!I6181*Sens!I6193</f>
        <v>15.9736832088541</v>
      </c>
      <c r="J6194" s="6" t="n">
        <f aca="false">Sens!J6182-Sens!J6181*Sens!J6193</f>
        <v>18.7791703308565</v>
      </c>
      <c r="K6194" s="6" t="n">
        <f aca="false">Sens!K6182-Sens!K6181*Sens!K6193</f>
        <v>20.8447307390974</v>
      </c>
    </row>
    <row r="6195" customFormat="false" ht="17.15" hidden="false" customHeight="false" outlineLevel="0" collapsed="false">
      <c r="A6195" s="3" t="s">
        <v>1290</v>
      </c>
    </row>
    <row r="6196" customFormat="false" ht="15" hidden="false" customHeight="false" outlineLevel="0" collapsed="false">
      <c r="A6196" s="4" t="s">
        <v>43</v>
      </c>
      <c r="B6196" s="4" t="s">
        <v>63</v>
      </c>
      <c r="C6196" s="19" t="s">
        <v>710</v>
      </c>
      <c r="D6196" s="19" t="s">
        <v>711</v>
      </c>
      <c r="E6196" s="19" t="s">
        <v>712</v>
      </c>
      <c r="F6196" s="19" t="s">
        <v>713</v>
      </c>
      <c r="G6196" s="19" t="s">
        <v>714</v>
      </c>
      <c r="H6196" s="19" t="s">
        <v>715</v>
      </c>
      <c r="I6196" s="19" t="s">
        <v>716</v>
      </c>
      <c r="J6196" s="19" t="s">
        <v>717</v>
      </c>
      <c r="K6196" s="19" t="s">
        <v>718</v>
      </c>
      <c r="L6196" s="4" t="s">
        <v>47</v>
      </c>
    </row>
    <row r="6197" customFormat="false" ht="17.15" hidden="false" customHeight="false" outlineLevel="0" collapsed="false">
      <c r="A6197" s="0" t="s">
        <v>780</v>
      </c>
      <c r="B6197" s="0" t="s">
        <v>95</v>
      </c>
      <c r="D6197" s="6" t="n">
        <f aca="false">Sens!D6176</f>
        <v>12.9359794422418</v>
      </c>
      <c r="E6197" s="6" t="n">
        <f aca="false">Sens!E6176</f>
        <v>27.8095064661409</v>
      </c>
      <c r="F6197" s="6" t="n">
        <f aca="false">Sens!F6176</f>
        <v>50.6619113883066</v>
      </c>
      <c r="G6197" s="6" t="n">
        <f aca="false">Sens!G6176</f>
        <v>75.1482839325348</v>
      </c>
      <c r="H6197" s="6" t="n">
        <f aca="false">Sens!H6176</f>
        <v>94.895655604042</v>
      </c>
      <c r="I6197" s="6" t="n">
        <f aca="false">Sens!I6176</f>
        <v>121.918667866643</v>
      </c>
      <c r="J6197" s="6" t="n">
        <f aca="false">Sens!J6176</f>
        <v>149.006768672892</v>
      </c>
      <c r="K6197" s="6" t="n">
        <f aca="false">Sens!K6176</f>
        <v>176.133157939015</v>
      </c>
    </row>
    <row r="6198" customFormat="false" ht="17.15" hidden="false" customHeight="false" outlineLevel="0" collapsed="false">
      <c r="A6198" s="0" t="s">
        <v>781</v>
      </c>
      <c r="B6198" s="0" t="s">
        <v>95</v>
      </c>
      <c r="D6198" s="6" t="n">
        <f aca="false">Q!L6-Sens!D6197</f>
        <v>59.6740205577583</v>
      </c>
      <c r="E6198" s="6" t="n">
        <f aca="false">Q!M6-Sens!E6197</f>
        <v>74.1284935338591</v>
      </c>
      <c r="F6198" s="6" t="n">
        <f aca="false">Sens!E6198*(1+Sens!F6199)</f>
        <v>90.0799497373663</v>
      </c>
      <c r="G6198" s="6" t="n">
        <f aca="false">Sens!F6198*(1+Sens!G6199)</f>
        <v>107.02842520331</v>
      </c>
      <c r="H6198" s="6" t="n">
        <f aca="false">Sens!G6198*(1+Sens!H6199)</f>
        <v>124.271982585636</v>
      </c>
      <c r="I6198" s="6" t="n">
        <f aca="false">Sens!H6198*(1+Sens!I6199)</f>
        <v>140.933702381855</v>
      </c>
      <c r="J6198" s="6" t="n">
        <f aca="false">Sens!I6198*(1+Sens!J6199)</f>
        <v>156.018867314332</v>
      </c>
      <c r="K6198" s="6" t="n">
        <f aca="false">Sens!J6198*(1+Sens!K6199)</f>
        <v>168.500376699478</v>
      </c>
    </row>
    <row r="6199" customFormat="false" ht="15" hidden="false" customHeight="false" outlineLevel="0" collapsed="false">
      <c r="A6199" s="1" t="s">
        <v>782</v>
      </c>
      <c r="B6199" s="0" t="s">
        <v>126</v>
      </c>
      <c r="E6199" s="7" t="n">
        <f aca="false">Sens!E6198/Sens!D6198-1</f>
        <v>0.242223883039864</v>
      </c>
      <c r="F6199" s="7" t="n">
        <f aca="false">Sens!$E$6199+(glt_azo-Sens!$E$6199)*MIN(1,1/n_conv)</f>
        <v>0.215186569199887</v>
      </c>
      <c r="G6199" s="7" t="n">
        <f aca="false">Sens!$E$6199+(glt_azo-Sens!$E$6199)*MIN(1,2/n_conv)</f>
        <v>0.18814925535991</v>
      </c>
      <c r="H6199" s="7" t="n">
        <f aca="false">Sens!$E$6199+(glt_azo-Sens!$E$6199)*MIN(1,3/n_conv)</f>
        <v>0.161111941519932</v>
      </c>
      <c r="I6199" s="7" t="n">
        <f aca="false">Sens!$E$6199+(glt_azo-Sens!$E$6199)*MIN(1,4/n_conv)</f>
        <v>0.134074627679955</v>
      </c>
      <c r="J6199" s="7" t="n">
        <f aca="false">Sens!$E$6199+(glt_azo-Sens!$E$6199)*MIN(1,5/n_conv)</f>
        <v>0.107037313839977</v>
      </c>
      <c r="K6199" s="7" t="n">
        <f aca="false">Sens!$E$6199+(glt_azo-Sens!$E$6199)*MIN(1,6/n_conv)</f>
        <v>0.08</v>
      </c>
    </row>
    <row r="6200" customFormat="false" ht="15" hidden="false" customHeight="false" outlineLevel="0" collapsed="false">
      <c r="A6200" s="0" t="s">
        <v>783</v>
      </c>
      <c r="B6200" s="0" t="s">
        <v>95</v>
      </c>
      <c r="D6200" s="6" t="n">
        <f aca="false">Sens!D6197+Sens!D6198</f>
        <v>72.61</v>
      </c>
      <c r="E6200" s="6" t="n">
        <f aca="false">Sens!E6197+Sens!E6198</f>
        <v>101.938</v>
      </c>
      <c r="F6200" s="6" t="n">
        <f aca="false">Sens!F6197+Sens!F6198</f>
        <v>140.741861125673</v>
      </c>
      <c r="G6200" s="6" t="n">
        <f aca="false">Sens!G6197+Sens!G6198</f>
        <v>182.176709135845</v>
      </c>
      <c r="H6200" s="6" t="n">
        <f aca="false">Sens!H6197+Sens!H6198</f>
        <v>219.167638189678</v>
      </c>
      <c r="I6200" s="6" t="n">
        <f aca="false">Sens!I6197+Sens!I6198</f>
        <v>262.852370248498</v>
      </c>
      <c r="J6200" s="6" t="n">
        <f aca="false">Sens!J6197+Sens!J6198</f>
        <v>305.025635987223</v>
      </c>
      <c r="K6200" s="6" t="n">
        <f aca="false">Sens!K6197+Sens!K6198</f>
        <v>344.633534638493</v>
      </c>
    </row>
    <row r="6201" customFormat="false" ht="17.15" hidden="false" customHeight="false" outlineLevel="0" collapsed="false">
      <c r="A6201" s="0" t="s">
        <v>784</v>
      </c>
      <c r="B6201" s="1" t="s">
        <v>451</v>
      </c>
      <c r="C6201" s="27" t="n">
        <f aca="false">cop_s24</f>
        <v>1</v>
      </c>
      <c r="D6201" s="27" t="n">
        <f aca="false">cop_s25</f>
        <v>5</v>
      </c>
      <c r="E6201" s="27" t="n">
        <f aca="false">cop_s26</f>
        <v>30</v>
      </c>
      <c r="F6201" s="27" t="n">
        <f aca="false">Sens!E6201+IF(2027&lt;=2029,cop_add_C,cop_add_C*cop_tail)</f>
        <v>40</v>
      </c>
      <c r="G6201" s="27" t="n">
        <f aca="false">Sens!F6201+IF(2028&lt;=2029,cop_add_C,cop_add_C*cop_tail)</f>
        <v>50</v>
      </c>
      <c r="H6201" s="27" t="n">
        <f aca="false">Sens!G6201+IF(2029&lt;=2029,cop_add_C,cop_add_C*cop_tail)</f>
        <v>60</v>
      </c>
      <c r="I6201" s="27" t="n">
        <f aca="false">Sens!H6201+IF(2030&lt;=2029,cop_add_C,cop_add_C*cop_tail)</f>
        <v>65</v>
      </c>
      <c r="J6201" s="27" t="n">
        <f aca="false">Sens!I6201+IF(2031&lt;=2029,cop_add_C,cop_add_C*cop_tail)</f>
        <v>70</v>
      </c>
      <c r="K6201" s="27" t="n">
        <f aca="false">Sens!J6201+IF(2032&lt;=2029,cop_add_C,cop_add_C*cop_tail)</f>
        <v>75</v>
      </c>
    </row>
    <row r="6202" customFormat="false" ht="17.15" hidden="false" customHeight="false" outlineLevel="0" collapsed="false">
      <c r="A6202" s="0" t="s">
        <v>785</v>
      </c>
      <c r="B6202" s="0" t="s">
        <v>95</v>
      </c>
      <c r="D6202" s="6" t="n">
        <f aca="false">(Sens!C6201+Sens!D6201)/2*cop_px*12/1000</f>
        <v>0.9</v>
      </c>
      <c r="E6202" s="6" t="n">
        <f aca="false">(Sens!D6201+Sens!E6201)/2*cop_px*12/1000</f>
        <v>5.25</v>
      </c>
      <c r="F6202" s="6" t="n">
        <f aca="false">(Sens!E6201+Sens!F6201)/2*cop_px_hi*12/1000</f>
        <v>12.6</v>
      </c>
      <c r="G6202" s="6" t="n">
        <f aca="false">(Sens!F6201+Sens!G6201)/2*cop_px_hi*12/1000</f>
        <v>16.2</v>
      </c>
      <c r="H6202" s="6" t="n">
        <f aca="false">(Sens!G6201+Sens!H6201)/2*cop_px_hi*12/1000</f>
        <v>19.8</v>
      </c>
      <c r="I6202" s="6" t="n">
        <f aca="false">(Sens!H6201+Sens!I6201)/2*cop_px_hi*12/1000</f>
        <v>22.5</v>
      </c>
      <c r="J6202" s="6" t="n">
        <f aca="false">(Sens!I6201+Sens!J6201)/2*cop_px_hi*12/1000</f>
        <v>24.3</v>
      </c>
      <c r="K6202" s="6" t="n">
        <f aca="false">(Sens!J6201+Sens!K6201)/2*cop_px_hi*12/1000</f>
        <v>26.1</v>
      </c>
      <c r="L6202" s="1" t="s">
        <v>786</v>
      </c>
    </row>
    <row r="6203" customFormat="false" ht="17.15" hidden="false" customHeight="false" outlineLevel="0" collapsed="false">
      <c r="A6203" s="0" t="s">
        <v>787</v>
      </c>
      <c r="B6203" s="0" t="s">
        <v>95</v>
      </c>
      <c r="D6203" s="6" t="n">
        <f aca="false">Q!L7-Sens!D6202</f>
        <v>83.705</v>
      </c>
      <c r="E6203" s="6" t="n">
        <f aca="false">Q!M7-Sens!E6202</f>
        <v>95.049</v>
      </c>
      <c r="F6203" s="6" t="n">
        <f aca="false">Sens!E6203*(1+Sens!F6204)</f>
        <v>106.89238776686</v>
      </c>
      <c r="G6203" s="6" t="n">
        <f aca="false">Sens!F6203*(1+Sens!G6204)</f>
        <v>119.044168448684</v>
      </c>
      <c r="H6203" s="6" t="n">
        <f aca="false">Sens!G6203*(1+Sens!H6204)</f>
        <v>131.277359388781</v>
      </c>
      <c r="I6203" s="6" t="n">
        <f aca="false">Sens!H6203*(1+Sens!I6204)</f>
        <v>143.334028071957</v>
      </c>
      <c r="J6203" s="6" t="n">
        <f aca="false">Sens!I6203*(1+Sens!J6204)</f>
        <v>154.932702785465</v>
      </c>
      <c r="K6203" s="6" t="n">
        <f aca="false">Sens!J6203*(1+Sens!K6204)</f>
        <v>165.777991980448</v>
      </c>
    </row>
    <row r="6204" customFormat="false" ht="15" hidden="false" customHeight="false" outlineLevel="0" collapsed="false">
      <c r="A6204" s="1" t="s">
        <v>782</v>
      </c>
      <c r="B6204" s="0" t="s">
        <v>126</v>
      </c>
      <c r="E6204" s="7" t="n">
        <f aca="false">Sens!E6203/Sens!D6203-1</f>
        <v>0.135523564900544</v>
      </c>
      <c r="F6204" s="7" t="n">
        <f aca="false">Sens!$E$6204+(glt_m365b-Sens!$E$6204)*MIN(1,1/n_conv)</f>
        <v>0.124602970750453</v>
      </c>
      <c r="G6204" s="7" t="n">
        <f aca="false">Sens!$E$6204+(glt_m365b-Sens!$E$6204)*MIN(1,2/n_conv)</f>
        <v>0.113682376600363</v>
      </c>
      <c r="H6204" s="7" t="n">
        <f aca="false">Sens!$E$6204+(glt_m365b-Sens!$E$6204)*MIN(1,3/n_conv)</f>
        <v>0.102761782450272</v>
      </c>
      <c r="I6204" s="7" t="n">
        <f aca="false">Sens!$E$6204+(glt_m365b-Sens!$E$6204)*MIN(1,4/n_conv)</f>
        <v>0.0918411883001813</v>
      </c>
      <c r="J6204" s="7" t="n">
        <f aca="false">Sens!$E$6204+(glt_m365b-Sens!$E$6204)*MIN(1,5/n_conv)</f>
        <v>0.0809205941500906</v>
      </c>
      <c r="K6204" s="7" t="n">
        <f aca="false">Sens!$E$6204+(glt_m365b-Sens!$E$6204)*MIN(1,6/n_conv)</f>
        <v>0.07</v>
      </c>
    </row>
    <row r="6205" customFormat="false" ht="15" hidden="false" customHeight="false" outlineLevel="0" collapsed="false">
      <c r="A6205" s="0" t="s">
        <v>788</v>
      </c>
      <c r="B6205" s="0" t="s">
        <v>95</v>
      </c>
      <c r="D6205" s="6" t="n">
        <f aca="false">Sens!D6203+Sens!D6202</f>
        <v>84.605</v>
      </c>
      <c r="E6205" s="6" t="n">
        <f aca="false">Sens!E6203+Sens!E6202</f>
        <v>100.299</v>
      </c>
      <c r="F6205" s="6" t="n">
        <f aca="false">Sens!F6203+Sens!F6202</f>
        <v>119.49238776686</v>
      </c>
      <c r="G6205" s="6" t="n">
        <f aca="false">Sens!G6203+Sens!G6202</f>
        <v>135.244168448684</v>
      </c>
      <c r="H6205" s="6" t="n">
        <f aca="false">Sens!H6203+Sens!H6202</f>
        <v>151.077359388781</v>
      </c>
      <c r="I6205" s="6" t="n">
        <f aca="false">Sens!I6203+Sens!I6202</f>
        <v>165.834028071957</v>
      </c>
      <c r="J6205" s="6" t="n">
        <f aca="false">Sens!J6203+Sens!J6202</f>
        <v>179.232702785465</v>
      </c>
      <c r="K6205" s="6" t="n">
        <f aca="false">Sens!K6203+Sens!K6202</f>
        <v>191.877991980448</v>
      </c>
    </row>
    <row r="6206" customFormat="false" ht="15" hidden="false" customHeight="false" outlineLevel="0" collapsed="false">
      <c r="A6206" s="0" t="s">
        <v>789</v>
      </c>
      <c r="B6206" s="0" t="s">
        <v>95</v>
      </c>
      <c r="D6206" s="6" t="n">
        <f aca="false">Q!L8</f>
        <v>35.391</v>
      </c>
      <c r="E6206" s="6" t="n">
        <f aca="false">Q!M8</f>
        <v>37.285</v>
      </c>
      <c r="F6206" s="6" t="n">
        <f aca="false">Sens!E6206*(1+Sens!F6207)</f>
        <v>39.0720834331704</v>
      </c>
      <c r="G6206" s="6" t="n">
        <f aca="false">Sens!F6206*(1+Sens!G6207)</f>
        <v>40.726562953769</v>
      </c>
      <c r="H6206" s="6" t="n">
        <f aca="false">Sens!G6206*(1+Sens!H6207)</f>
        <v>42.2235987259198</v>
      </c>
      <c r="I6206" s="6" t="n">
        <f aca="false">Sens!H6206*(1+Sens!I6207)</f>
        <v>43.5397988077414</v>
      </c>
      <c r="J6206" s="6" t="n">
        <f aca="false">Sens!I6206*(1+Sens!J6207)</f>
        <v>44.653811225693</v>
      </c>
      <c r="K6206" s="6" t="n">
        <f aca="false">Sens!J6206*(1+Sens!K6207)</f>
        <v>45.5468874502068</v>
      </c>
    </row>
    <row r="6207" customFormat="false" ht="15" hidden="false" customHeight="false" outlineLevel="0" collapsed="false">
      <c r="A6207" s="1" t="s">
        <v>782</v>
      </c>
      <c r="B6207" s="0" t="s">
        <v>126</v>
      </c>
      <c r="E6207" s="7" t="n">
        <f aca="false">Sens!E6206/Sens!D6206-1</f>
        <v>0.0535164307309768</v>
      </c>
      <c r="F6207" s="7" t="n">
        <f aca="false">Sens!$E$6207+(glt_lic-Sens!$E$6207)*MIN(1,1/n_conv)</f>
        <v>0.0479303589424807</v>
      </c>
      <c r="G6207" s="7" t="n">
        <f aca="false">Sens!$E$6207+(glt_lic-Sens!$E$6207)*MIN(1,2/n_conv)</f>
        <v>0.0423442871539845</v>
      </c>
      <c r="H6207" s="7" t="n">
        <f aca="false">Sens!$E$6207+(glt_lic-Sens!$E$6207)*MIN(1,3/n_conv)</f>
        <v>0.0367582153654884</v>
      </c>
      <c r="I6207" s="7" t="n">
        <f aca="false">Sens!$E$6207+(glt_lic-Sens!$E$6207)*MIN(1,4/n_conv)</f>
        <v>0.0311721435769923</v>
      </c>
      <c r="J6207" s="7" t="n">
        <f aca="false">Sens!$E$6207+(glt_lic-Sens!$E$6207)*MIN(1,5/n_conv)</f>
        <v>0.0255860717884961</v>
      </c>
      <c r="K6207" s="7" t="n">
        <f aca="false">Sens!$E$6207+(glt_lic-Sens!$E$6207)*MIN(1,6/n_conv)</f>
        <v>0.02</v>
      </c>
    </row>
    <row r="6208" customFormat="false" ht="15" hidden="false" customHeight="false" outlineLevel="0" collapsed="false">
      <c r="A6208" s="0" t="s">
        <v>790</v>
      </c>
      <c r="B6208" s="0" t="s">
        <v>95</v>
      </c>
      <c r="D6208" s="6" t="n">
        <f aca="false">Q!L9</f>
        <v>18.417</v>
      </c>
      <c r="E6208" s="6" t="n">
        <f aca="false">Q!M9</f>
        <v>20.345</v>
      </c>
      <c r="F6208" s="6" t="n">
        <f aca="false">Sens!E6208*(1+Sens!F6209)</f>
        <v>22.3572203267814</v>
      </c>
      <c r="G6208" s="6" t="n">
        <f aca="false">Sens!F6208*(1+Sens!G6209)</f>
        <v>24.4392124437232</v>
      </c>
      <c r="H6208" s="6" t="n">
        <f aca="false">Sens!G6208*(1+Sens!H6209)</f>
        <v>26.5738052080665</v>
      </c>
      <c r="I6208" s="6" t="n">
        <f aca="false">Sens!H6208*(1+Sens!I6209)</f>
        <v>28.7412169166967</v>
      </c>
      <c r="J6208" s="6" t="n">
        <f aca="false">Sens!I6208*(1+Sens!J6209)</f>
        <v>30.9192545395413</v>
      </c>
      <c r="K6208" s="6" t="n">
        <f aca="false">Sens!J6208*(1+Sens!K6209)</f>
        <v>33.0836023573092</v>
      </c>
    </row>
    <row r="6209" customFormat="false" ht="15" hidden="false" customHeight="false" outlineLevel="0" collapsed="false">
      <c r="A6209" s="1" t="s">
        <v>782</v>
      </c>
      <c r="B6209" s="0" t="s">
        <v>126</v>
      </c>
      <c r="E6209" s="7" t="n">
        <f aca="false">Sens!E6208/Sens!D6208-1</f>
        <v>0.104685888038225</v>
      </c>
      <c r="F6209" s="7" t="n">
        <f aca="false">Sens!$E$6209+(glt_ind-Sens!$E$6209)*MIN(1,1/n_conv)</f>
        <v>0.0989049066985211</v>
      </c>
      <c r="G6209" s="7" t="n">
        <f aca="false">Sens!$E$6209+(glt_ind-Sens!$E$6209)*MIN(1,2/n_conv)</f>
        <v>0.0931239253588169</v>
      </c>
      <c r="H6209" s="7" t="n">
        <f aca="false">Sens!$E$6209+(glt_ind-Sens!$E$6209)*MIN(1,3/n_conv)</f>
        <v>0.0873429440191127</v>
      </c>
      <c r="I6209" s="7" t="n">
        <f aca="false">Sens!$E$6209+(glt_ind-Sens!$E$6209)*MIN(1,4/n_conv)</f>
        <v>0.0815619626794085</v>
      </c>
      <c r="J6209" s="7" t="n">
        <f aca="false">Sens!$E$6209+(glt_ind-Sens!$E$6209)*MIN(1,5/n_conv)</f>
        <v>0.0757809813397042</v>
      </c>
      <c r="K6209" s="7" t="n">
        <f aca="false">Sens!$E$6209+(glt_ind-Sens!$E$6209)*MIN(1,6/n_conv)</f>
        <v>0.07</v>
      </c>
    </row>
    <row r="6210" customFormat="false" ht="15" hidden="false" customHeight="false" outlineLevel="0" collapsed="false">
      <c r="A6210" s="0" t="s">
        <v>791</v>
      </c>
      <c r="B6210" s="0" t="s">
        <v>95</v>
      </c>
      <c r="D6210" s="6" t="n">
        <f aca="false">Q!L10</f>
        <v>7.76</v>
      </c>
      <c r="E6210" s="6" t="n">
        <f aca="false">Q!M10</f>
        <v>8.26</v>
      </c>
      <c r="F6210" s="6" t="n">
        <f aca="false">Sens!E6210*(1+Sens!F6211)</f>
        <v>8.79988041237113</v>
      </c>
      <c r="G6210" s="6" t="n">
        <f aca="false">Sens!F6210*(1+Sens!G6211)</f>
        <v>9.38321269125306</v>
      </c>
      <c r="H6210" s="6" t="n">
        <f aca="false">Sens!G6210*(1+Sens!H6211)</f>
        <v>10.0139193587476</v>
      </c>
      <c r="I6210" s="6" t="n">
        <f aca="false">Sens!H6210*(1+Sens!I6211)</f>
        <v>10.6963111830911</v>
      </c>
      <c r="J6210" s="6" t="n">
        <f aca="false">Sens!I6210*(1+Sens!J6211)</f>
        <v>11.4351285534696</v>
      </c>
      <c r="K6210" s="6" t="n">
        <f aca="false">Sens!J6210*(1+Sens!K6211)</f>
        <v>12.2355875522124</v>
      </c>
    </row>
    <row r="6211" customFormat="false" ht="15" hidden="false" customHeight="false" outlineLevel="0" collapsed="false">
      <c r="A6211" s="1" t="s">
        <v>782</v>
      </c>
      <c r="B6211" s="0" t="s">
        <v>126</v>
      </c>
      <c r="E6211" s="7" t="n">
        <f aca="false">Sens!E6210/Sens!D6210-1</f>
        <v>0.0644329896907216</v>
      </c>
      <c r="F6211" s="7" t="n">
        <f aca="false">Sens!$E$6211+(glt_fro-Sens!$E$6211)*MIN(1,1/n_conv)</f>
        <v>0.065360824742268</v>
      </c>
      <c r="G6211" s="7" t="n">
        <f aca="false">Sens!$E$6211+(glt_fro-Sens!$E$6211)*MIN(1,2/n_conv)</f>
        <v>0.0662886597938144</v>
      </c>
      <c r="H6211" s="7" t="n">
        <f aca="false">Sens!$E$6211+(glt_fro-Sens!$E$6211)*MIN(1,3/n_conv)</f>
        <v>0.0672164948453608</v>
      </c>
      <c r="I6211" s="7" t="n">
        <f aca="false">Sens!$E$6211+(glt_fro-Sens!$E$6211)*MIN(1,4/n_conv)</f>
        <v>0.0681443298969072</v>
      </c>
      <c r="J6211" s="7" t="n">
        <f aca="false">Sens!$E$6211+(glt_fro-Sens!$E$6211)*MIN(1,5/n_conv)</f>
        <v>0.0690721649484536</v>
      </c>
      <c r="K6211" s="7" t="n">
        <f aca="false">Sens!$E$6211+(glt_fro-Sens!$E$6211)*MIN(1,6/n_conv)</f>
        <v>0.07</v>
      </c>
    </row>
    <row r="6212" customFormat="false" ht="15" hidden="false" customHeight="false" outlineLevel="0" collapsed="false">
      <c r="A6212" s="0" t="s">
        <v>626</v>
      </c>
      <c r="B6212" s="0" t="s">
        <v>95</v>
      </c>
      <c r="D6212" s="6" t="n">
        <f aca="false">Sens!D6200+Sens!D6205+Sens!D6206+Sens!D6208+Sens!D6210</f>
        <v>218.783</v>
      </c>
      <c r="E6212" s="6" t="n">
        <f aca="false">Sens!E6200+Sens!E6205+Sens!E6206+Sens!E6208+Sens!E6210</f>
        <v>268.127</v>
      </c>
      <c r="F6212" s="6" t="n">
        <f aca="false">Sens!F6200+Sens!F6205+Sens!F6206+Sens!F6208+Sens!F6210</f>
        <v>330.463433064856</v>
      </c>
      <c r="G6212" s="6" t="n">
        <f aca="false">Sens!G6200+Sens!G6205+Sens!G6206+Sens!G6208+Sens!G6210</f>
        <v>391.969865673274</v>
      </c>
      <c r="H6212" s="6" t="n">
        <f aca="false">Sens!H6200+Sens!H6205+Sens!H6206+Sens!H6208+Sens!H6210</f>
        <v>449.056320871193</v>
      </c>
      <c r="I6212" s="6" t="n">
        <f aca="false">Sens!I6200+Sens!I6205+Sens!I6206+Sens!I6208+Sens!I6210</f>
        <v>511.663725227984</v>
      </c>
      <c r="J6212" s="6" t="n">
        <f aca="false">Sens!J6200+Sens!J6205+Sens!J6206+Sens!J6208+Sens!J6210</f>
        <v>571.266533091392</v>
      </c>
      <c r="K6212" s="6" t="n">
        <f aca="false">Sens!K6200+Sens!K6205+Sens!K6206+Sens!K6208+Sens!K6210</f>
        <v>627.37760397867</v>
      </c>
    </row>
    <row r="6213" customFormat="false" ht="15" hidden="false" customHeight="false" outlineLevel="0" collapsed="false">
      <c r="A6213" s="0" t="s">
        <v>792</v>
      </c>
      <c r="B6213" s="0" t="s">
        <v>95</v>
      </c>
      <c r="D6213" s="6" t="n">
        <f aca="false">Q!L13</f>
        <v>22.171</v>
      </c>
      <c r="E6213" s="6" t="n">
        <f aca="false">Q!M13</f>
        <v>24.835</v>
      </c>
      <c r="F6213" s="6" t="n">
        <f aca="false">Sens!E6213*(1+Sens!F6214)</f>
        <v>27.6114901218559</v>
      </c>
      <c r="G6213" s="6" t="n">
        <f aca="false">Sens!F6213*(1+Sens!G6214)</f>
        <v>30.4675667338515</v>
      </c>
      <c r="H6213" s="6" t="n">
        <f aca="false">Sens!G6213*(1+Sens!H6214)</f>
        <v>33.3643766955789</v>
      </c>
      <c r="I6213" s="6" t="n">
        <f aca="false">Sens!H6213*(1+Sens!I6214)</f>
        <v>36.2577016533691</v>
      </c>
      <c r="J6213" s="6" t="n">
        <f aca="false">Sens!I6213*(1+Sens!J6214)</f>
        <v>39.0988367952171</v>
      </c>
      <c r="K6213" s="6" t="n">
        <f aca="false">Sens!J6213*(1+Sens!K6214)</f>
        <v>41.8357553708823</v>
      </c>
    </row>
    <row r="6214" customFormat="false" ht="15" hidden="false" customHeight="false" outlineLevel="0" collapsed="false">
      <c r="A6214" s="1" t="s">
        <v>782</v>
      </c>
      <c r="B6214" s="0" t="s">
        <v>126</v>
      </c>
      <c r="E6214" s="7" t="n">
        <f aca="false">Sens!E6213/Sens!D6213-1</f>
        <v>0.120156961796942</v>
      </c>
      <c r="F6214" s="7" t="n">
        <f aca="false">Sens!$E$6214+(glt_srch-Sens!$E$6214)*MIN(1,1/n_conv)</f>
        <v>0.111797468164118</v>
      </c>
      <c r="G6214" s="7" t="n">
        <f aca="false">Sens!$E$6214+(glt_srch-Sens!$E$6214)*MIN(1,2/n_conv)</f>
        <v>0.103437974531295</v>
      </c>
      <c r="H6214" s="7" t="n">
        <f aca="false">Sens!$E$6214+(glt_srch-Sens!$E$6214)*MIN(1,3/n_conv)</f>
        <v>0.095078480898471</v>
      </c>
      <c r="I6214" s="7" t="n">
        <f aca="false">Sens!$E$6214+(glt_srch-Sens!$E$6214)*MIN(1,4/n_conv)</f>
        <v>0.0867189872656474</v>
      </c>
      <c r="J6214" s="7" t="n">
        <f aca="false">Sens!$E$6214+(glt_srch-Sens!$E$6214)*MIN(1,5/n_conv)</f>
        <v>0.0783594936328237</v>
      </c>
      <c r="K6214" s="7" t="n">
        <f aca="false">Sens!$E$6214+(glt_srch-Sens!$E$6214)*MIN(1,6/n_conv)</f>
        <v>0.07</v>
      </c>
    </row>
    <row r="6215" customFormat="false" ht="15" hidden="false" customHeight="false" outlineLevel="0" collapsed="false">
      <c r="A6215" s="0" t="s">
        <v>793</v>
      </c>
      <c r="B6215" s="0" t="s">
        <v>95</v>
      </c>
      <c r="D6215" s="6" t="n">
        <f aca="false">Q!L14</f>
        <v>23.455</v>
      </c>
      <c r="E6215" s="6" t="n">
        <f aca="false">Q!M14</f>
        <v>21.79</v>
      </c>
      <c r="F6215" s="6" t="n">
        <f aca="false">Sens!E6215*(1+Sens!F6216)</f>
        <v>20.5736277908051</v>
      </c>
      <c r="G6215" s="6" t="n">
        <f aca="false">Sens!F6215*(1+Sens!G6216)</f>
        <v>19.7371452817919</v>
      </c>
      <c r="H6215" s="6" t="n">
        <f aca="false">Sens!G6215*(1+Sens!H6216)</f>
        <v>19.2339764043138</v>
      </c>
      <c r="I6215" s="6" t="n">
        <f aca="false">Sens!H6215*(1+Sens!I6216)</f>
        <v>19.0353086852681</v>
      </c>
      <c r="J6215" s="6" t="n">
        <f aca="false">Sens!I6215*(1+Sens!J6216)</f>
        <v>19.1273539319129</v>
      </c>
      <c r="K6215" s="6" t="n">
        <f aca="false">Sens!J6215*(1+Sens!K6216)</f>
        <v>19.5099010105511</v>
      </c>
    </row>
    <row r="6216" customFormat="false" ht="15" hidden="false" customHeight="false" outlineLevel="0" collapsed="false">
      <c r="A6216" s="1" t="s">
        <v>782</v>
      </c>
      <c r="B6216" s="0" t="s">
        <v>126</v>
      </c>
      <c r="E6216" s="7" t="n">
        <f aca="false">Sens!E6215/Sens!D6215-1</f>
        <v>-0.0709869963760392</v>
      </c>
      <c r="F6216" s="7" t="n">
        <f aca="false">Sens!$E$6216+(glt_xbox-Sens!$E$6216)*MIN(1,1/n_conv)</f>
        <v>-0.0558224969800327</v>
      </c>
      <c r="G6216" s="7" t="n">
        <f aca="false">Sens!$E$6216+(glt_xbox-Sens!$E$6216)*MIN(1,2/n_conv)</f>
        <v>-0.0406579975840262</v>
      </c>
      <c r="H6216" s="7" t="n">
        <f aca="false">Sens!$E$6216+(glt_xbox-Sens!$E$6216)*MIN(1,3/n_conv)</f>
        <v>-0.0254934981880196</v>
      </c>
      <c r="I6216" s="7" t="n">
        <f aca="false">Sens!$E$6216+(glt_xbox-Sens!$E$6216)*MIN(1,4/n_conv)</f>
        <v>-0.0103289987920131</v>
      </c>
      <c r="J6216" s="7" t="n">
        <f aca="false">Sens!$E$6216+(glt_xbox-Sens!$E$6216)*MIN(1,5/n_conv)</f>
        <v>0.00483550060399347</v>
      </c>
      <c r="K6216" s="7" t="n">
        <f aca="false">Sens!$E$6216+(glt_xbox-Sens!$E$6216)*MIN(1,6/n_conv)</f>
        <v>0.02</v>
      </c>
    </row>
    <row r="6217" customFormat="false" ht="15" hidden="false" customHeight="false" outlineLevel="0" collapsed="false">
      <c r="A6217" s="0" t="s">
        <v>794</v>
      </c>
      <c r="B6217" s="0" t="s">
        <v>95</v>
      </c>
      <c r="D6217" s="6" t="n">
        <f aca="false">Q!L15</f>
        <v>17.315</v>
      </c>
      <c r="E6217" s="6" t="n">
        <f aca="false">Q!M15</f>
        <v>17.087</v>
      </c>
      <c r="F6217" s="6" t="n">
        <f aca="false">Sens!E6217*(1+Sens!F6218)</f>
        <v>16.9564585436519</v>
      </c>
      <c r="G6217" s="6" t="n">
        <f aca="false">Sens!F6217*(1+Sens!G6218)</f>
        <v>16.9206490624268</v>
      </c>
      <c r="H6217" s="6" t="n">
        <f aca="false">Sens!G6217*(1+Sens!H6218)</f>
        <v>16.9784519149849</v>
      </c>
      <c r="I6217" s="6" t="n">
        <f aca="false">Sens!H6217*(1+Sens!I6218)</f>
        <v>17.1303084701817</v>
      </c>
      <c r="J6217" s="6" t="n">
        <f aca="false">Sens!I6217*(1+Sens!J6218)</f>
        <v>17.3782189407267</v>
      </c>
      <c r="K6217" s="6" t="n">
        <f aca="false">Sens!J6217*(1+Sens!K6218)</f>
        <v>17.7257833195413</v>
      </c>
    </row>
    <row r="6218" customFormat="false" ht="15" hidden="false" customHeight="false" outlineLevel="0" collapsed="false">
      <c r="A6218" s="1" t="s">
        <v>782</v>
      </c>
      <c r="B6218" s="0" t="s">
        <v>126</v>
      </c>
      <c r="E6218" s="7" t="n">
        <f aca="false">Sens!E6217/Sens!D6217-1</f>
        <v>-0.0131677736066995</v>
      </c>
      <c r="F6218" s="7" t="n">
        <f aca="false">Sens!$E$6218+(glt_win-Sens!$E$6218)*MIN(1,1/n_conv)</f>
        <v>-0.00763981133891627</v>
      </c>
      <c r="G6218" s="7" t="n">
        <f aca="false">Sens!$E$6218+(glt_win-Sens!$E$6218)*MIN(1,2/n_conv)</f>
        <v>-0.00211184907113301</v>
      </c>
      <c r="H6218" s="7" t="n">
        <f aca="false">Sens!$E$6218+(glt_win-Sens!$E$6218)*MIN(1,3/n_conv)</f>
        <v>0.00341611319665024</v>
      </c>
      <c r="I6218" s="7" t="n">
        <f aca="false">Sens!$E$6218+(glt_win-Sens!$E$6218)*MIN(1,4/n_conv)</f>
        <v>0.00894407546443349</v>
      </c>
      <c r="J6218" s="7" t="n">
        <f aca="false">Sens!$E$6218+(glt_win-Sens!$E$6218)*MIN(1,5/n_conv)</f>
        <v>0.0144720377322168</v>
      </c>
      <c r="K6218" s="7" t="n">
        <f aca="false">Sens!$E$6218+(glt_win-Sens!$E$6218)*MIN(1,6/n_conv)</f>
        <v>0.02</v>
      </c>
    </row>
    <row r="6219" customFormat="false" ht="15" hidden="false" customHeight="false" outlineLevel="0" collapsed="false">
      <c r="A6219" s="0" t="s">
        <v>640</v>
      </c>
      <c r="B6219" s="0" t="s">
        <v>95</v>
      </c>
      <c r="D6219" s="6" t="n">
        <f aca="false">Sens!D6213+Sens!D6215+Sens!D6217</f>
        <v>62.941</v>
      </c>
      <c r="E6219" s="6" t="n">
        <f aca="false">Sens!E6213+Sens!E6215+Sens!E6217</f>
        <v>63.712</v>
      </c>
      <c r="F6219" s="6" t="n">
        <f aca="false">Sens!F6213+Sens!F6215+Sens!F6217</f>
        <v>65.1415764563129</v>
      </c>
      <c r="G6219" s="6" t="n">
        <f aca="false">Sens!G6213+Sens!G6215+Sens!G6217</f>
        <v>67.1253610780702</v>
      </c>
      <c r="H6219" s="6" t="n">
        <f aca="false">Sens!H6213+Sens!H6215+Sens!H6217</f>
        <v>69.5768050148776</v>
      </c>
      <c r="I6219" s="6" t="n">
        <f aca="false">Sens!I6213+Sens!I6215+Sens!I6217</f>
        <v>72.4233188088189</v>
      </c>
      <c r="J6219" s="6" t="n">
        <f aca="false">Sens!J6213+Sens!J6215+Sens!J6217</f>
        <v>75.6044096678567</v>
      </c>
      <c r="K6219" s="6" t="n">
        <f aca="false">Sens!K6213+Sens!K6215+Sens!K6217</f>
        <v>79.0714397009747</v>
      </c>
    </row>
    <row r="6220" customFormat="false" ht="15" hidden="false" customHeight="false" outlineLevel="0" collapsed="false">
      <c r="A6220" s="1" t="s">
        <v>795</v>
      </c>
      <c r="B6220" s="0" t="s">
        <v>95</v>
      </c>
      <c r="D6220" s="6" t="n">
        <f aca="false">Sens!D6212+Sens!D6219</f>
        <v>281.724</v>
      </c>
      <c r="E6220" s="6" t="n">
        <f aca="false">Sens!E6212+Sens!E6219</f>
        <v>331.839</v>
      </c>
      <c r="F6220" s="6" t="n">
        <f aca="false">Sens!F6212+Sens!F6219</f>
        <v>395.605009521169</v>
      </c>
      <c r="G6220" s="6" t="n">
        <f aca="false">Sens!G6212+Sens!G6219</f>
        <v>459.095226751344</v>
      </c>
      <c r="H6220" s="6" t="n">
        <f aca="false">Sens!H6212+Sens!H6219</f>
        <v>518.633125886071</v>
      </c>
      <c r="I6220" s="6" t="n">
        <f aca="false">Sens!I6212+Sens!I6219</f>
        <v>584.087044036803</v>
      </c>
      <c r="J6220" s="6" t="n">
        <f aca="false">Sens!J6212+Sens!J6219</f>
        <v>646.870942759249</v>
      </c>
      <c r="K6220" s="6" t="n">
        <f aca="false">Sens!K6212+Sens!K6219</f>
        <v>706.449043679644</v>
      </c>
    </row>
    <row r="6221" customFormat="false" ht="15" hidden="false" customHeight="false" outlineLevel="0" collapsed="false">
      <c r="A6221" s="22" t="s">
        <v>796</v>
      </c>
      <c r="B6221" s="28" t="s">
        <v>95</v>
      </c>
      <c r="C6221" s="28"/>
      <c r="D6221" s="23" t="n">
        <f aca="false">(Sens!D6200+Sens!D6205+Sens!D6206+Sens!D6208+Sens!D6210-Sens!D6212)+(Sens!D6213+Sens!D6215+Sens!D6217-Sens!D6219)+(Sens!D6212-Q!L5)+(Sens!D6219-Q!L12)+(Sens!D6200-Q!L6)+(Sens!D6205-Q!L7)</f>
        <v>0</v>
      </c>
      <c r="E6221" s="23" t="n">
        <f aca="false">(Sens!E6200+Sens!E6205+Sens!E6206+Sens!E6208+Sens!E6210-Sens!E6212)+(Sens!E6213+Sens!E6215+Sens!E6217-Sens!E6219)+(Sens!E6212-Q!M5)+(Sens!E6219-Q!M12)+(Sens!E6200-Q!M6)+(Sens!E6205-Q!M7)</f>
        <v>0</v>
      </c>
      <c r="F6221" s="23" t="n">
        <f aca="false">(Sens!F6200+Sens!F6205+Sens!F6206+Sens!F6208+Sens!F6210-Sens!F6212)+(Sens!F6213+Sens!F6215+Sens!F6217-Sens!F6219)</f>
        <v>0</v>
      </c>
      <c r="G6221" s="23" t="n">
        <f aca="false">(Sens!G6200+Sens!G6205+Sens!G6206+Sens!G6208+Sens!G6210-Sens!G6212)+(Sens!G6213+Sens!G6215+Sens!G6217-Sens!G6219)</f>
        <v>0</v>
      </c>
      <c r="H6221" s="23" t="n">
        <f aca="false">(Sens!H6200+Sens!H6205+Sens!H6206+Sens!H6208+Sens!H6210-Sens!H6212)+(Sens!H6213+Sens!H6215+Sens!H6217-Sens!H6219)</f>
        <v>0</v>
      </c>
      <c r="I6221" s="23" t="n">
        <f aca="false">(Sens!I6200+Sens!I6205+Sens!I6206+Sens!I6208+Sens!I6210-Sens!I6212)+(Sens!I6213+Sens!I6215+Sens!I6217-Sens!I6219)</f>
        <v>0</v>
      </c>
      <c r="J6221" s="23" t="n">
        <f aca="false">(Sens!J6200+Sens!J6205+Sens!J6206+Sens!J6208+Sens!J6210-Sens!J6212)+(Sens!J6213+Sens!J6215+Sens!J6217-Sens!J6219)</f>
        <v>0</v>
      </c>
      <c r="K6221" s="23" t="n">
        <f aca="false">(Sens!K6200+Sens!K6205+Sens!K6206+Sens!K6208+Sens!K6210-Sens!K6212)+(Sens!K6213+Sens!K6215+Sens!K6217-Sens!K6219)</f>
        <v>0</v>
      </c>
    </row>
    <row r="6222" customFormat="false" ht="17.15" hidden="false" customHeight="false" outlineLevel="0" collapsed="false">
      <c r="A6222" s="3" t="s">
        <v>1291</v>
      </c>
    </row>
    <row r="6223" customFormat="false" ht="15" hidden="false" customHeight="false" outlineLevel="0" collapsed="false">
      <c r="A6223" s="4" t="s">
        <v>43</v>
      </c>
      <c r="B6223" s="4" t="s">
        <v>63</v>
      </c>
      <c r="C6223" s="19" t="s">
        <v>710</v>
      </c>
      <c r="D6223" s="19" t="s">
        <v>711</v>
      </c>
      <c r="E6223" s="19" t="s">
        <v>712</v>
      </c>
      <c r="F6223" s="19" t="s">
        <v>713</v>
      </c>
      <c r="G6223" s="19" t="s">
        <v>714</v>
      </c>
      <c r="H6223" s="19" t="s">
        <v>715</v>
      </c>
      <c r="I6223" s="19" t="s">
        <v>716</v>
      </c>
      <c r="J6223" s="19" t="s">
        <v>717</v>
      </c>
      <c r="K6223" s="19" t="s">
        <v>718</v>
      </c>
      <c r="L6223" s="4" t="s">
        <v>47</v>
      </c>
    </row>
    <row r="6224" customFormat="false" ht="15" hidden="false" customHeight="false" outlineLevel="0" collapsed="false">
      <c r="A6224" s="0" t="s">
        <v>783</v>
      </c>
      <c r="B6224" s="0" t="s">
        <v>95</v>
      </c>
      <c r="D6224" s="6" t="n">
        <f aca="false">Sens!D6200</f>
        <v>72.61</v>
      </c>
      <c r="E6224" s="6" t="n">
        <f aca="false">Sens!E6200</f>
        <v>101.938</v>
      </c>
      <c r="F6224" s="6" t="n">
        <f aca="false">Sens!F6200</f>
        <v>140.741861125673</v>
      </c>
      <c r="G6224" s="6" t="n">
        <f aca="false">Sens!G6200</f>
        <v>182.176709135845</v>
      </c>
      <c r="H6224" s="6" t="n">
        <f aca="false">Sens!H6200</f>
        <v>219.167638189678</v>
      </c>
      <c r="I6224" s="6" t="n">
        <f aca="false">Sens!I6200</f>
        <v>262.852370248498</v>
      </c>
      <c r="J6224" s="6" t="n">
        <f aca="false">Sens!J6200</f>
        <v>305.025635987223</v>
      </c>
      <c r="K6224" s="6" t="n">
        <f aca="false">Sens!K6200</f>
        <v>344.633534638493</v>
      </c>
    </row>
    <row r="6225" customFormat="false" ht="17.15" hidden="false" customHeight="false" outlineLevel="0" collapsed="false">
      <c r="A6225" s="0" t="s">
        <v>780</v>
      </c>
      <c r="B6225" s="0" t="s">
        <v>95</v>
      </c>
      <c r="D6225" s="6" t="n">
        <f aca="false">Sens!D6197</f>
        <v>12.9359794422418</v>
      </c>
      <c r="E6225" s="6" t="n">
        <f aca="false">Sens!E6197</f>
        <v>27.8095064661409</v>
      </c>
      <c r="F6225" s="6" t="n">
        <f aca="false">Sens!F6197</f>
        <v>50.6619113883066</v>
      </c>
      <c r="G6225" s="6" t="n">
        <f aca="false">Sens!G6197</f>
        <v>75.1482839325348</v>
      </c>
      <c r="H6225" s="6" t="n">
        <f aca="false">Sens!H6197</f>
        <v>94.895655604042</v>
      </c>
      <c r="I6225" s="6" t="n">
        <f aca="false">Sens!I6197</f>
        <v>121.918667866643</v>
      </c>
      <c r="J6225" s="6" t="n">
        <f aca="false">Sens!J6197</f>
        <v>149.006768672892</v>
      </c>
      <c r="K6225" s="6" t="n">
        <f aca="false">Sens!K6197</f>
        <v>176.133157939015</v>
      </c>
    </row>
    <row r="6226" customFormat="false" ht="17.15" hidden="false" customHeight="false" outlineLevel="0" collapsed="false">
      <c r="A6226" s="0" t="s">
        <v>807</v>
      </c>
      <c r="B6226" s="0" t="s">
        <v>95</v>
      </c>
      <c r="D6226" s="6" t="n">
        <f aca="false">Sens!D6198</f>
        <v>59.6740205577583</v>
      </c>
      <c r="E6226" s="6" t="n">
        <f aca="false">Sens!E6198</f>
        <v>74.1284935338591</v>
      </c>
      <c r="F6226" s="6" t="n">
        <f aca="false">Sens!F6198</f>
        <v>90.0799497373663</v>
      </c>
      <c r="G6226" s="6" t="n">
        <f aca="false">Sens!G6198</f>
        <v>107.02842520331</v>
      </c>
      <c r="H6226" s="6" t="n">
        <f aca="false">Sens!H6198</f>
        <v>124.271982585636</v>
      </c>
      <c r="I6226" s="6" t="n">
        <f aca="false">Sens!I6198</f>
        <v>140.933702381855</v>
      </c>
      <c r="J6226" s="6" t="n">
        <f aca="false">Sens!J6198</f>
        <v>156.018867314332</v>
      </c>
      <c r="K6226" s="6" t="n">
        <f aca="false">Sens!K6198</f>
        <v>168.500376699478</v>
      </c>
    </row>
    <row r="6227" customFormat="false" ht="15" hidden="false" customHeight="false" outlineLevel="0" collapsed="false">
      <c r="A6227" s="0" t="s">
        <v>788</v>
      </c>
      <c r="B6227" s="0" t="s">
        <v>95</v>
      </c>
      <c r="D6227" s="6" t="n">
        <f aca="false">Sens!D6205</f>
        <v>84.605</v>
      </c>
      <c r="E6227" s="6" t="n">
        <f aca="false">Sens!E6205</f>
        <v>100.299</v>
      </c>
      <c r="F6227" s="6" t="n">
        <f aca="false">Sens!F6205</f>
        <v>119.49238776686</v>
      </c>
      <c r="G6227" s="6" t="n">
        <f aca="false">Sens!G6205</f>
        <v>135.244168448684</v>
      </c>
      <c r="H6227" s="6" t="n">
        <f aca="false">Sens!H6205</f>
        <v>151.077359388781</v>
      </c>
      <c r="I6227" s="6" t="n">
        <f aca="false">Sens!I6205</f>
        <v>165.834028071957</v>
      </c>
      <c r="J6227" s="6" t="n">
        <f aca="false">Sens!J6205</f>
        <v>179.232702785465</v>
      </c>
      <c r="K6227" s="6" t="n">
        <f aca="false">Sens!K6205</f>
        <v>191.877991980448</v>
      </c>
    </row>
    <row r="6228" customFormat="false" ht="17.15" hidden="false" customHeight="false" outlineLevel="0" collapsed="false">
      <c r="A6228" s="0" t="s">
        <v>808</v>
      </c>
      <c r="B6228" s="0" t="s">
        <v>95</v>
      </c>
      <c r="D6228" s="6" t="n">
        <f aca="false">Sens!D6203</f>
        <v>83.705</v>
      </c>
      <c r="E6228" s="6" t="n">
        <f aca="false">Sens!E6203</f>
        <v>95.049</v>
      </c>
      <c r="F6228" s="6" t="n">
        <f aca="false">Sens!F6203</f>
        <v>106.89238776686</v>
      </c>
      <c r="G6228" s="6" t="n">
        <f aca="false">Sens!G6203</f>
        <v>119.044168448684</v>
      </c>
      <c r="H6228" s="6" t="n">
        <f aca="false">Sens!H6203</f>
        <v>131.277359388781</v>
      </c>
      <c r="I6228" s="6" t="n">
        <f aca="false">Sens!I6203</f>
        <v>143.334028071957</v>
      </c>
      <c r="J6228" s="6" t="n">
        <f aca="false">Sens!J6203</f>
        <v>154.932702785465</v>
      </c>
      <c r="K6228" s="6" t="n">
        <f aca="false">Sens!K6203</f>
        <v>165.777991980448</v>
      </c>
    </row>
    <row r="6229" customFormat="false" ht="17.15" hidden="false" customHeight="false" outlineLevel="0" collapsed="false">
      <c r="A6229" s="0" t="s">
        <v>809</v>
      </c>
      <c r="B6229" s="0" t="s">
        <v>95</v>
      </c>
      <c r="D6229" s="6" t="n">
        <f aca="false">Sens!D6202</f>
        <v>0.9</v>
      </c>
      <c r="E6229" s="6" t="n">
        <f aca="false">Sens!E6202</f>
        <v>5.25</v>
      </c>
      <c r="F6229" s="6" t="n">
        <f aca="false">Sens!F6202</f>
        <v>12.6</v>
      </c>
      <c r="G6229" s="6" t="n">
        <f aca="false">Sens!G6202</f>
        <v>16.2</v>
      </c>
      <c r="H6229" s="6" t="n">
        <f aca="false">Sens!H6202</f>
        <v>19.8</v>
      </c>
      <c r="I6229" s="6" t="n">
        <f aca="false">Sens!I6202</f>
        <v>22.5</v>
      </c>
      <c r="J6229" s="6" t="n">
        <f aca="false">Sens!J6202</f>
        <v>24.3</v>
      </c>
      <c r="K6229" s="6" t="n">
        <f aca="false">Sens!K6202</f>
        <v>26.1</v>
      </c>
    </row>
    <row r="6230" customFormat="false" ht="15" hidden="false" customHeight="false" outlineLevel="0" collapsed="false">
      <c r="A6230" s="0" t="s">
        <v>789</v>
      </c>
      <c r="B6230" s="0" t="s">
        <v>95</v>
      </c>
      <c r="D6230" s="6" t="n">
        <f aca="false">Sens!D6206</f>
        <v>35.391</v>
      </c>
      <c r="E6230" s="6" t="n">
        <f aca="false">Sens!E6206</f>
        <v>37.285</v>
      </c>
      <c r="F6230" s="6" t="n">
        <f aca="false">Sens!F6206</f>
        <v>39.0720834331704</v>
      </c>
      <c r="G6230" s="6" t="n">
        <f aca="false">Sens!G6206</f>
        <v>40.726562953769</v>
      </c>
      <c r="H6230" s="6" t="n">
        <f aca="false">Sens!H6206</f>
        <v>42.2235987259198</v>
      </c>
      <c r="I6230" s="6" t="n">
        <f aca="false">Sens!I6206</f>
        <v>43.5397988077414</v>
      </c>
      <c r="J6230" s="6" t="n">
        <f aca="false">Sens!J6206</f>
        <v>44.653811225693</v>
      </c>
      <c r="K6230" s="6" t="n">
        <f aca="false">Sens!K6206</f>
        <v>45.5468874502068</v>
      </c>
    </row>
    <row r="6231" customFormat="false" ht="15" hidden="false" customHeight="false" outlineLevel="0" collapsed="false">
      <c r="A6231" s="0" t="s">
        <v>790</v>
      </c>
      <c r="B6231" s="0" t="s">
        <v>95</v>
      </c>
      <c r="D6231" s="6" t="n">
        <f aca="false">Sens!D6208</f>
        <v>18.417</v>
      </c>
      <c r="E6231" s="6" t="n">
        <f aca="false">Sens!E6208</f>
        <v>20.345</v>
      </c>
      <c r="F6231" s="6" t="n">
        <f aca="false">Sens!F6208</f>
        <v>22.3572203267814</v>
      </c>
      <c r="G6231" s="6" t="n">
        <f aca="false">Sens!G6208</f>
        <v>24.4392124437232</v>
      </c>
      <c r="H6231" s="6" t="n">
        <f aca="false">Sens!H6208</f>
        <v>26.5738052080665</v>
      </c>
      <c r="I6231" s="6" t="n">
        <f aca="false">Sens!I6208</f>
        <v>28.7412169166967</v>
      </c>
      <c r="J6231" s="6" t="n">
        <f aca="false">Sens!J6208</f>
        <v>30.9192545395413</v>
      </c>
      <c r="K6231" s="6" t="n">
        <f aca="false">Sens!K6208</f>
        <v>33.0836023573092</v>
      </c>
    </row>
    <row r="6232" customFormat="false" ht="15" hidden="false" customHeight="false" outlineLevel="0" collapsed="false">
      <c r="A6232" s="0" t="s">
        <v>791</v>
      </c>
      <c r="B6232" s="0" t="s">
        <v>95</v>
      </c>
      <c r="D6232" s="6" t="n">
        <f aca="false">Sens!D6210</f>
        <v>7.76</v>
      </c>
      <c r="E6232" s="6" t="n">
        <f aca="false">Sens!E6210</f>
        <v>8.26</v>
      </c>
      <c r="F6232" s="6" t="n">
        <f aca="false">Sens!F6210</f>
        <v>8.79988041237113</v>
      </c>
      <c r="G6232" s="6" t="n">
        <f aca="false">Sens!G6210</f>
        <v>9.38321269125306</v>
      </c>
      <c r="H6232" s="6" t="n">
        <f aca="false">Sens!H6210</f>
        <v>10.0139193587476</v>
      </c>
      <c r="I6232" s="6" t="n">
        <f aca="false">Sens!I6210</f>
        <v>10.6963111830911</v>
      </c>
      <c r="J6232" s="6" t="n">
        <f aca="false">Sens!J6210</f>
        <v>11.4351285534696</v>
      </c>
      <c r="K6232" s="6" t="n">
        <f aca="false">Sens!K6210</f>
        <v>12.2355875522124</v>
      </c>
    </row>
    <row r="6233" customFormat="false" ht="15" hidden="false" customHeight="false" outlineLevel="0" collapsed="false">
      <c r="A6233" s="0" t="s">
        <v>626</v>
      </c>
      <c r="B6233" s="0" t="s">
        <v>95</v>
      </c>
      <c r="D6233" s="6" t="n">
        <f aca="false">Sens!D6212</f>
        <v>218.783</v>
      </c>
      <c r="E6233" s="6" t="n">
        <f aca="false">Sens!E6212</f>
        <v>268.127</v>
      </c>
      <c r="F6233" s="6" t="n">
        <f aca="false">Sens!F6212</f>
        <v>330.463433064856</v>
      </c>
      <c r="G6233" s="6" t="n">
        <f aca="false">Sens!G6212</f>
        <v>391.969865673274</v>
      </c>
      <c r="H6233" s="6" t="n">
        <f aca="false">Sens!H6212</f>
        <v>449.056320871193</v>
      </c>
      <c r="I6233" s="6" t="n">
        <f aca="false">Sens!I6212</f>
        <v>511.663725227984</v>
      </c>
      <c r="J6233" s="6" t="n">
        <f aca="false">Sens!J6212</f>
        <v>571.266533091392</v>
      </c>
      <c r="K6233" s="6" t="n">
        <f aca="false">Sens!K6212</f>
        <v>627.37760397867</v>
      </c>
    </row>
    <row r="6234" customFormat="false" ht="15" hidden="false" customHeight="false" outlineLevel="0" collapsed="false">
      <c r="A6234" s="0" t="s">
        <v>792</v>
      </c>
      <c r="B6234" s="0" t="s">
        <v>95</v>
      </c>
      <c r="D6234" s="6" t="n">
        <f aca="false">Sens!D6213</f>
        <v>22.171</v>
      </c>
      <c r="E6234" s="6" t="n">
        <f aca="false">Sens!E6213</f>
        <v>24.835</v>
      </c>
      <c r="F6234" s="6" t="n">
        <f aca="false">Sens!F6213</f>
        <v>27.6114901218559</v>
      </c>
      <c r="G6234" s="6" t="n">
        <f aca="false">Sens!G6213</f>
        <v>30.4675667338515</v>
      </c>
      <c r="H6234" s="6" t="n">
        <f aca="false">Sens!H6213</f>
        <v>33.3643766955789</v>
      </c>
      <c r="I6234" s="6" t="n">
        <f aca="false">Sens!I6213</f>
        <v>36.2577016533691</v>
      </c>
      <c r="J6234" s="6" t="n">
        <f aca="false">Sens!J6213</f>
        <v>39.0988367952171</v>
      </c>
      <c r="K6234" s="6" t="n">
        <f aca="false">Sens!K6213</f>
        <v>41.8357553708823</v>
      </c>
    </row>
    <row r="6235" customFormat="false" ht="15" hidden="false" customHeight="false" outlineLevel="0" collapsed="false">
      <c r="A6235" s="0" t="s">
        <v>793</v>
      </c>
      <c r="B6235" s="0" t="s">
        <v>95</v>
      </c>
      <c r="D6235" s="6" t="n">
        <f aca="false">Sens!D6215</f>
        <v>23.455</v>
      </c>
      <c r="E6235" s="6" t="n">
        <f aca="false">Sens!E6215</f>
        <v>21.79</v>
      </c>
      <c r="F6235" s="6" t="n">
        <f aca="false">Sens!F6215</f>
        <v>20.5736277908051</v>
      </c>
      <c r="G6235" s="6" t="n">
        <f aca="false">Sens!G6215</f>
        <v>19.7371452817919</v>
      </c>
      <c r="H6235" s="6" t="n">
        <f aca="false">Sens!H6215</f>
        <v>19.2339764043138</v>
      </c>
      <c r="I6235" s="6" t="n">
        <f aca="false">Sens!I6215</f>
        <v>19.0353086852681</v>
      </c>
      <c r="J6235" s="6" t="n">
        <f aca="false">Sens!J6215</f>
        <v>19.1273539319129</v>
      </c>
      <c r="K6235" s="6" t="n">
        <f aca="false">Sens!K6215</f>
        <v>19.5099010105511</v>
      </c>
    </row>
    <row r="6236" customFormat="false" ht="15" hidden="false" customHeight="false" outlineLevel="0" collapsed="false">
      <c r="A6236" s="0" t="s">
        <v>794</v>
      </c>
      <c r="B6236" s="0" t="s">
        <v>95</v>
      </c>
      <c r="D6236" s="6" t="n">
        <f aca="false">Sens!D6217</f>
        <v>17.315</v>
      </c>
      <c r="E6236" s="6" t="n">
        <f aca="false">Sens!E6217</f>
        <v>17.087</v>
      </c>
      <c r="F6236" s="6" t="n">
        <f aca="false">Sens!F6217</f>
        <v>16.9564585436519</v>
      </c>
      <c r="G6236" s="6" t="n">
        <f aca="false">Sens!G6217</f>
        <v>16.9206490624268</v>
      </c>
      <c r="H6236" s="6" t="n">
        <f aca="false">Sens!H6217</f>
        <v>16.9784519149849</v>
      </c>
      <c r="I6236" s="6" t="n">
        <f aca="false">Sens!I6217</f>
        <v>17.1303084701817</v>
      </c>
      <c r="J6236" s="6" t="n">
        <f aca="false">Sens!J6217</f>
        <v>17.3782189407267</v>
      </c>
      <c r="K6236" s="6" t="n">
        <f aca="false">Sens!K6217</f>
        <v>17.7257833195413</v>
      </c>
    </row>
    <row r="6237" customFormat="false" ht="15" hidden="false" customHeight="false" outlineLevel="0" collapsed="false">
      <c r="A6237" s="0" t="s">
        <v>640</v>
      </c>
      <c r="B6237" s="0" t="s">
        <v>95</v>
      </c>
      <c r="D6237" s="6" t="n">
        <f aca="false">Sens!D6219</f>
        <v>62.941</v>
      </c>
      <c r="E6237" s="6" t="n">
        <f aca="false">Sens!E6219</f>
        <v>63.712</v>
      </c>
      <c r="F6237" s="6" t="n">
        <f aca="false">Sens!F6219</f>
        <v>65.1415764563129</v>
      </c>
      <c r="G6237" s="6" t="n">
        <f aca="false">Sens!G6219</f>
        <v>67.1253610780702</v>
      </c>
      <c r="H6237" s="6" t="n">
        <f aca="false">Sens!H6219</f>
        <v>69.5768050148776</v>
      </c>
      <c r="I6237" s="6" t="n">
        <f aca="false">Sens!I6219</f>
        <v>72.4233188088189</v>
      </c>
      <c r="J6237" s="6" t="n">
        <f aca="false">Sens!J6219</f>
        <v>75.6044096678567</v>
      </c>
      <c r="K6237" s="6" t="n">
        <f aca="false">Sens!K6219</f>
        <v>79.0714397009747</v>
      </c>
    </row>
    <row r="6238" customFormat="false" ht="15" hidden="false" customHeight="false" outlineLevel="0" collapsed="false">
      <c r="A6238" s="1" t="s">
        <v>810</v>
      </c>
      <c r="B6238" s="0" t="s">
        <v>95</v>
      </c>
      <c r="D6238" s="6" t="n">
        <f aca="false">Sens!D6220</f>
        <v>281.724</v>
      </c>
      <c r="E6238" s="6" t="n">
        <f aca="false">Sens!E6220</f>
        <v>331.839</v>
      </c>
      <c r="F6238" s="6" t="n">
        <f aca="false">Sens!F6220</f>
        <v>395.605009521169</v>
      </c>
      <c r="G6238" s="6" t="n">
        <f aca="false">Sens!G6220</f>
        <v>459.095226751344</v>
      </c>
      <c r="H6238" s="6" t="n">
        <f aca="false">Sens!H6220</f>
        <v>518.633125886071</v>
      </c>
      <c r="I6238" s="6" t="n">
        <f aca="false">Sens!I6220</f>
        <v>584.087044036803</v>
      </c>
      <c r="J6238" s="6" t="n">
        <f aca="false">Sens!J6220</f>
        <v>646.870942759249</v>
      </c>
      <c r="K6238" s="6" t="n">
        <f aca="false">Sens!K6220</f>
        <v>706.449043679644</v>
      </c>
    </row>
    <row r="6239" customFormat="false" ht="15" hidden="false" customHeight="false" outlineLevel="0" collapsed="false">
      <c r="A6239" s="1" t="s">
        <v>811</v>
      </c>
      <c r="B6239" s="0" t="s">
        <v>126</v>
      </c>
      <c r="E6239" s="7" t="n">
        <f aca="false">Sens!E6238/Sens!D6238-1</f>
        <v>0.177886867998467</v>
      </c>
      <c r="F6239" s="7" t="n">
        <f aca="false">Sens!F6238/Sens!E6238-1</f>
        <v>0.19215947951015</v>
      </c>
      <c r="G6239" s="7" t="n">
        <f aca="false">Sens!G6238/Sens!F6238-1</f>
        <v>0.160488911166779</v>
      </c>
      <c r="H6239" s="7" t="n">
        <f aca="false">Sens!H6238/Sens!G6238-1</f>
        <v>0.129685293301848</v>
      </c>
      <c r="I6239" s="7" t="n">
        <f aca="false">Sens!I6238/Sens!H6238-1</f>
        <v>0.126204661607193</v>
      </c>
      <c r="J6239" s="7" t="n">
        <f aca="false">Sens!J6238/Sens!I6238-1</f>
        <v>0.107490654626624</v>
      </c>
      <c r="K6239" s="7" t="n">
        <f aca="false">Sens!K6238/Sens!J6238-1</f>
        <v>0.0921019897203341</v>
      </c>
    </row>
    <row r="6240" customFormat="false" ht="17.15" hidden="false" customHeight="false" outlineLevel="0" collapsed="false">
      <c r="A6240" s="22" t="s">
        <v>812</v>
      </c>
      <c r="B6240" s="28" t="s">
        <v>95</v>
      </c>
      <c r="C6240" s="28"/>
      <c r="D6240" s="23" t="n">
        <f aca="false">(Sens!D6233+Sens!D6237-Sens!D6238)+(Sens!D6225+Sens!D6226-Sens!D6224)+(Sens!D6228+Sens!D6229-Sens!D6227)+(Sens!D6238-Q!L18)</f>
        <v>0</v>
      </c>
      <c r="E6240" s="23" t="n">
        <f aca="false">(Sens!E6233+Sens!E6237-Sens!E6238)+(Sens!E6225+Sens!E6226-Sens!E6224)+(Sens!E6228+Sens!E6229-Sens!E6227)+(Sens!E6238-Q!M18)</f>
        <v>0</v>
      </c>
      <c r="F6240" s="23" t="n">
        <f aca="false">(Sens!F6233+Sens!F6237-Sens!F6238)+(Sens!F6225+Sens!F6226-Sens!F6224)+(Sens!F6228+Sens!F6229-Sens!F6227)</f>
        <v>0</v>
      </c>
      <c r="G6240" s="23" t="n">
        <f aca="false">(Sens!G6233+Sens!G6237-Sens!G6238)+(Sens!G6225+Sens!G6226-Sens!G6224)+(Sens!G6228+Sens!G6229-Sens!G6227)</f>
        <v>0</v>
      </c>
      <c r="H6240" s="23" t="n">
        <f aca="false">(Sens!H6233+Sens!H6237-Sens!H6238)+(Sens!H6225+Sens!H6226-Sens!H6224)+(Sens!H6228+Sens!H6229-Sens!H6227)</f>
        <v>0</v>
      </c>
      <c r="I6240" s="23" t="n">
        <f aca="false">(Sens!I6233+Sens!I6237-Sens!I6238)+(Sens!I6225+Sens!I6226-Sens!I6224)+(Sens!I6228+Sens!I6229-Sens!I6227)</f>
        <v>0</v>
      </c>
      <c r="J6240" s="23" t="n">
        <f aca="false">(Sens!J6233+Sens!J6237-Sens!J6238)+(Sens!J6225+Sens!J6226-Sens!J6224)+(Sens!J6228+Sens!J6229-Sens!J6227)</f>
        <v>0</v>
      </c>
      <c r="K6240" s="23" t="n">
        <f aca="false">(Sens!K6233+Sens!K6237-Sens!K6238)+(Sens!K6225+Sens!K6226-Sens!K6224)+(Sens!K6228+Sens!K6229-Sens!K6227)</f>
        <v>0</v>
      </c>
    </row>
    <row r="6241" customFormat="false" ht="17.15" hidden="false" customHeight="false" outlineLevel="0" collapsed="false">
      <c r="A6241" s="0" t="s">
        <v>813</v>
      </c>
      <c r="B6241" s="0" t="s">
        <v>126</v>
      </c>
      <c r="E6241" s="7" t="n">
        <f aca="false">(Q!M21+Sens!E6178+Sens!E6179+Sens!E6180+Sens!E6193-Sens!E6176)/(Q!M5-Sens!E6176)</f>
        <v>0.570957350878296</v>
      </c>
      <c r="F6241" s="7" t="n">
        <f aca="false">Sens!$E$6241+dm_seg</f>
        <v>0.570957350878296</v>
      </c>
      <c r="G6241" s="7" t="n">
        <f aca="false">Sens!$E$6241+dm_seg</f>
        <v>0.570957350878296</v>
      </c>
      <c r="H6241" s="7" t="n">
        <f aca="false">Sens!$E$6241+dm_seg</f>
        <v>0.570957350878296</v>
      </c>
      <c r="I6241" s="7" t="n">
        <f aca="false">Sens!$E$6241+dm_seg</f>
        <v>0.570957350878296</v>
      </c>
      <c r="J6241" s="7" t="n">
        <f aca="false">Sens!$E$6241+dm_seg</f>
        <v>0.570957350878296</v>
      </c>
      <c r="K6241" s="7" t="n">
        <f aca="false">Sens!$E$6241+dm_seg</f>
        <v>0.570957350878296</v>
      </c>
      <c r="L6241" s="11" t="s">
        <v>814</v>
      </c>
    </row>
    <row r="6242" customFormat="false" ht="17.15" hidden="false" customHeight="false" outlineLevel="0" collapsed="false">
      <c r="A6242" s="0" t="s">
        <v>654</v>
      </c>
      <c r="B6242" s="0" t="s">
        <v>95</v>
      </c>
      <c r="D6242" s="6" t="n">
        <f aca="false">Q!L21</f>
        <v>110.814</v>
      </c>
      <c r="E6242" s="6" t="n">
        <f aca="false">Q!M21</f>
        <v>136.365</v>
      </c>
      <c r="F6242" s="6" t="n">
        <f aca="false">Sens!F6241*(Sens!F6212-Sens!F6176)+Sens!F6176-(Sens!F6178+Sens!F6179+Sens!F6180)-Sens!F6193</f>
        <v>153.543615144321</v>
      </c>
      <c r="G6242" s="6" t="n">
        <f aca="false">Sens!G6241*(Sens!G6212-Sens!G6176)+Sens!G6176-(Sens!G6178+Sens!G6179+Sens!G6180)-Sens!G6193</f>
        <v>161.860743748546</v>
      </c>
      <c r="H6242" s="6" t="n">
        <f aca="false">Sens!H6241*(Sens!H6212-Sens!H6176)+Sens!H6176-(Sens!H6178+Sens!H6179+Sens!H6180)-Sens!H6193</f>
        <v>164.494558582105</v>
      </c>
      <c r="I6242" s="6" t="n">
        <f aca="false">Sens!I6241*(Sens!I6212-Sens!I6176)+Sens!I6176-(Sens!I6178+Sens!I6179+Sens!I6180)-Sens!I6193</f>
        <v>172.352058905935</v>
      </c>
      <c r="J6242" s="6" t="n">
        <f aca="false">Sens!J6241*(Sens!J6212-Sens!J6176)+Sens!J6176-(Sens!J6178+Sens!J6179+Sens!J6180)-Sens!J6193</f>
        <v>177.533647911047</v>
      </c>
      <c r="K6242" s="6" t="n">
        <f aca="false">Sens!K6241*(Sens!K6212-Sens!K6176)+Sens!K6176-(Sens!K6178+Sens!K6179+Sens!K6180)-Sens!K6193</f>
        <v>179.441006115164</v>
      </c>
      <c r="L6242" s="1" t="s">
        <v>815</v>
      </c>
    </row>
    <row r="6243" customFormat="false" ht="17.15" hidden="false" customHeight="false" outlineLevel="0" collapsed="false">
      <c r="A6243" s="0" t="s">
        <v>816</v>
      </c>
      <c r="B6243" s="0" t="s">
        <v>126</v>
      </c>
      <c r="E6243" s="7" t="n">
        <f aca="false">Q!M22/Q!M12</f>
        <v>0.296207935710698</v>
      </c>
      <c r="F6243" s="7" t="n">
        <f aca="false">Sens!$E$6243+dm_seg</f>
        <v>0.296207935710698</v>
      </c>
      <c r="G6243" s="7" t="n">
        <f aca="false">Sens!$E$6243+dm_seg</f>
        <v>0.296207935710698</v>
      </c>
      <c r="H6243" s="7" t="n">
        <f aca="false">Sens!$E$6243+dm_seg</f>
        <v>0.296207935710698</v>
      </c>
      <c r="I6243" s="7" t="n">
        <f aca="false">Sens!$E$6243+dm_seg</f>
        <v>0.296207935710698</v>
      </c>
      <c r="J6243" s="7" t="n">
        <f aca="false">Sens!$E$6243+dm_seg</f>
        <v>0.296207935710698</v>
      </c>
      <c r="K6243" s="7" t="n">
        <f aca="false">Sens!$E$6243+dm_seg</f>
        <v>0.296207935710698</v>
      </c>
      <c r="L6243" s="11" t="s">
        <v>817</v>
      </c>
    </row>
    <row r="6244" customFormat="false" ht="17.15" hidden="false" customHeight="false" outlineLevel="0" collapsed="false">
      <c r="A6244" s="0" t="s">
        <v>656</v>
      </c>
      <c r="B6244" s="0" t="s">
        <v>95</v>
      </c>
      <c r="D6244" s="6" t="n">
        <f aca="false">Q!L22</f>
        <v>17.714</v>
      </c>
      <c r="E6244" s="6" t="n">
        <f aca="false">Q!M22</f>
        <v>18.872</v>
      </c>
      <c r="F6244" s="6" t="n">
        <f aca="false">Sens!F6219*Sens!F6243</f>
        <v>19.2954518910651</v>
      </c>
      <c r="G6244" s="6" t="n">
        <f aca="false">Sens!G6219*Sens!G6243</f>
        <v>19.8830646387704</v>
      </c>
      <c r="H6244" s="6" t="n">
        <f aca="false">Sens!H6219*Sens!H6243</f>
        <v>20.6092017868026</v>
      </c>
      <c r="I6244" s="6" t="n">
        <f aca="false">Sens!I6219*Sens!I6243</f>
        <v>21.452361761678</v>
      </c>
      <c r="J6244" s="6" t="n">
        <f aca="false">Sens!J6219*Sens!J6243</f>
        <v>22.3946261183418</v>
      </c>
      <c r="K6244" s="6" t="n">
        <f aca="false">Sens!K6219*Sens!K6243</f>
        <v>23.4215879274986</v>
      </c>
    </row>
    <row r="6245" customFormat="false" ht="15" hidden="false" customHeight="false" outlineLevel="0" collapsed="false">
      <c r="A6245" s="1" t="s">
        <v>818</v>
      </c>
      <c r="B6245" s="0" t="s">
        <v>95</v>
      </c>
      <c r="D6245" s="6" t="n">
        <f aca="false">Sens!D6242+Sens!D6244</f>
        <v>128.528</v>
      </c>
      <c r="E6245" s="6" t="n">
        <f aca="false">Sens!E6242+Sens!E6244</f>
        <v>155.237</v>
      </c>
      <c r="F6245" s="6" t="n">
        <f aca="false">Sens!F6242+Sens!F6244</f>
        <v>172.839067035386</v>
      </c>
      <c r="G6245" s="6" t="n">
        <f aca="false">Sens!G6242+Sens!G6244</f>
        <v>181.743808387317</v>
      </c>
      <c r="H6245" s="6" t="n">
        <f aca="false">Sens!H6242+Sens!H6244</f>
        <v>185.103760368908</v>
      </c>
      <c r="I6245" s="6" t="n">
        <f aca="false">Sens!I6242+Sens!I6244</f>
        <v>193.804420667613</v>
      </c>
      <c r="J6245" s="6" t="n">
        <f aca="false">Sens!J6242+Sens!J6244</f>
        <v>199.928274029388</v>
      </c>
      <c r="K6245" s="6" t="n">
        <f aca="false">Sens!K6242+Sens!K6244</f>
        <v>202.862594042663</v>
      </c>
    </row>
    <row r="6246" customFormat="false" ht="15" hidden="false" customHeight="false" outlineLevel="0" collapsed="false">
      <c r="A6246" s="22" t="s">
        <v>819</v>
      </c>
      <c r="B6246" s="28" t="s">
        <v>95</v>
      </c>
      <c r="C6246" s="28"/>
      <c r="D6246" s="23" t="n">
        <f aca="false">Sens!D6245-Q!L23</f>
        <v>0</v>
      </c>
      <c r="E6246" s="23" t="n">
        <f aca="false">Sens!E6245-Q!M23</f>
        <v>0</v>
      </c>
      <c r="F6246" s="28"/>
      <c r="G6246" s="28"/>
      <c r="H6246" s="28"/>
      <c r="I6246" s="28"/>
      <c r="J6246" s="28"/>
      <c r="K6246" s="28"/>
    </row>
    <row r="6247" customFormat="false" ht="15" hidden="false" customHeight="false" outlineLevel="0" collapsed="false">
      <c r="A6247" s="1" t="s">
        <v>820</v>
      </c>
      <c r="B6247" s="0" t="s">
        <v>126</v>
      </c>
      <c r="D6247" s="7" t="n">
        <f aca="false">Sens!D6245/Sens!D6238</f>
        <v>0.456219562408598</v>
      </c>
      <c r="E6247" s="7" t="n">
        <f aca="false">Sens!E6245/Sens!E6238</f>
        <v>0.467808184089272</v>
      </c>
      <c r="F6247" s="7" t="n">
        <f aca="false">Sens!F6245/Sens!F6238</f>
        <v>0.436898074785723</v>
      </c>
      <c r="G6247" s="7" t="n">
        <f aca="false">Sens!G6245/Sens!G6238</f>
        <v>0.395873879311216</v>
      </c>
      <c r="H6247" s="7" t="n">
        <f aca="false">Sens!H6245/Sens!H6238</f>
        <v>0.35690693696563</v>
      </c>
      <c r="I6247" s="7" t="n">
        <f aca="false">Sens!I6245/Sens!I6238</f>
        <v>0.331807429468341</v>
      </c>
      <c r="J6247" s="7" t="n">
        <f aca="false">Sens!J6245/Sens!J6238</f>
        <v>0.309069801739104</v>
      </c>
      <c r="K6247" s="7" t="n">
        <f aca="false">Sens!K6245/Sens!K6238</f>
        <v>0.287158140926942</v>
      </c>
    </row>
    <row r="6248" customFormat="false" ht="17.15" hidden="false" customHeight="false" outlineLevel="0" collapsed="false">
      <c r="A6248" s="1" t="s">
        <v>821</v>
      </c>
      <c r="B6248" s="0" t="s">
        <v>95</v>
      </c>
      <c r="E6248" s="6" t="n">
        <f aca="false">Sens!E6193</f>
        <v>16.3054059770833</v>
      </c>
      <c r="F6248" s="6" t="n">
        <f aca="false">Sens!F6193</f>
        <v>34.7355354558698</v>
      </c>
      <c r="G6248" s="6" t="n">
        <f aca="false">Sens!G6193</f>
        <v>60.4967332603396</v>
      </c>
      <c r="H6248" s="6" t="n">
        <f aca="false">Sens!H6193</f>
        <v>87.7323159931396</v>
      </c>
      <c r="I6248" s="6" t="n">
        <f aca="false">Sens!I6193</f>
        <v>115.987181741123</v>
      </c>
      <c r="J6248" s="6" t="n">
        <f aca="false">Sens!J6193</f>
        <v>145.214277958273</v>
      </c>
      <c r="K6248" s="6" t="n">
        <f aca="false">Sens!K6193</f>
        <v>175.72892263459</v>
      </c>
    </row>
    <row r="6249" customFormat="false" ht="17.15" hidden="false" customHeight="false" outlineLevel="0" collapsed="false">
      <c r="A6249" s="1" t="s">
        <v>822</v>
      </c>
      <c r="B6249" s="0" t="s">
        <v>95</v>
      </c>
      <c r="E6249" s="6" t="n">
        <f aca="false">Sens!E6269</f>
        <v>22.2285940229167</v>
      </c>
      <c r="F6249" s="6" t="n">
        <f aca="false">Sens!F6269</f>
        <v>23.5696693435813</v>
      </c>
      <c r="G6249" s="6" t="n">
        <f aca="false">Sens!G6269</f>
        <v>25.3099917662621</v>
      </c>
      <c r="H6249" s="6" t="n">
        <f aca="false">Sens!H6269</f>
        <v>27.4181439540448</v>
      </c>
      <c r="I6249" s="6" t="n">
        <f aca="false">Sens!I6269</f>
        <v>29.8361695898047</v>
      </c>
      <c r="J6249" s="6" t="n">
        <f aca="false">Sens!J6269</f>
        <v>32.4886439558616</v>
      </c>
      <c r="K6249" s="6" t="n">
        <f aca="false">Sens!K6269</f>
        <v>35.2926498344749</v>
      </c>
    </row>
    <row r="6250" customFormat="false" ht="17.15" hidden="false" customHeight="false" outlineLevel="0" collapsed="false">
      <c r="A6250" s="1" t="s">
        <v>823</v>
      </c>
      <c r="B6250" s="0" t="s">
        <v>95</v>
      </c>
      <c r="D6250" s="6" t="n">
        <f aca="false">Q!L27</f>
        <v>-4.901</v>
      </c>
      <c r="E6250" s="6" t="n">
        <f aca="false">Q!M27</f>
        <v>10.697</v>
      </c>
      <c r="F6250" s="6" t="n">
        <f aca="false">oie_f</f>
        <v>-0.4</v>
      </c>
      <c r="G6250" s="6" t="n">
        <f aca="false">oie_f</f>
        <v>-0.4</v>
      </c>
      <c r="H6250" s="6" t="n">
        <f aca="false">oie_f</f>
        <v>-0.4</v>
      </c>
      <c r="I6250" s="6" t="n">
        <f aca="false">oie_f</f>
        <v>-0.4</v>
      </c>
      <c r="J6250" s="6" t="n">
        <f aca="false">oie_f</f>
        <v>-0.4</v>
      </c>
      <c r="K6250" s="6" t="n">
        <f aca="false">oie_f</f>
        <v>-0.4</v>
      </c>
      <c r="L6250" s="11" t="s">
        <v>824</v>
      </c>
    </row>
    <row r="6251" customFormat="false" ht="15" hidden="false" customHeight="false" outlineLevel="0" collapsed="false">
      <c r="A6251" s="1" t="s">
        <v>666</v>
      </c>
      <c r="B6251" s="0" t="s">
        <v>95</v>
      </c>
      <c r="D6251" s="6" t="n">
        <f aca="false">Sens!D6245+Sens!D6250</f>
        <v>123.627</v>
      </c>
      <c r="E6251" s="6" t="n">
        <f aca="false">Sens!E6245+Sens!E6250</f>
        <v>165.934</v>
      </c>
      <c r="F6251" s="6" t="n">
        <f aca="false">Sens!F6245+Sens!F6250</f>
        <v>172.439067035386</v>
      </c>
      <c r="G6251" s="6" t="n">
        <f aca="false">Sens!G6245+Sens!G6250</f>
        <v>181.343808387317</v>
      </c>
      <c r="H6251" s="6" t="n">
        <f aca="false">Sens!H6245+Sens!H6250</f>
        <v>184.703760368908</v>
      </c>
      <c r="I6251" s="6" t="n">
        <f aca="false">Sens!I6245+Sens!I6250</f>
        <v>193.404420667613</v>
      </c>
      <c r="J6251" s="6" t="n">
        <f aca="false">Sens!J6245+Sens!J6250</f>
        <v>199.528274029388</v>
      </c>
      <c r="K6251" s="6" t="n">
        <f aca="false">Sens!K6245+Sens!K6250</f>
        <v>202.462594042663</v>
      </c>
    </row>
    <row r="6252" customFormat="false" ht="15" hidden="false" customHeight="false" outlineLevel="0" collapsed="false">
      <c r="A6252" s="1" t="s">
        <v>668</v>
      </c>
      <c r="B6252" s="0" t="s">
        <v>95</v>
      </c>
      <c r="D6252" s="6" t="n">
        <f aca="false">Q!L29</f>
        <v>21.795</v>
      </c>
      <c r="E6252" s="6" t="n">
        <f aca="false">Q!M29</f>
        <v>32.185</v>
      </c>
      <c r="F6252" s="6" t="n">
        <f aca="false">Sens!F6251*tax_f</f>
        <v>34.4878134070772</v>
      </c>
      <c r="G6252" s="6" t="n">
        <f aca="false">Sens!G6251*tax_f</f>
        <v>36.2687616774633</v>
      </c>
      <c r="H6252" s="6" t="n">
        <f aca="false">Sens!H6251*tax_f</f>
        <v>36.9407520737815</v>
      </c>
      <c r="I6252" s="6" t="n">
        <f aca="false">Sens!I6251*tax_f</f>
        <v>38.6808841335226</v>
      </c>
      <c r="J6252" s="6" t="n">
        <f aca="false">Sens!J6251*tax_f</f>
        <v>39.9056548058777</v>
      </c>
      <c r="K6252" s="6" t="n">
        <f aca="false">Sens!K6251*tax_f</f>
        <v>40.4925188085325</v>
      </c>
    </row>
    <row r="6253" customFormat="false" ht="15" hidden="false" customHeight="false" outlineLevel="0" collapsed="false">
      <c r="A6253" s="1" t="s">
        <v>825</v>
      </c>
      <c r="B6253" s="0" t="s">
        <v>95</v>
      </c>
      <c r="D6253" s="6" t="n">
        <f aca="false">Sens!D6251-Sens!D6252</f>
        <v>101.832</v>
      </c>
      <c r="E6253" s="6" t="n">
        <f aca="false">Sens!E6251-Sens!E6252</f>
        <v>133.749</v>
      </c>
      <c r="F6253" s="6" t="n">
        <f aca="false">Sens!F6251-Sens!F6252</f>
        <v>137.951253628309</v>
      </c>
      <c r="G6253" s="6" t="n">
        <f aca="false">Sens!G6251-Sens!G6252</f>
        <v>145.075046709853</v>
      </c>
      <c r="H6253" s="6" t="n">
        <f aca="false">Sens!H6251-Sens!H6252</f>
        <v>147.763008295126</v>
      </c>
      <c r="I6253" s="6" t="n">
        <f aca="false">Sens!I6251-Sens!I6252</f>
        <v>154.723536534091</v>
      </c>
      <c r="J6253" s="6" t="n">
        <f aca="false">Sens!J6251-Sens!J6252</f>
        <v>159.622619223511</v>
      </c>
      <c r="K6253" s="6" t="n">
        <f aca="false">Sens!K6251-Sens!K6252</f>
        <v>161.97007523413</v>
      </c>
    </row>
    <row r="6254" customFormat="false" ht="17.15" hidden="false" customHeight="false" outlineLevel="0" collapsed="false">
      <c r="A6254" s="1" t="s">
        <v>826</v>
      </c>
      <c r="B6254" s="1" t="s">
        <v>79</v>
      </c>
      <c r="D6254" s="18" t="n">
        <f aca="false">Q!L31</f>
        <v>7.465</v>
      </c>
      <c r="E6254" s="18" t="n">
        <f aca="false">Q!M31</f>
        <v>7.453</v>
      </c>
      <c r="F6254" s="18" t="n">
        <f aca="false">Sens!F6291</f>
        <v>7.4735</v>
      </c>
      <c r="G6254" s="18" t="n">
        <f aca="false">Sens!G6291</f>
        <v>7.5185</v>
      </c>
      <c r="H6254" s="18" t="n">
        <f aca="false">Sens!H6291</f>
        <v>7.5572934950576</v>
      </c>
      <c r="I6254" s="18" t="n">
        <f aca="false">Sens!I6291</f>
        <v>7.58770662371298</v>
      </c>
      <c r="J6254" s="18" t="n">
        <f aca="false">Sens!J6291</f>
        <v>7.60953852227129</v>
      </c>
      <c r="K6254" s="18" t="n">
        <f aca="false">Sens!K6291</f>
        <v>7.6291953580374</v>
      </c>
    </row>
    <row r="6255" customFormat="false" ht="17.15" hidden="false" customHeight="false" outlineLevel="0" collapsed="false">
      <c r="A6255" s="0" t="s">
        <v>827</v>
      </c>
      <c r="B6255" s="0" t="s">
        <v>73</v>
      </c>
      <c r="D6255" s="8" t="n">
        <f aca="false">Sens!D6253/Sens!D6254</f>
        <v>13.641259209645</v>
      </c>
      <c r="E6255" s="8" t="n">
        <f aca="false">Sens!E6253/Sens!E6254</f>
        <v>17.9456594659869</v>
      </c>
      <c r="F6255" s="8" t="n">
        <f aca="false">Sens!F6253/Sens!F6254</f>
        <v>18.4587212990311</v>
      </c>
      <c r="G6255" s="8" t="n">
        <f aca="false">Sens!G6253/Sens!G6254</f>
        <v>19.2957433942746</v>
      </c>
      <c r="H6255" s="8" t="n">
        <f aca="false">Sens!H6253/Sens!H6254</f>
        <v>19.5523712810362</v>
      </c>
      <c r="I6255" s="8" t="n">
        <f aca="false">Sens!I6253/Sens!I6254</f>
        <v>20.3913440789278</v>
      </c>
      <c r="J6255" s="8" t="n">
        <f aca="false">Sens!J6253/Sens!J6254</f>
        <v>20.9766490775142</v>
      </c>
      <c r="K6255" s="8" t="n">
        <f aca="false">Sens!K6253/Sens!K6254</f>
        <v>21.2302959398587</v>
      </c>
      <c r="L6255" s="1" t="s">
        <v>828</v>
      </c>
    </row>
    <row r="6256" customFormat="false" ht="17.15" hidden="false" customHeight="false" outlineLevel="0" collapsed="false">
      <c r="A6256" s="0" t="s">
        <v>829</v>
      </c>
      <c r="B6256" s="0" t="s">
        <v>126</v>
      </c>
      <c r="E6256" s="7" t="n">
        <f aca="false">Sens!E6255/Sens!D6255-1</f>
        <v>0.315542736208578</v>
      </c>
      <c r="F6256" s="7" t="n">
        <f aca="false">Sens!F6255/Sens!E6255-1</f>
        <v>0.0285897452816741</v>
      </c>
      <c r="G6256" s="7" t="n">
        <f aca="false">Sens!G6255/Sens!F6255-1</f>
        <v>0.0453456163990853</v>
      </c>
      <c r="H6256" s="7" t="n">
        <f aca="false">Sens!H6255/Sens!G6255-1</f>
        <v>0.0132997149432352</v>
      </c>
      <c r="I6256" s="7" t="n">
        <f aca="false">Sens!I6255/Sens!H6255-1</f>
        <v>0.0429090050425358</v>
      </c>
      <c r="J6256" s="7" t="n">
        <f aca="false">Sens!J6255/Sens!I6255-1</f>
        <v>0.0287036007200374</v>
      </c>
      <c r="K6256" s="7" t="n">
        <f aca="false">Sens!K6255/Sens!J6255-1</f>
        <v>0.0120918675526871</v>
      </c>
    </row>
    <row r="6257" customFormat="false" ht="17.15" hidden="false" customHeight="false" outlineLevel="0" collapsed="false">
      <c r="A6257" s="0" t="s">
        <v>763</v>
      </c>
      <c r="B6257" s="0" t="s">
        <v>95</v>
      </c>
      <c r="E6257" s="6" t="n">
        <f aca="false">Sens!E6202</f>
        <v>5.25</v>
      </c>
      <c r="F6257" s="6" t="n">
        <f aca="false">Sens!F6202</f>
        <v>12.6</v>
      </c>
      <c r="G6257" s="6" t="n">
        <f aca="false">Sens!G6202</f>
        <v>16.2</v>
      </c>
      <c r="H6257" s="6" t="n">
        <f aca="false">Sens!H6202</f>
        <v>19.8</v>
      </c>
      <c r="I6257" s="6" t="n">
        <f aca="false">Sens!I6202</f>
        <v>22.5</v>
      </c>
      <c r="J6257" s="6" t="n">
        <f aca="false">Sens!J6202</f>
        <v>24.3</v>
      </c>
      <c r="K6257" s="6" t="n">
        <f aca="false">Sens!K6202</f>
        <v>26.1</v>
      </c>
    </row>
    <row r="6258" customFormat="false" ht="17.15" hidden="false" customHeight="false" outlineLevel="0" collapsed="false">
      <c r="A6258" s="0" t="s">
        <v>764</v>
      </c>
      <c r="B6258" s="0" t="s">
        <v>95</v>
      </c>
      <c r="E6258" s="6" t="n">
        <f aca="false">Sens!E6182+Sens!E6257*Sens!E6241-Sens!E6183-Sens!E6193</f>
        <v>2.1514866143068</v>
      </c>
      <c r="F6258" s="6" t="n">
        <f aca="false">Sens!F6182+Sens!F6257*Sens!F6241-Sens!F6183-Sens!F6193</f>
        <v>0.982942177228892</v>
      </c>
      <c r="G6258" s="6" t="n">
        <f aca="false">Sens!G6182+Sens!G6257*Sens!G6241-Sens!G6183-Sens!G6193</f>
        <v>-9.78135817898922</v>
      </c>
      <c r="H6258" s="6" t="n">
        <f aca="false">Sens!H6182+Sens!H6257*Sens!H6241-Sens!H6183-Sens!H6193</f>
        <v>-26.4111210967322</v>
      </c>
      <c r="I6258" s="6" t="n">
        <f aca="false">Sens!I6182+Sens!I6257*Sens!I6241-Sens!I6183-Sens!I6193</f>
        <v>-37.3292061682438</v>
      </c>
      <c r="J6258" s="6" t="n">
        <f aca="false">Sens!J6182+Sens!J6257*Sens!J6241-Sens!J6183-Sens!J6193</f>
        <v>-49.6844049374912</v>
      </c>
      <c r="K6258" s="6" t="n">
        <f aca="false">Sens!K6182+Sens!K6257*Sens!K6241-Sens!K6183-Sens!K6193</f>
        <v>-63.2983405362576</v>
      </c>
    </row>
    <row r="6259" customFormat="false" ht="17.15" hidden="false" customHeight="false" outlineLevel="0" collapsed="false">
      <c r="A6259" s="0" t="s">
        <v>765</v>
      </c>
      <c r="B6259" s="0" t="s">
        <v>95</v>
      </c>
      <c r="E6259" s="6" t="n">
        <f aca="false">Sens!E6165*(cxit_open+self_build*tk_cxfac)/1000*ai_net_open</f>
        <v>126.6980382</v>
      </c>
      <c r="F6259" s="6" t="n">
        <f aca="false">Sens!E6259+Sens!F6190-Sens!F6193</f>
        <v>260.523155514568</v>
      </c>
      <c r="G6259" s="6" t="n">
        <f aca="false">Sens!F6259+Sens!G6190-Sens!G6193</f>
        <v>383.600602737428</v>
      </c>
      <c r="H6259" s="6" t="n">
        <f aca="false">Sens!G6259+Sens!H6190-Sens!H6193</f>
        <v>483.948572654688</v>
      </c>
      <c r="I6259" s="6" t="n">
        <f aca="false">Sens!H6259+Sens!I6190-Sens!I6193</f>
        <v>586.300352170632</v>
      </c>
      <c r="J6259" s="6" t="n">
        <f aca="false">Sens!I6259+Sens!J6190-Sens!J6193</f>
        <v>674.863135136093</v>
      </c>
      <c r="K6259" s="6" t="n">
        <f aca="false">Sens!J6259+Sens!K6190-Sens!K6193</f>
        <v>777.990524451903</v>
      </c>
      <c r="L6259" s="1" t="s">
        <v>766</v>
      </c>
    </row>
    <row r="6260" customFormat="false" ht="17.15" hidden="false" customHeight="false" outlineLevel="0" collapsed="false">
      <c r="A6260" s="0" t="s">
        <v>767</v>
      </c>
      <c r="B6260" s="0" t="s">
        <v>126</v>
      </c>
      <c r="F6260" s="7" t="n">
        <f aca="false">Sens!F6258*(1-tax_f)/((Sens!E6259+Sens!F6259)/2)</f>
        <v>0.00406152222320124</v>
      </c>
      <c r="G6260" s="7" t="n">
        <f aca="false">Sens!G6258*(1-tax_f)/((Sens!F6259+Sens!G6259)/2)</f>
        <v>-0.0242968418504757</v>
      </c>
      <c r="H6260" s="7" t="n">
        <f aca="false">Sens!H6258*(1-tax_f)/((Sens!G6259+Sens!H6259)/2)</f>
        <v>-0.0487093930274002</v>
      </c>
      <c r="I6260" s="7" t="n">
        <f aca="false">Sens!I6258*(1-tax_f)/((Sens!H6259+Sens!I6259)/2)</f>
        <v>-0.0558063909094217</v>
      </c>
      <c r="J6260" s="7" t="n">
        <f aca="false">Sens!J6258*(1-tax_f)/((Sens!I6259+Sens!J6259)/2)</f>
        <v>-0.0630331029244681</v>
      </c>
      <c r="K6260" s="7" t="n">
        <f aca="false">Sens!K6258*(1-tax_f)/((Sens!J6259+Sens!K6259)/2)</f>
        <v>-0.0697092540529737</v>
      </c>
    </row>
    <row r="6261" customFormat="false" ht="17.15" hidden="false" customHeight="false" outlineLevel="0" collapsed="false">
      <c r="A6261" s="1" t="s">
        <v>768</v>
      </c>
      <c r="B6261" s="0" t="s">
        <v>126</v>
      </c>
      <c r="F6261" s="7" t="n">
        <f aca="false">Sens!F6194*(1-tax_f)/(Sens!F6181*(Sens!E6259+Sens!F6259)/2)</f>
        <v>0.0979011446671941</v>
      </c>
      <c r="G6261" s="7" t="n">
        <f aca="false">Sens!G6194*(1-tax_f)/(Sens!G6181*(Sens!F6259+Sens!G6259)/2)</f>
        <v>0.0660430318892947</v>
      </c>
      <c r="H6261" s="7" t="n">
        <f aca="false">Sens!H6194*(1-tax_f)/(Sens!H6181*(Sens!G6259+Sens!H6259)/2)</f>
        <v>0.0388536061929634</v>
      </c>
      <c r="I6261" s="7" t="n">
        <f aca="false">Sens!I6194*(1-tax_f)/(Sens!I6181*(Sens!H6259+Sens!I6259)/2)</f>
        <v>0.0398005431903578</v>
      </c>
      <c r="J6261" s="7" t="n">
        <f aca="false">Sens!J6194*(1-tax_f)/(Sens!J6181*(Sens!I6259+Sens!J6259)/2)</f>
        <v>0.0397076097214756</v>
      </c>
      <c r="K6261" s="7" t="n">
        <f aca="false">Sens!K6194*(1-tax_f)/(Sens!K6181*(Sens!J6259+Sens!K6259)/2)</f>
        <v>0.0382598400539227</v>
      </c>
    </row>
    <row r="6262" customFormat="false" ht="17.15" hidden="false" customHeight="false" outlineLevel="0" collapsed="false">
      <c r="A6262" s="0" t="s">
        <v>769</v>
      </c>
      <c r="B6262" s="0" t="s">
        <v>208</v>
      </c>
      <c r="F6262" s="7" t="n">
        <f aca="false">Sens!F6260-wacc</f>
        <v>-0.104901698927053</v>
      </c>
      <c r="G6262" s="7" t="n">
        <f aca="false">Sens!G6260-wacc</f>
        <v>-0.13326006300073</v>
      </c>
      <c r="H6262" s="7" t="n">
        <f aca="false">Sens!H6260-wacc</f>
        <v>-0.157672614177654</v>
      </c>
      <c r="I6262" s="7" t="n">
        <f aca="false">Sens!I6260-wacc</f>
        <v>-0.164769612059676</v>
      </c>
      <c r="J6262" s="7" t="n">
        <f aca="false">Sens!J6260-wacc</f>
        <v>-0.171996324074722</v>
      </c>
      <c r="K6262" s="7" t="n">
        <f aca="false">Sens!K6260-wacc</f>
        <v>-0.178672475203228</v>
      </c>
    </row>
    <row r="6263" customFormat="false" ht="17.15" hidden="false" customHeight="false" outlineLevel="0" collapsed="false">
      <c r="A6263" s="0" t="s">
        <v>770</v>
      </c>
      <c r="B6263" s="0" t="s">
        <v>95</v>
      </c>
      <c r="F6263" s="6" t="n">
        <f aca="false">Sens!F6258*(1-tax_f)-wacc*(Sens!E6259+Sens!F6259)/2</f>
        <v>-20.3100805406098</v>
      </c>
      <c r="G6263" s="6" t="n">
        <f aca="false">Sens!G6258*(1-tax_f)-wacc*(Sens!F6259+Sens!G6259)/2</f>
        <v>-42.9179863024639</v>
      </c>
      <c r="H6263" s="6" t="n">
        <f aca="false">Sens!H6258*(1-tax_f)-wacc*(Sens!G6259+Sens!H6259)/2</f>
        <v>-68.3943732058716</v>
      </c>
      <c r="I6263" s="6" t="n">
        <f aca="false">Sens!I6258*(1-tax_f)-wacc*(Sens!H6259+Sens!I6259)/2</f>
        <v>-88.1722500753766</v>
      </c>
      <c r="J6263" s="6" t="n">
        <f aca="false">Sens!J6258*(1-tax_f)-wacc*(Sens!I6259+Sens!J6259)/2</f>
        <v>-108.457741937007</v>
      </c>
      <c r="K6263" s="6" t="n">
        <f aca="false">Sens!K6258*(1-tax_f)-wacc*(Sens!J6259+Sens!K6259)/2</f>
        <v>-129.792479733327</v>
      </c>
    </row>
    <row r="6264" customFormat="false" ht="17.15" hidden="false" customHeight="false" outlineLevel="0" collapsed="false">
      <c r="A6264" s="1" t="s">
        <v>771</v>
      </c>
      <c r="B6264" s="0" t="s">
        <v>95</v>
      </c>
      <c r="F6264" s="6" t="n">
        <f aca="false">(Sens!E6166+Sens!F6166)/2*Sens!F6173/1000</f>
        <v>26.7873066765967</v>
      </c>
      <c r="G6264" s="6" t="n">
        <f aca="false">(Sens!F6166+Sens!G6166)/2*Sens!G6173/1000</f>
        <v>45.4131817597218</v>
      </c>
      <c r="H6264" s="6" t="n">
        <f aca="false">(Sens!G6166+Sens!H6166)/2*Sens!H6173/1000</f>
        <v>65.3915129357971</v>
      </c>
      <c r="I6264" s="6" t="n">
        <f aca="false">(Sens!H6166+Sens!I6166)/2*Sens!I6173/1000</f>
        <v>85.5187419289299</v>
      </c>
      <c r="J6264" s="6" t="n">
        <f aca="false">(Sens!I6166+Sens!J6166)/2*Sens!J6173/1000</f>
        <v>105.723807195006</v>
      </c>
      <c r="K6264" s="6" t="n">
        <f aca="false">(Sens!J6166+Sens!K6166)/2*Sens!K6173/1000</f>
        <v>125.974659797015</v>
      </c>
      <c r="L6264" s="1" t="s">
        <v>772</v>
      </c>
    </row>
    <row r="6265" customFormat="false" ht="17.15" hidden="false" customHeight="false" outlineLevel="0" collapsed="false">
      <c r="A6265" s="1" t="s">
        <v>773</v>
      </c>
      <c r="B6265" s="0" t="s">
        <v>126</v>
      </c>
      <c r="F6265" s="7" t="n">
        <f aca="false">(Sens!F6182+Sens!F6264-Sens!F6183-Sens!F6193)*(1-tax_f)/((Sens!E6259+Sens!F6259)/2)</f>
        <v>0.0850209092549883</v>
      </c>
      <c r="G6265" s="7" t="n">
        <f aca="false">(Sens!G6182+Sens!G6264-Sens!G6183-Sens!G6193)*(1-tax_f)/((Sens!F6259+Sens!G6259)/2)</f>
        <v>0.0655335293157941</v>
      </c>
      <c r="H6265" s="7" t="n">
        <f aca="false">(Sens!H6182+Sens!H6264-Sens!H6183-Sens!H6193)*(1-tax_f)/((Sens!G6259+Sens!H6259)/2)</f>
        <v>0.0510411390186214</v>
      </c>
      <c r="I6265" s="7" t="n">
        <f aca="false">(Sens!I6182+Sens!I6264-Sens!I6183-Sens!I6193)*(1-tax_f)/((Sens!H6259+Sens!I6259)/2)</f>
        <v>0.0528370468531035</v>
      </c>
      <c r="J6265" s="7" t="n">
        <f aca="false">(Sens!J6182+Sens!J6264-Sens!J6183-Sens!J6193)*(1-tax_f)/((Sens!I6259+Sens!J6259)/2)</f>
        <v>0.0534936370176307</v>
      </c>
      <c r="K6265" s="7" t="n">
        <f aca="false">(Sens!K6182+Sens!K6264-Sens!K6183-Sens!K6193)*(1-tax_f)/((Sens!J6259+Sens!K6259)/2)</f>
        <v>0.052612960252453</v>
      </c>
      <c r="L6265" s="1" t="s">
        <v>774</v>
      </c>
    </row>
    <row r="6266" customFormat="false" ht="17.15" hidden="false" customHeight="false" outlineLevel="0" collapsed="false">
      <c r="A6266" s="3" t="s">
        <v>1292</v>
      </c>
    </row>
    <row r="6267" customFormat="false" ht="15" hidden="false" customHeight="false" outlineLevel="0" collapsed="false">
      <c r="A6267" s="4" t="s">
        <v>43</v>
      </c>
      <c r="B6267" s="4" t="s">
        <v>63</v>
      </c>
      <c r="C6267" s="19" t="s">
        <v>710</v>
      </c>
      <c r="D6267" s="19" t="s">
        <v>711</v>
      </c>
      <c r="E6267" s="19" t="s">
        <v>712</v>
      </c>
      <c r="F6267" s="19" t="s">
        <v>713</v>
      </c>
      <c r="G6267" s="19" t="s">
        <v>714</v>
      </c>
      <c r="H6267" s="19" t="s">
        <v>715</v>
      </c>
      <c r="I6267" s="19" t="s">
        <v>716</v>
      </c>
      <c r="J6267" s="19" t="s">
        <v>717</v>
      </c>
      <c r="K6267" s="19" t="s">
        <v>718</v>
      </c>
      <c r="L6267" s="4" t="s">
        <v>47</v>
      </c>
    </row>
    <row r="6268" customFormat="false" ht="15" hidden="false" customHeight="false" outlineLevel="0" collapsed="false">
      <c r="A6268" s="1" t="s">
        <v>825</v>
      </c>
      <c r="B6268" s="0" t="s">
        <v>95</v>
      </c>
      <c r="F6268" s="6" t="n">
        <f aca="false">Sens!F6253</f>
        <v>137.951253628309</v>
      </c>
      <c r="G6268" s="6" t="n">
        <f aca="false">Sens!G6253</f>
        <v>145.075046709853</v>
      </c>
      <c r="H6268" s="6" t="n">
        <f aca="false">Sens!H6253</f>
        <v>147.763008295126</v>
      </c>
      <c r="I6268" s="6" t="n">
        <f aca="false">Sens!I6253</f>
        <v>154.723536534091</v>
      </c>
      <c r="J6268" s="6" t="n">
        <f aca="false">Sens!J6253</f>
        <v>159.622619223511</v>
      </c>
      <c r="K6268" s="6" t="n">
        <f aca="false">Sens!K6253</f>
        <v>161.97007523413</v>
      </c>
    </row>
    <row r="6269" customFormat="false" ht="17.15" hidden="false" customHeight="false" outlineLevel="0" collapsed="false">
      <c r="A6269" s="1" t="s">
        <v>843</v>
      </c>
      <c r="B6269" s="0" t="s">
        <v>95</v>
      </c>
      <c r="E6269" s="6" t="n">
        <f aca="false">Q!M38-Sens!E6193</f>
        <v>22.2285940229167</v>
      </c>
      <c r="F6269" s="6" t="n">
        <f aca="false">Sens!E6269*(1-1/life_nonai)+Sens!F6275/life_nonai</f>
        <v>23.5696693435813</v>
      </c>
      <c r="G6269" s="6" t="n">
        <f aca="false">Sens!F6269*(1-1/life_nonai)+Sens!G6275/life_nonai</f>
        <v>25.3099917662621</v>
      </c>
      <c r="H6269" s="6" t="n">
        <f aca="false">Sens!G6269*(1-1/life_nonai)+Sens!H6275/life_nonai</f>
        <v>27.4181439540448</v>
      </c>
      <c r="I6269" s="6" t="n">
        <f aca="false">Sens!H6269*(1-1/life_nonai)+Sens!I6275/life_nonai</f>
        <v>29.8361695898047</v>
      </c>
      <c r="J6269" s="6" t="n">
        <f aca="false">Sens!I6269*(1-1/life_nonai)+Sens!J6275/life_nonai</f>
        <v>32.4886439558616</v>
      </c>
      <c r="K6269" s="6" t="n">
        <f aca="false">Sens!J6269*(1-1/life_nonai)+Sens!K6275/life_nonai</f>
        <v>35.2926498344749</v>
      </c>
      <c r="L6269" s="11" t="s">
        <v>844</v>
      </c>
    </row>
    <row r="6270" customFormat="false" ht="17.15" hidden="false" customHeight="false" outlineLevel="0" collapsed="false">
      <c r="A6270" s="1" t="s">
        <v>845</v>
      </c>
      <c r="B6270" s="0" t="s">
        <v>95</v>
      </c>
      <c r="E6270" s="6" t="n">
        <f aca="false">Sens!E6193+Sens!E6269</f>
        <v>38.534</v>
      </c>
      <c r="F6270" s="6" t="n">
        <f aca="false">Sens!F6193+Sens!F6269</f>
        <v>58.3052047994511</v>
      </c>
      <c r="G6270" s="6" t="n">
        <f aca="false">Sens!G6193+Sens!G6269</f>
        <v>85.8067250266016</v>
      </c>
      <c r="H6270" s="6" t="n">
        <f aca="false">Sens!H6193+Sens!H6269</f>
        <v>115.150459947184</v>
      </c>
      <c r="I6270" s="6" t="n">
        <f aca="false">Sens!I6193+Sens!I6269</f>
        <v>145.823351330928</v>
      </c>
      <c r="J6270" s="6" t="n">
        <f aca="false">Sens!J6193+Sens!J6269</f>
        <v>177.702921914135</v>
      </c>
      <c r="K6270" s="6" t="n">
        <f aca="false">Sens!K6193+Sens!K6269</f>
        <v>211.021572469064</v>
      </c>
    </row>
    <row r="6271" customFormat="false" ht="15" hidden="false" customHeight="false" outlineLevel="0" collapsed="false">
      <c r="A6271" s="1" t="s">
        <v>685</v>
      </c>
      <c r="B6271" s="0" t="s">
        <v>95</v>
      </c>
      <c r="F6271" s="6" t="n">
        <f aca="false">Sens!F6220*sbc_r</f>
        <v>14.7887383433234</v>
      </c>
      <c r="G6271" s="6" t="n">
        <f aca="false">Sens!G6220*sbc_r</f>
        <v>17.1621668575738</v>
      </c>
      <c r="H6271" s="6" t="n">
        <f aca="false">Sens!H6220*sbc_r</f>
        <v>19.3878475001935</v>
      </c>
      <c r="I6271" s="6" t="n">
        <f aca="false">Sens!I6220*sbc_r</f>
        <v>21.8346842332473</v>
      </c>
      <c r="J6271" s="6" t="n">
        <f aca="false">Sens!J6220*sbc_r</f>
        <v>24.1817087350447</v>
      </c>
      <c r="K6271" s="6" t="n">
        <f aca="false">Sens!K6220*sbc_r</f>
        <v>26.4088922243799</v>
      </c>
    </row>
    <row r="6272" customFormat="false" ht="17.15" hidden="false" customHeight="false" outlineLevel="0" collapsed="false">
      <c r="A6272" s="1" t="s">
        <v>846</v>
      </c>
      <c r="B6272" s="0" t="s">
        <v>95</v>
      </c>
      <c r="F6272" s="6" t="n">
        <f aca="false">wc27</f>
        <v>-4.895</v>
      </c>
      <c r="G6272" s="6" t="n">
        <f aca="false">0</f>
        <v>0</v>
      </c>
      <c r="H6272" s="6" t="n">
        <f aca="false">0</f>
        <v>0</v>
      </c>
      <c r="I6272" s="6" t="n">
        <f aca="false">0</f>
        <v>0</v>
      </c>
      <c r="J6272" s="6" t="n">
        <f aca="false">0</f>
        <v>0</v>
      </c>
      <c r="K6272" s="6" t="n">
        <f aca="false">0</f>
        <v>0</v>
      </c>
      <c r="L6272" s="11" t="s">
        <v>847</v>
      </c>
    </row>
    <row r="6273" customFormat="false" ht="15" hidden="false" customHeight="false" outlineLevel="0" collapsed="false">
      <c r="A6273" s="1" t="s">
        <v>678</v>
      </c>
      <c r="B6273" s="0" t="s">
        <v>95</v>
      </c>
      <c r="E6273" s="6" t="n">
        <f aca="false">Q!M35</f>
        <v>182.935</v>
      </c>
      <c r="F6273" s="6" t="n">
        <f aca="false">Sens!F6268+Sens!F6270+Sens!F6271+Sens!F6272</f>
        <v>206.150196771083</v>
      </c>
      <c r="G6273" s="6" t="n">
        <f aca="false">Sens!G6268+Sens!G6270+Sens!G6271+Sens!G6272</f>
        <v>248.043938594029</v>
      </c>
      <c r="H6273" s="6" t="n">
        <f aca="false">Sens!H6268+Sens!H6270+Sens!H6271+Sens!H6272</f>
        <v>282.301315742504</v>
      </c>
      <c r="I6273" s="6" t="n">
        <f aca="false">Sens!I6268+Sens!I6270+Sens!I6271+Sens!I6272</f>
        <v>322.381572098266</v>
      </c>
      <c r="J6273" s="6" t="n">
        <f aca="false">Sens!J6268+Sens!J6270+Sens!J6271+Sens!J6272</f>
        <v>361.50724987269</v>
      </c>
      <c r="K6273" s="6" t="n">
        <f aca="false">Sens!K6268+Sens!K6270+Sens!K6271+Sens!K6272</f>
        <v>399.400539927574</v>
      </c>
    </row>
    <row r="6274" customFormat="false" ht="17.15" hidden="false" customHeight="false" outlineLevel="0" collapsed="false">
      <c r="A6274" s="0" t="s">
        <v>848</v>
      </c>
      <c r="B6274" s="0" t="s">
        <v>95</v>
      </c>
      <c r="F6274" s="6" t="n">
        <f aca="false">Sens!F6190</f>
        <v>168.560652770438</v>
      </c>
      <c r="G6274" s="6" t="n">
        <f aca="false">Sens!G6190</f>
        <v>183.5741804832</v>
      </c>
      <c r="H6274" s="6" t="n">
        <f aca="false">Sens!H6190</f>
        <v>188.0802859104</v>
      </c>
      <c r="I6274" s="6" t="n">
        <f aca="false">Sens!I6190</f>
        <v>218.338961257067</v>
      </c>
      <c r="J6274" s="6" t="n">
        <f aca="false">Sens!J6190</f>
        <v>233.777060923733</v>
      </c>
      <c r="K6274" s="6" t="n">
        <f aca="false">Sens!K6190</f>
        <v>278.8563119504</v>
      </c>
    </row>
    <row r="6275" customFormat="false" ht="17.15" hidden="false" customHeight="false" outlineLevel="0" collapsed="false">
      <c r="A6275" s="1" t="s">
        <v>849</v>
      </c>
      <c r="B6275" s="0" t="s">
        <v>95</v>
      </c>
      <c r="E6275" s="6" t="n">
        <f aca="false">Sens!E6198*cx_azo+Sens!E6205*cx_m365+Sens!E6206*cx_lic+(Sens!E6208+Sens!E6210)*cx_ind+Sens!E6213*cx_srch+(Sens!E6215+Sens!E6217)*cx_dev</f>
        <v>30.1846587067718</v>
      </c>
      <c r="F6275" s="6" t="n">
        <f aca="false">Sens!F6198*cx_azo+Sens!F6205*cx_m365+Sens!F6206*cx_lic+(Sens!F6208+Sens!F6210)*cx_ind+Sens!F6213*cx_srch+(Sens!F6215+Sens!F6217)*cx_dev</f>
        <v>35.6393472295625</v>
      </c>
      <c r="G6275" s="6" t="n">
        <f aca="false">Sens!G6198*cx_azo+Sens!G6205*cx_m365+Sens!G6206*cx_lic+(Sens!G6208+Sens!G6210)*cx_ind+Sens!G6213*cx_srch+(Sens!G6215+Sens!G6217)*cx_dev</f>
        <v>40.9728935703892</v>
      </c>
      <c r="H6275" s="6" t="n">
        <f aca="false">Sens!H6198*cx_azo+Sens!H6205*cx_m365+Sens!H6206*cx_lic+(Sens!H6208+Sens!H6210)*cx_ind+Sens!H6213*cx_srch+(Sens!H6215+Sens!H6217)*cx_dev</f>
        <v>46.3915136440897</v>
      </c>
      <c r="I6275" s="6" t="n">
        <f aca="false">Sens!I6198*cx_azo+Sens!I6205*cx_m365+Sens!I6206*cx_lic+(Sens!I6208+Sens!I6210)*cx_ind+Sens!I6213*cx_srch+(Sens!I6215+Sens!I6217)*cx_dev</f>
        <v>51.5984003116439</v>
      </c>
      <c r="J6275" s="6" t="n">
        <f aca="false">Sens!J6198*cx_azo+Sens!J6205*cx_m365+Sens!J6206*cx_lic+(Sens!J6208+Sens!J6210)*cx_ind+Sens!J6213*cx_srch+(Sens!J6215+Sens!J6217)*cx_dev</f>
        <v>56.3609132503738</v>
      </c>
      <c r="K6275" s="6" t="n">
        <f aca="false">Sens!K6198*cx_azo+Sens!K6205*cx_m365+Sens!K6206*cx_lic+(Sens!K6208+Sens!K6210)*cx_ind+Sens!K6213*cx_srch+(Sens!K6215+Sens!K6217)*cx_dev</f>
        <v>60.528702741994</v>
      </c>
    </row>
    <row r="6276" customFormat="false" ht="17.15" hidden="false" customHeight="false" outlineLevel="0" collapsed="false">
      <c r="A6276" s="1" t="s">
        <v>850</v>
      </c>
      <c r="B6276" s="0" t="s">
        <v>95</v>
      </c>
      <c r="E6276" s="6" t="n">
        <f aca="false">Q!M42</f>
        <v>145.3</v>
      </c>
      <c r="F6276" s="6" t="n">
        <f aca="false">Sens!F6274+Sens!F6275</f>
        <v>204.2</v>
      </c>
      <c r="G6276" s="6" t="n">
        <f aca="false">Sens!G6274+Sens!G6275</f>
        <v>224.547074053589</v>
      </c>
      <c r="H6276" s="6" t="n">
        <f aca="false">Sens!H6274+Sens!H6275</f>
        <v>234.47179955449</v>
      </c>
      <c r="I6276" s="6" t="n">
        <f aca="false">Sens!I6274+Sens!I6275</f>
        <v>269.937361568711</v>
      </c>
      <c r="J6276" s="6" t="n">
        <f aca="false">Sens!J6274+Sens!J6275</f>
        <v>290.137974174107</v>
      </c>
      <c r="K6276" s="6" t="n">
        <f aca="false">Sens!K6274+Sens!K6275</f>
        <v>339.385014692394</v>
      </c>
      <c r="L6276" s="1" t="s">
        <v>851</v>
      </c>
    </row>
    <row r="6277" customFormat="false" ht="15" hidden="false" customHeight="false" outlineLevel="0" collapsed="false">
      <c r="A6277" s="1" t="s">
        <v>852</v>
      </c>
      <c r="B6277" s="0" t="s">
        <v>95</v>
      </c>
      <c r="E6277" s="6" t="n">
        <f aca="false">fl_liab</f>
        <v>66.594</v>
      </c>
      <c r="F6277" s="6" t="n">
        <f aca="false">Sens!E6277-Sens!F6278</f>
        <v>62.46973</v>
      </c>
      <c r="G6277" s="6" t="n">
        <f aca="false">Sens!F6277-Sens!G6278</f>
        <v>57.98686785</v>
      </c>
      <c r="H6277" s="6" t="n">
        <f aca="false">Sens!G6277-Sens!H6278</f>
        <v>53.92827690325</v>
      </c>
      <c r="I6277" s="6" t="n">
        <f aca="false">Sens!H6277-Sens!I6278</f>
        <v>49.7850493638962</v>
      </c>
      <c r="J6277" s="6" t="n">
        <f aca="false">Sens!I6277-Sens!J6278</f>
        <v>45.4823765852716</v>
      </c>
      <c r="K6277" s="6" t="n">
        <f aca="false">Sens!J6277-Sens!K6278</f>
        <v>40.9860835316088</v>
      </c>
    </row>
    <row r="6278" customFormat="false" ht="15" hidden="false" customHeight="false" outlineLevel="0" collapsed="false">
      <c r="A6278" s="1" t="s">
        <v>853</v>
      </c>
      <c r="B6278" s="0" t="s">
        <v>95</v>
      </c>
      <c r="F6278" s="6" t="n">
        <f aca="false">fl_pay_27-Sens!E6277*fl_rate</f>
        <v>4.12427</v>
      </c>
      <c r="G6278" s="6" t="n">
        <f aca="false">fl_pay_28-Sens!F6277*fl_rate</f>
        <v>4.48286215</v>
      </c>
      <c r="H6278" s="6" t="n">
        <f aca="false">fl_pay_29-Sens!G6277*fl_rate</f>
        <v>4.05859094675</v>
      </c>
      <c r="I6278" s="6" t="n">
        <f aca="false">fl_pay_30-Sens!H6277*fl_rate</f>
        <v>4.14322753935375</v>
      </c>
      <c r="J6278" s="6" t="n">
        <f aca="false">fl_pay_31-Sens!I6277*fl_rate</f>
        <v>4.30267277862467</v>
      </c>
      <c r="K6278" s="6" t="n">
        <f aca="false">fl_pay_32-Sens!J6277*fl_rate</f>
        <v>4.49629305366278</v>
      </c>
    </row>
    <row r="6279" customFormat="false" ht="17.15" hidden="false" customHeight="false" outlineLevel="0" collapsed="false">
      <c r="A6279" s="1" t="s">
        <v>854</v>
      </c>
      <c r="B6279" s="0" t="s">
        <v>95</v>
      </c>
      <c r="E6279" s="6" t="n">
        <f aca="false">Q!M35-Q!M36-Q!M43</f>
        <v>63.886</v>
      </c>
      <c r="F6279" s="6" t="n">
        <f aca="false">Sens!F6273-Sens!F6276-Sens!F6278</f>
        <v>-2.17407322891675</v>
      </c>
      <c r="G6279" s="6" t="n">
        <f aca="false">Sens!G6273-Sens!G6276-Sens!G6278</f>
        <v>19.0140023904395</v>
      </c>
      <c r="H6279" s="6" t="n">
        <f aca="false">Sens!H6273-Sens!H6276-Sens!H6278</f>
        <v>43.7709252412644</v>
      </c>
      <c r="I6279" s="6" t="n">
        <f aca="false">Sens!I6273-Sens!I6276-Sens!I6278</f>
        <v>48.300982990201</v>
      </c>
      <c r="J6279" s="6" t="n">
        <f aca="false">Sens!J6273-Sens!J6276-Sens!J6278</f>
        <v>67.0666029199582</v>
      </c>
      <c r="K6279" s="6" t="n">
        <f aca="false">Sens!K6273-Sens!K6276-Sens!K6278</f>
        <v>55.5192321815177</v>
      </c>
      <c r="L6279" s="11" t="s">
        <v>855</v>
      </c>
    </row>
    <row r="6280" customFormat="false" ht="15" hidden="false" customHeight="false" outlineLevel="0" collapsed="false">
      <c r="A6280" s="1" t="s">
        <v>856</v>
      </c>
      <c r="B6280" s="0" t="s">
        <v>73</v>
      </c>
      <c r="F6280" s="8" t="n">
        <f aca="false">dps_27</f>
        <v>3.85</v>
      </c>
      <c r="G6280" s="8" t="n">
        <f aca="false">Sens!F6280*(1+dps_g)</f>
        <v>4.158</v>
      </c>
      <c r="H6280" s="8" t="n">
        <f aca="false">Sens!G6280*(1+dps_g)</f>
        <v>4.49064</v>
      </c>
      <c r="I6280" s="8" t="n">
        <f aca="false">Sens!H6280*(1+dps_g)</f>
        <v>4.8498912</v>
      </c>
      <c r="J6280" s="8" t="n">
        <f aca="false">Sens!I6280*(1+dps_g)</f>
        <v>5.237882496</v>
      </c>
      <c r="K6280" s="8" t="n">
        <f aca="false">Sens!J6280*(1+dps_g)</f>
        <v>5.65691309568</v>
      </c>
    </row>
    <row r="6281" customFormat="false" ht="17.15" hidden="false" customHeight="false" outlineLevel="0" collapsed="false">
      <c r="A6281" s="1" t="s">
        <v>857</v>
      </c>
      <c r="B6281" s="0" t="s">
        <v>95</v>
      </c>
      <c r="E6281" s="6" t="n">
        <f aca="false">Q!M41</f>
        <v>26.445</v>
      </c>
      <c r="F6281" s="6" t="n">
        <f aca="false">Sens!F6280*Sens!E6290</f>
        <v>28.59395</v>
      </c>
      <c r="G6281" s="6" t="n">
        <f aca="false">Sens!G6280*Sens!F6290</f>
        <v>31.068576</v>
      </c>
      <c r="H6281" s="6" t="n">
        <f aca="false">Sens!H6280*Sens!G6290</f>
        <v>33.75614088</v>
      </c>
      <c r="I6281" s="6" t="n">
        <f aca="false">Sens!I6280*Sens!H6290</f>
        <v>36.6146755069942</v>
      </c>
      <c r="J6281" s="6" t="n">
        <f aca="false">Sens!J6280*Sens!I6290</f>
        <v>39.6917635108973</v>
      </c>
      <c r="K6281" s="6" t="n">
        <f aca="false">Sens!K6280*Sens!J6290</f>
        <v>42.9543598170741</v>
      </c>
      <c r="L6281" s="1" t="s">
        <v>858</v>
      </c>
    </row>
    <row r="6282" customFormat="false" ht="15" hidden="false" customHeight="false" outlineLevel="0" collapsed="false">
      <c r="A6282" s="1" t="s">
        <v>859</v>
      </c>
      <c r="B6282" s="0" t="s">
        <v>95</v>
      </c>
      <c r="E6282" s="6" t="n">
        <f aca="false">Sens!E6279-Sens!E6281</f>
        <v>37.441</v>
      </c>
      <c r="F6282" s="6" t="n">
        <f aca="false">Sens!F6279-Sens!F6281</f>
        <v>-30.7680232289167</v>
      </c>
      <c r="G6282" s="6" t="n">
        <f aca="false">Sens!G6279-Sens!G6281</f>
        <v>-12.0545736095605</v>
      </c>
      <c r="H6282" s="6" t="n">
        <f aca="false">Sens!H6279-Sens!H6281</f>
        <v>10.0147843612644</v>
      </c>
      <c r="I6282" s="6" t="n">
        <f aca="false">Sens!I6279-Sens!I6281</f>
        <v>11.6863074832068</v>
      </c>
      <c r="J6282" s="6" t="n">
        <f aca="false">Sens!J6279-Sens!J6281</f>
        <v>27.3748394090609</v>
      </c>
      <c r="K6282" s="6" t="n">
        <f aca="false">Sens!K6279-Sens!K6281</f>
        <v>12.5648723644436</v>
      </c>
    </row>
    <row r="6283" customFormat="false" ht="15" hidden="false" customHeight="false" outlineLevel="0" collapsed="false">
      <c r="A6283" s="1" t="s">
        <v>860</v>
      </c>
      <c r="B6283" s="0" t="s">
        <v>95</v>
      </c>
      <c r="F6283" s="6" t="n">
        <f aca="false">debt_mat_27</f>
        <v>9.25</v>
      </c>
      <c r="G6283" s="6" t="n">
        <f aca="false">debt_mat_28</f>
        <v>0</v>
      </c>
      <c r="H6283" s="6" t="n">
        <f aca="false">debt_mat_29</f>
        <v>2.001</v>
      </c>
      <c r="I6283" s="6" t="n">
        <f aca="false">debt_mat_30</f>
        <v>0</v>
      </c>
      <c r="J6283" s="6" t="n">
        <f aca="false">debt_mat_31</f>
        <v>0.5</v>
      </c>
      <c r="K6283" s="6" t="n">
        <f aca="false">debt_mat_32</f>
        <v>0</v>
      </c>
    </row>
    <row r="6284" customFormat="false" ht="15" hidden="false" customHeight="false" outlineLevel="0" collapsed="false">
      <c r="A6284" s="1" t="s">
        <v>861</v>
      </c>
      <c r="B6284" s="0" t="s">
        <v>95</v>
      </c>
      <c r="E6284" s="6" t="n">
        <f aca="false">Q!M40</f>
        <v>22.271</v>
      </c>
      <c r="F6284" s="6" t="n">
        <f aca="false">MAX(0,MIN(bb_target,Sens!E6286+Sens!F6282-Sens!F6283-min_cash))</f>
        <v>0</v>
      </c>
      <c r="G6284" s="6" t="n">
        <f aca="false">MAX(0,MIN(bb_target,Sens!F6286+Sens!G6282-Sens!G6283-min_cash))</f>
        <v>0</v>
      </c>
      <c r="H6284" s="6" t="n">
        <f aca="false">MAX(0,MIN(bb_target,Sens!G6286+Sens!H6282-Sens!H6283-min_cash))</f>
        <v>8.01378436126436</v>
      </c>
      <c r="I6284" s="6" t="n">
        <f aca="false">MAX(0,MIN(bb_target,Sens!H6286+Sens!I6282-Sens!I6283-min_cash))</f>
        <v>11.6863074832068</v>
      </c>
      <c r="J6284" s="6" t="n">
        <f aca="false">MAX(0,MIN(bb_target,Sens!I6286+Sens!J6282-Sens!J6283-min_cash))</f>
        <v>22.271</v>
      </c>
      <c r="K6284" s="6" t="n">
        <f aca="false">MAX(0,MIN(bb_target,Sens!J6286+Sens!K6282-Sens!K6283-min_cash))</f>
        <v>17.1687117735046</v>
      </c>
    </row>
    <row r="6285" customFormat="false" ht="15" hidden="false" customHeight="false" outlineLevel="0" collapsed="false">
      <c r="A6285" s="1" t="s">
        <v>862</v>
      </c>
      <c r="B6285" s="0" t="s">
        <v>95</v>
      </c>
      <c r="F6285" s="6" t="n">
        <f aca="false">MAX(0,min_cash-(Sens!E6286+Sens!F6282-Sens!F6283-Sens!F6284))</f>
        <v>13.1750232289167</v>
      </c>
      <c r="G6285" s="6" t="n">
        <f aca="false">MAX(0,min_cash-(Sens!F6286+Sens!G6282-Sens!G6283-Sens!G6284))</f>
        <v>12.0545736095605</v>
      </c>
      <c r="H6285" s="6" t="n">
        <f aca="false">MAX(0,min_cash-(Sens!G6286+Sens!H6282-Sens!H6283-Sens!H6284))</f>
        <v>0</v>
      </c>
      <c r="I6285" s="6" t="n">
        <f aca="false">MAX(0,min_cash-(Sens!H6286+Sens!I6282-Sens!I6283-Sens!I6284))</f>
        <v>0</v>
      </c>
      <c r="J6285" s="6" t="n">
        <f aca="false">MAX(0,min_cash-(Sens!I6286+Sens!J6282-Sens!J6283-Sens!J6284))</f>
        <v>0</v>
      </c>
      <c r="K6285" s="6" t="n">
        <f aca="false">MAX(0,min_cash-(Sens!J6286+Sens!K6282-Sens!K6283-Sens!K6284))</f>
        <v>0</v>
      </c>
    </row>
    <row r="6286" customFormat="false" ht="15" hidden="false" customHeight="false" outlineLevel="0" collapsed="false">
      <c r="A6286" s="1" t="s">
        <v>863</v>
      </c>
      <c r="B6286" s="0" t="s">
        <v>95</v>
      </c>
      <c r="E6286" s="6" t="n">
        <f aca="false">cash_open</f>
        <v>76.843</v>
      </c>
      <c r="F6286" s="6" t="n">
        <f aca="false">Sens!E6286+Sens!F6282-Sens!F6283-Sens!F6284+Sens!F6285</f>
        <v>50</v>
      </c>
      <c r="G6286" s="6" t="n">
        <f aca="false">Sens!F6286+Sens!G6282-Sens!G6283-Sens!G6284+Sens!G6285</f>
        <v>50</v>
      </c>
      <c r="H6286" s="6" t="n">
        <f aca="false">Sens!G6286+Sens!H6282-Sens!H6283-Sens!H6284+Sens!H6285</f>
        <v>50</v>
      </c>
      <c r="I6286" s="6" t="n">
        <f aca="false">Sens!H6286+Sens!I6282-Sens!I6283-Sens!I6284+Sens!I6285</f>
        <v>50</v>
      </c>
      <c r="J6286" s="6" t="n">
        <f aca="false">Sens!I6286+Sens!J6282-Sens!J6283-Sens!J6284+Sens!J6285</f>
        <v>54.6038394090609</v>
      </c>
      <c r="K6286" s="6" t="n">
        <f aca="false">Sens!J6286+Sens!K6282-Sens!K6283-Sens!K6284+Sens!K6285</f>
        <v>50</v>
      </c>
    </row>
    <row r="6287" customFormat="false" ht="15" hidden="false" customHeight="false" outlineLevel="0" collapsed="false">
      <c r="A6287" s="1" t="s">
        <v>864</v>
      </c>
      <c r="B6287" s="0" t="s">
        <v>95</v>
      </c>
      <c r="E6287" s="6" t="n">
        <f aca="false">debt_face</f>
        <v>46.136</v>
      </c>
      <c r="F6287" s="6" t="n">
        <f aca="false">Sens!E6287-Sens!F6283+Sens!F6285</f>
        <v>50.0610232289167</v>
      </c>
      <c r="G6287" s="6" t="n">
        <f aca="false">Sens!F6287-Sens!G6283+Sens!G6285</f>
        <v>62.1155968384772</v>
      </c>
      <c r="H6287" s="6" t="n">
        <f aca="false">Sens!G6287-Sens!H6283+Sens!H6285</f>
        <v>60.1145968384772</v>
      </c>
      <c r="I6287" s="6" t="n">
        <f aca="false">Sens!H6287-Sens!I6283+Sens!I6285</f>
        <v>60.1145968384772</v>
      </c>
      <c r="J6287" s="6" t="n">
        <f aca="false">Sens!I6287-Sens!J6283+Sens!J6285</f>
        <v>59.6145968384772</v>
      </c>
      <c r="K6287" s="6" t="n">
        <f aca="false">Sens!J6287-Sens!K6283+Sens!K6285</f>
        <v>59.6145968384772</v>
      </c>
    </row>
    <row r="6288" customFormat="false" ht="15" hidden="false" customHeight="false" outlineLevel="0" collapsed="false">
      <c r="A6288" s="1" t="s">
        <v>865</v>
      </c>
      <c r="B6288" s="0" t="s">
        <v>95</v>
      </c>
      <c r="E6288" s="6" t="n">
        <f aca="false">Sens!E6286-Sens!E6287</f>
        <v>30.707</v>
      </c>
      <c r="F6288" s="6" t="n">
        <f aca="false">Sens!F6286-Sens!F6287</f>
        <v>-0.0610232289167456</v>
      </c>
      <c r="G6288" s="6" t="n">
        <f aca="false">Sens!G6286-Sens!G6287</f>
        <v>-12.1155968384772</v>
      </c>
      <c r="H6288" s="6" t="n">
        <f aca="false">Sens!H6286-Sens!H6287</f>
        <v>-10.1145968384772</v>
      </c>
      <c r="I6288" s="6" t="n">
        <f aca="false">Sens!I6286-Sens!I6287</f>
        <v>-10.1145968384772</v>
      </c>
      <c r="J6288" s="6" t="n">
        <f aca="false">Sens!J6286-Sens!J6287</f>
        <v>-5.01075742941633</v>
      </c>
      <c r="K6288" s="6" t="n">
        <f aca="false">Sens!K6286-Sens!K6287</f>
        <v>-9.61459683847724</v>
      </c>
    </row>
    <row r="6289" customFormat="false" ht="15" hidden="false" customHeight="false" outlineLevel="0" collapsed="false">
      <c r="A6289" s="1" t="s">
        <v>866</v>
      </c>
      <c r="B6289" s="0" t="s">
        <v>73</v>
      </c>
      <c r="F6289" s="27" t="n">
        <f aca="false">px*(1+bb_g)^(1-0.5)</f>
        <v>553.494156066711</v>
      </c>
      <c r="G6289" s="27" t="n">
        <f aca="false">px*(1+bb_g)^(2-0.5)</f>
        <v>597.773688552047</v>
      </c>
      <c r="H6289" s="27" t="n">
        <f aca="false">px*(1+bb_g)^(3-0.5)</f>
        <v>645.595583636211</v>
      </c>
      <c r="I6289" s="27" t="n">
        <f aca="false">px*(1+bb_g)^(4-0.5)</f>
        <v>697.243230327108</v>
      </c>
      <c r="J6289" s="27" t="n">
        <f aca="false">px*(1+bb_g)^(5-0.5)</f>
        <v>753.022688753277</v>
      </c>
      <c r="K6289" s="27" t="n">
        <f aca="false">px*(1+bb_g)^(6-0.5)</f>
        <v>813.264503853539</v>
      </c>
    </row>
    <row r="6290" customFormat="false" ht="15" hidden="false" customHeight="false" outlineLevel="0" collapsed="false">
      <c r="A6290" s="1" t="s">
        <v>867</v>
      </c>
      <c r="B6290" s="1" t="s">
        <v>79</v>
      </c>
      <c r="E6290" s="18" t="n">
        <f aca="false">sh_out26</f>
        <v>7.427</v>
      </c>
      <c r="F6290" s="18" t="n">
        <f aca="false">Sens!E6290+sh_iss-Sens!F6284/Sens!F6289</f>
        <v>7.472</v>
      </c>
      <c r="G6290" s="18" t="n">
        <f aca="false">Sens!F6290+sh_iss-Sens!G6284/Sens!G6289</f>
        <v>7.517</v>
      </c>
      <c r="H6290" s="18" t="n">
        <f aca="false">Sens!G6290+sh_iss-Sens!H6284/Sens!H6289</f>
        <v>7.54958699011519</v>
      </c>
      <c r="I6290" s="18" t="n">
        <f aca="false">Sens!H6290+sh_iss-Sens!I6284/Sens!I6289</f>
        <v>7.57782625731077</v>
      </c>
      <c r="J6290" s="18" t="n">
        <f aca="false">Sens!I6290+sh_iss-Sens!J6284/Sens!J6289</f>
        <v>7.59325078723181</v>
      </c>
      <c r="K6290" s="18" t="n">
        <f aca="false">Sens!J6290+sh_iss-Sens!K6284/Sens!K6289</f>
        <v>7.61713992884299</v>
      </c>
    </row>
    <row r="6291" customFormat="false" ht="15" hidden="false" customHeight="false" outlineLevel="0" collapsed="false">
      <c r="A6291" s="1" t="s">
        <v>868</v>
      </c>
      <c r="B6291" s="1" t="s">
        <v>79</v>
      </c>
      <c r="E6291" s="18" t="n">
        <f aca="false">sh_dil26</f>
        <v>7.453</v>
      </c>
      <c r="F6291" s="18" t="n">
        <f aca="false">(Sens!E6290+Sens!F6290)/2+dil_gap</f>
        <v>7.4735</v>
      </c>
      <c r="G6291" s="18" t="n">
        <f aca="false">(Sens!F6290+Sens!G6290)/2+dil_gap</f>
        <v>7.5185</v>
      </c>
      <c r="H6291" s="18" t="n">
        <f aca="false">(Sens!G6290+Sens!H6290)/2+dil_gap</f>
        <v>7.5572934950576</v>
      </c>
      <c r="I6291" s="18" t="n">
        <f aca="false">(Sens!H6290+Sens!I6290)/2+dil_gap</f>
        <v>7.58770662371298</v>
      </c>
      <c r="J6291" s="18" t="n">
        <f aca="false">(Sens!I6290+Sens!J6290)/2+dil_gap</f>
        <v>7.60953852227129</v>
      </c>
      <c r="K6291" s="18" t="n">
        <f aca="false">(Sens!J6290+Sens!K6290)/2+dil_gap</f>
        <v>7.6291953580374</v>
      </c>
    </row>
    <row r="6292" customFormat="false" ht="17.15" hidden="false" customHeight="false" outlineLevel="0" collapsed="false">
      <c r="A6292" s="1" t="s">
        <v>869</v>
      </c>
      <c r="B6292" s="0" t="s">
        <v>95</v>
      </c>
      <c r="C6292" s="6" t="n">
        <f aca="false">SUM(Sens!F6282:J6282)</f>
        <v>6.25333441505487</v>
      </c>
    </row>
    <row r="6293" customFormat="false" ht="17.15" hidden="false" customHeight="false" outlineLevel="0" collapsed="false">
      <c r="A6293" s="1" t="s">
        <v>836</v>
      </c>
      <c r="B6293" s="1" t="s">
        <v>870</v>
      </c>
      <c r="C6293" s="30" t="str">
        <f aca="false">IF(SUM(Sens!F6285:J6285)&gt;0.05,"需要舉債 "&amp;TEXT(SUM(Sens!F6285:J6285),"0.0")&amp;" 十億美元","不需舉債")&amp;"；"&amp;IF(SUM(Sens!F6284:J6284)&lt;5*bb_target-0.05,"回購較每年 "&amp;TEXT(bb_target,"0.0")&amp;" 的目標少 "&amp;TEXT(5*bb_target-SUM(Sens!F6284:J6284),"0.0")&amp;" 十億美元（"&amp;TEXT(COUNTIF(Sens!F6284:J6284,"&lt;"&amp;(bb_target-0.05)),"0")&amp;" 年減少）","回購不減")</f>
        <v>需要舉債 25.2 十億美元；回購較每年 22.3 的目標少 69.4 十億美元（4 年減少）</v>
      </c>
    </row>
    <row r="6294" customFormat="false" ht="17.15" hidden="false" customHeight="false" outlineLevel="0" collapsed="false">
      <c r="A6294" s="3" t="s">
        <v>1293</v>
      </c>
    </row>
    <row r="6295" customFormat="false" ht="15" hidden="false" customHeight="false" outlineLevel="0" collapsed="false">
      <c r="A6295" s="4" t="s">
        <v>43</v>
      </c>
      <c r="B6295" s="4" t="s">
        <v>63</v>
      </c>
      <c r="C6295" s="19" t="s">
        <v>710</v>
      </c>
      <c r="D6295" s="19" t="s">
        <v>711</v>
      </c>
      <c r="E6295" s="19" t="s">
        <v>712</v>
      </c>
      <c r="F6295" s="19" t="s">
        <v>713</v>
      </c>
      <c r="G6295" s="19" t="s">
        <v>714</v>
      </c>
      <c r="H6295" s="19" t="s">
        <v>715</v>
      </c>
      <c r="I6295" s="19" t="s">
        <v>716</v>
      </c>
      <c r="J6295" s="19" t="s">
        <v>717</v>
      </c>
      <c r="K6295" s="19" t="s">
        <v>718</v>
      </c>
      <c r="L6295" s="4" t="s">
        <v>47</v>
      </c>
    </row>
    <row r="6296" customFormat="false" ht="17.15" hidden="false" customHeight="false" outlineLevel="0" collapsed="false">
      <c r="A6296" s="1" t="s">
        <v>938</v>
      </c>
      <c r="B6296" s="1" t="s">
        <v>213</v>
      </c>
      <c r="F6296" s="34" t="n">
        <f aca="false">1-0.5</f>
        <v>0.5</v>
      </c>
      <c r="G6296" s="34" t="n">
        <f aca="false">2-0.5</f>
        <v>1.5</v>
      </c>
      <c r="H6296" s="34" t="n">
        <f aca="false">3-0.5</f>
        <v>2.5</v>
      </c>
      <c r="I6296" s="34" t="n">
        <f aca="false">4-0.5</f>
        <v>3.5</v>
      </c>
      <c r="J6296" s="34" t="n">
        <f aca="false">5-0.5</f>
        <v>4.5</v>
      </c>
      <c r="K6296" s="34" t="n">
        <f aca="false">6-0.5</f>
        <v>5.5</v>
      </c>
    </row>
    <row r="6297" customFormat="false" ht="15" hidden="false" customHeight="false" outlineLevel="0" collapsed="false">
      <c r="A6297" s="1" t="s">
        <v>939</v>
      </c>
      <c r="B6297" s="0" t="s">
        <v>182</v>
      </c>
      <c r="F6297" s="18" t="n">
        <f aca="false">1/(1+wacc)^Sens!F6296</f>
        <v>0.949601579913219</v>
      </c>
      <c r="G6297" s="18" t="n">
        <f aca="false">1/(1+wacc)^Sens!G6296</f>
        <v>0.856296729956707</v>
      </c>
      <c r="H6297" s="18" t="n">
        <f aca="false">1/(1+wacc)^Sens!H6296</f>
        <v>0.772159719660069</v>
      </c>
      <c r="I6297" s="18" t="n">
        <f aca="false">1/(1+wacc)^Sens!I6296</f>
        <v>0.696289746073958</v>
      </c>
      <c r="J6297" s="18" t="n">
        <f aca="false">1/(1+wacc)^Sens!J6296</f>
        <v>0.627874516299776</v>
      </c>
      <c r="K6297" s="18" t="n">
        <f aca="false">1/(1+wacc)^Sens!K6296</f>
        <v>0.566181550771831</v>
      </c>
    </row>
    <row r="6298" customFormat="false" ht="15" hidden="false" customHeight="false" outlineLevel="0" collapsed="false">
      <c r="A6298" s="1" t="s">
        <v>940</v>
      </c>
      <c r="B6298" s="0" t="s">
        <v>95</v>
      </c>
      <c r="F6298" s="6" t="n">
        <f aca="false">Sens!F6279*Sens!F6297</f>
        <v>-2.06450337302637</v>
      </c>
      <c r="G6298" s="6" t="n">
        <f aca="false">Sens!G6279*Sens!G6297</f>
        <v>16.2816280703224</v>
      </c>
      <c r="H6298" s="6" t="n">
        <f aca="false">Sens!H6279*Sens!H6297</f>
        <v>33.7981453635565</v>
      </c>
      <c r="I6298" s="6" t="n">
        <f aca="false">Sens!I6279*Sens!I6297</f>
        <v>33.6314791813696</v>
      </c>
      <c r="J6298" s="6" t="n">
        <f aca="false">Sens!J6279*Sens!J6297</f>
        <v>42.1094108682379</v>
      </c>
      <c r="K6298" s="6" t="n">
        <f aca="false">Sens!K6279*Sens!K6297</f>
        <v>31.4339649741931</v>
      </c>
    </row>
    <row r="6299" customFormat="false" ht="17.15" hidden="false" customHeight="false" outlineLevel="0" collapsed="false">
      <c r="A6299" s="1" t="s">
        <v>941</v>
      </c>
      <c r="B6299" s="0" t="s">
        <v>95</v>
      </c>
      <c r="C6299" s="6" t="n">
        <f aca="false">SUM(Sens!F6298:K6298)</f>
        <v>155.190125084653</v>
      </c>
    </row>
    <row r="6300" customFormat="false" ht="17.15" hidden="false" customHeight="false" outlineLevel="0" collapsed="false">
      <c r="A6300" s="1" t="s">
        <v>942</v>
      </c>
      <c r="B6300" s="0" t="s">
        <v>95</v>
      </c>
      <c r="C6300" s="6" t="n">
        <f aca="false">Sens!K6245*(1+g_tv)*(1-tax_f)</f>
        <v>167.158777491154</v>
      </c>
    </row>
    <row r="6301" customFormat="false" ht="17.15" hidden="false" customHeight="false" outlineLevel="0" collapsed="false">
      <c r="A6301" s="1" t="s">
        <v>943</v>
      </c>
      <c r="B6301" s="0" t="s">
        <v>95</v>
      </c>
      <c r="C6301" s="6" t="n">
        <f aca="false">Sens!$C$6300*(1-g_tv/(wacc+ronic_prem))</f>
        <v>121.136245559765</v>
      </c>
    </row>
    <row r="6302" customFormat="false" ht="17.15" hidden="false" customHeight="false" outlineLevel="0" collapsed="false">
      <c r="A6302" s="1" t="s">
        <v>944</v>
      </c>
      <c r="B6302" s="0" t="s">
        <v>95</v>
      </c>
      <c r="C6302" s="6" t="n">
        <f aca="false">Sens!$C$6301/(wacc-g_tv)</f>
        <v>1534.08439771298</v>
      </c>
    </row>
    <row r="6303" customFormat="false" ht="15" hidden="false" customHeight="false" outlineLevel="0" collapsed="false">
      <c r="A6303" s="1" t="s">
        <v>945</v>
      </c>
      <c r="B6303" s="0" t="s">
        <v>95</v>
      </c>
      <c r="C6303" s="6" t="n">
        <f aca="false">Sens!$C$6302/(1+wacc)^6</f>
        <v>824.795713298755</v>
      </c>
    </row>
    <row r="6304" customFormat="false" ht="17.15" hidden="false" customHeight="false" outlineLevel="0" collapsed="false">
      <c r="A6304" s="0" t="s">
        <v>877</v>
      </c>
      <c r="B6304" s="0" t="s">
        <v>95</v>
      </c>
      <c r="C6304" s="6" t="n">
        <f aca="false">Sens!$C$6299+Sens!$C$6303</f>
        <v>979.985838383409</v>
      </c>
    </row>
    <row r="6305" customFormat="false" ht="15" hidden="false" customHeight="false" outlineLevel="0" collapsed="false">
      <c r="A6305" s="1" t="s">
        <v>878</v>
      </c>
      <c r="B6305" s="0" t="s">
        <v>126</v>
      </c>
      <c r="C6305" s="7" t="n">
        <f aca="false">Sens!$C$6303/Sens!$C$6304</f>
        <v>0.841640441110194</v>
      </c>
    </row>
    <row r="6306" customFormat="false" ht="17.15" hidden="false" customHeight="false" outlineLevel="0" collapsed="false">
      <c r="A6306" s="1" t="s">
        <v>946</v>
      </c>
      <c r="B6306" s="0" t="s">
        <v>95</v>
      </c>
      <c r="C6306" s="6" t="n">
        <f aca="false">Sens!$C$6304+Sens!E6288+oai_v</f>
        <v>1181.09283838341</v>
      </c>
    </row>
    <row r="6307" customFormat="false" ht="17.15" hidden="false" customHeight="false" outlineLevel="0" collapsed="false">
      <c r="A6307" s="0" t="s">
        <v>883</v>
      </c>
      <c r="B6307" s="0" t="s">
        <v>73</v>
      </c>
      <c r="C6307" s="5" t="n">
        <f aca="false">Sens!$C$6306/sh_dil26</f>
        <v>158.472137177433</v>
      </c>
    </row>
    <row r="6308" customFormat="false" ht="17.15" hidden="false" customHeight="false" outlineLevel="0" collapsed="false">
      <c r="A6308" s="0" t="s">
        <v>947</v>
      </c>
      <c r="B6308" s="0" t="s">
        <v>73</v>
      </c>
      <c r="C6308" s="5" t="n">
        <f aca="false">Sens!$C$6307*(1+wacc)^t_roll</f>
        <v>181.766680959484</v>
      </c>
    </row>
    <row r="6309" customFormat="false" ht="17.15" hidden="false" customHeight="false" outlineLevel="0" collapsed="false">
      <c r="A6309" s="1" t="s">
        <v>948</v>
      </c>
      <c r="B6309" s="0" t="s">
        <v>126</v>
      </c>
      <c r="F6309" s="7" t="n">
        <f aca="false">Sens!F6269/(Sens!F6220-Sens!F6176)</f>
        <v>0.068329151883778</v>
      </c>
      <c r="G6309" s="7" t="n">
        <f aca="false">Sens!G6269/(Sens!G6220-Sens!G6176)</f>
        <v>0.0659205451160637</v>
      </c>
      <c r="H6309" s="7" t="n">
        <f aca="false">Sens!H6269/(Sens!H6220-Sens!H6176)</f>
        <v>0.0647054978069228</v>
      </c>
      <c r="I6309" s="7" t="n">
        <f aca="false">Sens!I6269/(Sens!I6220-Sens!I6176)</f>
        <v>0.0645569258482102</v>
      </c>
      <c r="J6309" s="7" t="n">
        <f aca="false">Sens!J6269/(Sens!J6220-Sens!J6176)</f>
        <v>0.065256038989916</v>
      </c>
      <c r="K6309" s="7" t="n">
        <f aca="false">Sens!K6269/(Sens!K6220-Sens!K6176)</f>
        <v>0.0665502406837876</v>
      </c>
    </row>
    <row r="6310" customFormat="false" ht="17.15" hidden="false" customHeight="false" outlineLevel="0" collapsed="false">
      <c r="A6310" s="0" t="s">
        <v>949</v>
      </c>
      <c r="B6310" s="0" t="s">
        <v>95</v>
      </c>
      <c r="F6310" s="6" t="n">
        <f aca="false">Sens!F6205*(al_m365+Sens!F6309)</f>
        <v>79.8602461727929</v>
      </c>
      <c r="G6310" s="6" t="n">
        <f aca="false">Sens!G6205*(al_m365+Sens!G6309)</f>
        <v>90.0618703771164</v>
      </c>
      <c r="H6310" s="6" t="n">
        <f aca="false">Sens!H6205*(al_m365+Sens!H6309)</f>
        <v>100.421951379875</v>
      </c>
      <c r="I6310" s="6" t="n">
        <f aca="false">Sens!I6205*(al_m365+Sens!I6309)</f>
        <v>110.206151896525</v>
      </c>
      <c r="J6310" s="6" t="n">
        <f aca="false">Sens!J6205*(al_m365+Sens!J6309)</f>
        <v>119.235637912515</v>
      </c>
      <c r="K6310" s="6" t="n">
        <f aca="false">Sens!K6205*(al_m365+Sens!K6309)</f>
        <v>127.896321736489</v>
      </c>
    </row>
    <row r="6311" customFormat="false" ht="17.15" hidden="false" customHeight="false" outlineLevel="0" collapsed="false">
      <c r="A6311" s="0" t="s">
        <v>950</v>
      </c>
      <c r="B6311" s="0" t="s">
        <v>95</v>
      </c>
      <c r="F6311" s="6" t="n">
        <f aca="false">Sens!F6206*(al_lic+Sens!F6309)</f>
        <v>31.9738248981985</v>
      </c>
      <c r="G6311" s="6" t="n">
        <f aca="false">Sens!G6206*(al_lic+Sens!G6309)</f>
        <v>33.2296394459429</v>
      </c>
      <c r="H6311" s="6" t="n">
        <f aca="false">Sens!H6206*(al_lic+Sens!H6309)</f>
        <v>34.3997980192002</v>
      </c>
      <c r="I6311" s="6" t="n">
        <f aca="false">Sens!I6206*(al_lic+Sens!I6309)</f>
        <v>35.4656446688834</v>
      </c>
      <c r="J6311" s="6" t="n">
        <f aca="false">Sens!J6206*(al_lic+Sens!J6309)</f>
        <v>36.4042892656619</v>
      </c>
      <c r="K6311" s="6" t="n">
        <f aca="false">Sens!K6206*(al_lic+Sens!K6309)</f>
        <v>37.1913219098638</v>
      </c>
    </row>
    <row r="6312" customFormat="false" ht="17.15" hidden="false" customHeight="false" outlineLevel="0" collapsed="false">
      <c r="A6312" s="0" t="s">
        <v>951</v>
      </c>
      <c r="B6312" s="0" t="s">
        <v>95</v>
      </c>
      <c r="F6312" s="6" t="n">
        <f aca="false">Sens!F6208*(al_ind+Sens!F6309)</f>
        <v>8.23481600144216</v>
      </c>
      <c r="G6312" s="6" t="n">
        <f aca="false">Sens!G6208*(al_ind+Sens!G6309)</f>
        <v>8.94280993961449</v>
      </c>
      <c r="H6312" s="6" t="n">
        <f aca="false">Sens!H6208*(al_ind+Sens!H6309)</f>
        <v>9.69161285703211</v>
      </c>
      <c r="I6312" s="6" t="n">
        <f aca="false">Sens!I6208*(al_ind+Sens!I6309)</f>
        <v>10.4778096842875</v>
      </c>
      <c r="J6312" s="6" t="n">
        <f aca="false">Sens!J6208*(al_ind+Sens!J6309)</f>
        <v>11.2934444416338</v>
      </c>
      <c r="K6312" s="6" t="n">
        <f aca="false">Sens!K6208*(al_ind+Sens!K6309)</f>
        <v>12.1268024067584</v>
      </c>
    </row>
    <row r="6313" customFormat="false" ht="17.15" hidden="false" customHeight="false" outlineLevel="0" collapsed="false">
      <c r="A6313" s="0" t="s">
        <v>952</v>
      </c>
      <c r="B6313" s="0" t="s">
        <v>95</v>
      </c>
      <c r="F6313" s="6" t="n">
        <f aca="false">Sens!F6210*(al_fro+Sens!F6309)</f>
        <v>3.24125248896733</v>
      </c>
      <c r="G6313" s="6" t="n">
        <f aca="false">Sens!G6210*(al_fro+Sens!G6309)</f>
        <v>3.43351030292329</v>
      </c>
      <c r="H6313" s="6" t="n">
        <f aca="false">Sens!H6210*(al_fro+Sens!H6309)</f>
        <v>3.65213144473042</v>
      </c>
      <c r="I6313" s="6" t="n">
        <f aca="false">Sens!I6210*(al_fro+Sens!I6309)</f>
        <v>3.89941432282353</v>
      </c>
      <c r="J6313" s="6" t="n">
        <f aca="false">Sens!J6210*(al_fro+Sens!J6309)</f>
        <v>4.17674976078078</v>
      </c>
      <c r="K6313" s="6" t="n">
        <f aca="false">Sens!K6210*(al_fro+Sens!K6309)</f>
        <v>4.48495756217103</v>
      </c>
    </row>
    <row r="6314" customFormat="false" ht="17.15" hidden="false" customHeight="false" outlineLevel="0" collapsed="false">
      <c r="A6314" s="0" t="s">
        <v>953</v>
      </c>
      <c r="B6314" s="0" t="s">
        <v>95</v>
      </c>
      <c r="F6314" s="6" t="n">
        <f aca="false">Sens!F6213*(al_srch+Sens!F6309)</f>
        <v>10.1701167388305</v>
      </c>
      <c r="G6314" s="6" t="n">
        <f aca="false">Sens!G6213*(al_srch+Sens!G6309)</f>
        <v>11.148708627611</v>
      </c>
      <c r="H6314" s="6" t="n">
        <f aca="false">Sens!H6213*(al_srch+Sens!H6309)</f>
        <v>12.1681716117788</v>
      </c>
      <c r="I6314" s="6" t="n">
        <f aca="false">Sens!I6213*(al_srch+Sens!I6309)</f>
        <v>13.2179962530738</v>
      </c>
      <c r="J6314" s="6" t="n">
        <f aca="false">Sens!J6213*(al_srch+Sens!J6309)</f>
        <v>14.2810862569342</v>
      </c>
      <c r="K6314" s="6" t="n">
        <f aca="false">Sens!K6213*(al_srch+Sens!K6309)</f>
        <v>15.3349062003849</v>
      </c>
    </row>
    <row r="6315" customFormat="false" ht="17.15" hidden="false" customHeight="false" outlineLevel="0" collapsed="false">
      <c r="A6315" s="0" t="s">
        <v>954</v>
      </c>
      <c r="B6315" s="0" t="s">
        <v>95</v>
      </c>
      <c r="F6315" s="6" t="n">
        <f aca="false">Sens!F6182</f>
        <v>35.0573455625419</v>
      </c>
      <c r="G6315" s="6" t="n">
        <f aca="false">Sens!G6182</f>
        <v>52.2504971712871</v>
      </c>
      <c r="H6315" s="6" t="n">
        <f aca="false">Sens!H6182</f>
        <v>65.2796698510271</v>
      </c>
      <c r="I6315" s="6" t="n">
        <f aca="false">Sens!I6182</f>
        <v>85.5659922535278</v>
      </c>
      <c r="J6315" s="6" t="n">
        <f aca="false">Sens!J6182</f>
        <v>105.90773710582</v>
      </c>
      <c r="K6315" s="6" t="n">
        <f aca="false">Sens!K6182</f>
        <v>126.282084319851</v>
      </c>
    </row>
    <row r="6316" customFormat="false" ht="17.15" hidden="false" customHeight="false" outlineLevel="0" collapsed="false">
      <c r="A6316" s="0" t="s">
        <v>955</v>
      </c>
      <c r="B6316" s="0" t="s">
        <v>95</v>
      </c>
      <c r="F6316" s="6" t="n">
        <f aca="false">Sens!F6242+Sens!F6193+Sens!F6309*(Sens!F6212-Sens!F6176)</f>
        <v>207.39775127214</v>
      </c>
      <c r="G6316" s="6" t="n">
        <f aca="false">Sens!G6242+Sens!G6193+Sens!G6309*(Sens!G6212-Sens!G6176)</f>
        <v>243.242528381769</v>
      </c>
      <c r="H6316" s="6" t="n">
        <f aca="false">Sens!H6242+Sens!H6193+Sens!H6309*(Sens!H6212-Sens!H6176)</f>
        <v>275.143016724987</v>
      </c>
      <c r="I6316" s="6" t="n">
        <f aca="false">Sens!I6242+Sens!I6193+Sens!I6309*(Sens!I6212-Sens!I6176)</f>
        <v>313.499983414841</v>
      </c>
      <c r="J6316" s="6" t="n">
        <f aca="false">Sens!J6242+Sens!J6193+Sens!J6309*(Sens!J6212-Sens!J6176)</f>
        <v>350.302925520086</v>
      </c>
      <c r="K6316" s="6" t="n">
        <f aca="false">Sens!K6242+Sens!K6193+Sens!K6309*(Sens!K6212-Sens!K6176)</f>
        <v>385.200355240915</v>
      </c>
    </row>
    <row r="6317" customFormat="false" ht="17.15" hidden="false" customHeight="false" outlineLevel="0" collapsed="false">
      <c r="A6317" s="0" t="s">
        <v>956</v>
      </c>
      <c r="B6317" s="0" t="s">
        <v>95</v>
      </c>
      <c r="F6317" s="6" t="n">
        <f aca="false">Sens!F6316-Sens!F6310-Sens!F6311-Sens!F6312-Sens!F6313-Sens!F6315</f>
        <v>49.030266148197</v>
      </c>
      <c r="G6317" s="6" t="n">
        <f aca="false">Sens!G6316-Sens!G6310-Sens!G6311-Sens!G6312-Sens!G6313-Sens!G6315</f>
        <v>55.3242011448848</v>
      </c>
      <c r="H6317" s="6" t="n">
        <f aca="false">Sens!H6316-Sens!H6310-Sens!H6311-Sens!H6312-Sens!H6313-Sens!H6315</f>
        <v>61.6978531731216</v>
      </c>
      <c r="I6317" s="6" t="n">
        <f aca="false">Sens!I6316-Sens!I6310-Sens!I6311-Sens!I6312-Sens!I6313-Sens!I6315</f>
        <v>67.8849705887929</v>
      </c>
      <c r="J6317" s="6" t="n">
        <f aca="false">Sens!J6316-Sens!J6310-Sens!J6311-Sens!J6312-Sens!J6313-Sens!J6315</f>
        <v>73.2850670336737</v>
      </c>
      <c r="K6317" s="6" t="n">
        <f aca="false">Sens!K6316-Sens!K6310-Sens!K6311-Sens!K6312-Sens!K6313-Sens!K6315</f>
        <v>77.2188673057813</v>
      </c>
    </row>
    <row r="6318" customFormat="false" ht="17.15" hidden="false" customHeight="false" outlineLevel="0" collapsed="false">
      <c r="A6318" s="0" t="s">
        <v>957</v>
      </c>
      <c r="B6318" s="0" t="s">
        <v>95</v>
      </c>
      <c r="F6318" s="6" t="n">
        <f aca="false">Sens!F6244+Sens!F6309*Sens!F6219</f>
        <v>23.7465205626972</v>
      </c>
      <c r="G6318" s="6" t="n">
        <f aca="false">Sens!G6244+Sens!G6309*Sens!G6219</f>
        <v>24.3080050321494</v>
      </c>
      <c r="H6318" s="6" t="n">
        <f aca="false">Sens!H6244+Sens!H6309*Sens!H6219</f>
        <v>25.1112035911055</v>
      </c>
      <c r="I6318" s="6" t="n">
        <f aca="false">Sens!I6244+Sens!I6309*Sens!I6219</f>
        <v>26.1277885837002</v>
      </c>
      <c r="J6318" s="6" t="n">
        <f aca="false">Sens!J6244+Sens!J6309*Sens!J6219</f>
        <v>27.328270423437</v>
      </c>
      <c r="K6318" s="6" t="n">
        <f aca="false">Sens!K6244+Sens!K6309*Sens!K6219</f>
        <v>28.6838112708121</v>
      </c>
    </row>
    <row r="6319" customFormat="false" ht="17.15" hidden="false" customHeight="false" outlineLevel="0" collapsed="false">
      <c r="A6319" s="0" t="s">
        <v>958</v>
      </c>
      <c r="B6319" s="0" t="s">
        <v>95</v>
      </c>
      <c r="F6319" s="6" t="n">
        <f aca="false">(Sens!F6318-Sens!F6314)*Sens!F6215/(Sens!F6215+Sens!F6217)</f>
        <v>7.44245234398653</v>
      </c>
      <c r="G6319" s="6" t="n">
        <f aca="false">(Sens!G6318-Sens!G6314)*Sens!G6215/(Sens!G6215+Sens!G6217)</f>
        <v>7.08517655218658</v>
      </c>
      <c r="H6319" s="6" t="n">
        <f aca="false">(Sens!H6318-Sens!H6314)*Sens!H6215/(Sens!H6215+Sens!H6217)</f>
        <v>6.87460033046109</v>
      </c>
      <c r="I6319" s="6" t="n">
        <f aca="false">(Sens!I6318-Sens!I6314)*Sens!I6215/(Sens!I6215+Sens!I6217)</f>
        <v>6.79490359641629</v>
      </c>
      <c r="J6319" s="6" t="n">
        <f aca="false">(Sens!J6318-Sens!J6314)*Sens!J6215/(Sens!J6215+Sens!J6217)</f>
        <v>6.8361647203348</v>
      </c>
      <c r="K6319" s="6" t="n">
        <f aca="false">(Sens!K6318-Sens!K6314)*Sens!K6215/(Sens!K6215+Sens!K6217)</f>
        <v>6.99425352880662</v>
      </c>
    </row>
    <row r="6320" customFormat="false" ht="17.15" hidden="false" customHeight="false" outlineLevel="0" collapsed="false">
      <c r="A6320" s="0" t="s">
        <v>959</v>
      </c>
      <c r="B6320" s="0" t="s">
        <v>95</v>
      </c>
      <c r="F6320" s="6" t="n">
        <f aca="false">Sens!F6318-Sens!F6314-Sens!F6319</f>
        <v>6.13395147988018</v>
      </c>
      <c r="G6320" s="6" t="n">
        <f aca="false">Sens!G6318-Sens!G6314-Sens!G6319</f>
        <v>6.07411985235183</v>
      </c>
      <c r="H6320" s="6" t="n">
        <f aca="false">Sens!H6318-Sens!H6314-Sens!H6319</f>
        <v>6.06843164886562</v>
      </c>
      <c r="I6320" s="6" t="n">
        <f aca="false">Sens!I6318-Sens!I6314-Sens!I6319</f>
        <v>6.11488873421014</v>
      </c>
      <c r="J6320" s="6" t="n">
        <f aca="false">Sens!J6318-Sens!J6314-Sens!J6319</f>
        <v>6.21101944616805</v>
      </c>
      <c r="K6320" s="6" t="n">
        <f aca="false">Sens!K6318-Sens!K6314-Sens!K6319</f>
        <v>6.35465154162054</v>
      </c>
    </row>
    <row r="6321" customFormat="false" ht="17.15" hidden="false" customHeight="false" outlineLevel="0" collapsed="false">
      <c r="A6321" s="1" t="s">
        <v>960</v>
      </c>
      <c r="B6321" s="0" t="s">
        <v>95</v>
      </c>
      <c r="C6321" s="6" t="n">
        <f aca="false">(w_ntm28*Sens!G6315+(1-w_ntm28)*Sens!H6315)*m_ai*1</f>
        <v>338.776008390068</v>
      </c>
    </row>
    <row r="6322" customFormat="false" ht="17.15" hidden="false" customHeight="false" outlineLevel="0" collapsed="false">
      <c r="A6322" s="1" t="s">
        <v>961</v>
      </c>
      <c r="B6322" s="0" t="s">
        <v>95</v>
      </c>
      <c r="C6322" s="6" t="n">
        <f aca="false">(w_ntm28*Sens!G6317+(1-w_ntm28)*Sens!H6317)*m_cloud*1</f>
        <v>793.056889360849</v>
      </c>
    </row>
    <row r="6323" customFormat="false" ht="17.15" hidden="false" customHeight="false" outlineLevel="0" collapsed="false">
      <c r="A6323" s="1" t="s">
        <v>962</v>
      </c>
      <c r="B6323" s="0" t="s">
        <v>95</v>
      </c>
      <c r="C6323" s="6" t="n">
        <f aca="false">(w_ntm28*Sens!G6310+(1-w_ntm28)*Sens!H6310)*m_sw*1</f>
        <v>1008.84049385345</v>
      </c>
    </row>
    <row r="6324" customFormat="false" ht="17.15" hidden="false" customHeight="false" outlineLevel="0" collapsed="false">
      <c r="A6324" s="1" t="s">
        <v>963</v>
      </c>
      <c r="B6324" s="0" t="s">
        <v>95</v>
      </c>
      <c r="C6324" s="6" t="n">
        <f aca="false">(w_ntm28*Sens!G6311+(1-w_ntm28)*Sens!H6311)*m_sw*1</f>
        <v>362.965722689496</v>
      </c>
    </row>
    <row r="6325" customFormat="false" ht="17.15" hidden="false" customHeight="false" outlineLevel="0" collapsed="false">
      <c r="A6325" s="1" t="s">
        <v>964</v>
      </c>
      <c r="B6325" s="0" t="s">
        <v>95</v>
      </c>
      <c r="C6325" s="6" t="n">
        <f aca="false">(w_ntm28*Sens!G6312+(1-w_ntm28)*Sens!H6312)*m_sw*1</f>
        <v>99.1967978627872</v>
      </c>
    </row>
    <row r="6326" customFormat="false" ht="17.15" hidden="false" customHeight="false" outlineLevel="0" collapsed="false">
      <c r="A6326" s="1" t="s">
        <v>965</v>
      </c>
      <c r="B6326" s="0" t="s">
        <v>95</v>
      </c>
      <c r="C6326" s="6" t="n">
        <f aca="false">(w_ntm28*Sens!G6313+(1-w_ntm28)*Sens!H6313)*m_sw*1</f>
        <v>37.8452284855962</v>
      </c>
    </row>
    <row r="6327" customFormat="false" ht="17.15" hidden="false" customHeight="false" outlineLevel="0" collapsed="false">
      <c r="A6327" s="1" t="s">
        <v>966</v>
      </c>
      <c r="B6327" s="0" t="s">
        <v>95</v>
      </c>
      <c r="C6327" s="6" t="n">
        <f aca="false">(w_ntm28*Sens!G6314+(1-w_ntm28)*Sens!H6314)*m_ads*1</f>
        <v>104.56720770362</v>
      </c>
    </row>
    <row r="6328" customFormat="false" ht="17.15" hidden="false" customHeight="false" outlineLevel="0" collapsed="false">
      <c r="A6328" s="1" t="s">
        <v>967</v>
      </c>
      <c r="B6328" s="0" t="s">
        <v>95</v>
      </c>
      <c r="C6328" s="6" t="n">
        <f aca="false">(w_ntm28*Sens!G6319+(1-w_ntm28)*Sens!H6319)*m_game*1</f>
        <v>88.6259711793594</v>
      </c>
    </row>
    <row r="6329" customFormat="false" ht="17.15" hidden="false" customHeight="false" outlineLevel="0" collapsed="false">
      <c r="A6329" s="1" t="s">
        <v>968</v>
      </c>
      <c r="B6329" s="0" t="s">
        <v>95</v>
      </c>
      <c r="C6329" s="6" t="n">
        <f aca="false">(w_ntm28*Sens!G6320+(1-w_ntm28)*Sens!H6320)*m_pc*1</f>
        <v>87.8659050034637</v>
      </c>
    </row>
    <row r="6330" customFormat="false" ht="17.15" hidden="false" customHeight="false" outlineLevel="0" collapsed="false">
      <c r="A6330" s="1" t="s">
        <v>969</v>
      </c>
      <c r="B6330" s="0" t="s">
        <v>95</v>
      </c>
      <c r="C6330" s="6" t="n">
        <f aca="false">Sens!$C$6321+Sens!$C$6322+Sens!$C$6323+Sens!$C$6324+Sens!$C$6325+Sens!$C$6326+Sens!$C$6327+Sens!$C$6328+Sens!$C$6329</f>
        <v>2921.74022452869</v>
      </c>
    </row>
    <row r="6331" customFormat="false" ht="17.15" hidden="false" customHeight="false" outlineLevel="0" collapsed="false">
      <c r="A6331" s="1" t="s">
        <v>903</v>
      </c>
      <c r="B6331" s="0" t="s">
        <v>95</v>
      </c>
      <c r="C6331" s="6" t="n">
        <f aca="false">Sens!F6288+oai_v-Sens!F6277</f>
        <v>107.869246771083</v>
      </c>
      <c r="L6331" s="1" t="s">
        <v>970</v>
      </c>
    </row>
    <row r="6332" customFormat="false" ht="15" hidden="false" customHeight="false" outlineLevel="0" collapsed="false">
      <c r="A6332" s="1" t="s">
        <v>904</v>
      </c>
      <c r="B6332" s="0" t="s">
        <v>73</v>
      </c>
      <c r="C6332" s="5" t="n">
        <f aca="false">(Sens!$C$6330+Sens!$C$6331)/Sens!F6290</f>
        <v>405.461653011211</v>
      </c>
    </row>
    <row r="6333" customFormat="false" ht="17.15" hidden="false" customHeight="false" outlineLevel="0" collapsed="false">
      <c r="A6333" s="1" t="s">
        <v>971</v>
      </c>
      <c r="B6333" s="0" t="s">
        <v>73</v>
      </c>
      <c r="C6333" s="5" t="n">
        <f aca="false">w_dcf*Sens!$C$6308+(1-w_dcf)*Sens!$C$6332</f>
        <v>293.614166985348</v>
      </c>
    </row>
    <row r="6334" customFormat="false" ht="17.15" hidden="false" customHeight="false" outlineLevel="0" collapsed="false">
      <c r="A6334" s="3" t="s">
        <v>1294</v>
      </c>
    </row>
    <row r="6335" customFormat="false" ht="15" hidden="false" customHeight="false" outlineLevel="0" collapsed="false">
      <c r="A6335" s="4" t="s">
        <v>43</v>
      </c>
      <c r="B6335" s="4" t="s">
        <v>63</v>
      </c>
      <c r="C6335" s="19" t="s">
        <v>710</v>
      </c>
      <c r="D6335" s="19" t="s">
        <v>711</v>
      </c>
      <c r="E6335" s="19" t="s">
        <v>712</v>
      </c>
      <c r="F6335" s="19" t="s">
        <v>713</v>
      </c>
      <c r="G6335" s="19" t="s">
        <v>714</v>
      </c>
      <c r="H6335" s="19" t="s">
        <v>715</v>
      </c>
      <c r="I6335" s="19" t="s">
        <v>716</v>
      </c>
      <c r="J6335" s="19" t="s">
        <v>717</v>
      </c>
      <c r="K6335" s="19" t="s">
        <v>718</v>
      </c>
      <c r="L6335" s="4" t="s">
        <v>47</v>
      </c>
    </row>
    <row r="6336" customFormat="false" ht="17.15" hidden="false" customHeight="false" outlineLevel="0" collapsed="false">
      <c r="A6336" s="1" t="s">
        <v>719</v>
      </c>
      <c r="B6336" s="0" t="s">
        <v>340</v>
      </c>
      <c r="C6336" s="27" t="n">
        <f aca="false">mw_ext_24</f>
        <v>640</v>
      </c>
      <c r="D6336" s="27" t="n">
        <f aca="false">mw_ext_25</f>
        <v>1630</v>
      </c>
      <c r="E6336" s="27" t="n">
        <f aca="false">mw_ext_26</f>
        <v>3250</v>
      </c>
      <c r="F6336" s="27" t="n">
        <f aca="false">MIN(1000000000,Sens!E6336+pace)</f>
        <v>5777.2</v>
      </c>
      <c r="G6336" s="27" t="n">
        <f aca="false">MIN(1000000000,Sens!F6336+pace)</f>
        <v>8304.4</v>
      </c>
      <c r="H6336" s="27" t="n">
        <f aca="false">MIN(1000000000,Sens!G6336+pace)</f>
        <v>10831.6</v>
      </c>
      <c r="I6336" s="27" t="n">
        <f aca="false">MIN(1000000000,Sens!H6336+pace)</f>
        <v>13358.8</v>
      </c>
      <c r="J6336" s="27" t="n">
        <f aca="false">MIN(1000000000,Sens!I6336+pace)</f>
        <v>15886</v>
      </c>
      <c r="K6336" s="27" t="n">
        <f aca="false">MIN(1000000000,Sens!J6336+pace)</f>
        <v>18413.2</v>
      </c>
      <c r="L6336" s="11" t="s">
        <v>720</v>
      </c>
    </row>
    <row r="6337" customFormat="false" ht="17.15" hidden="false" customHeight="false" outlineLevel="0" collapsed="false">
      <c r="A6337" s="1" t="s">
        <v>721</v>
      </c>
      <c r="B6337" s="0" t="s">
        <v>340</v>
      </c>
      <c r="C6337" s="27" t="n">
        <f aca="false">rent_ext_24</f>
        <v>150</v>
      </c>
      <c r="D6337" s="27" t="n">
        <f aca="false">rent_ext_25</f>
        <v>400</v>
      </c>
      <c r="E6337" s="27" t="n">
        <f aca="false">rent_ext_26</f>
        <v>550</v>
      </c>
      <c r="F6337" s="27" t="n">
        <f aca="false">rent_ext_f</f>
        <v>756</v>
      </c>
      <c r="G6337" s="27" t="n">
        <f aca="false">rent_ext_f</f>
        <v>756</v>
      </c>
      <c r="H6337" s="27" t="n">
        <f aca="false">rent_ext_f</f>
        <v>756</v>
      </c>
      <c r="I6337" s="27" t="n">
        <f aca="false">rent_ext_f</f>
        <v>756</v>
      </c>
      <c r="J6337" s="27" t="n">
        <f aca="false">rent_ext_f</f>
        <v>756</v>
      </c>
      <c r="K6337" s="27" t="n">
        <f aca="false">rent_ext_f</f>
        <v>756</v>
      </c>
      <c r="L6337" s="1" t="s">
        <v>722</v>
      </c>
    </row>
    <row r="6338" customFormat="false" ht="17.15" hidden="false" customHeight="false" outlineLevel="0" collapsed="false">
      <c r="A6338" s="1" t="s">
        <v>723</v>
      </c>
      <c r="B6338" s="0" t="s">
        <v>340</v>
      </c>
      <c r="C6338" s="27" t="n">
        <f aca="false">Sens!C6336-Sens!C6337</f>
        <v>490</v>
      </c>
      <c r="D6338" s="27" t="n">
        <f aca="false">Sens!D6336-Sens!D6337</f>
        <v>1230</v>
      </c>
      <c r="E6338" s="27" t="n">
        <f aca="false">Sens!E6336-Sens!E6337</f>
        <v>2700</v>
      </c>
      <c r="F6338" s="27" t="n">
        <f aca="false">Sens!F6336-Sens!F6337</f>
        <v>5021.2</v>
      </c>
      <c r="G6338" s="27" t="n">
        <f aca="false">Sens!G6336-Sens!G6337</f>
        <v>7548.4</v>
      </c>
      <c r="H6338" s="27" t="n">
        <f aca="false">Sens!H6336-Sens!H6337</f>
        <v>10075.6</v>
      </c>
      <c r="I6338" s="27" t="n">
        <f aca="false">Sens!I6336-Sens!I6337</f>
        <v>12602.8</v>
      </c>
      <c r="J6338" s="27" t="n">
        <f aca="false">Sens!J6336-Sens!J6337</f>
        <v>15130</v>
      </c>
      <c r="K6338" s="27" t="n">
        <f aca="false">Sens!K6336-Sens!K6337</f>
        <v>17657.2</v>
      </c>
    </row>
    <row r="6339" customFormat="false" ht="17.15" hidden="false" customHeight="false" outlineLevel="0" collapsed="false">
      <c r="A6339" s="1" t="s">
        <v>724</v>
      </c>
      <c r="B6339" s="0" t="s">
        <v>340</v>
      </c>
      <c r="C6339" s="27" t="n">
        <f aca="false">Sens!C6338/ext_sh</f>
        <v>816.666666666667</v>
      </c>
      <c r="D6339" s="27" t="n">
        <f aca="false">Sens!D6338/ext_sh</f>
        <v>2050</v>
      </c>
      <c r="E6339" s="27" t="n">
        <f aca="false">Sens!E6338/ext_sh</f>
        <v>4500</v>
      </c>
      <c r="F6339" s="27" t="n">
        <f aca="false">Sens!F6338/ext_sh</f>
        <v>8368.66666666667</v>
      </c>
      <c r="G6339" s="27" t="n">
        <f aca="false">Sens!G6338/ext_sh</f>
        <v>12580.6666666667</v>
      </c>
      <c r="H6339" s="27" t="n">
        <f aca="false">Sens!H6338/ext_sh</f>
        <v>16792.6666666667</v>
      </c>
      <c r="I6339" s="27" t="n">
        <f aca="false">Sens!I6338/ext_sh</f>
        <v>21004.6666666667</v>
      </c>
      <c r="J6339" s="27" t="n">
        <f aca="false">Sens!J6338/ext_sh</f>
        <v>25216.6666666667</v>
      </c>
      <c r="K6339" s="27" t="n">
        <f aca="false">Sens!K6338/ext_sh</f>
        <v>29428.6666666667</v>
      </c>
      <c r="L6339" s="1" t="s">
        <v>725</v>
      </c>
    </row>
    <row r="6340" customFormat="false" ht="17.15" hidden="false" customHeight="false" outlineLevel="0" collapsed="false">
      <c r="A6340" s="1" t="s">
        <v>726</v>
      </c>
      <c r="B6340" s="0" t="s">
        <v>340</v>
      </c>
      <c r="C6340" s="27" t="n">
        <f aca="false">Sens!C6339-Sens!C6338</f>
        <v>326.666666666667</v>
      </c>
      <c r="D6340" s="27" t="n">
        <f aca="false">Sens!D6339-Sens!D6338</f>
        <v>820</v>
      </c>
      <c r="E6340" s="27" t="n">
        <f aca="false">Sens!E6339-Sens!E6338</f>
        <v>1800</v>
      </c>
      <c r="F6340" s="27" t="n">
        <f aca="false">Sens!F6339-Sens!F6338</f>
        <v>3347.46666666667</v>
      </c>
      <c r="G6340" s="27" t="n">
        <f aca="false">Sens!G6339-Sens!G6338</f>
        <v>5032.26666666667</v>
      </c>
      <c r="H6340" s="27" t="n">
        <f aca="false">Sens!H6339-Sens!H6338</f>
        <v>6717.06666666667</v>
      </c>
      <c r="I6340" s="27" t="n">
        <f aca="false">Sens!I6339-Sens!I6338</f>
        <v>8401.86666666667</v>
      </c>
      <c r="J6340" s="27" t="n">
        <f aca="false">Sens!J6339-Sens!J6338</f>
        <v>10086.6666666667</v>
      </c>
      <c r="K6340" s="27" t="n">
        <f aca="false">Sens!K6339-Sens!K6338</f>
        <v>11771.4666666667</v>
      </c>
    </row>
    <row r="6341" customFormat="false" ht="17.15" hidden="false" customHeight="false" outlineLevel="0" collapsed="false">
      <c r="A6341" s="1" t="s">
        <v>727</v>
      </c>
      <c r="B6341" s="0" t="s">
        <v>340</v>
      </c>
      <c r="C6341" s="27" t="n">
        <f aca="false">Sens!C6339</f>
        <v>816.666666666667</v>
      </c>
      <c r="D6341" s="27" t="n">
        <f aca="false">Sens!D6339-Sens!C6339</f>
        <v>1233.33333333333</v>
      </c>
      <c r="E6341" s="27" t="n">
        <f aca="false">Sens!E6339-Sens!D6339</f>
        <v>2450</v>
      </c>
      <c r="F6341" s="27" t="n">
        <f aca="false">Sens!F6339-Sens!E6339</f>
        <v>3868.66666666667</v>
      </c>
      <c r="G6341" s="27" t="n">
        <f aca="false">Sens!G6339-Sens!F6339</f>
        <v>4212</v>
      </c>
      <c r="H6341" s="27" t="n">
        <f aca="false">Sens!H6339-Sens!G6339</f>
        <v>4212</v>
      </c>
      <c r="I6341" s="27" t="n">
        <f aca="false">Sens!I6339-Sens!H6339</f>
        <v>4212</v>
      </c>
      <c r="J6341" s="27" t="n">
        <f aca="false">Sens!J6339-Sens!I6339</f>
        <v>4212</v>
      </c>
      <c r="K6341" s="27" t="n">
        <f aca="false">Sens!K6339-Sens!J6339</f>
        <v>4212</v>
      </c>
    </row>
    <row r="6342" customFormat="false" ht="17.15" hidden="false" customHeight="false" outlineLevel="0" collapsed="false">
      <c r="A6342" s="1" t="s">
        <v>728</v>
      </c>
      <c r="B6342" s="0" t="s">
        <v>340</v>
      </c>
      <c r="D6342" s="27" t="n">
        <f aca="false">Sens!D6336-Sens!C6336</f>
        <v>990</v>
      </c>
      <c r="E6342" s="27" t="n">
        <f aca="false">Sens!E6336-Sens!D6336</f>
        <v>1620</v>
      </c>
      <c r="F6342" s="27" t="n">
        <f aca="false">Sens!F6336-Sens!E6336</f>
        <v>2527.2</v>
      </c>
      <c r="G6342" s="27" t="n">
        <f aca="false">Sens!G6336-Sens!F6336</f>
        <v>2527.2</v>
      </c>
      <c r="H6342" s="27" t="n">
        <f aca="false">Sens!H6336-Sens!G6336</f>
        <v>2527.2</v>
      </c>
      <c r="I6342" s="27" t="n">
        <f aca="false">Sens!I6336-Sens!H6336</f>
        <v>2527.2</v>
      </c>
      <c r="J6342" s="27" t="n">
        <f aca="false">Sens!J6336-Sens!I6336</f>
        <v>2527.2</v>
      </c>
      <c r="K6342" s="27" t="n">
        <f aca="false">Sens!K6336-Sens!J6336</f>
        <v>2527.2</v>
      </c>
    </row>
    <row r="6343" customFormat="false" ht="17.15" hidden="false" customHeight="false" outlineLevel="0" collapsed="false">
      <c r="A6343" s="1" t="s">
        <v>729</v>
      </c>
      <c r="B6343" s="0" t="s">
        <v>340</v>
      </c>
      <c r="C6343" s="27" t="n">
        <f aca="false">mix_h*Sens!C6336</f>
        <v>128</v>
      </c>
      <c r="D6343" s="27" t="n">
        <f aca="false">mix_h*Sens!D6336</f>
        <v>326</v>
      </c>
      <c r="E6343" s="27" t="n">
        <f aca="false">mix_h*Sens!E6336</f>
        <v>650</v>
      </c>
      <c r="F6343" s="27" t="n">
        <f aca="false">Sens!E6343</f>
        <v>650</v>
      </c>
      <c r="G6343" s="27" t="n">
        <f aca="false">Sens!F6343</f>
        <v>650</v>
      </c>
      <c r="H6343" s="27" t="n">
        <f aca="false">Sens!G6343</f>
        <v>650</v>
      </c>
      <c r="I6343" s="27" t="n">
        <f aca="false">Sens!H6343</f>
        <v>650</v>
      </c>
      <c r="J6343" s="27" t="n">
        <f aca="false">Sens!I6343</f>
        <v>650</v>
      </c>
      <c r="K6343" s="27" t="n">
        <f aca="false">Sens!J6343</f>
        <v>650</v>
      </c>
    </row>
    <row r="6344" customFormat="false" ht="17.15" hidden="false" customHeight="false" outlineLevel="0" collapsed="false">
      <c r="A6344" s="1" t="s">
        <v>730</v>
      </c>
      <c r="B6344" s="0" t="s">
        <v>340</v>
      </c>
      <c r="C6344" s="27" t="n">
        <f aca="false">mix_g2*Sens!C6336</f>
        <v>288</v>
      </c>
      <c r="D6344" s="27" t="n">
        <f aca="false">mix_g2*Sens!D6336</f>
        <v>733.5</v>
      </c>
      <c r="E6344" s="27" t="n">
        <f aca="false">mix_g2*Sens!E6336</f>
        <v>1462.5</v>
      </c>
      <c r="F6344" s="27" t="n">
        <f aca="false">Sens!E6344</f>
        <v>1462.5</v>
      </c>
      <c r="G6344" s="27" t="n">
        <f aca="false">Sens!F6344</f>
        <v>1462.5</v>
      </c>
      <c r="H6344" s="27" t="n">
        <f aca="false">Sens!G6344</f>
        <v>1462.5</v>
      </c>
      <c r="I6344" s="27" t="n">
        <f aca="false">Sens!H6344</f>
        <v>1462.5</v>
      </c>
      <c r="J6344" s="27" t="n">
        <f aca="false">Sens!I6344</f>
        <v>1462.5</v>
      </c>
      <c r="K6344" s="27" t="n">
        <f aca="false">Sens!J6344</f>
        <v>1462.5</v>
      </c>
    </row>
    <row r="6345" customFormat="false" ht="17.15" hidden="false" customHeight="false" outlineLevel="0" collapsed="false">
      <c r="A6345" s="1" t="s">
        <v>731</v>
      </c>
      <c r="B6345" s="0" t="s">
        <v>340</v>
      </c>
      <c r="C6345" s="27" t="n">
        <f aca="false">mix_g3*Sens!C6336</f>
        <v>224</v>
      </c>
      <c r="D6345" s="27" t="n">
        <f aca="false">mix_g3*Sens!D6336</f>
        <v>570.5</v>
      </c>
      <c r="E6345" s="27" t="n">
        <f aca="false">mix_g3*Sens!E6336</f>
        <v>1137.5</v>
      </c>
      <c r="F6345" s="27" t="n">
        <f aca="false">Sens!E6345+Sens!F6342*a_g3_27</f>
        <v>2906.54</v>
      </c>
      <c r="G6345" s="27" t="n">
        <f aca="false">Sens!F6345+Sens!G6342*a_g3_28</f>
        <v>3664.7</v>
      </c>
      <c r="H6345" s="27" t="n">
        <f aca="false">Sens!G6345+Sens!H6342*a_g3_29</f>
        <v>3917.42</v>
      </c>
      <c r="I6345" s="27" t="n">
        <f aca="false">Sens!H6345+Sens!I6342*a_g3_29</f>
        <v>4170.14</v>
      </c>
      <c r="J6345" s="27" t="n">
        <f aca="false">Sens!I6345+Sens!J6342*a_g3_29</f>
        <v>4422.86</v>
      </c>
      <c r="K6345" s="27" t="n">
        <f aca="false">Sens!J6345+Sens!K6342*a_g3_29</f>
        <v>4675.58</v>
      </c>
    </row>
    <row r="6346" customFormat="false" ht="17.15" hidden="false" customHeight="false" outlineLevel="0" collapsed="false">
      <c r="A6346" s="1" t="s">
        <v>732</v>
      </c>
      <c r="B6346" s="0" t="s">
        <v>340</v>
      </c>
      <c r="C6346" s="27" t="n">
        <f aca="false">0</f>
        <v>0</v>
      </c>
      <c r="D6346" s="27" t="n">
        <f aca="false">0</f>
        <v>0</v>
      </c>
      <c r="E6346" s="27" t="n">
        <f aca="false">0</f>
        <v>0</v>
      </c>
      <c r="F6346" s="27" t="n">
        <f aca="false">Sens!E6346+Sens!F6342*(1-a_g3_27)</f>
        <v>758.16</v>
      </c>
      <c r="G6346" s="27" t="n">
        <f aca="false">Sens!F6346+Sens!G6342*(1-a_g3_28)</f>
        <v>2527.2</v>
      </c>
      <c r="H6346" s="27" t="n">
        <f aca="false">Sens!G6346+Sens!H6342*(1-a_g3_29)</f>
        <v>4801.68</v>
      </c>
      <c r="I6346" s="27" t="n">
        <f aca="false">Sens!H6346+Sens!I6342*(1-a_g3_29)</f>
        <v>7076.16</v>
      </c>
      <c r="J6346" s="27" t="n">
        <f aca="false">Sens!I6346+Sens!J6342*(1-a_g3_29)</f>
        <v>9350.64</v>
      </c>
      <c r="K6346" s="27" t="n">
        <f aca="false">Sens!J6346+Sens!K6342*(1-a_g3_29)</f>
        <v>11625.12</v>
      </c>
    </row>
    <row r="6347" customFormat="false" ht="17.15" hidden="false" customHeight="false" outlineLevel="0" collapsed="false">
      <c r="A6347" s="1" t="s">
        <v>733</v>
      </c>
      <c r="B6347" s="0" t="s">
        <v>291</v>
      </c>
      <c r="C6347" s="18" t="n">
        <f aca="false">(Sens!C6343*tk_hold_h100+Sens!C6344*tk_hold_gb200+Sens!C6345*tk_hold_gb300+Sens!C6346*tk_hold_vr200)/Sens!C6336</f>
        <v>9.7235358126469</v>
      </c>
      <c r="D6347" s="18" t="n">
        <f aca="false">(Sens!D6343*tk_hold_h100+Sens!D6344*tk_hold_gb200+Sens!D6345*tk_hold_gb300+Sens!D6346*tk_hold_vr200)/Sens!D6336</f>
        <v>9.7235358126469</v>
      </c>
      <c r="E6347" s="18" t="n">
        <f aca="false">(Sens!E6343*tk_hold_h100+Sens!E6344*tk_hold_gb200+Sens!E6345*tk_hold_gb300+Sens!E6346*tk_hold_vr200)/Sens!E6336</f>
        <v>9.7235358126469</v>
      </c>
      <c r="F6347" s="18" t="n">
        <f aca="false">(Sens!F6343*tk_hold_h100+Sens!F6344*tk_hold_gb200+Sens!F6345*tk_hold_gb300+Sens!F6346*tk_hold_vr200)/Sens!F6336</f>
        <v>10.4079573161931</v>
      </c>
      <c r="G6347" s="18" t="n">
        <f aca="false">(Sens!G6343*tk_hold_h100+Sens!G6344*tk_hold_gb200+Sens!G6345*tk_hold_gb300+Sens!G6346*tk_hold_vr200)/Sens!G6336</f>
        <v>10.8388131109316</v>
      </c>
      <c r="H6347" s="18" t="n">
        <f aca="false">(Sens!H6343*tk_hold_h100+Sens!H6344*tk_hold_gb200+Sens!H6345*tk_hold_gb300+Sens!H6346*tk_hold_vr200)/Sens!H6336</f>
        <v>11.1311018388216</v>
      </c>
      <c r="I6347" s="18" t="n">
        <f aca="false">(Sens!I6343*tk_hold_h100+Sens!I6344*tk_hold_gb200+Sens!I6345*tk_hold_gb300+Sens!I6346*tk_hold_vr200)/Sens!I6336</f>
        <v>11.3128009818501</v>
      </c>
      <c r="J6347" s="18" t="n">
        <f aca="false">(Sens!J6343*tk_hold_h100+Sens!J6344*tk_hold_gb200+Sens!J6345*tk_hold_gb300+Sens!J6346*tk_hold_vr200)/Sens!J6336</f>
        <v>11.4366894646418</v>
      </c>
      <c r="K6347" s="18" t="n">
        <f aca="false">(Sens!K6343*tk_hold_h100+Sens!K6344*tk_hold_gb200+Sens!K6345*tk_hold_gb300+Sens!K6346*tk_hold_vr200)/Sens!K6336</f>
        <v>11.526570716348</v>
      </c>
    </row>
    <row r="6348" customFormat="false" ht="17.15" hidden="false" customHeight="false" outlineLevel="0" collapsed="false">
      <c r="A6348" s="0" t="s">
        <v>734</v>
      </c>
      <c r="B6348" s="0" t="s">
        <v>182</v>
      </c>
      <c r="C6348" s="18" t="n">
        <f aca="false">k_B</f>
        <v>1.17213932619116</v>
      </c>
      <c r="D6348" s="18" t="n">
        <f aca="false">k_B</f>
        <v>1.17213932619116</v>
      </c>
      <c r="E6348" s="18" t="n">
        <f aca="false">k_B</f>
        <v>1.17213932619116</v>
      </c>
      <c r="F6348" s="18" t="n">
        <f aca="false">(k_B+((ls_A*k_long+(1-ls_A)*k_spot)-k_B)*MIN(1,1/3))*1</f>
        <v>1.25022828131298</v>
      </c>
      <c r="G6348" s="18" t="n">
        <f aca="false">(k_B+((ls_A*k_long+(1-ls_A)*k_spot)-k_B)*MIN(1,2/3))*1</f>
        <v>1.3283172364348</v>
      </c>
      <c r="H6348" s="18" t="n">
        <f aca="false">(k_B+((ls_A*k_long+(1-ls_A)*k_spot)-k_B)*MIN(1,3/3))*1</f>
        <v>1.40640619155662</v>
      </c>
      <c r="I6348" s="18" t="n">
        <f aca="false">(k_B+((ls_A*k_long+(1-ls_A)*k_spot)-k_B)*MIN(1,4/3))*1</f>
        <v>1.40640619155662</v>
      </c>
      <c r="J6348" s="18" t="n">
        <f aca="false">(k_B+((ls_A*k_long+(1-ls_A)*k_spot)-k_B)*MIN(1,5/3))*1</f>
        <v>1.40640619155662</v>
      </c>
      <c r="K6348" s="18" t="n">
        <f aca="false">(k_B+((ls_A*k_long+(1-ls_A)*k_spot)-k_B)*MIN(1,6/3))*1</f>
        <v>1.40640619155662</v>
      </c>
      <c r="L6348" s="1" t="s">
        <v>735</v>
      </c>
    </row>
    <row r="6349" customFormat="false" ht="17.15" hidden="false" customHeight="false" outlineLevel="0" collapsed="false">
      <c r="A6349" s="1" t="s">
        <v>736</v>
      </c>
      <c r="B6349" s="0" t="s">
        <v>291</v>
      </c>
      <c r="C6349" s="18" t="n">
        <f aca="false">Sens!C6347*Sens!C6348*chip_f</f>
        <v>11.3973387156315</v>
      </c>
      <c r="D6349" s="18" t="n">
        <f aca="false">Sens!D6347*Sens!D6348*chip_f</f>
        <v>11.3973387156315</v>
      </c>
      <c r="E6349" s="18" t="n">
        <f aca="false">Sens!E6347*Sens!E6348*chip_f</f>
        <v>11.3973387156315</v>
      </c>
      <c r="F6349" s="18" t="n">
        <f aca="false">Sens!F6347*Sens!F6348*chip_f</f>
        <v>13.0123225874029</v>
      </c>
      <c r="G6349" s="18" t="n">
        <f aca="false">Sens!G6347*Sens!G6348*chip_f</f>
        <v>14.3973822777458</v>
      </c>
      <c r="H6349" s="18" t="n">
        <f aca="false">Sens!H6347*Sens!H6348*chip_f</f>
        <v>15.6548505449659</v>
      </c>
      <c r="I6349" s="18" t="n">
        <f aca="false">Sens!I6347*Sens!I6348*chip_f</f>
        <v>15.9103933447218</v>
      </c>
      <c r="J6349" s="18" t="n">
        <f aca="false">Sens!J6347*Sens!J6348*chip_f</f>
        <v>16.0846308739825</v>
      </c>
      <c r="K6349" s="18" t="n">
        <f aca="false">Sens!K6347*Sens!K6348*chip_f</f>
        <v>16.211040422887</v>
      </c>
      <c r="L6349" s="1" t="s">
        <v>737</v>
      </c>
    </row>
    <row r="6350" customFormat="false" ht="17.15" hidden="false" customHeight="false" outlineLevel="0" collapsed="false">
      <c r="A6350" s="0" t="s">
        <v>738</v>
      </c>
      <c r="B6350" s="0" t="s">
        <v>95</v>
      </c>
      <c r="D6350" s="6" t="n">
        <f aca="false">(Sens!C6336+Sens!D6336)/2*Sens!D6349/1000</f>
        <v>12.9359794422418</v>
      </c>
      <c r="E6350" s="6" t="n">
        <f aca="false">(Sens!D6336+Sens!E6336)/2*Sens!E6349/1000</f>
        <v>27.8095064661409</v>
      </c>
      <c r="F6350" s="6" t="n">
        <f aca="false">(Sens!E6336+Sens!F6336)/2*Sens!F6349/1000</f>
        <v>58.7324192305018</v>
      </c>
      <c r="G6350" s="6" t="n">
        <f aca="false">(Sens!F6336+Sens!G6336)/2*Sens!G6349/1000</f>
        <v>101.369089141153</v>
      </c>
      <c r="H6350" s="6" t="n">
        <f aca="false">(Sens!G6336+Sens!H6336)/2*Sens!H6349/1000</f>
        <v>149.785610014234</v>
      </c>
      <c r="I6350" s="6" t="n">
        <f aca="false">(Sens!H6336+Sens!I6336)/2*Sens!I6349/1000</f>
        <v>192.439389583079</v>
      </c>
      <c r="J6350" s="6" t="n">
        <f aca="false">(Sens!I6336+Sens!J6336)/2*Sens!J6349/1000</f>
        <v>235.195906491722</v>
      </c>
      <c r="K6350" s="6" t="n">
        <f aca="false">(Sens!J6336+Sens!K6336)/2*Sens!K6349/1000</f>
        <v>278.012858836343</v>
      </c>
      <c r="L6350" s="11" t="s">
        <v>739</v>
      </c>
    </row>
    <row r="6351" customFormat="false" ht="17.15" hidden="false" customHeight="false" outlineLevel="0" collapsed="false">
      <c r="A6351" s="1" t="s">
        <v>740</v>
      </c>
      <c r="B6351" s="0" t="s">
        <v>291</v>
      </c>
      <c r="C6351" s="18" t="n">
        <f aca="false">(Sens!C6343*tk_opex_h100+Sens!C6344*tk_opex_gb200+Sens!C6345*tk_opex_gb300+Sens!C6346*tk_opex_vr200)/Sens!C6336</f>
        <v>1.88636041306092</v>
      </c>
      <c r="D6351" s="18" t="n">
        <f aca="false">(Sens!D6343*tk_opex_h100+Sens!D6344*tk_opex_gb200+Sens!D6345*tk_opex_gb300+Sens!D6346*tk_opex_vr200)/Sens!D6336</f>
        <v>1.88636041306092</v>
      </c>
      <c r="E6351" s="18" t="n">
        <f aca="false">(Sens!E6343*tk_opex_h100+Sens!E6344*tk_opex_gb200+Sens!E6345*tk_opex_gb300+Sens!E6346*tk_opex_vr200)/Sens!E6336</f>
        <v>1.88636041306092</v>
      </c>
      <c r="F6351" s="18" t="n">
        <f aca="false">(Sens!F6343*tk_opex_h100+Sens!F6344*tk_opex_gb200+Sens!F6345*tk_opex_gb300+Sens!F6346*tk_opex_vr200)/Sens!F6336</f>
        <v>1.9430236476499</v>
      </c>
      <c r="G6351" s="18" t="n">
        <f aca="false">(Sens!G6343*tk_opex_h100+Sens!G6344*tk_opex_gb200+Sens!G6345*tk_opex_gb300+Sens!G6346*tk_opex_vr200)/Sens!G6336</f>
        <v>1.9786941852423</v>
      </c>
      <c r="H6351" s="18" t="n">
        <f aca="false">(Sens!H6343*tk_opex_h100+Sens!H6344*tk_opex_gb200+Sens!H6345*tk_opex_gb300+Sens!H6346*tk_opex_vr200)/Sens!H6336</f>
        <v>2.00289275976156</v>
      </c>
      <c r="I6351" s="18" t="n">
        <f aca="false">(Sens!I6343*tk_opex_h100+Sens!I6344*tk_opex_gb200+Sens!I6345*tk_opex_gb300+Sens!I6346*tk_opex_vr200)/Sens!I6336</f>
        <v>2.01793562605478</v>
      </c>
      <c r="J6351" s="18" t="n">
        <f aca="false">(Sens!J6343*tk_opex_h100+Sens!J6344*tk_opex_gb200+Sens!J6345*tk_opex_gb300+Sens!J6346*tk_opex_vr200)/Sens!J6336</f>
        <v>2.02819234961902</v>
      </c>
      <c r="K6351" s="18" t="n">
        <f aca="false">(Sens!K6343*tk_opex_h100+Sens!K6344*tk_opex_gb200+Sens!K6345*tk_opex_gb300+Sens!K6346*tk_opex_vr200)/Sens!K6336</f>
        <v>2.0356336155994</v>
      </c>
    </row>
    <row r="6352" customFormat="false" ht="17.15" hidden="false" customHeight="false" outlineLevel="0" collapsed="false">
      <c r="A6352" s="0" t="s">
        <v>741</v>
      </c>
      <c r="B6352" s="0" t="s">
        <v>95</v>
      </c>
      <c r="D6352" s="6" t="n">
        <f aca="false">(Sens!C6339+Sens!D6339)/2*Sens!D6351/1000</f>
        <v>2.70378325872065</v>
      </c>
      <c r="E6352" s="6" t="n">
        <f aca="false">(Sens!D6339+Sens!E6339)/2*Sens!E6351/1000</f>
        <v>6.17783035277451</v>
      </c>
      <c r="F6352" s="6" t="n">
        <f aca="false">(Sens!E6339+Sens!F6339)/2*Sens!F6351/1000</f>
        <v>12.5020618235287</v>
      </c>
      <c r="G6352" s="6" t="n">
        <f aca="false">(Sens!F6339+Sens!G6339)/2*Sens!G6351/1000</f>
        <v>20.7261620256847</v>
      </c>
      <c r="H6352" s="6" t="n">
        <f aca="false">(Sens!G6339+Sens!H6339)/2*Sens!H6351/1000</f>
        <v>29.4158183316982</v>
      </c>
      <c r="I6352" s="6" t="n">
        <f aca="false">(Sens!H6339+Sens!I6339)/2*Sens!I6351/1000</f>
        <v>38.1362927516005</v>
      </c>
      <c r="J6352" s="6" t="n">
        <f aca="false">(Sens!I6339+Sens!J6339)/2*Sens!J6351/1000</f>
        <v>46.8728773279286</v>
      </c>
      <c r="K6352" s="6" t="n">
        <f aca="false">(Sens!J6339+Sens!K6339)/2*Sens!K6351/1000</f>
        <v>55.618938734484</v>
      </c>
    </row>
    <row r="6353" customFormat="false" ht="17.15" hidden="false" customHeight="false" outlineLevel="0" collapsed="false">
      <c r="A6353" s="0" t="s">
        <v>742</v>
      </c>
      <c r="B6353" s="0" t="s">
        <v>95</v>
      </c>
      <c r="D6353" s="6" t="n">
        <f aca="false">(Sens!C6337+Sens!D6337)/2*rent_mw/1000</f>
        <v>2.44475</v>
      </c>
      <c r="E6353" s="6" t="n">
        <f aca="false">(Sens!D6337+Sens!E6337)/2*rent_mw/1000</f>
        <v>4.22275</v>
      </c>
      <c r="F6353" s="6" t="n">
        <f aca="false">(Sens!E6337+Sens!F6337)/2*rent_mw/1000</f>
        <v>5.80517</v>
      </c>
      <c r="G6353" s="6" t="n">
        <f aca="false">(Sens!F6337+Sens!G6337)/2*rent_mw/1000</f>
        <v>6.72084</v>
      </c>
      <c r="H6353" s="6" t="n">
        <f aca="false">(Sens!G6337+Sens!H6337)/2*rent_mw/1000</f>
        <v>6.72084</v>
      </c>
      <c r="I6353" s="6" t="n">
        <f aca="false">(Sens!H6337+Sens!I6337)/2*rent_mw/1000</f>
        <v>6.72084</v>
      </c>
      <c r="J6353" s="6" t="n">
        <f aca="false">(Sens!I6337+Sens!J6337)/2*rent_mw/1000</f>
        <v>6.72084</v>
      </c>
      <c r="K6353" s="6" t="n">
        <f aca="false">(Sens!J6337+Sens!K6337)/2*rent_mw/1000</f>
        <v>6.72084</v>
      </c>
    </row>
    <row r="6354" customFormat="false" ht="17.15" hidden="false" customHeight="false" outlineLevel="0" collapsed="false">
      <c r="A6354" s="0" t="s">
        <v>743</v>
      </c>
      <c r="B6354" s="0" t="s">
        <v>95</v>
      </c>
      <c r="D6354" s="6" t="n">
        <f aca="false">(Sens!C6339+Sens!D6339)/2*(1-self_build)*fac_rent/1000</f>
        <v>0.853242375631075</v>
      </c>
      <c r="E6354" s="6" t="n">
        <f aca="false">(Sens!D6339+Sens!E6339)/2*(1-self_build)*fac_rent/1000</f>
        <v>1.94955961408728</v>
      </c>
      <c r="F6354" s="6" t="n">
        <f aca="false">(Sens!E6339+Sens!F6339)/2*(1-self_build)*fac_rent/1000</f>
        <v>3.83026455274573</v>
      </c>
      <c r="G6354" s="6" t="n">
        <f aca="false">(Sens!F6339+Sens!G6339)/2*(1-self_build)*fac_rent/1000</f>
        <v>6.23541590972812</v>
      </c>
      <c r="H6354" s="6" t="n">
        <f aca="false">(Sens!G6339+Sens!H6339)/2*(1-self_build)*fac_rent/1000</f>
        <v>8.74275792332679</v>
      </c>
      <c r="I6354" s="6" t="n">
        <f aca="false">(Sens!H6339+Sens!I6339)/2*(1-self_build)*fac_rent/1000</f>
        <v>11.2500999369255</v>
      </c>
      <c r="J6354" s="6" t="n">
        <f aca="false">(Sens!I6339+Sens!J6339)/2*(1-self_build)*fac_rent/1000</f>
        <v>13.7574419505241</v>
      </c>
      <c r="K6354" s="6" t="n">
        <f aca="false">(Sens!J6339+Sens!K6339)/2*(1-self_build)*fac_rent/1000</f>
        <v>16.2647839641228</v>
      </c>
      <c r="L6354" s="11" t="s">
        <v>744</v>
      </c>
    </row>
    <row r="6355" customFormat="false" ht="17.15" hidden="false" customHeight="false" outlineLevel="0" collapsed="false">
      <c r="A6355" s="1" t="s">
        <v>745</v>
      </c>
      <c r="B6355" s="0" t="s">
        <v>126</v>
      </c>
      <c r="D6355" s="7" t="n">
        <f aca="false">(Sens!C6338+Sens!D6338)/(Sens!C6339+Sens!D6339)</f>
        <v>0.6</v>
      </c>
      <c r="E6355" s="7" t="n">
        <f aca="false">(Sens!D6338+Sens!E6338)/(Sens!D6339+Sens!E6339)</f>
        <v>0.6</v>
      </c>
      <c r="F6355" s="7" t="n">
        <f aca="false">(Sens!E6338+Sens!F6338)/(Sens!E6339+Sens!F6339)</f>
        <v>0.6</v>
      </c>
      <c r="G6355" s="7" t="n">
        <f aca="false">(Sens!F6338+Sens!G6338)/(Sens!F6339+Sens!G6339)</f>
        <v>0.6</v>
      </c>
      <c r="H6355" s="7" t="n">
        <f aca="false">(Sens!G6338+Sens!H6338)/(Sens!G6339+Sens!H6339)</f>
        <v>0.6</v>
      </c>
      <c r="I6355" s="7" t="n">
        <f aca="false">(Sens!H6338+Sens!I6338)/(Sens!H6339+Sens!I6339)</f>
        <v>0.6</v>
      </c>
      <c r="J6355" s="7" t="n">
        <f aca="false">(Sens!I6338+Sens!J6338)/(Sens!I6339+Sens!J6339)</f>
        <v>0.6</v>
      </c>
      <c r="K6355" s="7" t="n">
        <f aca="false">(Sens!J6338+Sens!K6338)/(Sens!J6339+Sens!K6339)</f>
        <v>0.6</v>
      </c>
    </row>
    <row r="6356" customFormat="false" ht="17.15" hidden="false" customHeight="false" outlineLevel="0" collapsed="false">
      <c r="A6356" s="0" t="s">
        <v>746</v>
      </c>
      <c r="B6356" s="0" t="s">
        <v>95</v>
      </c>
      <c r="D6356" s="6" t="n">
        <f aca="false">Sens!D6350-Sens!D6355*(Sens!D6352+Sens!D6354)-Sens!D6353</f>
        <v>8.35701406163072</v>
      </c>
      <c r="E6356" s="6" t="n">
        <f aca="false">Sens!E6350-Sens!E6355*(Sens!E6352+Sens!E6354)-Sens!E6353</f>
        <v>18.7103224860238</v>
      </c>
      <c r="F6356" s="6" t="n">
        <f aca="false">Sens!F6350-Sens!F6355*(Sens!F6352+Sens!F6354)-Sens!F6353</f>
        <v>43.1278534047371</v>
      </c>
      <c r="G6356" s="6" t="n">
        <f aca="false">Sens!G6350-Sens!G6355*(Sens!G6352+Sens!G6354)-Sens!G6353</f>
        <v>78.4713023799053</v>
      </c>
      <c r="H6356" s="6" t="n">
        <f aca="false">Sens!H6350-Sens!H6355*(Sens!H6352+Sens!H6354)-Sens!H6353</f>
        <v>120.169624261219</v>
      </c>
      <c r="I6356" s="6" t="n">
        <f aca="false">Sens!I6350-Sens!I6355*(Sens!I6352+Sens!I6354)-Sens!I6353</f>
        <v>156.086713969963</v>
      </c>
      <c r="J6356" s="6" t="n">
        <f aca="false">Sens!J6350-Sens!J6355*(Sens!J6352+Sens!J6354)-Sens!J6353</f>
        <v>192.09687492465</v>
      </c>
      <c r="K6356" s="6" t="n">
        <f aca="false">Sens!K6350-Sens!K6355*(Sens!K6352+Sens!K6354)-Sens!K6353</f>
        <v>228.161785217179</v>
      </c>
    </row>
    <row r="6357" customFormat="false" ht="17.15" hidden="false" customHeight="false" outlineLevel="0" collapsed="false">
      <c r="A6357" s="1" t="s">
        <v>747</v>
      </c>
      <c r="B6357" s="0" t="s">
        <v>95</v>
      </c>
      <c r="D6357" s="6" t="n">
        <f aca="false">(1-Sens!D6355)*(Sens!D6352+Sens!D6354)</f>
        <v>1.42281025374069</v>
      </c>
      <c r="E6357" s="6" t="n">
        <f aca="false">(1-Sens!E6355)*(Sens!E6352+Sens!E6354)</f>
        <v>3.25095598674472</v>
      </c>
      <c r="F6357" s="6" t="n">
        <f aca="false">(1-Sens!F6355)*(Sens!F6352+Sens!F6354)</f>
        <v>6.53293055050977</v>
      </c>
      <c r="G6357" s="6" t="n">
        <f aca="false">(1-Sens!G6355)*(Sens!G6352+Sens!G6354)</f>
        <v>10.7846311741651</v>
      </c>
      <c r="H6357" s="6" t="n">
        <f aca="false">(1-Sens!H6355)*(Sens!H6352+Sens!H6354)</f>
        <v>15.26343050201</v>
      </c>
      <c r="I6357" s="6" t="n">
        <f aca="false">(1-Sens!I6355)*(Sens!I6352+Sens!I6354)</f>
        <v>19.7545570754104</v>
      </c>
      <c r="J6357" s="6" t="n">
        <f aca="false">(1-Sens!J6355)*(Sens!J6352+Sens!J6354)</f>
        <v>24.2521277113811</v>
      </c>
      <c r="K6357" s="6" t="n">
        <f aca="false">(1-Sens!K6355)*(Sens!K6352+Sens!K6354)</f>
        <v>28.7534890794427</v>
      </c>
    </row>
    <row r="6358" customFormat="false" ht="17.15" hidden="false" customHeight="false" outlineLevel="0" collapsed="false">
      <c r="A6358" s="1" t="s">
        <v>748</v>
      </c>
      <c r="B6358" s="0" t="s">
        <v>302</v>
      </c>
      <c r="C6358" s="8" t="n">
        <f aca="false">cxit_open</f>
        <v>27.5918995</v>
      </c>
      <c r="D6358" s="8" t="n">
        <f aca="false">cxit_open</f>
        <v>27.5918995</v>
      </c>
      <c r="E6358" s="8" t="n">
        <f aca="false">cxit_open</f>
        <v>27.5918995</v>
      </c>
      <c r="F6358" s="8" t="n">
        <f aca="false">(a_g3_27*tk_cxit_gb300+(1-a_g3_27)*tk_cxit_vr200)</f>
        <v>33.8419624</v>
      </c>
      <c r="G6358" s="8" t="n">
        <f aca="false">(a_g3_28*tk_cxit_gb300+(1-a_g3_28)*tk_cxit_vr200)</f>
        <v>35.9816136</v>
      </c>
      <c r="H6358" s="8" t="n">
        <f aca="false">(a_g3_29*tk_cxit_gb300+(1-a_g3_29)*tk_cxit_vr200)</f>
        <v>37.0514392</v>
      </c>
      <c r="I6358" s="8" t="n">
        <f aca="false">(a_g3_29*tk_cxit_gb300+(1-a_g3_29)*tk_cxit_vr200)</f>
        <v>37.0514392</v>
      </c>
      <c r="J6358" s="8" t="n">
        <f aca="false">(a_g3_29*tk_cxit_gb300+(1-a_g3_29)*tk_cxit_vr200)</f>
        <v>37.0514392</v>
      </c>
      <c r="K6358" s="8" t="n">
        <f aca="false">(a_g3_29*tk_cxit_gb300+(1-a_g3_29)*tk_cxit_vr200)</f>
        <v>37.0514392</v>
      </c>
      <c r="L6358" s="11" t="s">
        <v>749</v>
      </c>
    </row>
    <row r="6359" customFormat="false" ht="17.15" hidden="false" customHeight="false" outlineLevel="0" collapsed="false">
      <c r="A6359" s="0" t="s">
        <v>750</v>
      </c>
      <c r="B6359" s="0" t="s">
        <v>340</v>
      </c>
      <c r="F6359" s="27" t="n">
        <f aca="false">Sens!C6341*IF(3=life_it,1,0)+Sens!D6341*IF(2=life_it,1,0)+Sens!E6341*IF(1=life_it,1,0)</f>
        <v>0</v>
      </c>
      <c r="G6359" s="27" t="n">
        <f aca="false">Sens!C6341*IF(4=life_it,1,0)+Sens!D6341*IF(3=life_it,1,0)+Sens!E6341*IF(2=life_it,1,0)+Sens!F6341*IF(1=life_it,1,0)</f>
        <v>0</v>
      </c>
      <c r="H6359" s="27" t="n">
        <f aca="false">Sens!C6341*IF(5=life_it,1,0)+Sens!D6341*IF(4=life_it,1,0)+Sens!E6341*IF(3=life_it,1,0)+Sens!F6341*IF(2=life_it,1,0)+Sens!G6341*IF(1=life_it,1,0)</f>
        <v>0</v>
      </c>
      <c r="I6359" s="27" t="n">
        <f aca="false">Sens!C6341*IF(6=life_it,1,0)+Sens!D6341*IF(5=life_it,1,0)+Sens!E6341*IF(4=life_it,1,0)+Sens!F6341*IF(3=life_it,1,0)+Sens!G6341*IF(2=life_it,1,0)+Sens!H6341*IF(1=life_it,1,0)</f>
        <v>816.666666666667</v>
      </c>
      <c r="J6359" s="27" t="n">
        <f aca="false">Sens!C6341*IF(7=life_it,1,0)+Sens!D6341*IF(6=life_it,1,0)+Sens!E6341*IF(5=life_it,1,0)+Sens!F6341*IF(4=life_it,1,0)+Sens!G6341*IF(3=life_it,1,0)+Sens!H6341*IF(2=life_it,1,0)+Sens!I6341*IF(1=life_it,1,0)</f>
        <v>1233.33333333333</v>
      </c>
      <c r="K6359" s="27" t="n">
        <f aca="false">Sens!C6341*IF(8=life_it,1,0)+Sens!D6341*IF(7=life_it,1,0)+Sens!E6341*IF(6=life_it,1,0)+Sens!F6341*IF(5=life_it,1,0)+Sens!G6341*IF(4=life_it,1,0)+Sens!H6341*IF(3=life_it,1,0)+Sens!I6341*IF(2=life_it,1,0)+Sens!J6341*IF(1=life_it,1,0)</f>
        <v>2450</v>
      </c>
      <c r="L6359" s="1" t="s">
        <v>751</v>
      </c>
    </row>
    <row r="6360" customFormat="false" ht="17.15" hidden="false" customHeight="false" outlineLevel="0" collapsed="false">
      <c r="A6360" s="0" t="s">
        <v>752</v>
      </c>
      <c r="B6360" s="0" t="s">
        <v>95</v>
      </c>
      <c r="C6360" s="6" t="n">
        <f aca="false">Sens!C6341*Sens!C6358/1000</f>
        <v>22.5333845916667</v>
      </c>
      <c r="D6360" s="6" t="n">
        <f aca="false">Sens!D6341*Sens!D6358/1000</f>
        <v>34.0300093833333</v>
      </c>
      <c r="E6360" s="6" t="n">
        <f aca="false">Sens!E6341*Sens!E6358/1000</f>
        <v>67.600153775</v>
      </c>
      <c r="F6360" s="6" t="n">
        <f aca="false">(Sens!F6341+Sens!F6359)*Sens!F6358/1000</f>
        <v>130.923271871467</v>
      </c>
      <c r="G6360" s="6" t="n">
        <f aca="false">(Sens!G6341+Sens!G6359)*Sens!G6358/1000</f>
        <v>151.5545564832</v>
      </c>
      <c r="H6360" s="6" t="n">
        <f aca="false">(Sens!H6341+Sens!H6359)*Sens!H6358/1000</f>
        <v>156.0606619104</v>
      </c>
      <c r="I6360" s="6" t="n">
        <f aca="false">(Sens!I6341+Sens!I6359)*Sens!I6358/1000</f>
        <v>186.319337257067</v>
      </c>
      <c r="J6360" s="6" t="n">
        <f aca="false">(Sens!J6341+Sens!J6359)*Sens!J6358/1000</f>
        <v>201.757436923733</v>
      </c>
      <c r="K6360" s="6" t="n">
        <f aca="false">(Sens!K6341+Sens!K6359)*Sens!K6358/1000</f>
        <v>246.8366879504</v>
      </c>
    </row>
    <row r="6361" customFormat="false" ht="17.15" hidden="false" customHeight="false" outlineLevel="0" collapsed="false">
      <c r="A6361" s="0" t="s">
        <v>753</v>
      </c>
      <c r="B6361" s="0" t="s">
        <v>95</v>
      </c>
      <c r="C6361" s="6" t="n">
        <f aca="false">Sens!C6341*self_build*tk_cxfac/1000</f>
        <v>6.2083</v>
      </c>
      <c r="D6361" s="6" t="n">
        <f aca="false">Sens!D6341*self_build*tk_cxfac/1000</f>
        <v>9.3758</v>
      </c>
      <c r="E6361" s="6" t="n">
        <f aca="false">Sens!E6341*self_build*tk_cxfac/1000</f>
        <v>18.6249</v>
      </c>
      <c r="F6361" s="6" t="n">
        <f aca="false">Sens!F6341*self_build*tk_cxfac/1000</f>
        <v>29.409604</v>
      </c>
      <c r="G6361" s="6" t="n">
        <f aca="false">Sens!G6341*self_build*tk_cxfac/1000</f>
        <v>32.019624</v>
      </c>
      <c r="H6361" s="6" t="n">
        <f aca="false">Sens!H6341*self_build*tk_cxfac/1000</f>
        <v>32.019624</v>
      </c>
      <c r="I6361" s="6" t="n">
        <f aca="false">Sens!I6341*self_build*tk_cxfac/1000</f>
        <v>32.019624</v>
      </c>
      <c r="J6361" s="6" t="n">
        <f aca="false">Sens!J6341*self_build*tk_cxfac/1000</f>
        <v>32.019624</v>
      </c>
      <c r="K6361" s="6" t="n">
        <f aca="false">Sens!K6341*self_build*tk_cxfac/1000</f>
        <v>32.019624</v>
      </c>
    </row>
    <row r="6362" customFormat="false" ht="17.15" hidden="false" customHeight="false" outlineLevel="0" collapsed="false">
      <c r="A6362" s="0" t="s">
        <v>754</v>
      </c>
      <c r="B6362" s="0" t="s">
        <v>95</v>
      </c>
      <c r="F6362" s="6" t="n">
        <f aca="false">MAX(0,capex_floor27-Sens!F6360-Sens!F6361-Sens!F6449)</f>
        <v>8.21190539250474</v>
      </c>
      <c r="G6362" s="6" t="n">
        <f aca="false">0</f>
        <v>0</v>
      </c>
      <c r="H6362" s="6" t="n">
        <f aca="false">0</f>
        <v>0</v>
      </c>
      <c r="I6362" s="6" t="n">
        <f aca="false">0</f>
        <v>0</v>
      </c>
      <c r="J6362" s="6" t="n">
        <f aca="false">0</f>
        <v>0</v>
      </c>
      <c r="K6362" s="6" t="n">
        <f aca="false">0</f>
        <v>0</v>
      </c>
      <c r="L6362" s="1" t="s">
        <v>755</v>
      </c>
    </row>
    <row r="6363" customFormat="false" ht="17.15" hidden="false" customHeight="false" outlineLevel="0" collapsed="false">
      <c r="A6363" s="0" t="s">
        <v>756</v>
      </c>
      <c r="B6363" s="0" t="s">
        <v>95</v>
      </c>
      <c r="C6363" s="6" t="n">
        <f aca="false">Sens!C6360</f>
        <v>22.5333845916667</v>
      </c>
      <c r="D6363" s="6" t="n">
        <f aca="false">Sens!D6360</f>
        <v>34.0300093833333</v>
      </c>
      <c r="E6363" s="6" t="n">
        <f aca="false">Sens!E6360</f>
        <v>67.600153775</v>
      </c>
      <c r="F6363" s="6" t="n">
        <f aca="false">Sens!F6360+Sens!F6362</f>
        <v>139.135177263971</v>
      </c>
      <c r="G6363" s="6" t="n">
        <f aca="false">Sens!G6360+Sens!G6362</f>
        <v>151.5545564832</v>
      </c>
      <c r="H6363" s="6" t="n">
        <f aca="false">Sens!H6360+Sens!H6362</f>
        <v>156.0606619104</v>
      </c>
      <c r="I6363" s="6" t="n">
        <f aca="false">Sens!I6360+Sens!I6362</f>
        <v>186.319337257067</v>
      </c>
      <c r="J6363" s="6" t="n">
        <f aca="false">Sens!J6360+Sens!J6362</f>
        <v>201.757436923733</v>
      </c>
      <c r="K6363" s="6" t="n">
        <f aca="false">Sens!K6360+Sens!K6362</f>
        <v>246.8366879504</v>
      </c>
    </row>
    <row r="6364" customFormat="false" ht="17.15" hidden="false" customHeight="false" outlineLevel="0" collapsed="false">
      <c r="A6364" s="0" t="s">
        <v>757</v>
      </c>
      <c r="B6364" s="0" t="s">
        <v>95</v>
      </c>
      <c r="C6364" s="6" t="n">
        <f aca="false">Sens!C6363+Sens!C6361</f>
        <v>28.7416845916667</v>
      </c>
      <c r="D6364" s="6" t="n">
        <f aca="false">Sens!D6363+Sens!D6361</f>
        <v>43.4058093833333</v>
      </c>
      <c r="E6364" s="6" t="n">
        <f aca="false">Sens!E6363+Sens!E6361</f>
        <v>86.225053775</v>
      </c>
      <c r="F6364" s="6" t="n">
        <f aca="false">Sens!F6363+Sens!F6361</f>
        <v>168.544781263971</v>
      </c>
      <c r="G6364" s="6" t="n">
        <f aca="false">Sens!G6363+Sens!G6361</f>
        <v>183.5741804832</v>
      </c>
      <c r="H6364" s="6" t="n">
        <f aca="false">Sens!H6363+Sens!H6361</f>
        <v>188.0802859104</v>
      </c>
      <c r="I6364" s="6" t="n">
        <f aca="false">Sens!I6363+Sens!I6361</f>
        <v>218.338961257067</v>
      </c>
      <c r="J6364" s="6" t="n">
        <f aca="false">Sens!J6363+Sens!J6361</f>
        <v>233.777060923733</v>
      </c>
      <c r="K6364" s="6" t="n">
        <f aca="false">Sens!K6363+Sens!K6361</f>
        <v>278.8563119504</v>
      </c>
      <c r="L6364" s="11" t="s">
        <v>758</v>
      </c>
    </row>
    <row r="6365" customFormat="false" ht="17.15" hidden="false" customHeight="false" outlineLevel="0" collapsed="false">
      <c r="A6365" s="0" t="s">
        <v>759</v>
      </c>
      <c r="B6365" s="0" t="s">
        <v>95</v>
      </c>
      <c r="E6365" s="6" t="n">
        <f aca="false">(Sens!C6363*IF(2&lt;life_it,1,IF(2=life_it,0.5,0))+Sens!D6363*IF(1&lt;life_it,1,IF(1=life_it,0.5,0))+Sens!E6363*0.5)/life_it</f>
        <v>15.0605784770833</v>
      </c>
      <c r="F6365" s="6" t="n">
        <f aca="false">(Sens!C6363*IF(3&lt;life_it,1,IF(3=life_it,0.5,0))+Sens!D6363*IF(2&lt;life_it,1,IF(2=life_it,0.5,0))+Sens!E6363*IF(1&lt;life_it,1,IF(1=life_it,0.5,0))+Sens!F6363*0.5)/life_it</f>
        <v>32.2885227303309</v>
      </c>
      <c r="G6365" s="6" t="n">
        <f aca="false">(Sens!C6363*IF(4&lt;life_it,1,IF(4=life_it,0.5,0))+Sens!D6363*IF(3&lt;life_it,1,IF(3=life_it,0.5,0))+Sens!E6363*IF(2&lt;life_it,1,IF(2=life_it,0.5,0))+Sens!F6363*IF(1&lt;life_it,1,IF(1=life_it,0.5,0))+Sens!G6363*0.5)/life_it</f>
        <v>56.5126672092619</v>
      </c>
      <c r="H6365" s="6" t="n">
        <f aca="false">(Sens!C6363*IF(5&lt;life_it,1,IF(5=life_it,0.5,0))+Sens!D6363*IF(4&lt;life_it,1,IF(4=life_it,0.5,0))+Sens!E6363*IF(3&lt;life_it,1,IF(3=life_it,0.5,0))+Sens!F6363*IF(2&lt;life_it,1,IF(2=life_it,0.5,0))+Sens!G6363*IF(1&lt;life_it,1,IF(1=life_it,0.5,0))+Sens!H6363*0.5)/life_it</f>
        <v>82.1472687420619</v>
      </c>
      <c r="I6365" s="6" t="n">
        <f aca="false">(Sens!C6363*IF(6&lt;life_it,1,IF(6=life_it,0.5,0))+Sens!D6363*IF(5&lt;life_it,1,IF(5=life_it,0.5,0))+Sens!E6363*IF(4&lt;life_it,1,IF(4=life_it,0.5,0))+Sens!F6363*IF(3&lt;life_it,1,IF(3=life_it,0.5,0))+Sens!G6363*IF(2&lt;life_it,1,IF(2=life_it,0.5,0))+Sens!H6363*IF(1&lt;life_it,1,IF(1=life_it,0.5,0))+Sens!I6363*0.5)/life_it</f>
        <v>108.801153290045</v>
      </c>
      <c r="J6365" s="6" t="n">
        <f aca="false">(Sens!C6363*IF(7&lt;life_it,1,IF(7=life_it,0.5,0))+Sens!D6363*IF(6&lt;life_it,1,IF(6=life_it,0.5,0))+Sens!E6363*IF(5&lt;life_it,1,IF(5=life_it,0.5,0))+Sens!F6363*IF(4&lt;life_it,1,IF(4=life_it,0.5,0))+Sens!G6363*IF(3&lt;life_it,1,IF(3=life_it,0.5,0))+Sens!H6363*IF(2&lt;life_it,1,IF(2=life_it,0.5,0))+Sens!I6363*IF(1&lt;life_it,1,IF(1=life_it,0.5,0))+Sens!J6363*0.5)/life_it</f>
        <v>136.427268307195</v>
      </c>
      <c r="K6365" s="6" t="n">
        <f aca="false">(Sens!C6363*IF(8&lt;life_it,1,IF(8=life_it,0.5,0))+Sens!D6363*IF(7&lt;life_it,1,IF(7=life_it,0.5,0))+Sens!E6363*IF(6&lt;life_it,1,IF(6=life_it,0.5,0))+Sens!F6363*IF(5&lt;life_it,1,IF(5=life_it,0.5,0))+Sens!G6363*IF(4&lt;life_it,1,IF(4=life_it,0.5,0))+Sens!H6363*IF(3&lt;life_it,1,IF(3=life_it,0.5,0))+Sens!I6363*IF(2&lt;life_it,1,IF(2=life_it,0.5,0))+Sens!J6363*IF(1&lt;life_it,1,IF(1=life_it,0.5,0))+Sens!K6363*0.5)/life_it</f>
        <v>165.340931783512</v>
      </c>
    </row>
    <row r="6366" customFormat="false" ht="17.15" hidden="false" customHeight="false" outlineLevel="0" collapsed="false">
      <c r="A6366" s="0" t="s">
        <v>760</v>
      </c>
      <c r="B6366" s="0" t="s">
        <v>95</v>
      </c>
      <c r="E6366" s="6" t="n">
        <f aca="false">(Sens!C6361*IF(2&lt;life_fac,1,IF(2=life_fac,0.5,0))+Sens!D6361*IF(1&lt;life_fac,1,IF(1=life_fac,0.5,0))+Sens!E6361*0.5)/life_fac</f>
        <v>1.2448275</v>
      </c>
      <c r="F6366" s="6" t="n">
        <f aca="false">(Sens!C6361*IF(3&lt;life_fac,1,IF(3=life_fac,0.5,0))+Sens!D6361*IF(2&lt;life_fac,1,IF(2=life_fac,0.5,0))+Sens!E6361*IF(1&lt;life_fac,1,IF(1=life_fac,0.5,0))+Sens!F6361*0.5)/life_fac</f>
        <v>2.4456901</v>
      </c>
      <c r="G6366" s="6" t="n">
        <f aca="false">(Sens!C6361*IF(4&lt;life_fac,1,IF(4=life_fac,0.5,0))+Sens!D6361*IF(3&lt;life_fac,1,IF(3=life_fac,0.5,0))+Sens!E6361*IF(2&lt;life_fac,1,IF(2=life_fac,0.5,0))+Sens!F6361*IF(1&lt;life_fac,1,IF(1=life_fac,0.5,0))+Sens!G6361*0.5)/life_fac</f>
        <v>3.9814208</v>
      </c>
      <c r="H6366" s="6" t="n">
        <f aca="false">(Sens!C6361*IF(5&lt;life_fac,1,IF(5=life_fac,0.5,0))+Sens!D6361*IF(4&lt;life_fac,1,IF(4=life_fac,0.5,0))+Sens!E6361*IF(3&lt;life_fac,1,IF(3=life_fac,0.5,0))+Sens!F6361*IF(2&lt;life_fac,1,IF(2=life_fac,0.5,0))+Sens!G6361*IF(1&lt;life_fac,1,IF(1=life_fac,0.5,0))+Sens!H6361*0.5)/life_fac</f>
        <v>5.582402</v>
      </c>
      <c r="I6366" s="6" t="n">
        <f aca="false">(Sens!C6361*IF(6&lt;life_fac,1,IF(6=life_fac,0.5,0))+Sens!D6361*IF(5&lt;life_fac,1,IF(5=life_fac,0.5,0))+Sens!E6361*IF(4&lt;life_fac,1,IF(4=life_fac,0.5,0))+Sens!F6361*IF(3&lt;life_fac,1,IF(3=life_fac,0.5,0))+Sens!G6361*IF(2&lt;life_fac,1,IF(2=life_fac,0.5,0))+Sens!H6361*IF(1&lt;life_fac,1,IF(1=life_fac,0.5,0))+Sens!I6361*0.5)/life_fac</f>
        <v>7.1833832</v>
      </c>
      <c r="J6366" s="6" t="n">
        <f aca="false">(Sens!C6361*IF(7&lt;life_fac,1,IF(7=life_fac,0.5,0))+Sens!D6361*IF(6&lt;life_fac,1,IF(6=life_fac,0.5,0))+Sens!E6361*IF(5&lt;life_fac,1,IF(5=life_fac,0.5,0))+Sens!F6361*IF(4&lt;life_fac,1,IF(4=life_fac,0.5,0))+Sens!G6361*IF(3&lt;life_fac,1,IF(3=life_fac,0.5,0))+Sens!H6361*IF(2&lt;life_fac,1,IF(2=life_fac,0.5,0))+Sens!I6361*IF(1&lt;life_fac,1,IF(1=life_fac,0.5,0))+Sens!J6361*0.5)/life_fac</f>
        <v>8.7843644</v>
      </c>
      <c r="K6366" s="6" t="n">
        <f aca="false">(Sens!C6361*IF(8&lt;life_fac,1,IF(8=life_fac,0.5,0))+Sens!D6361*IF(7&lt;life_fac,1,IF(7=life_fac,0.5,0))+Sens!E6361*IF(6&lt;life_fac,1,IF(6=life_fac,0.5,0))+Sens!F6361*IF(5&lt;life_fac,1,IF(5=life_fac,0.5,0))+Sens!G6361*IF(4&lt;life_fac,1,IF(4=life_fac,0.5,0))+Sens!H6361*IF(3&lt;life_fac,1,IF(3=life_fac,0.5,0))+Sens!I6361*IF(2&lt;life_fac,1,IF(2=life_fac,0.5,0))+Sens!J6361*IF(1&lt;life_fac,1,IF(1=life_fac,0.5,0))+Sens!K6361*0.5)/life_fac</f>
        <v>10.3853456</v>
      </c>
    </row>
    <row r="6367" customFormat="false" ht="17.15" hidden="false" customHeight="false" outlineLevel="0" collapsed="false">
      <c r="A6367" s="0" t="s">
        <v>761</v>
      </c>
      <c r="B6367" s="0" t="s">
        <v>95</v>
      </c>
      <c r="E6367" s="6" t="n">
        <f aca="false">Sens!E6365+Sens!E6366</f>
        <v>16.3054059770833</v>
      </c>
      <c r="F6367" s="6" t="n">
        <f aca="false">Sens!F6365+Sens!F6366</f>
        <v>34.734212830331</v>
      </c>
      <c r="G6367" s="6" t="n">
        <f aca="false">Sens!G6365+Sens!G6366</f>
        <v>60.4940880092619</v>
      </c>
      <c r="H6367" s="6" t="n">
        <f aca="false">Sens!H6365+Sens!H6366</f>
        <v>87.7296707420619</v>
      </c>
      <c r="I6367" s="6" t="n">
        <f aca="false">Sens!I6365+Sens!I6366</f>
        <v>115.984536490045</v>
      </c>
      <c r="J6367" s="6" t="n">
        <f aca="false">Sens!J6365+Sens!J6366</f>
        <v>145.211632707195</v>
      </c>
      <c r="K6367" s="6" t="n">
        <f aca="false">Sens!K6365+Sens!K6366</f>
        <v>175.726277383512</v>
      </c>
    </row>
    <row r="6368" customFormat="false" ht="17.15" hidden="false" customHeight="false" outlineLevel="0" collapsed="false">
      <c r="A6368" s="0" t="s">
        <v>762</v>
      </c>
      <c r="B6368" s="0" t="s">
        <v>95</v>
      </c>
      <c r="E6368" s="6" t="n">
        <f aca="false">Sens!E6356-Sens!E6355*Sens!E6367</f>
        <v>8.92707889977379</v>
      </c>
      <c r="F6368" s="6" t="n">
        <f aca="false">Sens!F6356-Sens!F6355*Sens!F6367</f>
        <v>22.2873257065385</v>
      </c>
      <c r="G6368" s="6" t="n">
        <f aca="false">Sens!G6356-Sens!G6355*Sens!G6367</f>
        <v>42.1748495743481</v>
      </c>
      <c r="H6368" s="6" t="n">
        <f aca="false">Sens!H6356-Sens!H6355*Sens!H6367</f>
        <v>67.5318218159817</v>
      </c>
      <c r="I6368" s="6" t="n">
        <f aca="false">Sens!I6356-Sens!I6355*Sens!I6367</f>
        <v>86.4959920759364</v>
      </c>
      <c r="J6368" s="6" t="n">
        <f aca="false">Sens!J6356-Sens!J6355*Sens!J6367</f>
        <v>104.969895300333</v>
      </c>
      <c r="K6368" s="6" t="n">
        <f aca="false">Sens!K6356-Sens!K6355*Sens!K6367</f>
        <v>122.726018787072</v>
      </c>
    </row>
    <row r="6369" customFormat="false" ht="17.15" hidden="false" customHeight="false" outlineLevel="0" collapsed="false">
      <c r="A6369" s="3" t="s">
        <v>1295</v>
      </c>
    </row>
    <row r="6370" customFormat="false" ht="15" hidden="false" customHeight="false" outlineLevel="0" collapsed="false">
      <c r="A6370" s="4" t="s">
        <v>43</v>
      </c>
      <c r="B6370" s="4" t="s">
        <v>63</v>
      </c>
      <c r="C6370" s="19" t="s">
        <v>710</v>
      </c>
      <c r="D6370" s="19" t="s">
        <v>711</v>
      </c>
      <c r="E6370" s="19" t="s">
        <v>712</v>
      </c>
      <c r="F6370" s="19" t="s">
        <v>713</v>
      </c>
      <c r="G6370" s="19" t="s">
        <v>714</v>
      </c>
      <c r="H6370" s="19" t="s">
        <v>715</v>
      </c>
      <c r="I6370" s="19" t="s">
        <v>716</v>
      </c>
      <c r="J6370" s="19" t="s">
        <v>717</v>
      </c>
      <c r="K6370" s="19" t="s">
        <v>718</v>
      </c>
      <c r="L6370" s="4" t="s">
        <v>47</v>
      </c>
    </row>
    <row r="6371" customFormat="false" ht="17.15" hidden="false" customHeight="false" outlineLevel="0" collapsed="false">
      <c r="A6371" s="0" t="s">
        <v>780</v>
      </c>
      <c r="B6371" s="0" t="s">
        <v>95</v>
      </c>
      <c r="D6371" s="6" t="n">
        <f aca="false">Sens!D6350</f>
        <v>12.9359794422418</v>
      </c>
      <c r="E6371" s="6" t="n">
        <f aca="false">Sens!E6350</f>
        <v>27.8095064661409</v>
      </c>
      <c r="F6371" s="6" t="n">
        <f aca="false">Sens!F6350</f>
        <v>58.7324192305018</v>
      </c>
      <c r="G6371" s="6" t="n">
        <f aca="false">Sens!G6350</f>
        <v>101.369089141153</v>
      </c>
      <c r="H6371" s="6" t="n">
        <f aca="false">Sens!H6350</f>
        <v>149.785610014234</v>
      </c>
      <c r="I6371" s="6" t="n">
        <f aca="false">Sens!I6350</f>
        <v>192.439389583079</v>
      </c>
      <c r="J6371" s="6" t="n">
        <f aca="false">Sens!J6350</f>
        <v>235.195906491722</v>
      </c>
      <c r="K6371" s="6" t="n">
        <f aca="false">Sens!K6350</f>
        <v>278.012858836343</v>
      </c>
    </row>
    <row r="6372" customFormat="false" ht="17.15" hidden="false" customHeight="false" outlineLevel="0" collapsed="false">
      <c r="A6372" s="0" t="s">
        <v>781</v>
      </c>
      <c r="B6372" s="0" t="s">
        <v>95</v>
      </c>
      <c r="D6372" s="6" t="n">
        <f aca="false">Q!L6-Sens!D6371</f>
        <v>59.6740205577583</v>
      </c>
      <c r="E6372" s="6" t="n">
        <f aca="false">Q!M6-Sens!E6371</f>
        <v>74.1284935338591</v>
      </c>
      <c r="F6372" s="6" t="n">
        <f aca="false">Sens!E6372*(1+Sens!F6373)</f>
        <v>89.709307269697</v>
      </c>
      <c r="G6372" s="6" t="n">
        <f aca="false">Sens!F6372*(1+Sens!G6373)</f>
        <v>105.690953558647</v>
      </c>
      <c r="H6372" s="6" t="n">
        <f aca="false">Sens!G6372*(1+Sens!H6373)</f>
        <v>121.133663984194</v>
      </c>
      <c r="I6372" s="6" t="n">
        <f aca="false">Sens!H6372*(1+Sens!I6373)</f>
        <v>134.951941602699</v>
      </c>
      <c r="J6372" s="6" t="n">
        <f aca="false">Sens!I6372*(1+Sens!J6373)</f>
        <v>146.023036389274</v>
      </c>
      <c r="K6372" s="6" t="n">
        <f aca="false">Sens!J6372*(1+Sens!K6373)</f>
        <v>153.324188208738</v>
      </c>
    </row>
    <row r="6373" customFormat="false" ht="15" hidden="false" customHeight="false" outlineLevel="0" collapsed="false">
      <c r="A6373" s="1" t="s">
        <v>782</v>
      </c>
      <c r="B6373" s="0" t="s">
        <v>126</v>
      </c>
      <c r="E6373" s="7" t="n">
        <f aca="false">Sens!E6372/Sens!D6372-1</f>
        <v>0.242223883039864</v>
      </c>
      <c r="F6373" s="7" t="n">
        <f aca="false">Sens!$E$6373+(glt_azo_lo-Sens!$E$6373)*MIN(1,1/n_conv)</f>
        <v>0.210186569199887</v>
      </c>
      <c r="G6373" s="7" t="n">
        <f aca="false">Sens!$E$6373+(glt_azo_lo-Sens!$E$6373)*MIN(1,2/n_conv)</f>
        <v>0.17814925535991</v>
      </c>
      <c r="H6373" s="7" t="n">
        <f aca="false">Sens!$E$6373+(glt_azo_lo-Sens!$E$6373)*MIN(1,3/n_conv)</f>
        <v>0.146111941519932</v>
      </c>
      <c r="I6373" s="7" t="n">
        <f aca="false">Sens!$E$6373+(glt_azo_lo-Sens!$E$6373)*MIN(1,4/n_conv)</f>
        <v>0.114074627679955</v>
      </c>
      <c r="J6373" s="7" t="n">
        <f aca="false">Sens!$E$6373+(glt_azo_lo-Sens!$E$6373)*MIN(1,5/n_conv)</f>
        <v>0.0820373138399774</v>
      </c>
      <c r="K6373" s="7" t="n">
        <f aca="false">Sens!$E$6373+(glt_azo_lo-Sens!$E$6373)*MIN(1,6/n_conv)</f>
        <v>0.05</v>
      </c>
    </row>
    <row r="6374" customFormat="false" ht="15" hidden="false" customHeight="false" outlineLevel="0" collapsed="false">
      <c r="A6374" s="0" t="s">
        <v>783</v>
      </c>
      <c r="B6374" s="0" t="s">
        <v>95</v>
      </c>
      <c r="D6374" s="6" t="n">
        <f aca="false">Sens!D6371+Sens!D6372</f>
        <v>72.61</v>
      </c>
      <c r="E6374" s="6" t="n">
        <f aca="false">Sens!E6371+Sens!E6372</f>
        <v>101.938</v>
      </c>
      <c r="F6374" s="6" t="n">
        <f aca="false">Sens!F6371+Sens!F6372</f>
        <v>148.441726500199</v>
      </c>
      <c r="G6374" s="6" t="n">
        <f aca="false">Sens!G6371+Sens!G6372</f>
        <v>207.0600426998</v>
      </c>
      <c r="H6374" s="6" t="n">
        <f aca="false">Sens!H6371+Sens!H6372</f>
        <v>270.919273998428</v>
      </c>
      <c r="I6374" s="6" t="n">
        <f aca="false">Sens!I6371+Sens!I6372</f>
        <v>327.391331185778</v>
      </c>
      <c r="J6374" s="6" t="n">
        <f aca="false">Sens!J6371+Sens!J6372</f>
        <v>381.218942880996</v>
      </c>
      <c r="K6374" s="6" t="n">
        <f aca="false">Sens!K6371+Sens!K6372</f>
        <v>431.337047045081</v>
      </c>
    </row>
    <row r="6375" customFormat="false" ht="17.15" hidden="false" customHeight="false" outlineLevel="0" collapsed="false">
      <c r="A6375" s="0" t="s">
        <v>784</v>
      </c>
      <c r="B6375" s="1" t="s">
        <v>451</v>
      </c>
      <c r="C6375" s="27" t="n">
        <f aca="false">cop_s24</f>
        <v>1</v>
      </c>
      <c r="D6375" s="27" t="n">
        <f aca="false">cop_s25</f>
        <v>5</v>
      </c>
      <c r="E6375" s="27" t="n">
        <f aca="false">cop_s26</f>
        <v>30</v>
      </c>
      <c r="F6375" s="27" t="n">
        <f aca="false">Sens!E6375+IF(2027&lt;=2029,cop_add_A,cop_add_A*cop_tail)</f>
        <v>60</v>
      </c>
      <c r="G6375" s="27" t="n">
        <f aca="false">Sens!F6375+IF(2028&lt;=2029,cop_add_A,cop_add_A*cop_tail)</f>
        <v>90</v>
      </c>
      <c r="H6375" s="27" t="n">
        <f aca="false">Sens!G6375+IF(2029&lt;=2029,cop_add_A,cop_add_A*cop_tail)</f>
        <v>120</v>
      </c>
      <c r="I6375" s="27" t="n">
        <f aca="false">Sens!H6375+IF(2030&lt;=2029,cop_add_A,cop_add_A*cop_tail)</f>
        <v>135</v>
      </c>
      <c r="J6375" s="27" t="n">
        <f aca="false">Sens!I6375+IF(2031&lt;=2029,cop_add_A,cop_add_A*cop_tail)</f>
        <v>150</v>
      </c>
      <c r="K6375" s="27" t="n">
        <f aca="false">Sens!J6375+IF(2032&lt;=2029,cop_add_A,cop_add_A*cop_tail)</f>
        <v>165</v>
      </c>
    </row>
    <row r="6376" customFormat="false" ht="17.15" hidden="false" customHeight="false" outlineLevel="0" collapsed="false">
      <c r="A6376" s="0" t="s">
        <v>785</v>
      </c>
      <c r="B6376" s="0" t="s">
        <v>95</v>
      </c>
      <c r="D6376" s="6" t="n">
        <f aca="false">(Sens!C6375+Sens!D6375)/2*cop_px*12/1000</f>
        <v>0.9</v>
      </c>
      <c r="E6376" s="6" t="n">
        <f aca="false">(Sens!D6375+Sens!E6375)/2*cop_px*12/1000</f>
        <v>5.25</v>
      </c>
      <c r="F6376" s="6" t="n">
        <f aca="false">(Sens!E6375+Sens!F6375)/2*cop_px*12/1000</f>
        <v>13.5</v>
      </c>
      <c r="G6376" s="6" t="n">
        <f aca="false">(Sens!F6375+Sens!G6375)/2*cop_px*12/1000</f>
        <v>22.5</v>
      </c>
      <c r="H6376" s="6" t="n">
        <f aca="false">(Sens!G6375+Sens!H6375)/2*cop_px*12/1000</f>
        <v>31.5</v>
      </c>
      <c r="I6376" s="6" t="n">
        <f aca="false">(Sens!H6375+Sens!I6375)/2*cop_px*12/1000</f>
        <v>38.25</v>
      </c>
      <c r="J6376" s="6" t="n">
        <f aca="false">(Sens!I6375+Sens!J6375)/2*cop_px*12/1000</f>
        <v>42.75</v>
      </c>
      <c r="K6376" s="6" t="n">
        <f aca="false">(Sens!J6375+Sens!K6375)/2*cop_px*12/1000</f>
        <v>47.25</v>
      </c>
      <c r="L6376" s="1" t="s">
        <v>786</v>
      </c>
    </row>
    <row r="6377" customFormat="false" ht="17.15" hidden="false" customHeight="false" outlineLevel="0" collapsed="false">
      <c r="A6377" s="0" t="s">
        <v>787</v>
      </c>
      <c r="B6377" s="0" t="s">
        <v>95</v>
      </c>
      <c r="D6377" s="6" t="n">
        <f aca="false">Q!L7-Sens!D6376</f>
        <v>83.705</v>
      </c>
      <c r="E6377" s="6" t="n">
        <f aca="false">Q!M7-Sens!E6376</f>
        <v>95.049</v>
      </c>
      <c r="F6377" s="6" t="n">
        <f aca="false">Sens!E6377*(1+Sens!F6378)</f>
        <v>106.89238776686</v>
      </c>
      <c r="G6377" s="6" t="n">
        <f aca="false">Sens!F6377*(1+Sens!G6378)</f>
        <v>119.044168448684</v>
      </c>
      <c r="H6377" s="6" t="n">
        <f aca="false">Sens!G6377*(1+Sens!H6378)</f>
        <v>131.277359388781</v>
      </c>
      <c r="I6377" s="6" t="n">
        <f aca="false">Sens!H6377*(1+Sens!I6378)</f>
        <v>143.334028071957</v>
      </c>
      <c r="J6377" s="6" t="n">
        <f aca="false">Sens!I6377*(1+Sens!J6378)</f>
        <v>154.932702785465</v>
      </c>
      <c r="K6377" s="6" t="n">
        <f aca="false">Sens!J6377*(1+Sens!K6378)</f>
        <v>165.777991980448</v>
      </c>
    </row>
    <row r="6378" customFormat="false" ht="15" hidden="false" customHeight="false" outlineLevel="0" collapsed="false">
      <c r="A6378" s="1" t="s">
        <v>782</v>
      </c>
      <c r="B6378" s="0" t="s">
        <v>126</v>
      </c>
      <c r="E6378" s="7" t="n">
        <f aca="false">Sens!E6377/Sens!D6377-1</f>
        <v>0.135523564900544</v>
      </c>
      <c r="F6378" s="7" t="n">
        <f aca="false">Sens!$E$6378+(glt_m365b-Sens!$E$6378)*MIN(1,1/n_conv)</f>
        <v>0.124602970750453</v>
      </c>
      <c r="G6378" s="7" t="n">
        <f aca="false">Sens!$E$6378+(glt_m365b-Sens!$E$6378)*MIN(1,2/n_conv)</f>
        <v>0.113682376600363</v>
      </c>
      <c r="H6378" s="7" t="n">
        <f aca="false">Sens!$E$6378+(glt_m365b-Sens!$E$6378)*MIN(1,3/n_conv)</f>
        <v>0.102761782450272</v>
      </c>
      <c r="I6378" s="7" t="n">
        <f aca="false">Sens!$E$6378+(glt_m365b-Sens!$E$6378)*MIN(1,4/n_conv)</f>
        <v>0.0918411883001813</v>
      </c>
      <c r="J6378" s="7" t="n">
        <f aca="false">Sens!$E$6378+(glt_m365b-Sens!$E$6378)*MIN(1,5/n_conv)</f>
        <v>0.0809205941500906</v>
      </c>
      <c r="K6378" s="7" t="n">
        <f aca="false">Sens!$E$6378+(glt_m365b-Sens!$E$6378)*MIN(1,6/n_conv)</f>
        <v>0.07</v>
      </c>
    </row>
    <row r="6379" customFormat="false" ht="15" hidden="false" customHeight="false" outlineLevel="0" collapsed="false">
      <c r="A6379" s="0" t="s">
        <v>788</v>
      </c>
      <c r="B6379" s="0" t="s">
        <v>95</v>
      </c>
      <c r="D6379" s="6" t="n">
        <f aca="false">Sens!D6377+Sens!D6376</f>
        <v>84.605</v>
      </c>
      <c r="E6379" s="6" t="n">
        <f aca="false">Sens!E6377+Sens!E6376</f>
        <v>100.299</v>
      </c>
      <c r="F6379" s="6" t="n">
        <f aca="false">Sens!F6377+Sens!F6376</f>
        <v>120.39238776686</v>
      </c>
      <c r="G6379" s="6" t="n">
        <f aca="false">Sens!G6377+Sens!G6376</f>
        <v>141.544168448684</v>
      </c>
      <c r="H6379" s="6" t="n">
        <f aca="false">Sens!H6377+Sens!H6376</f>
        <v>162.777359388781</v>
      </c>
      <c r="I6379" s="6" t="n">
        <f aca="false">Sens!I6377+Sens!I6376</f>
        <v>181.584028071957</v>
      </c>
      <c r="J6379" s="6" t="n">
        <f aca="false">Sens!J6377+Sens!J6376</f>
        <v>197.682702785465</v>
      </c>
      <c r="K6379" s="6" t="n">
        <f aca="false">Sens!K6377+Sens!K6376</f>
        <v>213.027991980448</v>
      </c>
    </row>
    <row r="6380" customFormat="false" ht="15" hidden="false" customHeight="false" outlineLevel="0" collapsed="false">
      <c r="A6380" s="0" t="s">
        <v>789</v>
      </c>
      <c r="B6380" s="0" t="s">
        <v>95</v>
      </c>
      <c r="D6380" s="6" t="n">
        <f aca="false">Q!L8</f>
        <v>35.391</v>
      </c>
      <c r="E6380" s="6" t="n">
        <f aca="false">Q!M8</f>
        <v>37.285</v>
      </c>
      <c r="F6380" s="6" t="n">
        <f aca="false">Sens!E6380*(1+Sens!F6381)</f>
        <v>39.0720834331704</v>
      </c>
      <c r="G6380" s="6" t="n">
        <f aca="false">Sens!F6380*(1+Sens!G6381)</f>
        <v>40.726562953769</v>
      </c>
      <c r="H6380" s="6" t="n">
        <f aca="false">Sens!G6380*(1+Sens!H6381)</f>
        <v>42.2235987259198</v>
      </c>
      <c r="I6380" s="6" t="n">
        <f aca="false">Sens!H6380*(1+Sens!I6381)</f>
        <v>43.5397988077414</v>
      </c>
      <c r="J6380" s="6" t="n">
        <f aca="false">Sens!I6380*(1+Sens!J6381)</f>
        <v>44.653811225693</v>
      </c>
      <c r="K6380" s="6" t="n">
        <f aca="false">Sens!J6380*(1+Sens!K6381)</f>
        <v>45.5468874502068</v>
      </c>
    </row>
    <row r="6381" customFormat="false" ht="15" hidden="false" customHeight="false" outlineLevel="0" collapsed="false">
      <c r="A6381" s="1" t="s">
        <v>782</v>
      </c>
      <c r="B6381" s="0" t="s">
        <v>126</v>
      </c>
      <c r="E6381" s="7" t="n">
        <f aca="false">Sens!E6380/Sens!D6380-1</f>
        <v>0.0535164307309768</v>
      </c>
      <c r="F6381" s="7" t="n">
        <f aca="false">Sens!$E$6381+(glt_lic-Sens!$E$6381)*MIN(1,1/n_conv)</f>
        <v>0.0479303589424807</v>
      </c>
      <c r="G6381" s="7" t="n">
        <f aca="false">Sens!$E$6381+(glt_lic-Sens!$E$6381)*MIN(1,2/n_conv)</f>
        <v>0.0423442871539845</v>
      </c>
      <c r="H6381" s="7" t="n">
        <f aca="false">Sens!$E$6381+(glt_lic-Sens!$E$6381)*MIN(1,3/n_conv)</f>
        <v>0.0367582153654884</v>
      </c>
      <c r="I6381" s="7" t="n">
        <f aca="false">Sens!$E$6381+(glt_lic-Sens!$E$6381)*MIN(1,4/n_conv)</f>
        <v>0.0311721435769923</v>
      </c>
      <c r="J6381" s="7" t="n">
        <f aca="false">Sens!$E$6381+(glt_lic-Sens!$E$6381)*MIN(1,5/n_conv)</f>
        <v>0.0255860717884961</v>
      </c>
      <c r="K6381" s="7" t="n">
        <f aca="false">Sens!$E$6381+(glt_lic-Sens!$E$6381)*MIN(1,6/n_conv)</f>
        <v>0.02</v>
      </c>
    </row>
    <row r="6382" customFormat="false" ht="15" hidden="false" customHeight="false" outlineLevel="0" collapsed="false">
      <c r="A6382" s="0" t="s">
        <v>790</v>
      </c>
      <c r="B6382" s="0" t="s">
        <v>95</v>
      </c>
      <c r="D6382" s="6" t="n">
        <f aca="false">Q!L9</f>
        <v>18.417</v>
      </c>
      <c r="E6382" s="6" t="n">
        <f aca="false">Q!M9</f>
        <v>20.345</v>
      </c>
      <c r="F6382" s="6" t="n">
        <f aca="false">Sens!E6382*(1+Sens!F6383)</f>
        <v>22.3572203267814</v>
      </c>
      <c r="G6382" s="6" t="n">
        <f aca="false">Sens!F6382*(1+Sens!G6383)</f>
        <v>24.4392124437232</v>
      </c>
      <c r="H6382" s="6" t="n">
        <f aca="false">Sens!G6382*(1+Sens!H6383)</f>
        <v>26.5738052080665</v>
      </c>
      <c r="I6382" s="6" t="n">
        <f aca="false">Sens!H6382*(1+Sens!I6383)</f>
        <v>28.7412169166967</v>
      </c>
      <c r="J6382" s="6" t="n">
        <f aca="false">Sens!I6382*(1+Sens!J6383)</f>
        <v>30.9192545395413</v>
      </c>
      <c r="K6382" s="6" t="n">
        <f aca="false">Sens!J6382*(1+Sens!K6383)</f>
        <v>33.0836023573092</v>
      </c>
    </row>
    <row r="6383" customFormat="false" ht="15" hidden="false" customHeight="false" outlineLevel="0" collapsed="false">
      <c r="A6383" s="1" t="s">
        <v>782</v>
      </c>
      <c r="B6383" s="0" t="s">
        <v>126</v>
      </c>
      <c r="E6383" s="7" t="n">
        <f aca="false">Sens!E6382/Sens!D6382-1</f>
        <v>0.104685888038225</v>
      </c>
      <c r="F6383" s="7" t="n">
        <f aca="false">Sens!$E$6383+(glt_ind-Sens!$E$6383)*MIN(1,1/n_conv)</f>
        <v>0.0989049066985211</v>
      </c>
      <c r="G6383" s="7" t="n">
        <f aca="false">Sens!$E$6383+(glt_ind-Sens!$E$6383)*MIN(1,2/n_conv)</f>
        <v>0.0931239253588169</v>
      </c>
      <c r="H6383" s="7" t="n">
        <f aca="false">Sens!$E$6383+(glt_ind-Sens!$E$6383)*MIN(1,3/n_conv)</f>
        <v>0.0873429440191127</v>
      </c>
      <c r="I6383" s="7" t="n">
        <f aca="false">Sens!$E$6383+(glt_ind-Sens!$E$6383)*MIN(1,4/n_conv)</f>
        <v>0.0815619626794085</v>
      </c>
      <c r="J6383" s="7" t="n">
        <f aca="false">Sens!$E$6383+(glt_ind-Sens!$E$6383)*MIN(1,5/n_conv)</f>
        <v>0.0757809813397042</v>
      </c>
      <c r="K6383" s="7" t="n">
        <f aca="false">Sens!$E$6383+(glt_ind-Sens!$E$6383)*MIN(1,6/n_conv)</f>
        <v>0.07</v>
      </c>
    </row>
    <row r="6384" customFormat="false" ht="15" hidden="false" customHeight="false" outlineLevel="0" collapsed="false">
      <c r="A6384" s="0" t="s">
        <v>791</v>
      </c>
      <c r="B6384" s="0" t="s">
        <v>95</v>
      </c>
      <c r="D6384" s="6" t="n">
        <f aca="false">Q!L10</f>
        <v>7.76</v>
      </c>
      <c r="E6384" s="6" t="n">
        <f aca="false">Q!M10</f>
        <v>8.26</v>
      </c>
      <c r="F6384" s="6" t="n">
        <f aca="false">Sens!E6384*(1+Sens!F6385)</f>
        <v>8.79988041237113</v>
      </c>
      <c r="G6384" s="6" t="n">
        <f aca="false">Sens!F6384*(1+Sens!G6385)</f>
        <v>9.38321269125306</v>
      </c>
      <c r="H6384" s="6" t="n">
        <f aca="false">Sens!G6384*(1+Sens!H6385)</f>
        <v>10.0139193587476</v>
      </c>
      <c r="I6384" s="6" t="n">
        <f aca="false">Sens!H6384*(1+Sens!I6385)</f>
        <v>10.6963111830911</v>
      </c>
      <c r="J6384" s="6" t="n">
        <f aca="false">Sens!I6384*(1+Sens!J6385)</f>
        <v>11.4351285534696</v>
      </c>
      <c r="K6384" s="6" t="n">
        <f aca="false">Sens!J6384*(1+Sens!K6385)</f>
        <v>12.2355875522124</v>
      </c>
    </row>
    <row r="6385" customFormat="false" ht="15" hidden="false" customHeight="false" outlineLevel="0" collapsed="false">
      <c r="A6385" s="1" t="s">
        <v>782</v>
      </c>
      <c r="B6385" s="0" t="s">
        <v>126</v>
      </c>
      <c r="E6385" s="7" t="n">
        <f aca="false">Sens!E6384/Sens!D6384-1</f>
        <v>0.0644329896907216</v>
      </c>
      <c r="F6385" s="7" t="n">
        <f aca="false">Sens!$E$6385+(glt_fro-Sens!$E$6385)*MIN(1,1/n_conv)</f>
        <v>0.065360824742268</v>
      </c>
      <c r="G6385" s="7" t="n">
        <f aca="false">Sens!$E$6385+(glt_fro-Sens!$E$6385)*MIN(1,2/n_conv)</f>
        <v>0.0662886597938144</v>
      </c>
      <c r="H6385" s="7" t="n">
        <f aca="false">Sens!$E$6385+(glt_fro-Sens!$E$6385)*MIN(1,3/n_conv)</f>
        <v>0.0672164948453608</v>
      </c>
      <c r="I6385" s="7" t="n">
        <f aca="false">Sens!$E$6385+(glt_fro-Sens!$E$6385)*MIN(1,4/n_conv)</f>
        <v>0.0681443298969072</v>
      </c>
      <c r="J6385" s="7" t="n">
        <f aca="false">Sens!$E$6385+(glt_fro-Sens!$E$6385)*MIN(1,5/n_conv)</f>
        <v>0.0690721649484536</v>
      </c>
      <c r="K6385" s="7" t="n">
        <f aca="false">Sens!$E$6385+(glt_fro-Sens!$E$6385)*MIN(1,6/n_conv)</f>
        <v>0.07</v>
      </c>
    </row>
    <row r="6386" customFormat="false" ht="15" hidden="false" customHeight="false" outlineLevel="0" collapsed="false">
      <c r="A6386" s="0" t="s">
        <v>626</v>
      </c>
      <c r="B6386" s="0" t="s">
        <v>95</v>
      </c>
      <c r="D6386" s="6" t="n">
        <f aca="false">Sens!D6374+Sens!D6379+Sens!D6380+Sens!D6382+Sens!D6384</f>
        <v>218.783</v>
      </c>
      <c r="E6386" s="6" t="n">
        <f aca="false">Sens!E6374+Sens!E6379+Sens!E6380+Sens!E6382+Sens!E6384</f>
        <v>268.127</v>
      </c>
      <c r="F6386" s="6" t="n">
        <f aca="false">Sens!F6374+Sens!F6379+Sens!F6380+Sens!F6382+Sens!F6384</f>
        <v>339.063298439382</v>
      </c>
      <c r="G6386" s="6" t="n">
        <f aca="false">Sens!G6374+Sens!G6379+Sens!G6380+Sens!G6382+Sens!G6384</f>
        <v>423.153199237229</v>
      </c>
      <c r="H6386" s="6" t="n">
        <f aca="false">Sens!H6374+Sens!H6379+Sens!H6380+Sens!H6382+Sens!H6384</f>
        <v>512.507956679943</v>
      </c>
      <c r="I6386" s="6" t="n">
        <f aca="false">Sens!I6374+Sens!I6379+Sens!I6380+Sens!I6382+Sens!I6384</f>
        <v>591.952686165265</v>
      </c>
      <c r="J6386" s="6" t="n">
        <f aca="false">Sens!J6374+Sens!J6379+Sens!J6380+Sens!J6382+Sens!J6384</f>
        <v>665.909839985166</v>
      </c>
      <c r="K6386" s="6" t="n">
        <f aca="false">Sens!K6374+Sens!K6379+Sens!K6380+Sens!K6382+Sens!K6384</f>
        <v>735.231116385258</v>
      </c>
    </row>
    <row r="6387" customFormat="false" ht="15" hidden="false" customHeight="false" outlineLevel="0" collapsed="false">
      <c r="A6387" s="0" t="s">
        <v>792</v>
      </c>
      <c r="B6387" s="0" t="s">
        <v>95</v>
      </c>
      <c r="D6387" s="6" t="n">
        <f aca="false">Q!L13</f>
        <v>22.171</v>
      </c>
      <c r="E6387" s="6" t="n">
        <f aca="false">Q!M13</f>
        <v>24.835</v>
      </c>
      <c r="F6387" s="6" t="n">
        <f aca="false">Sens!E6387*(1+Sens!F6388)</f>
        <v>27.6114901218559</v>
      </c>
      <c r="G6387" s="6" t="n">
        <f aca="false">Sens!F6387*(1+Sens!G6388)</f>
        <v>30.4675667338515</v>
      </c>
      <c r="H6387" s="6" t="n">
        <f aca="false">Sens!G6387*(1+Sens!H6388)</f>
        <v>33.3643766955789</v>
      </c>
      <c r="I6387" s="6" t="n">
        <f aca="false">Sens!H6387*(1+Sens!I6388)</f>
        <v>36.2577016533691</v>
      </c>
      <c r="J6387" s="6" t="n">
        <f aca="false">Sens!I6387*(1+Sens!J6388)</f>
        <v>39.0988367952171</v>
      </c>
      <c r="K6387" s="6" t="n">
        <f aca="false">Sens!J6387*(1+Sens!K6388)</f>
        <v>41.8357553708823</v>
      </c>
    </row>
    <row r="6388" customFormat="false" ht="15" hidden="false" customHeight="false" outlineLevel="0" collapsed="false">
      <c r="A6388" s="1" t="s">
        <v>782</v>
      </c>
      <c r="B6388" s="0" t="s">
        <v>126</v>
      </c>
      <c r="E6388" s="7" t="n">
        <f aca="false">Sens!E6387/Sens!D6387-1</f>
        <v>0.120156961796942</v>
      </c>
      <c r="F6388" s="7" t="n">
        <f aca="false">Sens!$E$6388+(glt_srch-Sens!$E$6388)*MIN(1,1/n_conv)</f>
        <v>0.111797468164118</v>
      </c>
      <c r="G6388" s="7" t="n">
        <f aca="false">Sens!$E$6388+(glt_srch-Sens!$E$6388)*MIN(1,2/n_conv)</f>
        <v>0.103437974531295</v>
      </c>
      <c r="H6388" s="7" t="n">
        <f aca="false">Sens!$E$6388+(glt_srch-Sens!$E$6388)*MIN(1,3/n_conv)</f>
        <v>0.095078480898471</v>
      </c>
      <c r="I6388" s="7" t="n">
        <f aca="false">Sens!$E$6388+(glt_srch-Sens!$E$6388)*MIN(1,4/n_conv)</f>
        <v>0.0867189872656474</v>
      </c>
      <c r="J6388" s="7" t="n">
        <f aca="false">Sens!$E$6388+(glt_srch-Sens!$E$6388)*MIN(1,5/n_conv)</f>
        <v>0.0783594936328237</v>
      </c>
      <c r="K6388" s="7" t="n">
        <f aca="false">Sens!$E$6388+(glt_srch-Sens!$E$6388)*MIN(1,6/n_conv)</f>
        <v>0.07</v>
      </c>
    </row>
    <row r="6389" customFormat="false" ht="15" hidden="false" customHeight="false" outlineLevel="0" collapsed="false">
      <c r="A6389" s="0" t="s">
        <v>793</v>
      </c>
      <c r="B6389" s="0" t="s">
        <v>95</v>
      </c>
      <c r="D6389" s="6" t="n">
        <f aca="false">Q!L14</f>
        <v>23.455</v>
      </c>
      <c r="E6389" s="6" t="n">
        <f aca="false">Q!M14</f>
        <v>21.79</v>
      </c>
      <c r="F6389" s="6" t="n">
        <f aca="false">Sens!E6389*(1+Sens!F6390)</f>
        <v>20.5736277908051</v>
      </c>
      <c r="G6389" s="6" t="n">
        <f aca="false">Sens!F6389*(1+Sens!G6390)</f>
        <v>19.7371452817919</v>
      </c>
      <c r="H6389" s="6" t="n">
        <f aca="false">Sens!G6389*(1+Sens!H6390)</f>
        <v>19.2339764043138</v>
      </c>
      <c r="I6389" s="6" t="n">
        <f aca="false">Sens!H6389*(1+Sens!I6390)</f>
        <v>19.0353086852681</v>
      </c>
      <c r="J6389" s="6" t="n">
        <f aca="false">Sens!I6389*(1+Sens!J6390)</f>
        <v>19.1273539319129</v>
      </c>
      <c r="K6389" s="6" t="n">
        <f aca="false">Sens!J6389*(1+Sens!K6390)</f>
        <v>19.5099010105511</v>
      </c>
    </row>
    <row r="6390" customFormat="false" ht="15" hidden="false" customHeight="false" outlineLevel="0" collapsed="false">
      <c r="A6390" s="1" t="s">
        <v>782</v>
      </c>
      <c r="B6390" s="0" t="s">
        <v>126</v>
      </c>
      <c r="E6390" s="7" t="n">
        <f aca="false">Sens!E6389/Sens!D6389-1</f>
        <v>-0.0709869963760392</v>
      </c>
      <c r="F6390" s="7" t="n">
        <f aca="false">Sens!$E$6390+(glt_xbox-Sens!$E$6390)*MIN(1,1/n_conv)</f>
        <v>-0.0558224969800327</v>
      </c>
      <c r="G6390" s="7" t="n">
        <f aca="false">Sens!$E$6390+(glt_xbox-Sens!$E$6390)*MIN(1,2/n_conv)</f>
        <v>-0.0406579975840262</v>
      </c>
      <c r="H6390" s="7" t="n">
        <f aca="false">Sens!$E$6390+(glt_xbox-Sens!$E$6390)*MIN(1,3/n_conv)</f>
        <v>-0.0254934981880196</v>
      </c>
      <c r="I6390" s="7" t="n">
        <f aca="false">Sens!$E$6390+(glt_xbox-Sens!$E$6390)*MIN(1,4/n_conv)</f>
        <v>-0.0103289987920131</v>
      </c>
      <c r="J6390" s="7" t="n">
        <f aca="false">Sens!$E$6390+(glt_xbox-Sens!$E$6390)*MIN(1,5/n_conv)</f>
        <v>0.00483550060399347</v>
      </c>
      <c r="K6390" s="7" t="n">
        <f aca="false">Sens!$E$6390+(glt_xbox-Sens!$E$6390)*MIN(1,6/n_conv)</f>
        <v>0.02</v>
      </c>
    </row>
    <row r="6391" customFormat="false" ht="15" hidden="false" customHeight="false" outlineLevel="0" collapsed="false">
      <c r="A6391" s="0" t="s">
        <v>794</v>
      </c>
      <c r="B6391" s="0" t="s">
        <v>95</v>
      </c>
      <c r="D6391" s="6" t="n">
        <f aca="false">Q!L15</f>
        <v>17.315</v>
      </c>
      <c r="E6391" s="6" t="n">
        <f aca="false">Q!M15</f>
        <v>17.087</v>
      </c>
      <c r="F6391" s="6" t="n">
        <f aca="false">Sens!E6391*(1+Sens!F6392)</f>
        <v>16.9564585436519</v>
      </c>
      <c r="G6391" s="6" t="n">
        <f aca="false">Sens!F6391*(1+Sens!G6392)</f>
        <v>16.9206490624268</v>
      </c>
      <c r="H6391" s="6" t="n">
        <f aca="false">Sens!G6391*(1+Sens!H6392)</f>
        <v>16.9784519149849</v>
      </c>
      <c r="I6391" s="6" t="n">
        <f aca="false">Sens!H6391*(1+Sens!I6392)</f>
        <v>17.1303084701817</v>
      </c>
      <c r="J6391" s="6" t="n">
        <f aca="false">Sens!I6391*(1+Sens!J6392)</f>
        <v>17.3782189407267</v>
      </c>
      <c r="K6391" s="6" t="n">
        <f aca="false">Sens!J6391*(1+Sens!K6392)</f>
        <v>17.7257833195413</v>
      </c>
    </row>
    <row r="6392" customFormat="false" ht="15" hidden="false" customHeight="false" outlineLevel="0" collapsed="false">
      <c r="A6392" s="1" t="s">
        <v>782</v>
      </c>
      <c r="B6392" s="0" t="s">
        <v>126</v>
      </c>
      <c r="E6392" s="7" t="n">
        <f aca="false">Sens!E6391/Sens!D6391-1</f>
        <v>-0.0131677736066995</v>
      </c>
      <c r="F6392" s="7" t="n">
        <f aca="false">Sens!$E$6392+(glt_win-Sens!$E$6392)*MIN(1,1/n_conv)</f>
        <v>-0.00763981133891627</v>
      </c>
      <c r="G6392" s="7" t="n">
        <f aca="false">Sens!$E$6392+(glt_win-Sens!$E$6392)*MIN(1,2/n_conv)</f>
        <v>-0.00211184907113301</v>
      </c>
      <c r="H6392" s="7" t="n">
        <f aca="false">Sens!$E$6392+(glt_win-Sens!$E$6392)*MIN(1,3/n_conv)</f>
        <v>0.00341611319665024</v>
      </c>
      <c r="I6392" s="7" t="n">
        <f aca="false">Sens!$E$6392+(glt_win-Sens!$E$6392)*MIN(1,4/n_conv)</f>
        <v>0.00894407546443349</v>
      </c>
      <c r="J6392" s="7" t="n">
        <f aca="false">Sens!$E$6392+(glt_win-Sens!$E$6392)*MIN(1,5/n_conv)</f>
        <v>0.0144720377322168</v>
      </c>
      <c r="K6392" s="7" t="n">
        <f aca="false">Sens!$E$6392+(glt_win-Sens!$E$6392)*MIN(1,6/n_conv)</f>
        <v>0.02</v>
      </c>
    </row>
    <row r="6393" customFormat="false" ht="15" hidden="false" customHeight="false" outlineLevel="0" collapsed="false">
      <c r="A6393" s="0" t="s">
        <v>640</v>
      </c>
      <c r="B6393" s="0" t="s">
        <v>95</v>
      </c>
      <c r="D6393" s="6" t="n">
        <f aca="false">Sens!D6387+Sens!D6389+Sens!D6391</f>
        <v>62.941</v>
      </c>
      <c r="E6393" s="6" t="n">
        <f aca="false">Sens!E6387+Sens!E6389+Sens!E6391</f>
        <v>63.712</v>
      </c>
      <c r="F6393" s="6" t="n">
        <f aca="false">Sens!F6387+Sens!F6389+Sens!F6391</f>
        <v>65.1415764563129</v>
      </c>
      <c r="G6393" s="6" t="n">
        <f aca="false">Sens!G6387+Sens!G6389+Sens!G6391</f>
        <v>67.1253610780702</v>
      </c>
      <c r="H6393" s="6" t="n">
        <f aca="false">Sens!H6387+Sens!H6389+Sens!H6391</f>
        <v>69.5768050148776</v>
      </c>
      <c r="I6393" s="6" t="n">
        <f aca="false">Sens!I6387+Sens!I6389+Sens!I6391</f>
        <v>72.4233188088189</v>
      </c>
      <c r="J6393" s="6" t="n">
        <f aca="false">Sens!J6387+Sens!J6389+Sens!J6391</f>
        <v>75.6044096678567</v>
      </c>
      <c r="K6393" s="6" t="n">
        <f aca="false">Sens!K6387+Sens!K6389+Sens!K6391</f>
        <v>79.0714397009747</v>
      </c>
    </row>
    <row r="6394" customFormat="false" ht="15" hidden="false" customHeight="false" outlineLevel="0" collapsed="false">
      <c r="A6394" s="1" t="s">
        <v>795</v>
      </c>
      <c r="B6394" s="0" t="s">
        <v>95</v>
      </c>
      <c r="D6394" s="6" t="n">
        <f aca="false">Sens!D6386+Sens!D6393</f>
        <v>281.724</v>
      </c>
      <c r="E6394" s="6" t="n">
        <f aca="false">Sens!E6386+Sens!E6393</f>
        <v>331.839</v>
      </c>
      <c r="F6394" s="6" t="n">
        <f aca="false">Sens!F6386+Sens!F6393</f>
        <v>404.204874895694</v>
      </c>
      <c r="G6394" s="6" t="n">
        <f aca="false">Sens!G6386+Sens!G6393</f>
        <v>490.278560315299</v>
      </c>
      <c r="H6394" s="6" t="n">
        <f aca="false">Sens!H6386+Sens!H6393</f>
        <v>582.08476169482</v>
      </c>
      <c r="I6394" s="6" t="n">
        <f aca="false">Sens!I6386+Sens!I6393</f>
        <v>664.376004974083</v>
      </c>
      <c r="J6394" s="6" t="n">
        <f aca="false">Sens!J6386+Sens!J6393</f>
        <v>741.514249653022</v>
      </c>
      <c r="K6394" s="6" t="n">
        <f aca="false">Sens!K6386+Sens!K6393</f>
        <v>814.302556086232</v>
      </c>
    </row>
    <row r="6395" customFormat="false" ht="15" hidden="false" customHeight="false" outlineLevel="0" collapsed="false">
      <c r="A6395" s="22" t="s">
        <v>796</v>
      </c>
      <c r="B6395" s="28" t="s">
        <v>95</v>
      </c>
      <c r="C6395" s="28"/>
      <c r="D6395" s="23" t="n">
        <f aca="false">(Sens!D6374+Sens!D6379+Sens!D6380+Sens!D6382+Sens!D6384-Sens!D6386)+(Sens!D6387+Sens!D6389+Sens!D6391-Sens!D6393)+(Sens!D6386-Q!L5)+(Sens!D6393-Q!L12)+(Sens!D6374-Q!L6)+(Sens!D6379-Q!L7)</f>
        <v>0</v>
      </c>
      <c r="E6395" s="23" t="n">
        <f aca="false">(Sens!E6374+Sens!E6379+Sens!E6380+Sens!E6382+Sens!E6384-Sens!E6386)+(Sens!E6387+Sens!E6389+Sens!E6391-Sens!E6393)+(Sens!E6386-Q!M5)+(Sens!E6393-Q!M12)+(Sens!E6374-Q!M6)+(Sens!E6379-Q!M7)</f>
        <v>0</v>
      </c>
      <c r="F6395" s="23" t="n">
        <f aca="false">(Sens!F6374+Sens!F6379+Sens!F6380+Sens!F6382+Sens!F6384-Sens!F6386)+(Sens!F6387+Sens!F6389+Sens!F6391-Sens!F6393)</f>
        <v>0</v>
      </c>
      <c r="G6395" s="23" t="n">
        <f aca="false">(Sens!G6374+Sens!G6379+Sens!G6380+Sens!G6382+Sens!G6384-Sens!G6386)+(Sens!G6387+Sens!G6389+Sens!G6391-Sens!G6393)</f>
        <v>0</v>
      </c>
      <c r="H6395" s="23" t="n">
        <f aca="false">(Sens!H6374+Sens!H6379+Sens!H6380+Sens!H6382+Sens!H6384-Sens!H6386)+(Sens!H6387+Sens!H6389+Sens!H6391-Sens!H6393)</f>
        <v>0</v>
      </c>
      <c r="I6395" s="23" t="n">
        <f aca="false">(Sens!I6374+Sens!I6379+Sens!I6380+Sens!I6382+Sens!I6384-Sens!I6386)+(Sens!I6387+Sens!I6389+Sens!I6391-Sens!I6393)</f>
        <v>0</v>
      </c>
      <c r="J6395" s="23" t="n">
        <f aca="false">(Sens!J6374+Sens!J6379+Sens!J6380+Sens!J6382+Sens!J6384-Sens!J6386)+(Sens!J6387+Sens!J6389+Sens!J6391-Sens!J6393)</f>
        <v>0</v>
      </c>
      <c r="K6395" s="23" t="n">
        <f aca="false">(Sens!K6374+Sens!K6379+Sens!K6380+Sens!K6382+Sens!K6384-Sens!K6386)+(Sens!K6387+Sens!K6389+Sens!K6391-Sens!K6393)</f>
        <v>0</v>
      </c>
    </row>
    <row r="6396" customFormat="false" ht="17.15" hidden="false" customHeight="false" outlineLevel="0" collapsed="false">
      <c r="A6396" s="3" t="s">
        <v>1296</v>
      </c>
    </row>
    <row r="6397" customFormat="false" ht="15" hidden="false" customHeight="false" outlineLevel="0" collapsed="false">
      <c r="A6397" s="4" t="s">
        <v>43</v>
      </c>
      <c r="B6397" s="4" t="s">
        <v>63</v>
      </c>
      <c r="C6397" s="19" t="s">
        <v>710</v>
      </c>
      <c r="D6397" s="19" t="s">
        <v>711</v>
      </c>
      <c r="E6397" s="19" t="s">
        <v>712</v>
      </c>
      <c r="F6397" s="19" t="s">
        <v>713</v>
      </c>
      <c r="G6397" s="19" t="s">
        <v>714</v>
      </c>
      <c r="H6397" s="19" t="s">
        <v>715</v>
      </c>
      <c r="I6397" s="19" t="s">
        <v>716</v>
      </c>
      <c r="J6397" s="19" t="s">
        <v>717</v>
      </c>
      <c r="K6397" s="19" t="s">
        <v>718</v>
      </c>
      <c r="L6397" s="4" t="s">
        <v>47</v>
      </c>
    </row>
    <row r="6398" customFormat="false" ht="15" hidden="false" customHeight="false" outlineLevel="0" collapsed="false">
      <c r="A6398" s="0" t="s">
        <v>783</v>
      </c>
      <c r="B6398" s="0" t="s">
        <v>95</v>
      </c>
      <c r="D6398" s="6" t="n">
        <f aca="false">Sens!D6374</f>
        <v>72.61</v>
      </c>
      <c r="E6398" s="6" t="n">
        <f aca="false">Sens!E6374</f>
        <v>101.938</v>
      </c>
      <c r="F6398" s="6" t="n">
        <f aca="false">Sens!F6374</f>
        <v>148.441726500199</v>
      </c>
      <c r="G6398" s="6" t="n">
        <f aca="false">Sens!G6374</f>
        <v>207.0600426998</v>
      </c>
      <c r="H6398" s="6" t="n">
        <f aca="false">Sens!H6374</f>
        <v>270.919273998428</v>
      </c>
      <c r="I6398" s="6" t="n">
        <f aca="false">Sens!I6374</f>
        <v>327.391331185778</v>
      </c>
      <c r="J6398" s="6" t="n">
        <f aca="false">Sens!J6374</f>
        <v>381.218942880996</v>
      </c>
      <c r="K6398" s="6" t="n">
        <f aca="false">Sens!K6374</f>
        <v>431.337047045081</v>
      </c>
    </row>
    <row r="6399" customFormat="false" ht="17.15" hidden="false" customHeight="false" outlineLevel="0" collapsed="false">
      <c r="A6399" s="0" t="s">
        <v>780</v>
      </c>
      <c r="B6399" s="0" t="s">
        <v>95</v>
      </c>
      <c r="D6399" s="6" t="n">
        <f aca="false">Sens!D6371</f>
        <v>12.9359794422418</v>
      </c>
      <c r="E6399" s="6" t="n">
        <f aca="false">Sens!E6371</f>
        <v>27.8095064661409</v>
      </c>
      <c r="F6399" s="6" t="n">
        <f aca="false">Sens!F6371</f>
        <v>58.7324192305018</v>
      </c>
      <c r="G6399" s="6" t="n">
        <f aca="false">Sens!G6371</f>
        <v>101.369089141153</v>
      </c>
      <c r="H6399" s="6" t="n">
        <f aca="false">Sens!H6371</f>
        <v>149.785610014234</v>
      </c>
      <c r="I6399" s="6" t="n">
        <f aca="false">Sens!I6371</f>
        <v>192.439389583079</v>
      </c>
      <c r="J6399" s="6" t="n">
        <f aca="false">Sens!J6371</f>
        <v>235.195906491722</v>
      </c>
      <c r="K6399" s="6" t="n">
        <f aca="false">Sens!K6371</f>
        <v>278.012858836343</v>
      </c>
    </row>
    <row r="6400" customFormat="false" ht="17.15" hidden="false" customHeight="false" outlineLevel="0" collapsed="false">
      <c r="A6400" s="0" t="s">
        <v>807</v>
      </c>
      <c r="B6400" s="0" t="s">
        <v>95</v>
      </c>
      <c r="D6400" s="6" t="n">
        <f aca="false">Sens!D6372</f>
        <v>59.6740205577583</v>
      </c>
      <c r="E6400" s="6" t="n">
        <f aca="false">Sens!E6372</f>
        <v>74.1284935338591</v>
      </c>
      <c r="F6400" s="6" t="n">
        <f aca="false">Sens!F6372</f>
        <v>89.709307269697</v>
      </c>
      <c r="G6400" s="6" t="n">
        <f aca="false">Sens!G6372</f>
        <v>105.690953558647</v>
      </c>
      <c r="H6400" s="6" t="n">
        <f aca="false">Sens!H6372</f>
        <v>121.133663984194</v>
      </c>
      <c r="I6400" s="6" t="n">
        <f aca="false">Sens!I6372</f>
        <v>134.951941602699</v>
      </c>
      <c r="J6400" s="6" t="n">
        <f aca="false">Sens!J6372</f>
        <v>146.023036389274</v>
      </c>
      <c r="K6400" s="6" t="n">
        <f aca="false">Sens!K6372</f>
        <v>153.324188208738</v>
      </c>
    </row>
    <row r="6401" customFormat="false" ht="15" hidden="false" customHeight="false" outlineLevel="0" collapsed="false">
      <c r="A6401" s="0" t="s">
        <v>788</v>
      </c>
      <c r="B6401" s="0" t="s">
        <v>95</v>
      </c>
      <c r="D6401" s="6" t="n">
        <f aca="false">Sens!D6379</f>
        <v>84.605</v>
      </c>
      <c r="E6401" s="6" t="n">
        <f aca="false">Sens!E6379</f>
        <v>100.299</v>
      </c>
      <c r="F6401" s="6" t="n">
        <f aca="false">Sens!F6379</f>
        <v>120.39238776686</v>
      </c>
      <c r="G6401" s="6" t="n">
        <f aca="false">Sens!G6379</f>
        <v>141.544168448684</v>
      </c>
      <c r="H6401" s="6" t="n">
        <f aca="false">Sens!H6379</f>
        <v>162.777359388781</v>
      </c>
      <c r="I6401" s="6" t="n">
        <f aca="false">Sens!I6379</f>
        <v>181.584028071957</v>
      </c>
      <c r="J6401" s="6" t="n">
        <f aca="false">Sens!J6379</f>
        <v>197.682702785465</v>
      </c>
      <c r="K6401" s="6" t="n">
        <f aca="false">Sens!K6379</f>
        <v>213.027991980448</v>
      </c>
    </row>
    <row r="6402" customFormat="false" ht="17.15" hidden="false" customHeight="false" outlineLevel="0" collapsed="false">
      <c r="A6402" s="0" t="s">
        <v>808</v>
      </c>
      <c r="B6402" s="0" t="s">
        <v>95</v>
      </c>
      <c r="D6402" s="6" t="n">
        <f aca="false">Sens!D6377</f>
        <v>83.705</v>
      </c>
      <c r="E6402" s="6" t="n">
        <f aca="false">Sens!E6377</f>
        <v>95.049</v>
      </c>
      <c r="F6402" s="6" t="n">
        <f aca="false">Sens!F6377</f>
        <v>106.89238776686</v>
      </c>
      <c r="G6402" s="6" t="n">
        <f aca="false">Sens!G6377</f>
        <v>119.044168448684</v>
      </c>
      <c r="H6402" s="6" t="n">
        <f aca="false">Sens!H6377</f>
        <v>131.277359388781</v>
      </c>
      <c r="I6402" s="6" t="n">
        <f aca="false">Sens!I6377</f>
        <v>143.334028071957</v>
      </c>
      <c r="J6402" s="6" t="n">
        <f aca="false">Sens!J6377</f>
        <v>154.932702785465</v>
      </c>
      <c r="K6402" s="6" t="n">
        <f aca="false">Sens!K6377</f>
        <v>165.777991980448</v>
      </c>
    </row>
    <row r="6403" customFormat="false" ht="17.15" hidden="false" customHeight="false" outlineLevel="0" collapsed="false">
      <c r="A6403" s="0" t="s">
        <v>809</v>
      </c>
      <c r="B6403" s="0" t="s">
        <v>95</v>
      </c>
      <c r="D6403" s="6" t="n">
        <f aca="false">Sens!D6376</f>
        <v>0.9</v>
      </c>
      <c r="E6403" s="6" t="n">
        <f aca="false">Sens!E6376</f>
        <v>5.25</v>
      </c>
      <c r="F6403" s="6" t="n">
        <f aca="false">Sens!F6376</f>
        <v>13.5</v>
      </c>
      <c r="G6403" s="6" t="n">
        <f aca="false">Sens!G6376</f>
        <v>22.5</v>
      </c>
      <c r="H6403" s="6" t="n">
        <f aca="false">Sens!H6376</f>
        <v>31.5</v>
      </c>
      <c r="I6403" s="6" t="n">
        <f aca="false">Sens!I6376</f>
        <v>38.25</v>
      </c>
      <c r="J6403" s="6" t="n">
        <f aca="false">Sens!J6376</f>
        <v>42.75</v>
      </c>
      <c r="K6403" s="6" t="n">
        <f aca="false">Sens!K6376</f>
        <v>47.25</v>
      </c>
    </row>
    <row r="6404" customFormat="false" ht="15" hidden="false" customHeight="false" outlineLevel="0" collapsed="false">
      <c r="A6404" s="0" t="s">
        <v>789</v>
      </c>
      <c r="B6404" s="0" t="s">
        <v>95</v>
      </c>
      <c r="D6404" s="6" t="n">
        <f aca="false">Sens!D6380</f>
        <v>35.391</v>
      </c>
      <c r="E6404" s="6" t="n">
        <f aca="false">Sens!E6380</f>
        <v>37.285</v>
      </c>
      <c r="F6404" s="6" t="n">
        <f aca="false">Sens!F6380</f>
        <v>39.0720834331704</v>
      </c>
      <c r="G6404" s="6" t="n">
        <f aca="false">Sens!G6380</f>
        <v>40.726562953769</v>
      </c>
      <c r="H6404" s="6" t="n">
        <f aca="false">Sens!H6380</f>
        <v>42.2235987259198</v>
      </c>
      <c r="I6404" s="6" t="n">
        <f aca="false">Sens!I6380</f>
        <v>43.5397988077414</v>
      </c>
      <c r="J6404" s="6" t="n">
        <f aca="false">Sens!J6380</f>
        <v>44.653811225693</v>
      </c>
      <c r="K6404" s="6" t="n">
        <f aca="false">Sens!K6380</f>
        <v>45.5468874502068</v>
      </c>
    </row>
    <row r="6405" customFormat="false" ht="15" hidden="false" customHeight="false" outlineLevel="0" collapsed="false">
      <c r="A6405" s="0" t="s">
        <v>790</v>
      </c>
      <c r="B6405" s="0" t="s">
        <v>95</v>
      </c>
      <c r="D6405" s="6" t="n">
        <f aca="false">Sens!D6382</f>
        <v>18.417</v>
      </c>
      <c r="E6405" s="6" t="n">
        <f aca="false">Sens!E6382</f>
        <v>20.345</v>
      </c>
      <c r="F6405" s="6" t="n">
        <f aca="false">Sens!F6382</f>
        <v>22.3572203267814</v>
      </c>
      <c r="G6405" s="6" t="n">
        <f aca="false">Sens!G6382</f>
        <v>24.4392124437232</v>
      </c>
      <c r="H6405" s="6" t="n">
        <f aca="false">Sens!H6382</f>
        <v>26.5738052080665</v>
      </c>
      <c r="I6405" s="6" t="n">
        <f aca="false">Sens!I6382</f>
        <v>28.7412169166967</v>
      </c>
      <c r="J6405" s="6" t="n">
        <f aca="false">Sens!J6382</f>
        <v>30.9192545395413</v>
      </c>
      <c r="K6405" s="6" t="n">
        <f aca="false">Sens!K6382</f>
        <v>33.0836023573092</v>
      </c>
    </row>
    <row r="6406" customFormat="false" ht="15" hidden="false" customHeight="false" outlineLevel="0" collapsed="false">
      <c r="A6406" s="0" t="s">
        <v>791</v>
      </c>
      <c r="B6406" s="0" t="s">
        <v>95</v>
      </c>
      <c r="D6406" s="6" t="n">
        <f aca="false">Sens!D6384</f>
        <v>7.76</v>
      </c>
      <c r="E6406" s="6" t="n">
        <f aca="false">Sens!E6384</f>
        <v>8.26</v>
      </c>
      <c r="F6406" s="6" t="n">
        <f aca="false">Sens!F6384</f>
        <v>8.79988041237113</v>
      </c>
      <c r="G6406" s="6" t="n">
        <f aca="false">Sens!G6384</f>
        <v>9.38321269125306</v>
      </c>
      <c r="H6406" s="6" t="n">
        <f aca="false">Sens!H6384</f>
        <v>10.0139193587476</v>
      </c>
      <c r="I6406" s="6" t="n">
        <f aca="false">Sens!I6384</f>
        <v>10.6963111830911</v>
      </c>
      <c r="J6406" s="6" t="n">
        <f aca="false">Sens!J6384</f>
        <v>11.4351285534696</v>
      </c>
      <c r="K6406" s="6" t="n">
        <f aca="false">Sens!K6384</f>
        <v>12.2355875522124</v>
      </c>
    </row>
    <row r="6407" customFormat="false" ht="15" hidden="false" customHeight="false" outlineLevel="0" collapsed="false">
      <c r="A6407" s="0" t="s">
        <v>626</v>
      </c>
      <c r="B6407" s="0" t="s">
        <v>95</v>
      </c>
      <c r="D6407" s="6" t="n">
        <f aca="false">Sens!D6386</f>
        <v>218.783</v>
      </c>
      <c r="E6407" s="6" t="n">
        <f aca="false">Sens!E6386</f>
        <v>268.127</v>
      </c>
      <c r="F6407" s="6" t="n">
        <f aca="false">Sens!F6386</f>
        <v>339.063298439382</v>
      </c>
      <c r="G6407" s="6" t="n">
        <f aca="false">Sens!G6386</f>
        <v>423.153199237229</v>
      </c>
      <c r="H6407" s="6" t="n">
        <f aca="false">Sens!H6386</f>
        <v>512.507956679943</v>
      </c>
      <c r="I6407" s="6" t="n">
        <f aca="false">Sens!I6386</f>
        <v>591.952686165265</v>
      </c>
      <c r="J6407" s="6" t="n">
        <f aca="false">Sens!J6386</f>
        <v>665.909839985166</v>
      </c>
      <c r="K6407" s="6" t="n">
        <f aca="false">Sens!K6386</f>
        <v>735.231116385258</v>
      </c>
    </row>
    <row r="6408" customFormat="false" ht="15" hidden="false" customHeight="false" outlineLevel="0" collapsed="false">
      <c r="A6408" s="0" t="s">
        <v>792</v>
      </c>
      <c r="B6408" s="0" t="s">
        <v>95</v>
      </c>
      <c r="D6408" s="6" t="n">
        <f aca="false">Sens!D6387</f>
        <v>22.171</v>
      </c>
      <c r="E6408" s="6" t="n">
        <f aca="false">Sens!E6387</f>
        <v>24.835</v>
      </c>
      <c r="F6408" s="6" t="n">
        <f aca="false">Sens!F6387</f>
        <v>27.6114901218559</v>
      </c>
      <c r="G6408" s="6" t="n">
        <f aca="false">Sens!G6387</f>
        <v>30.4675667338515</v>
      </c>
      <c r="H6408" s="6" t="n">
        <f aca="false">Sens!H6387</f>
        <v>33.3643766955789</v>
      </c>
      <c r="I6408" s="6" t="n">
        <f aca="false">Sens!I6387</f>
        <v>36.2577016533691</v>
      </c>
      <c r="J6408" s="6" t="n">
        <f aca="false">Sens!J6387</f>
        <v>39.0988367952171</v>
      </c>
      <c r="K6408" s="6" t="n">
        <f aca="false">Sens!K6387</f>
        <v>41.8357553708823</v>
      </c>
    </row>
    <row r="6409" customFormat="false" ht="15" hidden="false" customHeight="false" outlineLevel="0" collapsed="false">
      <c r="A6409" s="0" t="s">
        <v>793</v>
      </c>
      <c r="B6409" s="0" t="s">
        <v>95</v>
      </c>
      <c r="D6409" s="6" t="n">
        <f aca="false">Sens!D6389</f>
        <v>23.455</v>
      </c>
      <c r="E6409" s="6" t="n">
        <f aca="false">Sens!E6389</f>
        <v>21.79</v>
      </c>
      <c r="F6409" s="6" t="n">
        <f aca="false">Sens!F6389</f>
        <v>20.5736277908051</v>
      </c>
      <c r="G6409" s="6" t="n">
        <f aca="false">Sens!G6389</f>
        <v>19.7371452817919</v>
      </c>
      <c r="H6409" s="6" t="n">
        <f aca="false">Sens!H6389</f>
        <v>19.2339764043138</v>
      </c>
      <c r="I6409" s="6" t="n">
        <f aca="false">Sens!I6389</f>
        <v>19.0353086852681</v>
      </c>
      <c r="J6409" s="6" t="n">
        <f aca="false">Sens!J6389</f>
        <v>19.1273539319129</v>
      </c>
      <c r="K6409" s="6" t="n">
        <f aca="false">Sens!K6389</f>
        <v>19.5099010105511</v>
      </c>
    </row>
    <row r="6410" customFormat="false" ht="15" hidden="false" customHeight="false" outlineLevel="0" collapsed="false">
      <c r="A6410" s="0" t="s">
        <v>794</v>
      </c>
      <c r="B6410" s="0" t="s">
        <v>95</v>
      </c>
      <c r="D6410" s="6" t="n">
        <f aca="false">Sens!D6391</f>
        <v>17.315</v>
      </c>
      <c r="E6410" s="6" t="n">
        <f aca="false">Sens!E6391</f>
        <v>17.087</v>
      </c>
      <c r="F6410" s="6" t="n">
        <f aca="false">Sens!F6391</f>
        <v>16.9564585436519</v>
      </c>
      <c r="G6410" s="6" t="n">
        <f aca="false">Sens!G6391</f>
        <v>16.9206490624268</v>
      </c>
      <c r="H6410" s="6" t="n">
        <f aca="false">Sens!H6391</f>
        <v>16.9784519149849</v>
      </c>
      <c r="I6410" s="6" t="n">
        <f aca="false">Sens!I6391</f>
        <v>17.1303084701817</v>
      </c>
      <c r="J6410" s="6" t="n">
        <f aca="false">Sens!J6391</f>
        <v>17.3782189407267</v>
      </c>
      <c r="K6410" s="6" t="n">
        <f aca="false">Sens!K6391</f>
        <v>17.7257833195413</v>
      </c>
    </row>
    <row r="6411" customFormat="false" ht="15" hidden="false" customHeight="false" outlineLevel="0" collapsed="false">
      <c r="A6411" s="0" t="s">
        <v>640</v>
      </c>
      <c r="B6411" s="0" t="s">
        <v>95</v>
      </c>
      <c r="D6411" s="6" t="n">
        <f aca="false">Sens!D6393</f>
        <v>62.941</v>
      </c>
      <c r="E6411" s="6" t="n">
        <f aca="false">Sens!E6393</f>
        <v>63.712</v>
      </c>
      <c r="F6411" s="6" t="n">
        <f aca="false">Sens!F6393</f>
        <v>65.1415764563129</v>
      </c>
      <c r="G6411" s="6" t="n">
        <f aca="false">Sens!G6393</f>
        <v>67.1253610780702</v>
      </c>
      <c r="H6411" s="6" t="n">
        <f aca="false">Sens!H6393</f>
        <v>69.5768050148776</v>
      </c>
      <c r="I6411" s="6" t="n">
        <f aca="false">Sens!I6393</f>
        <v>72.4233188088189</v>
      </c>
      <c r="J6411" s="6" t="n">
        <f aca="false">Sens!J6393</f>
        <v>75.6044096678567</v>
      </c>
      <c r="K6411" s="6" t="n">
        <f aca="false">Sens!K6393</f>
        <v>79.0714397009747</v>
      </c>
    </row>
    <row r="6412" customFormat="false" ht="15" hidden="false" customHeight="false" outlineLevel="0" collapsed="false">
      <c r="A6412" s="1" t="s">
        <v>810</v>
      </c>
      <c r="B6412" s="0" t="s">
        <v>95</v>
      </c>
      <c r="D6412" s="6" t="n">
        <f aca="false">Sens!D6394</f>
        <v>281.724</v>
      </c>
      <c r="E6412" s="6" t="n">
        <f aca="false">Sens!E6394</f>
        <v>331.839</v>
      </c>
      <c r="F6412" s="6" t="n">
        <f aca="false">Sens!F6394</f>
        <v>404.204874895694</v>
      </c>
      <c r="G6412" s="6" t="n">
        <f aca="false">Sens!G6394</f>
        <v>490.278560315299</v>
      </c>
      <c r="H6412" s="6" t="n">
        <f aca="false">Sens!H6394</f>
        <v>582.08476169482</v>
      </c>
      <c r="I6412" s="6" t="n">
        <f aca="false">Sens!I6394</f>
        <v>664.376004974083</v>
      </c>
      <c r="J6412" s="6" t="n">
        <f aca="false">Sens!J6394</f>
        <v>741.514249653022</v>
      </c>
      <c r="K6412" s="6" t="n">
        <f aca="false">Sens!K6394</f>
        <v>814.302556086232</v>
      </c>
    </row>
    <row r="6413" customFormat="false" ht="15" hidden="false" customHeight="false" outlineLevel="0" collapsed="false">
      <c r="A6413" s="1" t="s">
        <v>811</v>
      </c>
      <c r="B6413" s="0" t="s">
        <v>126</v>
      </c>
      <c r="E6413" s="7" t="n">
        <f aca="false">Sens!E6412/Sens!D6412-1</f>
        <v>0.177886867998467</v>
      </c>
      <c r="F6413" s="7" t="n">
        <f aca="false">Sens!F6412/Sens!E6412-1</f>
        <v>0.21807525606</v>
      </c>
      <c r="G6413" s="7" t="n">
        <f aca="false">Sens!G6412/Sens!F6412-1</f>
        <v>0.212945688598674</v>
      </c>
      <c r="H6413" s="7" t="n">
        <f aca="false">Sens!H6412/Sens!G6412-1</f>
        <v>0.187253143030526</v>
      </c>
      <c r="I6413" s="7" t="n">
        <f aca="false">Sens!I6412/Sens!H6412-1</f>
        <v>0.141373299379391</v>
      </c>
      <c r="J6413" s="7" t="n">
        <f aca="false">Sens!J6412/Sens!I6412-1</f>
        <v>0.116106307424435</v>
      </c>
      <c r="K6413" s="7" t="n">
        <f aca="false">Sens!K6412/Sens!J6412-1</f>
        <v>0.098161709592594</v>
      </c>
    </row>
    <row r="6414" customFormat="false" ht="17.15" hidden="false" customHeight="false" outlineLevel="0" collapsed="false">
      <c r="A6414" s="22" t="s">
        <v>812</v>
      </c>
      <c r="B6414" s="28" t="s">
        <v>95</v>
      </c>
      <c r="C6414" s="28"/>
      <c r="D6414" s="23" t="n">
        <f aca="false">(Sens!D6407+Sens!D6411-Sens!D6412)+(Sens!D6399+Sens!D6400-Sens!D6398)+(Sens!D6402+Sens!D6403-Sens!D6401)+(Sens!D6412-Q!L18)</f>
        <v>0</v>
      </c>
      <c r="E6414" s="23" t="n">
        <f aca="false">(Sens!E6407+Sens!E6411-Sens!E6412)+(Sens!E6399+Sens!E6400-Sens!E6398)+(Sens!E6402+Sens!E6403-Sens!E6401)+(Sens!E6412-Q!M18)</f>
        <v>0</v>
      </c>
      <c r="F6414" s="23" t="n">
        <f aca="false">(Sens!F6407+Sens!F6411-Sens!F6412)+(Sens!F6399+Sens!F6400-Sens!F6398)+(Sens!F6402+Sens!F6403-Sens!F6401)</f>
        <v>0</v>
      </c>
      <c r="G6414" s="23" t="n">
        <f aca="false">(Sens!G6407+Sens!G6411-Sens!G6412)+(Sens!G6399+Sens!G6400-Sens!G6398)+(Sens!G6402+Sens!G6403-Sens!G6401)</f>
        <v>0</v>
      </c>
      <c r="H6414" s="23" t="n">
        <f aca="false">(Sens!H6407+Sens!H6411-Sens!H6412)+(Sens!H6399+Sens!H6400-Sens!H6398)+(Sens!H6402+Sens!H6403-Sens!H6401)</f>
        <v>0</v>
      </c>
      <c r="I6414" s="23" t="n">
        <f aca="false">(Sens!I6407+Sens!I6411-Sens!I6412)+(Sens!I6399+Sens!I6400-Sens!I6398)+(Sens!I6402+Sens!I6403-Sens!I6401)</f>
        <v>0</v>
      </c>
      <c r="J6414" s="23" t="n">
        <f aca="false">(Sens!J6407+Sens!J6411-Sens!J6412)+(Sens!J6399+Sens!J6400-Sens!J6398)+(Sens!J6402+Sens!J6403-Sens!J6401)</f>
        <v>0</v>
      </c>
      <c r="K6414" s="23" t="n">
        <f aca="false">(Sens!K6407+Sens!K6411-Sens!K6412)+(Sens!K6399+Sens!K6400-Sens!K6398)+(Sens!K6402+Sens!K6403-Sens!K6401)</f>
        <v>0</v>
      </c>
    </row>
    <row r="6415" customFormat="false" ht="17.15" hidden="false" customHeight="false" outlineLevel="0" collapsed="false">
      <c r="A6415" s="0" t="s">
        <v>813</v>
      </c>
      <c r="B6415" s="0" t="s">
        <v>126</v>
      </c>
      <c r="E6415" s="7" t="n">
        <f aca="false">(Q!M21+Sens!E6352+Sens!E6353+Sens!E6354+Sens!E6367-Sens!E6350)/(Q!M5-Sens!E6350)</f>
        <v>0.570957350878296</v>
      </c>
      <c r="F6415" s="7" t="n">
        <f aca="false">Sens!$E$6415+dm_seg</f>
        <v>0.570957350878296</v>
      </c>
      <c r="G6415" s="7" t="n">
        <f aca="false">Sens!$E$6415+dm_seg</f>
        <v>0.570957350878296</v>
      </c>
      <c r="H6415" s="7" t="n">
        <f aca="false">Sens!$E$6415+dm_seg</f>
        <v>0.570957350878296</v>
      </c>
      <c r="I6415" s="7" t="n">
        <f aca="false">Sens!$E$6415+dm_seg</f>
        <v>0.570957350878296</v>
      </c>
      <c r="J6415" s="7" t="n">
        <f aca="false">Sens!$E$6415+dm_seg</f>
        <v>0.570957350878296</v>
      </c>
      <c r="K6415" s="7" t="n">
        <f aca="false">Sens!$E$6415+dm_seg</f>
        <v>0.570957350878296</v>
      </c>
      <c r="L6415" s="11" t="s">
        <v>814</v>
      </c>
    </row>
    <row r="6416" customFormat="false" ht="17.15" hidden="false" customHeight="false" outlineLevel="0" collapsed="false">
      <c r="A6416" s="0" t="s">
        <v>654</v>
      </c>
      <c r="B6416" s="0" t="s">
        <v>95</v>
      </c>
      <c r="D6416" s="6" t="n">
        <f aca="false">Q!L21</f>
        <v>110.814</v>
      </c>
      <c r="E6416" s="6" t="n">
        <f aca="false">Q!M21</f>
        <v>136.365</v>
      </c>
      <c r="F6416" s="6" t="n">
        <f aca="false">Sens!F6415*(Sens!F6386-Sens!F6350)+Sens!F6350-(Sens!F6352+Sens!F6353+Sens!F6354)-Sens!F6367</f>
        <v>161.917686186382</v>
      </c>
      <c r="G6416" s="6" t="n">
        <f aca="false">Sens!G6415*(Sens!G6386-Sens!G6350)+Sens!G6350-(Sens!G6352+Sens!G6353+Sens!G6354)-Sens!G6367</f>
        <v>190.917586251664</v>
      </c>
      <c r="H6416" s="6" t="n">
        <f aca="false">Sens!H6415*(Sens!H6386-Sens!H6350)+Sens!H6350-(Sens!H6352+Sens!H6353+Sens!H6354)-Sens!H6367</f>
        <v>224.275513173759</v>
      </c>
      <c r="I6416" s="6" t="n">
        <f aca="false">Sens!I6415*(Sens!I6386-Sens!I6350)+Sens!I6350-(Sens!I6352+Sens!I6353+Sens!I6354)-Sens!I6367</f>
        <v>248.452673861727</v>
      </c>
      <c r="J6416" s="6" t="n">
        <f aca="false">Sens!J6415*(Sens!J6386-Sens!J6350)+Sens!J6350-(Sens!J6352+Sens!J6353+Sens!J6354)-Sens!J6367</f>
        <v>268.552400959861</v>
      </c>
      <c r="K6416" s="6" t="n">
        <f aca="false">Sens!K6415*(Sens!K6386-Sens!K6350)+Sens!K6350-(Sens!K6352+Sens!K6353+Sens!K6354)-Sens!K6367</f>
        <v>284.734143857543</v>
      </c>
      <c r="L6416" s="1" t="s">
        <v>815</v>
      </c>
    </row>
    <row r="6417" customFormat="false" ht="17.15" hidden="false" customHeight="false" outlineLevel="0" collapsed="false">
      <c r="A6417" s="0" t="s">
        <v>816</v>
      </c>
      <c r="B6417" s="0" t="s">
        <v>126</v>
      </c>
      <c r="E6417" s="7" t="n">
        <f aca="false">Q!M22/Q!M12</f>
        <v>0.296207935710698</v>
      </c>
      <c r="F6417" s="7" t="n">
        <f aca="false">Sens!$E$6417+dm_seg</f>
        <v>0.296207935710698</v>
      </c>
      <c r="G6417" s="7" t="n">
        <f aca="false">Sens!$E$6417+dm_seg</f>
        <v>0.296207935710698</v>
      </c>
      <c r="H6417" s="7" t="n">
        <f aca="false">Sens!$E$6417+dm_seg</f>
        <v>0.296207935710698</v>
      </c>
      <c r="I6417" s="7" t="n">
        <f aca="false">Sens!$E$6417+dm_seg</f>
        <v>0.296207935710698</v>
      </c>
      <c r="J6417" s="7" t="n">
        <f aca="false">Sens!$E$6417+dm_seg</f>
        <v>0.296207935710698</v>
      </c>
      <c r="K6417" s="7" t="n">
        <f aca="false">Sens!$E$6417+dm_seg</f>
        <v>0.296207935710698</v>
      </c>
      <c r="L6417" s="11" t="s">
        <v>817</v>
      </c>
    </row>
    <row r="6418" customFormat="false" ht="17.15" hidden="false" customHeight="false" outlineLevel="0" collapsed="false">
      <c r="A6418" s="0" t="s">
        <v>656</v>
      </c>
      <c r="B6418" s="0" t="s">
        <v>95</v>
      </c>
      <c r="D6418" s="6" t="n">
        <f aca="false">Q!L22</f>
        <v>17.714</v>
      </c>
      <c r="E6418" s="6" t="n">
        <f aca="false">Q!M22</f>
        <v>18.872</v>
      </c>
      <c r="F6418" s="6" t="n">
        <f aca="false">Sens!F6393*Sens!F6417</f>
        <v>19.2954518910651</v>
      </c>
      <c r="G6418" s="6" t="n">
        <f aca="false">Sens!G6393*Sens!G6417</f>
        <v>19.8830646387704</v>
      </c>
      <c r="H6418" s="6" t="n">
        <f aca="false">Sens!H6393*Sens!H6417</f>
        <v>20.6092017868026</v>
      </c>
      <c r="I6418" s="6" t="n">
        <f aca="false">Sens!I6393*Sens!I6417</f>
        <v>21.452361761678</v>
      </c>
      <c r="J6418" s="6" t="n">
        <f aca="false">Sens!J6393*Sens!J6417</f>
        <v>22.3946261183418</v>
      </c>
      <c r="K6418" s="6" t="n">
        <f aca="false">Sens!K6393*Sens!K6417</f>
        <v>23.4215879274986</v>
      </c>
    </row>
    <row r="6419" customFormat="false" ht="15" hidden="false" customHeight="false" outlineLevel="0" collapsed="false">
      <c r="A6419" s="1" t="s">
        <v>818</v>
      </c>
      <c r="B6419" s="0" t="s">
        <v>95</v>
      </c>
      <c r="D6419" s="6" t="n">
        <f aca="false">Sens!D6416+Sens!D6418</f>
        <v>128.528</v>
      </c>
      <c r="E6419" s="6" t="n">
        <f aca="false">Sens!E6416+Sens!E6418</f>
        <v>155.237</v>
      </c>
      <c r="F6419" s="6" t="n">
        <f aca="false">Sens!F6416+Sens!F6418</f>
        <v>181.213138077447</v>
      </c>
      <c r="G6419" s="6" t="n">
        <f aca="false">Sens!G6416+Sens!G6418</f>
        <v>210.800650890434</v>
      </c>
      <c r="H6419" s="6" t="n">
        <f aca="false">Sens!H6416+Sens!H6418</f>
        <v>244.884714960562</v>
      </c>
      <c r="I6419" s="6" t="n">
        <f aca="false">Sens!I6416+Sens!I6418</f>
        <v>269.905035623405</v>
      </c>
      <c r="J6419" s="6" t="n">
        <f aca="false">Sens!J6416+Sens!J6418</f>
        <v>290.947027078203</v>
      </c>
      <c r="K6419" s="6" t="n">
        <f aca="false">Sens!K6416+Sens!K6418</f>
        <v>308.155731785042</v>
      </c>
    </row>
    <row r="6420" customFormat="false" ht="15" hidden="false" customHeight="false" outlineLevel="0" collapsed="false">
      <c r="A6420" s="22" t="s">
        <v>819</v>
      </c>
      <c r="B6420" s="28" t="s">
        <v>95</v>
      </c>
      <c r="C6420" s="28"/>
      <c r="D6420" s="23" t="n">
        <f aca="false">Sens!D6419-Q!L23</f>
        <v>0</v>
      </c>
      <c r="E6420" s="23" t="n">
        <f aca="false">Sens!E6419-Q!M23</f>
        <v>0</v>
      </c>
      <c r="F6420" s="28"/>
      <c r="G6420" s="28"/>
      <c r="H6420" s="28"/>
      <c r="I6420" s="28"/>
      <c r="J6420" s="28"/>
      <c r="K6420" s="28"/>
    </row>
    <row r="6421" customFormat="false" ht="15" hidden="false" customHeight="false" outlineLevel="0" collapsed="false">
      <c r="A6421" s="1" t="s">
        <v>820</v>
      </c>
      <c r="B6421" s="0" t="s">
        <v>126</v>
      </c>
      <c r="D6421" s="7" t="n">
        <f aca="false">Sens!D6419/Sens!D6412</f>
        <v>0.456219562408598</v>
      </c>
      <c r="E6421" s="7" t="n">
        <f aca="false">Sens!E6419/Sens!E6412</f>
        <v>0.467808184089272</v>
      </c>
      <c r="F6421" s="7" t="n">
        <f aca="false">Sens!F6419/Sens!F6412</f>
        <v>0.448320021187793</v>
      </c>
      <c r="G6421" s="7" t="n">
        <f aca="false">Sens!G6419/Sens!G6412</f>
        <v>0.429960981273315</v>
      </c>
      <c r="H6421" s="7" t="n">
        <f aca="false">Sens!H6419/Sens!H6412</f>
        <v>0.420702844457817</v>
      </c>
      <c r="I6421" s="7" t="n">
        <f aca="false">Sens!I6419/Sens!I6412</f>
        <v>0.406253437214269</v>
      </c>
      <c r="J6421" s="7" t="n">
        <f aca="false">Sens!J6419/Sens!J6412</f>
        <v>0.392368760565756</v>
      </c>
      <c r="K6421" s="7" t="n">
        <f aca="false">Sens!K6419/Sens!K6412</f>
        <v>0.378429036580857</v>
      </c>
    </row>
    <row r="6422" customFormat="false" ht="17.15" hidden="false" customHeight="false" outlineLevel="0" collapsed="false">
      <c r="A6422" s="1" t="s">
        <v>821</v>
      </c>
      <c r="B6422" s="0" t="s">
        <v>95</v>
      </c>
      <c r="E6422" s="6" t="n">
        <f aca="false">Sens!E6367</f>
        <v>16.3054059770833</v>
      </c>
      <c r="F6422" s="6" t="n">
        <f aca="false">Sens!F6367</f>
        <v>34.734212830331</v>
      </c>
      <c r="G6422" s="6" t="n">
        <f aca="false">Sens!G6367</f>
        <v>60.4940880092619</v>
      </c>
      <c r="H6422" s="6" t="n">
        <f aca="false">Sens!H6367</f>
        <v>87.7296707420619</v>
      </c>
      <c r="I6422" s="6" t="n">
        <f aca="false">Sens!I6367</f>
        <v>115.984536490045</v>
      </c>
      <c r="J6422" s="6" t="n">
        <f aca="false">Sens!J6367</f>
        <v>145.211632707195</v>
      </c>
      <c r="K6422" s="6" t="n">
        <f aca="false">Sens!K6367</f>
        <v>175.726277383512</v>
      </c>
    </row>
    <row r="6423" customFormat="false" ht="17.15" hidden="false" customHeight="false" outlineLevel="0" collapsed="false">
      <c r="A6423" s="1" t="s">
        <v>822</v>
      </c>
      <c r="B6423" s="0" t="s">
        <v>95</v>
      </c>
      <c r="E6423" s="6" t="n">
        <f aca="false">Sens!E6443</f>
        <v>22.2285940229167</v>
      </c>
      <c r="F6423" s="6" t="n">
        <f aca="false">Sens!F6443</f>
        <v>23.5712564942279</v>
      </c>
      <c r="G6423" s="6" t="n">
        <f aca="false">Sens!G6443</f>
        <v>25.3476707689507</v>
      </c>
      <c r="H6423" s="6" t="n">
        <f aca="false">Sens!H6443</f>
        <v>27.5062886844358</v>
      </c>
      <c r="I6423" s="6" t="n">
        <f aca="false">Sens!I6443</f>
        <v>29.9533646315735</v>
      </c>
      <c r="J6423" s="6" t="n">
        <f aca="false">Sens!J6443</f>
        <v>32.5787028749524</v>
      </c>
      <c r="K6423" s="6" t="n">
        <f aca="false">Sens!K6443</f>
        <v>35.2816790918417</v>
      </c>
    </row>
    <row r="6424" customFormat="false" ht="17.15" hidden="false" customHeight="false" outlineLevel="0" collapsed="false">
      <c r="A6424" s="1" t="s">
        <v>823</v>
      </c>
      <c r="B6424" s="0" t="s">
        <v>95</v>
      </c>
      <c r="D6424" s="6" t="n">
        <f aca="false">Q!L27</f>
        <v>-4.901</v>
      </c>
      <c r="E6424" s="6" t="n">
        <f aca="false">Q!M27</f>
        <v>10.697</v>
      </c>
      <c r="F6424" s="6" t="n">
        <f aca="false">oie_f</f>
        <v>-0.4</v>
      </c>
      <c r="G6424" s="6" t="n">
        <f aca="false">oie_f</f>
        <v>-0.4</v>
      </c>
      <c r="H6424" s="6" t="n">
        <f aca="false">oie_f</f>
        <v>-0.4</v>
      </c>
      <c r="I6424" s="6" t="n">
        <f aca="false">oie_f</f>
        <v>-0.4</v>
      </c>
      <c r="J6424" s="6" t="n">
        <f aca="false">oie_f</f>
        <v>-0.4</v>
      </c>
      <c r="K6424" s="6" t="n">
        <f aca="false">oie_f</f>
        <v>-0.4</v>
      </c>
      <c r="L6424" s="11" t="s">
        <v>824</v>
      </c>
    </row>
    <row r="6425" customFormat="false" ht="15" hidden="false" customHeight="false" outlineLevel="0" collapsed="false">
      <c r="A6425" s="1" t="s">
        <v>666</v>
      </c>
      <c r="B6425" s="0" t="s">
        <v>95</v>
      </c>
      <c r="D6425" s="6" t="n">
        <f aca="false">Sens!D6419+Sens!D6424</f>
        <v>123.627</v>
      </c>
      <c r="E6425" s="6" t="n">
        <f aca="false">Sens!E6419+Sens!E6424</f>
        <v>165.934</v>
      </c>
      <c r="F6425" s="6" t="n">
        <f aca="false">Sens!F6419+Sens!F6424</f>
        <v>180.813138077447</v>
      </c>
      <c r="G6425" s="6" t="n">
        <f aca="false">Sens!G6419+Sens!G6424</f>
        <v>210.400650890434</v>
      </c>
      <c r="H6425" s="6" t="n">
        <f aca="false">Sens!H6419+Sens!H6424</f>
        <v>244.484714960562</v>
      </c>
      <c r="I6425" s="6" t="n">
        <f aca="false">Sens!I6419+Sens!I6424</f>
        <v>269.505035623406</v>
      </c>
      <c r="J6425" s="6" t="n">
        <f aca="false">Sens!J6419+Sens!J6424</f>
        <v>290.547027078203</v>
      </c>
      <c r="K6425" s="6" t="n">
        <f aca="false">Sens!K6419+Sens!K6424</f>
        <v>307.755731785042</v>
      </c>
    </row>
    <row r="6426" customFormat="false" ht="15" hidden="false" customHeight="false" outlineLevel="0" collapsed="false">
      <c r="A6426" s="1" t="s">
        <v>668</v>
      </c>
      <c r="B6426" s="0" t="s">
        <v>95</v>
      </c>
      <c r="D6426" s="6" t="n">
        <f aca="false">Q!L29</f>
        <v>21.795</v>
      </c>
      <c r="E6426" s="6" t="n">
        <f aca="false">Q!M29</f>
        <v>32.185</v>
      </c>
      <c r="F6426" s="6" t="n">
        <f aca="false">Sens!F6425*tax_f</f>
        <v>36.1626276154894</v>
      </c>
      <c r="G6426" s="6" t="n">
        <f aca="false">Sens!G6425*tax_f</f>
        <v>42.0801301780868</v>
      </c>
      <c r="H6426" s="6" t="n">
        <f aca="false">Sens!H6425*tax_f</f>
        <v>48.8969429921123</v>
      </c>
      <c r="I6426" s="6" t="n">
        <f aca="false">Sens!I6425*tax_f</f>
        <v>53.9010071246811</v>
      </c>
      <c r="J6426" s="6" t="n">
        <f aca="false">Sens!J6425*tax_f</f>
        <v>58.1094054156406</v>
      </c>
      <c r="K6426" s="6" t="n">
        <f aca="false">Sens!K6425*tax_f</f>
        <v>61.5511463570084</v>
      </c>
    </row>
    <row r="6427" customFormat="false" ht="15" hidden="false" customHeight="false" outlineLevel="0" collapsed="false">
      <c r="A6427" s="1" t="s">
        <v>825</v>
      </c>
      <c r="B6427" s="0" t="s">
        <v>95</v>
      </c>
      <c r="D6427" s="6" t="n">
        <f aca="false">Sens!D6425-Sens!D6426</f>
        <v>101.832</v>
      </c>
      <c r="E6427" s="6" t="n">
        <f aca="false">Sens!E6425-Sens!E6426</f>
        <v>133.749</v>
      </c>
      <c r="F6427" s="6" t="n">
        <f aca="false">Sens!F6425-Sens!F6426</f>
        <v>144.650510461958</v>
      </c>
      <c r="G6427" s="6" t="n">
        <f aca="false">Sens!G6425-Sens!G6426</f>
        <v>168.320520712347</v>
      </c>
      <c r="H6427" s="6" t="n">
        <f aca="false">Sens!H6425-Sens!H6426</f>
        <v>195.587771968449</v>
      </c>
      <c r="I6427" s="6" t="n">
        <f aca="false">Sens!I6425-Sens!I6426</f>
        <v>215.604028498724</v>
      </c>
      <c r="J6427" s="6" t="n">
        <f aca="false">Sens!J6425-Sens!J6426</f>
        <v>232.437621662562</v>
      </c>
      <c r="K6427" s="6" t="n">
        <f aca="false">Sens!K6425-Sens!K6426</f>
        <v>246.204585428034</v>
      </c>
    </row>
    <row r="6428" customFormat="false" ht="17.15" hidden="false" customHeight="false" outlineLevel="0" collapsed="false">
      <c r="A6428" s="1" t="s">
        <v>826</v>
      </c>
      <c r="B6428" s="1" t="s">
        <v>79</v>
      </c>
      <c r="D6428" s="18" t="n">
        <f aca="false">Q!L31</f>
        <v>7.465</v>
      </c>
      <c r="E6428" s="18" t="n">
        <f aca="false">Q!M31</f>
        <v>7.453</v>
      </c>
      <c r="F6428" s="18" t="n">
        <f aca="false">Sens!F6465</f>
        <v>7.4735</v>
      </c>
      <c r="G6428" s="18" t="n">
        <f aca="false">Sens!G6465</f>
        <v>7.50843838106566</v>
      </c>
      <c r="H6428" s="18" t="n">
        <f aca="false">Sens!H6465</f>
        <v>7.52612834798128</v>
      </c>
      <c r="I6428" s="18" t="n">
        <f aca="false">Sens!I6465</f>
        <v>7.53790917998859</v>
      </c>
      <c r="J6428" s="18" t="n">
        <f aca="false">Sens!J6465</f>
        <v>7.55215069110648</v>
      </c>
      <c r="K6428" s="18" t="n">
        <f aca="false">Sens!K6465</f>
        <v>7.56867060880822</v>
      </c>
    </row>
    <row r="6429" customFormat="false" ht="17.15" hidden="false" customHeight="false" outlineLevel="0" collapsed="false">
      <c r="A6429" s="0" t="s">
        <v>827</v>
      </c>
      <c r="B6429" s="0" t="s">
        <v>73</v>
      </c>
      <c r="D6429" s="8" t="n">
        <f aca="false">Sens!D6427/Sens!D6428</f>
        <v>13.641259209645</v>
      </c>
      <c r="E6429" s="8" t="n">
        <f aca="false">Sens!E6427/Sens!E6428</f>
        <v>17.9456594659869</v>
      </c>
      <c r="F6429" s="8" t="n">
        <f aca="false">Sens!F6427/Sens!F6428</f>
        <v>19.3551228289232</v>
      </c>
      <c r="G6429" s="8" t="n">
        <f aca="false">Sens!G6427/Sens!G6428</f>
        <v>22.4175137584945</v>
      </c>
      <c r="H6429" s="8" t="n">
        <f aca="false">Sens!H6427/Sens!H6428</f>
        <v>25.9878337074748</v>
      </c>
      <c r="I6429" s="8" t="n">
        <f aca="false">Sens!I6427/Sens!I6428</f>
        <v>28.6026301658162</v>
      </c>
      <c r="J6429" s="8" t="n">
        <f aca="false">Sens!J6427/Sens!J6428</f>
        <v>30.7776726351984</v>
      </c>
      <c r="K6429" s="8" t="n">
        <f aca="false">Sens!K6427/Sens!K6428</f>
        <v>32.5294359013995</v>
      </c>
      <c r="L6429" s="1" t="s">
        <v>828</v>
      </c>
    </row>
    <row r="6430" customFormat="false" ht="17.15" hidden="false" customHeight="false" outlineLevel="0" collapsed="false">
      <c r="A6430" s="0" t="s">
        <v>829</v>
      </c>
      <c r="B6430" s="0" t="s">
        <v>126</v>
      </c>
      <c r="E6430" s="7" t="n">
        <f aca="false">Sens!E6429/Sens!D6429-1</f>
        <v>0.315542736208578</v>
      </c>
      <c r="F6430" s="7" t="n">
        <f aca="false">Sens!F6429/Sens!E6429-1</f>
        <v>0.0785406279221876</v>
      </c>
      <c r="G6430" s="7" t="n">
        <f aca="false">Sens!G6429/Sens!F6429-1</f>
        <v>0.158221208753838</v>
      </c>
      <c r="H6430" s="7" t="n">
        <f aca="false">Sens!H6429/Sens!G6429-1</f>
        <v>0.159264760019494</v>
      </c>
      <c r="I6430" s="7" t="n">
        <f aca="false">Sens!I6429/Sens!H6429-1</f>
        <v>0.100616176314432</v>
      </c>
      <c r="J6430" s="7" t="n">
        <f aca="false">Sens!J6429/Sens!I6429-1</f>
        <v>0.076043442745404</v>
      </c>
      <c r="K6430" s="7" t="n">
        <f aca="false">Sens!K6429/Sens!J6429-1</f>
        <v>0.0569166904516938</v>
      </c>
    </row>
    <row r="6431" customFormat="false" ht="17.15" hidden="false" customHeight="false" outlineLevel="0" collapsed="false">
      <c r="A6431" s="0" t="s">
        <v>763</v>
      </c>
      <c r="B6431" s="0" t="s">
        <v>95</v>
      </c>
      <c r="E6431" s="6" t="n">
        <f aca="false">Sens!E6376</f>
        <v>5.25</v>
      </c>
      <c r="F6431" s="6" t="n">
        <f aca="false">Sens!F6376</f>
        <v>13.5</v>
      </c>
      <c r="G6431" s="6" t="n">
        <f aca="false">Sens!G6376</f>
        <v>22.5</v>
      </c>
      <c r="H6431" s="6" t="n">
        <f aca="false">Sens!H6376</f>
        <v>31.5</v>
      </c>
      <c r="I6431" s="6" t="n">
        <f aca="false">Sens!I6376</f>
        <v>38.25</v>
      </c>
      <c r="J6431" s="6" t="n">
        <f aca="false">Sens!J6376</f>
        <v>42.75</v>
      </c>
      <c r="K6431" s="6" t="n">
        <f aca="false">Sens!K6376</f>
        <v>47.25</v>
      </c>
    </row>
    <row r="6432" customFormat="false" ht="17.15" hidden="false" customHeight="false" outlineLevel="0" collapsed="false">
      <c r="A6432" s="0" t="s">
        <v>764</v>
      </c>
      <c r="B6432" s="0" t="s">
        <v>95</v>
      </c>
      <c r="E6432" s="6" t="n">
        <f aca="false">Sens!E6356+Sens!E6431*Sens!E6415-Sens!E6357-Sens!E6367</f>
        <v>2.1514866143068</v>
      </c>
      <c r="F6432" s="6" t="n">
        <f aca="false">Sens!F6356+Sens!F6431*Sens!F6415-Sens!F6357-Sens!F6367</f>
        <v>9.56863426075339</v>
      </c>
      <c r="G6432" s="6" t="n">
        <f aca="false">Sens!G6356+Sens!G6431*Sens!G6415-Sens!G6357-Sens!G6367</f>
        <v>20.0391235912399</v>
      </c>
      <c r="H6432" s="6" t="n">
        <f aca="false">Sens!H6356+Sens!H6431*Sens!H6415-Sens!H6357-Sens!H6367</f>
        <v>35.1616795698133</v>
      </c>
      <c r="I6432" s="6" t="n">
        <f aca="false">Sens!I6356+Sens!I6431*Sens!I6415-Sens!I6357-Sens!I6367</f>
        <v>42.1867390756027</v>
      </c>
      <c r="J6432" s="6" t="n">
        <f aca="false">Sens!J6356+Sens!J6431*Sens!J6415-Sens!J6357-Sens!J6367</f>
        <v>47.0415412561213</v>
      </c>
      <c r="K6432" s="6" t="n">
        <f aca="false">Sens!K6356+Sens!K6431*Sens!K6415-Sens!K6357-Sens!K6367</f>
        <v>50.659753583224</v>
      </c>
    </row>
    <row r="6433" customFormat="false" ht="17.15" hidden="false" customHeight="false" outlineLevel="0" collapsed="false">
      <c r="A6433" s="0" t="s">
        <v>765</v>
      </c>
      <c r="B6433" s="0" t="s">
        <v>95</v>
      </c>
      <c r="E6433" s="6" t="n">
        <f aca="false">Sens!E6339*(cxit_open+self_build*tk_cxfac)/1000*ai_net_open</f>
        <v>126.6980382</v>
      </c>
      <c r="F6433" s="6" t="n">
        <f aca="false">Sens!E6433+Sens!F6364-Sens!F6367</f>
        <v>260.50860663364</v>
      </c>
      <c r="G6433" s="6" t="n">
        <f aca="false">Sens!F6433+Sens!G6364-Sens!G6367</f>
        <v>383.588699107579</v>
      </c>
      <c r="H6433" s="6" t="n">
        <f aca="false">Sens!G6433+Sens!H6364-Sens!H6367</f>
        <v>483.939314275917</v>
      </c>
      <c r="I6433" s="6" t="n">
        <f aca="false">Sens!H6433+Sens!I6364-Sens!I6367</f>
        <v>586.293739042938</v>
      </c>
      <c r="J6433" s="6" t="n">
        <f aca="false">Sens!I6433+Sens!J6364-Sens!J6367</f>
        <v>674.859167259476</v>
      </c>
      <c r="K6433" s="6" t="n">
        <f aca="false">Sens!J6433+Sens!K6364-Sens!K6367</f>
        <v>777.989201826364</v>
      </c>
      <c r="L6433" s="1" t="s">
        <v>766</v>
      </c>
    </row>
    <row r="6434" customFormat="false" ht="17.15" hidden="false" customHeight="false" outlineLevel="0" collapsed="false">
      <c r="A6434" s="0" t="s">
        <v>767</v>
      </c>
      <c r="B6434" s="0" t="s">
        <v>126</v>
      </c>
      <c r="F6434" s="7" t="n">
        <f aca="false">Sens!F6432*(1-tax_f)/((Sens!E6433+Sens!F6433)/2)</f>
        <v>0.0395391324541528</v>
      </c>
      <c r="G6434" s="7" t="n">
        <f aca="false">Sens!G6432*(1-tax_f)/((Sens!F6433+Sens!G6433)/2)</f>
        <v>0.0497791210430334</v>
      </c>
      <c r="H6434" s="7" t="n">
        <f aca="false">Sens!H6432*(1-tax_f)/((Sens!G6433+Sens!H6433)/2)</f>
        <v>0.0648494186283203</v>
      </c>
      <c r="I6434" s="7" t="n">
        <f aca="false">Sens!I6432*(1-tax_f)/((Sens!H6433+Sens!I6433)/2)</f>
        <v>0.0630692374073542</v>
      </c>
      <c r="J6434" s="7" t="n">
        <f aca="false">Sens!J6432*(1-tax_f)/((Sens!I6433+Sens!J6433)/2)</f>
        <v>0.0596806823610854</v>
      </c>
      <c r="K6434" s="7" t="n">
        <f aca="false">Sens!K6432*(1-tax_f)/((Sens!J6433+Sens!K6433)/2)</f>
        <v>0.0557908226748812</v>
      </c>
    </row>
    <row r="6435" customFormat="false" ht="17.15" hidden="false" customHeight="false" outlineLevel="0" collapsed="false">
      <c r="A6435" s="1" t="s">
        <v>768</v>
      </c>
      <c r="B6435" s="0" t="s">
        <v>126</v>
      </c>
      <c r="F6435" s="7" t="n">
        <f aca="false">Sens!F6368*(1-tax_f)/(Sens!F6355*(Sens!E6433+Sens!F6433)/2)</f>
        <v>0.153491344592767</v>
      </c>
      <c r="G6435" s="7" t="n">
        <f aca="false">Sens!G6368*(1-tax_f)/(Sens!G6355*(Sens!F6433+Sens!G6433)/2)</f>
        <v>0.17461067532672</v>
      </c>
      <c r="H6435" s="7" t="n">
        <f aca="false">Sens!H6368*(1-tax_f)/(Sens!H6355*(Sens!G6433+Sens!H6433)/2)</f>
        <v>0.207583911294797</v>
      </c>
      <c r="I6435" s="7" t="n">
        <f aca="false">Sens!I6368*(1-tax_f)/(Sens!I6355*(Sens!H6433+Sens!I6433)/2)</f>
        <v>0.21551939379361</v>
      </c>
      <c r="J6435" s="7" t="n">
        <f aca="false">Sens!J6368*(1-tax_f)/(Sens!J6355*(Sens!I6433+Sens!J6433)/2)</f>
        <v>0.221955418254229</v>
      </c>
      <c r="K6435" s="7" t="n">
        <f aca="false">Sens!K6368*(1-tax_f)/(Sens!K6355*(Sens!J6433+Sens!K6433)/2)</f>
        <v>0.225260522980878</v>
      </c>
    </row>
    <row r="6436" customFormat="false" ht="17.15" hidden="false" customHeight="false" outlineLevel="0" collapsed="false">
      <c r="A6436" s="0" t="s">
        <v>769</v>
      </c>
      <c r="B6436" s="0" t="s">
        <v>208</v>
      </c>
      <c r="F6436" s="7" t="n">
        <f aca="false">Sens!F6434-wacc</f>
        <v>-0.0694240886961011</v>
      </c>
      <c r="G6436" s="7" t="n">
        <f aca="false">Sens!G6434-wacc</f>
        <v>-0.0591841001072206</v>
      </c>
      <c r="H6436" s="7" t="n">
        <f aca="false">Sens!H6434-wacc</f>
        <v>-0.0441138025219337</v>
      </c>
      <c r="I6436" s="7" t="n">
        <f aca="false">Sens!I6434-wacc</f>
        <v>-0.0458939837428998</v>
      </c>
      <c r="J6436" s="7" t="n">
        <f aca="false">Sens!J6434-wacc</f>
        <v>-0.0492825387891686</v>
      </c>
      <c r="K6436" s="7" t="n">
        <f aca="false">Sens!K6434-wacc</f>
        <v>-0.0531723984753728</v>
      </c>
    </row>
    <row r="6437" customFormat="false" ht="17.15" hidden="false" customHeight="false" outlineLevel="0" collapsed="false">
      <c r="A6437" s="0" t="s">
        <v>770</v>
      </c>
      <c r="B6437" s="0" t="s">
        <v>95</v>
      </c>
      <c r="F6437" s="6" t="n">
        <f aca="false">Sens!F6432*(1-tax_f)-wacc*(Sens!E6433+Sens!F6433)/2</f>
        <v>-13.4407342273252</v>
      </c>
      <c r="G6437" s="6" t="n">
        <f aca="false">Sens!G6432*(1-tax_f)-wacc*(Sens!F6433+Sens!G6433)/2</f>
        <v>-19.0601597108897</v>
      </c>
      <c r="H6437" s="6" t="n">
        <f aca="false">Sens!H6432*(1-tax_f)-wacc*(Sens!G6433+Sens!H6433)/2</f>
        <v>-19.1349797323225</v>
      </c>
      <c r="I6437" s="6" t="n">
        <f aca="false">Sens!I6432*(1-tax_f)-wacc*(Sens!H6433+Sens!I6433)/2</f>
        <v>-24.5586291750648</v>
      </c>
      <c r="J6437" s="6" t="n">
        <f aca="false">Sens!J6432*(1-tax_f)-wacc*(Sens!I6433+Sens!J6433)/2</f>
        <v>-31.0764085119607</v>
      </c>
      <c r="K6437" s="6" t="n">
        <f aca="false">Sens!K6432*(1-tax_f)-wacc*(Sens!J6433+Sens!K6433)/2</f>
        <v>-38.6257162026639</v>
      </c>
    </row>
    <row r="6438" customFormat="false" ht="17.15" hidden="false" customHeight="false" outlineLevel="0" collapsed="false">
      <c r="A6438" s="1" t="s">
        <v>771</v>
      </c>
      <c r="B6438" s="0" t="s">
        <v>95</v>
      </c>
      <c r="F6438" s="6" t="n">
        <f aca="false">(Sens!E6340+Sens!F6340)/2*Sens!F6347/1000</f>
        <v>26.7873066765967</v>
      </c>
      <c r="G6438" s="6" t="n">
        <f aca="false">(Sens!F6340+Sens!G6340)/2*Sens!G6347/1000</f>
        <v>45.4131817597218</v>
      </c>
      <c r="H6438" s="6" t="n">
        <f aca="false">(Sens!G6340+Sens!H6340)/2*Sens!H6347/1000</f>
        <v>65.3915129357971</v>
      </c>
      <c r="I6438" s="6" t="n">
        <f aca="false">(Sens!H6340+Sens!I6340)/2*Sens!I6347/1000</f>
        <v>85.5187419289299</v>
      </c>
      <c r="J6438" s="6" t="n">
        <f aca="false">(Sens!I6340+Sens!J6340)/2*Sens!J6347/1000</f>
        <v>105.723807195006</v>
      </c>
      <c r="K6438" s="6" t="n">
        <f aca="false">(Sens!J6340+Sens!K6340)/2*Sens!K6347/1000</f>
        <v>125.974659797015</v>
      </c>
      <c r="L6438" s="1" t="s">
        <v>772</v>
      </c>
    </row>
    <row r="6439" customFormat="false" ht="17.15" hidden="false" customHeight="false" outlineLevel="0" collapsed="false">
      <c r="A6439" s="1" t="s">
        <v>773</v>
      </c>
      <c r="B6439" s="0" t="s">
        <v>126</v>
      </c>
      <c r="F6439" s="7" t="n">
        <f aca="false">(Sens!F6356+Sens!F6438-Sens!F6357-Sens!F6367)*(1-tax_f)/((Sens!E6433+Sens!F6433)/2)</f>
        <v>0.118378202782347</v>
      </c>
      <c r="G6439" s="7" t="n">
        <f aca="false">(Sens!G6356+Sens!G6438-Sens!G6357-Sens!G6367)*(1-tax_f)/((Sens!F6433+Sens!G6433)/2)</f>
        <v>0.13067780780896</v>
      </c>
      <c r="H6439" s="7" t="n">
        <f aca="false">(Sens!H6356+Sens!H6438-Sens!H6357-Sens!H6367)*(1-tax_f)/((Sens!G6433+Sens!H6433)/2)</f>
        <v>0.152281949962014</v>
      </c>
      <c r="I6439" s="7" t="n">
        <f aca="false">(Sens!I6356+Sens!I6438-Sens!I6357-Sens!I6367)*(1-tax_f)/((Sens!H6433+Sens!I6433)/2)</f>
        <v>0.158270368503593</v>
      </c>
      <c r="J6439" s="7" t="n">
        <f aca="false">(Sens!J6356+Sens!J6438-Sens!J6357-Sens!J6367)*(1-tax_f)/((Sens!I6433+Sens!J6433)/2)</f>
        <v>0.162843913450477</v>
      </c>
      <c r="K6439" s="7" t="n">
        <f aca="false">(Sens!K6356+Sens!K6438-Sens!K6357-Sens!K6367)*(1-tax_f)/((Sens!J6433+Sens!K6433)/2)</f>
        <v>0.164814643273923</v>
      </c>
      <c r="L6439" s="1" t="s">
        <v>774</v>
      </c>
    </row>
    <row r="6440" customFormat="false" ht="17.15" hidden="false" customHeight="false" outlineLevel="0" collapsed="false">
      <c r="A6440" s="3" t="s">
        <v>1297</v>
      </c>
    </row>
    <row r="6441" customFormat="false" ht="15" hidden="false" customHeight="false" outlineLevel="0" collapsed="false">
      <c r="A6441" s="4" t="s">
        <v>43</v>
      </c>
      <c r="B6441" s="4" t="s">
        <v>63</v>
      </c>
      <c r="C6441" s="19" t="s">
        <v>710</v>
      </c>
      <c r="D6441" s="19" t="s">
        <v>711</v>
      </c>
      <c r="E6441" s="19" t="s">
        <v>712</v>
      </c>
      <c r="F6441" s="19" t="s">
        <v>713</v>
      </c>
      <c r="G6441" s="19" t="s">
        <v>714</v>
      </c>
      <c r="H6441" s="19" t="s">
        <v>715</v>
      </c>
      <c r="I6441" s="19" t="s">
        <v>716</v>
      </c>
      <c r="J6441" s="19" t="s">
        <v>717</v>
      </c>
      <c r="K6441" s="19" t="s">
        <v>718</v>
      </c>
      <c r="L6441" s="4" t="s">
        <v>47</v>
      </c>
    </row>
    <row r="6442" customFormat="false" ht="15" hidden="false" customHeight="false" outlineLevel="0" collapsed="false">
      <c r="A6442" s="1" t="s">
        <v>825</v>
      </c>
      <c r="B6442" s="0" t="s">
        <v>95</v>
      </c>
      <c r="F6442" s="6" t="n">
        <f aca="false">Sens!F6427</f>
        <v>144.650510461958</v>
      </c>
      <c r="G6442" s="6" t="n">
        <f aca="false">Sens!G6427</f>
        <v>168.320520712347</v>
      </c>
      <c r="H6442" s="6" t="n">
        <f aca="false">Sens!H6427</f>
        <v>195.587771968449</v>
      </c>
      <c r="I6442" s="6" t="n">
        <f aca="false">Sens!I6427</f>
        <v>215.604028498724</v>
      </c>
      <c r="J6442" s="6" t="n">
        <f aca="false">Sens!J6427</f>
        <v>232.437621662562</v>
      </c>
      <c r="K6442" s="6" t="n">
        <f aca="false">Sens!K6427</f>
        <v>246.204585428034</v>
      </c>
    </row>
    <row r="6443" customFormat="false" ht="17.15" hidden="false" customHeight="false" outlineLevel="0" collapsed="false">
      <c r="A6443" s="1" t="s">
        <v>843</v>
      </c>
      <c r="B6443" s="0" t="s">
        <v>95</v>
      </c>
      <c r="E6443" s="6" t="n">
        <f aca="false">Q!M38-Sens!E6367</f>
        <v>22.2285940229167</v>
      </c>
      <c r="F6443" s="6" t="n">
        <f aca="false">Sens!E6443*(1-1/life_nonai)+Sens!F6449/life_nonai</f>
        <v>23.5712564942279</v>
      </c>
      <c r="G6443" s="6" t="n">
        <f aca="false">Sens!F6443*(1-1/life_nonai)+Sens!G6449/life_nonai</f>
        <v>25.3476707689507</v>
      </c>
      <c r="H6443" s="6" t="n">
        <f aca="false">Sens!G6443*(1-1/life_nonai)+Sens!H6449/life_nonai</f>
        <v>27.5062886844358</v>
      </c>
      <c r="I6443" s="6" t="n">
        <f aca="false">Sens!H6443*(1-1/life_nonai)+Sens!I6449/life_nonai</f>
        <v>29.9533646315735</v>
      </c>
      <c r="J6443" s="6" t="n">
        <f aca="false">Sens!I6443*(1-1/life_nonai)+Sens!J6449/life_nonai</f>
        <v>32.5787028749524</v>
      </c>
      <c r="K6443" s="6" t="n">
        <f aca="false">Sens!J6443*(1-1/life_nonai)+Sens!K6449/life_nonai</f>
        <v>35.2816790918417</v>
      </c>
      <c r="L6443" s="11" t="s">
        <v>844</v>
      </c>
    </row>
    <row r="6444" customFormat="false" ht="17.15" hidden="false" customHeight="false" outlineLevel="0" collapsed="false">
      <c r="A6444" s="1" t="s">
        <v>845</v>
      </c>
      <c r="B6444" s="0" t="s">
        <v>95</v>
      </c>
      <c r="E6444" s="6" t="n">
        <f aca="false">Sens!E6367+Sens!E6443</f>
        <v>38.534</v>
      </c>
      <c r="F6444" s="6" t="n">
        <f aca="false">Sens!F6367+Sens!F6443</f>
        <v>58.3054693245588</v>
      </c>
      <c r="G6444" s="6" t="n">
        <f aca="false">Sens!G6367+Sens!G6443</f>
        <v>85.8417587782127</v>
      </c>
      <c r="H6444" s="6" t="n">
        <f aca="false">Sens!H6367+Sens!H6443</f>
        <v>115.235959426498</v>
      </c>
      <c r="I6444" s="6" t="n">
        <f aca="false">Sens!I6367+Sens!I6443</f>
        <v>145.937901121619</v>
      </c>
      <c r="J6444" s="6" t="n">
        <f aca="false">Sens!J6367+Sens!J6443</f>
        <v>177.790335582148</v>
      </c>
      <c r="K6444" s="6" t="n">
        <f aca="false">Sens!K6367+Sens!K6443</f>
        <v>211.007956475354</v>
      </c>
    </row>
    <row r="6445" customFormat="false" ht="15" hidden="false" customHeight="false" outlineLevel="0" collapsed="false">
      <c r="A6445" s="1" t="s">
        <v>685</v>
      </c>
      <c r="B6445" s="0" t="s">
        <v>95</v>
      </c>
      <c r="F6445" s="6" t="n">
        <f aca="false">Sens!F6394*sbc_r</f>
        <v>15.1102235514243</v>
      </c>
      <c r="G6445" s="6" t="n">
        <f aca="false">Sens!G6394*sbc_r</f>
        <v>18.3278805104623</v>
      </c>
      <c r="H6445" s="6" t="n">
        <f aca="false">Sens!H6394*sbc_r</f>
        <v>21.7598337411342</v>
      </c>
      <c r="I6445" s="6" t="n">
        <f aca="false">Sens!I6394*sbc_r</f>
        <v>24.8360932310654</v>
      </c>
      <c r="J6445" s="6" t="n">
        <f aca="false">Sens!J6394*sbc_r</f>
        <v>27.7197203069734</v>
      </c>
      <c r="K6445" s="6" t="n">
        <f aca="false">Sens!K6394*sbc_r</f>
        <v>30.4407354417344</v>
      </c>
    </row>
    <row r="6446" customFormat="false" ht="17.15" hidden="false" customHeight="false" outlineLevel="0" collapsed="false">
      <c r="A6446" s="1" t="s">
        <v>846</v>
      </c>
      <c r="B6446" s="0" t="s">
        <v>95</v>
      </c>
      <c r="F6446" s="6" t="n">
        <f aca="false">wc27</f>
        <v>-4.895</v>
      </c>
      <c r="G6446" s="6" t="n">
        <f aca="false">0</f>
        <v>0</v>
      </c>
      <c r="H6446" s="6" t="n">
        <f aca="false">0</f>
        <v>0</v>
      </c>
      <c r="I6446" s="6" t="n">
        <f aca="false">0</f>
        <v>0</v>
      </c>
      <c r="J6446" s="6" t="n">
        <f aca="false">0</f>
        <v>0</v>
      </c>
      <c r="K6446" s="6" t="n">
        <f aca="false">0</f>
        <v>0</v>
      </c>
      <c r="L6446" s="11" t="s">
        <v>847</v>
      </c>
    </row>
    <row r="6447" customFormat="false" ht="15" hidden="false" customHeight="false" outlineLevel="0" collapsed="false">
      <c r="A6447" s="1" t="s">
        <v>678</v>
      </c>
      <c r="B6447" s="0" t="s">
        <v>95</v>
      </c>
      <c r="E6447" s="6" t="n">
        <f aca="false">Q!M35</f>
        <v>182.935</v>
      </c>
      <c r="F6447" s="6" t="n">
        <f aca="false">Sens!F6442+Sens!F6444+Sens!F6445+Sens!F6446</f>
        <v>213.171203337941</v>
      </c>
      <c r="G6447" s="6" t="n">
        <f aca="false">Sens!G6442+Sens!G6444+Sens!G6445+Sens!G6446</f>
        <v>272.490160001022</v>
      </c>
      <c r="H6447" s="6" t="n">
        <f aca="false">Sens!H6442+Sens!H6444+Sens!H6445+Sens!H6446</f>
        <v>332.583565136081</v>
      </c>
      <c r="I6447" s="6" t="n">
        <f aca="false">Sens!I6442+Sens!I6444+Sens!I6445+Sens!I6446</f>
        <v>386.378022851409</v>
      </c>
      <c r="J6447" s="6" t="n">
        <f aca="false">Sens!J6442+Sens!J6444+Sens!J6445+Sens!J6446</f>
        <v>437.947677551683</v>
      </c>
      <c r="K6447" s="6" t="n">
        <f aca="false">Sens!K6442+Sens!K6444+Sens!K6445+Sens!K6446</f>
        <v>487.653277345122</v>
      </c>
    </row>
    <row r="6448" customFormat="false" ht="17.15" hidden="false" customHeight="false" outlineLevel="0" collapsed="false">
      <c r="A6448" s="0" t="s">
        <v>848</v>
      </c>
      <c r="B6448" s="0" t="s">
        <v>95</v>
      </c>
      <c r="F6448" s="6" t="n">
        <f aca="false">Sens!F6364</f>
        <v>168.544781263971</v>
      </c>
      <c r="G6448" s="6" t="n">
        <f aca="false">Sens!G6364</f>
        <v>183.5741804832</v>
      </c>
      <c r="H6448" s="6" t="n">
        <f aca="false">Sens!H6364</f>
        <v>188.0802859104</v>
      </c>
      <c r="I6448" s="6" t="n">
        <f aca="false">Sens!I6364</f>
        <v>218.338961257067</v>
      </c>
      <c r="J6448" s="6" t="n">
        <f aca="false">Sens!J6364</f>
        <v>233.777060923733</v>
      </c>
      <c r="K6448" s="6" t="n">
        <f aca="false">Sens!K6364</f>
        <v>278.8563119504</v>
      </c>
    </row>
    <row r="6449" customFormat="false" ht="17.15" hidden="false" customHeight="false" outlineLevel="0" collapsed="false">
      <c r="A6449" s="1" t="s">
        <v>849</v>
      </c>
      <c r="B6449" s="0" t="s">
        <v>95</v>
      </c>
      <c r="E6449" s="6" t="n">
        <f aca="false">Sens!E6372*cx_azo+Sens!E6379*cx_m365+Sens!E6380*cx_lic+(Sens!E6382+Sens!E6384)*cx_ind+Sens!E6387*cx_srch+(Sens!E6389+Sens!E6391)*cx_dev</f>
        <v>30.1846587067718</v>
      </c>
      <c r="F6449" s="6" t="n">
        <f aca="false">Sens!F6372*cx_azo+Sens!F6379*cx_m365+Sens!F6380*cx_lic+(Sens!F6382+Sens!F6384)*cx_ind+Sens!F6387*cx_srch+(Sens!F6389+Sens!F6391)*cx_dev</f>
        <v>35.6552187360286</v>
      </c>
      <c r="G6449" s="6" t="n">
        <f aca="false">Sens!G6372*cx_azo+Sens!G6379*cx_m365+Sens!G6380*cx_lic+(Sens!G6382+Sens!G6384)*cx_ind+Sens!G6387*cx_srch+(Sens!G6389+Sens!G6391)*cx_dev</f>
        <v>41.3353992414566</v>
      </c>
      <c r="H6449" s="6" t="n">
        <f aca="false">Sens!H6372*cx_azo+Sens!H6379*cx_m365+Sens!H6380*cx_lic+(Sens!H6382+Sens!H6384)*cx_ind+Sens!H6387*cx_srch+(Sens!H6389+Sens!H6391)*cx_dev</f>
        <v>46.9338499238012</v>
      </c>
      <c r="I6449" s="6" t="n">
        <f aca="false">Sens!I6372*cx_azo+Sens!I6379*cx_m365+Sens!I6380*cx_lic+(Sens!I6382+Sens!I6384)*cx_ind+Sens!I6387*cx_srch+(Sens!I6389+Sens!I6391)*cx_dev</f>
        <v>51.9770481558128</v>
      </c>
      <c r="J6449" s="6" t="n">
        <f aca="false">Sens!J6372*cx_azo+Sens!J6379*cx_m365+Sens!J6380*cx_lic+(Sens!J6382+Sens!J6384)*cx_ind+Sens!J6387*cx_srch+(Sens!J6389+Sens!J6391)*cx_dev</f>
        <v>56.2067470653624</v>
      </c>
      <c r="K6449" s="6" t="n">
        <f aca="false">Sens!K6372*cx_azo+Sens!K6379*cx_m365+Sens!K6380*cx_lic+(Sens!K6382+Sens!K6384)*cx_ind+Sens!K6387*cx_srch+(Sens!K6389+Sens!K6391)*cx_dev</f>
        <v>59.608465043846</v>
      </c>
    </row>
    <row r="6450" customFormat="false" ht="17.15" hidden="false" customHeight="false" outlineLevel="0" collapsed="false">
      <c r="A6450" s="1" t="s">
        <v>850</v>
      </c>
      <c r="B6450" s="0" t="s">
        <v>95</v>
      </c>
      <c r="E6450" s="6" t="n">
        <f aca="false">Q!M42</f>
        <v>145.3</v>
      </c>
      <c r="F6450" s="6" t="n">
        <f aca="false">Sens!F6448+Sens!F6449</f>
        <v>204.2</v>
      </c>
      <c r="G6450" s="6" t="n">
        <f aca="false">Sens!G6448+Sens!G6449</f>
        <v>224.909579724657</v>
      </c>
      <c r="H6450" s="6" t="n">
        <f aca="false">Sens!H6448+Sens!H6449</f>
        <v>235.014135834201</v>
      </c>
      <c r="I6450" s="6" t="n">
        <f aca="false">Sens!I6448+Sens!I6449</f>
        <v>270.31600941288</v>
      </c>
      <c r="J6450" s="6" t="n">
        <f aca="false">Sens!J6448+Sens!J6449</f>
        <v>289.983807989096</v>
      </c>
      <c r="K6450" s="6" t="n">
        <f aca="false">Sens!K6448+Sens!K6449</f>
        <v>338.464776994246</v>
      </c>
      <c r="L6450" s="1" t="s">
        <v>851</v>
      </c>
    </row>
    <row r="6451" customFormat="false" ht="15" hidden="false" customHeight="false" outlineLevel="0" collapsed="false">
      <c r="A6451" s="1" t="s">
        <v>852</v>
      </c>
      <c r="B6451" s="0" t="s">
        <v>95</v>
      </c>
      <c r="E6451" s="6" t="n">
        <f aca="false">fl_liab</f>
        <v>66.594</v>
      </c>
      <c r="F6451" s="6" t="n">
        <f aca="false">Sens!E6451-Sens!F6452</f>
        <v>62.46973</v>
      </c>
      <c r="G6451" s="6" t="n">
        <f aca="false">Sens!F6451-Sens!G6452</f>
        <v>57.98686785</v>
      </c>
      <c r="H6451" s="6" t="n">
        <f aca="false">Sens!G6451-Sens!H6452</f>
        <v>53.92827690325</v>
      </c>
      <c r="I6451" s="6" t="n">
        <f aca="false">Sens!H6451-Sens!I6452</f>
        <v>49.7850493638962</v>
      </c>
      <c r="J6451" s="6" t="n">
        <f aca="false">Sens!I6451-Sens!J6452</f>
        <v>45.4823765852716</v>
      </c>
      <c r="K6451" s="6" t="n">
        <f aca="false">Sens!J6451-Sens!K6452</f>
        <v>40.9860835316088</v>
      </c>
    </row>
    <row r="6452" customFormat="false" ht="15" hidden="false" customHeight="false" outlineLevel="0" collapsed="false">
      <c r="A6452" s="1" t="s">
        <v>853</v>
      </c>
      <c r="B6452" s="0" t="s">
        <v>95</v>
      </c>
      <c r="F6452" s="6" t="n">
        <f aca="false">fl_pay_27-Sens!E6451*fl_rate</f>
        <v>4.12427</v>
      </c>
      <c r="G6452" s="6" t="n">
        <f aca="false">fl_pay_28-Sens!F6451*fl_rate</f>
        <v>4.48286215</v>
      </c>
      <c r="H6452" s="6" t="n">
        <f aca="false">fl_pay_29-Sens!G6451*fl_rate</f>
        <v>4.05859094675</v>
      </c>
      <c r="I6452" s="6" t="n">
        <f aca="false">fl_pay_30-Sens!H6451*fl_rate</f>
        <v>4.14322753935375</v>
      </c>
      <c r="J6452" s="6" t="n">
        <f aca="false">fl_pay_31-Sens!I6451*fl_rate</f>
        <v>4.30267277862467</v>
      </c>
      <c r="K6452" s="6" t="n">
        <f aca="false">fl_pay_32-Sens!J6451*fl_rate</f>
        <v>4.49629305366278</v>
      </c>
    </row>
    <row r="6453" customFormat="false" ht="17.15" hidden="false" customHeight="false" outlineLevel="0" collapsed="false">
      <c r="A6453" s="1" t="s">
        <v>854</v>
      </c>
      <c r="B6453" s="0" t="s">
        <v>95</v>
      </c>
      <c r="E6453" s="6" t="n">
        <f aca="false">Q!M35-Q!M36-Q!M43</f>
        <v>63.886</v>
      </c>
      <c r="F6453" s="6" t="n">
        <f aca="false">Sens!F6447-Sens!F6450-Sens!F6452</f>
        <v>4.84693333794069</v>
      </c>
      <c r="G6453" s="6" t="n">
        <f aca="false">Sens!G6447-Sens!G6450-Sens!G6452</f>
        <v>43.0977181263656</v>
      </c>
      <c r="H6453" s="6" t="n">
        <f aca="false">Sens!H6447-Sens!H6450-Sens!H6452</f>
        <v>93.5108383551301</v>
      </c>
      <c r="I6453" s="6" t="n">
        <f aca="false">Sens!I6447-Sens!I6450-Sens!I6452</f>
        <v>111.918785899175</v>
      </c>
      <c r="J6453" s="6" t="n">
        <f aca="false">Sens!J6447-Sens!J6450-Sens!J6452</f>
        <v>143.661196783963</v>
      </c>
      <c r="K6453" s="6" t="n">
        <f aca="false">Sens!K6447-Sens!K6450-Sens!K6452</f>
        <v>144.692207297213</v>
      </c>
      <c r="L6453" s="11" t="s">
        <v>855</v>
      </c>
    </row>
    <row r="6454" customFormat="false" ht="15" hidden="false" customHeight="false" outlineLevel="0" collapsed="false">
      <c r="A6454" s="1" t="s">
        <v>856</v>
      </c>
      <c r="B6454" s="0" t="s">
        <v>73</v>
      </c>
      <c r="F6454" s="8" t="n">
        <f aca="false">dps_27</f>
        <v>3.85</v>
      </c>
      <c r="G6454" s="8" t="n">
        <f aca="false">Sens!F6454*(1+dps_g)</f>
        <v>4.158</v>
      </c>
      <c r="H6454" s="8" t="n">
        <f aca="false">Sens!G6454*(1+dps_g)</f>
        <v>4.49064</v>
      </c>
      <c r="I6454" s="8" t="n">
        <f aca="false">Sens!H6454*(1+dps_g)</f>
        <v>4.8498912</v>
      </c>
      <c r="J6454" s="8" t="n">
        <f aca="false">Sens!I6454*(1+dps_g)</f>
        <v>5.237882496</v>
      </c>
      <c r="K6454" s="8" t="n">
        <f aca="false">Sens!J6454*(1+dps_g)</f>
        <v>5.65691309568</v>
      </c>
    </row>
    <row r="6455" customFormat="false" ht="17.15" hidden="false" customHeight="false" outlineLevel="0" collapsed="false">
      <c r="A6455" s="1" t="s">
        <v>857</v>
      </c>
      <c r="B6455" s="0" t="s">
        <v>95</v>
      </c>
      <c r="E6455" s="6" t="n">
        <f aca="false">Q!M41</f>
        <v>26.445</v>
      </c>
      <c r="F6455" s="6" t="n">
        <f aca="false">Sens!F6454*Sens!E6464</f>
        <v>28.59395</v>
      </c>
      <c r="G6455" s="6" t="n">
        <f aca="false">Sens!G6454*Sens!F6464</f>
        <v>31.068576</v>
      </c>
      <c r="H6455" s="6" t="n">
        <f aca="false">Sens!H6454*Sens!G6464</f>
        <v>33.6657746630974</v>
      </c>
      <c r="I6455" s="6" t="n">
        <f aca="false">Sens!I6454*Sens!H6464</f>
        <v>36.4099758761447</v>
      </c>
      <c r="J6455" s="6" t="n">
        <f aca="false">Sens!J6454*Sens!I6464</f>
        <v>39.3911727945557</v>
      </c>
      <c r="K6455" s="6" t="n">
        <f aca="false">Sens!K6454*Sens!J6464</f>
        <v>42.6297218434252</v>
      </c>
      <c r="L6455" s="1" t="s">
        <v>858</v>
      </c>
    </row>
    <row r="6456" customFormat="false" ht="15" hidden="false" customHeight="false" outlineLevel="0" collapsed="false">
      <c r="A6456" s="1" t="s">
        <v>859</v>
      </c>
      <c r="B6456" s="0" t="s">
        <v>95</v>
      </c>
      <c r="E6456" s="6" t="n">
        <f aca="false">Sens!E6453-Sens!E6455</f>
        <v>37.441</v>
      </c>
      <c r="F6456" s="6" t="n">
        <f aca="false">Sens!F6453-Sens!F6455</f>
        <v>-23.7470166620593</v>
      </c>
      <c r="G6456" s="6" t="n">
        <f aca="false">Sens!G6453-Sens!G6455</f>
        <v>12.0291421263656</v>
      </c>
      <c r="H6456" s="6" t="n">
        <f aca="false">Sens!H6453-Sens!H6455</f>
        <v>59.8450636920327</v>
      </c>
      <c r="I6456" s="6" t="n">
        <f aca="false">Sens!I6453-Sens!I6455</f>
        <v>75.5088100230305</v>
      </c>
      <c r="J6456" s="6" t="n">
        <f aca="false">Sens!J6453-Sens!J6455</f>
        <v>104.270023989407</v>
      </c>
      <c r="K6456" s="6" t="n">
        <f aca="false">Sens!K6453-Sens!K6455</f>
        <v>102.062485453788</v>
      </c>
    </row>
    <row r="6457" customFormat="false" ht="15" hidden="false" customHeight="false" outlineLevel="0" collapsed="false">
      <c r="A6457" s="1" t="s">
        <v>860</v>
      </c>
      <c r="B6457" s="0" t="s">
        <v>95</v>
      </c>
      <c r="F6457" s="6" t="n">
        <f aca="false">debt_mat_27</f>
        <v>9.25</v>
      </c>
      <c r="G6457" s="6" t="n">
        <f aca="false">debt_mat_28</f>
        <v>0</v>
      </c>
      <c r="H6457" s="6" t="n">
        <f aca="false">debt_mat_29</f>
        <v>2.001</v>
      </c>
      <c r="I6457" s="6" t="n">
        <f aca="false">debt_mat_30</f>
        <v>0</v>
      </c>
      <c r="J6457" s="6" t="n">
        <f aca="false">debt_mat_31</f>
        <v>0.5</v>
      </c>
      <c r="K6457" s="6" t="n">
        <f aca="false">debt_mat_32</f>
        <v>0</v>
      </c>
    </row>
    <row r="6458" customFormat="false" ht="15" hidden="false" customHeight="false" outlineLevel="0" collapsed="false">
      <c r="A6458" s="1" t="s">
        <v>861</v>
      </c>
      <c r="B6458" s="0" t="s">
        <v>95</v>
      </c>
      <c r="E6458" s="6" t="n">
        <f aca="false">Q!M40</f>
        <v>22.271</v>
      </c>
      <c r="F6458" s="6" t="n">
        <f aca="false">MAX(0,MIN(bb_target,Sens!E6460+Sens!F6456-Sens!F6457-min_cash))</f>
        <v>0</v>
      </c>
      <c r="G6458" s="6" t="n">
        <f aca="false">MAX(0,MIN(bb_target,Sens!F6460+Sens!G6456-Sens!G6457-min_cash))</f>
        <v>12.0291421263656</v>
      </c>
      <c r="H6458" s="6" t="n">
        <f aca="false">MAX(0,MIN(bb_target,Sens!G6460+Sens!H6456-Sens!H6457-min_cash))</f>
        <v>22.271</v>
      </c>
      <c r="I6458" s="6" t="n">
        <f aca="false">MAX(0,MIN(bb_target,Sens!H6460+Sens!I6456-Sens!I6457-min_cash))</f>
        <v>22.271</v>
      </c>
      <c r="J6458" s="6" t="n">
        <f aca="false">MAX(0,MIN(bb_target,Sens!I6460+Sens!J6456-Sens!J6457-min_cash))</f>
        <v>22.271</v>
      </c>
      <c r="K6458" s="6" t="n">
        <f aca="false">MAX(0,MIN(bb_target,Sens!J6460+Sens!K6456-Sens!K6457-min_cash))</f>
        <v>22.271</v>
      </c>
    </row>
    <row r="6459" customFormat="false" ht="15" hidden="false" customHeight="false" outlineLevel="0" collapsed="false">
      <c r="A6459" s="1" t="s">
        <v>862</v>
      </c>
      <c r="B6459" s="0" t="s">
        <v>95</v>
      </c>
      <c r="F6459" s="6" t="n">
        <f aca="false">MAX(0,min_cash-(Sens!E6460+Sens!F6456-Sens!F6457-Sens!F6458))</f>
        <v>6.15401666205931</v>
      </c>
      <c r="G6459" s="6" t="n">
        <f aca="false">MAX(0,min_cash-(Sens!F6460+Sens!G6456-Sens!G6457-Sens!G6458))</f>
        <v>0</v>
      </c>
      <c r="H6459" s="6" t="n">
        <f aca="false">MAX(0,min_cash-(Sens!G6460+Sens!H6456-Sens!H6457-Sens!H6458))</f>
        <v>0</v>
      </c>
      <c r="I6459" s="6" t="n">
        <f aca="false">MAX(0,min_cash-(Sens!H6460+Sens!I6456-Sens!I6457-Sens!I6458))</f>
        <v>0</v>
      </c>
      <c r="J6459" s="6" t="n">
        <f aca="false">MAX(0,min_cash-(Sens!I6460+Sens!J6456-Sens!J6457-Sens!J6458))</f>
        <v>0</v>
      </c>
      <c r="K6459" s="6" t="n">
        <f aca="false">MAX(0,min_cash-(Sens!J6460+Sens!K6456-Sens!K6457-Sens!K6458))</f>
        <v>0</v>
      </c>
    </row>
    <row r="6460" customFormat="false" ht="15" hidden="false" customHeight="false" outlineLevel="0" collapsed="false">
      <c r="A6460" s="1" t="s">
        <v>863</v>
      </c>
      <c r="B6460" s="0" t="s">
        <v>95</v>
      </c>
      <c r="E6460" s="6" t="n">
        <f aca="false">cash_open</f>
        <v>76.843</v>
      </c>
      <c r="F6460" s="6" t="n">
        <f aca="false">Sens!E6460+Sens!F6456-Sens!F6457-Sens!F6458+Sens!F6459</f>
        <v>50</v>
      </c>
      <c r="G6460" s="6" t="n">
        <f aca="false">Sens!F6460+Sens!G6456-Sens!G6457-Sens!G6458+Sens!G6459</f>
        <v>50</v>
      </c>
      <c r="H6460" s="6" t="n">
        <f aca="false">Sens!G6460+Sens!H6456-Sens!H6457-Sens!H6458+Sens!H6459</f>
        <v>85.5730636920327</v>
      </c>
      <c r="I6460" s="6" t="n">
        <f aca="false">Sens!H6460+Sens!I6456-Sens!I6457-Sens!I6458+Sens!I6459</f>
        <v>138.810873715063</v>
      </c>
      <c r="J6460" s="6" t="n">
        <f aca="false">Sens!I6460+Sens!J6456-Sens!J6457-Sens!J6458+Sens!J6459</f>
        <v>220.30989770447</v>
      </c>
      <c r="K6460" s="6" t="n">
        <f aca="false">Sens!J6460+Sens!K6456-Sens!K6457-Sens!K6458+Sens!K6459</f>
        <v>300.101383158258</v>
      </c>
    </row>
    <row r="6461" customFormat="false" ht="15" hidden="false" customHeight="false" outlineLevel="0" collapsed="false">
      <c r="A6461" s="1" t="s">
        <v>864</v>
      </c>
      <c r="B6461" s="0" t="s">
        <v>95</v>
      </c>
      <c r="E6461" s="6" t="n">
        <f aca="false">debt_face</f>
        <v>46.136</v>
      </c>
      <c r="F6461" s="6" t="n">
        <f aca="false">Sens!E6461-Sens!F6457+Sens!F6459</f>
        <v>43.0400166620593</v>
      </c>
      <c r="G6461" s="6" t="n">
        <f aca="false">Sens!F6461-Sens!G6457+Sens!G6459</f>
        <v>43.0400166620593</v>
      </c>
      <c r="H6461" s="6" t="n">
        <f aca="false">Sens!G6461-Sens!H6457+Sens!H6459</f>
        <v>41.0390166620593</v>
      </c>
      <c r="I6461" s="6" t="n">
        <f aca="false">Sens!H6461-Sens!I6457+Sens!I6459</f>
        <v>41.0390166620593</v>
      </c>
      <c r="J6461" s="6" t="n">
        <f aca="false">Sens!I6461-Sens!J6457+Sens!J6459</f>
        <v>40.5390166620593</v>
      </c>
      <c r="K6461" s="6" t="n">
        <f aca="false">Sens!J6461-Sens!K6457+Sens!K6459</f>
        <v>40.5390166620593</v>
      </c>
    </row>
    <row r="6462" customFormat="false" ht="15" hidden="false" customHeight="false" outlineLevel="0" collapsed="false">
      <c r="A6462" s="1" t="s">
        <v>865</v>
      </c>
      <c r="B6462" s="0" t="s">
        <v>95</v>
      </c>
      <c r="E6462" s="6" t="n">
        <f aca="false">Sens!E6460-Sens!E6461</f>
        <v>30.707</v>
      </c>
      <c r="F6462" s="6" t="n">
        <f aca="false">Sens!F6460-Sens!F6461</f>
        <v>6.95998333794069</v>
      </c>
      <c r="G6462" s="6" t="n">
        <f aca="false">Sens!G6460-Sens!G6461</f>
        <v>6.95998333794069</v>
      </c>
      <c r="H6462" s="6" t="n">
        <f aca="false">Sens!H6460-Sens!H6461</f>
        <v>44.5340470299733</v>
      </c>
      <c r="I6462" s="6" t="n">
        <f aca="false">Sens!I6460-Sens!I6461</f>
        <v>97.7718570530038</v>
      </c>
      <c r="J6462" s="6" t="n">
        <f aca="false">Sens!J6460-Sens!J6461</f>
        <v>179.770881042411</v>
      </c>
      <c r="K6462" s="6" t="n">
        <f aca="false">Sens!K6460-Sens!K6461</f>
        <v>259.562366496199</v>
      </c>
    </row>
    <row r="6463" customFormat="false" ht="15" hidden="false" customHeight="false" outlineLevel="0" collapsed="false">
      <c r="A6463" s="1" t="s">
        <v>866</v>
      </c>
      <c r="B6463" s="0" t="s">
        <v>73</v>
      </c>
      <c r="F6463" s="27" t="n">
        <f aca="false">px*(1+bb_g)^(1-0.5)</f>
        <v>553.494156066711</v>
      </c>
      <c r="G6463" s="27" t="n">
        <f aca="false">px*(1+bb_g)^(2-0.5)</f>
        <v>597.773688552047</v>
      </c>
      <c r="H6463" s="27" t="n">
        <f aca="false">px*(1+bb_g)^(3-0.5)</f>
        <v>645.595583636211</v>
      </c>
      <c r="I6463" s="27" t="n">
        <f aca="false">px*(1+bb_g)^(4-0.5)</f>
        <v>697.243230327108</v>
      </c>
      <c r="J6463" s="27" t="n">
        <f aca="false">px*(1+bb_g)^(5-0.5)</f>
        <v>753.022688753277</v>
      </c>
      <c r="K6463" s="27" t="n">
        <f aca="false">px*(1+bb_g)^(6-0.5)</f>
        <v>813.264503853539</v>
      </c>
    </row>
    <row r="6464" customFormat="false" ht="15" hidden="false" customHeight="false" outlineLevel="0" collapsed="false">
      <c r="A6464" s="1" t="s">
        <v>867</v>
      </c>
      <c r="B6464" s="1" t="s">
        <v>79</v>
      </c>
      <c r="E6464" s="18" t="n">
        <f aca="false">sh_out26</f>
        <v>7.427</v>
      </c>
      <c r="F6464" s="18" t="n">
        <f aca="false">Sens!E6464+sh_iss-Sens!F6458/Sens!F6463</f>
        <v>7.472</v>
      </c>
      <c r="G6464" s="18" t="n">
        <f aca="false">Sens!F6464+sh_iss-Sens!G6458/Sens!G6463</f>
        <v>7.49687676213133</v>
      </c>
      <c r="H6464" s="18" t="n">
        <f aca="false">Sens!G6464+sh_iss-Sens!H6458/Sens!H6463</f>
        <v>7.50737993383123</v>
      </c>
      <c r="I6464" s="18" t="n">
        <f aca="false">Sens!H6464+sh_iss-Sens!I6458/Sens!I6463</f>
        <v>7.52043842614596</v>
      </c>
      <c r="J6464" s="18" t="n">
        <f aca="false">Sens!I6464+sh_iss-Sens!J6458/Sens!J6463</f>
        <v>7.535862956067</v>
      </c>
      <c r="K6464" s="18" t="n">
        <f aca="false">Sens!J6464+sh_iss-Sens!K6458/Sens!K6463</f>
        <v>7.55347826154944</v>
      </c>
    </row>
    <row r="6465" customFormat="false" ht="15" hidden="false" customHeight="false" outlineLevel="0" collapsed="false">
      <c r="A6465" s="1" t="s">
        <v>868</v>
      </c>
      <c r="B6465" s="1" t="s">
        <v>79</v>
      </c>
      <c r="E6465" s="18" t="n">
        <f aca="false">sh_dil26</f>
        <v>7.453</v>
      </c>
      <c r="F6465" s="18" t="n">
        <f aca="false">(Sens!E6464+Sens!F6464)/2+dil_gap</f>
        <v>7.4735</v>
      </c>
      <c r="G6465" s="18" t="n">
        <f aca="false">(Sens!F6464+Sens!G6464)/2+dil_gap</f>
        <v>7.50843838106566</v>
      </c>
      <c r="H6465" s="18" t="n">
        <f aca="false">(Sens!G6464+Sens!H6464)/2+dil_gap</f>
        <v>7.52612834798128</v>
      </c>
      <c r="I6465" s="18" t="n">
        <f aca="false">(Sens!H6464+Sens!I6464)/2+dil_gap</f>
        <v>7.53790917998859</v>
      </c>
      <c r="J6465" s="18" t="n">
        <f aca="false">(Sens!I6464+Sens!J6464)/2+dil_gap</f>
        <v>7.55215069110648</v>
      </c>
      <c r="K6465" s="18" t="n">
        <f aca="false">(Sens!J6464+Sens!K6464)/2+dil_gap</f>
        <v>7.56867060880822</v>
      </c>
    </row>
    <row r="6466" customFormat="false" ht="17.15" hidden="false" customHeight="false" outlineLevel="0" collapsed="false">
      <c r="A6466" s="1" t="s">
        <v>869</v>
      </c>
      <c r="B6466" s="0" t="s">
        <v>95</v>
      </c>
      <c r="C6466" s="6" t="n">
        <f aca="false">SUM(Sens!F6456:J6456)</f>
        <v>227.906023168777</v>
      </c>
    </row>
    <row r="6467" customFormat="false" ht="17.15" hidden="false" customHeight="false" outlineLevel="0" collapsed="false">
      <c r="A6467" s="1" t="s">
        <v>836</v>
      </c>
      <c r="B6467" s="1" t="s">
        <v>870</v>
      </c>
      <c r="C6467" s="30" t="str">
        <f aca="false">IF(SUM(Sens!F6459:J6459)&gt;0.05,"需要舉債 "&amp;TEXT(SUM(Sens!F6459:J6459),"0.0")&amp;" 十億美元","不需舉債")&amp;"；"&amp;IF(SUM(Sens!F6458:J6458)&lt;5*bb_target-0.05,"回購較每年 "&amp;TEXT(bb_target,"0.0")&amp;" 的目標少 "&amp;TEXT(5*bb_target-SUM(Sens!F6458:J6458),"0.0")&amp;" 十億美元（"&amp;TEXT(COUNTIF(Sens!F6458:J6458,"&lt;"&amp;(bb_target-0.05)),"0")&amp;" 年減少）","回購不減")</f>
        <v>需要舉債 6.2 十億美元；回購較每年 22.3 的目標少 32.5 十億美元（2 年減少）</v>
      </c>
    </row>
    <row r="6468" customFormat="false" ht="17.15" hidden="false" customHeight="false" outlineLevel="0" collapsed="false">
      <c r="A6468" s="3" t="s">
        <v>1298</v>
      </c>
    </row>
    <row r="6469" customFormat="false" ht="15" hidden="false" customHeight="false" outlineLevel="0" collapsed="false">
      <c r="A6469" s="4" t="s">
        <v>43</v>
      </c>
      <c r="B6469" s="4" t="s">
        <v>63</v>
      </c>
      <c r="C6469" s="19" t="s">
        <v>710</v>
      </c>
      <c r="D6469" s="19" t="s">
        <v>711</v>
      </c>
      <c r="E6469" s="19" t="s">
        <v>712</v>
      </c>
      <c r="F6469" s="19" t="s">
        <v>713</v>
      </c>
      <c r="G6469" s="19" t="s">
        <v>714</v>
      </c>
      <c r="H6469" s="19" t="s">
        <v>715</v>
      </c>
      <c r="I6469" s="19" t="s">
        <v>716</v>
      </c>
      <c r="J6469" s="19" t="s">
        <v>717</v>
      </c>
      <c r="K6469" s="19" t="s">
        <v>718</v>
      </c>
      <c r="L6469" s="4" t="s">
        <v>47</v>
      </c>
    </row>
    <row r="6470" customFormat="false" ht="17.15" hidden="false" customHeight="false" outlineLevel="0" collapsed="false">
      <c r="A6470" s="1" t="s">
        <v>938</v>
      </c>
      <c r="B6470" s="1" t="s">
        <v>213</v>
      </c>
      <c r="F6470" s="34" t="n">
        <f aca="false">1-0.5</f>
        <v>0.5</v>
      </c>
      <c r="G6470" s="34" t="n">
        <f aca="false">2-0.5</f>
        <v>1.5</v>
      </c>
      <c r="H6470" s="34" t="n">
        <f aca="false">3-0.5</f>
        <v>2.5</v>
      </c>
      <c r="I6470" s="34" t="n">
        <f aca="false">4-0.5</f>
        <v>3.5</v>
      </c>
      <c r="J6470" s="34" t="n">
        <f aca="false">5-0.5</f>
        <v>4.5</v>
      </c>
      <c r="K6470" s="34" t="n">
        <f aca="false">6-0.5</f>
        <v>5.5</v>
      </c>
    </row>
    <row r="6471" customFormat="false" ht="15" hidden="false" customHeight="false" outlineLevel="0" collapsed="false">
      <c r="A6471" s="1" t="s">
        <v>939</v>
      </c>
      <c r="B6471" s="0" t="s">
        <v>182</v>
      </c>
      <c r="F6471" s="18" t="n">
        <f aca="false">1/(1+wacc)^Sens!F6470</f>
        <v>0.949601579913219</v>
      </c>
      <c r="G6471" s="18" t="n">
        <f aca="false">1/(1+wacc)^Sens!G6470</f>
        <v>0.856296729956707</v>
      </c>
      <c r="H6471" s="18" t="n">
        <f aca="false">1/(1+wacc)^Sens!H6470</f>
        <v>0.772159719660069</v>
      </c>
      <c r="I6471" s="18" t="n">
        <f aca="false">1/(1+wacc)^Sens!I6470</f>
        <v>0.696289746073958</v>
      </c>
      <c r="J6471" s="18" t="n">
        <f aca="false">1/(1+wacc)^Sens!J6470</f>
        <v>0.627874516299776</v>
      </c>
      <c r="K6471" s="18" t="n">
        <f aca="false">1/(1+wacc)^Sens!K6470</f>
        <v>0.566181550771831</v>
      </c>
    </row>
    <row r="6472" customFormat="false" ht="15" hidden="false" customHeight="false" outlineLevel="0" collapsed="false">
      <c r="A6472" s="1" t="s">
        <v>940</v>
      </c>
      <c r="B6472" s="0" t="s">
        <v>95</v>
      </c>
      <c r="F6472" s="6" t="n">
        <f aca="false">Sens!F6453*Sens!F6471</f>
        <v>4.60265555544253</v>
      </c>
      <c r="G6472" s="6" t="n">
        <f aca="false">Sens!G6453*Sens!G6471</f>
        <v>36.9044351002027</v>
      </c>
      <c r="H6472" s="6" t="n">
        <f aca="false">Sens!H6453*Sens!H6471</f>
        <v>72.2053027294752</v>
      </c>
      <c r="I6472" s="6" t="n">
        <f aca="false">Sens!I6453*Sens!I6471</f>
        <v>77.9279030146423</v>
      </c>
      <c r="J6472" s="6" t="n">
        <f aca="false">Sens!J6453*Sens!J6471</f>
        <v>90.2012044417778</v>
      </c>
      <c r="K6472" s="6" t="n">
        <f aca="false">Sens!K6453*Sens!K6471</f>
        <v>81.9220583121353</v>
      </c>
    </row>
    <row r="6473" customFormat="false" ht="17.15" hidden="false" customHeight="false" outlineLevel="0" collapsed="false">
      <c r="A6473" s="1" t="s">
        <v>941</v>
      </c>
      <c r="B6473" s="0" t="s">
        <v>95</v>
      </c>
      <c r="C6473" s="6" t="n">
        <f aca="false">SUM(Sens!F6472:K6472)</f>
        <v>363.763559153676</v>
      </c>
    </row>
    <row r="6474" customFormat="false" ht="17.15" hidden="false" customHeight="false" outlineLevel="0" collapsed="false">
      <c r="A6474" s="1" t="s">
        <v>942</v>
      </c>
      <c r="B6474" s="0" t="s">
        <v>95</v>
      </c>
      <c r="C6474" s="6" t="n">
        <f aca="false">Sens!K6419*(1+g_tv)*(1-tax_f)</f>
        <v>253.920322990875</v>
      </c>
    </row>
    <row r="6475" customFormat="false" ht="17.15" hidden="false" customHeight="false" outlineLevel="0" collapsed="false">
      <c r="A6475" s="1" t="s">
        <v>943</v>
      </c>
      <c r="B6475" s="0" t="s">
        <v>95</v>
      </c>
      <c r="C6475" s="6" t="n">
        <f aca="false">Sens!$C$6474*(1-g_tv/(wacc+ronic_prem))</f>
        <v>184.010406513442</v>
      </c>
    </row>
    <row r="6476" customFormat="false" ht="17.15" hidden="false" customHeight="false" outlineLevel="0" collapsed="false">
      <c r="A6476" s="1" t="s">
        <v>944</v>
      </c>
      <c r="B6476" s="0" t="s">
        <v>95</v>
      </c>
      <c r="C6476" s="6" t="n">
        <f aca="false">Sens!$C$6475/(wacc-g_tv)</f>
        <v>2330.33054924774</v>
      </c>
    </row>
    <row r="6477" customFormat="false" ht="15" hidden="false" customHeight="false" outlineLevel="0" collapsed="false">
      <c r="A6477" s="1" t="s">
        <v>945</v>
      </c>
      <c r="B6477" s="0" t="s">
        <v>95</v>
      </c>
      <c r="C6477" s="6" t="n">
        <f aca="false">Sens!$C$6476/(1+wacc)^6</f>
        <v>1252.89498443115</v>
      </c>
    </row>
    <row r="6478" customFormat="false" ht="17.15" hidden="false" customHeight="false" outlineLevel="0" collapsed="false">
      <c r="A6478" s="0" t="s">
        <v>877</v>
      </c>
      <c r="B6478" s="0" t="s">
        <v>95</v>
      </c>
      <c r="C6478" s="6" t="n">
        <f aca="false">Sens!$C$6473+Sens!$C$6477</f>
        <v>1616.65854358482</v>
      </c>
    </row>
    <row r="6479" customFormat="false" ht="15" hidden="false" customHeight="false" outlineLevel="0" collapsed="false">
      <c r="A6479" s="1" t="s">
        <v>878</v>
      </c>
      <c r="B6479" s="0" t="s">
        <v>126</v>
      </c>
      <c r="C6479" s="7" t="n">
        <f aca="false">Sens!$C$6477/Sens!$C$6478</f>
        <v>0.774990482314802</v>
      </c>
    </row>
    <row r="6480" customFormat="false" ht="17.15" hidden="false" customHeight="false" outlineLevel="0" collapsed="false">
      <c r="A6480" s="1" t="s">
        <v>946</v>
      </c>
      <c r="B6480" s="0" t="s">
        <v>95</v>
      </c>
      <c r="C6480" s="6" t="n">
        <f aca="false">Sens!$C$6478+Sens!E6462+oai_v</f>
        <v>1817.76554358482</v>
      </c>
    </row>
    <row r="6481" customFormat="false" ht="17.15" hidden="false" customHeight="false" outlineLevel="0" collapsed="false">
      <c r="A6481" s="0" t="s">
        <v>883</v>
      </c>
      <c r="B6481" s="0" t="s">
        <v>73</v>
      </c>
      <c r="C6481" s="5" t="n">
        <f aca="false">Sens!$C$6480/sh_dil26</f>
        <v>243.897161355806</v>
      </c>
    </row>
    <row r="6482" customFormat="false" ht="17.15" hidden="false" customHeight="false" outlineLevel="0" collapsed="false">
      <c r="A6482" s="0" t="s">
        <v>947</v>
      </c>
      <c r="B6482" s="0" t="s">
        <v>73</v>
      </c>
      <c r="C6482" s="5" t="n">
        <f aca="false">Sens!$C$6481*(1+wacc)^t_roll</f>
        <v>279.748719899246</v>
      </c>
    </row>
    <row r="6483" customFormat="false" ht="17.15" hidden="false" customHeight="false" outlineLevel="0" collapsed="false">
      <c r="A6483" s="1" t="s">
        <v>948</v>
      </c>
      <c r="B6483" s="0" t="s">
        <v>126</v>
      </c>
      <c r="F6483" s="7" t="n">
        <f aca="false">Sens!F6443/(Sens!F6394-Sens!F6350)</f>
        <v>0.0682290472299518</v>
      </c>
      <c r="G6483" s="7" t="n">
        <f aca="false">Sens!G6443/(Sens!G6394-Sens!G6350)</f>
        <v>0.0651762753229544</v>
      </c>
      <c r="H6483" s="7" t="n">
        <f aca="false">Sens!H6443/(Sens!H6394-Sens!H6350)</f>
        <v>0.0636279034495062</v>
      </c>
      <c r="I6483" s="7" t="n">
        <f aca="false">Sens!I6443/(Sens!I6394-Sens!I6350)</f>
        <v>0.0634690415083747</v>
      </c>
      <c r="J6483" s="7" t="n">
        <f aca="false">Sens!J6443/(Sens!J6394-Sens!J6350)</f>
        <v>0.0643443069266279</v>
      </c>
      <c r="K6483" s="7" t="n">
        <f aca="false">Sens!K6443/(Sens!K6394-Sens!K6350)</f>
        <v>0.065788470807415</v>
      </c>
    </row>
    <row r="6484" customFormat="false" ht="17.15" hidden="false" customHeight="false" outlineLevel="0" collapsed="false">
      <c r="A6484" s="0" t="s">
        <v>949</v>
      </c>
      <c r="B6484" s="0" t="s">
        <v>95</v>
      </c>
      <c r="F6484" s="6" t="n">
        <f aca="false">Sens!F6379*(al_m365+Sens!F6483)</f>
        <v>80.4496905711876</v>
      </c>
      <c r="G6484" s="6" t="n">
        <f aca="false">Sens!G6379*(al_m365+Sens!G6483)</f>
        <v>94.1518227623804</v>
      </c>
      <c r="H6484" s="6" t="n">
        <f aca="false">Sens!H6379*(al_m365+Sens!H6483)</f>
        <v>108.023597740224</v>
      </c>
      <c r="I6484" s="6" t="n">
        <f aca="false">Sens!I6379*(al_m365+Sens!I6483)</f>
        <v>120.475381058131</v>
      </c>
      <c r="J6484" s="6" t="n">
        <f aca="false">Sens!J6379*(al_m365+Sens!J6483)</f>
        <v>131.329378173392</v>
      </c>
      <c r="K6484" s="6" t="n">
        <f aca="false">Sens!K6379*(al_m365+Sens!K6483)</f>
        <v>141.831581019837</v>
      </c>
    </row>
    <row r="6485" customFormat="false" ht="17.15" hidden="false" customHeight="false" outlineLevel="0" collapsed="false">
      <c r="A6485" s="0" t="s">
        <v>950</v>
      </c>
      <c r="B6485" s="0" t="s">
        <v>95</v>
      </c>
      <c r="F6485" s="6" t="n">
        <f aca="false">Sens!F6380*(al_lic+Sens!F6483)</f>
        <v>31.9699136008122</v>
      </c>
      <c r="G6485" s="6" t="n">
        <f aca="false">Sens!G6380*(al_lic+Sens!G6483)</f>
        <v>33.1993278953592</v>
      </c>
      <c r="H6485" s="6" t="n">
        <f aca="false">Sens!H6380*(al_lic+Sens!H6483)</f>
        <v>34.3542981074633</v>
      </c>
      <c r="I6485" s="6" t="n">
        <f aca="false">Sens!I6380*(al_lic+Sens!I6483)</f>
        <v>35.4182784036009</v>
      </c>
      <c r="J6485" s="6" t="n">
        <f aca="false">Sens!J6380*(al_lic+Sens!J6483)</f>
        <v>36.3635769542194</v>
      </c>
      <c r="K6485" s="6" t="n">
        <f aca="false">Sens!K6380*(al_lic+Sens!K6483)</f>
        <v>37.1566256630417</v>
      </c>
    </row>
    <row r="6486" customFormat="false" ht="17.15" hidden="false" customHeight="false" outlineLevel="0" collapsed="false">
      <c r="A6486" s="0" t="s">
        <v>951</v>
      </c>
      <c r="B6486" s="0" t="s">
        <v>95</v>
      </c>
      <c r="F6486" s="6" t="n">
        <f aca="false">Sens!F6382*(al_ind+Sens!F6483)</f>
        <v>8.23257793964083</v>
      </c>
      <c r="G6486" s="6" t="n">
        <f aca="false">Sens!G6382*(al_ind+Sens!G6483)</f>
        <v>8.92462057202525</v>
      </c>
      <c r="H6486" s="6" t="n">
        <f aca="false">Sens!H6382*(al_ind+Sens!H6483)</f>
        <v>9.66297707448481</v>
      </c>
      <c r="I6486" s="6" t="n">
        <f aca="false">Sens!I6382*(al_ind+Sens!I6483)</f>
        <v>10.446542564496</v>
      </c>
      <c r="J6486" s="6" t="n">
        <f aca="false">Sens!J6382*(al_ind+Sens!J6483)</f>
        <v>11.2652543658972</v>
      </c>
      <c r="K6486" s="6" t="n">
        <f aca="false">Sens!K6382*(al_ind+Sens!K6483)</f>
        <v>12.1016003150807</v>
      </c>
    </row>
    <row r="6487" customFormat="false" ht="17.15" hidden="false" customHeight="false" outlineLevel="0" collapsed="false">
      <c r="A6487" s="0" t="s">
        <v>952</v>
      </c>
      <c r="B6487" s="0" t="s">
        <v>95</v>
      </c>
      <c r="F6487" s="6" t="n">
        <f aca="false">Sens!F6384*(al_fro+Sens!F6483)</f>
        <v>3.24037157998494</v>
      </c>
      <c r="G6487" s="6" t="n">
        <f aca="false">Sens!G6384*(al_fro+Sens!G6483)</f>
        <v>3.42652666115487</v>
      </c>
      <c r="H6487" s="6" t="n">
        <f aca="false">Sens!H6384*(al_fro+Sens!H6483)</f>
        <v>3.64134050173381</v>
      </c>
      <c r="I6487" s="6" t="n">
        <f aca="false">Sens!I6384*(al_fro+Sens!I6483)</f>
        <v>3.88777797339344</v>
      </c>
      <c r="J6487" s="6" t="n">
        <f aca="false">Sens!J6384*(al_fro+Sens!J6483)</f>
        <v>4.16632398743076</v>
      </c>
      <c r="K6487" s="6" t="n">
        <f aca="false">Sens!K6384*(al_fro+Sens!K6483)</f>
        <v>4.47563686015403</v>
      </c>
    </row>
    <row r="6488" customFormat="false" ht="17.15" hidden="false" customHeight="false" outlineLevel="0" collapsed="false">
      <c r="A6488" s="0" t="s">
        <v>953</v>
      </c>
      <c r="B6488" s="0" t="s">
        <v>95</v>
      </c>
      <c r="F6488" s="6" t="n">
        <f aca="false">Sens!F6387*(al_srch+Sens!F6483)</f>
        <v>10.1673527001702</v>
      </c>
      <c r="G6488" s="6" t="n">
        <f aca="false">Sens!G6387*(al_srch+Sens!G6483)</f>
        <v>11.1260325380214</v>
      </c>
      <c r="H6488" s="6" t="n">
        <f aca="false">Sens!H6387*(al_srch+Sens!H6483)</f>
        <v>12.1322183477129</v>
      </c>
      <c r="I6488" s="6" t="n">
        <f aca="false">Sens!I6387*(al_srch+Sens!I6483)</f>
        <v>13.1785520672467</v>
      </c>
      <c r="J6488" s="6" t="n">
        <f aca="false">Sens!J6387*(al_srch+Sens!J6483)</f>
        <v>14.2454385937907</v>
      </c>
      <c r="K6488" s="6" t="n">
        <f aca="false">Sens!K6387*(al_srch+Sens!K6483)</f>
        <v>15.3030369821881</v>
      </c>
    </row>
    <row r="6489" customFormat="false" ht="17.15" hidden="false" customHeight="false" outlineLevel="0" collapsed="false">
      <c r="A6489" s="0" t="s">
        <v>954</v>
      </c>
      <c r="B6489" s="0" t="s">
        <v>95</v>
      </c>
      <c r="F6489" s="6" t="n">
        <f aca="false">Sens!F6356</f>
        <v>43.1278534047371</v>
      </c>
      <c r="G6489" s="6" t="n">
        <f aca="false">Sens!G6356</f>
        <v>78.4713023799053</v>
      </c>
      <c r="H6489" s="6" t="n">
        <f aca="false">Sens!H6356</f>
        <v>120.169624261219</v>
      </c>
      <c r="I6489" s="6" t="n">
        <f aca="false">Sens!I6356</f>
        <v>156.086713969963</v>
      </c>
      <c r="J6489" s="6" t="n">
        <f aca="false">Sens!J6356</f>
        <v>192.09687492465</v>
      </c>
      <c r="K6489" s="6" t="n">
        <f aca="false">Sens!K6356</f>
        <v>228.161785217179</v>
      </c>
    </row>
    <row r="6490" customFormat="false" ht="17.15" hidden="false" customHeight="false" outlineLevel="0" collapsed="false">
      <c r="A6490" s="0" t="s">
        <v>955</v>
      </c>
      <c r="B6490" s="0" t="s">
        <v>95</v>
      </c>
      <c r="F6490" s="6" t="n">
        <f aca="false">Sens!F6416+Sens!F6367+Sens!F6483*(Sens!F6386-Sens!F6350)</f>
        <v>215.778607814269</v>
      </c>
      <c r="G6490" s="6" t="n">
        <f aca="false">Sens!G6416+Sens!G6367+Sens!G6483*(Sens!G6386-Sens!G6350)</f>
        <v>272.384364015099</v>
      </c>
      <c r="H6490" s="6" t="n">
        <f aca="false">Sens!H6416+Sens!H6367+Sens!H6483*(Sens!H6386-Sens!H6350)</f>
        <v>335.084446368445</v>
      </c>
      <c r="I6490" s="6" t="n">
        <f aca="false">Sens!I6416+Sens!I6367+Sens!I6483*(Sens!I6386-Sens!I6350)</f>
        <v>389.793936355695</v>
      </c>
      <c r="J6490" s="6" t="n">
        <f aca="false">Sens!J6416+Sens!J6367+Sens!J6483*(Sens!J6386-Sens!J6350)</f>
        <v>441.478023201334</v>
      </c>
      <c r="K6490" s="6" t="n">
        <f aca="false">Sens!K6416+Sens!K6367+Sens!K6483*(Sens!K6386-Sens!K6350)</f>
        <v>490.540111230429</v>
      </c>
    </row>
    <row r="6491" customFormat="false" ht="17.15" hidden="false" customHeight="false" outlineLevel="0" collapsed="false">
      <c r="A6491" s="0" t="s">
        <v>956</v>
      </c>
      <c r="B6491" s="0" t="s">
        <v>95</v>
      </c>
      <c r="F6491" s="6" t="n">
        <f aca="false">Sens!F6490-Sens!F6484-Sens!F6485-Sens!F6486-Sens!F6487-Sens!F6489</f>
        <v>48.7582007179068</v>
      </c>
      <c r="G6491" s="6" t="n">
        <f aca="false">Sens!G6490-Sens!G6484-Sens!G6485-Sens!G6486-Sens!G6487-Sens!G6489</f>
        <v>54.2107637442744</v>
      </c>
      <c r="H6491" s="6" t="n">
        <f aca="false">Sens!H6490-Sens!H6484-Sens!H6485-Sens!H6486-Sens!H6487-Sens!H6489</f>
        <v>59.2326086833205</v>
      </c>
      <c r="I6491" s="6" t="n">
        <f aca="false">Sens!I6490-Sens!I6484-Sens!I6485-Sens!I6486-Sens!I6487-Sens!I6489</f>
        <v>63.4792423861103</v>
      </c>
      <c r="J6491" s="6" t="n">
        <f aca="false">Sens!J6490-Sens!J6484-Sens!J6485-Sens!J6486-Sens!J6487-Sens!J6489</f>
        <v>66.2566147957434</v>
      </c>
      <c r="K6491" s="6" t="n">
        <f aca="false">Sens!K6490-Sens!K6484-Sens!K6485-Sens!K6486-Sens!K6487-Sens!K6489</f>
        <v>66.8128821551369</v>
      </c>
    </row>
    <row r="6492" customFormat="false" ht="17.15" hidden="false" customHeight="false" outlineLevel="0" collapsed="false">
      <c r="A6492" s="0" t="s">
        <v>957</v>
      </c>
      <c r="B6492" s="0" t="s">
        <v>95</v>
      </c>
      <c r="F6492" s="6" t="n">
        <f aca="false">Sens!F6418+Sens!F6483*Sens!F6393</f>
        <v>23.7399995877364</v>
      </c>
      <c r="G6492" s="6" t="n">
        <f aca="false">Sens!G6418+Sens!G6483*Sens!G6393</f>
        <v>24.2580456535475</v>
      </c>
      <c r="H6492" s="6" t="n">
        <f aca="false">Sens!H6418+Sens!H6483*Sens!H6393</f>
        <v>25.0362280186144</v>
      </c>
      <c r="I6492" s="6" t="n">
        <f aca="false">Sens!I6418+Sens!I6483*Sens!I6393</f>
        <v>26.0490003893292</v>
      </c>
      <c r="J6492" s="6" t="n">
        <f aca="false">Sens!J6418+Sens!J6483*Sens!J6393</f>
        <v>27.2593394590169</v>
      </c>
      <c r="K6492" s="6" t="n">
        <f aca="false">Sens!K6418+Sens!K6483*Sens!K6393</f>
        <v>28.6235770299665</v>
      </c>
    </row>
    <row r="6493" customFormat="false" ht="17.15" hidden="false" customHeight="false" outlineLevel="0" collapsed="false">
      <c r="A6493" s="0" t="s">
        <v>958</v>
      </c>
      <c r="B6493" s="0" t="s">
        <v>95</v>
      </c>
      <c r="F6493" s="6" t="n">
        <f aca="false">(Sens!F6492-Sens!F6488)*Sens!F6389/(Sens!F6389+Sens!F6391)</f>
        <v>7.44039282809859</v>
      </c>
      <c r="G6493" s="6" t="n">
        <f aca="false">(Sens!G6492-Sens!G6488)*Sens!G6389/(Sens!G6389+Sens!G6391)</f>
        <v>7.07048679115114</v>
      </c>
      <c r="H6493" s="6" t="n">
        <f aca="false">(Sens!H6492-Sens!H6488)*Sens!H6389/(Sens!H6389+Sens!H6391)</f>
        <v>6.85387390601712</v>
      </c>
      <c r="I6493" s="6" t="n">
        <f aca="false">(Sens!I6492-Sens!I6488)*Sens!I6389/(Sens!I6389+Sens!I6391)</f>
        <v>6.77419538219364</v>
      </c>
      <c r="J6493" s="6" t="n">
        <f aca="false">(Sens!J6492-Sens!J6488)*Sens!J6389/(Sens!J6389+Sens!J6391)</f>
        <v>6.81872569846921</v>
      </c>
      <c r="K6493" s="6" t="n">
        <f aca="false">(Sens!K6492-Sens!K6488)*Sens!K6389/(Sens!K6389+Sens!K6391)</f>
        <v>6.97939147392577</v>
      </c>
    </row>
    <row r="6494" customFormat="false" ht="17.15" hidden="false" customHeight="false" outlineLevel="0" collapsed="false">
      <c r="A6494" s="0" t="s">
        <v>959</v>
      </c>
      <c r="B6494" s="0" t="s">
        <v>95</v>
      </c>
      <c r="F6494" s="6" t="n">
        <f aca="false">Sens!F6492-Sens!F6488-Sens!F6493</f>
        <v>6.13225405946755</v>
      </c>
      <c r="G6494" s="6" t="n">
        <f aca="false">Sens!G6492-Sens!G6488-Sens!G6493</f>
        <v>6.06152632437487</v>
      </c>
      <c r="H6494" s="6" t="n">
        <f aca="false">Sens!H6492-Sens!H6488-Sens!H6493</f>
        <v>6.05013576488436</v>
      </c>
      <c r="I6494" s="6" t="n">
        <f aca="false">Sens!I6492-Sens!I6488-Sens!I6493</f>
        <v>6.09625293988888</v>
      </c>
      <c r="J6494" s="6" t="n">
        <f aca="false">Sens!J6492-Sens!J6488-Sens!J6493</f>
        <v>6.19517516675695</v>
      </c>
      <c r="K6494" s="6" t="n">
        <f aca="false">Sens!K6492-Sens!K6488-Sens!K6493</f>
        <v>6.34114857385261</v>
      </c>
    </row>
    <row r="6495" customFormat="false" ht="17.15" hidden="false" customHeight="false" outlineLevel="0" collapsed="false">
      <c r="A6495" s="1" t="s">
        <v>960</v>
      </c>
      <c r="B6495" s="0" t="s">
        <v>95</v>
      </c>
      <c r="C6495" s="6" t="n">
        <f aca="false">(w_ntm28*Sens!G6489+(1-w_ntm28)*Sens!H6489)*m_ai*1</f>
        <v>551.711134531404</v>
      </c>
    </row>
    <row r="6496" customFormat="false" ht="17.15" hidden="false" customHeight="false" outlineLevel="0" collapsed="false">
      <c r="A6496" s="1" t="s">
        <v>961</v>
      </c>
      <c r="B6496" s="0" t="s">
        <v>95</v>
      </c>
      <c r="C6496" s="6" t="n">
        <f aca="false">(w_ntm28*Sens!G6491+(1-w_ntm28)*Sens!H6491)*m_cloud*1</f>
        <v>771.629532624773</v>
      </c>
    </row>
    <row r="6497" customFormat="false" ht="17.15" hidden="false" customHeight="false" outlineLevel="0" collapsed="false">
      <c r="A6497" s="1" t="s">
        <v>962</v>
      </c>
      <c r="B6497" s="0" t="s">
        <v>95</v>
      </c>
      <c r="C6497" s="6" t="n">
        <f aca="false">(w_ntm28*Sens!G6484+(1-w_ntm28)*Sens!H6484)*m_sw*1</f>
        <v>1065.27308318101</v>
      </c>
    </row>
    <row r="6498" customFormat="false" ht="17.15" hidden="false" customHeight="false" outlineLevel="0" collapsed="false">
      <c r="A6498" s="1" t="s">
        <v>963</v>
      </c>
      <c r="B6498" s="0" t="s">
        <v>95</v>
      </c>
      <c r="C6498" s="6" t="n">
        <f aca="false">(w_ntm28*Sens!G6485+(1-w_ntm28)*Sens!H6485)*m_sw*1</f>
        <v>362.585327676196</v>
      </c>
    </row>
    <row r="6499" customFormat="false" ht="17.15" hidden="false" customHeight="false" outlineLevel="0" collapsed="false">
      <c r="A6499" s="1" t="s">
        <v>964</v>
      </c>
      <c r="B6499" s="0" t="s">
        <v>95</v>
      </c>
      <c r="C6499" s="6" t="n">
        <f aca="false">(w_ntm28*Sens!G6486+(1-w_ntm28)*Sens!H6486)*m_sw*1</f>
        <v>98.9638789634465</v>
      </c>
    </row>
    <row r="6500" customFormat="false" ht="17.15" hidden="false" customHeight="false" outlineLevel="0" collapsed="false">
      <c r="A6500" s="1" t="s">
        <v>965</v>
      </c>
      <c r="B6500" s="0" t="s">
        <v>95</v>
      </c>
      <c r="C6500" s="6" t="n">
        <f aca="false">(w_ntm28*Sens!G6487+(1-w_ntm28)*Sens!H6487)*m_sw*1</f>
        <v>37.7565119361816</v>
      </c>
    </row>
    <row r="6501" customFormat="false" ht="17.15" hidden="false" customHeight="false" outlineLevel="0" collapsed="false">
      <c r="A6501" s="1" t="s">
        <v>966</v>
      </c>
      <c r="B6501" s="0" t="s">
        <v>95</v>
      </c>
      <c r="C6501" s="6" t="n">
        <f aca="false">(w_ntm28*Sens!G6488+(1-w_ntm28)*Sens!H6488)*m_ads*1</f>
        <v>104.321525247957</v>
      </c>
    </row>
    <row r="6502" customFormat="false" ht="17.15" hidden="false" customHeight="false" outlineLevel="0" collapsed="false">
      <c r="A6502" s="1" t="s">
        <v>967</v>
      </c>
      <c r="B6502" s="0" t="s">
        <v>95</v>
      </c>
      <c r="C6502" s="6" t="n">
        <f aca="false">(w_ntm28*Sens!G6493+(1-w_ntm28)*Sens!H6493)*m_game*1</f>
        <v>88.4157910565385</v>
      </c>
    </row>
    <row r="6503" customFormat="false" ht="17.15" hidden="false" customHeight="false" outlineLevel="0" collapsed="false">
      <c r="A6503" s="1" t="s">
        <v>968</v>
      </c>
      <c r="B6503" s="0" t="s">
        <v>95</v>
      </c>
      <c r="C6503" s="6" t="n">
        <f aca="false">(w_ntm28*Sens!G6494+(1-w_ntm28)*Sens!H6494)*m_pc*1</f>
        <v>87.6570011884779</v>
      </c>
    </row>
    <row r="6504" customFormat="false" ht="17.15" hidden="false" customHeight="false" outlineLevel="0" collapsed="false">
      <c r="A6504" s="1" t="s">
        <v>969</v>
      </c>
      <c r="B6504" s="0" t="s">
        <v>95</v>
      </c>
      <c r="C6504" s="6" t="n">
        <f aca="false">Sens!$C$6495+Sens!$C$6496+Sens!$C$6497+Sens!$C$6498+Sens!$C$6499+Sens!$C$6500+Sens!$C$6501+Sens!$C$6502+Sens!$C$6503</f>
        <v>3168.31378640598</v>
      </c>
    </row>
    <row r="6505" customFormat="false" ht="17.15" hidden="false" customHeight="false" outlineLevel="0" collapsed="false">
      <c r="A6505" s="1" t="s">
        <v>903</v>
      </c>
      <c r="B6505" s="0" t="s">
        <v>95</v>
      </c>
      <c r="C6505" s="6" t="n">
        <f aca="false">Sens!F6462+oai_v-Sens!F6451</f>
        <v>114.890253337941</v>
      </c>
      <c r="L6505" s="1" t="s">
        <v>970</v>
      </c>
    </row>
    <row r="6506" customFormat="false" ht="15" hidden="false" customHeight="false" outlineLevel="0" collapsed="false">
      <c r="A6506" s="1" t="s">
        <v>904</v>
      </c>
      <c r="B6506" s="0" t="s">
        <v>73</v>
      </c>
      <c r="C6506" s="5" t="n">
        <f aca="false">(Sens!$C$6504+Sens!$C$6505)/Sens!F6464</f>
        <v>439.400968916478</v>
      </c>
    </row>
    <row r="6507" customFormat="false" ht="17.15" hidden="false" customHeight="false" outlineLevel="0" collapsed="false">
      <c r="A6507" s="1" t="s">
        <v>971</v>
      </c>
      <c r="B6507" s="0" t="s">
        <v>73</v>
      </c>
      <c r="C6507" s="5" t="n">
        <f aca="false">w_dcf*Sens!$C$6482+(1-w_dcf)*Sens!$C$6506</f>
        <v>359.574844407862</v>
      </c>
    </row>
    <row r="6508" customFormat="false" ht="17.15" hidden="false" customHeight="false" outlineLevel="0" collapsed="false">
      <c r="A6508" s="3" t="s">
        <v>1299</v>
      </c>
    </row>
    <row r="6509" customFormat="false" ht="15" hidden="false" customHeight="false" outlineLevel="0" collapsed="false">
      <c r="A6509" s="4" t="s">
        <v>43</v>
      </c>
      <c r="B6509" s="4" t="s">
        <v>63</v>
      </c>
      <c r="C6509" s="19" t="s">
        <v>710</v>
      </c>
      <c r="D6509" s="19" t="s">
        <v>711</v>
      </c>
      <c r="E6509" s="19" t="s">
        <v>712</v>
      </c>
      <c r="F6509" s="19" t="s">
        <v>713</v>
      </c>
      <c r="G6509" s="19" t="s">
        <v>714</v>
      </c>
      <c r="H6509" s="19" t="s">
        <v>715</v>
      </c>
      <c r="I6509" s="19" t="s">
        <v>716</v>
      </c>
      <c r="J6509" s="19" t="s">
        <v>717</v>
      </c>
      <c r="K6509" s="19" t="s">
        <v>718</v>
      </c>
      <c r="L6509" s="4" t="s">
        <v>47</v>
      </c>
    </row>
    <row r="6510" customFormat="false" ht="17.15" hidden="false" customHeight="false" outlineLevel="0" collapsed="false">
      <c r="A6510" s="1" t="s">
        <v>719</v>
      </c>
      <c r="B6510" s="0" t="s">
        <v>340</v>
      </c>
      <c r="C6510" s="27" t="n">
        <f aca="false">mw_ext_24</f>
        <v>640</v>
      </c>
      <c r="D6510" s="27" t="n">
        <f aca="false">mw_ext_25</f>
        <v>1630</v>
      </c>
      <c r="E6510" s="27" t="n">
        <f aca="false">mw_ext_26</f>
        <v>3250</v>
      </c>
      <c r="F6510" s="27" t="n">
        <f aca="false">MIN(1000000000,Sens!E6510+pace)</f>
        <v>5777.2</v>
      </c>
      <c r="G6510" s="27" t="n">
        <f aca="false">MIN(1000000000,Sens!F6510+pace)</f>
        <v>8304.4</v>
      </c>
      <c r="H6510" s="27" t="n">
        <f aca="false">MIN(1000000000,Sens!G6510+pace)</f>
        <v>10831.6</v>
      </c>
      <c r="I6510" s="27" t="n">
        <f aca="false">MIN(1000000000,Sens!H6510+pace)</f>
        <v>13358.8</v>
      </c>
      <c r="J6510" s="27" t="n">
        <f aca="false">MIN(1000000000,Sens!I6510+pace)</f>
        <v>15886</v>
      </c>
      <c r="K6510" s="27" t="n">
        <f aca="false">MIN(1000000000,Sens!J6510+pace)</f>
        <v>18413.2</v>
      </c>
      <c r="L6510" s="11" t="s">
        <v>720</v>
      </c>
    </row>
    <row r="6511" customFormat="false" ht="17.15" hidden="false" customHeight="false" outlineLevel="0" collapsed="false">
      <c r="A6511" s="1" t="s">
        <v>721</v>
      </c>
      <c r="B6511" s="0" t="s">
        <v>340</v>
      </c>
      <c r="C6511" s="27" t="n">
        <f aca="false">rent_ext_24</f>
        <v>150</v>
      </c>
      <c r="D6511" s="27" t="n">
        <f aca="false">rent_ext_25</f>
        <v>400</v>
      </c>
      <c r="E6511" s="27" t="n">
        <f aca="false">rent_ext_26</f>
        <v>550</v>
      </c>
      <c r="F6511" s="27" t="n">
        <f aca="false">rent_ext_f</f>
        <v>756</v>
      </c>
      <c r="G6511" s="27" t="n">
        <f aca="false">rent_ext_f</f>
        <v>756</v>
      </c>
      <c r="H6511" s="27" t="n">
        <f aca="false">rent_ext_f</f>
        <v>756</v>
      </c>
      <c r="I6511" s="27" t="n">
        <f aca="false">rent_ext_f</f>
        <v>756</v>
      </c>
      <c r="J6511" s="27" t="n">
        <f aca="false">rent_ext_f</f>
        <v>756</v>
      </c>
      <c r="K6511" s="27" t="n">
        <f aca="false">rent_ext_f</f>
        <v>756</v>
      </c>
      <c r="L6511" s="1" t="s">
        <v>722</v>
      </c>
    </row>
    <row r="6512" customFormat="false" ht="17.15" hidden="false" customHeight="false" outlineLevel="0" collapsed="false">
      <c r="A6512" s="1" t="s">
        <v>723</v>
      </c>
      <c r="B6512" s="0" t="s">
        <v>340</v>
      </c>
      <c r="C6512" s="27" t="n">
        <f aca="false">Sens!C6510-Sens!C6511</f>
        <v>490</v>
      </c>
      <c r="D6512" s="27" t="n">
        <f aca="false">Sens!D6510-Sens!D6511</f>
        <v>1230</v>
      </c>
      <c r="E6512" s="27" t="n">
        <f aca="false">Sens!E6510-Sens!E6511</f>
        <v>2700</v>
      </c>
      <c r="F6512" s="27" t="n">
        <f aca="false">Sens!F6510-Sens!F6511</f>
        <v>5021.2</v>
      </c>
      <c r="G6512" s="27" t="n">
        <f aca="false">Sens!G6510-Sens!G6511</f>
        <v>7548.4</v>
      </c>
      <c r="H6512" s="27" t="n">
        <f aca="false">Sens!H6510-Sens!H6511</f>
        <v>10075.6</v>
      </c>
      <c r="I6512" s="27" t="n">
        <f aca="false">Sens!I6510-Sens!I6511</f>
        <v>12602.8</v>
      </c>
      <c r="J6512" s="27" t="n">
        <f aca="false">Sens!J6510-Sens!J6511</f>
        <v>15130</v>
      </c>
      <c r="K6512" s="27" t="n">
        <f aca="false">Sens!K6510-Sens!K6511</f>
        <v>17657.2</v>
      </c>
    </row>
    <row r="6513" customFormat="false" ht="17.15" hidden="false" customHeight="false" outlineLevel="0" collapsed="false">
      <c r="A6513" s="1" t="s">
        <v>724</v>
      </c>
      <c r="B6513" s="0" t="s">
        <v>340</v>
      </c>
      <c r="C6513" s="27" t="n">
        <f aca="false">Sens!C6512/ext_sh</f>
        <v>816.666666666667</v>
      </c>
      <c r="D6513" s="27" t="n">
        <f aca="false">Sens!D6512/ext_sh</f>
        <v>2050</v>
      </c>
      <c r="E6513" s="27" t="n">
        <f aca="false">Sens!E6512/ext_sh</f>
        <v>4500</v>
      </c>
      <c r="F6513" s="27" t="n">
        <f aca="false">Sens!F6512/ext_sh</f>
        <v>8368.66666666667</v>
      </c>
      <c r="G6513" s="27" t="n">
        <f aca="false">Sens!G6512/ext_sh</f>
        <v>12580.6666666667</v>
      </c>
      <c r="H6513" s="27" t="n">
        <f aca="false">Sens!H6512/ext_sh</f>
        <v>16792.6666666667</v>
      </c>
      <c r="I6513" s="27" t="n">
        <f aca="false">Sens!I6512/ext_sh</f>
        <v>21004.6666666667</v>
      </c>
      <c r="J6513" s="27" t="n">
        <f aca="false">Sens!J6512/ext_sh</f>
        <v>25216.6666666667</v>
      </c>
      <c r="K6513" s="27" t="n">
        <f aca="false">Sens!K6512/ext_sh</f>
        <v>29428.6666666667</v>
      </c>
      <c r="L6513" s="1" t="s">
        <v>725</v>
      </c>
    </row>
    <row r="6514" customFormat="false" ht="17.15" hidden="false" customHeight="false" outlineLevel="0" collapsed="false">
      <c r="A6514" s="1" t="s">
        <v>726</v>
      </c>
      <c r="B6514" s="0" t="s">
        <v>340</v>
      </c>
      <c r="C6514" s="27" t="n">
        <f aca="false">Sens!C6513-Sens!C6512</f>
        <v>326.666666666667</v>
      </c>
      <c r="D6514" s="27" t="n">
        <f aca="false">Sens!D6513-Sens!D6512</f>
        <v>820</v>
      </c>
      <c r="E6514" s="27" t="n">
        <f aca="false">Sens!E6513-Sens!E6512</f>
        <v>1800</v>
      </c>
      <c r="F6514" s="27" t="n">
        <f aca="false">Sens!F6513-Sens!F6512</f>
        <v>3347.46666666667</v>
      </c>
      <c r="G6514" s="27" t="n">
        <f aca="false">Sens!G6513-Sens!G6512</f>
        <v>5032.26666666667</v>
      </c>
      <c r="H6514" s="27" t="n">
        <f aca="false">Sens!H6513-Sens!H6512</f>
        <v>6717.06666666667</v>
      </c>
      <c r="I6514" s="27" t="n">
        <f aca="false">Sens!I6513-Sens!I6512</f>
        <v>8401.86666666667</v>
      </c>
      <c r="J6514" s="27" t="n">
        <f aca="false">Sens!J6513-Sens!J6512</f>
        <v>10086.6666666667</v>
      </c>
      <c r="K6514" s="27" t="n">
        <f aca="false">Sens!K6513-Sens!K6512</f>
        <v>11771.4666666667</v>
      </c>
    </row>
    <row r="6515" customFormat="false" ht="17.15" hidden="false" customHeight="false" outlineLevel="0" collapsed="false">
      <c r="A6515" s="1" t="s">
        <v>727</v>
      </c>
      <c r="B6515" s="0" t="s">
        <v>340</v>
      </c>
      <c r="C6515" s="27" t="n">
        <f aca="false">Sens!C6513</f>
        <v>816.666666666667</v>
      </c>
      <c r="D6515" s="27" t="n">
        <f aca="false">Sens!D6513-Sens!C6513</f>
        <v>1233.33333333333</v>
      </c>
      <c r="E6515" s="27" t="n">
        <f aca="false">Sens!E6513-Sens!D6513</f>
        <v>2450</v>
      </c>
      <c r="F6515" s="27" t="n">
        <f aca="false">Sens!F6513-Sens!E6513</f>
        <v>3868.66666666667</v>
      </c>
      <c r="G6515" s="27" t="n">
        <f aca="false">Sens!G6513-Sens!F6513</f>
        <v>4212</v>
      </c>
      <c r="H6515" s="27" t="n">
        <f aca="false">Sens!H6513-Sens!G6513</f>
        <v>4212</v>
      </c>
      <c r="I6515" s="27" t="n">
        <f aca="false">Sens!I6513-Sens!H6513</f>
        <v>4212</v>
      </c>
      <c r="J6515" s="27" t="n">
        <f aca="false">Sens!J6513-Sens!I6513</f>
        <v>4212</v>
      </c>
      <c r="K6515" s="27" t="n">
        <f aca="false">Sens!K6513-Sens!J6513</f>
        <v>4212</v>
      </c>
    </row>
    <row r="6516" customFormat="false" ht="17.15" hidden="false" customHeight="false" outlineLevel="0" collapsed="false">
      <c r="A6516" s="1" t="s">
        <v>728</v>
      </c>
      <c r="B6516" s="0" t="s">
        <v>340</v>
      </c>
      <c r="D6516" s="27" t="n">
        <f aca="false">Sens!D6510-Sens!C6510</f>
        <v>990</v>
      </c>
      <c r="E6516" s="27" t="n">
        <f aca="false">Sens!E6510-Sens!D6510</f>
        <v>1620</v>
      </c>
      <c r="F6516" s="27" t="n">
        <f aca="false">Sens!F6510-Sens!E6510</f>
        <v>2527.2</v>
      </c>
      <c r="G6516" s="27" t="n">
        <f aca="false">Sens!G6510-Sens!F6510</f>
        <v>2527.2</v>
      </c>
      <c r="H6516" s="27" t="n">
        <f aca="false">Sens!H6510-Sens!G6510</f>
        <v>2527.2</v>
      </c>
      <c r="I6516" s="27" t="n">
        <f aca="false">Sens!I6510-Sens!H6510</f>
        <v>2527.2</v>
      </c>
      <c r="J6516" s="27" t="n">
        <f aca="false">Sens!J6510-Sens!I6510</f>
        <v>2527.2</v>
      </c>
      <c r="K6516" s="27" t="n">
        <f aca="false">Sens!K6510-Sens!J6510</f>
        <v>2527.2</v>
      </c>
    </row>
    <row r="6517" customFormat="false" ht="17.15" hidden="false" customHeight="false" outlineLevel="0" collapsed="false">
      <c r="A6517" s="1" t="s">
        <v>729</v>
      </c>
      <c r="B6517" s="0" t="s">
        <v>340</v>
      </c>
      <c r="C6517" s="27" t="n">
        <f aca="false">mix_h*Sens!C6510</f>
        <v>128</v>
      </c>
      <c r="D6517" s="27" t="n">
        <f aca="false">mix_h*Sens!D6510</f>
        <v>326</v>
      </c>
      <c r="E6517" s="27" t="n">
        <f aca="false">mix_h*Sens!E6510</f>
        <v>650</v>
      </c>
      <c r="F6517" s="27" t="n">
        <f aca="false">Sens!E6517</f>
        <v>650</v>
      </c>
      <c r="G6517" s="27" t="n">
        <f aca="false">Sens!F6517</f>
        <v>650</v>
      </c>
      <c r="H6517" s="27" t="n">
        <f aca="false">Sens!G6517</f>
        <v>650</v>
      </c>
      <c r="I6517" s="27" t="n">
        <f aca="false">Sens!H6517</f>
        <v>650</v>
      </c>
      <c r="J6517" s="27" t="n">
        <f aca="false">Sens!I6517</f>
        <v>650</v>
      </c>
      <c r="K6517" s="27" t="n">
        <f aca="false">Sens!J6517</f>
        <v>650</v>
      </c>
    </row>
    <row r="6518" customFormat="false" ht="17.15" hidden="false" customHeight="false" outlineLevel="0" collapsed="false">
      <c r="A6518" s="1" t="s">
        <v>730</v>
      </c>
      <c r="B6518" s="0" t="s">
        <v>340</v>
      </c>
      <c r="C6518" s="27" t="n">
        <f aca="false">mix_g2*Sens!C6510</f>
        <v>288</v>
      </c>
      <c r="D6518" s="27" t="n">
        <f aca="false">mix_g2*Sens!D6510</f>
        <v>733.5</v>
      </c>
      <c r="E6518" s="27" t="n">
        <f aca="false">mix_g2*Sens!E6510</f>
        <v>1462.5</v>
      </c>
      <c r="F6518" s="27" t="n">
        <f aca="false">Sens!E6518</f>
        <v>1462.5</v>
      </c>
      <c r="G6518" s="27" t="n">
        <f aca="false">Sens!F6518</f>
        <v>1462.5</v>
      </c>
      <c r="H6518" s="27" t="n">
        <f aca="false">Sens!G6518</f>
        <v>1462.5</v>
      </c>
      <c r="I6518" s="27" t="n">
        <f aca="false">Sens!H6518</f>
        <v>1462.5</v>
      </c>
      <c r="J6518" s="27" t="n">
        <f aca="false">Sens!I6518</f>
        <v>1462.5</v>
      </c>
      <c r="K6518" s="27" t="n">
        <f aca="false">Sens!J6518</f>
        <v>1462.5</v>
      </c>
    </row>
    <row r="6519" customFormat="false" ht="17.15" hidden="false" customHeight="false" outlineLevel="0" collapsed="false">
      <c r="A6519" s="1" t="s">
        <v>731</v>
      </c>
      <c r="B6519" s="0" t="s">
        <v>340</v>
      </c>
      <c r="C6519" s="27" t="n">
        <f aca="false">mix_g3*Sens!C6510</f>
        <v>224</v>
      </c>
      <c r="D6519" s="27" t="n">
        <f aca="false">mix_g3*Sens!D6510</f>
        <v>570.5</v>
      </c>
      <c r="E6519" s="27" t="n">
        <f aca="false">mix_g3*Sens!E6510</f>
        <v>1137.5</v>
      </c>
      <c r="F6519" s="27" t="n">
        <f aca="false">Sens!E6519+Sens!F6516*a_g3_27</f>
        <v>2906.54</v>
      </c>
      <c r="G6519" s="27" t="n">
        <f aca="false">Sens!F6519+Sens!G6516*a_g3_28</f>
        <v>3664.7</v>
      </c>
      <c r="H6519" s="27" t="n">
        <f aca="false">Sens!G6519+Sens!H6516*a_g3_29</f>
        <v>3917.42</v>
      </c>
      <c r="I6519" s="27" t="n">
        <f aca="false">Sens!H6519+Sens!I6516*a_g3_29</f>
        <v>4170.14</v>
      </c>
      <c r="J6519" s="27" t="n">
        <f aca="false">Sens!I6519+Sens!J6516*a_g3_29</f>
        <v>4422.86</v>
      </c>
      <c r="K6519" s="27" t="n">
        <f aca="false">Sens!J6519+Sens!K6516*a_g3_29</f>
        <v>4675.58</v>
      </c>
    </row>
    <row r="6520" customFormat="false" ht="17.15" hidden="false" customHeight="false" outlineLevel="0" collapsed="false">
      <c r="A6520" s="1" t="s">
        <v>732</v>
      </c>
      <c r="B6520" s="0" t="s">
        <v>340</v>
      </c>
      <c r="C6520" s="27" t="n">
        <f aca="false">0</f>
        <v>0</v>
      </c>
      <c r="D6520" s="27" t="n">
        <f aca="false">0</f>
        <v>0</v>
      </c>
      <c r="E6520" s="27" t="n">
        <f aca="false">0</f>
        <v>0</v>
      </c>
      <c r="F6520" s="27" t="n">
        <f aca="false">Sens!E6520+Sens!F6516*(1-a_g3_27)</f>
        <v>758.16</v>
      </c>
      <c r="G6520" s="27" t="n">
        <f aca="false">Sens!F6520+Sens!G6516*(1-a_g3_28)</f>
        <v>2527.2</v>
      </c>
      <c r="H6520" s="27" t="n">
        <f aca="false">Sens!G6520+Sens!H6516*(1-a_g3_29)</f>
        <v>4801.68</v>
      </c>
      <c r="I6520" s="27" t="n">
        <f aca="false">Sens!H6520+Sens!I6516*(1-a_g3_29)</f>
        <v>7076.16</v>
      </c>
      <c r="J6520" s="27" t="n">
        <f aca="false">Sens!I6520+Sens!J6516*(1-a_g3_29)</f>
        <v>9350.64</v>
      </c>
      <c r="K6520" s="27" t="n">
        <f aca="false">Sens!J6520+Sens!K6516*(1-a_g3_29)</f>
        <v>11625.12</v>
      </c>
    </row>
    <row r="6521" customFormat="false" ht="17.15" hidden="false" customHeight="false" outlineLevel="0" collapsed="false">
      <c r="A6521" s="1" t="s">
        <v>733</v>
      </c>
      <c r="B6521" s="0" t="s">
        <v>291</v>
      </c>
      <c r="C6521" s="18" t="n">
        <f aca="false">(Sens!C6517*tk_hold_h100+Sens!C6518*tk_hold_gb200+Sens!C6519*tk_hold_gb300+Sens!C6520*tk_hold_vr200)/Sens!C6510</f>
        <v>9.7235358126469</v>
      </c>
      <c r="D6521" s="18" t="n">
        <f aca="false">(Sens!D6517*tk_hold_h100+Sens!D6518*tk_hold_gb200+Sens!D6519*tk_hold_gb300+Sens!D6520*tk_hold_vr200)/Sens!D6510</f>
        <v>9.7235358126469</v>
      </c>
      <c r="E6521" s="18" t="n">
        <f aca="false">(Sens!E6517*tk_hold_h100+Sens!E6518*tk_hold_gb200+Sens!E6519*tk_hold_gb300+Sens!E6520*tk_hold_vr200)/Sens!E6510</f>
        <v>9.7235358126469</v>
      </c>
      <c r="F6521" s="18" t="n">
        <f aca="false">(Sens!F6517*tk_hold_h100+Sens!F6518*tk_hold_gb200+Sens!F6519*tk_hold_gb300+Sens!F6520*tk_hold_vr200)/Sens!F6510</f>
        <v>10.4079573161931</v>
      </c>
      <c r="G6521" s="18" t="n">
        <f aca="false">(Sens!G6517*tk_hold_h100+Sens!G6518*tk_hold_gb200+Sens!G6519*tk_hold_gb300+Sens!G6520*tk_hold_vr200)/Sens!G6510</f>
        <v>10.8388131109316</v>
      </c>
      <c r="H6521" s="18" t="n">
        <f aca="false">(Sens!H6517*tk_hold_h100+Sens!H6518*tk_hold_gb200+Sens!H6519*tk_hold_gb300+Sens!H6520*tk_hold_vr200)/Sens!H6510</f>
        <v>11.1311018388216</v>
      </c>
      <c r="I6521" s="18" t="n">
        <f aca="false">(Sens!I6517*tk_hold_h100+Sens!I6518*tk_hold_gb200+Sens!I6519*tk_hold_gb300+Sens!I6520*tk_hold_vr200)/Sens!I6510</f>
        <v>11.3128009818501</v>
      </c>
      <c r="J6521" s="18" t="n">
        <f aca="false">(Sens!J6517*tk_hold_h100+Sens!J6518*tk_hold_gb200+Sens!J6519*tk_hold_gb300+Sens!J6520*tk_hold_vr200)/Sens!J6510</f>
        <v>11.4366894646418</v>
      </c>
      <c r="K6521" s="18" t="n">
        <f aca="false">(Sens!K6517*tk_hold_h100+Sens!K6518*tk_hold_gb200+Sens!K6519*tk_hold_gb300+Sens!K6520*tk_hold_vr200)/Sens!K6510</f>
        <v>11.526570716348</v>
      </c>
    </row>
    <row r="6522" customFormat="false" ht="17.15" hidden="false" customHeight="false" outlineLevel="0" collapsed="false">
      <c r="A6522" s="0" t="s">
        <v>734</v>
      </c>
      <c r="B6522" s="0" t="s">
        <v>182</v>
      </c>
      <c r="C6522" s="18" t="n">
        <f aca="false">k_B</f>
        <v>1.17213932619116</v>
      </c>
      <c r="D6522" s="18" t="n">
        <f aca="false">k_B</f>
        <v>1.17213932619116</v>
      </c>
      <c r="E6522" s="18" t="n">
        <f aca="false">k_B</f>
        <v>1.17213932619116</v>
      </c>
      <c r="F6522" s="18" t="n">
        <f aca="false">(k_B+((ls_B*k_long+(1-ls_B)*k_spot)-k_B)*MIN(1,1/3))*1</f>
        <v>1.17213932619116</v>
      </c>
      <c r="G6522" s="18" t="n">
        <f aca="false">(k_B+((ls_B*k_long+(1-ls_B)*k_spot)-k_B)*MIN(1,2/3))*1</f>
        <v>1.17213932619116</v>
      </c>
      <c r="H6522" s="18" t="n">
        <f aca="false">(k_B+((ls_B*k_long+(1-ls_B)*k_spot)-k_B)*MIN(1,3/3))*1</f>
        <v>1.17213932619116</v>
      </c>
      <c r="I6522" s="18" t="n">
        <f aca="false">(k_B+((ls_B*k_long+(1-ls_B)*k_spot)-k_B)*MIN(1,4/3))*1</f>
        <v>1.17213932619116</v>
      </c>
      <c r="J6522" s="18" t="n">
        <f aca="false">(k_B+((ls_B*k_long+(1-ls_B)*k_spot)-k_B)*MIN(1,5/3))*1</f>
        <v>1.17213932619116</v>
      </c>
      <c r="K6522" s="18" t="n">
        <f aca="false">(k_B+((ls_B*k_long+(1-ls_B)*k_spot)-k_B)*MIN(1,6/3))*1</f>
        <v>1.17213932619116</v>
      </c>
      <c r="L6522" s="1" t="s">
        <v>735</v>
      </c>
    </row>
    <row r="6523" customFormat="false" ht="17.15" hidden="false" customHeight="false" outlineLevel="0" collapsed="false">
      <c r="A6523" s="1" t="s">
        <v>736</v>
      </c>
      <c r="B6523" s="0" t="s">
        <v>291</v>
      </c>
      <c r="C6523" s="18" t="n">
        <f aca="false">Sens!C6521*Sens!C6522*chip_f</f>
        <v>11.3973387156315</v>
      </c>
      <c r="D6523" s="18" t="n">
        <f aca="false">Sens!D6521*Sens!D6522*chip_f</f>
        <v>11.3973387156315</v>
      </c>
      <c r="E6523" s="18" t="n">
        <f aca="false">Sens!E6521*Sens!E6522*chip_f</f>
        <v>11.3973387156315</v>
      </c>
      <c r="F6523" s="18" t="n">
        <f aca="false">Sens!F6521*Sens!F6522*chip_f</f>
        <v>12.1995760756289</v>
      </c>
      <c r="G6523" s="18" t="n">
        <f aca="false">Sens!G6521*Sens!G6522*chip_f</f>
        <v>12.7045990965592</v>
      </c>
      <c r="H6523" s="18" t="n">
        <f aca="false">Sens!H6521*Sens!H6522*chip_f</f>
        <v>13.0472022091214</v>
      </c>
      <c r="I6523" s="18" t="n">
        <f aca="false">Sens!I6521*Sens!I6522*chip_f</f>
        <v>13.2601789202004</v>
      </c>
      <c r="J6523" s="18" t="n">
        <f aca="false">Sens!J6521*Sens!J6522*chip_f</f>
        <v>13.4053934829427</v>
      </c>
      <c r="K6523" s="18" t="n">
        <f aca="false">Sens!K6521*Sens!K6522*chip_f</f>
        <v>13.5107468327548</v>
      </c>
      <c r="L6523" s="1" t="s">
        <v>737</v>
      </c>
    </row>
    <row r="6524" customFormat="false" ht="17.15" hidden="false" customHeight="false" outlineLevel="0" collapsed="false">
      <c r="A6524" s="0" t="s">
        <v>738</v>
      </c>
      <c r="B6524" s="0" t="s">
        <v>95</v>
      </c>
      <c r="D6524" s="6" t="n">
        <f aca="false">(Sens!C6510+Sens!D6510)/2*Sens!D6523/1000</f>
        <v>12.9359794422418</v>
      </c>
      <c r="E6524" s="6" t="n">
        <f aca="false">(Sens!D6510+Sens!E6510)/2*Sens!E6523/1000</f>
        <v>27.8095064661409</v>
      </c>
      <c r="F6524" s="6" t="n">
        <f aca="false">(Sens!E6510+Sens!F6510)/2*Sens!F6523/1000</f>
        <v>55.0640065749585</v>
      </c>
      <c r="G6524" s="6" t="n">
        <f aca="false">(Sens!F6510+Sens!G6510)/2*Sens!G6523/1000</f>
        <v>89.4505413190538</v>
      </c>
      <c r="H6524" s="6" t="n">
        <f aca="false">(Sens!G6510+Sens!H6510)/2*Sens!H6523/1000</f>
        <v>124.835630736874</v>
      </c>
      <c r="I6524" s="6" t="n">
        <f aca="false">(Sens!H6510+Sens!I6510)/2*Sens!I6523/1000</f>
        <v>160.384516075608</v>
      </c>
      <c r="J6524" s="6" t="n">
        <f aca="false">(Sens!I6510+Sens!J6510)/2*Sens!J6523/1000</f>
        <v>196.019025664981</v>
      </c>
      <c r="K6524" s="6" t="n">
        <f aca="false">(Sens!J6510+Sens!K6510)/2*Sens!K6523/1000</f>
        <v>231.703903883012</v>
      </c>
      <c r="L6524" s="11" t="s">
        <v>739</v>
      </c>
    </row>
    <row r="6525" customFormat="false" ht="17.15" hidden="false" customHeight="false" outlineLevel="0" collapsed="false">
      <c r="A6525" s="1" t="s">
        <v>740</v>
      </c>
      <c r="B6525" s="0" t="s">
        <v>291</v>
      </c>
      <c r="C6525" s="18" t="n">
        <f aca="false">(Sens!C6517*tk_opex_h100+Sens!C6518*tk_opex_gb200+Sens!C6519*tk_opex_gb300+Sens!C6520*tk_opex_vr200)/Sens!C6510</f>
        <v>1.88636041306092</v>
      </c>
      <c r="D6525" s="18" t="n">
        <f aca="false">(Sens!D6517*tk_opex_h100+Sens!D6518*tk_opex_gb200+Sens!D6519*tk_opex_gb300+Sens!D6520*tk_opex_vr200)/Sens!D6510</f>
        <v>1.88636041306092</v>
      </c>
      <c r="E6525" s="18" t="n">
        <f aca="false">(Sens!E6517*tk_opex_h100+Sens!E6518*tk_opex_gb200+Sens!E6519*tk_opex_gb300+Sens!E6520*tk_opex_vr200)/Sens!E6510</f>
        <v>1.88636041306092</v>
      </c>
      <c r="F6525" s="18" t="n">
        <f aca="false">(Sens!F6517*tk_opex_h100+Sens!F6518*tk_opex_gb200+Sens!F6519*tk_opex_gb300+Sens!F6520*tk_opex_vr200)/Sens!F6510</f>
        <v>1.9430236476499</v>
      </c>
      <c r="G6525" s="18" t="n">
        <f aca="false">(Sens!G6517*tk_opex_h100+Sens!G6518*tk_opex_gb200+Sens!G6519*tk_opex_gb300+Sens!G6520*tk_opex_vr200)/Sens!G6510</f>
        <v>1.9786941852423</v>
      </c>
      <c r="H6525" s="18" t="n">
        <f aca="false">(Sens!H6517*tk_opex_h100+Sens!H6518*tk_opex_gb200+Sens!H6519*tk_opex_gb300+Sens!H6520*tk_opex_vr200)/Sens!H6510</f>
        <v>2.00289275976156</v>
      </c>
      <c r="I6525" s="18" t="n">
        <f aca="false">(Sens!I6517*tk_opex_h100+Sens!I6518*tk_opex_gb200+Sens!I6519*tk_opex_gb300+Sens!I6520*tk_opex_vr200)/Sens!I6510</f>
        <v>2.01793562605478</v>
      </c>
      <c r="J6525" s="18" t="n">
        <f aca="false">(Sens!J6517*tk_opex_h100+Sens!J6518*tk_opex_gb200+Sens!J6519*tk_opex_gb300+Sens!J6520*tk_opex_vr200)/Sens!J6510</f>
        <v>2.02819234961902</v>
      </c>
      <c r="K6525" s="18" t="n">
        <f aca="false">(Sens!K6517*tk_opex_h100+Sens!K6518*tk_opex_gb200+Sens!K6519*tk_opex_gb300+Sens!K6520*tk_opex_vr200)/Sens!K6510</f>
        <v>2.0356336155994</v>
      </c>
    </row>
    <row r="6526" customFormat="false" ht="17.15" hidden="false" customHeight="false" outlineLevel="0" collapsed="false">
      <c r="A6526" s="0" t="s">
        <v>741</v>
      </c>
      <c r="B6526" s="0" t="s">
        <v>95</v>
      </c>
      <c r="D6526" s="6" t="n">
        <f aca="false">(Sens!C6513+Sens!D6513)/2*Sens!D6525/1000</f>
        <v>2.70378325872065</v>
      </c>
      <c r="E6526" s="6" t="n">
        <f aca="false">(Sens!D6513+Sens!E6513)/2*Sens!E6525/1000</f>
        <v>6.17783035277451</v>
      </c>
      <c r="F6526" s="6" t="n">
        <f aca="false">(Sens!E6513+Sens!F6513)/2*Sens!F6525/1000</f>
        <v>12.5020618235287</v>
      </c>
      <c r="G6526" s="6" t="n">
        <f aca="false">(Sens!F6513+Sens!G6513)/2*Sens!G6525/1000</f>
        <v>20.7261620256847</v>
      </c>
      <c r="H6526" s="6" t="n">
        <f aca="false">(Sens!G6513+Sens!H6513)/2*Sens!H6525/1000</f>
        <v>29.4158183316982</v>
      </c>
      <c r="I6526" s="6" t="n">
        <f aca="false">(Sens!H6513+Sens!I6513)/2*Sens!I6525/1000</f>
        <v>38.1362927516005</v>
      </c>
      <c r="J6526" s="6" t="n">
        <f aca="false">(Sens!I6513+Sens!J6513)/2*Sens!J6525/1000</f>
        <v>46.8728773279286</v>
      </c>
      <c r="K6526" s="6" t="n">
        <f aca="false">(Sens!J6513+Sens!K6513)/2*Sens!K6525/1000</f>
        <v>55.618938734484</v>
      </c>
    </row>
    <row r="6527" customFormat="false" ht="17.15" hidden="false" customHeight="false" outlineLevel="0" collapsed="false">
      <c r="A6527" s="0" t="s">
        <v>742</v>
      </c>
      <c r="B6527" s="0" t="s">
        <v>95</v>
      </c>
      <c r="D6527" s="6" t="n">
        <f aca="false">(Sens!C6511+Sens!D6511)/2*rent_mw/1000</f>
        <v>2.44475</v>
      </c>
      <c r="E6527" s="6" t="n">
        <f aca="false">(Sens!D6511+Sens!E6511)/2*rent_mw/1000</f>
        <v>4.22275</v>
      </c>
      <c r="F6527" s="6" t="n">
        <f aca="false">(Sens!E6511+Sens!F6511)/2*rent_mw/1000</f>
        <v>5.80517</v>
      </c>
      <c r="G6527" s="6" t="n">
        <f aca="false">(Sens!F6511+Sens!G6511)/2*rent_mw/1000</f>
        <v>6.72084</v>
      </c>
      <c r="H6527" s="6" t="n">
        <f aca="false">(Sens!G6511+Sens!H6511)/2*rent_mw/1000</f>
        <v>6.72084</v>
      </c>
      <c r="I6527" s="6" t="n">
        <f aca="false">(Sens!H6511+Sens!I6511)/2*rent_mw/1000</f>
        <v>6.72084</v>
      </c>
      <c r="J6527" s="6" t="n">
        <f aca="false">(Sens!I6511+Sens!J6511)/2*rent_mw/1000</f>
        <v>6.72084</v>
      </c>
      <c r="K6527" s="6" t="n">
        <f aca="false">(Sens!J6511+Sens!K6511)/2*rent_mw/1000</f>
        <v>6.72084</v>
      </c>
    </row>
    <row r="6528" customFormat="false" ht="17.15" hidden="false" customHeight="false" outlineLevel="0" collapsed="false">
      <c r="A6528" s="0" t="s">
        <v>743</v>
      </c>
      <c r="B6528" s="0" t="s">
        <v>95</v>
      </c>
      <c r="D6528" s="6" t="n">
        <f aca="false">(Sens!C6513+Sens!D6513)/2*(1-self_build)*fac_rent/1000</f>
        <v>0.853242375631075</v>
      </c>
      <c r="E6528" s="6" t="n">
        <f aca="false">(Sens!D6513+Sens!E6513)/2*(1-self_build)*fac_rent/1000</f>
        <v>1.94955961408728</v>
      </c>
      <c r="F6528" s="6" t="n">
        <f aca="false">(Sens!E6513+Sens!F6513)/2*(1-self_build)*fac_rent/1000</f>
        <v>3.83026455274573</v>
      </c>
      <c r="G6528" s="6" t="n">
        <f aca="false">(Sens!F6513+Sens!G6513)/2*(1-self_build)*fac_rent/1000</f>
        <v>6.23541590972812</v>
      </c>
      <c r="H6528" s="6" t="n">
        <f aca="false">(Sens!G6513+Sens!H6513)/2*(1-self_build)*fac_rent/1000</f>
        <v>8.74275792332679</v>
      </c>
      <c r="I6528" s="6" t="n">
        <f aca="false">(Sens!H6513+Sens!I6513)/2*(1-self_build)*fac_rent/1000</f>
        <v>11.2500999369255</v>
      </c>
      <c r="J6528" s="6" t="n">
        <f aca="false">(Sens!I6513+Sens!J6513)/2*(1-self_build)*fac_rent/1000</f>
        <v>13.7574419505241</v>
      </c>
      <c r="K6528" s="6" t="n">
        <f aca="false">(Sens!J6513+Sens!K6513)/2*(1-self_build)*fac_rent/1000</f>
        <v>16.2647839641228</v>
      </c>
      <c r="L6528" s="11" t="s">
        <v>744</v>
      </c>
    </row>
    <row r="6529" customFormat="false" ht="17.15" hidden="false" customHeight="false" outlineLevel="0" collapsed="false">
      <c r="A6529" s="1" t="s">
        <v>745</v>
      </c>
      <c r="B6529" s="0" t="s">
        <v>126</v>
      </c>
      <c r="D6529" s="7" t="n">
        <f aca="false">(Sens!C6512+Sens!D6512)/(Sens!C6513+Sens!D6513)</f>
        <v>0.6</v>
      </c>
      <c r="E6529" s="7" t="n">
        <f aca="false">(Sens!D6512+Sens!E6512)/(Sens!D6513+Sens!E6513)</f>
        <v>0.6</v>
      </c>
      <c r="F6529" s="7" t="n">
        <f aca="false">(Sens!E6512+Sens!F6512)/(Sens!E6513+Sens!F6513)</f>
        <v>0.6</v>
      </c>
      <c r="G6529" s="7" t="n">
        <f aca="false">(Sens!F6512+Sens!G6512)/(Sens!F6513+Sens!G6513)</f>
        <v>0.6</v>
      </c>
      <c r="H6529" s="7" t="n">
        <f aca="false">(Sens!G6512+Sens!H6512)/(Sens!G6513+Sens!H6513)</f>
        <v>0.6</v>
      </c>
      <c r="I6529" s="7" t="n">
        <f aca="false">(Sens!H6512+Sens!I6512)/(Sens!H6513+Sens!I6513)</f>
        <v>0.6</v>
      </c>
      <c r="J6529" s="7" t="n">
        <f aca="false">(Sens!I6512+Sens!J6512)/(Sens!I6513+Sens!J6513)</f>
        <v>0.6</v>
      </c>
      <c r="K6529" s="7" t="n">
        <f aca="false">(Sens!J6512+Sens!K6512)/(Sens!J6513+Sens!K6513)</f>
        <v>0.6</v>
      </c>
    </row>
    <row r="6530" customFormat="false" ht="17.15" hidden="false" customHeight="false" outlineLevel="0" collapsed="false">
      <c r="A6530" s="0" t="s">
        <v>746</v>
      </c>
      <c r="B6530" s="0" t="s">
        <v>95</v>
      </c>
      <c r="D6530" s="6" t="n">
        <f aca="false">Sens!D6524-Sens!D6529*(Sens!D6526+Sens!D6528)-Sens!D6527</f>
        <v>8.35701406163072</v>
      </c>
      <c r="E6530" s="6" t="n">
        <f aca="false">Sens!E6524-Sens!E6529*(Sens!E6526+Sens!E6528)-Sens!E6527</f>
        <v>18.7103224860238</v>
      </c>
      <c r="F6530" s="6" t="n">
        <f aca="false">Sens!F6524-Sens!F6529*(Sens!F6526+Sens!F6528)-Sens!F6527</f>
        <v>39.4594407491938</v>
      </c>
      <c r="G6530" s="6" t="n">
        <f aca="false">Sens!G6524-Sens!G6529*(Sens!G6526+Sens!G6528)-Sens!G6527</f>
        <v>66.5527545578061</v>
      </c>
      <c r="H6530" s="6" t="n">
        <f aca="false">Sens!H6524-Sens!H6529*(Sens!H6526+Sens!H6528)-Sens!H6527</f>
        <v>95.219644983859</v>
      </c>
      <c r="I6530" s="6" t="n">
        <f aca="false">Sens!I6524-Sens!I6529*(Sens!I6526+Sens!I6528)-Sens!I6527</f>
        <v>124.031840462493</v>
      </c>
      <c r="J6530" s="6" t="n">
        <f aca="false">Sens!J6524-Sens!J6529*(Sens!J6526+Sens!J6528)-Sens!J6527</f>
        <v>152.919994097909</v>
      </c>
      <c r="K6530" s="6" t="n">
        <f aca="false">Sens!K6524-Sens!K6529*(Sens!K6526+Sens!K6528)-Sens!K6527</f>
        <v>181.852830263848</v>
      </c>
    </row>
    <row r="6531" customFormat="false" ht="17.15" hidden="false" customHeight="false" outlineLevel="0" collapsed="false">
      <c r="A6531" s="1" t="s">
        <v>747</v>
      </c>
      <c r="B6531" s="0" t="s">
        <v>95</v>
      </c>
      <c r="D6531" s="6" t="n">
        <f aca="false">(1-Sens!D6529)*(Sens!D6526+Sens!D6528)</f>
        <v>1.42281025374069</v>
      </c>
      <c r="E6531" s="6" t="n">
        <f aca="false">(1-Sens!E6529)*(Sens!E6526+Sens!E6528)</f>
        <v>3.25095598674472</v>
      </c>
      <c r="F6531" s="6" t="n">
        <f aca="false">(1-Sens!F6529)*(Sens!F6526+Sens!F6528)</f>
        <v>6.53293055050977</v>
      </c>
      <c r="G6531" s="6" t="n">
        <f aca="false">(1-Sens!G6529)*(Sens!G6526+Sens!G6528)</f>
        <v>10.7846311741651</v>
      </c>
      <c r="H6531" s="6" t="n">
        <f aca="false">(1-Sens!H6529)*(Sens!H6526+Sens!H6528)</f>
        <v>15.26343050201</v>
      </c>
      <c r="I6531" s="6" t="n">
        <f aca="false">(1-Sens!I6529)*(Sens!I6526+Sens!I6528)</f>
        <v>19.7545570754104</v>
      </c>
      <c r="J6531" s="6" t="n">
        <f aca="false">(1-Sens!J6529)*(Sens!J6526+Sens!J6528)</f>
        <v>24.2521277113811</v>
      </c>
      <c r="K6531" s="6" t="n">
        <f aca="false">(1-Sens!K6529)*(Sens!K6526+Sens!K6528)</f>
        <v>28.7534890794427</v>
      </c>
    </row>
    <row r="6532" customFormat="false" ht="17.15" hidden="false" customHeight="false" outlineLevel="0" collapsed="false">
      <c r="A6532" s="1" t="s">
        <v>748</v>
      </c>
      <c r="B6532" s="0" t="s">
        <v>302</v>
      </c>
      <c r="C6532" s="8" t="n">
        <f aca="false">cxit_open</f>
        <v>27.5918995</v>
      </c>
      <c r="D6532" s="8" t="n">
        <f aca="false">cxit_open</f>
        <v>27.5918995</v>
      </c>
      <c r="E6532" s="8" t="n">
        <f aca="false">cxit_open</f>
        <v>27.5918995</v>
      </c>
      <c r="F6532" s="8" t="n">
        <f aca="false">(a_g3_27*tk_cxit_gb300+(1-a_g3_27)*tk_cxit_vr200)</f>
        <v>33.8419624</v>
      </c>
      <c r="G6532" s="8" t="n">
        <f aca="false">(a_g3_28*tk_cxit_gb300+(1-a_g3_28)*tk_cxit_vr200)</f>
        <v>35.9816136</v>
      </c>
      <c r="H6532" s="8" t="n">
        <f aca="false">(a_g3_29*tk_cxit_gb300+(1-a_g3_29)*tk_cxit_vr200)</f>
        <v>37.0514392</v>
      </c>
      <c r="I6532" s="8" t="n">
        <f aca="false">(a_g3_29*tk_cxit_gb300+(1-a_g3_29)*tk_cxit_vr200)</f>
        <v>37.0514392</v>
      </c>
      <c r="J6532" s="8" t="n">
        <f aca="false">(a_g3_29*tk_cxit_gb300+(1-a_g3_29)*tk_cxit_vr200)</f>
        <v>37.0514392</v>
      </c>
      <c r="K6532" s="8" t="n">
        <f aca="false">(a_g3_29*tk_cxit_gb300+(1-a_g3_29)*tk_cxit_vr200)</f>
        <v>37.0514392</v>
      </c>
      <c r="L6532" s="11" t="s">
        <v>749</v>
      </c>
    </row>
    <row r="6533" customFormat="false" ht="17.15" hidden="false" customHeight="false" outlineLevel="0" collapsed="false">
      <c r="A6533" s="0" t="s">
        <v>750</v>
      </c>
      <c r="B6533" s="0" t="s">
        <v>340</v>
      </c>
      <c r="F6533" s="27" t="n">
        <f aca="false">Sens!C6515*IF(3=life_it,1,0)+Sens!D6515*IF(2=life_it,1,0)+Sens!E6515*IF(1=life_it,1,0)</f>
        <v>0</v>
      </c>
      <c r="G6533" s="27" t="n">
        <f aca="false">Sens!C6515*IF(4=life_it,1,0)+Sens!D6515*IF(3=life_it,1,0)+Sens!E6515*IF(2=life_it,1,0)+Sens!F6515*IF(1=life_it,1,0)</f>
        <v>0</v>
      </c>
      <c r="H6533" s="27" t="n">
        <f aca="false">Sens!C6515*IF(5=life_it,1,0)+Sens!D6515*IF(4=life_it,1,0)+Sens!E6515*IF(3=life_it,1,0)+Sens!F6515*IF(2=life_it,1,0)+Sens!G6515*IF(1=life_it,1,0)</f>
        <v>0</v>
      </c>
      <c r="I6533" s="27" t="n">
        <f aca="false">Sens!C6515*IF(6=life_it,1,0)+Sens!D6515*IF(5=life_it,1,0)+Sens!E6515*IF(4=life_it,1,0)+Sens!F6515*IF(3=life_it,1,0)+Sens!G6515*IF(2=life_it,1,0)+Sens!H6515*IF(1=life_it,1,0)</f>
        <v>816.666666666667</v>
      </c>
      <c r="J6533" s="27" t="n">
        <f aca="false">Sens!C6515*IF(7=life_it,1,0)+Sens!D6515*IF(6=life_it,1,0)+Sens!E6515*IF(5=life_it,1,0)+Sens!F6515*IF(4=life_it,1,0)+Sens!G6515*IF(3=life_it,1,0)+Sens!H6515*IF(2=life_it,1,0)+Sens!I6515*IF(1=life_it,1,0)</f>
        <v>1233.33333333333</v>
      </c>
      <c r="K6533" s="27" t="n">
        <f aca="false">Sens!C6515*IF(8=life_it,1,0)+Sens!D6515*IF(7=life_it,1,0)+Sens!E6515*IF(6=life_it,1,0)+Sens!F6515*IF(5=life_it,1,0)+Sens!G6515*IF(4=life_it,1,0)+Sens!H6515*IF(3=life_it,1,0)+Sens!I6515*IF(2=life_it,1,0)+Sens!J6515*IF(1=life_it,1,0)</f>
        <v>2450</v>
      </c>
      <c r="L6533" s="1" t="s">
        <v>751</v>
      </c>
    </row>
    <row r="6534" customFormat="false" ht="17.15" hidden="false" customHeight="false" outlineLevel="0" collapsed="false">
      <c r="A6534" s="0" t="s">
        <v>752</v>
      </c>
      <c r="B6534" s="0" t="s">
        <v>95</v>
      </c>
      <c r="C6534" s="6" t="n">
        <f aca="false">Sens!C6515*Sens!C6532/1000</f>
        <v>22.5333845916667</v>
      </c>
      <c r="D6534" s="6" t="n">
        <f aca="false">Sens!D6515*Sens!D6532/1000</f>
        <v>34.0300093833333</v>
      </c>
      <c r="E6534" s="6" t="n">
        <f aca="false">Sens!E6515*Sens!E6532/1000</f>
        <v>67.600153775</v>
      </c>
      <c r="F6534" s="6" t="n">
        <f aca="false">(Sens!F6515+Sens!F6533)*Sens!F6532/1000</f>
        <v>130.923271871467</v>
      </c>
      <c r="G6534" s="6" t="n">
        <f aca="false">(Sens!G6515+Sens!G6533)*Sens!G6532/1000</f>
        <v>151.5545564832</v>
      </c>
      <c r="H6534" s="6" t="n">
        <f aca="false">(Sens!H6515+Sens!H6533)*Sens!H6532/1000</f>
        <v>156.0606619104</v>
      </c>
      <c r="I6534" s="6" t="n">
        <f aca="false">(Sens!I6515+Sens!I6533)*Sens!I6532/1000</f>
        <v>186.319337257067</v>
      </c>
      <c r="J6534" s="6" t="n">
        <f aca="false">(Sens!J6515+Sens!J6533)*Sens!J6532/1000</f>
        <v>201.757436923733</v>
      </c>
      <c r="K6534" s="6" t="n">
        <f aca="false">(Sens!K6515+Sens!K6533)*Sens!K6532/1000</f>
        <v>246.8366879504</v>
      </c>
    </row>
    <row r="6535" customFormat="false" ht="17.15" hidden="false" customHeight="false" outlineLevel="0" collapsed="false">
      <c r="A6535" s="0" t="s">
        <v>753</v>
      </c>
      <c r="B6535" s="0" t="s">
        <v>95</v>
      </c>
      <c r="C6535" s="6" t="n">
        <f aca="false">Sens!C6515*self_build*tk_cxfac/1000</f>
        <v>6.2083</v>
      </c>
      <c r="D6535" s="6" t="n">
        <f aca="false">Sens!D6515*self_build*tk_cxfac/1000</f>
        <v>9.3758</v>
      </c>
      <c r="E6535" s="6" t="n">
        <f aca="false">Sens!E6515*self_build*tk_cxfac/1000</f>
        <v>18.6249</v>
      </c>
      <c r="F6535" s="6" t="n">
        <f aca="false">Sens!F6515*self_build*tk_cxfac/1000</f>
        <v>29.409604</v>
      </c>
      <c r="G6535" s="6" t="n">
        <f aca="false">Sens!G6515*self_build*tk_cxfac/1000</f>
        <v>32.019624</v>
      </c>
      <c r="H6535" s="6" t="n">
        <f aca="false">Sens!H6515*self_build*tk_cxfac/1000</f>
        <v>32.019624</v>
      </c>
      <c r="I6535" s="6" t="n">
        <f aca="false">Sens!I6515*self_build*tk_cxfac/1000</f>
        <v>32.019624</v>
      </c>
      <c r="J6535" s="6" t="n">
        <f aca="false">Sens!J6515*self_build*tk_cxfac/1000</f>
        <v>32.019624</v>
      </c>
      <c r="K6535" s="6" t="n">
        <f aca="false">Sens!K6515*self_build*tk_cxfac/1000</f>
        <v>32.019624</v>
      </c>
    </row>
    <row r="6536" customFormat="false" ht="17.15" hidden="false" customHeight="false" outlineLevel="0" collapsed="false">
      <c r="A6536" s="0" t="s">
        <v>754</v>
      </c>
      <c r="B6536" s="0" t="s">
        <v>95</v>
      </c>
      <c r="F6536" s="6" t="n">
        <f aca="false">MAX(0,capex_floor27-Sens!F6534-Sens!F6535-Sens!F6623)</f>
        <v>8.36190539250475</v>
      </c>
      <c r="G6536" s="6" t="n">
        <f aca="false">0</f>
        <v>0</v>
      </c>
      <c r="H6536" s="6" t="n">
        <f aca="false">0</f>
        <v>0</v>
      </c>
      <c r="I6536" s="6" t="n">
        <f aca="false">0</f>
        <v>0</v>
      </c>
      <c r="J6536" s="6" t="n">
        <f aca="false">0</f>
        <v>0</v>
      </c>
      <c r="K6536" s="6" t="n">
        <f aca="false">0</f>
        <v>0</v>
      </c>
      <c r="L6536" s="1" t="s">
        <v>755</v>
      </c>
    </row>
    <row r="6537" customFormat="false" ht="17.15" hidden="false" customHeight="false" outlineLevel="0" collapsed="false">
      <c r="A6537" s="0" t="s">
        <v>756</v>
      </c>
      <c r="B6537" s="0" t="s">
        <v>95</v>
      </c>
      <c r="C6537" s="6" t="n">
        <f aca="false">Sens!C6534</f>
        <v>22.5333845916667</v>
      </c>
      <c r="D6537" s="6" t="n">
        <f aca="false">Sens!D6534</f>
        <v>34.0300093833333</v>
      </c>
      <c r="E6537" s="6" t="n">
        <f aca="false">Sens!E6534</f>
        <v>67.600153775</v>
      </c>
      <c r="F6537" s="6" t="n">
        <f aca="false">Sens!F6534+Sens!F6536</f>
        <v>139.285177263971</v>
      </c>
      <c r="G6537" s="6" t="n">
        <f aca="false">Sens!G6534+Sens!G6536</f>
        <v>151.5545564832</v>
      </c>
      <c r="H6537" s="6" t="n">
        <f aca="false">Sens!H6534+Sens!H6536</f>
        <v>156.0606619104</v>
      </c>
      <c r="I6537" s="6" t="n">
        <f aca="false">Sens!I6534+Sens!I6536</f>
        <v>186.319337257067</v>
      </c>
      <c r="J6537" s="6" t="n">
        <f aca="false">Sens!J6534+Sens!J6536</f>
        <v>201.757436923733</v>
      </c>
      <c r="K6537" s="6" t="n">
        <f aca="false">Sens!K6534+Sens!K6536</f>
        <v>246.8366879504</v>
      </c>
    </row>
    <row r="6538" customFormat="false" ht="17.15" hidden="false" customHeight="false" outlineLevel="0" collapsed="false">
      <c r="A6538" s="0" t="s">
        <v>757</v>
      </c>
      <c r="B6538" s="0" t="s">
        <v>95</v>
      </c>
      <c r="C6538" s="6" t="n">
        <f aca="false">Sens!C6537+Sens!C6535</f>
        <v>28.7416845916667</v>
      </c>
      <c r="D6538" s="6" t="n">
        <f aca="false">Sens!D6537+Sens!D6535</f>
        <v>43.4058093833333</v>
      </c>
      <c r="E6538" s="6" t="n">
        <f aca="false">Sens!E6537+Sens!E6535</f>
        <v>86.225053775</v>
      </c>
      <c r="F6538" s="6" t="n">
        <f aca="false">Sens!F6537+Sens!F6535</f>
        <v>168.694781263971</v>
      </c>
      <c r="G6538" s="6" t="n">
        <f aca="false">Sens!G6537+Sens!G6535</f>
        <v>183.5741804832</v>
      </c>
      <c r="H6538" s="6" t="n">
        <f aca="false">Sens!H6537+Sens!H6535</f>
        <v>188.0802859104</v>
      </c>
      <c r="I6538" s="6" t="n">
        <f aca="false">Sens!I6537+Sens!I6535</f>
        <v>218.338961257067</v>
      </c>
      <c r="J6538" s="6" t="n">
        <f aca="false">Sens!J6537+Sens!J6535</f>
        <v>233.777060923733</v>
      </c>
      <c r="K6538" s="6" t="n">
        <f aca="false">Sens!K6537+Sens!K6535</f>
        <v>278.8563119504</v>
      </c>
      <c r="L6538" s="11" t="s">
        <v>758</v>
      </c>
    </row>
    <row r="6539" customFormat="false" ht="17.15" hidden="false" customHeight="false" outlineLevel="0" collapsed="false">
      <c r="A6539" s="0" t="s">
        <v>759</v>
      </c>
      <c r="B6539" s="0" t="s">
        <v>95</v>
      </c>
      <c r="E6539" s="6" t="n">
        <f aca="false">(Sens!C6537*IF(2&lt;life_it,1,IF(2=life_it,0.5,0))+Sens!D6537*IF(1&lt;life_it,1,IF(1=life_it,0.5,0))+Sens!E6537*0.5)/life_it</f>
        <v>15.0605784770833</v>
      </c>
      <c r="F6539" s="6" t="n">
        <f aca="false">(Sens!C6537*IF(3&lt;life_it,1,IF(3=life_it,0.5,0))+Sens!D6537*IF(2&lt;life_it,1,IF(2=life_it,0.5,0))+Sens!E6537*IF(1&lt;life_it,1,IF(1=life_it,0.5,0))+Sens!F6537*0.5)/life_it</f>
        <v>32.301022730331</v>
      </c>
      <c r="G6539" s="6" t="n">
        <f aca="false">(Sens!C6537*IF(4&lt;life_it,1,IF(4=life_it,0.5,0))+Sens!D6537*IF(3&lt;life_it,1,IF(3=life_it,0.5,0))+Sens!E6537*IF(2&lt;life_it,1,IF(2=life_it,0.5,0))+Sens!F6537*IF(1&lt;life_it,1,IF(1=life_it,0.5,0))+Sens!G6537*0.5)/life_it</f>
        <v>56.5376672092619</v>
      </c>
      <c r="H6539" s="6" t="n">
        <f aca="false">(Sens!C6537*IF(5&lt;life_it,1,IF(5=life_it,0.5,0))+Sens!D6537*IF(4&lt;life_it,1,IF(4=life_it,0.5,0))+Sens!E6537*IF(3&lt;life_it,1,IF(3=life_it,0.5,0))+Sens!F6537*IF(2&lt;life_it,1,IF(2=life_it,0.5,0))+Sens!G6537*IF(1&lt;life_it,1,IF(1=life_it,0.5,0))+Sens!H6537*0.5)/life_it</f>
        <v>82.1722687420619</v>
      </c>
      <c r="I6539" s="6" t="n">
        <f aca="false">(Sens!C6537*IF(6&lt;life_it,1,IF(6=life_it,0.5,0))+Sens!D6537*IF(5&lt;life_it,1,IF(5=life_it,0.5,0))+Sens!E6537*IF(4&lt;life_it,1,IF(4=life_it,0.5,0))+Sens!F6537*IF(3&lt;life_it,1,IF(3=life_it,0.5,0))+Sens!G6537*IF(2&lt;life_it,1,IF(2=life_it,0.5,0))+Sens!H6537*IF(1&lt;life_it,1,IF(1=life_it,0.5,0))+Sens!I6537*0.5)/life_it</f>
        <v>108.826153290045</v>
      </c>
      <c r="J6539" s="6" t="n">
        <f aca="false">(Sens!C6537*IF(7&lt;life_it,1,IF(7=life_it,0.5,0))+Sens!D6537*IF(6&lt;life_it,1,IF(6=life_it,0.5,0))+Sens!E6537*IF(5&lt;life_it,1,IF(5=life_it,0.5,0))+Sens!F6537*IF(4&lt;life_it,1,IF(4=life_it,0.5,0))+Sens!G6537*IF(3&lt;life_it,1,IF(3=life_it,0.5,0))+Sens!H6537*IF(2&lt;life_it,1,IF(2=life_it,0.5,0))+Sens!I6537*IF(1&lt;life_it,1,IF(1=life_it,0.5,0))+Sens!J6537*0.5)/life_it</f>
        <v>136.452268307195</v>
      </c>
      <c r="K6539" s="6" t="n">
        <f aca="false">(Sens!C6537*IF(8&lt;life_it,1,IF(8=life_it,0.5,0))+Sens!D6537*IF(7&lt;life_it,1,IF(7=life_it,0.5,0))+Sens!E6537*IF(6&lt;life_it,1,IF(6=life_it,0.5,0))+Sens!F6537*IF(5&lt;life_it,1,IF(5=life_it,0.5,0))+Sens!G6537*IF(4&lt;life_it,1,IF(4=life_it,0.5,0))+Sens!H6537*IF(3&lt;life_it,1,IF(3=life_it,0.5,0))+Sens!I6537*IF(2&lt;life_it,1,IF(2=life_it,0.5,0))+Sens!J6537*IF(1&lt;life_it,1,IF(1=life_it,0.5,0))+Sens!K6537*0.5)/life_it</f>
        <v>165.365931783512</v>
      </c>
    </row>
    <row r="6540" customFormat="false" ht="17.15" hidden="false" customHeight="false" outlineLevel="0" collapsed="false">
      <c r="A6540" s="0" t="s">
        <v>760</v>
      </c>
      <c r="B6540" s="0" t="s">
        <v>95</v>
      </c>
      <c r="E6540" s="6" t="n">
        <f aca="false">(Sens!C6535*IF(2&lt;life_fac,1,IF(2=life_fac,0.5,0))+Sens!D6535*IF(1&lt;life_fac,1,IF(1=life_fac,0.5,0))+Sens!E6535*0.5)/life_fac</f>
        <v>1.2448275</v>
      </c>
      <c r="F6540" s="6" t="n">
        <f aca="false">(Sens!C6535*IF(3&lt;life_fac,1,IF(3=life_fac,0.5,0))+Sens!D6535*IF(2&lt;life_fac,1,IF(2=life_fac,0.5,0))+Sens!E6535*IF(1&lt;life_fac,1,IF(1=life_fac,0.5,0))+Sens!F6535*0.5)/life_fac</f>
        <v>2.4456901</v>
      </c>
      <c r="G6540" s="6" t="n">
        <f aca="false">(Sens!C6535*IF(4&lt;life_fac,1,IF(4=life_fac,0.5,0))+Sens!D6535*IF(3&lt;life_fac,1,IF(3=life_fac,0.5,0))+Sens!E6535*IF(2&lt;life_fac,1,IF(2=life_fac,0.5,0))+Sens!F6535*IF(1&lt;life_fac,1,IF(1=life_fac,0.5,0))+Sens!G6535*0.5)/life_fac</f>
        <v>3.9814208</v>
      </c>
      <c r="H6540" s="6" t="n">
        <f aca="false">(Sens!C6535*IF(5&lt;life_fac,1,IF(5=life_fac,0.5,0))+Sens!D6535*IF(4&lt;life_fac,1,IF(4=life_fac,0.5,0))+Sens!E6535*IF(3&lt;life_fac,1,IF(3=life_fac,0.5,0))+Sens!F6535*IF(2&lt;life_fac,1,IF(2=life_fac,0.5,0))+Sens!G6535*IF(1&lt;life_fac,1,IF(1=life_fac,0.5,0))+Sens!H6535*0.5)/life_fac</f>
        <v>5.582402</v>
      </c>
      <c r="I6540" s="6" t="n">
        <f aca="false">(Sens!C6535*IF(6&lt;life_fac,1,IF(6=life_fac,0.5,0))+Sens!D6535*IF(5&lt;life_fac,1,IF(5=life_fac,0.5,0))+Sens!E6535*IF(4&lt;life_fac,1,IF(4=life_fac,0.5,0))+Sens!F6535*IF(3&lt;life_fac,1,IF(3=life_fac,0.5,0))+Sens!G6535*IF(2&lt;life_fac,1,IF(2=life_fac,0.5,0))+Sens!H6535*IF(1&lt;life_fac,1,IF(1=life_fac,0.5,0))+Sens!I6535*0.5)/life_fac</f>
        <v>7.1833832</v>
      </c>
      <c r="J6540" s="6" t="n">
        <f aca="false">(Sens!C6535*IF(7&lt;life_fac,1,IF(7=life_fac,0.5,0))+Sens!D6535*IF(6&lt;life_fac,1,IF(6=life_fac,0.5,0))+Sens!E6535*IF(5&lt;life_fac,1,IF(5=life_fac,0.5,0))+Sens!F6535*IF(4&lt;life_fac,1,IF(4=life_fac,0.5,0))+Sens!G6535*IF(3&lt;life_fac,1,IF(3=life_fac,0.5,0))+Sens!H6535*IF(2&lt;life_fac,1,IF(2=life_fac,0.5,0))+Sens!I6535*IF(1&lt;life_fac,1,IF(1=life_fac,0.5,0))+Sens!J6535*0.5)/life_fac</f>
        <v>8.7843644</v>
      </c>
      <c r="K6540" s="6" t="n">
        <f aca="false">(Sens!C6535*IF(8&lt;life_fac,1,IF(8=life_fac,0.5,0))+Sens!D6535*IF(7&lt;life_fac,1,IF(7=life_fac,0.5,0))+Sens!E6535*IF(6&lt;life_fac,1,IF(6=life_fac,0.5,0))+Sens!F6535*IF(5&lt;life_fac,1,IF(5=life_fac,0.5,0))+Sens!G6535*IF(4&lt;life_fac,1,IF(4=life_fac,0.5,0))+Sens!H6535*IF(3&lt;life_fac,1,IF(3=life_fac,0.5,0))+Sens!I6535*IF(2&lt;life_fac,1,IF(2=life_fac,0.5,0))+Sens!J6535*IF(1&lt;life_fac,1,IF(1=life_fac,0.5,0))+Sens!K6535*0.5)/life_fac</f>
        <v>10.3853456</v>
      </c>
    </row>
    <row r="6541" customFormat="false" ht="17.15" hidden="false" customHeight="false" outlineLevel="0" collapsed="false">
      <c r="A6541" s="0" t="s">
        <v>761</v>
      </c>
      <c r="B6541" s="0" t="s">
        <v>95</v>
      </c>
      <c r="E6541" s="6" t="n">
        <f aca="false">Sens!E6539+Sens!E6540</f>
        <v>16.3054059770833</v>
      </c>
      <c r="F6541" s="6" t="n">
        <f aca="false">Sens!F6539+Sens!F6540</f>
        <v>34.746712830331</v>
      </c>
      <c r="G6541" s="6" t="n">
        <f aca="false">Sens!G6539+Sens!G6540</f>
        <v>60.5190880092619</v>
      </c>
      <c r="H6541" s="6" t="n">
        <f aca="false">Sens!H6539+Sens!H6540</f>
        <v>87.7546707420619</v>
      </c>
      <c r="I6541" s="6" t="n">
        <f aca="false">Sens!I6539+Sens!I6540</f>
        <v>116.009536490045</v>
      </c>
      <c r="J6541" s="6" t="n">
        <f aca="false">Sens!J6539+Sens!J6540</f>
        <v>145.236632707195</v>
      </c>
      <c r="K6541" s="6" t="n">
        <f aca="false">Sens!K6539+Sens!K6540</f>
        <v>175.751277383512</v>
      </c>
    </row>
    <row r="6542" customFormat="false" ht="17.15" hidden="false" customHeight="false" outlineLevel="0" collapsed="false">
      <c r="A6542" s="0" t="s">
        <v>762</v>
      </c>
      <c r="B6542" s="0" t="s">
        <v>95</v>
      </c>
      <c r="E6542" s="6" t="n">
        <f aca="false">Sens!E6530-Sens!E6529*Sens!E6541</f>
        <v>8.92707889977379</v>
      </c>
      <c r="F6542" s="6" t="n">
        <f aca="false">Sens!F6530-Sens!F6529*Sens!F6541</f>
        <v>18.6114130509953</v>
      </c>
      <c r="G6542" s="6" t="n">
        <f aca="false">Sens!G6530-Sens!G6529*Sens!G6541</f>
        <v>30.241301752249</v>
      </c>
      <c r="H6542" s="6" t="n">
        <f aca="false">Sens!H6530-Sens!H6529*Sens!H6541</f>
        <v>42.5668425386218</v>
      </c>
      <c r="I6542" s="6" t="n">
        <f aca="false">Sens!I6530-Sens!I6529*Sens!I6541</f>
        <v>54.4261185684657</v>
      </c>
      <c r="J6542" s="6" t="n">
        <f aca="false">Sens!J6530-Sens!J6529*Sens!J6541</f>
        <v>65.7780144735923</v>
      </c>
      <c r="K6542" s="6" t="n">
        <f aca="false">Sens!K6530-Sens!K6529*Sens!K6541</f>
        <v>76.4020638337411</v>
      </c>
    </row>
    <row r="6543" customFormat="false" ht="17.15" hidden="false" customHeight="false" outlineLevel="0" collapsed="false">
      <c r="A6543" s="3" t="s">
        <v>1300</v>
      </c>
    </row>
    <row r="6544" customFormat="false" ht="15" hidden="false" customHeight="false" outlineLevel="0" collapsed="false">
      <c r="A6544" s="4" t="s">
        <v>43</v>
      </c>
      <c r="B6544" s="4" t="s">
        <v>63</v>
      </c>
      <c r="C6544" s="19" t="s">
        <v>710</v>
      </c>
      <c r="D6544" s="19" t="s">
        <v>711</v>
      </c>
      <c r="E6544" s="19" t="s">
        <v>712</v>
      </c>
      <c r="F6544" s="19" t="s">
        <v>713</v>
      </c>
      <c r="G6544" s="19" t="s">
        <v>714</v>
      </c>
      <c r="H6544" s="19" t="s">
        <v>715</v>
      </c>
      <c r="I6544" s="19" t="s">
        <v>716</v>
      </c>
      <c r="J6544" s="19" t="s">
        <v>717</v>
      </c>
      <c r="K6544" s="19" t="s">
        <v>718</v>
      </c>
      <c r="L6544" s="4" t="s">
        <v>47</v>
      </c>
    </row>
    <row r="6545" customFormat="false" ht="17.15" hidden="false" customHeight="false" outlineLevel="0" collapsed="false">
      <c r="A6545" s="0" t="s">
        <v>780</v>
      </c>
      <c r="B6545" s="0" t="s">
        <v>95</v>
      </c>
      <c r="D6545" s="6" t="n">
        <f aca="false">Sens!D6524</f>
        <v>12.9359794422418</v>
      </c>
      <c r="E6545" s="6" t="n">
        <f aca="false">Sens!E6524</f>
        <v>27.8095064661409</v>
      </c>
      <c r="F6545" s="6" t="n">
        <f aca="false">Sens!F6524</f>
        <v>55.0640065749585</v>
      </c>
      <c r="G6545" s="6" t="n">
        <f aca="false">Sens!G6524</f>
        <v>89.4505413190538</v>
      </c>
      <c r="H6545" s="6" t="n">
        <f aca="false">Sens!H6524</f>
        <v>124.835630736874</v>
      </c>
      <c r="I6545" s="6" t="n">
        <f aca="false">Sens!I6524</f>
        <v>160.384516075608</v>
      </c>
      <c r="J6545" s="6" t="n">
        <f aca="false">Sens!J6524</f>
        <v>196.019025664981</v>
      </c>
      <c r="K6545" s="6" t="n">
        <f aca="false">Sens!K6524</f>
        <v>231.703903883012</v>
      </c>
    </row>
    <row r="6546" customFormat="false" ht="17.15" hidden="false" customHeight="false" outlineLevel="0" collapsed="false">
      <c r="A6546" s="0" t="s">
        <v>781</v>
      </c>
      <c r="B6546" s="0" t="s">
        <v>95</v>
      </c>
      <c r="D6546" s="6" t="n">
        <f aca="false">Q!L6-Sens!D6545</f>
        <v>59.6740205577583</v>
      </c>
      <c r="E6546" s="6" t="n">
        <f aca="false">Q!M6-Sens!E6545</f>
        <v>74.1284935338591</v>
      </c>
      <c r="F6546" s="6" t="n">
        <f aca="false">Sens!E6546*(1+Sens!F6547)</f>
        <v>89.709307269697</v>
      </c>
      <c r="G6546" s="6" t="n">
        <f aca="false">Sens!F6546*(1+Sens!G6547)</f>
        <v>105.690953558647</v>
      </c>
      <c r="H6546" s="6" t="n">
        <f aca="false">Sens!G6546*(1+Sens!H6547)</f>
        <v>121.133663984194</v>
      </c>
      <c r="I6546" s="6" t="n">
        <f aca="false">Sens!H6546*(1+Sens!I6547)</f>
        <v>134.951941602699</v>
      </c>
      <c r="J6546" s="6" t="n">
        <f aca="false">Sens!I6546*(1+Sens!J6547)</f>
        <v>146.023036389274</v>
      </c>
      <c r="K6546" s="6" t="n">
        <f aca="false">Sens!J6546*(1+Sens!K6547)</f>
        <v>153.324188208738</v>
      </c>
    </row>
    <row r="6547" customFormat="false" ht="15" hidden="false" customHeight="false" outlineLevel="0" collapsed="false">
      <c r="A6547" s="1" t="s">
        <v>782</v>
      </c>
      <c r="B6547" s="0" t="s">
        <v>126</v>
      </c>
      <c r="E6547" s="7" t="n">
        <f aca="false">Sens!E6546/Sens!D6546-1</f>
        <v>0.242223883039864</v>
      </c>
      <c r="F6547" s="7" t="n">
        <f aca="false">Sens!$E$6547+(glt_azo_lo-Sens!$E$6547)*MIN(1,1/n_conv)</f>
        <v>0.210186569199887</v>
      </c>
      <c r="G6547" s="7" t="n">
        <f aca="false">Sens!$E$6547+(glt_azo_lo-Sens!$E$6547)*MIN(1,2/n_conv)</f>
        <v>0.17814925535991</v>
      </c>
      <c r="H6547" s="7" t="n">
        <f aca="false">Sens!$E$6547+(glt_azo_lo-Sens!$E$6547)*MIN(1,3/n_conv)</f>
        <v>0.146111941519932</v>
      </c>
      <c r="I6547" s="7" t="n">
        <f aca="false">Sens!$E$6547+(glt_azo_lo-Sens!$E$6547)*MIN(1,4/n_conv)</f>
        <v>0.114074627679955</v>
      </c>
      <c r="J6547" s="7" t="n">
        <f aca="false">Sens!$E$6547+(glt_azo_lo-Sens!$E$6547)*MIN(1,5/n_conv)</f>
        <v>0.0820373138399774</v>
      </c>
      <c r="K6547" s="7" t="n">
        <f aca="false">Sens!$E$6547+(glt_azo_lo-Sens!$E$6547)*MIN(1,6/n_conv)</f>
        <v>0.05</v>
      </c>
    </row>
    <row r="6548" customFormat="false" ht="15" hidden="false" customHeight="false" outlineLevel="0" collapsed="false">
      <c r="A6548" s="0" t="s">
        <v>783</v>
      </c>
      <c r="B6548" s="0" t="s">
        <v>95</v>
      </c>
      <c r="D6548" s="6" t="n">
        <f aca="false">Sens!D6545+Sens!D6546</f>
        <v>72.61</v>
      </c>
      <c r="E6548" s="6" t="n">
        <f aca="false">Sens!E6545+Sens!E6546</f>
        <v>101.938</v>
      </c>
      <c r="F6548" s="6" t="n">
        <f aca="false">Sens!F6545+Sens!F6546</f>
        <v>144.773313844656</v>
      </c>
      <c r="G6548" s="6" t="n">
        <f aca="false">Sens!G6545+Sens!G6546</f>
        <v>195.141494877701</v>
      </c>
      <c r="H6548" s="6" t="n">
        <f aca="false">Sens!H6545+Sens!H6546</f>
        <v>245.969294721068</v>
      </c>
      <c r="I6548" s="6" t="n">
        <f aca="false">Sens!I6545+Sens!I6546</f>
        <v>295.336457678308</v>
      </c>
      <c r="J6548" s="6" t="n">
        <f aca="false">Sens!J6545+Sens!J6546</f>
        <v>342.042062054255</v>
      </c>
      <c r="K6548" s="6" t="n">
        <f aca="false">Sens!K6545+Sens!K6546</f>
        <v>385.02809209175</v>
      </c>
    </row>
    <row r="6549" customFormat="false" ht="17.15" hidden="false" customHeight="false" outlineLevel="0" collapsed="false">
      <c r="A6549" s="0" t="s">
        <v>784</v>
      </c>
      <c r="B6549" s="1" t="s">
        <v>451</v>
      </c>
      <c r="C6549" s="27" t="n">
        <f aca="false">cop_s24</f>
        <v>1</v>
      </c>
      <c r="D6549" s="27" t="n">
        <f aca="false">cop_s25</f>
        <v>5</v>
      </c>
      <c r="E6549" s="27" t="n">
        <f aca="false">cop_s26</f>
        <v>30</v>
      </c>
      <c r="F6549" s="27" t="n">
        <f aca="false">Sens!E6549+IF(2027&lt;=2029,cop_add_B,cop_add_B*cop_tail)</f>
        <v>50</v>
      </c>
      <c r="G6549" s="27" t="n">
        <f aca="false">Sens!F6549+IF(2028&lt;=2029,cop_add_B,cop_add_B*cop_tail)</f>
        <v>70</v>
      </c>
      <c r="H6549" s="27" t="n">
        <f aca="false">Sens!G6549+IF(2029&lt;=2029,cop_add_B,cop_add_B*cop_tail)</f>
        <v>90</v>
      </c>
      <c r="I6549" s="27" t="n">
        <f aca="false">Sens!H6549+IF(2030&lt;=2029,cop_add_B,cop_add_B*cop_tail)</f>
        <v>100</v>
      </c>
      <c r="J6549" s="27" t="n">
        <f aca="false">Sens!I6549+IF(2031&lt;=2029,cop_add_B,cop_add_B*cop_tail)</f>
        <v>110</v>
      </c>
      <c r="K6549" s="27" t="n">
        <f aca="false">Sens!J6549+IF(2032&lt;=2029,cop_add_B,cop_add_B*cop_tail)</f>
        <v>120</v>
      </c>
    </row>
    <row r="6550" customFormat="false" ht="17.15" hidden="false" customHeight="false" outlineLevel="0" collapsed="false">
      <c r="A6550" s="0" t="s">
        <v>785</v>
      </c>
      <c r="B6550" s="0" t="s">
        <v>95</v>
      </c>
      <c r="D6550" s="6" t="n">
        <f aca="false">(Sens!C6549+Sens!D6549)/2*cop_px*12/1000</f>
        <v>0.9</v>
      </c>
      <c r="E6550" s="6" t="n">
        <f aca="false">(Sens!D6549+Sens!E6549)/2*cop_px*12/1000</f>
        <v>5.25</v>
      </c>
      <c r="F6550" s="6" t="n">
        <f aca="false">(Sens!E6549+Sens!F6549)/2*cop_px*12/1000</f>
        <v>12</v>
      </c>
      <c r="G6550" s="6" t="n">
        <f aca="false">(Sens!F6549+Sens!G6549)/2*cop_px*12/1000</f>
        <v>18</v>
      </c>
      <c r="H6550" s="6" t="n">
        <f aca="false">(Sens!G6549+Sens!H6549)/2*cop_px*12/1000</f>
        <v>24</v>
      </c>
      <c r="I6550" s="6" t="n">
        <f aca="false">(Sens!H6549+Sens!I6549)/2*cop_px*12/1000</f>
        <v>28.5</v>
      </c>
      <c r="J6550" s="6" t="n">
        <f aca="false">(Sens!I6549+Sens!J6549)/2*cop_px*12/1000</f>
        <v>31.5</v>
      </c>
      <c r="K6550" s="6" t="n">
        <f aca="false">(Sens!J6549+Sens!K6549)/2*cop_px*12/1000</f>
        <v>34.5</v>
      </c>
      <c r="L6550" s="1" t="s">
        <v>786</v>
      </c>
    </row>
    <row r="6551" customFormat="false" ht="17.15" hidden="false" customHeight="false" outlineLevel="0" collapsed="false">
      <c r="A6551" s="0" t="s">
        <v>787</v>
      </c>
      <c r="B6551" s="0" t="s">
        <v>95</v>
      </c>
      <c r="D6551" s="6" t="n">
        <f aca="false">Q!L7-Sens!D6550</f>
        <v>83.705</v>
      </c>
      <c r="E6551" s="6" t="n">
        <f aca="false">Q!M7-Sens!E6550</f>
        <v>95.049</v>
      </c>
      <c r="F6551" s="6" t="n">
        <f aca="false">Sens!E6551*(1+Sens!F6552)</f>
        <v>106.89238776686</v>
      </c>
      <c r="G6551" s="6" t="n">
        <f aca="false">Sens!F6551*(1+Sens!G6552)</f>
        <v>119.044168448684</v>
      </c>
      <c r="H6551" s="6" t="n">
        <f aca="false">Sens!G6551*(1+Sens!H6552)</f>
        <v>131.277359388781</v>
      </c>
      <c r="I6551" s="6" t="n">
        <f aca="false">Sens!H6551*(1+Sens!I6552)</f>
        <v>143.334028071957</v>
      </c>
      <c r="J6551" s="6" t="n">
        <f aca="false">Sens!I6551*(1+Sens!J6552)</f>
        <v>154.932702785465</v>
      </c>
      <c r="K6551" s="6" t="n">
        <f aca="false">Sens!J6551*(1+Sens!K6552)</f>
        <v>165.777991980448</v>
      </c>
    </row>
    <row r="6552" customFormat="false" ht="15" hidden="false" customHeight="false" outlineLevel="0" collapsed="false">
      <c r="A6552" s="1" t="s">
        <v>782</v>
      </c>
      <c r="B6552" s="0" t="s">
        <v>126</v>
      </c>
      <c r="E6552" s="7" t="n">
        <f aca="false">Sens!E6551/Sens!D6551-1</f>
        <v>0.135523564900544</v>
      </c>
      <c r="F6552" s="7" t="n">
        <f aca="false">Sens!$E$6552+(glt_m365b-Sens!$E$6552)*MIN(1,1/n_conv)</f>
        <v>0.124602970750453</v>
      </c>
      <c r="G6552" s="7" t="n">
        <f aca="false">Sens!$E$6552+(glt_m365b-Sens!$E$6552)*MIN(1,2/n_conv)</f>
        <v>0.113682376600363</v>
      </c>
      <c r="H6552" s="7" t="n">
        <f aca="false">Sens!$E$6552+(glt_m365b-Sens!$E$6552)*MIN(1,3/n_conv)</f>
        <v>0.102761782450272</v>
      </c>
      <c r="I6552" s="7" t="n">
        <f aca="false">Sens!$E$6552+(glt_m365b-Sens!$E$6552)*MIN(1,4/n_conv)</f>
        <v>0.0918411883001813</v>
      </c>
      <c r="J6552" s="7" t="n">
        <f aca="false">Sens!$E$6552+(glt_m365b-Sens!$E$6552)*MIN(1,5/n_conv)</f>
        <v>0.0809205941500906</v>
      </c>
      <c r="K6552" s="7" t="n">
        <f aca="false">Sens!$E$6552+(glt_m365b-Sens!$E$6552)*MIN(1,6/n_conv)</f>
        <v>0.07</v>
      </c>
    </row>
    <row r="6553" customFormat="false" ht="15" hidden="false" customHeight="false" outlineLevel="0" collapsed="false">
      <c r="A6553" s="0" t="s">
        <v>788</v>
      </c>
      <c r="B6553" s="0" t="s">
        <v>95</v>
      </c>
      <c r="D6553" s="6" t="n">
        <f aca="false">Sens!D6551+Sens!D6550</f>
        <v>84.605</v>
      </c>
      <c r="E6553" s="6" t="n">
        <f aca="false">Sens!E6551+Sens!E6550</f>
        <v>100.299</v>
      </c>
      <c r="F6553" s="6" t="n">
        <f aca="false">Sens!F6551+Sens!F6550</f>
        <v>118.89238776686</v>
      </c>
      <c r="G6553" s="6" t="n">
        <f aca="false">Sens!G6551+Sens!G6550</f>
        <v>137.044168448684</v>
      </c>
      <c r="H6553" s="6" t="n">
        <f aca="false">Sens!H6551+Sens!H6550</f>
        <v>155.277359388781</v>
      </c>
      <c r="I6553" s="6" t="n">
        <f aca="false">Sens!I6551+Sens!I6550</f>
        <v>171.834028071957</v>
      </c>
      <c r="J6553" s="6" t="n">
        <f aca="false">Sens!J6551+Sens!J6550</f>
        <v>186.432702785465</v>
      </c>
      <c r="K6553" s="6" t="n">
        <f aca="false">Sens!K6551+Sens!K6550</f>
        <v>200.277991980448</v>
      </c>
    </row>
    <row r="6554" customFormat="false" ht="15" hidden="false" customHeight="false" outlineLevel="0" collapsed="false">
      <c r="A6554" s="0" t="s">
        <v>789</v>
      </c>
      <c r="B6554" s="0" t="s">
        <v>95</v>
      </c>
      <c r="D6554" s="6" t="n">
        <f aca="false">Q!L8</f>
        <v>35.391</v>
      </c>
      <c r="E6554" s="6" t="n">
        <f aca="false">Q!M8</f>
        <v>37.285</v>
      </c>
      <c r="F6554" s="6" t="n">
        <f aca="false">Sens!E6554*(1+Sens!F6555)</f>
        <v>39.0720834331704</v>
      </c>
      <c r="G6554" s="6" t="n">
        <f aca="false">Sens!F6554*(1+Sens!G6555)</f>
        <v>40.726562953769</v>
      </c>
      <c r="H6554" s="6" t="n">
        <f aca="false">Sens!G6554*(1+Sens!H6555)</f>
        <v>42.2235987259198</v>
      </c>
      <c r="I6554" s="6" t="n">
        <f aca="false">Sens!H6554*(1+Sens!I6555)</f>
        <v>43.5397988077414</v>
      </c>
      <c r="J6554" s="6" t="n">
        <f aca="false">Sens!I6554*(1+Sens!J6555)</f>
        <v>44.653811225693</v>
      </c>
      <c r="K6554" s="6" t="n">
        <f aca="false">Sens!J6554*(1+Sens!K6555)</f>
        <v>45.5468874502068</v>
      </c>
    </row>
    <row r="6555" customFormat="false" ht="15" hidden="false" customHeight="false" outlineLevel="0" collapsed="false">
      <c r="A6555" s="1" t="s">
        <v>782</v>
      </c>
      <c r="B6555" s="0" t="s">
        <v>126</v>
      </c>
      <c r="E6555" s="7" t="n">
        <f aca="false">Sens!E6554/Sens!D6554-1</f>
        <v>0.0535164307309768</v>
      </c>
      <c r="F6555" s="7" t="n">
        <f aca="false">Sens!$E$6555+(glt_lic-Sens!$E$6555)*MIN(1,1/n_conv)</f>
        <v>0.0479303589424807</v>
      </c>
      <c r="G6555" s="7" t="n">
        <f aca="false">Sens!$E$6555+(glt_lic-Sens!$E$6555)*MIN(1,2/n_conv)</f>
        <v>0.0423442871539845</v>
      </c>
      <c r="H6555" s="7" t="n">
        <f aca="false">Sens!$E$6555+(glt_lic-Sens!$E$6555)*MIN(1,3/n_conv)</f>
        <v>0.0367582153654884</v>
      </c>
      <c r="I6555" s="7" t="n">
        <f aca="false">Sens!$E$6555+(glt_lic-Sens!$E$6555)*MIN(1,4/n_conv)</f>
        <v>0.0311721435769923</v>
      </c>
      <c r="J6555" s="7" t="n">
        <f aca="false">Sens!$E$6555+(glt_lic-Sens!$E$6555)*MIN(1,5/n_conv)</f>
        <v>0.0255860717884961</v>
      </c>
      <c r="K6555" s="7" t="n">
        <f aca="false">Sens!$E$6555+(glt_lic-Sens!$E$6555)*MIN(1,6/n_conv)</f>
        <v>0.02</v>
      </c>
    </row>
    <row r="6556" customFormat="false" ht="15" hidden="false" customHeight="false" outlineLevel="0" collapsed="false">
      <c r="A6556" s="0" t="s">
        <v>790</v>
      </c>
      <c r="B6556" s="0" t="s">
        <v>95</v>
      </c>
      <c r="D6556" s="6" t="n">
        <f aca="false">Q!L9</f>
        <v>18.417</v>
      </c>
      <c r="E6556" s="6" t="n">
        <f aca="false">Q!M9</f>
        <v>20.345</v>
      </c>
      <c r="F6556" s="6" t="n">
        <f aca="false">Sens!E6556*(1+Sens!F6557)</f>
        <v>22.3572203267814</v>
      </c>
      <c r="G6556" s="6" t="n">
        <f aca="false">Sens!F6556*(1+Sens!G6557)</f>
        <v>24.4392124437232</v>
      </c>
      <c r="H6556" s="6" t="n">
        <f aca="false">Sens!G6556*(1+Sens!H6557)</f>
        <v>26.5738052080665</v>
      </c>
      <c r="I6556" s="6" t="n">
        <f aca="false">Sens!H6556*(1+Sens!I6557)</f>
        <v>28.7412169166967</v>
      </c>
      <c r="J6556" s="6" t="n">
        <f aca="false">Sens!I6556*(1+Sens!J6557)</f>
        <v>30.9192545395413</v>
      </c>
      <c r="K6556" s="6" t="n">
        <f aca="false">Sens!J6556*(1+Sens!K6557)</f>
        <v>33.0836023573092</v>
      </c>
    </row>
    <row r="6557" customFormat="false" ht="15" hidden="false" customHeight="false" outlineLevel="0" collapsed="false">
      <c r="A6557" s="1" t="s">
        <v>782</v>
      </c>
      <c r="B6557" s="0" t="s">
        <v>126</v>
      </c>
      <c r="E6557" s="7" t="n">
        <f aca="false">Sens!E6556/Sens!D6556-1</f>
        <v>0.104685888038225</v>
      </c>
      <c r="F6557" s="7" t="n">
        <f aca="false">Sens!$E$6557+(glt_ind-Sens!$E$6557)*MIN(1,1/n_conv)</f>
        <v>0.0989049066985211</v>
      </c>
      <c r="G6557" s="7" t="n">
        <f aca="false">Sens!$E$6557+(glt_ind-Sens!$E$6557)*MIN(1,2/n_conv)</f>
        <v>0.0931239253588169</v>
      </c>
      <c r="H6557" s="7" t="n">
        <f aca="false">Sens!$E$6557+(glt_ind-Sens!$E$6557)*MIN(1,3/n_conv)</f>
        <v>0.0873429440191127</v>
      </c>
      <c r="I6557" s="7" t="n">
        <f aca="false">Sens!$E$6557+(glt_ind-Sens!$E$6557)*MIN(1,4/n_conv)</f>
        <v>0.0815619626794085</v>
      </c>
      <c r="J6557" s="7" t="n">
        <f aca="false">Sens!$E$6557+(glt_ind-Sens!$E$6557)*MIN(1,5/n_conv)</f>
        <v>0.0757809813397042</v>
      </c>
      <c r="K6557" s="7" t="n">
        <f aca="false">Sens!$E$6557+(glt_ind-Sens!$E$6557)*MIN(1,6/n_conv)</f>
        <v>0.07</v>
      </c>
    </row>
    <row r="6558" customFormat="false" ht="15" hidden="false" customHeight="false" outlineLevel="0" collapsed="false">
      <c r="A6558" s="0" t="s">
        <v>791</v>
      </c>
      <c r="B6558" s="0" t="s">
        <v>95</v>
      </c>
      <c r="D6558" s="6" t="n">
        <f aca="false">Q!L10</f>
        <v>7.76</v>
      </c>
      <c r="E6558" s="6" t="n">
        <f aca="false">Q!M10</f>
        <v>8.26</v>
      </c>
      <c r="F6558" s="6" t="n">
        <f aca="false">Sens!E6558*(1+Sens!F6559)</f>
        <v>8.79988041237113</v>
      </c>
      <c r="G6558" s="6" t="n">
        <f aca="false">Sens!F6558*(1+Sens!G6559)</f>
        <v>9.38321269125306</v>
      </c>
      <c r="H6558" s="6" t="n">
        <f aca="false">Sens!G6558*(1+Sens!H6559)</f>
        <v>10.0139193587476</v>
      </c>
      <c r="I6558" s="6" t="n">
        <f aca="false">Sens!H6558*(1+Sens!I6559)</f>
        <v>10.6963111830911</v>
      </c>
      <c r="J6558" s="6" t="n">
        <f aca="false">Sens!I6558*(1+Sens!J6559)</f>
        <v>11.4351285534696</v>
      </c>
      <c r="K6558" s="6" t="n">
        <f aca="false">Sens!J6558*(1+Sens!K6559)</f>
        <v>12.2355875522124</v>
      </c>
    </row>
    <row r="6559" customFormat="false" ht="15" hidden="false" customHeight="false" outlineLevel="0" collapsed="false">
      <c r="A6559" s="1" t="s">
        <v>782</v>
      </c>
      <c r="B6559" s="0" t="s">
        <v>126</v>
      </c>
      <c r="E6559" s="7" t="n">
        <f aca="false">Sens!E6558/Sens!D6558-1</f>
        <v>0.0644329896907216</v>
      </c>
      <c r="F6559" s="7" t="n">
        <f aca="false">Sens!$E$6559+(glt_fro-Sens!$E$6559)*MIN(1,1/n_conv)</f>
        <v>0.065360824742268</v>
      </c>
      <c r="G6559" s="7" t="n">
        <f aca="false">Sens!$E$6559+(glt_fro-Sens!$E$6559)*MIN(1,2/n_conv)</f>
        <v>0.0662886597938144</v>
      </c>
      <c r="H6559" s="7" t="n">
        <f aca="false">Sens!$E$6559+(glt_fro-Sens!$E$6559)*MIN(1,3/n_conv)</f>
        <v>0.0672164948453608</v>
      </c>
      <c r="I6559" s="7" t="n">
        <f aca="false">Sens!$E$6559+(glt_fro-Sens!$E$6559)*MIN(1,4/n_conv)</f>
        <v>0.0681443298969072</v>
      </c>
      <c r="J6559" s="7" t="n">
        <f aca="false">Sens!$E$6559+(glt_fro-Sens!$E$6559)*MIN(1,5/n_conv)</f>
        <v>0.0690721649484536</v>
      </c>
      <c r="K6559" s="7" t="n">
        <f aca="false">Sens!$E$6559+(glt_fro-Sens!$E$6559)*MIN(1,6/n_conv)</f>
        <v>0.07</v>
      </c>
    </row>
    <row r="6560" customFormat="false" ht="15" hidden="false" customHeight="false" outlineLevel="0" collapsed="false">
      <c r="A6560" s="0" t="s">
        <v>626</v>
      </c>
      <c r="B6560" s="0" t="s">
        <v>95</v>
      </c>
      <c r="D6560" s="6" t="n">
        <f aca="false">Sens!D6548+Sens!D6553+Sens!D6554+Sens!D6556+Sens!D6558</f>
        <v>218.783</v>
      </c>
      <c r="E6560" s="6" t="n">
        <f aca="false">Sens!E6548+Sens!E6553+Sens!E6554+Sens!E6556+Sens!E6558</f>
        <v>268.127</v>
      </c>
      <c r="F6560" s="6" t="n">
        <f aca="false">Sens!F6548+Sens!F6553+Sens!F6554+Sens!F6556+Sens!F6558</f>
        <v>333.894885783838</v>
      </c>
      <c r="G6560" s="6" t="n">
        <f aca="false">Sens!G6548+Sens!G6553+Sens!G6554+Sens!G6556+Sens!G6558</f>
        <v>406.73465141513</v>
      </c>
      <c r="H6560" s="6" t="n">
        <f aca="false">Sens!H6548+Sens!H6553+Sens!H6554+Sens!H6556+Sens!H6558</f>
        <v>480.057977402583</v>
      </c>
      <c r="I6560" s="6" t="n">
        <f aca="false">Sens!I6548+Sens!I6553+Sens!I6554+Sens!I6556+Sens!I6558</f>
        <v>550.147812657794</v>
      </c>
      <c r="J6560" s="6" t="n">
        <f aca="false">Sens!J6548+Sens!J6553+Sens!J6554+Sens!J6556+Sens!J6558</f>
        <v>615.482959158425</v>
      </c>
      <c r="K6560" s="6" t="n">
        <f aca="false">Sens!K6548+Sens!K6553+Sens!K6554+Sens!K6556+Sens!K6558</f>
        <v>676.172161431927</v>
      </c>
    </row>
    <row r="6561" customFormat="false" ht="15" hidden="false" customHeight="false" outlineLevel="0" collapsed="false">
      <c r="A6561" s="0" t="s">
        <v>792</v>
      </c>
      <c r="B6561" s="0" t="s">
        <v>95</v>
      </c>
      <c r="D6561" s="6" t="n">
        <f aca="false">Q!L13</f>
        <v>22.171</v>
      </c>
      <c r="E6561" s="6" t="n">
        <f aca="false">Q!M13</f>
        <v>24.835</v>
      </c>
      <c r="F6561" s="6" t="n">
        <f aca="false">Sens!E6561*(1+Sens!F6562)</f>
        <v>27.6114901218559</v>
      </c>
      <c r="G6561" s="6" t="n">
        <f aca="false">Sens!F6561*(1+Sens!G6562)</f>
        <v>30.4675667338515</v>
      </c>
      <c r="H6561" s="6" t="n">
        <f aca="false">Sens!G6561*(1+Sens!H6562)</f>
        <v>33.3643766955789</v>
      </c>
      <c r="I6561" s="6" t="n">
        <f aca="false">Sens!H6561*(1+Sens!I6562)</f>
        <v>36.2577016533691</v>
      </c>
      <c r="J6561" s="6" t="n">
        <f aca="false">Sens!I6561*(1+Sens!J6562)</f>
        <v>39.0988367952171</v>
      </c>
      <c r="K6561" s="6" t="n">
        <f aca="false">Sens!J6561*(1+Sens!K6562)</f>
        <v>41.8357553708823</v>
      </c>
    </row>
    <row r="6562" customFormat="false" ht="15" hidden="false" customHeight="false" outlineLevel="0" collapsed="false">
      <c r="A6562" s="1" t="s">
        <v>782</v>
      </c>
      <c r="B6562" s="0" t="s">
        <v>126</v>
      </c>
      <c r="E6562" s="7" t="n">
        <f aca="false">Sens!E6561/Sens!D6561-1</f>
        <v>0.120156961796942</v>
      </c>
      <c r="F6562" s="7" t="n">
        <f aca="false">Sens!$E$6562+(glt_srch-Sens!$E$6562)*MIN(1,1/n_conv)</f>
        <v>0.111797468164118</v>
      </c>
      <c r="G6562" s="7" t="n">
        <f aca="false">Sens!$E$6562+(glt_srch-Sens!$E$6562)*MIN(1,2/n_conv)</f>
        <v>0.103437974531295</v>
      </c>
      <c r="H6562" s="7" t="n">
        <f aca="false">Sens!$E$6562+(glt_srch-Sens!$E$6562)*MIN(1,3/n_conv)</f>
        <v>0.095078480898471</v>
      </c>
      <c r="I6562" s="7" t="n">
        <f aca="false">Sens!$E$6562+(glt_srch-Sens!$E$6562)*MIN(1,4/n_conv)</f>
        <v>0.0867189872656474</v>
      </c>
      <c r="J6562" s="7" t="n">
        <f aca="false">Sens!$E$6562+(glt_srch-Sens!$E$6562)*MIN(1,5/n_conv)</f>
        <v>0.0783594936328237</v>
      </c>
      <c r="K6562" s="7" t="n">
        <f aca="false">Sens!$E$6562+(glt_srch-Sens!$E$6562)*MIN(1,6/n_conv)</f>
        <v>0.07</v>
      </c>
    </row>
    <row r="6563" customFormat="false" ht="15" hidden="false" customHeight="false" outlineLevel="0" collapsed="false">
      <c r="A6563" s="0" t="s">
        <v>793</v>
      </c>
      <c r="B6563" s="0" t="s">
        <v>95</v>
      </c>
      <c r="D6563" s="6" t="n">
        <f aca="false">Q!L14</f>
        <v>23.455</v>
      </c>
      <c r="E6563" s="6" t="n">
        <f aca="false">Q!M14</f>
        <v>21.79</v>
      </c>
      <c r="F6563" s="6" t="n">
        <f aca="false">Sens!E6563*(1+Sens!F6564)</f>
        <v>20.5736277908051</v>
      </c>
      <c r="G6563" s="6" t="n">
        <f aca="false">Sens!F6563*(1+Sens!G6564)</f>
        <v>19.7371452817919</v>
      </c>
      <c r="H6563" s="6" t="n">
        <f aca="false">Sens!G6563*(1+Sens!H6564)</f>
        <v>19.2339764043138</v>
      </c>
      <c r="I6563" s="6" t="n">
        <f aca="false">Sens!H6563*(1+Sens!I6564)</f>
        <v>19.0353086852681</v>
      </c>
      <c r="J6563" s="6" t="n">
        <f aca="false">Sens!I6563*(1+Sens!J6564)</f>
        <v>19.1273539319129</v>
      </c>
      <c r="K6563" s="6" t="n">
        <f aca="false">Sens!J6563*(1+Sens!K6564)</f>
        <v>19.5099010105511</v>
      </c>
    </row>
    <row r="6564" customFormat="false" ht="15" hidden="false" customHeight="false" outlineLevel="0" collapsed="false">
      <c r="A6564" s="1" t="s">
        <v>782</v>
      </c>
      <c r="B6564" s="0" t="s">
        <v>126</v>
      </c>
      <c r="E6564" s="7" t="n">
        <f aca="false">Sens!E6563/Sens!D6563-1</f>
        <v>-0.0709869963760392</v>
      </c>
      <c r="F6564" s="7" t="n">
        <f aca="false">Sens!$E$6564+(glt_xbox-Sens!$E$6564)*MIN(1,1/n_conv)</f>
        <v>-0.0558224969800327</v>
      </c>
      <c r="G6564" s="7" t="n">
        <f aca="false">Sens!$E$6564+(glt_xbox-Sens!$E$6564)*MIN(1,2/n_conv)</f>
        <v>-0.0406579975840262</v>
      </c>
      <c r="H6564" s="7" t="n">
        <f aca="false">Sens!$E$6564+(glt_xbox-Sens!$E$6564)*MIN(1,3/n_conv)</f>
        <v>-0.0254934981880196</v>
      </c>
      <c r="I6564" s="7" t="n">
        <f aca="false">Sens!$E$6564+(glt_xbox-Sens!$E$6564)*MIN(1,4/n_conv)</f>
        <v>-0.0103289987920131</v>
      </c>
      <c r="J6564" s="7" t="n">
        <f aca="false">Sens!$E$6564+(glt_xbox-Sens!$E$6564)*MIN(1,5/n_conv)</f>
        <v>0.00483550060399347</v>
      </c>
      <c r="K6564" s="7" t="n">
        <f aca="false">Sens!$E$6564+(glt_xbox-Sens!$E$6564)*MIN(1,6/n_conv)</f>
        <v>0.02</v>
      </c>
    </row>
    <row r="6565" customFormat="false" ht="15" hidden="false" customHeight="false" outlineLevel="0" collapsed="false">
      <c r="A6565" s="0" t="s">
        <v>794</v>
      </c>
      <c r="B6565" s="0" t="s">
        <v>95</v>
      </c>
      <c r="D6565" s="6" t="n">
        <f aca="false">Q!L15</f>
        <v>17.315</v>
      </c>
      <c r="E6565" s="6" t="n">
        <f aca="false">Q!M15</f>
        <v>17.087</v>
      </c>
      <c r="F6565" s="6" t="n">
        <f aca="false">Sens!E6565*(1+Sens!F6566)</f>
        <v>16.9564585436519</v>
      </c>
      <c r="G6565" s="6" t="n">
        <f aca="false">Sens!F6565*(1+Sens!G6566)</f>
        <v>16.9206490624268</v>
      </c>
      <c r="H6565" s="6" t="n">
        <f aca="false">Sens!G6565*(1+Sens!H6566)</f>
        <v>16.9784519149849</v>
      </c>
      <c r="I6565" s="6" t="n">
        <f aca="false">Sens!H6565*(1+Sens!I6566)</f>
        <v>17.1303084701817</v>
      </c>
      <c r="J6565" s="6" t="n">
        <f aca="false">Sens!I6565*(1+Sens!J6566)</f>
        <v>17.3782189407267</v>
      </c>
      <c r="K6565" s="6" t="n">
        <f aca="false">Sens!J6565*(1+Sens!K6566)</f>
        <v>17.7257833195413</v>
      </c>
    </row>
    <row r="6566" customFormat="false" ht="15" hidden="false" customHeight="false" outlineLevel="0" collapsed="false">
      <c r="A6566" s="1" t="s">
        <v>782</v>
      </c>
      <c r="B6566" s="0" t="s">
        <v>126</v>
      </c>
      <c r="E6566" s="7" t="n">
        <f aca="false">Sens!E6565/Sens!D6565-1</f>
        <v>-0.0131677736066995</v>
      </c>
      <c r="F6566" s="7" t="n">
        <f aca="false">Sens!$E$6566+(glt_win-Sens!$E$6566)*MIN(1,1/n_conv)</f>
        <v>-0.00763981133891627</v>
      </c>
      <c r="G6566" s="7" t="n">
        <f aca="false">Sens!$E$6566+(glt_win-Sens!$E$6566)*MIN(1,2/n_conv)</f>
        <v>-0.00211184907113301</v>
      </c>
      <c r="H6566" s="7" t="n">
        <f aca="false">Sens!$E$6566+(glt_win-Sens!$E$6566)*MIN(1,3/n_conv)</f>
        <v>0.00341611319665024</v>
      </c>
      <c r="I6566" s="7" t="n">
        <f aca="false">Sens!$E$6566+(glt_win-Sens!$E$6566)*MIN(1,4/n_conv)</f>
        <v>0.00894407546443349</v>
      </c>
      <c r="J6566" s="7" t="n">
        <f aca="false">Sens!$E$6566+(glt_win-Sens!$E$6566)*MIN(1,5/n_conv)</f>
        <v>0.0144720377322168</v>
      </c>
      <c r="K6566" s="7" t="n">
        <f aca="false">Sens!$E$6566+(glt_win-Sens!$E$6566)*MIN(1,6/n_conv)</f>
        <v>0.02</v>
      </c>
    </row>
    <row r="6567" customFormat="false" ht="15" hidden="false" customHeight="false" outlineLevel="0" collapsed="false">
      <c r="A6567" s="0" t="s">
        <v>640</v>
      </c>
      <c r="B6567" s="0" t="s">
        <v>95</v>
      </c>
      <c r="D6567" s="6" t="n">
        <f aca="false">Sens!D6561+Sens!D6563+Sens!D6565</f>
        <v>62.941</v>
      </c>
      <c r="E6567" s="6" t="n">
        <f aca="false">Sens!E6561+Sens!E6563+Sens!E6565</f>
        <v>63.712</v>
      </c>
      <c r="F6567" s="6" t="n">
        <f aca="false">Sens!F6561+Sens!F6563+Sens!F6565</f>
        <v>65.1415764563129</v>
      </c>
      <c r="G6567" s="6" t="n">
        <f aca="false">Sens!G6561+Sens!G6563+Sens!G6565</f>
        <v>67.1253610780702</v>
      </c>
      <c r="H6567" s="6" t="n">
        <f aca="false">Sens!H6561+Sens!H6563+Sens!H6565</f>
        <v>69.5768050148776</v>
      </c>
      <c r="I6567" s="6" t="n">
        <f aca="false">Sens!I6561+Sens!I6563+Sens!I6565</f>
        <v>72.4233188088189</v>
      </c>
      <c r="J6567" s="6" t="n">
        <f aca="false">Sens!J6561+Sens!J6563+Sens!J6565</f>
        <v>75.6044096678567</v>
      </c>
      <c r="K6567" s="6" t="n">
        <f aca="false">Sens!K6561+Sens!K6563+Sens!K6565</f>
        <v>79.0714397009747</v>
      </c>
    </row>
    <row r="6568" customFormat="false" ht="15" hidden="false" customHeight="false" outlineLevel="0" collapsed="false">
      <c r="A6568" s="1" t="s">
        <v>795</v>
      </c>
      <c r="B6568" s="0" t="s">
        <v>95</v>
      </c>
      <c r="D6568" s="6" t="n">
        <f aca="false">Sens!D6560+Sens!D6567</f>
        <v>281.724</v>
      </c>
      <c r="E6568" s="6" t="n">
        <f aca="false">Sens!E6560+Sens!E6567</f>
        <v>331.839</v>
      </c>
      <c r="F6568" s="6" t="n">
        <f aca="false">Sens!F6560+Sens!F6567</f>
        <v>399.036462240151</v>
      </c>
      <c r="G6568" s="6" t="n">
        <f aca="false">Sens!G6560+Sens!G6567</f>
        <v>473.8600124932</v>
      </c>
      <c r="H6568" s="6" t="n">
        <f aca="false">Sens!H6560+Sens!H6567</f>
        <v>549.63478241746</v>
      </c>
      <c r="I6568" s="6" t="n">
        <f aca="false">Sens!I6560+Sens!I6567</f>
        <v>622.571131466613</v>
      </c>
      <c r="J6568" s="6" t="n">
        <f aca="false">Sens!J6560+Sens!J6567</f>
        <v>691.087368826281</v>
      </c>
      <c r="K6568" s="6" t="n">
        <f aca="false">Sens!K6560+Sens!K6567</f>
        <v>755.243601132902</v>
      </c>
    </row>
    <row r="6569" customFormat="false" ht="15" hidden="false" customHeight="false" outlineLevel="0" collapsed="false">
      <c r="A6569" s="22" t="s">
        <v>796</v>
      </c>
      <c r="B6569" s="28" t="s">
        <v>95</v>
      </c>
      <c r="C6569" s="28"/>
      <c r="D6569" s="23" t="n">
        <f aca="false">(Sens!D6548+Sens!D6553+Sens!D6554+Sens!D6556+Sens!D6558-Sens!D6560)+(Sens!D6561+Sens!D6563+Sens!D6565-Sens!D6567)+(Sens!D6560-Q!L5)+(Sens!D6567-Q!L12)+(Sens!D6548-Q!L6)+(Sens!D6553-Q!L7)</f>
        <v>0</v>
      </c>
      <c r="E6569" s="23" t="n">
        <f aca="false">(Sens!E6548+Sens!E6553+Sens!E6554+Sens!E6556+Sens!E6558-Sens!E6560)+(Sens!E6561+Sens!E6563+Sens!E6565-Sens!E6567)+(Sens!E6560-Q!M5)+(Sens!E6567-Q!M12)+(Sens!E6548-Q!M6)+(Sens!E6553-Q!M7)</f>
        <v>0</v>
      </c>
      <c r="F6569" s="23" t="n">
        <f aca="false">(Sens!F6548+Sens!F6553+Sens!F6554+Sens!F6556+Sens!F6558-Sens!F6560)+(Sens!F6561+Sens!F6563+Sens!F6565-Sens!F6567)</f>
        <v>0</v>
      </c>
      <c r="G6569" s="23" t="n">
        <f aca="false">(Sens!G6548+Sens!G6553+Sens!G6554+Sens!G6556+Sens!G6558-Sens!G6560)+(Sens!G6561+Sens!G6563+Sens!G6565-Sens!G6567)</f>
        <v>0</v>
      </c>
      <c r="H6569" s="23" t="n">
        <f aca="false">(Sens!H6548+Sens!H6553+Sens!H6554+Sens!H6556+Sens!H6558-Sens!H6560)+(Sens!H6561+Sens!H6563+Sens!H6565-Sens!H6567)</f>
        <v>0</v>
      </c>
      <c r="I6569" s="23" t="n">
        <f aca="false">(Sens!I6548+Sens!I6553+Sens!I6554+Sens!I6556+Sens!I6558-Sens!I6560)+(Sens!I6561+Sens!I6563+Sens!I6565-Sens!I6567)</f>
        <v>0</v>
      </c>
      <c r="J6569" s="23" t="n">
        <f aca="false">(Sens!J6548+Sens!J6553+Sens!J6554+Sens!J6556+Sens!J6558-Sens!J6560)+(Sens!J6561+Sens!J6563+Sens!J6565-Sens!J6567)</f>
        <v>0</v>
      </c>
      <c r="K6569" s="23" t="n">
        <f aca="false">(Sens!K6548+Sens!K6553+Sens!K6554+Sens!K6556+Sens!K6558-Sens!K6560)+(Sens!K6561+Sens!K6563+Sens!K6565-Sens!K6567)</f>
        <v>0</v>
      </c>
    </row>
    <row r="6570" customFormat="false" ht="17.15" hidden="false" customHeight="false" outlineLevel="0" collapsed="false">
      <c r="A6570" s="3" t="s">
        <v>1301</v>
      </c>
    </row>
    <row r="6571" customFormat="false" ht="15" hidden="false" customHeight="false" outlineLevel="0" collapsed="false">
      <c r="A6571" s="4" t="s">
        <v>43</v>
      </c>
      <c r="B6571" s="4" t="s">
        <v>63</v>
      </c>
      <c r="C6571" s="19" t="s">
        <v>710</v>
      </c>
      <c r="D6571" s="19" t="s">
        <v>711</v>
      </c>
      <c r="E6571" s="19" t="s">
        <v>712</v>
      </c>
      <c r="F6571" s="19" t="s">
        <v>713</v>
      </c>
      <c r="G6571" s="19" t="s">
        <v>714</v>
      </c>
      <c r="H6571" s="19" t="s">
        <v>715</v>
      </c>
      <c r="I6571" s="19" t="s">
        <v>716</v>
      </c>
      <c r="J6571" s="19" t="s">
        <v>717</v>
      </c>
      <c r="K6571" s="19" t="s">
        <v>718</v>
      </c>
      <c r="L6571" s="4" t="s">
        <v>47</v>
      </c>
    </row>
    <row r="6572" customFormat="false" ht="15" hidden="false" customHeight="false" outlineLevel="0" collapsed="false">
      <c r="A6572" s="0" t="s">
        <v>783</v>
      </c>
      <c r="B6572" s="0" t="s">
        <v>95</v>
      </c>
      <c r="D6572" s="6" t="n">
        <f aca="false">Sens!D6548</f>
        <v>72.61</v>
      </c>
      <c r="E6572" s="6" t="n">
        <f aca="false">Sens!E6548</f>
        <v>101.938</v>
      </c>
      <c r="F6572" s="6" t="n">
        <f aca="false">Sens!F6548</f>
        <v>144.773313844656</v>
      </c>
      <c r="G6572" s="6" t="n">
        <f aca="false">Sens!G6548</f>
        <v>195.141494877701</v>
      </c>
      <c r="H6572" s="6" t="n">
        <f aca="false">Sens!H6548</f>
        <v>245.969294721068</v>
      </c>
      <c r="I6572" s="6" t="n">
        <f aca="false">Sens!I6548</f>
        <v>295.336457678308</v>
      </c>
      <c r="J6572" s="6" t="n">
        <f aca="false">Sens!J6548</f>
        <v>342.042062054255</v>
      </c>
      <c r="K6572" s="6" t="n">
        <f aca="false">Sens!K6548</f>
        <v>385.02809209175</v>
      </c>
    </row>
    <row r="6573" customFormat="false" ht="17.15" hidden="false" customHeight="false" outlineLevel="0" collapsed="false">
      <c r="A6573" s="0" t="s">
        <v>780</v>
      </c>
      <c r="B6573" s="0" t="s">
        <v>95</v>
      </c>
      <c r="D6573" s="6" t="n">
        <f aca="false">Sens!D6545</f>
        <v>12.9359794422418</v>
      </c>
      <c r="E6573" s="6" t="n">
        <f aca="false">Sens!E6545</f>
        <v>27.8095064661409</v>
      </c>
      <c r="F6573" s="6" t="n">
        <f aca="false">Sens!F6545</f>
        <v>55.0640065749585</v>
      </c>
      <c r="G6573" s="6" t="n">
        <f aca="false">Sens!G6545</f>
        <v>89.4505413190538</v>
      </c>
      <c r="H6573" s="6" t="n">
        <f aca="false">Sens!H6545</f>
        <v>124.835630736874</v>
      </c>
      <c r="I6573" s="6" t="n">
        <f aca="false">Sens!I6545</f>
        <v>160.384516075608</v>
      </c>
      <c r="J6573" s="6" t="n">
        <f aca="false">Sens!J6545</f>
        <v>196.019025664981</v>
      </c>
      <c r="K6573" s="6" t="n">
        <f aca="false">Sens!K6545</f>
        <v>231.703903883012</v>
      </c>
    </row>
    <row r="6574" customFormat="false" ht="17.15" hidden="false" customHeight="false" outlineLevel="0" collapsed="false">
      <c r="A6574" s="0" t="s">
        <v>807</v>
      </c>
      <c r="B6574" s="0" t="s">
        <v>95</v>
      </c>
      <c r="D6574" s="6" t="n">
        <f aca="false">Sens!D6546</f>
        <v>59.6740205577583</v>
      </c>
      <c r="E6574" s="6" t="n">
        <f aca="false">Sens!E6546</f>
        <v>74.1284935338591</v>
      </c>
      <c r="F6574" s="6" t="n">
        <f aca="false">Sens!F6546</f>
        <v>89.709307269697</v>
      </c>
      <c r="G6574" s="6" t="n">
        <f aca="false">Sens!G6546</f>
        <v>105.690953558647</v>
      </c>
      <c r="H6574" s="6" t="n">
        <f aca="false">Sens!H6546</f>
        <v>121.133663984194</v>
      </c>
      <c r="I6574" s="6" t="n">
        <f aca="false">Sens!I6546</f>
        <v>134.951941602699</v>
      </c>
      <c r="J6574" s="6" t="n">
        <f aca="false">Sens!J6546</f>
        <v>146.023036389274</v>
      </c>
      <c r="K6574" s="6" t="n">
        <f aca="false">Sens!K6546</f>
        <v>153.324188208738</v>
      </c>
    </row>
    <row r="6575" customFormat="false" ht="15" hidden="false" customHeight="false" outlineLevel="0" collapsed="false">
      <c r="A6575" s="0" t="s">
        <v>788</v>
      </c>
      <c r="B6575" s="0" t="s">
        <v>95</v>
      </c>
      <c r="D6575" s="6" t="n">
        <f aca="false">Sens!D6553</f>
        <v>84.605</v>
      </c>
      <c r="E6575" s="6" t="n">
        <f aca="false">Sens!E6553</f>
        <v>100.299</v>
      </c>
      <c r="F6575" s="6" t="n">
        <f aca="false">Sens!F6553</f>
        <v>118.89238776686</v>
      </c>
      <c r="G6575" s="6" t="n">
        <f aca="false">Sens!G6553</f>
        <v>137.044168448684</v>
      </c>
      <c r="H6575" s="6" t="n">
        <f aca="false">Sens!H6553</f>
        <v>155.277359388781</v>
      </c>
      <c r="I6575" s="6" t="n">
        <f aca="false">Sens!I6553</f>
        <v>171.834028071957</v>
      </c>
      <c r="J6575" s="6" t="n">
        <f aca="false">Sens!J6553</f>
        <v>186.432702785465</v>
      </c>
      <c r="K6575" s="6" t="n">
        <f aca="false">Sens!K6553</f>
        <v>200.277991980448</v>
      </c>
    </row>
    <row r="6576" customFormat="false" ht="17.15" hidden="false" customHeight="false" outlineLevel="0" collapsed="false">
      <c r="A6576" s="0" t="s">
        <v>808</v>
      </c>
      <c r="B6576" s="0" t="s">
        <v>95</v>
      </c>
      <c r="D6576" s="6" t="n">
        <f aca="false">Sens!D6551</f>
        <v>83.705</v>
      </c>
      <c r="E6576" s="6" t="n">
        <f aca="false">Sens!E6551</f>
        <v>95.049</v>
      </c>
      <c r="F6576" s="6" t="n">
        <f aca="false">Sens!F6551</f>
        <v>106.89238776686</v>
      </c>
      <c r="G6576" s="6" t="n">
        <f aca="false">Sens!G6551</f>
        <v>119.044168448684</v>
      </c>
      <c r="H6576" s="6" t="n">
        <f aca="false">Sens!H6551</f>
        <v>131.277359388781</v>
      </c>
      <c r="I6576" s="6" t="n">
        <f aca="false">Sens!I6551</f>
        <v>143.334028071957</v>
      </c>
      <c r="J6576" s="6" t="n">
        <f aca="false">Sens!J6551</f>
        <v>154.932702785465</v>
      </c>
      <c r="K6576" s="6" t="n">
        <f aca="false">Sens!K6551</f>
        <v>165.777991980448</v>
      </c>
    </row>
    <row r="6577" customFormat="false" ht="17.15" hidden="false" customHeight="false" outlineLevel="0" collapsed="false">
      <c r="A6577" s="0" t="s">
        <v>809</v>
      </c>
      <c r="B6577" s="0" t="s">
        <v>95</v>
      </c>
      <c r="D6577" s="6" t="n">
        <f aca="false">Sens!D6550</f>
        <v>0.9</v>
      </c>
      <c r="E6577" s="6" t="n">
        <f aca="false">Sens!E6550</f>
        <v>5.25</v>
      </c>
      <c r="F6577" s="6" t="n">
        <f aca="false">Sens!F6550</f>
        <v>12</v>
      </c>
      <c r="G6577" s="6" t="n">
        <f aca="false">Sens!G6550</f>
        <v>18</v>
      </c>
      <c r="H6577" s="6" t="n">
        <f aca="false">Sens!H6550</f>
        <v>24</v>
      </c>
      <c r="I6577" s="6" t="n">
        <f aca="false">Sens!I6550</f>
        <v>28.5</v>
      </c>
      <c r="J6577" s="6" t="n">
        <f aca="false">Sens!J6550</f>
        <v>31.5</v>
      </c>
      <c r="K6577" s="6" t="n">
        <f aca="false">Sens!K6550</f>
        <v>34.5</v>
      </c>
    </row>
    <row r="6578" customFormat="false" ht="15" hidden="false" customHeight="false" outlineLevel="0" collapsed="false">
      <c r="A6578" s="0" t="s">
        <v>789</v>
      </c>
      <c r="B6578" s="0" t="s">
        <v>95</v>
      </c>
      <c r="D6578" s="6" t="n">
        <f aca="false">Sens!D6554</f>
        <v>35.391</v>
      </c>
      <c r="E6578" s="6" t="n">
        <f aca="false">Sens!E6554</f>
        <v>37.285</v>
      </c>
      <c r="F6578" s="6" t="n">
        <f aca="false">Sens!F6554</f>
        <v>39.0720834331704</v>
      </c>
      <c r="G6578" s="6" t="n">
        <f aca="false">Sens!G6554</f>
        <v>40.726562953769</v>
      </c>
      <c r="H6578" s="6" t="n">
        <f aca="false">Sens!H6554</f>
        <v>42.2235987259198</v>
      </c>
      <c r="I6578" s="6" t="n">
        <f aca="false">Sens!I6554</f>
        <v>43.5397988077414</v>
      </c>
      <c r="J6578" s="6" t="n">
        <f aca="false">Sens!J6554</f>
        <v>44.653811225693</v>
      </c>
      <c r="K6578" s="6" t="n">
        <f aca="false">Sens!K6554</f>
        <v>45.5468874502068</v>
      </c>
    </row>
    <row r="6579" customFormat="false" ht="15" hidden="false" customHeight="false" outlineLevel="0" collapsed="false">
      <c r="A6579" s="0" t="s">
        <v>790</v>
      </c>
      <c r="B6579" s="0" t="s">
        <v>95</v>
      </c>
      <c r="D6579" s="6" t="n">
        <f aca="false">Sens!D6556</f>
        <v>18.417</v>
      </c>
      <c r="E6579" s="6" t="n">
        <f aca="false">Sens!E6556</f>
        <v>20.345</v>
      </c>
      <c r="F6579" s="6" t="n">
        <f aca="false">Sens!F6556</f>
        <v>22.3572203267814</v>
      </c>
      <c r="G6579" s="6" t="n">
        <f aca="false">Sens!G6556</f>
        <v>24.4392124437232</v>
      </c>
      <c r="H6579" s="6" t="n">
        <f aca="false">Sens!H6556</f>
        <v>26.5738052080665</v>
      </c>
      <c r="I6579" s="6" t="n">
        <f aca="false">Sens!I6556</f>
        <v>28.7412169166967</v>
      </c>
      <c r="J6579" s="6" t="n">
        <f aca="false">Sens!J6556</f>
        <v>30.9192545395413</v>
      </c>
      <c r="K6579" s="6" t="n">
        <f aca="false">Sens!K6556</f>
        <v>33.0836023573092</v>
      </c>
    </row>
    <row r="6580" customFormat="false" ht="15" hidden="false" customHeight="false" outlineLevel="0" collapsed="false">
      <c r="A6580" s="0" t="s">
        <v>791</v>
      </c>
      <c r="B6580" s="0" t="s">
        <v>95</v>
      </c>
      <c r="D6580" s="6" t="n">
        <f aca="false">Sens!D6558</f>
        <v>7.76</v>
      </c>
      <c r="E6580" s="6" t="n">
        <f aca="false">Sens!E6558</f>
        <v>8.26</v>
      </c>
      <c r="F6580" s="6" t="n">
        <f aca="false">Sens!F6558</f>
        <v>8.79988041237113</v>
      </c>
      <c r="G6580" s="6" t="n">
        <f aca="false">Sens!G6558</f>
        <v>9.38321269125306</v>
      </c>
      <c r="H6580" s="6" t="n">
        <f aca="false">Sens!H6558</f>
        <v>10.0139193587476</v>
      </c>
      <c r="I6580" s="6" t="n">
        <f aca="false">Sens!I6558</f>
        <v>10.6963111830911</v>
      </c>
      <c r="J6580" s="6" t="n">
        <f aca="false">Sens!J6558</f>
        <v>11.4351285534696</v>
      </c>
      <c r="K6580" s="6" t="n">
        <f aca="false">Sens!K6558</f>
        <v>12.2355875522124</v>
      </c>
    </row>
    <row r="6581" customFormat="false" ht="15" hidden="false" customHeight="false" outlineLevel="0" collapsed="false">
      <c r="A6581" s="0" t="s">
        <v>626</v>
      </c>
      <c r="B6581" s="0" t="s">
        <v>95</v>
      </c>
      <c r="D6581" s="6" t="n">
        <f aca="false">Sens!D6560</f>
        <v>218.783</v>
      </c>
      <c r="E6581" s="6" t="n">
        <f aca="false">Sens!E6560</f>
        <v>268.127</v>
      </c>
      <c r="F6581" s="6" t="n">
        <f aca="false">Sens!F6560</f>
        <v>333.894885783838</v>
      </c>
      <c r="G6581" s="6" t="n">
        <f aca="false">Sens!G6560</f>
        <v>406.73465141513</v>
      </c>
      <c r="H6581" s="6" t="n">
        <f aca="false">Sens!H6560</f>
        <v>480.057977402583</v>
      </c>
      <c r="I6581" s="6" t="n">
        <f aca="false">Sens!I6560</f>
        <v>550.147812657794</v>
      </c>
      <c r="J6581" s="6" t="n">
        <f aca="false">Sens!J6560</f>
        <v>615.482959158425</v>
      </c>
      <c r="K6581" s="6" t="n">
        <f aca="false">Sens!K6560</f>
        <v>676.172161431927</v>
      </c>
    </row>
    <row r="6582" customFormat="false" ht="15" hidden="false" customHeight="false" outlineLevel="0" collapsed="false">
      <c r="A6582" s="0" t="s">
        <v>792</v>
      </c>
      <c r="B6582" s="0" t="s">
        <v>95</v>
      </c>
      <c r="D6582" s="6" t="n">
        <f aca="false">Sens!D6561</f>
        <v>22.171</v>
      </c>
      <c r="E6582" s="6" t="n">
        <f aca="false">Sens!E6561</f>
        <v>24.835</v>
      </c>
      <c r="F6582" s="6" t="n">
        <f aca="false">Sens!F6561</f>
        <v>27.6114901218559</v>
      </c>
      <c r="G6582" s="6" t="n">
        <f aca="false">Sens!G6561</f>
        <v>30.4675667338515</v>
      </c>
      <c r="H6582" s="6" t="n">
        <f aca="false">Sens!H6561</f>
        <v>33.3643766955789</v>
      </c>
      <c r="I6582" s="6" t="n">
        <f aca="false">Sens!I6561</f>
        <v>36.2577016533691</v>
      </c>
      <c r="J6582" s="6" t="n">
        <f aca="false">Sens!J6561</f>
        <v>39.0988367952171</v>
      </c>
      <c r="K6582" s="6" t="n">
        <f aca="false">Sens!K6561</f>
        <v>41.8357553708823</v>
      </c>
    </row>
    <row r="6583" customFormat="false" ht="15" hidden="false" customHeight="false" outlineLevel="0" collapsed="false">
      <c r="A6583" s="0" t="s">
        <v>793</v>
      </c>
      <c r="B6583" s="0" t="s">
        <v>95</v>
      </c>
      <c r="D6583" s="6" t="n">
        <f aca="false">Sens!D6563</f>
        <v>23.455</v>
      </c>
      <c r="E6583" s="6" t="n">
        <f aca="false">Sens!E6563</f>
        <v>21.79</v>
      </c>
      <c r="F6583" s="6" t="n">
        <f aca="false">Sens!F6563</f>
        <v>20.5736277908051</v>
      </c>
      <c r="G6583" s="6" t="n">
        <f aca="false">Sens!G6563</f>
        <v>19.7371452817919</v>
      </c>
      <c r="H6583" s="6" t="n">
        <f aca="false">Sens!H6563</f>
        <v>19.2339764043138</v>
      </c>
      <c r="I6583" s="6" t="n">
        <f aca="false">Sens!I6563</f>
        <v>19.0353086852681</v>
      </c>
      <c r="J6583" s="6" t="n">
        <f aca="false">Sens!J6563</f>
        <v>19.1273539319129</v>
      </c>
      <c r="K6583" s="6" t="n">
        <f aca="false">Sens!K6563</f>
        <v>19.5099010105511</v>
      </c>
    </row>
    <row r="6584" customFormat="false" ht="15" hidden="false" customHeight="false" outlineLevel="0" collapsed="false">
      <c r="A6584" s="0" t="s">
        <v>794</v>
      </c>
      <c r="B6584" s="0" t="s">
        <v>95</v>
      </c>
      <c r="D6584" s="6" t="n">
        <f aca="false">Sens!D6565</f>
        <v>17.315</v>
      </c>
      <c r="E6584" s="6" t="n">
        <f aca="false">Sens!E6565</f>
        <v>17.087</v>
      </c>
      <c r="F6584" s="6" t="n">
        <f aca="false">Sens!F6565</f>
        <v>16.9564585436519</v>
      </c>
      <c r="G6584" s="6" t="n">
        <f aca="false">Sens!G6565</f>
        <v>16.9206490624268</v>
      </c>
      <c r="H6584" s="6" t="n">
        <f aca="false">Sens!H6565</f>
        <v>16.9784519149849</v>
      </c>
      <c r="I6584" s="6" t="n">
        <f aca="false">Sens!I6565</f>
        <v>17.1303084701817</v>
      </c>
      <c r="J6584" s="6" t="n">
        <f aca="false">Sens!J6565</f>
        <v>17.3782189407267</v>
      </c>
      <c r="K6584" s="6" t="n">
        <f aca="false">Sens!K6565</f>
        <v>17.7257833195413</v>
      </c>
    </row>
    <row r="6585" customFormat="false" ht="15" hidden="false" customHeight="false" outlineLevel="0" collapsed="false">
      <c r="A6585" s="0" t="s">
        <v>640</v>
      </c>
      <c r="B6585" s="0" t="s">
        <v>95</v>
      </c>
      <c r="D6585" s="6" t="n">
        <f aca="false">Sens!D6567</f>
        <v>62.941</v>
      </c>
      <c r="E6585" s="6" t="n">
        <f aca="false">Sens!E6567</f>
        <v>63.712</v>
      </c>
      <c r="F6585" s="6" t="n">
        <f aca="false">Sens!F6567</f>
        <v>65.1415764563129</v>
      </c>
      <c r="G6585" s="6" t="n">
        <f aca="false">Sens!G6567</f>
        <v>67.1253610780702</v>
      </c>
      <c r="H6585" s="6" t="n">
        <f aca="false">Sens!H6567</f>
        <v>69.5768050148776</v>
      </c>
      <c r="I6585" s="6" t="n">
        <f aca="false">Sens!I6567</f>
        <v>72.4233188088189</v>
      </c>
      <c r="J6585" s="6" t="n">
        <f aca="false">Sens!J6567</f>
        <v>75.6044096678567</v>
      </c>
      <c r="K6585" s="6" t="n">
        <f aca="false">Sens!K6567</f>
        <v>79.0714397009747</v>
      </c>
    </row>
    <row r="6586" customFormat="false" ht="15" hidden="false" customHeight="false" outlineLevel="0" collapsed="false">
      <c r="A6586" s="1" t="s">
        <v>810</v>
      </c>
      <c r="B6586" s="0" t="s">
        <v>95</v>
      </c>
      <c r="D6586" s="6" t="n">
        <f aca="false">Sens!D6568</f>
        <v>281.724</v>
      </c>
      <c r="E6586" s="6" t="n">
        <f aca="false">Sens!E6568</f>
        <v>331.839</v>
      </c>
      <c r="F6586" s="6" t="n">
        <f aca="false">Sens!F6568</f>
        <v>399.036462240151</v>
      </c>
      <c r="G6586" s="6" t="n">
        <f aca="false">Sens!G6568</f>
        <v>473.8600124932</v>
      </c>
      <c r="H6586" s="6" t="n">
        <f aca="false">Sens!H6568</f>
        <v>549.63478241746</v>
      </c>
      <c r="I6586" s="6" t="n">
        <f aca="false">Sens!I6568</f>
        <v>622.571131466613</v>
      </c>
      <c r="J6586" s="6" t="n">
        <f aca="false">Sens!J6568</f>
        <v>691.087368826281</v>
      </c>
      <c r="K6586" s="6" t="n">
        <f aca="false">Sens!K6568</f>
        <v>755.243601132902</v>
      </c>
    </row>
    <row r="6587" customFormat="false" ht="15" hidden="false" customHeight="false" outlineLevel="0" collapsed="false">
      <c r="A6587" s="1" t="s">
        <v>811</v>
      </c>
      <c r="B6587" s="0" t="s">
        <v>126</v>
      </c>
      <c r="E6587" s="7" t="n">
        <f aca="false">Sens!E6586/Sens!D6586-1</f>
        <v>0.177886867998467</v>
      </c>
      <c r="F6587" s="7" t="n">
        <f aca="false">Sens!F6586/Sens!E6586-1</f>
        <v>0.202500195095065</v>
      </c>
      <c r="G6587" s="7" t="n">
        <f aca="false">Sens!G6586/Sens!F6586-1</f>
        <v>0.187510559393487</v>
      </c>
      <c r="H6587" s="7" t="n">
        <f aca="false">Sens!H6586/Sens!G6586-1</f>
        <v>0.159909610278305</v>
      </c>
      <c r="I6587" s="7" t="n">
        <f aca="false">Sens!I6586/Sens!H6586-1</f>
        <v>0.132699660542508</v>
      </c>
      <c r="J6587" s="7" t="n">
        <f aca="false">Sens!J6586/Sens!I6586-1</f>
        <v>0.110053669206059</v>
      </c>
      <c r="K6587" s="7" t="n">
        <f aca="false">Sens!K6586/Sens!J6586-1</f>
        <v>0.0928337504063792</v>
      </c>
    </row>
    <row r="6588" customFormat="false" ht="17.15" hidden="false" customHeight="false" outlineLevel="0" collapsed="false">
      <c r="A6588" s="22" t="s">
        <v>812</v>
      </c>
      <c r="B6588" s="28" t="s">
        <v>95</v>
      </c>
      <c r="C6588" s="28"/>
      <c r="D6588" s="23" t="n">
        <f aca="false">(Sens!D6581+Sens!D6585-Sens!D6586)+(Sens!D6573+Sens!D6574-Sens!D6572)+(Sens!D6576+Sens!D6577-Sens!D6575)+(Sens!D6586-Q!L18)</f>
        <v>0</v>
      </c>
      <c r="E6588" s="23" t="n">
        <f aca="false">(Sens!E6581+Sens!E6585-Sens!E6586)+(Sens!E6573+Sens!E6574-Sens!E6572)+(Sens!E6576+Sens!E6577-Sens!E6575)+(Sens!E6586-Q!M18)</f>
        <v>0</v>
      </c>
      <c r="F6588" s="23" t="n">
        <f aca="false">(Sens!F6581+Sens!F6585-Sens!F6586)+(Sens!F6573+Sens!F6574-Sens!F6572)+(Sens!F6576+Sens!F6577-Sens!F6575)</f>
        <v>0</v>
      </c>
      <c r="G6588" s="23" t="n">
        <f aca="false">(Sens!G6581+Sens!G6585-Sens!G6586)+(Sens!G6573+Sens!G6574-Sens!G6572)+(Sens!G6576+Sens!G6577-Sens!G6575)</f>
        <v>0</v>
      </c>
      <c r="H6588" s="23" t="n">
        <f aca="false">(Sens!H6581+Sens!H6585-Sens!H6586)+(Sens!H6573+Sens!H6574-Sens!H6572)+(Sens!H6576+Sens!H6577-Sens!H6575)</f>
        <v>0</v>
      </c>
      <c r="I6588" s="23" t="n">
        <f aca="false">(Sens!I6581+Sens!I6585-Sens!I6586)+(Sens!I6573+Sens!I6574-Sens!I6572)+(Sens!I6576+Sens!I6577-Sens!I6575)</f>
        <v>0</v>
      </c>
      <c r="J6588" s="23" t="n">
        <f aca="false">(Sens!J6581+Sens!J6585-Sens!J6586)+(Sens!J6573+Sens!J6574-Sens!J6572)+(Sens!J6576+Sens!J6577-Sens!J6575)</f>
        <v>0</v>
      </c>
      <c r="K6588" s="23" t="n">
        <f aca="false">(Sens!K6581+Sens!K6585-Sens!K6586)+(Sens!K6573+Sens!K6574-Sens!K6572)+(Sens!K6576+Sens!K6577-Sens!K6575)</f>
        <v>0</v>
      </c>
    </row>
    <row r="6589" customFormat="false" ht="17.15" hidden="false" customHeight="false" outlineLevel="0" collapsed="false">
      <c r="A6589" s="0" t="s">
        <v>813</v>
      </c>
      <c r="B6589" s="0" t="s">
        <v>126</v>
      </c>
      <c r="E6589" s="7" t="n">
        <f aca="false">(Q!M21+Sens!E6526+Sens!E6527+Sens!E6528+Sens!E6541-Sens!E6524)/(Q!M5-Sens!E6524)</f>
        <v>0.570957350878296</v>
      </c>
      <c r="F6589" s="7" t="n">
        <f aca="false">Sens!$E$6589+dm_seg</f>
        <v>0.570957350878296</v>
      </c>
      <c r="G6589" s="7" t="n">
        <f aca="false">Sens!$E$6589+dm_seg</f>
        <v>0.570957350878296</v>
      </c>
      <c r="H6589" s="7" t="n">
        <f aca="false">Sens!$E$6589+dm_seg</f>
        <v>0.570957350878296</v>
      </c>
      <c r="I6589" s="7" t="n">
        <f aca="false">Sens!$E$6589+dm_seg</f>
        <v>0.570957350878296</v>
      </c>
      <c r="J6589" s="7" t="n">
        <f aca="false">Sens!$E$6589+dm_seg</f>
        <v>0.570957350878296</v>
      </c>
      <c r="K6589" s="7" t="n">
        <f aca="false">Sens!$E$6589+dm_seg</f>
        <v>0.570957350878296</v>
      </c>
      <c r="L6589" s="11" t="s">
        <v>814</v>
      </c>
    </row>
    <row r="6590" customFormat="false" ht="17.15" hidden="false" customHeight="false" outlineLevel="0" collapsed="false">
      <c r="A6590" s="0" t="s">
        <v>654</v>
      </c>
      <c r="B6590" s="0" t="s">
        <v>95</v>
      </c>
      <c r="D6590" s="6" t="n">
        <f aca="false">Q!L21</f>
        <v>110.814</v>
      </c>
      <c r="E6590" s="6" t="n">
        <f aca="false">Q!M21</f>
        <v>136.365</v>
      </c>
      <c r="F6590" s="6" t="n">
        <f aca="false">Sens!F6589*(Sens!F6560-Sens!F6524)+Sens!F6524-(Sens!F6526+Sens!F6527+Sens!F6528)-Sens!F6541</f>
        <v>157.380337504521</v>
      </c>
      <c r="G6590" s="6" t="n">
        <f aca="false">Sens!G6589*(Sens!G6560-Sens!G6524)+Sens!G6524-(Sens!G6526+Sens!G6527+Sens!G6528)-Sens!G6541</f>
        <v>176.404730350612</v>
      </c>
      <c r="H6590" s="6" t="n">
        <f aca="false">Sens!H6589*(Sens!H6560-Sens!H6524)+Sens!H6524-(Sens!H6526+Sens!H6527+Sens!H6528)-Sens!H6541</f>
        <v>195.018353764812</v>
      </c>
      <c r="I6590" s="6" t="n">
        <f aca="false">Sens!I6589*(Sens!I6560-Sens!I6524)+Sens!I6524-(Sens!I6526+Sens!I6527+Sens!I6528)-Sens!I6541</f>
        <v>210.805966183193</v>
      </c>
      <c r="J6590" s="6" t="n">
        <f aca="false">Sens!J6589*(Sens!J6560-Sens!J6524)+Sens!J6524-(Sens!J6526+Sens!J6527+Sens!J6528)-Sens!J6541</f>
        <v>222.927249935739</v>
      </c>
      <c r="K6590" s="6" t="n">
        <f aca="false">Sens!K6589*(Sens!K6560-Sens!K6524)+Sens!K6524-(Sens!K6526+Sens!K6527+Sens!K6528)-Sens!K6541</f>
        <v>231.120482680514</v>
      </c>
      <c r="L6590" s="1" t="s">
        <v>815</v>
      </c>
    </row>
    <row r="6591" customFormat="false" ht="17.15" hidden="false" customHeight="false" outlineLevel="0" collapsed="false">
      <c r="A6591" s="0" t="s">
        <v>816</v>
      </c>
      <c r="B6591" s="0" t="s">
        <v>126</v>
      </c>
      <c r="E6591" s="7" t="n">
        <f aca="false">Q!M22/Q!M12</f>
        <v>0.296207935710698</v>
      </c>
      <c r="F6591" s="7" t="n">
        <f aca="false">Sens!$E$6591+dm_seg</f>
        <v>0.296207935710698</v>
      </c>
      <c r="G6591" s="7" t="n">
        <f aca="false">Sens!$E$6591+dm_seg</f>
        <v>0.296207935710698</v>
      </c>
      <c r="H6591" s="7" t="n">
        <f aca="false">Sens!$E$6591+dm_seg</f>
        <v>0.296207935710698</v>
      </c>
      <c r="I6591" s="7" t="n">
        <f aca="false">Sens!$E$6591+dm_seg</f>
        <v>0.296207935710698</v>
      </c>
      <c r="J6591" s="7" t="n">
        <f aca="false">Sens!$E$6591+dm_seg</f>
        <v>0.296207935710698</v>
      </c>
      <c r="K6591" s="7" t="n">
        <f aca="false">Sens!$E$6591+dm_seg</f>
        <v>0.296207935710698</v>
      </c>
      <c r="L6591" s="11" t="s">
        <v>817</v>
      </c>
    </row>
    <row r="6592" customFormat="false" ht="17.15" hidden="false" customHeight="false" outlineLevel="0" collapsed="false">
      <c r="A6592" s="0" t="s">
        <v>656</v>
      </c>
      <c r="B6592" s="0" t="s">
        <v>95</v>
      </c>
      <c r="D6592" s="6" t="n">
        <f aca="false">Q!L22</f>
        <v>17.714</v>
      </c>
      <c r="E6592" s="6" t="n">
        <f aca="false">Q!M22</f>
        <v>18.872</v>
      </c>
      <c r="F6592" s="6" t="n">
        <f aca="false">Sens!F6567*Sens!F6591</f>
        <v>19.2954518910651</v>
      </c>
      <c r="G6592" s="6" t="n">
        <f aca="false">Sens!G6567*Sens!G6591</f>
        <v>19.8830646387704</v>
      </c>
      <c r="H6592" s="6" t="n">
        <f aca="false">Sens!H6567*Sens!H6591</f>
        <v>20.6092017868026</v>
      </c>
      <c r="I6592" s="6" t="n">
        <f aca="false">Sens!I6567*Sens!I6591</f>
        <v>21.452361761678</v>
      </c>
      <c r="J6592" s="6" t="n">
        <f aca="false">Sens!J6567*Sens!J6591</f>
        <v>22.3946261183418</v>
      </c>
      <c r="K6592" s="6" t="n">
        <f aca="false">Sens!K6567*Sens!K6591</f>
        <v>23.4215879274986</v>
      </c>
    </row>
    <row r="6593" customFormat="false" ht="15" hidden="false" customHeight="false" outlineLevel="0" collapsed="false">
      <c r="A6593" s="1" t="s">
        <v>818</v>
      </c>
      <c r="B6593" s="0" t="s">
        <v>95</v>
      </c>
      <c r="D6593" s="6" t="n">
        <f aca="false">Sens!D6590+Sens!D6592</f>
        <v>128.528</v>
      </c>
      <c r="E6593" s="6" t="n">
        <f aca="false">Sens!E6590+Sens!E6592</f>
        <v>155.237</v>
      </c>
      <c r="F6593" s="6" t="n">
        <f aca="false">Sens!F6590+Sens!F6592</f>
        <v>176.675789395586</v>
      </c>
      <c r="G6593" s="6" t="n">
        <f aca="false">Sens!G6590+Sens!G6592</f>
        <v>196.287794989383</v>
      </c>
      <c r="H6593" s="6" t="n">
        <f aca="false">Sens!H6590+Sens!H6592</f>
        <v>215.627555551615</v>
      </c>
      <c r="I6593" s="6" t="n">
        <f aca="false">Sens!I6590+Sens!I6592</f>
        <v>232.258327944871</v>
      </c>
      <c r="J6593" s="6" t="n">
        <f aca="false">Sens!J6590+Sens!J6592</f>
        <v>245.321876054081</v>
      </c>
      <c r="K6593" s="6" t="n">
        <f aca="false">Sens!K6590+Sens!K6592</f>
        <v>254.542070608013</v>
      </c>
    </row>
    <row r="6594" customFormat="false" ht="15" hidden="false" customHeight="false" outlineLevel="0" collapsed="false">
      <c r="A6594" s="22" t="s">
        <v>819</v>
      </c>
      <c r="B6594" s="28" t="s">
        <v>95</v>
      </c>
      <c r="C6594" s="28"/>
      <c r="D6594" s="23" t="n">
        <f aca="false">Sens!D6593-Q!L23</f>
        <v>0</v>
      </c>
      <c r="E6594" s="23" t="n">
        <f aca="false">Sens!E6593-Q!M23</f>
        <v>0</v>
      </c>
      <c r="F6594" s="28"/>
      <c r="G6594" s="28"/>
      <c r="H6594" s="28"/>
      <c r="I6594" s="28"/>
      <c r="J6594" s="28"/>
      <c r="K6594" s="28"/>
    </row>
    <row r="6595" customFormat="false" ht="15" hidden="false" customHeight="false" outlineLevel="0" collapsed="false">
      <c r="A6595" s="1" t="s">
        <v>820</v>
      </c>
      <c r="B6595" s="0" t="s">
        <v>126</v>
      </c>
      <c r="D6595" s="7" t="n">
        <f aca="false">Sens!D6593/Sens!D6586</f>
        <v>0.456219562408598</v>
      </c>
      <c r="E6595" s="7" t="n">
        <f aca="false">Sens!E6593/Sens!E6586</f>
        <v>0.467808184089272</v>
      </c>
      <c r="F6595" s="7" t="n">
        <f aca="false">Sens!F6593/Sens!F6586</f>
        <v>0.442756003809141</v>
      </c>
      <c r="G6595" s="7" t="n">
        <f aca="false">Sens!G6593/Sens!G6586</f>
        <v>0.414231608100081</v>
      </c>
      <c r="H6595" s="7" t="n">
        <f aca="false">Sens!H6593/Sens!H6586</f>
        <v>0.392310607787992</v>
      </c>
      <c r="I6595" s="7" t="n">
        <f aca="false">Sens!I6593/Sens!I6586</f>
        <v>0.373063118743929</v>
      </c>
      <c r="J6595" s="7" t="n">
        <f aca="false">Sens!J6593/Sens!J6586</f>
        <v>0.354979539664757</v>
      </c>
      <c r="K6595" s="7" t="n">
        <f aca="false">Sens!K6593/Sens!K6586</f>
        <v>0.337033071483409</v>
      </c>
    </row>
    <row r="6596" customFormat="false" ht="17.15" hidden="false" customHeight="false" outlineLevel="0" collapsed="false">
      <c r="A6596" s="1" t="s">
        <v>821</v>
      </c>
      <c r="B6596" s="0" t="s">
        <v>95</v>
      </c>
      <c r="E6596" s="6" t="n">
        <f aca="false">Sens!E6541</f>
        <v>16.3054059770833</v>
      </c>
      <c r="F6596" s="6" t="n">
        <f aca="false">Sens!F6541</f>
        <v>34.746712830331</v>
      </c>
      <c r="G6596" s="6" t="n">
        <f aca="false">Sens!G6541</f>
        <v>60.5190880092619</v>
      </c>
      <c r="H6596" s="6" t="n">
        <f aca="false">Sens!H6541</f>
        <v>87.7546707420619</v>
      </c>
      <c r="I6596" s="6" t="n">
        <f aca="false">Sens!I6541</f>
        <v>116.009536490045</v>
      </c>
      <c r="J6596" s="6" t="n">
        <f aca="false">Sens!J6541</f>
        <v>145.236632707195</v>
      </c>
      <c r="K6596" s="6" t="n">
        <f aca="false">Sens!K6541</f>
        <v>175.751277383512</v>
      </c>
    </row>
    <row r="6597" customFormat="false" ht="17.15" hidden="false" customHeight="false" outlineLevel="0" collapsed="false">
      <c r="A6597" s="1" t="s">
        <v>822</v>
      </c>
      <c r="B6597" s="0" t="s">
        <v>95</v>
      </c>
      <c r="E6597" s="6" t="n">
        <f aca="false">Sens!E6617</f>
        <v>22.2285940229167</v>
      </c>
      <c r="F6597" s="6" t="n">
        <f aca="false">Sens!F6617</f>
        <v>23.5562564942279</v>
      </c>
      <c r="G6597" s="6" t="n">
        <f aca="false">Sens!G6617</f>
        <v>25.2891707689507</v>
      </c>
      <c r="H6597" s="6" t="n">
        <f aca="false">Sens!H6617</f>
        <v>27.3786386844358</v>
      </c>
      <c r="I6597" s="6" t="n">
        <f aca="false">Sens!I6617</f>
        <v>29.7409796315735</v>
      </c>
      <c r="J6597" s="6" t="n">
        <f aca="false">Sens!J6617</f>
        <v>32.2750563749524</v>
      </c>
      <c r="K6597" s="6" t="n">
        <f aca="false">Sens!K6617</f>
        <v>34.8808972418417</v>
      </c>
    </row>
    <row r="6598" customFormat="false" ht="17.15" hidden="false" customHeight="false" outlineLevel="0" collapsed="false">
      <c r="A6598" s="1" t="s">
        <v>823</v>
      </c>
      <c r="B6598" s="0" t="s">
        <v>95</v>
      </c>
      <c r="D6598" s="6" t="n">
        <f aca="false">Q!L27</f>
        <v>-4.901</v>
      </c>
      <c r="E6598" s="6" t="n">
        <f aca="false">Q!M27</f>
        <v>10.697</v>
      </c>
      <c r="F6598" s="6" t="n">
        <f aca="false">oie_f</f>
        <v>-0.4</v>
      </c>
      <c r="G6598" s="6" t="n">
        <f aca="false">oie_f</f>
        <v>-0.4</v>
      </c>
      <c r="H6598" s="6" t="n">
        <f aca="false">oie_f</f>
        <v>-0.4</v>
      </c>
      <c r="I6598" s="6" t="n">
        <f aca="false">oie_f</f>
        <v>-0.4</v>
      </c>
      <c r="J6598" s="6" t="n">
        <f aca="false">oie_f</f>
        <v>-0.4</v>
      </c>
      <c r="K6598" s="6" t="n">
        <f aca="false">oie_f</f>
        <v>-0.4</v>
      </c>
      <c r="L6598" s="11" t="s">
        <v>824</v>
      </c>
    </row>
    <row r="6599" customFormat="false" ht="15" hidden="false" customHeight="false" outlineLevel="0" collapsed="false">
      <c r="A6599" s="1" t="s">
        <v>666</v>
      </c>
      <c r="B6599" s="0" t="s">
        <v>95</v>
      </c>
      <c r="D6599" s="6" t="n">
        <f aca="false">Sens!D6593+Sens!D6598</f>
        <v>123.627</v>
      </c>
      <c r="E6599" s="6" t="n">
        <f aca="false">Sens!E6593+Sens!E6598</f>
        <v>165.934</v>
      </c>
      <c r="F6599" s="6" t="n">
        <f aca="false">Sens!F6593+Sens!F6598</f>
        <v>176.275789395586</v>
      </c>
      <c r="G6599" s="6" t="n">
        <f aca="false">Sens!G6593+Sens!G6598</f>
        <v>195.887794989383</v>
      </c>
      <c r="H6599" s="6" t="n">
        <f aca="false">Sens!H6593+Sens!H6598</f>
        <v>215.227555551615</v>
      </c>
      <c r="I6599" s="6" t="n">
        <f aca="false">Sens!I6593+Sens!I6598</f>
        <v>231.858327944871</v>
      </c>
      <c r="J6599" s="6" t="n">
        <f aca="false">Sens!J6593+Sens!J6598</f>
        <v>244.921876054081</v>
      </c>
      <c r="K6599" s="6" t="n">
        <f aca="false">Sens!K6593+Sens!K6598</f>
        <v>254.142070608013</v>
      </c>
    </row>
    <row r="6600" customFormat="false" ht="15" hidden="false" customHeight="false" outlineLevel="0" collapsed="false">
      <c r="A6600" s="1" t="s">
        <v>668</v>
      </c>
      <c r="B6600" s="0" t="s">
        <v>95</v>
      </c>
      <c r="D6600" s="6" t="n">
        <f aca="false">Q!L29</f>
        <v>21.795</v>
      </c>
      <c r="E6600" s="6" t="n">
        <f aca="false">Q!M29</f>
        <v>32.185</v>
      </c>
      <c r="F6600" s="6" t="n">
        <f aca="false">Sens!F6599*tax_f</f>
        <v>35.2551578791173</v>
      </c>
      <c r="G6600" s="6" t="n">
        <f aca="false">Sens!G6599*tax_f</f>
        <v>39.1775589978765</v>
      </c>
      <c r="H6600" s="6" t="n">
        <f aca="false">Sens!H6599*tax_f</f>
        <v>43.0455111103229</v>
      </c>
      <c r="I6600" s="6" t="n">
        <f aca="false">Sens!I6599*tax_f</f>
        <v>46.3716655889743</v>
      </c>
      <c r="J6600" s="6" t="n">
        <f aca="false">Sens!J6599*tax_f</f>
        <v>48.9843752108162</v>
      </c>
      <c r="K6600" s="6" t="n">
        <f aca="false">Sens!K6599*tax_f</f>
        <v>50.8284141216026</v>
      </c>
    </row>
    <row r="6601" customFormat="false" ht="15" hidden="false" customHeight="false" outlineLevel="0" collapsed="false">
      <c r="A6601" s="1" t="s">
        <v>825</v>
      </c>
      <c r="B6601" s="0" t="s">
        <v>95</v>
      </c>
      <c r="D6601" s="6" t="n">
        <f aca="false">Sens!D6599-Sens!D6600</f>
        <v>101.832</v>
      </c>
      <c r="E6601" s="6" t="n">
        <f aca="false">Sens!E6599-Sens!E6600</f>
        <v>133.749</v>
      </c>
      <c r="F6601" s="6" t="n">
        <f aca="false">Sens!F6599-Sens!F6600</f>
        <v>141.020631516469</v>
      </c>
      <c r="G6601" s="6" t="n">
        <f aca="false">Sens!G6599-Sens!G6600</f>
        <v>156.710235991506</v>
      </c>
      <c r="H6601" s="6" t="n">
        <f aca="false">Sens!H6599-Sens!H6600</f>
        <v>172.182044441292</v>
      </c>
      <c r="I6601" s="6" t="n">
        <f aca="false">Sens!I6599-Sens!I6600</f>
        <v>185.486662355897</v>
      </c>
      <c r="J6601" s="6" t="n">
        <f aca="false">Sens!J6599-Sens!J6600</f>
        <v>195.937500843265</v>
      </c>
      <c r="K6601" s="6" t="n">
        <f aca="false">Sens!K6599-Sens!K6600</f>
        <v>203.31365648641</v>
      </c>
    </row>
    <row r="6602" customFormat="false" ht="17.15" hidden="false" customHeight="false" outlineLevel="0" collapsed="false">
      <c r="A6602" s="1" t="s">
        <v>826</v>
      </c>
      <c r="B6602" s="1" t="s">
        <v>79</v>
      </c>
      <c r="D6602" s="18" t="n">
        <f aca="false">Q!L31</f>
        <v>7.465</v>
      </c>
      <c r="E6602" s="18" t="n">
        <f aca="false">Q!M31</f>
        <v>7.453</v>
      </c>
      <c r="F6602" s="18" t="n">
        <f aca="false">Sens!F6639</f>
        <v>7.4735</v>
      </c>
      <c r="G6602" s="18" t="n">
        <f aca="false">Sens!G6639</f>
        <v>7.51831465424824</v>
      </c>
      <c r="H6602" s="18" t="n">
        <f aca="false">Sens!H6639</f>
        <v>7.54588089434643</v>
      </c>
      <c r="I6602" s="18" t="n">
        <f aca="false">Sens!I6639</f>
        <v>7.55766172635374</v>
      </c>
      <c r="J6602" s="18" t="n">
        <f aca="false">Sens!J6639</f>
        <v>7.57190323747162</v>
      </c>
      <c r="K6602" s="18" t="n">
        <f aca="false">Sens!K6639</f>
        <v>7.58842315517337</v>
      </c>
    </row>
    <row r="6603" customFormat="false" ht="17.15" hidden="false" customHeight="false" outlineLevel="0" collapsed="false">
      <c r="A6603" s="0" t="s">
        <v>827</v>
      </c>
      <c r="B6603" s="0" t="s">
        <v>73</v>
      </c>
      <c r="D6603" s="8" t="n">
        <f aca="false">Sens!D6601/Sens!D6602</f>
        <v>13.641259209645</v>
      </c>
      <c r="E6603" s="8" t="n">
        <f aca="false">Sens!E6601/Sens!E6602</f>
        <v>17.9456594659869</v>
      </c>
      <c r="F6603" s="8" t="n">
        <f aca="false">Sens!F6601/Sens!F6602</f>
        <v>18.8694228295269</v>
      </c>
      <c r="G6603" s="8" t="n">
        <f aca="false">Sens!G6601/Sens!G6602</f>
        <v>20.8437985370773</v>
      </c>
      <c r="H6603" s="8" t="n">
        <f aca="false">Sens!H6601/Sens!H6602</f>
        <v>22.8180177837547</v>
      </c>
      <c r="I6603" s="8" t="n">
        <f aca="false">Sens!I6601/Sens!I6602</f>
        <v>24.5428637946444</v>
      </c>
      <c r="J6603" s="8" t="n">
        <f aca="false">Sens!J6601/Sens!J6602</f>
        <v>25.8769155783205</v>
      </c>
      <c r="K6603" s="8" t="n">
        <f aca="false">Sens!K6601/Sens!K6602</f>
        <v>26.7926092587236</v>
      </c>
      <c r="L6603" s="1" t="s">
        <v>828</v>
      </c>
    </row>
    <row r="6604" customFormat="false" ht="17.15" hidden="false" customHeight="false" outlineLevel="0" collapsed="false">
      <c r="A6604" s="0" t="s">
        <v>829</v>
      </c>
      <c r="B6604" s="0" t="s">
        <v>126</v>
      </c>
      <c r="E6604" s="7" t="n">
        <f aca="false">Sens!E6603/Sens!D6603-1</f>
        <v>0.315542736208578</v>
      </c>
      <c r="F6604" s="7" t="n">
        <f aca="false">Sens!F6603/Sens!E6603-1</f>
        <v>0.0514755874695418</v>
      </c>
      <c r="G6604" s="7" t="n">
        <f aca="false">Sens!G6603/Sens!F6603-1</f>
        <v>0.104633603549384</v>
      </c>
      <c r="H6604" s="7" t="n">
        <f aca="false">Sens!H6603/Sens!G6603-1</f>
        <v>0.0947149457027061</v>
      </c>
      <c r="I6604" s="7" t="n">
        <f aca="false">Sens!I6603/Sens!H6603-1</f>
        <v>0.0755914044434531</v>
      </c>
      <c r="J6604" s="7" t="n">
        <f aca="false">Sens!J6603/Sens!I6603-1</f>
        <v>0.0543559950802155</v>
      </c>
      <c r="K6604" s="7" t="n">
        <f aca="false">Sens!K6603/Sens!J6603-1</f>
        <v>0.0353865080106464</v>
      </c>
    </row>
    <row r="6605" customFormat="false" ht="17.15" hidden="false" customHeight="false" outlineLevel="0" collapsed="false">
      <c r="A6605" s="0" t="s">
        <v>763</v>
      </c>
      <c r="B6605" s="0" t="s">
        <v>95</v>
      </c>
      <c r="E6605" s="6" t="n">
        <f aca="false">Sens!E6550</f>
        <v>5.25</v>
      </c>
      <c r="F6605" s="6" t="n">
        <f aca="false">Sens!F6550</f>
        <v>12</v>
      </c>
      <c r="G6605" s="6" t="n">
        <f aca="false">Sens!G6550</f>
        <v>18</v>
      </c>
      <c r="H6605" s="6" t="n">
        <f aca="false">Sens!H6550</f>
        <v>24</v>
      </c>
      <c r="I6605" s="6" t="n">
        <f aca="false">Sens!I6550</f>
        <v>28.5</v>
      </c>
      <c r="J6605" s="6" t="n">
        <f aca="false">Sens!J6550</f>
        <v>31.5</v>
      </c>
      <c r="K6605" s="6" t="n">
        <f aca="false">Sens!K6550</f>
        <v>34.5</v>
      </c>
    </row>
    <row r="6606" customFormat="false" ht="17.15" hidden="false" customHeight="false" outlineLevel="0" collapsed="false">
      <c r="A6606" s="0" t="s">
        <v>764</v>
      </c>
      <c r="B6606" s="0" t="s">
        <v>95</v>
      </c>
      <c r="E6606" s="6" t="n">
        <f aca="false">Sens!E6530+Sens!E6605*Sens!E6589-Sens!E6531-Sens!E6541</f>
        <v>2.1514866143068</v>
      </c>
      <c r="F6606" s="6" t="n">
        <f aca="false">Sens!F6530+Sens!F6605*Sens!F6589-Sens!F6531-Sens!F6541</f>
        <v>5.03128557889268</v>
      </c>
      <c r="G6606" s="6" t="n">
        <f aca="false">Sens!G6530+Sens!G6605*Sens!G6589-Sens!G6531-Sens!G6541</f>
        <v>5.52626769018841</v>
      </c>
      <c r="H6606" s="6" t="n">
        <f aca="false">Sens!H6530+Sens!H6605*Sens!H6589-Sens!H6531-Sens!H6541</f>
        <v>5.9045201608662</v>
      </c>
      <c r="I6606" s="6" t="n">
        <f aca="false">Sens!I6530+Sens!I6605*Sens!I6589-Sens!I6531-Sens!I6541</f>
        <v>4.5400313970686</v>
      </c>
      <c r="J6606" s="6" t="n">
        <f aca="false">Sens!J6530+Sens!J6605*Sens!J6589-Sens!J6531-Sens!J6541</f>
        <v>1.41639023199949</v>
      </c>
      <c r="K6606" s="6" t="n">
        <f aca="false">Sens!K6530+Sens!K6605*Sens!K6589-Sens!K6531-Sens!K6541</f>
        <v>-2.95390759380516</v>
      </c>
    </row>
    <row r="6607" customFormat="false" ht="17.15" hidden="false" customHeight="false" outlineLevel="0" collapsed="false">
      <c r="A6607" s="0" t="s">
        <v>765</v>
      </c>
      <c r="B6607" s="0" t="s">
        <v>95</v>
      </c>
      <c r="E6607" s="6" t="n">
        <f aca="false">Sens!E6513*(cxit_open+self_build*tk_cxfac)/1000*ai_net_open</f>
        <v>126.6980382</v>
      </c>
      <c r="F6607" s="6" t="n">
        <f aca="false">Sens!E6607+Sens!F6538-Sens!F6541</f>
        <v>260.64610663364</v>
      </c>
      <c r="G6607" s="6" t="n">
        <f aca="false">Sens!F6607+Sens!G6538-Sens!G6541</f>
        <v>383.701199107579</v>
      </c>
      <c r="H6607" s="6" t="n">
        <f aca="false">Sens!G6607+Sens!H6538-Sens!H6541</f>
        <v>484.026814275917</v>
      </c>
      <c r="I6607" s="6" t="n">
        <f aca="false">Sens!H6607+Sens!I6538-Sens!I6541</f>
        <v>586.356239042938</v>
      </c>
      <c r="J6607" s="6" t="n">
        <f aca="false">Sens!I6607+Sens!J6538-Sens!J6541</f>
        <v>674.896667259476</v>
      </c>
      <c r="K6607" s="6" t="n">
        <f aca="false">Sens!J6607+Sens!K6538-Sens!K6541</f>
        <v>778.001701826364</v>
      </c>
      <c r="L6607" s="1" t="s">
        <v>766</v>
      </c>
    </row>
    <row r="6608" customFormat="false" ht="17.15" hidden="false" customHeight="false" outlineLevel="0" collapsed="false">
      <c r="A6608" s="0" t="s">
        <v>767</v>
      </c>
      <c r="B6608" s="0" t="s">
        <v>126</v>
      </c>
      <c r="F6608" s="7" t="n">
        <f aca="false">Sens!F6606*(1-tax_f)/((Sens!E6607+Sens!F6607)/2)</f>
        <v>0.0207826993994854</v>
      </c>
      <c r="G6608" s="7" t="n">
        <f aca="false">Sens!G6606*(1-tax_f)/((Sens!F6607+Sens!G6607)/2)</f>
        <v>0.0137224571679245</v>
      </c>
      <c r="H6608" s="7" t="n">
        <f aca="false">Sens!H6606*(1-tax_f)/((Sens!G6607+Sens!H6607)/2)</f>
        <v>0.010887319657399</v>
      </c>
      <c r="I6608" s="7" t="n">
        <f aca="false">Sens!I6606*(1-tax_f)/((Sens!H6607+Sens!I6607)/2)</f>
        <v>0.0067864025058942</v>
      </c>
      <c r="J6608" s="7" t="n">
        <f aca="false">Sens!J6606*(1-tax_f)/((Sens!I6607+Sens!J6607)/2)</f>
        <v>0.00179680408257137</v>
      </c>
      <c r="K6608" s="7" t="n">
        <f aca="false">Sens!K6606*(1-tax_f)/((Sens!J6607+Sens!K6607)/2)</f>
        <v>-0.00325298193641858</v>
      </c>
    </row>
    <row r="6609" customFormat="false" ht="17.15" hidden="false" customHeight="false" outlineLevel="0" collapsed="false">
      <c r="A6609" s="1" t="s">
        <v>768</v>
      </c>
      <c r="B6609" s="0" t="s">
        <v>126</v>
      </c>
      <c r="F6609" s="7" t="n">
        <f aca="false">Sens!F6542*(1-tax_f)/(Sens!F6529*(Sens!E6607+Sens!F6607)/2)</f>
        <v>0.128130076224515</v>
      </c>
      <c r="G6609" s="7" t="n">
        <f aca="false">Sens!G6542*(1-tax_f)/(Sens!G6529*(Sens!F6607+Sens!G6607)/2)</f>
        <v>0.125155286009248</v>
      </c>
      <c r="H6609" s="7" t="n">
        <f aca="false">Sens!H6542*(1-tax_f)/(Sens!H6529*(Sens!G6607+Sens!H6607)/2)</f>
        <v>0.130814700404082</v>
      </c>
      <c r="I6609" s="7" t="n">
        <f aca="false">Sens!I6542*(1-tax_f)/(Sens!I6529*(Sens!H6607+Sens!I6607)/2)</f>
        <v>0.13559287559025</v>
      </c>
      <c r="J6609" s="7" t="n">
        <f aca="false">Sens!J6542*(1-tax_f)/(Sens!J6529*(Sens!I6607+Sens!J6607)/2)</f>
        <v>0.139074437584834</v>
      </c>
      <c r="K6609" s="7" t="n">
        <f aca="false">Sens!K6542*(1-tax_f)/(Sens!K6529*(Sens!J6607+Sens!K6607)/2)</f>
        <v>0.140229241924312</v>
      </c>
    </row>
    <row r="6610" customFormat="false" ht="17.15" hidden="false" customHeight="false" outlineLevel="0" collapsed="false">
      <c r="A6610" s="0" t="s">
        <v>769</v>
      </c>
      <c r="B6610" s="0" t="s">
        <v>208</v>
      </c>
      <c r="F6610" s="7" t="n">
        <f aca="false">Sens!F6608-wacc</f>
        <v>-0.0881805217507686</v>
      </c>
      <c r="G6610" s="7" t="n">
        <f aca="false">Sens!G6608-wacc</f>
        <v>-0.0952407639823295</v>
      </c>
      <c r="H6610" s="7" t="n">
        <f aca="false">Sens!H6608-wacc</f>
        <v>-0.098075901492855</v>
      </c>
      <c r="I6610" s="7" t="n">
        <f aca="false">Sens!I6608-wacc</f>
        <v>-0.10217681864436</v>
      </c>
      <c r="J6610" s="7" t="n">
        <f aca="false">Sens!J6608-wacc</f>
        <v>-0.107166417067683</v>
      </c>
      <c r="K6610" s="7" t="n">
        <f aca="false">Sens!K6608-wacc</f>
        <v>-0.112216203086673</v>
      </c>
    </row>
    <row r="6611" customFormat="false" ht="17.15" hidden="false" customHeight="false" outlineLevel="0" collapsed="false">
      <c r="A6611" s="0" t="s">
        <v>770</v>
      </c>
      <c r="B6611" s="0" t="s">
        <v>95</v>
      </c>
      <c r="F6611" s="6" t="n">
        <f aca="false">Sens!F6606*(1-tax_f)-wacc*(Sens!E6607+Sens!F6607)/2</f>
        <v>-17.0781043942678</v>
      </c>
      <c r="G6611" s="6" t="n">
        <f aca="false">Sens!G6606*(1-tax_f)-wacc*(Sens!F6607+Sens!G6607)/2</f>
        <v>-30.6840648343747</v>
      </c>
      <c r="H6611" s="6" t="n">
        <f aca="false">Sens!H6606*(1-tax_f)-wacc*(Sens!G6607+Sens!H6607)/2</f>
        <v>-42.5516035815952</v>
      </c>
      <c r="I6611" s="6" t="n">
        <f aca="false">Sens!I6606*(1-tax_f)-wacc*(Sens!H6607+Sens!I6607)/2</f>
        <v>-54.6841675594784</v>
      </c>
      <c r="J6611" s="6" t="n">
        <f aca="false">Sens!J6606*(1-tax_f)-wacc*(Sens!I6607+Sens!J6607)/2</f>
        <v>-67.5819774923157</v>
      </c>
      <c r="K6611" s="6" t="n">
        <f aca="false">Sens!K6606*(1-tax_f)-wacc*(Sens!J6607+Sens!K6607)/2</f>
        <v>-81.519369224816</v>
      </c>
    </row>
    <row r="6612" customFormat="false" ht="17.15" hidden="false" customHeight="false" outlineLevel="0" collapsed="false">
      <c r="A6612" s="1" t="s">
        <v>771</v>
      </c>
      <c r="B6612" s="0" t="s">
        <v>95</v>
      </c>
      <c r="F6612" s="6" t="n">
        <f aca="false">(Sens!E6514+Sens!F6514)/2*Sens!F6521/1000</f>
        <v>26.7873066765967</v>
      </c>
      <c r="G6612" s="6" t="n">
        <f aca="false">(Sens!F6514+Sens!G6514)/2*Sens!G6521/1000</f>
        <v>45.4131817597218</v>
      </c>
      <c r="H6612" s="6" t="n">
        <f aca="false">(Sens!G6514+Sens!H6514)/2*Sens!H6521/1000</f>
        <v>65.3915129357971</v>
      </c>
      <c r="I6612" s="6" t="n">
        <f aca="false">(Sens!H6514+Sens!I6514)/2*Sens!I6521/1000</f>
        <v>85.5187419289299</v>
      </c>
      <c r="J6612" s="6" t="n">
        <f aca="false">(Sens!I6514+Sens!J6514)/2*Sens!J6521/1000</f>
        <v>105.723807195006</v>
      </c>
      <c r="K6612" s="6" t="n">
        <f aca="false">(Sens!J6514+Sens!K6514)/2*Sens!K6521/1000</f>
        <v>125.974659797015</v>
      </c>
      <c r="L6612" s="1" t="s">
        <v>772</v>
      </c>
    </row>
    <row r="6613" customFormat="false" ht="17.15" hidden="false" customHeight="false" outlineLevel="0" collapsed="false">
      <c r="A6613" s="1" t="s">
        <v>773</v>
      </c>
      <c r="B6613" s="0" t="s">
        <v>126</v>
      </c>
      <c r="F6613" s="7" t="n">
        <f aca="false">(Sens!F6530+Sens!F6612-Sens!F6531-Sens!F6541)*(1-tax_f)/((Sens!E6607+Sens!F6607)/2)</f>
        <v>0.103131458174169</v>
      </c>
      <c r="G6613" s="7" t="n">
        <f aca="false">(Sens!G6530+Sens!G6612-Sens!G6531-Sens!G6541)*(1-tax_f)/((Sens!F6607+Sens!G6607)/2)</f>
        <v>0.100969689536795</v>
      </c>
      <c r="H6613" s="7" t="n">
        <f aca="false">(Sens!H6530+Sens!H6612-Sens!H6531-Sens!H6541)*(1-tax_f)/((Sens!G6607+Sens!H6607)/2)</f>
        <v>0.106195592696866</v>
      </c>
      <c r="I6613" s="7" t="n">
        <f aca="false">(Sens!I6530+Sens!I6612-Sens!I6531-Sens!I6541)*(1-tax_f)/((Sens!H6607+Sens!I6607)/2)</f>
        <v>0.110295451479256</v>
      </c>
      <c r="J6613" s="7" t="n">
        <f aca="false">(Sens!J6530+Sens!J6612-Sens!J6531-Sens!J6541)*(1-tax_f)/((Sens!I6607+Sens!J6607)/2)</f>
        <v>0.113100286775267</v>
      </c>
      <c r="K6613" s="7" t="n">
        <f aca="false">(Sens!K6530+Sens!K6612-Sens!K6531-Sens!K6541)*(1-tax_f)/((Sens!J6607+Sens!K6607)/2)</f>
        <v>0.113783841508935</v>
      </c>
      <c r="L6613" s="1" t="s">
        <v>774</v>
      </c>
    </row>
    <row r="6614" customFormat="false" ht="17.15" hidden="false" customHeight="false" outlineLevel="0" collapsed="false">
      <c r="A6614" s="3" t="s">
        <v>1302</v>
      </c>
    </row>
    <row r="6615" customFormat="false" ht="15" hidden="false" customHeight="false" outlineLevel="0" collapsed="false">
      <c r="A6615" s="4" t="s">
        <v>43</v>
      </c>
      <c r="B6615" s="4" t="s">
        <v>63</v>
      </c>
      <c r="C6615" s="19" t="s">
        <v>710</v>
      </c>
      <c r="D6615" s="19" t="s">
        <v>711</v>
      </c>
      <c r="E6615" s="19" t="s">
        <v>712</v>
      </c>
      <c r="F6615" s="19" t="s">
        <v>713</v>
      </c>
      <c r="G6615" s="19" t="s">
        <v>714</v>
      </c>
      <c r="H6615" s="19" t="s">
        <v>715</v>
      </c>
      <c r="I6615" s="19" t="s">
        <v>716</v>
      </c>
      <c r="J6615" s="19" t="s">
        <v>717</v>
      </c>
      <c r="K6615" s="19" t="s">
        <v>718</v>
      </c>
      <c r="L6615" s="4" t="s">
        <v>47</v>
      </c>
    </row>
    <row r="6616" customFormat="false" ht="15" hidden="false" customHeight="false" outlineLevel="0" collapsed="false">
      <c r="A6616" s="1" t="s">
        <v>825</v>
      </c>
      <c r="B6616" s="0" t="s">
        <v>95</v>
      </c>
      <c r="F6616" s="6" t="n">
        <f aca="false">Sens!F6601</f>
        <v>141.020631516469</v>
      </c>
      <c r="G6616" s="6" t="n">
        <f aca="false">Sens!G6601</f>
        <v>156.710235991506</v>
      </c>
      <c r="H6616" s="6" t="n">
        <f aca="false">Sens!H6601</f>
        <v>172.182044441292</v>
      </c>
      <c r="I6616" s="6" t="n">
        <f aca="false">Sens!I6601</f>
        <v>185.486662355897</v>
      </c>
      <c r="J6616" s="6" t="n">
        <f aca="false">Sens!J6601</f>
        <v>195.937500843265</v>
      </c>
      <c r="K6616" s="6" t="n">
        <f aca="false">Sens!K6601</f>
        <v>203.31365648641</v>
      </c>
    </row>
    <row r="6617" customFormat="false" ht="17.15" hidden="false" customHeight="false" outlineLevel="0" collapsed="false">
      <c r="A6617" s="1" t="s">
        <v>843</v>
      </c>
      <c r="B6617" s="0" t="s">
        <v>95</v>
      </c>
      <c r="E6617" s="6" t="n">
        <f aca="false">Q!M38-Sens!E6541</f>
        <v>22.2285940229167</v>
      </c>
      <c r="F6617" s="6" t="n">
        <f aca="false">Sens!E6617*(1-1/life_nonai)+Sens!F6623/life_nonai</f>
        <v>23.5562564942279</v>
      </c>
      <c r="G6617" s="6" t="n">
        <f aca="false">Sens!F6617*(1-1/life_nonai)+Sens!G6623/life_nonai</f>
        <v>25.2891707689507</v>
      </c>
      <c r="H6617" s="6" t="n">
        <f aca="false">Sens!G6617*(1-1/life_nonai)+Sens!H6623/life_nonai</f>
        <v>27.3786386844358</v>
      </c>
      <c r="I6617" s="6" t="n">
        <f aca="false">Sens!H6617*(1-1/life_nonai)+Sens!I6623/life_nonai</f>
        <v>29.7409796315735</v>
      </c>
      <c r="J6617" s="6" t="n">
        <f aca="false">Sens!I6617*(1-1/life_nonai)+Sens!J6623/life_nonai</f>
        <v>32.2750563749524</v>
      </c>
      <c r="K6617" s="6" t="n">
        <f aca="false">Sens!J6617*(1-1/life_nonai)+Sens!K6623/life_nonai</f>
        <v>34.8808972418417</v>
      </c>
      <c r="L6617" s="11" t="s">
        <v>844</v>
      </c>
    </row>
    <row r="6618" customFormat="false" ht="17.15" hidden="false" customHeight="false" outlineLevel="0" collapsed="false">
      <c r="A6618" s="1" t="s">
        <v>845</v>
      </c>
      <c r="B6618" s="0" t="s">
        <v>95</v>
      </c>
      <c r="E6618" s="6" t="n">
        <f aca="false">Sens!E6541+Sens!E6617</f>
        <v>38.534</v>
      </c>
      <c r="F6618" s="6" t="n">
        <f aca="false">Sens!F6541+Sens!F6617</f>
        <v>58.3029693245588</v>
      </c>
      <c r="G6618" s="6" t="n">
        <f aca="false">Sens!G6541+Sens!G6617</f>
        <v>85.8082587782127</v>
      </c>
      <c r="H6618" s="6" t="n">
        <f aca="false">Sens!H6541+Sens!H6617</f>
        <v>115.133309426498</v>
      </c>
      <c r="I6618" s="6" t="n">
        <f aca="false">Sens!I6541+Sens!I6617</f>
        <v>145.750516121619</v>
      </c>
      <c r="J6618" s="6" t="n">
        <f aca="false">Sens!J6541+Sens!J6617</f>
        <v>177.511689082148</v>
      </c>
      <c r="K6618" s="6" t="n">
        <f aca="false">Sens!K6541+Sens!K6617</f>
        <v>210.632174625354</v>
      </c>
    </row>
    <row r="6619" customFormat="false" ht="15" hidden="false" customHeight="false" outlineLevel="0" collapsed="false">
      <c r="A6619" s="1" t="s">
        <v>685</v>
      </c>
      <c r="B6619" s="0" t="s">
        <v>95</v>
      </c>
      <c r="F6619" s="6" t="n">
        <f aca="false">Sens!F6568*sbc_r</f>
        <v>14.9170149201543</v>
      </c>
      <c r="G6619" s="6" t="n">
        <f aca="false">Sens!G6568*sbc_r</f>
        <v>17.7141127323134</v>
      </c>
      <c r="H6619" s="6" t="n">
        <f aca="false">Sens!H6568*sbc_r</f>
        <v>20.5467695957636</v>
      </c>
      <c r="I6619" s="6" t="n">
        <f aca="false">Sens!I6568*sbc_r</f>
        <v>23.2733189463665</v>
      </c>
      <c r="J6619" s="6" t="n">
        <f aca="false">Sens!J6568*sbc_r</f>
        <v>25.8346330910171</v>
      </c>
      <c r="K6619" s="6" t="n">
        <f aca="false">Sens!K6568*sbc_r</f>
        <v>28.2329589712289</v>
      </c>
    </row>
    <row r="6620" customFormat="false" ht="17.15" hidden="false" customHeight="false" outlineLevel="0" collapsed="false">
      <c r="A6620" s="1" t="s">
        <v>846</v>
      </c>
      <c r="B6620" s="0" t="s">
        <v>95</v>
      </c>
      <c r="F6620" s="6" t="n">
        <f aca="false">wc27</f>
        <v>-4.895</v>
      </c>
      <c r="G6620" s="6" t="n">
        <f aca="false">0</f>
        <v>0</v>
      </c>
      <c r="H6620" s="6" t="n">
        <f aca="false">0</f>
        <v>0</v>
      </c>
      <c r="I6620" s="6" t="n">
        <f aca="false">0</f>
        <v>0</v>
      </c>
      <c r="J6620" s="6" t="n">
        <f aca="false">0</f>
        <v>0</v>
      </c>
      <c r="K6620" s="6" t="n">
        <f aca="false">0</f>
        <v>0</v>
      </c>
      <c r="L6620" s="11" t="s">
        <v>847</v>
      </c>
    </row>
    <row r="6621" customFormat="false" ht="15" hidden="false" customHeight="false" outlineLevel="0" collapsed="false">
      <c r="A6621" s="1" t="s">
        <v>678</v>
      </c>
      <c r="B6621" s="0" t="s">
        <v>95</v>
      </c>
      <c r="E6621" s="6" t="n">
        <f aca="false">Q!M35</f>
        <v>182.935</v>
      </c>
      <c r="F6621" s="6" t="n">
        <f aca="false">Sens!F6616+Sens!F6618+Sens!F6619+Sens!F6620</f>
        <v>209.345615761182</v>
      </c>
      <c r="G6621" s="6" t="n">
        <f aca="false">Sens!G6616+Sens!G6618+Sens!G6619+Sens!G6620</f>
        <v>260.232607502032</v>
      </c>
      <c r="H6621" s="6" t="n">
        <f aca="false">Sens!H6616+Sens!H6618+Sens!H6619+Sens!H6620</f>
        <v>307.862123463553</v>
      </c>
      <c r="I6621" s="6" t="n">
        <f aca="false">Sens!I6616+Sens!I6618+Sens!I6619+Sens!I6620</f>
        <v>354.510497423882</v>
      </c>
      <c r="J6621" s="6" t="n">
        <f aca="false">Sens!J6616+Sens!J6618+Sens!J6619+Sens!J6620</f>
        <v>399.28382301643</v>
      </c>
      <c r="K6621" s="6" t="n">
        <f aca="false">Sens!K6616+Sens!K6618+Sens!K6619+Sens!K6620</f>
        <v>442.178790082993</v>
      </c>
    </row>
    <row r="6622" customFormat="false" ht="17.15" hidden="false" customHeight="false" outlineLevel="0" collapsed="false">
      <c r="A6622" s="0" t="s">
        <v>848</v>
      </c>
      <c r="B6622" s="0" t="s">
        <v>95</v>
      </c>
      <c r="F6622" s="6" t="n">
        <f aca="false">Sens!F6538</f>
        <v>168.694781263971</v>
      </c>
      <c r="G6622" s="6" t="n">
        <f aca="false">Sens!G6538</f>
        <v>183.5741804832</v>
      </c>
      <c r="H6622" s="6" t="n">
        <f aca="false">Sens!H6538</f>
        <v>188.0802859104</v>
      </c>
      <c r="I6622" s="6" t="n">
        <f aca="false">Sens!I6538</f>
        <v>218.338961257067</v>
      </c>
      <c r="J6622" s="6" t="n">
        <f aca="false">Sens!J6538</f>
        <v>233.777060923733</v>
      </c>
      <c r="K6622" s="6" t="n">
        <f aca="false">Sens!K6538</f>
        <v>278.8563119504</v>
      </c>
    </row>
    <row r="6623" customFormat="false" ht="17.15" hidden="false" customHeight="false" outlineLevel="0" collapsed="false">
      <c r="A6623" s="1" t="s">
        <v>849</v>
      </c>
      <c r="B6623" s="0" t="s">
        <v>95</v>
      </c>
      <c r="E6623" s="6" t="n">
        <f aca="false">Sens!E6546*cx_azo+Sens!E6553*cx_m365+Sens!E6554*cx_lic+(Sens!E6556+Sens!E6558)*cx_ind+Sens!E6561*cx_srch+(Sens!E6563+Sens!E6565)*cx_dev</f>
        <v>30.1846587067718</v>
      </c>
      <c r="F6623" s="6" t="n">
        <f aca="false">Sens!F6546*cx_azo+Sens!F6553*cx_m365+Sens!F6554*cx_lic+(Sens!F6556+Sens!F6558)*cx_ind+Sens!F6561*cx_srch+(Sens!F6563+Sens!F6565)*cx_dev</f>
        <v>35.5052187360286</v>
      </c>
      <c r="G6623" s="6" t="n">
        <f aca="false">Sens!G6546*cx_azo+Sens!G6553*cx_m365+Sens!G6554*cx_lic+(Sens!G6556+Sens!G6558)*cx_ind+Sens!G6561*cx_srch+(Sens!G6563+Sens!G6565)*cx_dev</f>
        <v>40.8853992414566</v>
      </c>
      <c r="H6623" s="6" t="n">
        <f aca="false">Sens!H6546*cx_azo+Sens!H6553*cx_m365+Sens!H6554*cx_lic+(Sens!H6556+Sens!H6558)*cx_ind+Sens!H6561*cx_srch+(Sens!H6563+Sens!H6565)*cx_dev</f>
        <v>46.1838499238012</v>
      </c>
      <c r="I6623" s="6" t="n">
        <f aca="false">Sens!I6546*cx_azo+Sens!I6553*cx_m365+Sens!I6554*cx_lic+(Sens!I6556+Sens!I6558)*cx_ind+Sens!I6561*cx_srch+(Sens!I6563+Sens!I6565)*cx_dev</f>
        <v>51.0020481558128</v>
      </c>
      <c r="J6623" s="6" t="n">
        <f aca="false">Sens!J6546*cx_azo+Sens!J6553*cx_m365+Sens!J6554*cx_lic+(Sens!J6556+Sens!J6558)*cx_ind+Sens!J6561*cx_srch+(Sens!J6563+Sens!J6565)*cx_dev</f>
        <v>55.0817470653624</v>
      </c>
      <c r="K6623" s="6" t="n">
        <f aca="false">Sens!K6546*cx_azo+Sens!K6553*cx_m365+Sens!K6554*cx_lic+(Sens!K6556+Sens!K6558)*cx_ind+Sens!K6561*cx_srch+(Sens!K6563+Sens!K6565)*cx_dev</f>
        <v>58.333465043846</v>
      </c>
    </row>
    <row r="6624" customFormat="false" ht="17.15" hidden="false" customHeight="false" outlineLevel="0" collapsed="false">
      <c r="A6624" s="1" t="s">
        <v>850</v>
      </c>
      <c r="B6624" s="0" t="s">
        <v>95</v>
      </c>
      <c r="E6624" s="6" t="n">
        <f aca="false">Q!M42</f>
        <v>145.3</v>
      </c>
      <c r="F6624" s="6" t="n">
        <f aca="false">Sens!F6622+Sens!F6623</f>
        <v>204.2</v>
      </c>
      <c r="G6624" s="6" t="n">
        <f aca="false">Sens!G6622+Sens!G6623</f>
        <v>224.459579724657</v>
      </c>
      <c r="H6624" s="6" t="n">
        <f aca="false">Sens!H6622+Sens!H6623</f>
        <v>234.264135834201</v>
      </c>
      <c r="I6624" s="6" t="n">
        <f aca="false">Sens!I6622+Sens!I6623</f>
        <v>269.34100941288</v>
      </c>
      <c r="J6624" s="6" t="n">
        <f aca="false">Sens!J6622+Sens!J6623</f>
        <v>288.858807989096</v>
      </c>
      <c r="K6624" s="6" t="n">
        <f aca="false">Sens!K6622+Sens!K6623</f>
        <v>337.189776994246</v>
      </c>
      <c r="L6624" s="1" t="s">
        <v>851</v>
      </c>
    </row>
    <row r="6625" customFormat="false" ht="15" hidden="false" customHeight="false" outlineLevel="0" collapsed="false">
      <c r="A6625" s="1" t="s">
        <v>852</v>
      </c>
      <c r="B6625" s="0" t="s">
        <v>95</v>
      </c>
      <c r="E6625" s="6" t="n">
        <f aca="false">fl_liab</f>
        <v>66.594</v>
      </c>
      <c r="F6625" s="6" t="n">
        <f aca="false">Sens!E6625-Sens!F6626</f>
        <v>62.46973</v>
      </c>
      <c r="G6625" s="6" t="n">
        <f aca="false">Sens!F6625-Sens!G6626</f>
        <v>57.98686785</v>
      </c>
      <c r="H6625" s="6" t="n">
        <f aca="false">Sens!G6625-Sens!H6626</f>
        <v>53.92827690325</v>
      </c>
      <c r="I6625" s="6" t="n">
        <f aca="false">Sens!H6625-Sens!I6626</f>
        <v>49.7850493638962</v>
      </c>
      <c r="J6625" s="6" t="n">
        <f aca="false">Sens!I6625-Sens!J6626</f>
        <v>45.4823765852716</v>
      </c>
      <c r="K6625" s="6" t="n">
        <f aca="false">Sens!J6625-Sens!K6626</f>
        <v>40.9860835316088</v>
      </c>
    </row>
    <row r="6626" customFormat="false" ht="15" hidden="false" customHeight="false" outlineLevel="0" collapsed="false">
      <c r="A6626" s="1" t="s">
        <v>853</v>
      </c>
      <c r="B6626" s="0" t="s">
        <v>95</v>
      </c>
      <c r="F6626" s="6" t="n">
        <f aca="false">fl_pay_27-Sens!E6625*fl_rate</f>
        <v>4.12427</v>
      </c>
      <c r="G6626" s="6" t="n">
        <f aca="false">fl_pay_28-Sens!F6625*fl_rate</f>
        <v>4.48286215</v>
      </c>
      <c r="H6626" s="6" t="n">
        <f aca="false">fl_pay_29-Sens!G6625*fl_rate</f>
        <v>4.05859094675</v>
      </c>
      <c r="I6626" s="6" t="n">
        <f aca="false">fl_pay_30-Sens!H6625*fl_rate</f>
        <v>4.14322753935375</v>
      </c>
      <c r="J6626" s="6" t="n">
        <f aca="false">fl_pay_31-Sens!I6625*fl_rate</f>
        <v>4.30267277862467</v>
      </c>
      <c r="K6626" s="6" t="n">
        <f aca="false">fl_pay_32-Sens!J6625*fl_rate</f>
        <v>4.49629305366278</v>
      </c>
    </row>
    <row r="6627" customFormat="false" ht="17.15" hidden="false" customHeight="false" outlineLevel="0" collapsed="false">
      <c r="A6627" s="1" t="s">
        <v>854</v>
      </c>
      <c r="B6627" s="0" t="s">
        <v>95</v>
      </c>
      <c r="E6627" s="6" t="n">
        <f aca="false">Q!M35-Q!M36-Q!M43</f>
        <v>63.886</v>
      </c>
      <c r="F6627" s="6" t="n">
        <f aca="false">Sens!F6621-Sens!F6624-Sens!F6626</f>
        <v>1.02134576118214</v>
      </c>
      <c r="G6627" s="6" t="n">
        <f aca="false">Sens!G6621-Sens!G6624-Sens!G6626</f>
        <v>31.2901656273756</v>
      </c>
      <c r="H6627" s="6" t="n">
        <f aca="false">Sens!H6621-Sens!H6624-Sens!H6626</f>
        <v>69.5393966826018</v>
      </c>
      <c r="I6627" s="6" t="n">
        <f aca="false">Sens!I6621-Sens!I6624-Sens!I6626</f>
        <v>81.0262604716489</v>
      </c>
      <c r="J6627" s="6" t="n">
        <f aca="false">Sens!J6621-Sens!J6624-Sens!J6626</f>
        <v>106.122342248709</v>
      </c>
      <c r="K6627" s="6" t="n">
        <f aca="false">Sens!K6621-Sens!K6624-Sens!K6626</f>
        <v>100.492720035084</v>
      </c>
      <c r="L6627" s="11" t="s">
        <v>855</v>
      </c>
    </row>
    <row r="6628" customFormat="false" ht="15" hidden="false" customHeight="false" outlineLevel="0" collapsed="false">
      <c r="A6628" s="1" t="s">
        <v>856</v>
      </c>
      <c r="B6628" s="0" t="s">
        <v>73</v>
      </c>
      <c r="F6628" s="8" t="n">
        <f aca="false">dps_27</f>
        <v>3.85</v>
      </c>
      <c r="G6628" s="8" t="n">
        <f aca="false">Sens!F6628*(1+dps_g)</f>
        <v>4.158</v>
      </c>
      <c r="H6628" s="8" t="n">
        <f aca="false">Sens!G6628*(1+dps_g)</f>
        <v>4.49064</v>
      </c>
      <c r="I6628" s="8" t="n">
        <f aca="false">Sens!H6628*(1+dps_g)</f>
        <v>4.8498912</v>
      </c>
      <c r="J6628" s="8" t="n">
        <f aca="false">Sens!I6628*(1+dps_g)</f>
        <v>5.237882496</v>
      </c>
      <c r="K6628" s="8" t="n">
        <f aca="false">Sens!J6628*(1+dps_g)</f>
        <v>5.65691309568</v>
      </c>
    </row>
    <row r="6629" customFormat="false" ht="17.15" hidden="false" customHeight="false" outlineLevel="0" collapsed="false">
      <c r="A6629" s="1" t="s">
        <v>857</v>
      </c>
      <c r="B6629" s="0" t="s">
        <v>95</v>
      </c>
      <c r="E6629" s="6" t="n">
        <f aca="false">Q!M41</f>
        <v>26.445</v>
      </c>
      <c r="F6629" s="6" t="n">
        <f aca="false">Sens!F6628*Sens!E6638</f>
        <v>28.59395</v>
      </c>
      <c r="G6629" s="6" t="n">
        <f aca="false">Sens!G6628*Sens!F6638</f>
        <v>31.068576</v>
      </c>
      <c r="H6629" s="6" t="n">
        <f aca="false">Sens!H6628*Sens!G6638</f>
        <v>33.7544762379066</v>
      </c>
      <c r="I6629" s="6" t="n">
        <f aca="false">Sens!I6628*Sens!H6638</f>
        <v>36.5057735769386</v>
      </c>
      <c r="J6629" s="6" t="n">
        <f aca="false">Sens!J6628*Sens!I6638</f>
        <v>39.4946343114131</v>
      </c>
      <c r="K6629" s="6" t="n">
        <f aca="false">Sens!K6628*Sens!J6638</f>
        <v>42.7414602816312</v>
      </c>
      <c r="L6629" s="1" t="s">
        <v>858</v>
      </c>
    </row>
    <row r="6630" customFormat="false" ht="15" hidden="false" customHeight="false" outlineLevel="0" collapsed="false">
      <c r="A6630" s="1" t="s">
        <v>859</v>
      </c>
      <c r="B6630" s="0" t="s">
        <v>95</v>
      </c>
      <c r="E6630" s="6" t="n">
        <f aca="false">Sens!E6627-Sens!E6629</f>
        <v>37.441</v>
      </c>
      <c r="F6630" s="6" t="n">
        <f aca="false">Sens!F6627-Sens!F6629</f>
        <v>-27.5726042388179</v>
      </c>
      <c r="G6630" s="6" t="n">
        <f aca="false">Sens!G6627-Sens!G6629</f>
        <v>0.221589627375604</v>
      </c>
      <c r="H6630" s="6" t="n">
        <f aca="false">Sens!H6627-Sens!H6629</f>
        <v>35.7849204446951</v>
      </c>
      <c r="I6630" s="6" t="n">
        <f aca="false">Sens!I6627-Sens!I6629</f>
        <v>44.5204868947103</v>
      </c>
      <c r="J6630" s="6" t="n">
        <f aca="false">Sens!J6627-Sens!J6629</f>
        <v>66.6277079372961</v>
      </c>
      <c r="K6630" s="6" t="n">
        <f aca="false">Sens!K6627-Sens!K6629</f>
        <v>57.7512597534527</v>
      </c>
    </row>
    <row r="6631" customFormat="false" ht="15" hidden="false" customHeight="false" outlineLevel="0" collapsed="false">
      <c r="A6631" s="1" t="s">
        <v>860</v>
      </c>
      <c r="B6631" s="0" t="s">
        <v>95</v>
      </c>
      <c r="F6631" s="6" t="n">
        <f aca="false">debt_mat_27</f>
        <v>9.25</v>
      </c>
      <c r="G6631" s="6" t="n">
        <f aca="false">debt_mat_28</f>
        <v>0</v>
      </c>
      <c r="H6631" s="6" t="n">
        <f aca="false">debt_mat_29</f>
        <v>2.001</v>
      </c>
      <c r="I6631" s="6" t="n">
        <f aca="false">debt_mat_30</f>
        <v>0</v>
      </c>
      <c r="J6631" s="6" t="n">
        <f aca="false">debt_mat_31</f>
        <v>0.5</v>
      </c>
      <c r="K6631" s="6" t="n">
        <f aca="false">debt_mat_32</f>
        <v>0</v>
      </c>
    </row>
    <row r="6632" customFormat="false" ht="15" hidden="false" customHeight="false" outlineLevel="0" collapsed="false">
      <c r="A6632" s="1" t="s">
        <v>861</v>
      </c>
      <c r="B6632" s="0" t="s">
        <v>95</v>
      </c>
      <c r="E6632" s="6" t="n">
        <f aca="false">Q!M40</f>
        <v>22.271</v>
      </c>
      <c r="F6632" s="6" t="n">
        <f aca="false">MAX(0,MIN(bb_target,Sens!E6634+Sens!F6630-Sens!F6631-min_cash))</f>
        <v>0</v>
      </c>
      <c r="G6632" s="6" t="n">
        <f aca="false">MAX(0,MIN(bb_target,Sens!F6634+Sens!G6630-Sens!G6631-min_cash))</f>
        <v>0.221589627375607</v>
      </c>
      <c r="H6632" s="6" t="n">
        <f aca="false">MAX(0,MIN(bb_target,Sens!G6634+Sens!H6630-Sens!H6631-min_cash))</f>
        <v>22.271</v>
      </c>
      <c r="I6632" s="6" t="n">
        <f aca="false">MAX(0,MIN(bb_target,Sens!H6634+Sens!I6630-Sens!I6631-min_cash))</f>
        <v>22.271</v>
      </c>
      <c r="J6632" s="6" t="n">
        <f aca="false">MAX(0,MIN(bb_target,Sens!I6634+Sens!J6630-Sens!J6631-min_cash))</f>
        <v>22.271</v>
      </c>
      <c r="K6632" s="6" t="n">
        <f aca="false">MAX(0,MIN(bb_target,Sens!J6634+Sens!K6630-Sens!K6631-min_cash))</f>
        <v>22.271</v>
      </c>
    </row>
    <row r="6633" customFormat="false" ht="15" hidden="false" customHeight="false" outlineLevel="0" collapsed="false">
      <c r="A6633" s="1" t="s">
        <v>862</v>
      </c>
      <c r="B6633" s="0" t="s">
        <v>95</v>
      </c>
      <c r="F6633" s="6" t="n">
        <f aca="false">MAX(0,min_cash-(Sens!E6634+Sens!F6630-Sens!F6631-Sens!F6632))</f>
        <v>9.97960423881786</v>
      </c>
      <c r="G6633" s="6" t="n">
        <f aca="false">MAX(0,min_cash-(Sens!F6634+Sens!G6630-Sens!G6631-Sens!G6632))</f>
        <v>0</v>
      </c>
      <c r="H6633" s="6" t="n">
        <f aca="false">MAX(0,min_cash-(Sens!G6634+Sens!H6630-Sens!H6631-Sens!H6632))</f>
        <v>0</v>
      </c>
      <c r="I6633" s="6" t="n">
        <f aca="false">MAX(0,min_cash-(Sens!H6634+Sens!I6630-Sens!I6631-Sens!I6632))</f>
        <v>0</v>
      </c>
      <c r="J6633" s="6" t="n">
        <f aca="false">MAX(0,min_cash-(Sens!I6634+Sens!J6630-Sens!J6631-Sens!J6632))</f>
        <v>0</v>
      </c>
      <c r="K6633" s="6" t="n">
        <f aca="false">MAX(0,min_cash-(Sens!J6634+Sens!K6630-Sens!K6631-Sens!K6632))</f>
        <v>0</v>
      </c>
    </row>
    <row r="6634" customFormat="false" ht="15" hidden="false" customHeight="false" outlineLevel="0" collapsed="false">
      <c r="A6634" s="1" t="s">
        <v>863</v>
      </c>
      <c r="B6634" s="0" t="s">
        <v>95</v>
      </c>
      <c r="E6634" s="6" t="n">
        <f aca="false">cash_open</f>
        <v>76.843</v>
      </c>
      <c r="F6634" s="6" t="n">
        <f aca="false">Sens!E6634+Sens!F6630-Sens!F6631-Sens!F6632+Sens!F6633</f>
        <v>50</v>
      </c>
      <c r="G6634" s="6" t="n">
        <f aca="false">Sens!F6634+Sens!G6630-Sens!G6631-Sens!G6632+Sens!G6633</f>
        <v>50</v>
      </c>
      <c r="H6634" s="6" t="n">
        <f aca="false">Sens!G6634+Sens!H6630-Sens!H6631-Sens!H6632+Sens!H6633</f>
        <v>61.5129204446951</v>
      </c>
      <c r="I6634" s="6" t="n">
        <f aca="false">Sens!H6634+Sens!I6630-Sens!I6631-Sens!I6632+Sens!I6633</f>
        <v>83.7624073394054</v>
      </c>
      <c r="J6634" s="6" t="n">
        <f aca="false">Sens!I6634+Sens!J6630-Sens!J6631-Sens!J6632+Sens!J6633</f>
        <v>127.619115276702</v>
      </c>
      <c r="K6634" s="6" t="n">
        <f aca="false">Sens!J6634+Sens!K6630-Sens!K6631-Sens!K6632+Sens!K6633</f>
        <v>163.099375030154</v>
      </c>
    </row>
    <row r="6635" customFormat="false" ht="15" hidden="false" customHeight="false" outlineLevel="0" collapsed="false">
      <c r="A6635" s="1" t="s">
        <v>864</v>
      </c>
      <c r="B6635" s="0" t="s">
        <v>95</v>
      </c>
      <c r="E6635" s="6" t="n">
        <f aca="false">debt_face</f>
        <v>46.136</v>
      </c>
      <c r="F6635" s="6" t="n">
        <f aca="false">Sens!E6635-Sens!F6631+Sens!F6633</f>
        <v>46.8656042388179</v>
      </c>
      <c r="G6635" s="6" t="n">
        <f aca="false">Sens!F6635-Sens!G6631+Sens!G6633</f>
        <v>46.8656042388179</v>
      </c>
      <c r="H6635" s="6" t="n">
        <f aca="false">Sens!G6635-Sens!H6631+Sens!H6633</f>
        <v>44.8646042388179</v>
      </c>
      <c r="I6635" s="6" t="n">
        <f aca="false">Sens!H6635-Sens!I6631+Sens!I6633</f>
        <v>44.8646042388179</v>
      </c>
      <c r="J6635" s="6" t="n">
        <f aca="false">Sens!I6635-Sens!J6631+Sens!J6633</f>
        <v>44.3646042388179</v>
      </c>
      <c r="K6635" s="6" t="n">
        <f aca="false">Sens!J6635-Sens!K6631+Sens!K6633</f>
        <v>44.3646042388179</v>
      </c>
    </row>
    <row r="6636" customFormat="false" ht="15" hidden="false" customHeight="false" outlineLevel="0" collapsed="false">
      <c r="A6636" s="1" t="s">
        <v>865</v>
      </c>
      <c r="B6636" s="0" t="s">
        <v>95</v>
      </c>
      <c r="E6636" s="6" t="n">
        <f aca="false">Sens!E6634-Sens!E6635</f>
        <v>30.707</v>
      </c>
      <c r="F6636" s="6" t="n">
        <f aca="false">Sens!F6634-Sens!F6635</f>
        <v>3.13439576118214</v>
      </c>
      <c r="G6636" s="6" t="n">
        <f aca="false">Sens!G6634-Sens!G6635</f>
        <v>3.13439576118214</v>
      </c>
      <c r="H6636" s="6" t="n">
        <f aca="false">Sens!H6634-Sens!H6635</f>
        <v>16.6483162058773</v>
      </c>
      <c r="I6636" s="6" t="n">
        <f aca="false">Sens!I6634-Sens!I6635</f>
        <v>38.8978031005876</v>
      </c>
      <c r="J6636" s="6" t="n">
        <f aca="false">Sens!J6634-Sens!J6635</f>
        <v>83.2545110378837</v>
      </c>
      <c r="K6636" s="6" t="n">
        <f aca="false">Sens!K6634-Sens!K6635</f>
        <v>118.734770791336</v>
      </c>
    </row>
    <row r="6637" customFormat="false" ht="15" hidden="false" customHeight="false" outlineLevel="0" collapsed="false">
      <c r="A6637" s="1" t="s">
        <v>866</v>
      </c>
      <c r="B6637" s="0" t="s">
        <v>73</v>
      </c>
      <c r="F6637" s="27" t="n">
        <f aca="false">px*(1+bb_g)^(1-0.5)</f>
        <v>553.494156066711</v>
      </c>
      <c r="G6637" s="27" t="n">
        <f aca="false">px*(1+bb_g)^(2-0.5)</f>
        <v>597.773688552047</v>
      </c>
      <c r="H6637" s="27" t="n">
        <f aca="false">px*(1+bb_g)^(3-0.5)</f>
        <v>645.595583636211</v>
      </c>
      <c r="I6637" s="27" t="n">
        <f aca="false">px*(1+bb_g)^(4-0.5)</f>
        <v>697.243230327108</v>
      </c>
      <c r="J6637" s="27" t="n">
        <f aca="false">px*(1+bb_g)^(5-0.5)</f>
        <v>753.022688753277</v>
      </c>
      <c r="K6637" s="27" t="n">
        <f aca="false">px*(1+bb_g)^(6-0.5)</f>
        <v>813.264503853539</v>
      </c>
    </row>
    <row r="6638" customFormat="false" ht="15" hidden="false" customHeight="false" outlineLevel="0" collapsed="false">
      <c r="A6638" s="1" t="s">
        <v>867</v>
      </c>
      <c r="B6638" s="1" t="s">
        <v>79</v>
      </c>
      <c r="E6638" s="18" t="n">
        <f aca="false">sh_out26</f>
        <v>7.427</v>
      </c>
      <c r="F6638" s="18" t="n">
        <f aca="false">Sens!E6638+sh_iss-Sens!F6632/Sens!F6637</f>
        <v>7.472</v>
      </c>
      <c r="G6638" s="18" t="n">
        <f aca="false">Sens!F6638+sh_iss-Sens!G6632/Sens!G6637</f>
        <v>7.51662930849648</v>
      </c>
      <c r="H6638" s="18" t="n">
        <f aca="false">Sens!G6638+sh_iss-Sens!H6632/Sens!H6637</f>
        <v>7.52713248019638</v>
      </c>
      <c r="I6638" s="18" t="n">
        <f aca="false">Sens!H6638+sh_iss-Sens!I6632/Sens!I6637</f>
        <v>7.5401909725111</v>
      </c>
      <c r="J6638" s="18" t="n">
        <f aca="false">Sens!I6638+sh_iss-Sens!J6632/Sens!J6637</f>
        <v>7.55561550243214</v>
      </c>
      <c r="K6638" s="18" t="n">
        <f aca="false">Sens!J6638+sh_iss-Sens!K6632/Sens!K6637</f>
        <v>7.57323080791459</v>
      </c>
    </row>
    <row r="6639" customFormat="false" ht="15" hidden="false" customHeight="false" outlineLevel="0" collapsed="false">
      <c r="A6639" s="1" t="s">
        <v>868</v>
      </c>
      <c r="B6639" s="1" t="s">
        <v>79</v>
      </c>
      <c r="E6639" s="18" t="n">
        <f aca="false">sh_dil26</f>
        <v>7.453</v>
      </c>
      <c r="F6639" s="18" t="n">
        <f aca="false">(Sens!E6638+Sens!F6638)/2+dil_gap</f>
        <v>7.4735</v>
      </c>
      <c r="G6639" s="18" t="n">
        <f aca="false">(Sens!F6638+Sens!G6638)/2+dil_gap</f>
        <v>7.51831465424824</v>
      </c>
      <c r="H6639" s="18" t="n">
        <f aca="false">(Sens!G6638+Sens!H6638)/2+dil_gap</f>
        <v>7.54588089434643</v>
      </c>
      <c r="I6639" s="18" t="n">
        <f aca="false">(Sens!H6638+Sens!I6638)/2+dil_gap</f>
        <v>7.55766172635374</v>
      </c>
      <c r="J6639" s="18" t="n">
        <f aca="false">(Sens!I6638+Sens!J6638)/2+dil_gap</f>
        <v>7.57190323747162</v>
      </c>
      <c r="K6639" s="18" t="n">
        <f aca="false">(Sens!J6638+Sens!K6638)/2+dil_gap</f>
        <v>7.58842315517337</v>
      </c>
    </row>
    <row r="6640" customFormat="false" ht="17.15" hidden="false" customHeight="false" outlineLevel="0" collapsed="false">
      <c r="A6640" s="1" t="s">
        <v>869</v>
      </c>
      <c r="B6640" s="0" t="s">
        <v>95</v>
      </c>
      <c r="C6640" s="6" t="n">
        <f aca="false">SUM(Sens!F6630:J6630)</f>
        <v>119.582100665259</v>
      </c>
    </row>
    <row r="6641" customFormat="false" ht="17.15" hidden="false" customHeight="false" outlineLevel="0" collapsed="false">
      <c r="A6641" s="1" t="s">
        <v>836</v>
      </c>
      <c r="B6641" s="1" t="s">
        <v>870</v>
      </c>
      <c r="C6641" s="30" t="str">
        <f aca="false">IF(SUM(Sens!F6633:J6633)&gt;0.05,"需要舉債 "&amp;TEXT(SUM(Sens!F6633:J6633),"0.0")&amp;" 十億美元","不需舉債")&amp;"；"&amp;IF(SUM(Sens!F6632:J6632)&lt;5*bb_target-0.05,"回購較每年 "&amp;TEXT(bb_target,"0.0")&amp;" 的目標少 "&amp;TEXT(5*bb_target-SUM(Sens!F6632:J6632),"0.0")&amp;" 十億美元（"&amp;TEXT(COUNTIF(Sens!F6632:J6632,"&lt;"&amp;(bb_target-0.05)),"0")&amp;" 年減少）","回購不減")</f>
        <v>需要舉債 10.0 十億美元；回購較每年 22.3 的目標少 44.3 十億美元（2 年減少）</v>
      </c>
    </row>
    <row r="6642" customFormat="false" ht="17.15" hidden="false" customHeight="false" outlineLevel="0" collapsed="false">
      <c r="A6642" s="3" t="s">
        <v>1303</v>
      </c>
    </row>
    <row r="6643" customFormat="false" ht="15" hidden="false" customHeight="false" outlineLevel="0" collapsed="false">
      <c r="A6643" s="4" t="s">
        <v>43</v>
      </c>
      <c r="B6643" s="4" t="s">
        <v>63</v>
      </c>
      <c r="C6643" s="19" t="s">
        <v>710</v>
      </c>
      <c r="D6643" s="19" t="s">
        <v>711</v>
      </c>
      <c r="E6643" s="19" t="s">
        <v>712</v>
      </c>
      <c r="F6643" s="19" t="s">
        <v>713</v>
      </c>
      <c r="G6643" s="19" t="s">
        <v>714</v>
      </c>
      <c r="H6643" s="19" t="s">
        <v>715</v>
      </c>
      <c r="I6643" s="19" t="s">
        <v>716</v>
      </c>
      <c r="J6643" s="19" t="s">
        <v>717</v>
      </c>
      <c r="K6643" s="19" t="s">
        <v>718</v>
      </c>
      <c r="L6643" s="4" t="s">
        <v>47</v>
      </c>
    </row>
    <row r="6644" customFormat="false" ht="17.15" hidden="false" customHeight="false" outlineLevel="0" collapsed="false">
      <c r="A6644" s="1" t="s">
        <v>938</v>
      </c>
      <c r="B6644" s="1" t="s">
        <v>213</v>
      </c>
      <c r="F6644" s="34" t="n">
        <f aca="false">1-0.5</f>
        <v>0.5</v>
      </c>
      <c r="G6644" s="34" t="n">
        <f aca="false">2-0.5</f>
        <v>1.5</v>
      </c>
      <c r="H6644" s="34" t="n">
        <f aca="false">3-0.5</f>
        <v>2.5</v>
      </c>
      <c r="I6644" s="34" t="n">
        <f aca="false">4-0.5</f>
        <v>3.5</v>
      </c>
      <c r="J6644" s="34" t="n">
        <f aca="false">5-0.5</f>
        <v>4.5</v>
      </c>
      <c r="K6644" s="34" t="n">
        <f aca="false">6-0.5</f>
        <v>5.5</v>
      </c>
    </row>
    <row r="6645" customFormat="false" ht="15" hidden="false" customHeight="false" outlineLevel="0" collapsed="false">
      <c r="A6645" s="1" t="s">
        <v>939</v>
      </c>
      <c r="B6645" s="0" t="s">
        <v>182</v>
      </c>
      <c r="F6645" s="18" t="n">
        <f aca="false">1/(1+wacc)^Sens!F6644</f>
        <v>0.949601579913219</v>
      </c>
      <c r="G6645" s="18" t="n">
        <f aca="false">1/(1+wacc)^Sens!G6644</f>
        <v>0.856296729956707</v>
      </c>
      <c r="H6645" s="18" t="n">
        <f aca="false">1/(1+wacc)^Sens!H6644</f>
        <v>0.772159719660069</v>
      </c>
      <c r="I6645" s="18" t="n">
        <f aca="false">1/(1+wacc)^Sens!I6644</f>
        <v>0.696289746073958</v>
      </c>
      <c r="J6645" s="18" t="n">
        <f aca="false">1/(1+wacc)^Sens!J6644</f>
        <v>0.627874516299776</v>
      </c>
      <c r="K6645" s="18" t="n">
        <f aca="false">1/(1+wacc)^Sens!K6644</f>
        <v>0.566181550771831</v>
      </c>
    </row>
    <row r="6646" customFormat="false" ht="15" hidden="false" customHeight="false" outlineLevel="0" collapsed="false">
      <c r="A6646" s="1" t="s">
        <v>940</v>
      </c>
      <c r="B6646" s="0" t="s">
        <v>95</v>
      </c>
      <c r="F6646" s="6" t="n">
        <f aca="false">Sens!F6627*Sens!F6645</f>
        <v>0.969871548456231</v>
      </c>
      <c r="G6646" s="6" t="n">
        <f aca="false">Sens!G6627*Sens!G6645</f>
        <v>26.7936665065255</v>
      </c>
      <c r="H6646" s="6" t="n">
        <f aca="false">Sens!H6627*Sens!H6645</f>
        <v>53.6955210477681</v>
      </c>
      <c r="I6646" s="6" t="n">
        <f aca="false">Sens!I6627*Sens!I6645</f>
        <v>56.4177543291268</v>
      </c>
      <c r="J6646" s="6" t="n">
        <f aca="false">Sens!J6627*Sens!J6645</f>
        <v>66.6315143080076</v>
      </c>
      <c r="K6646" s="6" t="n">
        <f aca="false">Sens!K6627*Sens!K6645</f>
        <v>56.8971240707433</v>
      </c>
    </row>
    <row r="6647" customFormat="false" ht="17.15" hidden="false" customHeight="false" outlineLevel="0" collapsed="false">
      <c r="A6647" s="1" t="s">
        <v>941</v>
      </c>
      <c r="B6647" s="0" t="s">
        <v>95</v>
      </c>
      <c r="C6647" s="6" t="n">
        <f aca="false">SUM(Sens!F6646:K6646)</f>
        <v>261.405451810628</v>
      </c>
    </row>
    <row r="6648" customFormat="false" ht="17.15" hidden="false" customHeight="false" outlineLevel="0" collapsed="false">
      <c r="A6648" s="1" t="s">
        <v>942</v>
      </c>
      <c r="B6648" s="0" t="s">
        <v>95</v>
      </c>
      <c r="C6648" s="6" t="n">
        <f aca="false">Sens!K6593*(1+g_tv)*(1-tax_f)</f>
        <v>209.742666181003</v>
      </c>
    </row>
    <row r="6649" customFormat="false" ht="17.15" hidden="false" customHeight="false" outlineLevel="0" collapsed="false">
      <c r="A6649" s="1" t="s">
        <v>943</v>
      </c>
      <c r="B6649" s="0" t="s">
        <v>95</v>
      </c>
      <c r="C6649" s="6" t="n">
        <f aca="false">Sens!$C$6648*(1-g_tv/(wacc+ronic_prem))</f>
        <v>151.995841894729</v>
      </c>
    </row>
    <row r="6650" customFormat="false" ht="17.15" hidden="false" customHeight="false" outlineLevel="0" collapsed="false">
      <c r="A6650" s="1" t="s">
        <v>944</v>
      </c>
      <c r="B6650" s="0" t="s">
        <v>95</v>
      </c>
      <c r="C6650" s="6" t="n">
        <f aca="false">Sens!$C$6649/(wacc-g_tv)</f>
        <v>1924.89414287578</v>
      </c>
    </row>
    <row r="6651" customFormat="false" ht="15" hidden="false" customHeight="false" outlineLevel="0" collapsed="false">
      <c r="A6651" s="1" t="s">
        <v>945</v>
      </c>
      <c r="B6651" s="0" t="s">
        <v>95</v>
      </c>
      <c r="C6651" s="6" t="n">
        <f aca="false">Sens!$C$6650/(1+wacc)^6</f>
        <v>1034.91335937233</v>
      </c>
    </row>
    <row r="6652" customFormat="false" ht="17.15" hidden="false" customHeight="false" outlineLevel="0" collapsed="false">
      <c r="A6652" s="0" t="s">
        <v>877</v>
      </c>
      <c r="B6652" s="0" t="s">
        <v>95</v>
      </c>
      <c r="C6652" s="6" t="n">
        <f aca="false">Sens!$C$6647+Sens!$C$6651</f>
        <v>1296.31881118296</v>
      </c>
    </row>
    <row r="6653" customFormat="false" ht="15" hidden="false" customHeight="false" outlineLevel="0" collapsed="false">
      <c r="A6653" s="1" t="s">
        <v>878</v>
      </c>
      <c r="B6653" s="0" t="s">
        <v>126</v>
      </c>
      <c r="C6653" s="7" t="n">
        <f aca="false">Sens!$C$6651/Sens!$C$6652</f>
        <v>0.79834786816672</v>
      </c>
    </row>
    <row r="6654" customFormat="false" ht="17.15" hidden="false" customHeight="false" outlineLevel="0" collapsed="false">
      <c r="A6654" s="1" t="s">
        <v>946</v>
      </c>
      <c r="B6654" s="0" t="s">
        <v>95</v>
      </c>
      <c r="C6654" s="6" t="n">
        <f aca="false">Sens!$C$6652+Sens!E6636+oai_v</f>
        <v>1497.42581118296</v>
      </c>
    </row>
    <row r="6655" customFormat="false" ht="17.15" hidden="false" customHeight="false" outlineLevel="0" collapsed="false">
      <c r="A6655" s="0" t="s">
        <v>883</v>
      </c>
      <c r="B6655" s="0" t="s">
        <v>73</v>
      </c>
      <c r="C6655" s="5" t="n">
        <f aca="false">Sens!$C$6654/sh_dil26</f>
        <v>200.915847468531</v>
      </c>
    </row>
    <row r="6656" customFormat="false" ht="17.15" hidden="false" customHeight="false" outlineLevel="0" collapsed="false">
      <c r="A6656" s="0" t="s">
        <v>947</v>
      </c>
      <c r="B6656" s="0" t="s">
        <v>73</v>
      </c>
      <c r="C6656" s="5" t="n">
        <f aca="false">Sens!$C$6655*(1+wacc)^t_roll</f>
        <v>230.449386226347</v>
      </c>
    </row>
    <row r="6657" customFormat="false" ht="17.15" hidden="false" customHeight="false" outlineLevel="0" collapsed="false">
      <c r="A6657" s="1" t="s">
        <v>948</v>
      </c>
      <c r="B6657" s="0" t="s">
        <v>126</v>
      </c>
      <c r="F6657" s="7" t="n">
        <f aca="false">Sens!F6617/(Sens!F6568-Sens!F6524)</f>
        <v>0.0684829732912</v>
      </c>
      <c r="G6657" s="7" t="n">
        <f aca="false">Sens!G6617/(Sens!G6568-Sens!G6524)</f>
        <v>0.0657870647455879</v>
      </c>
      <c r="H6657" s="7" t="n">
        <f aca="false">Sens!H6617/(Sens!H6568-Sens!H6524)</f>
        <v>0.0644507847440859</v>
      </c>
      <c r="I6657" s="7" t="n">
        <f aca="false">Sens!I6617/(Sens!I6568-Sens!I6524)</f>
        <v>0.0643484225660949</v>
      </c>
      <c r="J6657" s="7" t="n">
        <f aca="false">Sens!J6617/(Sens!J6568-Sens!J6524)</f>
        <v>0.0651931330709965</v>
      </c>
      <c r="K6657" s="7" t="n">
        <f aca="false">Sens!K6617/(Sens!K6568-Sens!K6524)</f>
        <v>0.0666251239878623</v>
      </c>
    </row>
    <row r="6658" customFormat="false" ht="17.15" hidden="false" customHeight="false" outlineLevel="0" collapsed="false">
      <c r="A6658" s="0" t="s">
        <v>949</v>
      </c>
      <c r="B6658" s="0" t="s">
        <v>95</v>
      </c>
      <c r="F6658" s="6" t="n">
        <f aca="false">Sens!F6553*(al_m365+Sens!F6657)</f>
        <v>79.4775368760807</v>
      </c>
      <c r="G6658" s="6" t="n">
        <f aca="false">Sens!G6553*(al_m365+Sens!G6657)</f>
        <v>91.2422346519492</v>
      </c>
      <c r="H6658" s="6" t="n">
        <f aca="false">Sens!H6553*(al_m365+Sens!H6657)</f>
        <v>103.174163298865</v>
      </c>
      <c r="I6658" s="6" t="n">
        <f aca="false">Sens!I6553*(al_m365+Sens!I6657)</f>
        <v>114.157665492783</v>
      </c>
      <c r="J6658" s="6" t="n">
        <f aca="false">Sens!J6553*(al_m365+Sens!J6657)</f>
        <v>124.013753672758</v>
      </c>
      <c r="K6658" s="6" t="n">
        <f aca="false">Sens!K6553*(al_m365+Sens!K6657)</f>
        <v>133.510341236006</v>
      </c>
    </row>
    <row r="6659" customFormat="false" ht="17.15" hidden="false" customHeight="false" outlineLevel="0" collapsed="false">
      <c r="A6659" s="0" t="s">
        <v>950</v>
      </c>
      <c r="B6659" s="0" t="s">
        <v>95</v>
      </c>
      <c r="F6659" s="6" t="n">
        <f aca="false">Sens!F6554*(al_lic+Sens!F6657)</f>
        <v>31.9798350210631</v>
      </c>
      <c r="G6659" s="6" t="n">
        <f aca="false">Sens!G6554*(al_lic+Sens!G6657)</f>
        <v>33.2242032492316</v>
      </c>
      <c r="H6659" s="6" t="n">
        <f aca="false">Sens!H6554*(al_lic+Sens!H6657)</f>
        <v>34.3890431170447</v>
      </c>
      <c r="I6659" s="6" t="n">
        <f aca="false">Sens!I6554*(al_lic+Sens!I6657)</f>
        <v>35.4565664779294</v>
      </c>
      <c r="J6659" s="6" t="n">
        <f aca="false">Sens!J6554*(al_lic+Sens!J6657)</f>
        <v>36.4014802766335</v>
      </c>
      <c r="K6659" s="6" t="n">
        <f aca="false">Sens!K6554*(al_lic+Sens!K6657)</f>
        <v>37.1947326112864</v>
      </c>
    </row>
    <row r="6660" customFormat="false" ht="17.15" hidden="false" customHeight="false" outlineLevel="0" collapsed="false">
      <c r="A6660" s="0" t="s">
        <v>951</v>
      </c>
      <c r="B6660" s="0" t="s">
        <v>95</v>
      </c>
      <c r="F6660" s="6" t="n">
        <f aca="false">Sens!F6556*(al_ind+Sens!F6657)</f>
        <v>8.23825502053887</v>
      </c>
      <c r="G6660" s="6" t="n">
        <f aca="false">Sens!G6556*(al_ind+Sens!G6657)</f>
        <v>8.93954778448337</v>
      </c>
      <c r="H6660" s="6" t="n">
        <f aca="false">Sens!H6556*(al_ind+Sens!H6657)</f>
        <v>9.68484416171633</v>
      </c>
      <c r="I6660" s="6" t="n">
        <f aca="false">Sens!I6556*(al_ind+Sens!I6657)</f>
        <v>10.4718170462284</v>
      </c>
      <c r="J6660" s="6" t="n">
        <f aca="false">Sens!J6556*(al_ind+Sens!J6657)</f>
        <v>11.2914994375147</v>
      </c>
      <c r="K6660" s="6" t="n">
        <f aca="false">Sens!K6556*(al_ind+Sens!K6657)</f>
        <v>12.1292798162136</v>
      </c>
    </row>
    <row r="6661" customFormat="false" ht="17.15" hidden="false" customHeight="false" outlineLevel="0" collapsed="false">
      <c r="A6661" s="0" t="s">
        <v>952</v>
      </c>
      <c r="B6661" s="0" t="s">
        <v>95</v>
      </c>
      <c r="F6661" s="6" t="n">
        <f aca="false">Sens!F6558*(al_fro+Sens!F6657)</f>
        <v>3.24260609895751</v>
      </c>
      <c r="G6661" s="6" t="n">
        <f aca="false">Sens!G6558*(al_fro+Sens!G6657)</f>
        <v>3.432257828217</v>
      </c>
      <c r="H6661" s="6" t="n">
        <f aca="false">Sens!H6558*(al_fro+Sens!H6657)</f>
        <v>3.64958076865955</v>
      </c>
      <c r="I6661" s="6" t="n">
        <f aca="false">Sens!I6558*(al_fro+Sens!I6657)</f>
        <v>3.89718410683533</v>
      </c>
      <c r="J6661" s="6" t="n">
        <f aca="false">Sens!J6558*(al_fro+Sens!J6657)</f>
        <v>4.17603042351117</v>
      </c>
      <c r="K6661" s="6" t="n">
        <f aca="false">Sens!K6558*(al_fro+Sens!K6657)</f>
        <v>4.48587380339423</v>
      </c>
    </row>
    <row r="6662" customFormat="false" ht="17.15" hidden="false" customHeight="false" outlineLevel="0" collapsed="false">
      <c r="A6662" s="0" t="s">
        <v>953</v>
      </c>
      <c r="B6662" s="0" t="s">
        <v>95</v>
      </c>
      <c r="F6662" s="6" t="n">
        <f aca="false">Sens!F6561*(al_srch+Sens!F6657)</f>
        <v>10.1743639771021</v>
      </c>
      <c r="G6662" s="6" t="n">
        <f aca="false">Sens!G6561*(al_srch+Sens!G6657)</f>
        <v>11.1446418055159</v>
      </c>
      <c r="H6662" s="6" t="n">
        <f aca="false">Sens!H6561*(al_srch+Sens!H6657)</f>
        <v>12.159673269201</v>
      </c>
      <c r="I6662" s="6" t="n">
        <f aca="false">Sens!I6561*(al_srch+Sens!I6657)</f>
        <v>13.2104364032771</v>
      </c>
      <c r="J6662" s="6" t="n">
        <f aca="false">Sens!J6561*(al_srch+Sens!J6657)</f>
        <v>14.2786267086769</v>
      </c>
      <c r="K6662" s="6" t="n">
        <f aca="false">Sens!K6561*(al_srch+Sens!K6657)</f>
        <v>15.3380389999756</v>
      </c>
    </row>
    <row r="6663" customFormat="false" ht="17.15" hidden="false" customHeight="false" outlineLevel="0" collapsed="false">
      <c r="A6663" s="0" t="s">
        <v>954</v>
      </c>
      <c r="B6663" s="0" t="s">
        <v>95</v>
      </c>
      <c r="F6663" s="6" t="n">
        <f aca="false">Sens!F6530</f>
        <v>39.4594407491938</v>
      </c>
      <c r="G6663" s="6" t="n">
        <f aca="false">Sens!G6530</f>
        <v>66.5527545578061</v>
      </c>
      <c r="H6663" s="6" t="n">
        <f aca="false">Sens!H6530</f>
        <v>95.219644983859</v>
      </c>
      <c r="I6663" s="6" t="n">
        <f aca="false">Sens!I6530</f>
        <v>124.031840462493</v>
      </c>
      <c r="J6663" s="6" t="n">
        <f aca="false">Sens!J6530</f>
        <v>152.919994097909</v>
      </c>
      <c r="K6663" s="6" t="n">
        <f aca="false">Sens!K6530</f>
        <v>181.852830263848</v>
      </c>
    </row>
    <row r="6664" customFormat="false" ht="17.15" hidden="false" customHeight="false" outlineLevel="0" collapsed="false">
      <c r="A6664" s="0" t="s">
        <v>955</v>
      </c>
      <c r="B6664" s="0" t="s">
        <v>95</v>
      </c>
      <c r="F6664" s="6" t="n">
        <f aca="false">Sens!F6590+Sens!F6541+Sens!F6657*(Sens!F6560-Sens!F6524)</f>
        <v>211.222217988476</v>
      </c>
      <c r="G6664" s="6" t="n">
        <f aca="false">Sens!G6590+Sens!G6541+Sens!G6657*(Sens!G6560-Sens!G6524)</f>
        <v>257.797008653511</v>
      </c>
      <c r="H6664" s="6" t="n">
        <f aca="false">Sens!H6590+Sens!H6541+Sens!H6657*(Sens!H6560-Sens!H6524)</f>
        <v>305.667383508114</v>
      </c>
      <c r="I6664" s="6" t="n">
        <f aca="false">Sens!I6590+Sens!I6541+Sens!I6657*(Sens!I6560-Sens!I6524)</f>
        <v>351.896155982463</v>
      </c>
      <c r="J6664" s="6" t="n">
        <f aca="false">Sens!J6590+Sens!J6541+Sens!J6657*(Sens!J6560-Sens!J6524)</f>
        <v>395.510050677656</v>
      </c>
      <c r="K6664" s="6" t="n">
        <f aca="false">Sens!K6590+Sens!K6541+Sens!K6657*(Sens!K6560-Sens!K6524)</f>
        <v>436.484512831892</v>
      </c>
    </row>
    <row r="6665" customFormat="false" ht="17.15" hidden="false" customHeight="false" outlineLevel="0" collapsed="false">
      <c r="A6665" s="0" t="s">
        <v>956</v>
      </c>
      <c r="B6665" s="0" t="s">
        <v>95</v>
      </c>
      <c r="F6665" s="6" t="n">
        <f aca="false">Sens!F6664-Sens!F6658-Sens!F6659-Sens!F6660-Sens!F6661-Sens!F6663</f>
        <v>48.8245442226417</v>
      </c>
      <c r="G6665" s="6" t="n">
        <f aca="false">Sens!G6664-Sens!G6658-Sens!G6659-Sens!G6660-Sens!G6661-Sens!G6663</f>
        <v>54.4060105818237</v>
      </c>
      <c r="H6665" s="6" t="n">
        <f aca="false">Sens!H6664-Sens!H6658-Sens!H6659-Sens!H6660-Sens!H6661-Sens!H6663</f>
        <v>59.5501071779698</v>
      </c>
      <c r="I6665" s="6" t="n">
        <f aca="false">Sens!I6664-Sens!I6658-Sens!I6659-Sens!I6660-Sens!I6661-Sens!I6663</f>
        <v>63.8810823961947</v>
      </c>
      <c r="J6665" s="6" t="n">
        <f aca="false">Sens!J6664-Sens!J6658-Sens!J6659-Sens!J6660-Sens!J6661-Sens!J6663</f>
        <v>66.70729276933</v>
      </c>
      <c r="K6665" s="6" t="n">
        <f aca="false">Sens!K6664-Sens!K6658-Sens!K6659-Sens!K6660-Sens!K6661-Sens!K6663</f>
        <v>67.3114551011429</v>
      </c>
    </row>
    <row r="6666" customFormat="false" ht="17.15" hidden="false" customHeight="false" outlineLevel="0" collapsed="false">
      <c r="A6666" s="0" t="s">
        <v>957</v>
      </c>
      <c r="B6666" s="0" t="s">
        <v>95</v>
      </c>
      <c r="F6666" s="6" t="n">
        <f aca="false">Sens!F6592+Sens!F6657*Sens!F6567</f>
        <v>23.7565407316694</v>
      </c>
      <c r="G6666" s="6" t="n">
        <f aca="false">Sens!G6592+Sens!G6657*Sens!G6567</f>
        <v>24.2990451140844</v>
      </c>
      <c r="H6666" s="6" t="n">
        <f aca="false">Sens!H6592+Sens!H6657*Sens!H6567</f>
        <v>25.0934814699978</v>
      </c>
      <c r="I6666" s="6" t="n">
        <f aca="false">Sens!I6592+Sens!I6657*Sens!I6567</f>
        <v>26.1126880840269</v>
      </c>
      <c r="J6666" s="6" t="n">
        <f aca="false">Sens!J6592+Sens!J6657*Sens!J6567</f>
        <v>27.3235144585725</v>
      </c>
      <c r="K6666" s="6" t="n">
        <f aca="false">Sens!K6592+Sens!K6657*Sens!K6567</f>
        <v>28.6897324014749</v>
      </c>
    </row>
    <row r="6667" customFormat="false" ht="17.15" hidden="false" customHeight="false" outlineLevel="0" collapsed="false">
      <c r="A6667" s="0" t="s">
        <v>958</v>
      </c>
      <c r="B6667" s="0" t="s">
        <v>95</v>
      </c>
      <c r="F6667" s="6" t="n">
        <f aca="false">(Sens!F6666-Sens!F6662)*Sens!F6563/(Sens!F6563+Sens!F6565)</f>
        <v>7.44561700836909</v>
      </c>
      <c r="G6667" s="6" t="n">
        <f aca="false">(Sens!G6666-Sens!G6662)*Sens!G6563/(Sens!G6563+Sens!G6565)</f>
        <v>7.08254203072224</v>
      </c>
      <c r="H6667" s="6" t="n">
        <f aca="false">(Sens!H6666-Sens!H6662)*Sens!H6563/(Sens!H6563+Sens!H6565)</f>
        <v>6.86970118542061</v>
      </c>
      <c r="I6667" s="6" t="n">
        <f aca="false">(Sens!I6666-Sens!I6662)*Sens!I6563/(Sens!I6563+Sens!I6565)</f>
        <v>6.79093467207933</v>
      </c>
      <c r="J6667" s="6" t="n">
        <f aca="false">(Sens!J6666-Sens!J6662)*Sens!J6563/(Sens!J6563+Sens!J6565)</f>
        <v>6.83496149655921</v>
      </c>
      <c r="K6667" s="6" t="n">
        <f aca="false">(Sens!K6666-Sens!K6662)*Sens!K6563/(Sens!K6563+Sens!K6565)</f>
        <v>6.99571449465646</v>
      </c>
    </row>
    <row r="6668" customFormat="false" ht="17.15" hidden="false" customHeight="false" outlineLevel="0" collapsed="false">
      <c r="A6668" s="0" t="s">
        <v>959</v>
      </c>
      <c r="B6668" s="0" t="s">
        <v>95</v>
      </c>
      <c r="F6668" s="6" t="n">
        <f aca="false">Sens!F6666-Sens!F6662-Sens!F6667</f>
        <v>6.13655974619826</v>
      </c>
      <c r="G6668" s="6" t="n">
        <f aca="false">Sens!G6666-Sens!G6662-Sens!G6667</f>
        <v>6.07186127784629</v>
      </c>
      <c r="H6668" s="6" t="n">
        <f aca="false">Sens!H6666-Sens!H6662-Sens!H6667</f>
        <v>6.06410701537612</v>
      </c>
      <c r="I6668" s="6" t="n">
        <f aca="false">Sens!I6666-Sens!I6662-Sens!I6667</f>
        <v>6.11131700867046</v>
      </c>
      <c r="J6668" s="6" t="n">
        <f aca="false">Sens!J6666-Sens!J6662-Sens!J6667</f>
        <v>6.2099262533364</v>
      </c>
      <c r="K6668" s="6" t="n">
        <f aca="false">Sens!K6666-Sens!K6662-Sens!K6667</f>
        <v>6.35597890684282</v>
      </c>
    </row>
    <row r="6669" customFormat="false" ht="17.15" hidden="false" customHeight="false" outlineLevel="0" collapsed="false">
      <c r="A6669" s="1" t="s">
        <v>960</v>
      </c>
      <c r="B6669" s="0" t="s">
        <v>95</v>
      </c>
      <c r="C6669" s="6" t="n">
        <f aca="false">(w_ntm28*Sens!G6663+(1-w_ntm28)*Sens!H6663)*m_ai*1</f>
        <v>454.922440830797</v>
      </c>
    </row>
    <row r="6670" customFormat="false" ht="17.15" hidden="false" customHeight="false" outlineLevel="0" collapsed="false">
      <c r="A6670" s="1" t="s">
        <v>961</v>
      </c>
      <c r="B6670" s="0" t="s">
        <v>95</v>
      </c>
      <c r="C6670" s="6" t="n">
        <f aca="false">(w_ntm28*Sens!G6665+(1-w_ntm28)*Sens!H6665)*m_cloud*1</f>
        <v>774.874044227464</v>
      </c>
    </row>
    <row r="6671" customFormat="false" ht="17.15" hidden="false" customHeight="false" outlineLevel="0" collapsed="false">
      <c r="A6671" s="1" t="s">
        <v>962</v>
      </c>
      <c r="B6671" s="0" t="s">
        <v>95</v>
      </c>
      <c r="C6671" s="6" t="n">
        <f aca="false">(w_ntm28*Sens!G6658+(1-w_ntm28)*Sens!H6658)*m_sw*1</f>
        <v>1027.0765448373</v>
      </c>
    </row>
    <row r="6672" customFormat="false" ht="17.15" hidden="false" customHeight="false" outlineLevel="0" collapsed="false">
      <c r="A6672" s="1" t="s">
        <v>963</v>
      </c>
      <c r="B6672" s="0" t="s">
        <v>95</v>
      </c>
      <c r="C6672" s="6" t="n">
        <f aca="false">(w_ntm28*Sens!G6659+(1-w_ntm28)*Sens!H6659)*m_sw*1</f>
        <v>362.888441468526</v>
      </c>
    </row>
    <row r="6673" customFormat="false" ht="17.15" hidden="false" customHeight="false" outlineLevel="0" collapsed="false">
      <c r="A6673" s="1" t="s">
        <v>964</v>
      </c>
      <c r="B6673" s="0" t="s">
        <v>95</v>
      </c>
      <c r="C6673" s="6" t="n">
        <f aca="false">(w_ntm28*Sens!G6660+(1-w_ntm28)*Sens!H6660)*m_sw*1</f>
        <v>99.149323478299</v>
      </c>
    </row>
    <row r="6674" customFormat="false" ht="17.15" hidden="false" customHeight="false" outlineLevel="0" collapsed="false">
      <c r="A6674" s="1" t="s">
        <v>965</v>
      </c>
      <c r="B6674" s="0" t="s">
        <v>95</v>
      </c>
      <c r="C6674" s="6" t="n">
        <f aca="false">(w_ntm28*Sens!G6661+(1-w_ntm28)*Sens!H6661)*m_sw*1</f>
        <v>37.8271690798121</v>
      </c>
    </row>
    <row r="6675" customFormat="false" ht="17.15" hidden="false" customHeight="false" outlineLevel="0" collapsed="false">
      <c r="A6675" s="1" t="s">
        <v>966</v>
      </c>
      <c r="B6675" s="0" t="s">
        <v>95</v>
      </c>
      <c r="C6675" s="6" t="n">
        <f aca="false">(w_ntm28*Sens!G6662+(1-w_ntm28)*Sens!H6662)*m_ads*1</f>
        <v>104.517107458749</v>
      </c>
    </row>
    <row r="6676" customFormat="false" ht="17.15" hidden="false" customHeight="false" outlineLevel="0" collapsed="false">
      <c r="A6676" s="1" t="s">
        <v>967</v>
      </c>
      <c r="B6676" s="0" t="s">
        <v>95</v>
      </c>
      <c r="C6676" s="6" t="n">
        <f aca="false">(w_ntm28*Sens!G6667+(1-w_ntm28)*Sens!H6667)*m_game*1</f>
        <v>88.5834504360032</v>
      </c>
    </row>
    <row r="6677" customFormat="false" ht="17.15" hidden="false" customHeight="false" outlineLevel="0" collapsed="false">
      <c r="A6677" s="1" t="s">
        <v>968</v>
      </c>
      <c r="B6677" s="0" t="s">
        <v>95</v>
      </c>
      <c r="C6677" s="6" t="n">
        <f aca="false">(w_ntm28*Sens!G6668+(1-w_ntm28)*Sens!H6668)*m_pc*1</f>
        <v>87.8235584630459</v>
      </c>
    </row>
    <row r="6678" customFormat="false" ht="17.15" hidden="false" customHeight="false" outlineLevel="0" collapsed="false">
      <c r="A6678" s="1" t="s">
        <v>969</v>
      </c>
      <c r="B6678" s="0" t="s">
        <v>95</v>
      </c>
      <c r="C6678" s="6" t="n">
        <f aca="false">Sens!$C$6669+Sens!$C$6670+Sens!$C$6671+Sens!$C$6672+Sens!$C$6673+Sens!$C$6674+Sens!$C$6675+Sens!$C$6676+Sens!$C$6677</f>
        <v>3037.66208027999</v>
      </c>
    </row>
    <row r="6679" customFormat="false" ht="17.15" hidden="false" customHeight="false" outlineLevel="0" collapsed="false">
      <c r="A6679" s="1" t="s">
        <v>903</v>
      </c>
      <c r="B6679" s="0" t="s">
        <v>95</v>
      </c>
      <c r="C6679" s="6" t="n">
        <f aca="false">Sens!F6636+oai_v-Sens!F6625</f>
        <v>111.064665761182</v>
      </c>
      <c r="L6679" s="1" t="s">
        <v>970</v>
      </c>
    </row>
    <row r="6680" customFormat="false" ht="15" hidden="false" customHeight="false" outlineLevel="0" collapsed="false">
      <c r="A6680" s="1" t="s">
        <v>904</v>
      </c>
      <c r="B6680" s="0" t="s">
        <v>73</v>
      </c>
      <c r="C6680" s="5" t="n">
        <f aca="false">(Sens!$C$6678+Sens!$C$6679)/Sens!F6638</f>
        <v>421.403472435917</v>
      </c>
    </row>
    <row r="6681" customFormat="false" ht="17.15" hidden="false" customHeight="false" outlineLevel="0" collapsed="false">
      <c r="A6681" s="1" t="s">
        <v>971</v>
      </c>
      <c r="B6681" s="0" t="s">
        <v>73</v>
      </c>
      <c r="C6681" s="5" t="n">
        <f aca="false">w_dcf*Sens!$C$6656+(1-w_dcf)*Sens!$C$6680</f>
        <v>325.926429331132</v>
      </c>
    </row>
    <row r="6682" customFormat="false" ht="17.15" hidden="false" customHeight="false" outlineLevel="0" collapsed="false">
      <c r="A6682" s="3" t="s">
        <v>1304</v>
      </c>
    </row>
    <row r="6683" customFormat="false" ht="15" hidden="false" customHeight="false" outlineLevel="0" collapsed="false">
      <c r="A6683" s="4" t="s">
        <v>43</v>
      </c>
      <c r="B6683" s="4" t="s">
        <v>63</v>
      </c>
      <c r="C6683" s="19" t="s">
        <v>710</v>
      </c>
      <c r="D6683" s="19" t="s">
        <v>711</v>
      </c>
      <c r="E6683" s="19" t="s">
        <v>712</v>
      </c>
      <c r="F6683" s="19" t="s">
        <v>713</v>
      </c>
      <c r="G6683" s="19" t="s">
        <v>714</v>
      </c>
      <c r="H6683" s="19" t="s">
        <v>715</v>
      </c>
      <c r="I6683" s="19" t="s">
        <v>716</v>
      </c>
      <c r="J6683" s="19" t="s">
        <v>717</v>
      </c>
      <c r="K6683" s="19" t="s">
        <v>718</v>
      </c>
      <c r="L6683" s="4" t="s">
        <v>47</v>
      </c>
    </row>
    <row r="6684" customFormat="false" ht="17.15" hidden="false" customHeight="false" outlineLevel="0" collapsed="false">
      <c r="A6684" s="1" t="s">
        <v>719</v>
      </c>
      <c r="B6684" s="0" t="s">
        <v>340</v>
      </c>
      <c r="C6684" s="27" t="n">
        <f aca="false">mw_ext_24</f>
        <v>640</v>
      </c>
      <c r="D6684" s="27" t="n">
        <f aca="false">mw_ext_25</f>
        <v>1630</v>
      </c>
      <c r="E6684" s="27" t="n">
        <f aca="false">mw_ext_26</f>
        <v>3250</v>
      </c>
      <c r="F6684" s="27" t="n">
        <f aca="false">MIN(1000000000,Sens!E6684+pace)</f>
        <v>5777.2</v>
      </c>
      <c r="G6684" s="27" t="n">
        <f aca="false">MIN(1000000000,Sens!F6684+pace)</f>
        <v>8304.4</v>
      </c>
      <c r="H6684" s="27" t="n">
        <f aca="false">MIN(1000000000,Sens!G6684+pace)</f>
        <v>10831.6</v>
      </c>
      <c r="I6684" s="27" t="n">
        <f aca="false">MIN(1000000000,Sens!H6684+pace)</f>
        <v>13358.8</v>
      </c>
      <c r="J6684" s="27" t="n">
        <f aca="false">MIN(1000000000,Sens!I6684+pace)</f>
        <v>15886</v>
      </c>
      <c r="K6684" s="27" t="n">
        <f aca="false">MIN(1000000000,Sens!J6684+pace)</f>
        <v>18413.2</v>
      </c>
      <c r="L6684" s="11" t="s">
        <v>720</v>
      </c>
    </row>
    <row r="6685" customFormat="false" ht="17.15" hidden="false" customHeight="false" outlineLevel="0" collapsed="false">
      <c r="A6685" s="1" t="s">
        <v>721</v>
      </c>
      <c r="B6685" s="0" t="s">
        <v>340</v>
      </c>
      <c r="C6685" s="27" t="n">
        <f aca="false">rent_ext_24</f>
        <v>150</v>
      </c>
      <c r="D6685" s="27" t="n">
        <f aca="false">rent_ext_25</f>
        <v>400</v>
      </c>
      <c r="E6685" s="27" t="n">
        <f aca="false">rent_ext_26</f>
        <v>550</v>
      </c>
      <c r="F6685" s="27" t="n">
        <f aca="false">rent_ext_f</f>
        <v>756</v>
      </c>
      <c r="G6685" s="27" t="n">
        <f aca="false">rent_ext_f</f>
        <v>756</v>
      </c>
      <c r="H6685" s="27" t="n">
        <f aca="false">rent_ext_f</f>
        <v>756</v>
      </c>
      <c r="I6685" s="27" t="n">
        <f aca="false">rent_ext_f</f>
        <v>756</v>
      </c>
      <c r="J6685" s="27" t="n">
        <f aca="false">rent_ext_f</f>
        <v>756</v>
      </c>
      <c r="K6685" s="27" t="n">
        <f aca="false">rent_ext_f</f>
        <v>756</v>
      </c>
      <c r="L6685" s="1" t="s">
        <v>722</v>
      </c>
    </row>
    <row r="6686" customFormat="false" ht="17.15" hidden="false" customHeight="false" outlineLevel="0" collapsed="false">
      <c r="A6686" s="1" t="s">
        <v>723</v>
      </c>
      <c r="B6686" s="0" t="s">
        <v>340</v>
      </c>
      <c r="C6686" s="27" t="n">
        <f aca="false">Sens!C6684-Sens!C6685</f>
        <v>490</v>
      </c>
      <c r="D6686" s="27" t="n">
        <f aca="false">Sens!D6684-Sens!D6685</f>
        <v>1230</v>
      </c>
      <c r="E6686" s="27" t="n">
        <f aca="false">Sens!E6684-Sens!E6685</f>
        <v>2700</v>
      </c>
      <c r="F6686" s="27" t="n">
        <f aca="false">Sens!F6684-Sens!F6685</f>
        <v>5021.2</v>
      </c>
      <c r="G6686" s="27" t="n">
        <f aca="false">Sens!G6684-Sens!G6685</f>
        <v>7548.4</v>
      </c>
      <c r="H6686" s="27" t="n">
        <f aca="false">Sens!H6684-Sens!H6685</f>
        <v>10075.6</v>
      </c>
      <c r="I6686" s="27" t="n">
        <f aca="false">Sens!I6684-Sens!I6685</f>
        <v>12602.8</v>
      </c>
      <c r="J6686" s="27" t="n">
        <f aca="false">Sens!J6684-Sens!J6685</f>
        <v>15130</v>
      </c>
      <c r="K6686" s="27" t="n">
        <f aca="false">Sens!K6684-Sens!K6685</f>
        <v>17657.2</v>
      </c>
    </row>
    <row r="6687" customFormat="false" ht="17.15" hidden="false" customHeight="false" outlineLevel="0" collapsed="false">
      <c r="A6687" s="1" t="s">
        <v>724</v>
      </c>
      <c r="B6687" s="0" t="s">
        <v>340</v>
      </c>
      <c r="C6687" s="27" t="n">
        <f aca="false">Sens!C6686/ext_sh</f>
        <v>816.666666666667</v>
      </c>
      <c r="D6687" s="27" t="n">
        <f aca="false">Sens!D6686/ext_sh</f>
        <v>2050</v>
      </c>
      <c r="E6687" s="27" t="n">
        <f aca="false">Sens!E6686/ext_sh</f>
        <v>4500</v>
      </c>
      <c r="F6687" s="27" t="n">
        <f aca="false">Sens!F6686/ext_sh</f>
        <v>8368.66666666667</v>
      </c>
      <c r="G6687" s="27" t="n">
        <f aca="false">Sens!G6686/ext_sh</f>
        <v>12580.6666666667</v>
      </c>
      <c r="H6687" s="27" t="n">
        <f aca="false">Sens!H6686/ext_sh</f>
        <v>16792.6666666667</v>
      </c>
      <c r="I6687" s="27" t="n">
        <f aca="false">Sens!I6686/ext_sh</f>
        <v>21004.6666666667</v>
      </c>
      <c r="J6687" s="27" t="n">
        <f aca="false">Sens!J6686/ext_sh</f>
        <v>25216.6666666667</v>
      </c>
      <c r="K6687" s="27" t="n">
        <f aca="false">Sens!K6686/ext_sh</f>
        <v>29428.6666666667</v>
      </c>
      <c r="L6687" s="1" t="s">
        <v>725</v>
      </c>
    </row>
    <row r="6688" customFormat="false" ht="17.15" hidden="false" customHeight="false" outlineLevel="0" collapsed="false">
      <c r="A6688" s="1" t="s">
        <v>726</v>
      </c>
      <c r="B6688" s="0" t="s">
        <v>340</v>
      </c>
      <c r="C6688" s="27" t="n">
        <f aca="false">Sens!C6687-Sens!C6686</f>
        <v>326.666666666667</v>
      </c>
      <c r="D6688" s="27" t="n">
        <f aca="false">Sens!D6687-Sens!D6686</f>
        <v>820</v>
      </c>
      <c r="E6688" s="27" t="n">
        <f aca="false">Sens!E6687-Sens!E6686</f>
        <v>1800</v>
      </c>
      <c r="F6688" s="27" t="n">
        <f aca="false">Sens!F6687-Sens!F6686</f>
        <v>3347.46666666667</v>
      </c>
      <c r="G6688" s="27" t="n">
        <f aca="false">Sens!G6687-Sens!G6686</f>
        <v>5032.26666666667</v>
      </c>
      <c r="H6688" s="27" t="n">
        <f aca="false">Sens!H6687-Sens!H6686</f>
        <v>6717.06666666667</v>
      </c>
      <c r="I6688" s="27" t="n">
        <f aca="false">Sens!I6687-Sens!I6686</f>
        <v>8401.86666666667</v>
      </c>
      <c r="J6688" s="27" t="n">
        <f aca="false">Sens!J6687-Sens!J6686</f>
        <v>10086.6666666667</v>
      </c>
      <c r="K6688" s="27" t="n">
        <f aca="false">Sens!K6687-Sens!K6686</f>
        <v>11771.4666666667</v>
      </c>
    </row>
    <row r="6689" customFormat="false" ht="17.15" hidden="false" customHeight="false" outlineLevel="0" collapsed="false">
      <c r="A6689" s="1" t="s">
        <v>727</v>
      </c>
      <c r="B6689" s="0" t="s">
        <v>340</v>
      </c>
      <c r="C6689" s="27" t="n">
        <f aca="false">Sens!C6687</f>
        <v>816.666666666667</v>
      </c>
      <c r="D6689" s="27" t="n">
        <f aca="false">Sens!D6687-Sens!C6687</f>
        <v>1233.33333333333</v>
      </c>
      <c r="E6689" s="27" t="n">
        <f aca="false">Sens!E6687-Sens!D6687</f>
        <v>2450</v>
      </c>
      <c r="F6689" s="27" t="n">
        <f aca="false">Sens!F6687-Sens!E6687</f>
        <v>3868.66666666667</v>
      </c>
      <c r="G6689" s="27" t="n">
        <f aca="false">Sens!G6687-Sens!F6687</f>
        <v>4212</v>
      </c>
      <c r="H6689" s="27" t="n">
        <f aca="false">Sens!H6687-Sens!G6687</f>
        <v>4212</v>
      </c>
      <c r="I6689" s="27" t="n">
        <f aca="false">Sens!I6687-Sens!H6687</f>
        <v>4212</v>
      </c>
      <c r="J6689" s="27" t="n">
        <f aca="false">Sens!J6687-Sens!I6687</f>
        <v>4212</v>
      </c>
      <c r="K6689" s="27" t="n">
        <f aca="false">Sens!K6687-Sens!J6687</f>
        <v>4212</v>
      </c>
    </row>
    <row r="6690" customFormat="false" ht="17.15" hidden="false" customHeight="false" outlineLevel="0" collapsed="false">
      <c r="A6690" s="1" t="s">
        <v>728</v>
      </c>
      <c r="B6690" s="0" t="s">
        <v>340</v>
      </c>
      <c r="D6690" s="27" t="n">
        <f aca="false">Sens!D6684-Sens!C6684</f>
        <v>990</v>
      </c>
      <c r="E6690" s="27" t="n">
        <f aca="false">Sens!E6684-Sens!D6684</f>
        <v>1620</v>
      </c>
      <c r="F6690" s="27" t="n">
        <f aca="false">Sens!F6684-Sens!E6684</f>
        <v>2527.2</v>
      </c>
      <c r="G6690" s="27" t="n">
        <f aca="false">Sens!G6684-Sens!F6684</f>
        <v>2527.2</v>
      </c>
      <c r="H6690" s="27" t="n">
        <f aca="false">Sens!H6684-Sens!G6684</f>
        <v>2527.2</v>
      </c>
      <c r="I6690" s="27" t="n">
        <f aca="false">Sens!I6684-Sens!H6684</f>
        <v>2527.2</v>
      </c>
      <c r="J6690" s="27" t="n">
        <f aca="false">Sens!J6684-Sens!I6684</f>
        <v>2527.2</v>
      </c>
      <c r="K6690" s="27" t="n">
        <f aca="false">Sens!K6684-Sens!J6684</f>
        <v>2527.2</v>
      </c>
    </row>
    <row r="6691" customFormat="false" ht="17.15" hidden="false" customHeight="false" outlineLevel="0" collapsed="false">
      <c r="A6691" s="1" t="s">
        <v>729</v>
      </c>
      <c r="B6691" s="0" t="s">
        <v>340</v>
      </c>
      <c r="C6691" s="27" t="n">
        <f aca="false">mix_h*Sens!C6684</f>
        <v>128</v>
      </c>
      <c r="D6691" s="27" t="n">
        <f aca="false">mix_h*Sens!D6684</f>
        <v>326</v>
      </c>
      <c r="E6691" s="27" t="n">
        <f aca="false">mix_h*Sens!E6684</f>
        <v>650</v>
      </c>
      <c r="F6691" s="27" t="n">
        <f aca="false">Sens!E6691</f>
        <v>650</v>
      </c>
      <c r="G6691" s="27" t="n">
        <f aca="false">Sens!F6691</f>
        <v>650</v>
      </c>
      <c r="H6691" s="27" t="n">
        <f aca="false">Sens!G6691</f>
        <v>650</v>
      </c>
      <c r="I6691" s="27" t="n">
        <f aca="false">Sens!H6691</f>
        <v>650</v>
      </c>
      <c r="J6691" s="27" t="n">
        <f aca="false">Sens!I6691</f>
        <v>650</v>
      </c>
      <c r="K6691" s="27" t="n">
        <f aca="false">Sens!J6691</f>
        <v>650</v>
      </c>
    </row>
    <row r="6692" customFormat="false" ht="17.15" hidden="false" customHeight="false" outlineLevel="0" collapsed="false">
      <c r="A6692" s="1" t="s">
        <v>730</v>
      </c>
      <c r="B6692" s="0" t="s">
        <v>340</v>
      </c>
      <c r="C6692" s="27" t="n">
        <f aca="false">mix_g2*Sens!C6684</f>
        <v>288</v>
      </c>
      <c r="D6692" s="27" t="n">
        <f aca="false">mix_g2*Sens!D6684</f>
        <v>733.5</v>
      </c>
      <c r="E6692" s="27" t="n">
        <f aca="false">mix_g2*Sens!E6684</f>
        <v>1462.5</v>
      </c>
      <c r="F6692" s="27" t="n">
        <f aca="false">Sens!E6692</f>
        <v>1462.5</v>
      </c>
      <c r="G6692" s="27" t="n">
        <f aca="false">Sens!F6692</f>
        <v>1462.5</v>
      </c>
      <c r="H6692" s="27" t="n">
        <f aca="false">Sens!G6692</f>
        <v>1462.5</v>
      </c>
      <c r="I6692" s="27" t="n">
        <f aca="false">Sens!H6692</f>
        <v>1462.5</v>
      </c>
      <c r="J6692" s="27" t="n">
        <f aca="false">Sens!I6692</f>
        <v>1462.5</v>
      </c>
      <c r="K6692" s="27" t="n">
        <f aca="false">Sens!J6692</f>
        <v>1462.5</v>
      </c>
    </row>
    <row r="6693" customFormat="false" ht="17.15" hidden="false" customHeight="false" outlineLevel="0" collapsed="false">
      <c r="A6693" s="1" t="s">
        <v>731</v>
      </c>
      <c r="B6693" s="0" t="s">
        <v>340</v>
      </c>
      <c r="C6693" s="27" t="n">
        <f aca="false">mix_g3*Sens!C6684</f>
        <v>224</v>
      </c>
      <c r="D6693" s="27" t="n">
        <f aca="false">mix_g3*Sens!D6684</f>
        <v>570.5</v>
      </c>
      <c r="E6693" s="27" t="n">
        <f aca="false">mix_g3*Sens!E6684</f>
        <v>1137.5</v>
      </c>
      <c r="F6693" s="27" t="n">
        <f aca="false">Sens!E6693+Sens!F6690*a_g3_27</f>
        <v>2906.54</v>
      </c>
      <c r="G6693" s="27" t="n">
        <f aca="false">Sens!F6693+Sens!G6690*a_g3_28</f>
        <v>3664.7</v>
      </c>
      <c r="H6693" s="27" t="n">
        <f aca="false">Sens!G6693+Sens!H6690*a_g3_29</f>
        <v>3917.42</v>
      </c>
      <c r="I6693" s="27" t="n">
        <f aca="false">Sens!H6693+Sens!I6690*a_g3_29</f>
        <v>4170.14</v>
      </c>
      <c r="J6693" s="27" t="n">
        <f aca="false">Sens!I6693+Sens!J6690*a_g3_29</f>
        <v>4422.86</v>
      </c>
      <c r="K6693" s="27" t="n">
        <f aca="false">Sens!J6693+Sens!K6690*a_g3_29</f>
        <v>4675.58</v>
      </c>
    </row>
    <row r="6694" customFormat="false" ht="17.15" hidden="false" customHeight="false" outlineLevel="0" collapsed="false">
      <c r="A6694" s="1" t="s">
        <v>732</v>
      </c>
      <c r="B6694" s="0" t="s">
        <v>340</v>
      </c>
      <c r="C6694" s="27" t="n">
        <f aca="false">0</f>
        <v>0</v>
      </c>
      <c r="D6694" s="27" t="n">
        <f aca="false">0</f>
        <v>0</v>
      </c>
      <c r="E6694" s="27" t="n">
        <f aca="false">0</f>
        <v>0</v>
      </c>
      <c r="F6694" s="27" t="n">
        <f aca="false">Sens!E6694+Sens!F6690*(1-a_g3_27)</f>
        <v>758.16</v>
      </c>
      <c r="G6694" s="27" t="n">
        <f aca="false">Sens!F6694+Sens!G6690*(1-a_g3_28)</f>
        <v>2527.2</v>
      </c>
      <c r="H6694" s="27" t="n">
        <f aca="false">Sens!G6694+Sens!H6690*(1-a_g3_29)</f>
        <v>4801.68</v>
      </c>
      <c r="I6694" s="27" t="n">
        <f aca="false">Sens!H6694+Sens!I6690*(1-a_g3_29)</f>
        <v>7076.16</v>
      </c>
      <c r="J6694" s="27" t="n">
        <f aca="false">Sens!I6694+Sens!J6690*(1-a_g3_29)</f>
        <v>9350.64</v>
      </c>
      <c r="K6694" s="27" t="n">
        <f aca="false">Sens!J6694+Sens!K6690*(1-a_g3_29)</f>
        <v>11625.12</v>
      </c>
    </row>
    <row r="6695" customFormat="false" ht="17.15" hidden="false" customHeight="false" outlineLevel="0" collapsed="false">
      <c r="A6695" s="1" t="s">
        <v>733</v>
      </c>
      <c r="B6695" s="0" t="s">
        <v>291</v>
      </c>
      <c r="C6695" s="18" t="n">
        <f aca="false">(Sens!C6691*tk_hold_h100+Sens!C6692*tk_hold_gb200+Sens!C6693*tk_hold_gb300+Sens!C6694*tk_hold_vr200)/Sens!C6684</f>
        <v>9.7235358126469</v>
      </c>
      <c r="D6695" s="18" t="n">
        <f aca="false">(Sens!D6691*tk_hold_h100+Sens!D6692*tk_hold_gb200+Sens!D6693*tk_hold_gb300+Sens!D6694*tk_hold_vr200)/Sens!D6684</f>
        <v>9.7235358126469</v>
      </c>
      <c r="E6695" s="18" t="n">
        <f aca="false">(Sens!E6691*tk_hold_h100+Sens!E6692*tk_hold_gb200+Sens!E6693*tk_hold_gb300+Sens!E6694*tk_hold_vr200)/Sens!E6684</f>
        <v>9.7235358126469</v>
      </c>
      <c r="F6695" s="18" t="n">
        <f aca="false">(Sens!F6691*tk_hold_h100+Sens!F6692*tk_hold_gb200+Sens!F6693*tk_hold_gb300+Sens!F6694*tk_hold_vr200)/Sens!F6684</f>
        <v>10.4079573161931</v>
      </c>
      <c r="G6695" s="18" t="n">
        <f aca="false">(Sens!G6691*tk_hold_h100+Sens!G6692*tk_hold_gb200+Sens!G6693*tk_hold_gb300+Sens!G6694*tk_hold_vr200)/Sens!G6684</f>
        <v>10.8388131109316</v>
      </c>
      <c r="H6695" s="18" t="n">
        <f aca="false">(Sens!H6691*tk_hold_h100+Sens!H6692*tk_hold_gb200+Sens!H6693*tk_hold_gb300+Sens!H6694*tk_hold_vr200)/Sens!H6684</f>
        <v>11.1311018388216</v>
      </c>
      <c r="I6695" s="18" t="n">
        <f aca="false">(Sens!I6691*tk_hold_h100+Sens!I6692*tk_hold_gb200+Sens!I6693*tk_hold_gb300+Sens!I6694*tk_hold_vr200)/Sens!I6684</f>
        <v>11.3128009818501</v>
      </c>
      <c r="J6695" s="18" t="n">
        <f aca="false">(Sens!J6691*tk_hold_h100+Sens!J6692*tk_hold_gb200+Sens!J6693*tk_hold_gb300+Sens!J6694*tk_hold_vr200)/Sens!J6684</f>
        <v>11.4366894646418</v>
      </c>
      <c r="K6695" s="18" t="n">
        <f aca="false">(Sens!K6691*tk_hold_h100+Sens!K6692*tk_hold_gb200+Sens!K6693*tk_hold_gb300+Sens!K6694*tk_hold_vr200)/Sens!K6684</f>
        <v>11.526570716348</v>
      </c>
    </row>
    <row r="6696" customFormat="false" ht="17.15" hidden="false" customHeight="false" outlineLevel="0" collapsed="false">
      <c r="A6696" s="0" t="s">
        <v>734</v>
      </c>
      <c r="B6696" s="0" t="s">
        <v>182</v>
      </c>
      <c r="C6696" s="18" t="n">
        <f aca="false">k_B</f>
        <v>1.17213932619116</v>
      </c>
      <c r="D6696" s="18" t="n">
        <f aca="false">k_B</f>
        <v>1.17213932619116</v>
      </c>
      <c r="E6696" s="18" t="n">
        <f aca="false">k_B</f>
        <v>1.17213932619116</v>
      </c>
      <c r="F6696" s="18" t="n">
        <f aca="false">(k_B+((ls_C*k_long+(1-ls_C)*k_spot)-k_B)*MIN(1,1/3))*1</f>
        <v>1.07843258004497</v>
      </c>
      <c r="G6696" s="18" t="n">
        <f aca="false">(k_B+((ls_C*k_long+(1-ls_C)*k_spot)-k_B)*MIN(1,2/3))*1</f>
        <v>0.984725833898784</v>
      </c>
      <c r="H6696" s="18" t="n">
        <f aca="false">(k_B+((ls_C*k_long+(1-ls_C)*k_spot)-k_B)*MIN(1,3/3))*1</f>
        <v>0.891019087752599</v>
      </c>
      <c r="I6696" s="18" t="n">
        <f aca="false">(k_B+((ls_C*k_long+(1-ls_C)*k_spot)-k_B)*MIN(1,4/3))*1</f>
        <v>0.891019087752599</v>
      </c>
      <c r="J6696" s="18" t="n">
        <f aca="false">(k_B+((ls_C*k_long+(1-ls_C)*k_spot)-k_B)*MIN(1,5/3))*1</f>
        <v>0.891019087752599</v>
      </c>
      <c r="K6696" s="18" t="n">
        <f aca="false">(k_B+((ls_C*k_long+(1-ls_C)*k_spot)-k_B)*MIN(1,6/3))*1</f>
        <v>0.891019087752599</v>
      </c>
      <c r="L6696" s="1" t="s">
        <v>735</v>
      </c>
    </row>
    <row r="6697" customFormat="false" ht="17.15" hidden="false" customHeight="false" outlineLevel="0" collapsed="false">
      <c r="A6697" s="1" t="s">
        <v>736</v>
      </c>
      <c r="B6697" s="0" t="s">
        <v>291</v>
      </c>
      <c r="C6697" s="18" t="n">
        <f aca="false">Sens!C6695*Sens!C6696*chip_f</f>
        <v>11.3973387156315</v>
      </c>
      <c r="D6697" s="18" t="n">
        <f aca="false">Sens!D6695*Sens!D6696*chip_f</f>
        <v>11.3973387156315</v>
      </c>
      <c r="E6697" s="18" t="n">
        <f aca="false">Sens!E6695*Sens!E6696*chip_f</f>
        <v>11.3973387156315</v>
      </c>
      <c r="F6697" s="18" t="n">
        <f aca="false">Sens!F6695*Sens!F6696*chip_f</f>
        <v>11.2242802615</v>
      </c>
      <c r="G6697" s="18" t="n">
        <f aca="false">Sens!G6695*Sens!G6696*chip_f</f>
        <v>10.6732592791352</v>
      </c>
      <c r="H6697" s="18" t="n">
        <f aca="false">Sens!H6695*Sens!H6696*chip_f</f>
        <v>9.91802420610807</v>
      </c>
      <c r="I6697" s="18" t="n">
        <f aca="false">Sens!I6695*Sens!I6696*chip_f</f>
        <v>10.0799216107748</v>
      </c>
      <c r="J6697" s="18" t="n">
        <f aca="false">Sens!J6695*Sens!J6696*chip_f</f>
        <v>10.1903086136949</v>
      </c>
      <c r="K6697" s="18" t="n">
        <f aca="false">Sens!K6695*Sens!K6696*chip_f</f>
        <v>10.2703945245962</v>
      </c>
      <c r="L6697" s="1" t="s">
        <v>737</v>
      </c>
    </row>
    <row r="6698" customFormat="false" ht="17.15" hidden="false" customHeight="false" outlineLevel="0" collapsed="false">
      <c r="A6698" s="0" t="s">
        <v>738</v>
      </c>
      <c r="B6698" s="0" t="s">
        <v>95</v>
      </c>
      <c r="D6698" s="6" t="n">
        <f aca="false">(Sens!C6684+Sens!D6684)/2*Sens!D6697/1000</f>
        <v>12.9359794422418</v>
      </c>
      <c r="E6698" s="6" t="n">
        <f aca="false">(Sens!D6684+Sens!E6684)/2*Sens!E6697/1000</f>
        <v>27.8095064661409</v>
      </c>
      <c r="F6698" s="6" t="n">
        <f aca="false">(Sens!E6684+Sens!F6684)/2*Sens!F6697/1000</f>
        <v>50.6619113883066</v>
      </c>
      <c r="G6698" s="6" t="n">
        <f aca="false">(Sens!F6684+Sens!G6684)/2*Sens!G6697/1000</f>
        <v>75.1482839325348</v>
      </c>
      <c r="H6698" s="6" t="n">
        <f aca="false">(Sens!G6684+Sens!H6684)/2*Sens!H6697/1000</f>
        <v>94.895655604042</v>
      </c>
      <c r="I6698" s="6" t="n">
        <f aca="false">(Sens!H6684+Sens!I6684)/2*Sens!I6697/1000</f>
        <v>121.918667866643</v>
      </c>
      <c r="J6698" s="6" t="n">
        <f aca="false">(Sens!I6684+Sens!J6684)/2*Sens!J6697/1000</f>
        <v>149.006768672892</v>
      </c>
      <c r="K6698" s="6" t="n">
        <f aca="false">(Sens!J6684+Sens!K6684)/2*Sens!K6697/1000</f>
        <v>176.133157939015</v>
      </c>
      <c r="L6698" s="11" t="s">
        <v>739</v>
      </c>
    </row>
    <row r="6699" customFormat="false" ht="17.15" hidden="false" customHeight="false" outlineLevel="0" collapsed="false">
      <c r="A6699" s="1" t="s">
        <v>740</v>
      </c>
      <c r="B6699" s="0" t="s">
        <v>291</v>
      </c>
      <c r="C6699" s="18" t="n">
        <f aca="false">(Sens!C6691*tk_opex_h100+Sens!C6692*tk_opex_gb200+Sens!C6693*tk_opex_gb300+Sens!C6694*tk_opex_vr200)/Sens!C6684</f>
        <v>1.88636041306092</v>
      </c>
      <c r="D6699" s="18" t="n">
        <f aca="false">(Sens!D6691*tk_opex_h100+Sens!D6692*tk_opex_gb200+Sens!D6693*tk_opex_gb300+Sens!D6694*tk_opex_vr200)/Sens!D6684</f>
        <v>1.88636041306092</v>
      </c>
      <c r="E6699" s="18" t="n">
        <f aca="false">(Sens!E6691*tk_opex_h100+Sens!E6692*tk_opex_gb200+Sens!E6693*tk_opex_gb300+Sens!E6694*tk_opex_vr200)/Sens!E6684</f>
        <v>1.88636041306092</v>
      </c>
      <c r="F6699" s="18" t="n">
        <f aca="false">(Sens!F6691*tk_opex_h100+Sens!F6692*tk_opex_gb200+Sens!F6693*tk_opex_gb300+Sens!F6694*tk_opex_vr200)/Sens!F6684</f>
        <v>1.9430236476499</v>
      </c>
      <c r="G6699" s="18" t="n">
        <f aca="false">(Sens!G6691*tk_opex_h100+Sens!G6692*tk_opex_gb200+Sens!G6693*tk_opex_gb300+Sens!G6694*tk_opex_vr200)/Sens!G6684</f>
        <v>1.9786941852423</v>
      </c>
      <c r="H6699" s="18" t="n">
        <f aca="false">(Sens!H6691*tk_opex_h100+Sens!H6692*tk_opex_gb200+Sens!H6693*tk_opex_gb300+Sens!H6694*tk_opex_vr200)/Sens!H6684</f>
        <v>2.00289275976156</v>
      </c>
      <c r="I6699" s="18" t="n">
        <f aca="false">(Sens!I6691*tk_opex_h100+Sens!I6692*tk_opex_gb200+Sens!I6693*tk_opex_gb300+Sens!I6694*tk_opex_vr200)/Sens!I6684</f>
        <v>2.01793562605478</v>
      </c>
      <c r="J6699" s="18" t="n">
        <f aca="false">(Sens!J6691*tk_opex_h100+Sens!J6692*tk_opex_gb200+Sens!J6693*tk_opex_gb300+Sens!J6694*tk_opex_vr200)/Sens!J6684</f>
        <v>2.02819234961902</v>
      </c>
      <c r="K6699" s="18" t="n">
        <f aca="false">(Sens!K6691*tk_opex_h100+Sens!K6692*tk_opex_gb200+Sens!K6693*tk_opex_gb300+Sens!K6694*tk_opex_vr200)/Sens!K6684</f>
        <v>2.0356336155994</v>
      </c>
    </row>
    <row r="6700" customFormat="false" ht="17.15" hidden="false" customHeight="false" outlineLevel="0" collapsed="false">
      <c r="A6700" s="0" t="s">
        <v>741</v>
      </c>
      <c r="B6700" s="0" t="s">
        <v>95</v>
      </c>
      <c r="D6700" s="6" t="n">
        <f aca="false">(Sens!C6687+Sens!D6687)/2*Sens!D6699/1000</f>
        <v>2.70378325872065</v>
      </c>
      <c r="E6700" s="6" t="n">
        <f aca="false">(Sens!D6687+Sens!E6687)/2*Sens!E6699/1000</f>
        <v>6.17783035277451</v>
      </c>
      <c r="F6700" s="6" t="n">
        <f aca="false">(Sens!E6687+Sens!F6687)/2*Sens!F6699/1000</f>
        <v>12.5020618235287</v>
      </c>
      <c r="G6700" s="6" t="n">
        <f aca="false">(Sens!F6687+Sens!G6687)/2*Sens!G6699/1000</f>
        <v>20.7261620256847</v>
      </c>
      <c r="H6700" s="6" t="n">
        <f aca="false">(Sens!G6687+Sens!H6687)/2*Sens!H6699/1000</f>
        <v>29.4158183316982</v>
      </c>
      <c r="I6700" s="6" t="n">
        <f aca="false">(Sens!H6687+Sens!I6687)/2*Sens!I6699/1000</f>
        <v>38.1362927516005</v>
      </c>
      <c r="J6700" s="6" t="n">
        <f aca="false">(Sens!I6687+Sens!J6687)/2*Sens!J6699/1000</f>
        <v>46.8728773279286</v>
      </c>
      <c r="K6700" s="6" t="n">
        <f aca="false">(Sens!J6687+Sens!K6687)/2*Sens!K6699/1000</f>
        <v>55.618938734484</v>
      </c>
    </row>
    <row r="6701" customFormat="false" ht="17.15" hidden="false" customHeight="false" outlineLevel="0" collapsed="false">
      <c r="A6701" s="0" t="s">
        <v>742</v>
      </c>
      <c r="B6701" s="0" t="s">
        <v>95</v>
      </c>
      <c r="D6701" s="6" t="n">
        <f aca="false">(Sens!C6685+Sens!D6685)/2*rent_mw/1000</f>
        <v>2.44475</v>
      </c>
      <c r="E6701" s="6" t="n">
        <f aca="false">(Sens!D6685+Sens!E6685)/2*rent_mw/1000</f>
        <v>4.22275</v>
      </c>
      <c r="F6701" s="6" t="n">
        <f aca="false">(Sens!E6685+Sens!F6685)/2*rent_mw/1000</f>
        <v>5.80517</v>
      </c>
      <c r="G6701" s="6" t="n">
        <f aca="false">(Sens!F6685+Sens!G6685)/2*rent_mw/1000</f>
        <v>6.72084</v>
      </c>
      <c r="H6701" s="6" t="n">
        <f aca="false">(Sens!G6685+Sens!H6685)/2*rent_mw/1000</f>
        <v>6.72084</v>
      </c>
      <c r="I6701" s="6" t="n">
        <f aca="false">(Sens!H6685+Sens!I6685)/2*rent_mw/1000</f>
        <v>6.72084</v>
      </c>
      <c r="J6701" s="6" t="n">
        <f aca="false">(Sens!I6685+Sens!J6685)/2*rent_mw/1000</f>
        <v>6.72084</v>
      </c>
      <c r="K6701" s="6" t="n">
        <f aca="false">(Sens!J6685+Sens!K6685)/2*rent_mw/1000</f>
        <v>6.72084</v>
      </c>
    </row>
    <row r="6702" customFormat="false" ht="17.15" hidden="false" customHeight="false" outlineLevel="0" collapsed="false">
      <c r="A6702" s="0" t="s">
        <v>743</v>
      </c>
      <c r="B6702" s="0" t="s">
        <v>95</v>
      </c>
      <c r="D6702" s="6" t="n">
        <f aca="false">(Sens!C6687+Sens!D6687)/2*(1-self_build)*fac_rent/1000</f>
        <v>0.853242375631075</v>
      </c>
      <c r="E6702" s="6" t="n">
        <f aca="false">(Sens!D6687+Sens!E6687)/2*(1-self_build)*fac_rent/1000</f>
        <v>1.94955961408728</v>
      </c>
      <c r="F6702" s="6" t="n">
        <f aca="false">(Sens!E6687+Sens!F6687)/2*(1-self_build)*fac_rent/1000</f>
        <v>3.83026455274573</v>
      </c>
      <c r="G6702" s="6" t="n">
        <f aca="false">(Sens!F6687+Sens!G6687)/2*(1-self_build)*fac_rent/1000</f>
        <v>6.23541590972812</v>
      </c>
      <c r="H6702" s="6" t="n">
        <f aca="false">(Sens!G6687+Sens!H6687)/2*(1-self_build)*fac_rent/1000</f>
        <v>8.74275792332679</v>
      </c>
      <c r="I6702" s="6" t="n">
        <f aca="false">(Sens!H6687+Sens!I6687)/2*(1-self_build)*fac_rent/1000</f>
        <v>11.2500999369255</v>
      </c>
      <c r="J6702" s="6" t="n">
        <f aca="false">(Sens!I6687+Sens!J6687)/2*(1-self_build)*fac_rent/1000</f>
        <v>13.7574419505241</v>
      </c>
      <c r="K6702" s="6" t="n">
        <f aca="false">(Sens!J6687+Sens!K6687)/2*(1-self_build)*fac_rent/1000</f>
        <v>16.2647839641228</v>
      </c>
      <c r="L6702" s="11" t="s">
        <v>744</v>
      </c>
    </row>
    <row r="6703" customFormat="false" ht="17.15" hidden="false" customHeight="false" outlineLevel="0" collapsed="false">
      <c r="A6703" s="1" t="s">
        <v>745</v>
      </c>
      <c r="B6703" s="0" t="s">
        <v>126</v>
      </c>
      <c r="D6703" s="7" t="n">
        <f aca="false">(Sens!C6686+Sens!D6686)/(Sens!C6687+Sens!D6687)</f>
        <v>0.6</v>
      </c>
      <c r="E6703" s="7" t="n">
        <f aca="false">(Sens!D6686+Sens!E6686)/(Sens!D6687+Sens!E6687)</f>
        <v>0.6</v>
      </c>
      <c r="F6703" s="7" t="n">
        <f aca="false">(Sens!E6686+Sens!F6686)/(Sens!E6687+Sens!F6687)</f>
        <v>0.6</v>
      </c>
      <c r="G6703" s="7" t="n">
        <f aca="false">(Sens!F6686+Sens!G6686)/(Sens!F6687+Sens!G6687)</f>
        <v>0.6</v>
      </c>
      <c r="H6703" s="7" t="n">
        <f aca="false">(Sens!G6686+Sens!H6686)/(Sens!G6687+Sens!H6687)</f>
        <v>0.6</v>
      </c>
      <c r="I6703" s="7" t="n">
        <f aca="false">(Sens!H6686+Sens!I6686)/(Sens!H6687+Sens!I6687)</f>
        <v>0.6</v>
      </c>
      <c r="J6703" s="7" t="n">
        <f aca="false">(Sens!I6686+Sens!J6686)/(Sens!I6687+Sens!J6687)</f>
        <v>0.6</v>
      </c>
      <c r="K6703" s="7" t="n">
        <f aca="false">(Sens!J6686+Sens!K6686)/(Sens!J6687+Sens!K6687)</f>
        <v>0.6</v>
      </c>
    </row>
    <row r="6704" customFormat="false" ht="17.15" hidden="false" customHeight="false" outlineLevel="0" collapsed="false">
      <c r="A6704" s="0" t="s">
        <v>746</v>
      </c>
      <c r="B6704" s="0" t="s">
        <v>95</v>
      </c>
      <c r="D6704" s="6" t="n">
        <f aca="false">Sens!D6698-Sens!D6703*(Sens!D6700+Sens!D6702)-Sens!D6701</f>
        <v>8.35701406163072</v>
      </c>
      <c r="E6704" s="6" t="n">
        <f aca="false">Sens!E6698-Sens!E6703*(Sens!E6700+Sens!E6702)-Sens!E6701</f>
        <v>18.7103224860238</v>
      </c>
      <c r="F6704" s="6" t="n">
        <f aca="false">Sens!F6698-Sens!F6703*(Sens!F6700+Sens!F6702)-Sens!F6701</f>
        <v>35.0573455625419</v>
      </c>
      <c r="G6704" s="6" t="n">
        <f aca="false">Sens!G6698-Sens!G6703*(Sens!G6700+Sens!G6702)-Sens!G6701</f>
        <v>52.2504971712871</v>
      </c>
      <c r="H6704" s="6" t="n">
        <f aca="false">Sens!H6698-Sens!H6703*(Sens!H6700+Sens!H6702)-Sens!H6701</f>
        <v>65.2796698510271</v>
      </c>
      <c r="I6704" s="6" t="n">
        <f aca="false">Sens!I6698-Sens!I6703*(Sens!I6700+Sens!I6702)-Sens!I6701</f>
        <v>85.5659922535278</v>
      </c>
      <c r="J6704" s="6" t="n">
        <f aca="false">Sens!J6698-Sens!J6703*(Sens!J6700+Sens!J6702)-Sens!J6701</f>
        <v>105.90773710582</v>
      </c>
      <c r="K6704" s="6" t="n">
        <f aca="false">Sens!K6698-Sens!K6703*(Sens!K6700+Sens!K6702)-Sens!K6701</f>
        <v>126.282084319851</v>
      </c>
    </row>
    <row r="6705" customFormat="false" ht="17.15" hidden="false" customHeight="false" outlineLevel="0" collapsed="false">
      <c r="A6705" s="1" t="s">
        <v>747</v>
      </c>
      <c r="B6705" s="0" t="s">
        <v>95</v>
      </c>
      <c r="D6705" s="6" t="n">
        <f aca="false">(1-Sens!D6703)*(Sens!D6700+Sens!D6702)</f>
        <v>1.42281025374069</v>
      </c>
      <c r="E6705" s="6" t="n">
        <f aca="false">(1-Sens!E6703)*(Sens!E6700+Sens!E6702)</f>
        <v>3.25095598674472</v>
      </c>
      <c r="F6705" s="6" t="n">
        <f aca="false">(1-Sens!F6703)*(Sens!F6700+Sens!F6702)</f>
        <v>6.53293055050977</v>
      </c>
      <c r="G6705" s="6" t="n">
        <f aca="false">(1-Sens!G6703)*(Sens!G6700+Sens!G6702)</f>
        <v>10.7846311741651</v>
      </c>
      <c r="H6705" s="6" t="n">
        <f aca="false">(1-Sens!H6703)*(Sens!H6700+Sens!H6702)</f>
        <v>15.26343050201</v>
      </c>
      <c r="I6705" s="6" t="n">
        <f aca="false">(1-Sens!I6703)*(Sens!I6700+Sens!I6702)</f>
        <v>19.7545570754104</v>
      </c>
      <c r="J6705" s="6" t="n">
        <f aca="false">(1-Sens!J6703)*(Sens!J6700+Sens!J6702)</f>
        <v>24.2521277113811</v>
      </c>
      <c r="K6705" s="6" t="n">
        <f aca="false">(1-Sens!K6703)*(Sens!K6700+Sens!K6702)</f>
        <v>28.7534890794427</v>
      </c>
    </row>
    <row r="6706" customFormat="false" ht="17.15" hidden="false" customHeight="false" outlineLevel="0" collapsed="false">
      <c r="A6706" s="1" t="s">
        <v>748</v>
      </c>
      <c r="B6706" s="0" t="s">
        <v>302</v>
      </c>
      <c r="C6706" s="8" t="n">
        <f aca="false">cxit_open</f>
        <v>27.5918995</v>
      </c>
      <c r="D6706" s="8" t="n">
        <f aca="false">cxit_open</f>
        <v>27.5918995</v>
      </c>
      <c r="E6706" s="8" t="n">
        <f aca="false">cxit_open</f>
        <v>27.5918995</v>
      </c>
      <c r="F6706" s="8" t="n">
        <f aca="false">(a_g3_27*tk_cxit_gb300+(1-a_g3_27)*tk_cxit_vr200)</f>
        <v>33.8419624</v>
      </c>
      <c r="G6706" s="8" t="n">
        <f aca="false">(a_g3_28*tk_cxit_gb300+(1-a_g3_28)*tk_cxit_vr200)</f>
        <v>35.9816136</v>
      </c>
      <c r="H6706" s="8" t="n">
        <f aca="false">(a_g3_29*tk_cxit_gb300+(1-a_g3_29)*tk_cxit_vr200)</f>
        <v>37.0514392</v>
      </c>
      <c r="I6706" s="8" t="n">
        <f aca="false">(a_g3_29*tk_cxit_gb300+(1-a_g3_29)*tk_cxit_vr200)</f>
        <v>37.0514392</v>
      </c>
      <c r="J6706" s="8" t="n">
        <f aca="false">(a_g3_29*tk_cxit_gb300+(1-a_g3_29)*tk_cxit_vr200)</f>
        <v>37.0514392</v>
      </c>
      <c r="K6706" s="8" t="n">
        <f aca="false">(a_g3_29*tk_cxit_gb300+(1-a_g3_29)*tk_cxit_vr200)</f>
        <v>37.0514392</v>
      </c>
      <c r="L6706" s="11" t="s">
        <v>749</v>
      </c>
    </row>
    <row r="6707" customFormat="false" ht="17.15" hidden="false" customHeight="false" outlineLevel="0" collapsed="false">
      <c r="A6707" s="0" t="s">
        <v>750</v>
      </c>
      <c r="B6707" s="0" t="s">
        <v>340</v>
      </c>
      <c r="F6707" s="27" t="n">
        <f aca="false">Sens!C6689*IF(3=life_it,1,0)+Sens!D6689*IF(2=life_it,1,0)+Sens!E6689*IF(1=life_it,1,0)</f>
        <v>0</v>
      </c>
      <c r="G6707" s="27" t="n">
        <f aca="false">Sens!C6689*IF(4=life_it,1,0)+Sens!D6689*IF(3=life_it,1,0)+Sens!E6689*IF(2=life_it,1,0)+Sens!F6689*IF(1=life_it,1,0)</f>
        <v>0</v>
      </c>
      <c r="H6707" s="27" t="n">
        <f aca="false">Sens!C6689*IF(5=life_it,1,0)+Sens!D6689*IF(4=life_it,1,0)+Sens!E6689*IF(3=life_it,1,0)+Sens!F6689*IF(2=life_it,1,0)+Sens!G6689*IF(1=life_it,1,0)</f>
        <v>0</v>
      </c>
      <c r="I6707" s="27" t="n">
        <f aca="false">Sens!C6689*IF(6=life_it,1,0)+Sens!D6689*IF(5=life_it,1,0)+Sens!E6689*IF(4=life_it,1,0)+Sens!F6689*IF(3=life_it,1,0)+Sens!G6689*IF(2=life_it,1,0)+Sens!H6689*IF(1=life_it,1,0)</f>
        <v>816.666666666667</v>
      </c>
      <c r="J6707" s="27" t="n">
        <f aca="false">Sens!C6689*IF(7=life_it,1,0)+Sens!D6689*IF(6=life_it,1,0)+Sens!E6689*IF(5=life_it,1,0)+Sens!F6689*IF(4=life_it,1,0)+Sens!G6689*IF(3=life_it,1,0)+Sens!H6689*IF(2=life_it,1,0)+Sens!I6689*IF(1=life_it,1,0)</f>
        <v>1233.33333333333</v>
      </c>
      <c r="K6707" s="27" t="n">
        <f aca="false">Sens!C6689*IF(8=life_it,1,0)+Sens!D6689*IF(7=life_it,1,0)+Sens!E6689*IF(6=life_it,1,0)+Sens!F6689*IF(5=life_it,1,0)+Sens!G6689*IF(4=life_it,1,0)+Sens!H6689*IF(3=life_it,1,0)+Sens!I6689*IF(2=life_it,1,0)+Sens!J6689*IF(1=life_it,1,0)</f>
        <v>2450</v>
      </c>
      <c r="L6707" s="1" t="s">
        <v>751</v>
      </c>
    </row>
    <row r="6708" customFormat="false" ht="17.15" hidden="false" customHeight="false" outlineLevel="0" collapsed="false">
      <c r="A6708" s="0" t="s">
        <v>752</v>
      </c>
      <c r="B6708" s="0" t="s">
        <v>95</v>
      </c>
      <c r="C6708" s="6" t="n">
        <f aca="false">Sens!C6689*Sens!C6706/1000</f>
        <v>22.5333845916667</v>
      </c>
      <c r="D6708" s="6" t="n">
        <f aca="false">Sens!D6689*Sens!D6706/1000</f>
        <v>34.0300093833333</v>
      </c>
      <c r="E6708" s="6" t="n">
        <f aca="false">Sens!E6689*Sens!E6706/1000</f>
        <v>67.600153775</v>
      </c>
      <c r="F6708" s="6" t="n">
        <f aca="false">(Sens!F6689+Sens!F6707)*Sens!F6706/1000</f>
        <v>130.923271871467</v>
      </c>
      <c r="G6708" s="6" t="n">
        <f aca="false">(Sens!G6689+Sens!G6707)*Sens!G6706/1000</f>
        <v>151.5545564832</v>
      </c>
      <c r="H6708" s="6" t="n">
        <f aca="false">(Sens!H6689+Sens!H6707)*Sens!H6706/1000</f>
        <v>156.0606619104</v>
      </c>
      <c r="I6708" s="6" t="n">
        <f aca="false">(Sens!I6689+Sens!I6707)*Sens!I6706/1000</f>
        <v>186.319337257067</v>
      </c>
      <c r="J6708" s="6" t="n">
        <f aca="false">(Sens!J6689+Sens!J6707)*Sens!J6706/1000</f>
        <v>201.757436923733</v>
      </c>
      <c r="K6708" s="6" t="n">
        <f aca="false">(Sens!K6689+Sens!K6707)*Sens!K6706/1000</f>
        <v>246.8366879504</v>
      </c>
    </row>
    <row r="6709" customFormat="false" ht="17.15" hidden="false" customHeight="false" outlineLevel="0" collapsed="false">
      <c r="A6709" s="0" t="s">
        <v>753</v>
      </c>
      <c r="B6709" s="0" t="s">
        <v>95</v>
      </c>
      <c r="C6709" s="6" t="n">
        <f aca="false">Sens!C6689*self_build*tk_cxfac/1000</f>
        <v>6.2083</v>
      </c>
      <c r="D6709" s="6" t="n">
        <f aca="false">Sens!D6689*self_build*tk_cxfac/1000</f>
        <v>9.3758</v>
      </c>
      <c r="E6709" s="6" t="n">
        <f aca="false">Sens!E6689*self_build*tk_cxfac/1000</f>
        <v>18.6249</v>
      </c>
      <c r="F6709" s="6" t="n">
        <f aca="false">Sens!F6689*self_build*tk_cxfac/1000</f>
        <v>29.409604</v>
      </c>
      <c r="G6709" s="6" t="n">
        <f aca="false">Sens!G6689*self_build*tk_cxfac/1000</f>
        <v>32.019624</v>
      </c>
      <c r="H6709" s="6" t="n">
        <f aca="false">Sens!H6689*self_build*tk_cxfac/1000</f>
        <v>32.019624</v>
      </c>
      <c r="I6709" s="6" t="n">
        <f aca="false">Sens!I6689*self_build*tk_cxfac/1000</f>
        <v>32.019624</v>
      </c>
      <c r="J6709" s="6" t="n">
        <f aca="false">Sens!J6689*self_build*tk_cxfac/1000</f>
        <v>32.019624</v>
      </c>
      <c r="K6709" s="6" t="n">
        <f aca="false">Sens!K6689*self_build*tk_cxfac/1000</f>
        <v>32.019624</v>
      </c>
    </row>
    <row r="6710" customFormat="false" ht="17.15" hidden="false" customHeight="false" outlineLevel="0" collapsed="false">
      <c r="A6710" s="0" t="s">
        <v>754</v>
      </c>
      <c r="B6710" s="0" t="s">
        <v>95</v>
      </c>
      <c r="F6710" s="6" t="n">
        <f aca="false">MAX(0,capex_floor27-Sens!F6708-Sens!F6709-Sens!F6797)</f>
        <v>8.51190539250474</v>
      </c>
      <c r="G6710" s="6" t="n">
        <f aca="false">0</f>
        <v>0</v>
      </c>
      <c r="H6710" s="6" t="n">
        <f aca="false">0</f>
        <v>0</v>
      </c>
      <c r="I6710" s="6" t="n">
        <f aca="false">0</f>
        <v>0</v>
      </c>
      <c r="J6710" s="6" t="n">
        <f aca="false">0</f>
        <v>0</v>
      </c>
      <c r="K6710" s="6" t="n">
        <f aca="false">0</f>
        <v>0</v>
      </c>
      <c r="L6710" s="1" t="s">
        <v>755</v>
      </c>
    </row>
    <row r="6711" customFormat="false" ht="17.15" hidden="false" customHeight="false" outlineLevel="0" collapsed="false">
      <c r="A6711" s="0" t="s">
        <v>756</v>
      </c>
      <c r="B6711" s="0" t="s">
        <v>95</v>
      </c>
      <c r="C6711" s="6" t="n">
        <f aca="false">Sens!C6708</f>
        <v>22.5333845916667</v>
      </c>
      <c r="D6711" s="6" t="n">
        <f aca="false">Sens!D6708</f>
        <v>34.0300093833333</v>
      </c>
      <c r="E6711" s="6" t="n">
        <f aca="false">Sens!E6708</f>
        <v>67.600153775</v>
      </c>
      <c r="F6711" s="6" t="n">
        <f aca="false">Sens!F6708+Sens!F6710</f>
        <v>139.435177263971</v>
      </c>
      <c r="G6711" s="6" t="n">
        <f aca="false">Sens!G6708+Sens!G6710</f>
        <v>151.5545564832</v>
      </c>
      <c r="H6711" s="6" t="n">
        <f aca="false">Sens!H6708+Sens!H6710</f>
        <v>156.0606619104</v>
      </c>
      <c r="I6711" s="6" t="n">
        <f aca="false">Sens!I6708+Sens!I6710</f>
        <v>186.319337257067</v>
      </c>
      <c r="J6711" s="6" t="n">
        <f aca="false">Sens!J6708+Sens!J6710</f>
        <v>201.757436923733</v>
      </c>
      <c r="K6711" s="6" t="n">
        <f aca="false">Sens!K6708+Sens!K6710</f>
        <v>246.8366879504</v>
      </c>
    </row>
    <row r="6712" customFormat="false" ht="17.15" hidden="false" customHeight="false" outlineLevel="0" collapsed="false">
      <c r="A6712" s="0" t="s">
        <v>757</v>
      </c>
      <c r="B6712" s="0" t="s">
        <v>95</v>
      </c>
      <c r="C6712" s="6" t="n">
        <f aca="false">Sens!C6711+Sens!C6709</f>
        <v>28.7416845916667</v>
      </c>
      <c r="D6712" s="6" t="n">
        <f aca="false">Sens!D6711+Sens!D6709</f>
        <v>43.4058093833333</v>
      </c>
      <c r="E6712" s="6" t="n">
        <f aca="false">Sens!E6711+Sens!E6709</f>
        <v>86.225053775</v>
      </c>
      <c r="F6712" s="6" t="n">
        <f aca="false">Sens!F6711+Sens!F6709</f>
        <v>168.844781263971</v>
      </c>
      <c r="G6712" s="6" t="n">
        <f aca="false">Sens!G6711+Sens!G6709</f>
        <v>183.5741804832</v>
      </c>
      <c r="H6712" s="6" t="n">
        <f aca="false">Sens!H6711+Sens!H6709</f>
        <v>188.0802859104</v>
      </c>
      <c r="I6712" s="6" t="n">
        <f aca="false">Sens!I6711+Sens!I6709</f>
        <v>218.338961257067</v>
      </c>
      <c r="J6712" s="6" t="n">
        <f aca="false">Sens!J6711+Sens!J6709</f>
        <v>233.777060923733</v>
      </c>
      <c r="K6712" s="6" t="n">
        <f aca="false">Sens!K6711+Sens!K6709</f>
        <v>278.8563119504</v>
      </c>
      <c r="L6712" s="11" t="s">
        <v>758</v>
      </c>
    </row>
    <row r="6713" customFormat="false" ht="17.15" hidden="false" customHeight="false" outlineLevel="0" collapsed="false">
      <c r="A6713" s="0" t="s">
        <v>759</v>
      </c>
      <c r="B6713" s="0" t="s">
        <v>95</v>
      </c>
      <c r="E6713" s="6" t="n">
        <f aca="false">(Sens!C6711*IF(2&lt;life_it,1,IF(2=life_it,0.5,0))+Sens!D6711*IF(1&lt;life_it,1,IF(1=life_it,0.5,0))+Sens!E6711*0.5)/life_it</f>
        <v>15.0605784770833</v>
      </c>
      <c r="F6713" s="6" t="n">
        <f aca="false">(Sens!C6711*IF(3&lt;life_it,1,IF(3=life_it,0.5,0))+Sens!D6711*IF(2&lt;life_it,1,IF(2=life_it,0.5,0))+Sens!E6711*IF(1&lt;life_it,1,IF(1=life_it,0.5,0))+Sens!F6711*0.5)/life_it</f>
        <v>32.313522730331</v>
      </c>
      <c r="G6713" s="6" t="n">
        <f aca="false">(Sens!C6711*IF(4&lt;life_it,1,IF(4=life_it,0.5,0))+Sens!D6711*IF(3&lt;life_it,1,IF(3=life_it,0.5,0))+Sens!E6711*IF(2&lt;life_it,1,IF(2=life_it,0.5,0))+Sens!F6711*IF(1&lt;life_it,1,IF(1=life_it,0.5,0))+Sens!G6711*0.5)/life_it</f>
        <v>56.5626672092619</v>
      </c>
      <c r="H6713" s="6" t="n">
        <f aca="false">(Sens!C6711*IF(5&lt;life_it,1,IF(5=life_it,0.5,0))+Sens!D6711*IF(4&lt;life_it,1,IF(4=life_it,0.5,0))+Sens!E6711*IF(3&lt;life_it,1,IF(3=life_it,0.5,0))+Sens!F6711*IF(2&lt;life_it,1,IF(2=life_it,0.5,0))+Sens!G6711*IF(1&lt;life_it,1,IF(1=life_it,0.5,0))+Sens!H6711*0.5)/life_it</f>
        <v>82.1972687420619</v>
      </c>
      <c r="I6713" s="6" t="n">
        <f aca="false">(Sens!C6711*IF(6&lt;life_it,1,IF(6=life_it,0.5,0))+Sens!D6711*IF(5&lt;life_it,1,IF(5=life_it,0.5,0))+Sens!E6711*IF(4&lt;life_it,1,IF(4=life_it,0.5,0))+Sens!F6711*IF(3&lt;life_it,1,IF(3=life_it,0.5,0))+Sens!G6711*IF(2&lt;life_it,1,IF(2=life_it,0.5,0))+Sens!H6711*IF(1&lt;life_it,1,IF(1=life_it,0.5,0))+Sens!I6711*0.5)/life_it</f>
        <v>108.851153290045</v>
      </c>
      <c r="J6713" s="6" t="n">
        <f aca="false">(Sens!C6711*IF(7&lt;life_it,1,IF(7=life_it,0.5,0))+Sens!D6711*IF(6&lt;life_it,1,IF(6=life_it,0.5,0))+Sens!E6711*IF(5&lt;life_it,1,IF(5=life_it,0.5,0))+Sens!F6711*IF(4&lt;life_it,1,IF(4=life_it,0.5,0))+Sens!G6711*IF(3&lt;life_it,1,IF(3=life_it,0.5,0))+Sens!H6711*IF(2&lt;life_it,1,IF(2=life_it,0.5,0))+Sens!I6711*IF(1&lt;life_it,1,IF(1=life_it,0.5,0))+Sens!J6711*0.5)/life_it</f>
        <v>136.477268307195</v>
      </c>
      <c r="K6713" s="6" t="n">
        <f aca="false">(Sens!C6711*IF(8&lt;life_it,1,IF(8=life_it,0.5,0))+Sens!D6711*IF(7&lt;life_it,1,IF(7=life_it,0.5,0))+Sens!E6711*IF(6&lt;life_it,1,IF(6=life_it,0.5,0))+Sens!F6711*IF(5&lt;life_it,1,IF(5=life_it,0.5,0))+Sens!G6711*IF(4&lt;life_it,1,IF(4=life_it,0.5,0))+Sens!H6711*IF(3&lt;life_it,1,IF(3=life_it,0.5,0))+Sens!I6711*IF(2&lt;life_it,1,IF(2=life_it,0.5,0))+Sens!J6711*IF(1&lt;life_it,1,IF(1=life_it,0.5,0))+Sens!K6711*0.5)/life_it</f>
        <v>165.390931783512</v>
      </c>
    </row>
    <row r="6714" customFormat="false" ht="17.15" hidden="false" customHeight="false" outlineLevel="0" collapsed="false">
      <c r="A6714" s="0" t="s">
        <v>760</v>
      </c>
      <c r="B6714" s="0" t="s">
        <v>95</v>
      </c>
      <c r="E6714" s="6" t="n">
        <f aca="false">(Sens!C6709*IF(2&lt;life_fac,1,IF(2=life_fac,0.5,0))+Sens!D6709*IF(1&lt;life_fac,1,IF(1=life_fac,0.5,0))+Sens!E6709*0.5)/life_fac</f>
        <v>1.2448275</v>
      </c>
      <c r="F6714" s="6" t="n">
        <f aca="false">(Sens!C6709*IF(3&lt;life_fac,1,IF(3=life_fac,0.5,0))+Sens!D6709*IF(2&lt;life_fac,1,IF(2=life_fac,0.5,0))+Sens!E6709*IF(1&lt;life_fac,1,IF(1=life_fac,0.5,0))+Sens!F6709*0.5)/life_fac</f>
        <v>2.4456901</v>
      </c>
      <c r="G6714" s="6" t="n">
        <f aca="false">(Sens!C6709*IF(4&lt;life_fac,1,IF(4=life_fac,0.5,0))+Sens!D6709*IF(3&lt;life_fac,1,IF(3=life_fac,0.5,0))+Sens!E6709*IF(2&lt;life_fac,1,IF(2=life_fac,0.5,0))+Sens!F6709*IF(1&lt;life_fac,1,IF(1=life_fac,0.5,0))+Sens!G6709*0.5)/life_fac</f>
        <v>3.9814208</v>
      </c>
      <c r="H6714" s="6" t="n">
        <f aca="false">(Sens!C6709*IF(5&lt;life_fac,1,IF(5=life_fac,0.5,0))+Sens!D6709*IF(4&lt;life_fac,1,IF(4=life_fac,0.5,0))+Sens!E6709*IF(3&lt;life_fac,1,IF(3=life_fac,0.5,0))+Sens!F6709*IF(2&lt;life_fac,1,IF(2=life_fac,0.5,0))+Sens!G6709*IF(1&lt;life_fac,1,IF(1=life_fac,0.5,0))+Sens!H6709*0.5)/life_fac</f>
        <v>5.582402</v>
      </c>
      <c r="I6714" s="6" t="n">
        <f aca="false">(Sens!C6709*IF(6&lt;life_fac,1,IF(6=life_fac,0.5,0))+Sens!D6709*IF(5&lt;life_fac,1,IF(5=life_fac,0.5,0))+Sens!E6709*IF(4&lt;life_fac,1,IF(4=life_fac,0.5,0))+Sens!F6709*IF(3&lt;life_fac,1,IF(3=life_fac,0.5,0))+Sens!G6709*IF(2&lt;life_fac,1,IF(2=life_fac,0.5,0))+Sens!H6709*IF(1&lt;life_fac,1,IF(1=life_fac,0.5,0))+Sens!I6709*0.5)/life_fac</f>
        <v>7.1833832</v>
      </c>
      <c r="J6714" s="6" t="n">
        <f aca="false">(Sens!C6709*IF(7&lt;life_fac,1,IF(7=life_fac,0.5,0))+Sens!D6709*IF(6&lt;life_fac,1,IF(6=life_fac,0.5,0))+Sens!E6709*IF(5&lt;life_fac,1,IF(5=life_fac,0.5,0))+Sens!F6709*IF(4&lt;life_fac,1,IF(4=life_fac,0.5,0))+Sens!G6709*IF(3&lt;life_fac,1,IF(3=life_fac,0.5,0))+Sens!H6709*IF(2&lt;life_fac,1,IF(2=life_fac,0.5,0))+Sens!I6709*IF(1&lt;life_fac,1,IF(1=life_fac,0.5,0))+Sens!J6709*0.5)/life_fac</f>
        <v>8.7843644</v>
      </c>
      <c r="K6714" s="6" t="n">
        <f aca="false">(Sens!C6709*IF(8&lt;life_fac,1,IF(8=life_fac,0.5,0))+Sens!D6709*IF(7&lt;life_fac,1,IF(7=life_fac,0.5,0))+Sens!E6709*IF(6&lt;life_fac,1,IF(6=life_fac,0.5,0))+Sens!F6709*IF(5&lt;life_fac,1,IF(5=life_fac,0.5,0))+Sens!G6709*IF(4&lt;life_fac,1,IF(4=life_fac,0.5,0))+Sens!H6709*IF(3&lt;life_fac,1,IF(3=life_fac,0.5,0))+Sens!I6709*IF(2&lt;life_fac,1,IF(2=life_fac,0.5,0))+Sens!J6709*IF(1&lt;life_fac,1,IF(1=life_fac,0.5,0))+Sens!K6709*0.5)/life_fac</f>
        <v>10.3853456</v>
      </c>
    </row>
    <row r="6715" customFormat="false" ht="17.15" hidden="false" customHeight="false" outlineLevel="0" collapsed="false">
      <c r="A6715" s="0" t="s">
        <v>761</v>
      </c>
      <c r="B6715" s="0" t="s">
        <v>95</v>
      </c>
      <c r="E6715" s="6" t="n">
        <f aca="false">Sens!E6713+Sens!E6714</f>
        <v>16.3054059770833</v>
      </c>
      <c r="F6715" s="6" t="n">
        <f aca="false">Sens!F6713+Sens!F6714</f>
        <v>34.759212830331</v>
      </c>
      <c r="G6715" s="6" t="n">
        <f aca="false">Sens!G6713+Sens!G6714</f>
        <v>60.5440880092619</v>
      </c>
      <c r="H6715" s="6" t="n">
        <f aca="false">Sens!H6713+Sens!H6714</f>
        <v>87.7796707420619</v>
      </c>
      <c r="I6715" s="6" t="n">
        <f aca="false">Sens!I6713+Sens!I6714</f>
        <v>116.034536490045</v>
      </c>
      <c r="J6715" s="6" t="n">
        <f aca="false">Sens!J6713+Sens!J6714</f>
        <v>145.261632707195</v>
      </c>
      <c r="K6715" s="6" t="n">
        <f aca="false">Sens!K6713+Sens!K6714</f>
        <v>175.776277383512</v>
      </c>
    </row>
    <row r="6716" customFormat="false" ht="17.15" hidden="false" customHeight="false" outlineLevel="0" collapsed="false">
      <c r="A6716" s="0" t="s">
        <v>762</v>
      </c>
      <c r="B6716" s="0" t="s">
        <v>95</v>
      </c>
      <c r="E6716" s="6" t="n">
        <f aca="false">Sens!E6704-Sens!E6703*Sens!E6715</f>
        <v>8.92707889977379</v>
      </c>
      <c r="F6716" s="6" t="n">
        <f aca="false">Sens!F6704-Sens!F6703*Sens!F6715</f>
        <v>14.2018178643434</v>
      </c>
      <c r="G6716" s="6" t="n">
        <f aca="false">Sens!G6704-Sens!G6703*Sens!G6715</f>
        <v>15.92404436573</v>
      </c>
      <c r="H6716" s="6" t="n">
        <f aca="false">Sens!H6704-Sens!H6703*Sens!H6715</f>
        <v>12.6118674057899</v>
      </c>
      <c r="I6716" s="6" t="n">
        <f aca="false">Sens!I6704-Sens!I6703*Sens!I6715</f>
        <v>15.9452703595007</v>
      </c>
      <c r="J6716" s="6" t="n">
        <f aca="false">Sens!J6704-Sens!J6703*Sens!J6715</f>
        <v>18.7507574815031</v>
      </c>
      <c r="K6716" s="6" t="n">
        <f aca="false">Sens!K6704-Sens!K6703*Sens!K6715</f>
        <v>20.816317889744</v>
      </c>
    </row>
    <row r="6717" customFormat="false" ht="17.15" hidden="false" customHeight="false" outlineLevel="0" collapsed="false">
      <c r="A6717" s="3" t="s">
        <v>1305</v>
      </c>
    </row>
    <row r="6718" customFormat="false" ht="15" hidden="false" customHeight="false" outlineLevel="0" collapsed="false">
      <c r="A6718" s="4" t="s">
        <v>43</v>
      </c>
      <c r="B6718" s="4" t="s">
        <v>63</v>
      </c>
      <c r="C6718" s="19" t="s">
        <v>710</v>
      </c>
      <c r="D6718" s="19" t="s">
        <v>711</v>
      </c>
      <c r="E6718" s="19" t="s">
        <v>712</v>
      </c>
      <c r="F6718" s="19" t="s">
        <v>713</v>
      </c>
      <c r="G6718" s="19" t="s">
        <v>714</v>
      </c>
      <c r="H6718" s="19" t="s">
        <v>715</v>
      </c>
      <c r="I6718" s="19" t="s">
        <v>716</v>
      </c>
      <c r="J6718" s="19" t="s">
        <v>717</v>
      </c>
      <c r="K6718" s="19" t="s">
        <v>718</v>
      </c>
      <c r="L6718" s="4" t="s">
        <v>47</v>
      </c>
    </row>
    <row r="6719" customFormat="false" ht="17.15" hidden="false" customHeight="false" outlineLevel="0" collapsed="false">
      <c r="A6719" s="0" t="s">
        <v>780</v>
      </c>
      <c r="B6719" s="0" t="s">
        <v>95</v>
      </c>
      <c r="D6719" s="6" t="n">
        <f aca="false">Sens!D6698</f>
        <v>12.9359794422418</v>
      </c>
      <c r="E6719" s="6" t="n">
        <f aca="false">Sens!E6698</f>
        <v>27.8095064661409</v>
      </c>
      <c r="F6719" s="6" t="n">
        <f aca="false">Sens!F6698</f>
        <v>50.6619113883066</v>
      </c>
      <c r="G6719" s="6" t="n">
        <f aca="false">Sens!G6698</f>
        <v>75.1482839325348</v>
      </c>
      <c r="H6719" s="6" t="n">
        <f aca="false">Sens!H6698</f>
        <v>94.895655604042</v>
      </c>
      <c r="I6719" s="6" t="n">
        <f aca="false">Sens!I6698</f>
        <v>121.918667866643</v>
      </c>
      <c r="J6719" s="6" t="n">
        <f aca="false">Sens!J6698</f>
        <v>149.006768672892</v>
      </c>
      <c r="K6719" s="6" t="n">
        <f aca="false">Sens!K6698</f>
        <v>176.133157939015</v>
      </c>
    </row>
    <row r="6720" customFormat="false" ht="17.15" hidden="false" customHeight="false" outlineLevel="0" collapsed="false">
      <c r="A6720" s="0" t="s">
        <v>781</v>
      </c>
      <c r="B6720" s="0" t="s">
        <v>95</v>
      </c>
      <c r="D6720" s="6" t="n">
        <f aca="false">Q!L6-Sens!D6719</f>
        <v>59.6740205577583</v>
      </c>
      <c r="E6720" s="6" t="n">
        <f aca="false">Q!M6-Sens!E6719</f>
        <v>74.1284935338591</v>
      </c>
      <c r="F6720" s="6" t="n">
        <f aca="false">Sens!E6720*(1+Sens!F6721)</f>
        <v>89.709307269697</v>
      </c>
      <c r="G6720" s="6" t="n">
        <f aca="false">Sens!F6720*(1+Sens!G6721)</f>
        <v>105.690953558647</v>
      </c>
      <c r="H6720" s="6" t="n">
        <f aca="false">Sens!G6720*(1+Sens!H6721)</f>
        <v>121.133663984194</v>
      </c>
      <c r="I6720" s="6" t="n">
        <f aca="false">Sens!H6720*(1+Sens!I6721)</f>
        <v>134.951941602699</v>
      </c>
      <c r="J6720" s="6" t="n">
        <f aca="false">Sens!I6720*(1+Sens!J6721)</f>
        <v>146.023036389274</v>
      </c>
      <c r="K6720" s="6" t="n">
        <f aca="false">Sens!J6720*(1+Sens!K6721)</f>
        <v>153.324188208738</v>
      </c>
    </row>
    <row r="6721" customFormat="false" ht="15" hidden="false" customHeight="false" outlineLevel="0" collapsed="false">
      <c r="A6721" s="1" t="s">
        <v>782</v>
      </c>
      <c r="B6721" s="0" t="s">
        <v>126</v>
      </c>
      <c r="E6721" s="7" t="n">
        <f aca="false">Sens!E6720/Sens!D6720-1</f>
        <v>0.242223883039864</v>
      </c>
      <c r="F6721" s="7" t="n">
        <f aca="false">Sens!$E$6721+(glt_azo_lo-Sens!$E$6721)*MIN(1,1/n_conv)</f>
        <v>0.210186569199887</v>
      </c>
      <c r="G6721" s="7" t="n">
        <f aca="false">Sens!$E$6721+(glt_azo_lo-Sens!$E$6721)*MIN(1,2/n_conv)</f>
        <v>0.17814925535991</v>
      </c>
      <c r="H6721" s="7" t="n">
        <f aca="false">Sens!$E$6721+(glt_azo_lo-Sens!$E$6721)*MIN(1,3/n_conv)</f>
        <v>0.146111941519932</v>
      </c>
      <c r="I6721" s="7" t="n">
        <f aca="false">Sens!$E$6721+(glt_azo_lo-Sens!$E$6721)*MIN(1,4/n_conv)</f>
        <v>0.114074627679955</v>
      </c>
      <c r="J6721" s="7" t="n">
        <f aca="false">Sens!$E$6721+(glt_azo_lo-Sens!$E$6721)*MIN(1,5/n_conv)</f>
        <v>0.0820373138399774</v>
      </c>
      <c r="K6721" s="7" t="n">
        <f aca="false">Sens!$E$6721+(glt_azo_lo-Sens!$E$6721)*MIN(1,6/n_conv)</f>
        <v>0.05</v>
      </c>
    </row>
    <row r="6722" customFormat="false" ht="15" hidden="false" customHeight="false" outlineLevel="0" collapsed="false">
      <c r="A6722" s="0" t="s">
        <v>783</v>
      </c>
      <c r="B6722" s="0" t="s">
        <v>95</v>
      </c>
      <c r="D6722" s="6" t="n">
        <f aca="false">Sens!D6719+Sens!D6720</f>
        <v>72.61</v>
      </c>
      <c r="E6722" s="6" t="n">
        <f aca="false">Sens!E6719+Sens!E6720</f>
        <v>101.938</v>
      </c>
      <c r="F6722" s="6" t="n">
        <f aca="false">Sens!F6719+Sens!F6720</f>
        <v>140.371218658004</v>
      </c>
      <c r="G6722" s="6" t="n">
        <f aca="false">Sens!G6719+Sens!G6720</f>
        <v>180.839237491182</v>
      </c>
      <c r="H6722" s="6" t="n">
        <f aca="false">Sens!H6719+Sens!H6720</f>
        <v>216.029319588236</v>
      </c>
      <c r="I6722" s="6" t="n">
        <f aca="false">Sens!I6719+Sens!I6720</f>
        <v>256.870609469343</v>
      </c>
      <c r="J6722" s="6" t="n">
        <f aca="false">Sens!J6719+Sens!J6720</f>
        <v>295.029805062166</v>
      </c>
      <c r="K6722" s="6" t="n">
        <f aca="false">Sens!K6719+Sens!K6720</f>
        <v>329.457346147753</v>
      </c>
    </row>
    <row r="6723" customFormat="false" ht="17.15" hidden="false" customHeight="false" outlineLevel="0" collapsed="false">
      <c r="A6723" s="0" t="s">
        <v>784</v>
      </c>
      <c r="B6723" s="1" t="s">
        <v>451</v>
      </c>
      <c r="C6723" s="27" t="n">
        <f aca="false">cop_s24</f>
        <v>1</v>
      </c>
      <c r="D6723" s="27" t="n">
        <f aca="false">cop_s25</f>
        <v>5</v>
      </c>
      <c r="E6723" s="27" t="n">
        <f aca="false">cop_s26</f>
        <v>30</v>
      </c>
      <c r="F6723" s="27" t="n">
        <f aca="false">Sens!E6723+IF(2027&lt;=2029,cop_add_C,cop_add_C*cop_tail)</f>
        <v>40</v>
      </c>
      <c r="G6723" s="27" t="n">
        <f aca="false">Sens!F6723+IF(2028&lt;=2029,cop_add_C,cop_add_C*cop_tail)</f>
        <v>50</v>
      </c>
      <c r="H6723" s="27" t="n">
        <f aca="false">Sens!G6723+IF(2029&lt;=2029,cop_add_C,cop_add_C*cop_tail)</f>
        <v>60</v>
      </c>
      <c r="I6723" s="27" t="n">
        <f aca="false">Sens!H6723+IF(2030&lt;=2029,cop_add_C,cop_add_C*cop_tail)</f>
        <v>65</v>
      </c>
      <c r="J6723" s="27" t="n">
        <f aca="false">Sens!I6723+IF(2031&lt;=2029,cop_add_C,cop_add_C*cop_tail)</f>
        <v>70</v>
      </c>
      <c r="K6723" s="27" t="n">
        <f aca="false">Sens!J6723+IF(2032&lt;=2029,cop_add_C,cop_add_C*cop_tail)</f>
        <v>75</v>
      </c>
    </row>
    <row r="6724" customFormat="false" ht="17.15" hidden="false" customHeight="false" outlineLevel="0" collapsed="false">
      <c r="A6724" s="0" t="s">
        <v>785</v>
      </c>
      <c r="B6724" s="0" t="s">
        <v>95</v>
      </c>
      <c r="D6724" s="6" t="n">
        <f aca="false">(Sens!C6723+Sens!D6723)/2*cop_px*12/1000</f>
        <v>0.9</v>
      </c>
      <c r="E6724" s="6" t="n">
        <f aca="false">(Sens!D6723+Sens!E6723)/2*cop_px*12/1000</f>
        <v>5.25</v>
      </c>
      <c r="F6724" s="6" t="n">
        <f aca="false">(Sens!E6723+Sens!F6723)/2*cop_px*12/1000</f>
        <v>10.5</v>
      </c>
      <c r="G6724" s="6" t="n">
        <f aca="false">(Sens!F6723+Sens!G6723)/2*cop_px*12/1000</f>
        <v>13.5</v>
      </c>
      <c r="H6724" s="6" t="n">
        <f aca="false">(Sens!G6723+Sens!H6723)/2*cop_px*12/1000</f>
        <v>16.5</v>
      </c>
      <c r="I6724" s="6" t="n">
        <f aca="false">(Sens!H6723+Sens!I6723)/2*cop_px*12/1000</f>
        <v>18.75</v>
      </c>
      <c r="J6724" s="6" t="n">
        <f aca="false">(Sens!I6723+Sens!J6723)/2*cop_px*12/1000</f>
        <v>20.25</v>
      </c>
      <c r="K6724" s="6" t="n">
        <f aca="false">(Sens!J6723+Sens!K6723)/2*cop_px*12/1000</f>
        <v>21.75</v>
      </c>
      <c r="L6724" s="1" t="s">
        <v>786</v>
      </c>
    </row>
    <row r="6725" customFormat="false" ht="17.15" hidden="false" customHeight="false" outlineLevel="0" collapsed="false">
      <c r="A6725" s="0" t="s">
        <v>787</v>
      </c>
      <c r="B6725" s="0" t="s">
        <v>95</v>
      </c>
      <c r="D6725" s="6" t="n">
        <f aca="false">Q!L7-Sens!D6724</f>
        <v>83.705</v>
      </c>
      <c r="E6725" s="6" t="n">
        <f aca="false">Q!M7-Sens!E6724</f>
        <v>95.049</v>
      </c>
      <c r="F6725" s="6" t="n">
        <f aca="false">Sens!E6725*(1+Sens!F6726)</f>
        <v>106.89238776686</v>
      </c>
      <c r="G6725" s="6" t="n">
        <f aca="false">Sens!F6725*(1+Sens!G6726)</f>
        <v>119.044168448684</v>
      </c>
      <c r="H6725" s="6" t="n">
        <f aca="false">Sens!G6725*(1+Sens!H6726)</f>
        <v>131.277359388781</v>
      </c>
      <c r="I6725" s="6" t="n">
        <f aca="false">Sens!H6725*(1+Sens!I6726)</f>
        <v>143.334028071957</v>
      </c>
      <c r="J6725" s="6" t="n">
        <f aca="false">Sens!I6725*(1+Sens!J6726)</f>
        <v>154.932702785465</v>
      </c>
      <c r="K6725" s="6" t="n">
        <f aca="false">Sens!J6725*(1+Sens!K6726)</f>
        <v>165.777991980448</v>
      </c>
    </row>
    <row r="6726" customFormat="false" ht="15" hidden="false" customHeight="false" outlineLevel="0" collapsed="false">
      <c r="A6726" s="1" t="s">
        <v>782</v>
      </c>
      <c r="B6726" s="0" t="s">
        <v>126</v>
      </c>
      <c r="E6726" s="7" t="n">
        <f aca="false">Sens!E6725/Sens!D6725-1</f>
        <v>0.135523564900544</v>
      </c>
      <c r="F6726" s="7" t="n">
        <f aca="false">Sens!$E$6726+(glt_m365b-Sens!$E$6726)*MIN(1,1/n_conv)</f>
        <v>0.124602970750453</v>
      </c>
      <c r="G6726" s="7" t="n">
        <f aca="false">Sens!$E$6726+(glt_m365b-Sens!$E$6726)*MIN(1,2/n_conv)</f>
        <v>0.113682376600363</v>
      </c>
      <c r="H6726" s="7" t="n">
        <f aca="false">Sens!$E$6726+(glt_m365b-Sens!$E$6726)*MIN(1,3/n_conv)</f>
        <v>0.102761782450272</v>
      </c>
      <c r="I6726" s="7" t="n">
        <f aca="false">Sens!$E$6726+(glt_m365b-Sens!$E$6726)*MIN(1,4/n_conv)</f>
        <v>0.0918411883001813</v>
      </c>
      <c r="J6726" s="7" t="n">
        <f aca="false">Sens!$E$6726+(glt_m365b-Sens!$E$6726)*MIN(1,5/n_conv)</f>
        <v>0.0809205941500906</v>
      </c>
      <c r="K6726" s="7" t="n">
        <f aca="false">Sens!$E$6726+(glt_m365b-Sens!$E$6726)*MIN(1,6/n_conv)</f>
        <v>0.07</v>
      </c>
    </row>
    <row r="6727" customFormat="false" ht="15" hidden="false" customHeight="false" outlineLevel="0" collapsed="false">
      <c r="A6727" s="0" t="s">
        <v>788</v>
      </c>
      <c r="B6727" s="0" t="s">
        <v>95</v>
      </c>
      <c r="D6727" s="6" t="n">
        <f aca="false">Sens!D6725+Sens!D6724</f>
        <v>84.605</v>
      </c>
      <c r="E6727" s="6" t="n">
        <f aca="false">Sens!E6725+Sens!E6724</f>
        <v>100.299</v>
      </c>
      <c r="F6727" s="6" t="n">
        <f aca="false">Sens!F6725+Sens!F6724</f>
        <v>117.39238776686</v>
      </c>
      <c r="G6727" s="6" t="n">
        <f aca="false">Sens!G6725+Sens!G6724</f>
        <v>132.544168448684</v>
      </c>
      <c r="H6727" s="6" t="n">
        <f aca="false">Sens!H6725+Sens!H6724</f>
        <v>147.777359388781</v>
      </c>
      <c r="I6727" s="6" t="n">
        <f aca="false">Sens!I6725+Sens!I6724</f>
        <v>162.084028071957</v>
      </c>
      <c r="J6727" s="6" t="n">
        <f aca="false">Sens!J6725+Sens!J6724</f>
        <v>175.182702785465</v>
      </c>
      <c r="K6727" s="6" t="n">
        <f aca="false">Sens!K6725+Sens!K6724</f>
        <v>187.527991980448</v>
      </c>
    </row>
    <row r="6728" customFormat="false" ht="15" hidden="false" customHeight="false" outlineLevel="0" collapsed="false">
      <c r="A6728" s="0" t="s">
        <v>789</v>
      </c>
      <c r="B6728" s="0" t="s">
        <v>95</v>
      </c>
      <c r="D6728" s="6" t="n">
        <f aca="false">Q!L8</f>
        <v>35.391</v>
      </c>
      <c r="E6728" s="6" t="n">
        <f aca="false">Q!M8</f>
        <v>37.285</v>
      </c>
      <c r="F6728" s="6" t="n">
        <f aca="false">Sens!E6728*(1+Sens!F6729)</f>
        <v>39.0720834331704</v>
      </c>
      <c r="G6728" s="6" t="n">
        <f aca="false">Sens!F6728*(1+Sens!G6729)</f>
        <v>40.726562953769</v>
      </c>
      <c r="H6728" s="6" t="n">
        <f aca="false">Sens!G6728*(1+Sens!H6729)</f>
        <v>42.2235987259198</v>
      </c>
      <c r="I6728" s="6" t="n">
        <f aca="false">Sens!H6728*(1+Sens!I6729)</f>
        <v>43.5397988077414</v>
      </c>
      <c r="J6728" s="6" t="n">
        <f aca="false">Sens!I6728*(1+Sens!J6729)</f>
        <v>44.653811225693</v>
      </c>
      <c r="K6728" s="6" t="n">
        <f aca="false">Sens!J6728*(1+Sens!K6729)</f>
        <v>45.5468874502068</v>
      </c>
    </row>
    <row r="6729" customFormat="false" ht="15" hidden="false" customHeight="false" outlineLevel="0" collapsed="false">
      <c r="A6729" s="1" t="s">
        <v>782</v>
      </c>
      <c r="B6729" s="0" t="s">
        <v>126</v>
      </c>
      <c r="E6729" s="7" t="n">
        <f aca="false">Sens!E6728/Sens!D6728-1</f>
        <v>0.0535164307309768</v>
      </c>
      <c r="F6729" s="7" t="n">
        <f aca="false">Sens!$E$6729+(glt_lic-Sens!$E$6729)*MIN(1,1/n_conv)</f>
        <v>0.0479303589424807</v>
      </c>
      <c r="G6729" s="7" t="n">
        <f aca="false">Sens!$E$6729+(glt_lic-Sens!$E$6729)*MIN(1,2/n_conv)</f>
        <v>0.0423442871539845</v>
      </c>
      <c r="H6729" s="7" t="n">
        <f aca="false">Sens!$E$6729+(glt_lic-Sens!$E$6729)*MIN(1,3/n_conv)</f>
        <v>0.0367582153654884</v>
      </c>
      <c r="I6729" s="7" t="n">
        <f aca="false">Sens!$E$6729+(glt_lic-Sens!$E$6729)*MIN(1,4/n_conv)</f>
        <v>0.0311721435769923</v>
      </c>
      <c r="J6729" s="7" t="n">
        <f aca="false">Sens!$E$6729+(glt_lic-Sens!$E$6729)*MIN(1,5/n_conv)</f>
        <v>0.0255860717884961</v>
      </c>
      <c r="K6729" s="7" t="n">
        <f aca="false">Sens!$E$6729+(glt_lic-Sens!$E$6729)*MIN(1,6/n_conv)</f>
        <v>0.02</v>
      </c>
    </row>
    <row r="6730" customFormat="false" ht="15" hidden="false" customHeight="false" outlineLevel="0" collapsed="false">
      <c r="A6730" s="0" t="s">
        <v>790</v>
      </c>
      <c r="B6730" s="0" t="s">
        <v>95</v>
      </c>
      <c r="D6730" s="6" t="n">
        <f aca="false">Q!L9</f>
        <v>18.417</v>
      </c>
      <c r="E6730" s="6" t="n">
        <f aca="false">Q!M9</f>
        <v>20.345</v>
      </c>
      <c r="F6730" s="6" t="n">
        <f aca="false">Sens!E6730*(1+Sens!F6731)</f>
        <v>22.3572203267814</v>
      </c>
      <c r="G6730" s="6" t="n">
        <f aca="false">Sens!F6730*(1+Sens!G6731)</f>
        <v>24.4392124437232</v>
      </c>
      <c r="H6730" s="6" t="n">
        <f aca="false">Sens!G6730*(1+Sens!H6731)</f>
        <v>26.5738052080665</v>
      </c>
      <c r="I6730" s="6" t="n">
        <f aca="false">Sens!H6730*(1+Sens!I6731)</f>
        <v>28.7412169166967</v>
      </c>
      <c r="J6730" s="6" t="n">
        <f aca="false">Sens!I6730*(1+Sens!J6731)</f>
        <v>30.9192545395413</v>
      </c>
      <c r="K6730" s="6" t="n">
        <f aca="false">Sens!J6730*(1+Sens!K6731)</f>
        <v>33.0836023573092</v>
      </c>
    </row>
    <row r="6731" customFormat="false" ht="15" hidden="false" customHeight="false" outlineLevel="0" collapsed="false">
      <c r="A6731" s="1" t="s">
        <v>782</v>
      </c>
      <c r="B6731" s="0" t="s">
        <v>126</v>
      </c>
      <c r="E6731" s="7" t="n">
        <f aca="false">Sens!E6730/Sens!D6730-1</f>
        <v>0.104685888038225</v>
      </c>
      <c r="F6731" s="7" t="n">
        <f aca="false">Sens!$E$6731+(glt_ind-Sens!$E$6731)*MIN(1,1/n_conv)</f>
        <v>0.0989049066985211</v>
      </c>
      <c r="G6731" s="7" t="n">
        <f aca="false">Sens!$E$6731+(glt_ind-Sens!$E$6731)*MIN(1,2/n_conv)</f>
        <v>0.0931239253588169</v>
      </c>
      <c r="H6731" s="7" t="n">
        <f aca="false">Sens!$E$6731+(glt_ind-Sens!$E$6731)*MIN(1,3/n_conv)</f>
        <v>0.0873429440191127</v>
      </c>
      <c r="I6731" s="7" t="n">
        <f aca="false">Sens!$E$6731+(glt_ind-Sens!$E$6731)*MIN(1,4/n_conv)</f>
        <v>0.0815619626794085</v>
      </c>
      <c r="J6731" s="7" t="n">
        <f aca="false">Sens!$E$6731+(glt_ind-Sens!$E$6731)*MIN(1,5/n_conv)</f>
        <v>0.0757809813397042</v>
      </c>
      <c r="K6731" s="7" t="n">
        <f aca="false">Sens!$E$6731+(glt_ind-Sens!$E$6731)*MIN(1,6/n_conv)</f>
        <v>0.07</v>
      </c>
    </row>
    <row r="6732" customFormat="false" ht="15" hidden="false" customHeight="false" outlineLevel="0" collapsed="false">
      <c r="A6732" s="0" t="s">
        <v>791</v>
      </c>
      <c r="B6732" s="0" t="s">
        <v>95</v>
      </c>
      <c r="D6732" s="6" t="n">
        <f aca="false">Q!L10</f>
        <v>7.76</v>
      </c>
      <c r="E6732" s="6" t="n">
        <f aca="false">Q!M10</f>
        <v>8.26</v>
      </c>
      <c r="F6732" s="6" t="n">
        <f aca="false">Sens!E6732*(1+Sens!F6733)</f>
        <v>8.79988041237113</v>
      </c>
      <c r="G6732" s="6" t="n">
        <f aca="false">Sens!F6732*(1+Sens!G6733)</f>
        <v>9.38321269125306</v>
      </c>
      <c r="H6732" s="6" t="n">
        <f aca="false">Sens!G6732*(1+Sens!H6733)</f>
        <v>10.0139193587476</v>
      </c>
      <c r="I6732" s="6" t="n">
        <f aca="false">Sens!H6732*(1+Sens!I6733)</f>
        <v>10.6963111830911</v>
      </c>
      <c r="J6732" s="6" t="n">
        <f aca="false">Sens!I6732*(1+Sens!J6733)</f>
        <v>11.4351285534696</v>
      </c>
      <c r="K6732" s="6" t="n">
        <f aca="false">Sens!J6732*(1+Sens!K6733)</f>
        <v>12.2355875522124</v>
      </c>
    </row>
    <row r="6733" customFormat="false" ht="15" hidden="false" customHeight="false" outlineLevel="0" collapsed="false">
      <c r="A6733" s="1" t="s">
        <v>782</v>
      </c>
      <c r="B6733" s="0" t="s">
        <v>126</v>
      </c>
      <c r="E6733" s="7" t="n">
        <f aca="false">Sens!E6732/Sens!D6732-1</f>
        <v>0.0644329896907216</v>
      </c>
      <c r="F6733" s="7" t="n">
        <f aca="false">Sens!$E$6733+(glt_fro-Sens!$E$6733)*MIN(1,1/n_conv)</f>
        <v>0.065360824742268</v>
      </c>
      <c r="G6733" s="7" t="n">
        <f aca="false">Sens!$E$6733+(glt_fro-Sens!$E$6733)*MIN(1,2/n_conv)</f>
        <v>0.0662886597938144</v>
      </c>
      <c r="H6733" s="7" t="n">
        <f aca="false">Sens!$E$6733+(glt_fro-Sens!$E$6733)*MIN(1,3/n_conv)</f>
        <v>0.0672164948453608</v>
      </c>
      <c r="I6733" s="7" t="n">
        <f aca="false">Sens!$E$6733+(glt_fro-Sens!$E$6733)*MIN(1,4/n_conv)</f>
        <v>0.0681443298969072</v>
      </c>
      <c r="J6733" s="7" t="n">
        <f aca="false">Sens!$E$6733+(glt_fro-Sens!$E$6733)*MIN(1,5/n_conv)</f>
        <v>0.0690721649484536</v>
      </c>
      <c r="K6733" s="7" t="n">
        <f aca="false">Sens!$E$6733+(glt_fro-Sens!$E$6733)*MIN(1,6/n_conv)</f>
        <v>0.07</v>
      </c>
    </row>
    <row r="6734" customFormat="false" ht="15" hidden="false" customHeight="false" outlineLevel="0" collapsed="false">
      <c r="A6734" s="0" t="s">
        <v>626</v>
      </c>
      <c r="B6734" s="0" t="s">
        <v>95</v>
      </c>
      <c r="D6734" s="6" t="n">
        <f aca="false">Sens!D6722+Sens!D6727+Sens!D6728+Sens!D6730+Sens!D6732</f>
        <v>218.783</v>
      </c>
      <c r="E6734" s="6" t="n">
        <f aca="false">Sens!E6722+Sens!E6727+Sens!E6728+Sens!E6730+Sens!E6732</f>
        <v>268.127</v>
      </c>
      <c r="F6734" s="6" t="n">
        <f aca="false">Sens!F6722+Sens!F6727+Sens!F6728+Sens!F6730+Sens!F6732</f>
        <v>327.992790597186</v>
      </c>
      <c r="G6734" s="6" t="n">
        <f aca="false">Sens!G6722+Sens!G6727+Sens!G6728+Sens!G6730+Sens!G6732</f>
        <v>387.932394028611</v>
      </c>
      <c r="H6734" s="6" t="n">
        <f aca="false">Sens!H6722+Sens!H6727+Sens!H6728+Sens!H6730+Sens!H6732</f>
        <v>442.618002269751</v>
      </c>
      <c r="I6734" s="6" t="n">
        <f aca="false">Sens!I6722+Sens!I6727+Sens!I6728+Sens!I6730+Sens!I6732</f>
        <v>501.931964448829</v>
      </c>
      <c r="J6734" s="6" t="n">
        <f aca="false">Sens!J6722+Sens!J6727+Sens!J6728+Sens!J6730+Sens!J6732</f>
        <v>557.220702166335</v>
      </c>
      <c r="K6734" s="6" t="n">
        <f aca="false">Sens!K6722+Sens!K6727+Sens!K6728+Sens!K6730+Sens!K6732</f>
        <v>607.85141548793</v>
      </c>
    </row>
    <row r="6735" customFormat="false" ht="15" hidden="false" customHeight="false" outlineLevel="0" collapsed="false">
      <c r="A6735" s="0" t="s">
        <v>792</v>
      </c>
      <c r="B6735" s="0" t="s">
        <v>95</v>
      </c>
      <c r="D6735" s="6" t="n">
        <f aca="false">Q!L13</f>
        <v>22.171</v>
      </c>
      <c r="E6735" s="6" t="n">
        <f aca="false">Q!M13</f>
        <v>24.835</v>
      </c>
      <c r="F6735" s="6" t="n">
        <f aca="false">Sens!E6735*(1+Sens!F6736)</f>
        <v>27.6114901218559</v>
      </c>
      <c r="G6735" s="6" t="n">
        <f aca="false">Sens!F6735*(1+Sens!G6736)</f>
        <v>30.4675667338515</v>
      </c>
      <c r="H6735" s="6" t="n">
        <f aca="false">Sens!G6735*(1+Sens!H6736)</f>
        <v>33.3643766955789</v>
      </c>
      <c r="I6735" s="6" t="n">
        <f aca="false">Sens!H6735*(1+Sens!I6736)</f>
        <v>36.2577016533691</v>
      </c>
      <c r="J6735" s="6" t="n">
        <f aca="false">Sens!I6735*(1+Sens!J6736)</f>
        <v>39.0988367952171</v>
      </c>
      <c r="K6735" s="6" t="n">
        <f aca="false">Sens!J6735*(1+Sens!K6736)</f>
        <v>41.8357553708823</v>
      </c>
    </row>
    <row r="6736" customFormat="false" ht="15" hidden="false" customHeight="false" outlineLevel="0" collapsed="false">
      <c r="A6736" s="1" t="s">
        <v>782</v>
      </c>
      <c r="B6736" s="0" t="s">
        <v>126</v>
      </c>
      <c r="E6736" s="7" t="n">
        <f aca="false">Sens!E6735/Sens!D6735-1</f>
        <v>0.120156961796942</v>
      </c>
      <c r="F6736" s="7" t="n">
        <f aca="false">Sens!$E$6736+(glt_srch-Sens!$E$6736)*MIN(1,1/n_conv)</f>
        <v>0.111797468164118</v>
      </c>
      <c r="G6736" s="7" t="n">
        <f aca="false">Sens!$E$6736+(glt_srch-Sens!$E$6736)*MIN(1,2/n_conv)</f>
        <v>0.103437974531295</v>
      </c>
      <c r="H6736" s="7" t="n">
        <f aca="false">Sens!$E$6736+(glt_srch-Sens!$E$6736)*MIN(1,3/n_conv)</f>
        <v>0.095078480898471</v>
      </c>
      <c r="I6736" s="7" t="n">
        <f aca="false">Sens!$E$6736+(glt_srch-Sens!$E$6736)*MIN(1,4/n_conv)</f>
        <v>0.0867189872656474</v>
      </c>
      <c r="J6736" s="7" t="n">
        <f aca="false">Sens!$E$6736+(glt_srch-Sens!$E$6736)*MIN(1,5/n_conv)</f>
        <v>0.0783594936328237</v>
      </c>
      <c r="K6736" s="7" t="n">
        <f aca="false">Sens!$E$6736+(glt_srch-Sens!$E$6736)*MIN(1,6/n_conv)</f>
        <v>0.07</v>
      </c>
    </row>
    <row r="6737" customFormat="false" ht="15" hidden="false" customHeight="false" outlineLevel="0" collapsed="false">
      <c r="A6737" s="0" t="s">
        <v>793</v>
      </c>
      <c r="B6737" s="0" t="s">
        <v>95</v>
      </c>
      <c r="D6737" s="6" t="n">
        <f aca="false">Q!L14</f>
        <v>23.455</v>
      </c>
      <c r="E6737" s="6" t="n">
        <f aca="false">Q!M14</f>
        <v>21.79</v>
      </c>
      <c r="F6737" s="6" t="n">
        <f aca="false">Sens!E6737*(1+Sens!F6738)</f>
        <v>20.5736277908051</v>
      </c>
      <c r="G6737" s="6" t="n">
        <f aca="false">Sens!F6737*(1+Sens!G6738)</f>
        <v>19.7371452817919</v>
      </c>
      <c r="H6737" s="6" t="n">
        <f aca="false">Sens!G6737*(1+Sens!H6738)</f>
        <v>19.2339764043138</v>
      </c>
      <c r="I6737" s="6" t="n">
        <f aca="false">Sens!H6737*(1+Sens!I6738)</f>
        <v>19.0353086852681</v>
      </c>
      <c r="J6737" s="6" t="n">
        <f aca="false">Sens!I6737*(1+Sens!J6738)</f>
        <v>19.1273539319129</v>
      </c>
      <c r="K6737" s="6" t="n">
        <f aca="false">Sens!J6737*(1+Sens!K6738)</f>
        <v>19.5099010105511</v>
      </c>
    </row>
    <row r="6738" customFormat="false" ht="15" hidden="false" customHeight="false" outlineLevel="0" collapsed="false">
      <c r="A6738" s="1" t="s">
        <v>782</v>
      </c>
      <c r="B6738" s="0" t="s">
        <v>126</v>
      </c>
      <c r="E6738" s="7" t="n">
        <f aca="false">Sens!E6737/Sens!D6737-1</f>
        <v>-0.0709869963760392</v>
      </c>
      <c r="F6738" s="7" t="n">
        <f aca="false">Sens!$E$6738+(glt_xbox-Sens!$E$6738)*MIN(1,1/n_conv)</f>
        <v>-0.0558224969800327</v>
      </c>
      <c r="G6738" s="7" t="n">
        <f aca="false">Sens!$E$6738+(glt_xbox-Sens!$E$6738)*MIN(1,2/n_conv)</f>
        <v>-0.0406579975840262</v>
      </c>
      <c r="H6738" s="7" t="n">
        <f aca="false">Sens!$E$6738+(glt_xbox-Sens!$E$6738)*MIN(1,3/n_conv)</f>
        <v>-0.0254934981880196</v>
      </c>
      <c r="I6738" s="7" t="n">
        <f aca="false">Sens!$E$6738+(glt_xbox-Sens!$E$6738)*MIN(1,4/n_conv)</f>
        <v>-0.0103289987920131</v>
      </c>
      <c r="J6738" s="7" t="n">
        <f aca="false">Sens!$E$6738+(glt_xbox-Sens!$E$6738)*MIN(1,5/n_conv)</f>
        <v>0.00483550060399347</v>
      </c>
      <c r="K6738" s="7" t="n">
        <f aca="false">Sens!$E$6738+(glt_xbox-Sens!$E$6738)*MIN(1,6/n_conv)</f>
        <v>0.02</v>
      </c>
    </row>
    <row r="6739" customFormat="false" ht="15" hidden="false" customHeight="false" outlineLevel="0" collapsed="false">
      <c r="A6739" s="0" t="s">
        <v>794</v>
      </c>
      <c r="B6739" s="0" t="s">
        <v>95</v>
      </c>
      <c r="D6739" s="6" t="n">
        <f aca="false">Q!L15</f>
        <v>17.315</v>
      </c>
      <c r="E6739" s="6" t="n">
        <f aca="false">Q!M15</f>
        <v>17.087</v>
      </c>
      <c r="F6739" s="6" t="n">
        <f aca="false">Sens!E6739*(1+Sens!F6740)</f>
        <v>16.9564585436519</v>
      </c>
      <c r="G6739" s="6" t="n">
        <f aca="false">Sens!F6739*(1+Sens!G6740)</f>
        <v>16.9206490624268</v>
      </c>
      <c r="H6739" s="6" t="n">
        <f aca="false">Sens!G6739*(1+Sens!H6740)</f>
        <v>16.9784519149849</v>
      </c>
      <c r="I6739" s="6" t="n">
        <f aca="false">Sens!H6739*(1+Sens!I6740)</f>
        <v>17.1303084701817</v>
      </c>
      <c r="J6739" s="6" t="n">
        <f aca="false">Sens!I6739*(1+Sens!J6740)</f>
        <v>17.3782189407267</v>
      </c>
      <c r="K6739" s="6" t="n">
        <f aca="false">Sens!J6739*(1+Sens!K6740)</f>
        <v>17.7257833195413</v>
      </c>
    </row>
    <row r="6740" customFormat="false" ht="15" hidden="false" customHeight="false" outlineLevel="0" collapsed="false">
      <c r="A6740" s="1" t="s">
        <v>782</v>
      </c>
      <c r="B6740" s="0" t="s">
        <v>126</v>
      </c>
      <c r="E6740" s="7" t="n">
        <f aca="false">Sens!E6739/Sens!D6739-1</f>
        <v>-0.0131677736066995</v>
      </c>
      <c r="F6740" s="7" t="n">
        <f aca="false">Sens!$E$6740+(glt_win-Sens!$E$6740)*MIN(1,1/n_conv)</f>
        <v>-0.00763981133891627</v>
      </c>
      <c r="G6740" s="7" t="n">
        <f aca="false">Sens!$E$6740+(glt_win-Sens!$E$6740)*MIN(1,2/n_conv)</f>
        <v>-0.00211184907113301</v>
      </c>
      <c r="H6740" s="7" t="n">
        <f aca="false">Sens!$E$6740+(glt_win-Sens!$E$6740)*MIN(1,3/n_conv)</f>
        <v>0.00341611319665024</v>
      </c>
      <c r="I6740" s="7" t="n">
        <f aca="false">Sens!$E$6740+(glt_win-Sens!$E$6740)*MIN(1,4/n_conv)</f>
        <v>0.00894407546443349</v>
      </c>
      <c r="J6740" s="7" t="n">
        <f aca="false">Sens!$E$6740+(glt_win-Sens!$E$6740)*MIN(1,5/n_conv)</f>
        <v>0.0144720377322168</v>
      </c>
      <c r="K6740" s="7" t="n">
        <f aca="false">Sens!$E$6740+(glt_win-Sens!$E$6740)*MIN(1,6/n_conv)</f>
        <v>0.02</v>
      </c>
    </row>
    <row r="6741" customFormat="false" ht="15" hidden="false" customHeight="false" outlineLevel="0" collapsed="false">
      <c r="A6741" s="0" t="s">
        <v>640</v>
      </c>
      <c r="B6741" s="0" t="s">
        <v>95</v>
      </c>
      <c r="D6741" s="6" t="n">
        <f aca="false">Sens!D6735+Sens!D6737+Sens!D6739</f>
        <v>62.941</v>
      </c>
      <c r="E6741" s="6" t="n">
        <f aca="false">Sens!E6735+Sens!E6737+Sens!E6739</f>
        <v>63.712</v>
      </c>
      <c r="F6741" s="6" t="n">
        <f aca="false">Sens!F6735+Sens!F6737+Sens!F6739</f>
        <v>65.1415764563129</v>
      </c>
      <c r="G6741" s="6" t="n">
        <f aca="false">Sens!G6735+Sens!G6737+Sens!G6739</f>
        <v>67.1253610780702</v>
      </c>
      <c r="H6741" s="6" t="n">
        <f aca="false">Sens!H6735+Sens!H6737+Sens!H6739</f>
        <v>69.5768050148776</v>
      </c>
      <c r="I6741" s="6" t="n">
        <f aca="false">Sens!I6735+Sens!I6737+Sens!I6739</f>
        <v>72.4233188088189</v>
      </c>
      <c r="J6741" s="6" t="n">
        <f aca="false">Sens!J6735+Sens!J6737+Sens!J6739</f>
        <v>75.6044096678567</v>
      </c>
      <c r="K6741" s="6" t="n">
        <f aca="false">Sens!K6735+Sens!K6737+Sens!K6739</f>
        <v>79.0714397009747</v>
      </c>
    </row>
    <row r="6742" customFormat="false" ht="15" hidden="false" customHeight="false" outlineLevel="0" collapsed="false">
      <c r="A6742" s="1" t="s">
        <v>795</v>
      </c>
      <c r="B6742" s="0" t="s">
        <v>95</v>
      </c>
      <c r="D6742" s="6" t="n">
        <f aca="false">Sens!D6734+Sens!D6741</f>
        <v>281.724</v>
      </c>
      <c r="E6742" s="6" t="n">
        <f aca="false">Sens!E6734+Sens!E6741</f>
        <v>331.839</v>
      </c>
      <c r="F6742" s="6" t="n">
        <f aca="false">Sens!F6734+Sens!F6741</f>
        <v>393.134367053499</v>
      </c>
      <c r="G6742" s="6" t="n">
        <f aca="false">Sens!G6734+Sens!G6741</f>
        <v>455.057755106681</v>
      </c>
      <c r="H6742" s="6" t="n">
        <f aca="false">Sens!H6734+Sens!H6741</f>
        <v>512.194807284628</v>
      </c>
      <c r="I6742" s="6" t="n">
        <f aca="false">Sens!I6734+Sens!I6741</f>
        <v>574.355283257648</v>
      </c>
      <c r="J6742" s="6" t="n">
        <f aca="false">Sens!J6734+Sens!J6741</f>
        <v>632.825111834192</v>
      </c>
      <c r="K6742" s="6" t="n">
        <f aca="false">Sens!K6734+Sens!K6741</f>
        <v>686.922855188904</v>
      </c>
    </row>
    <row r="6743" customFormat="false" ht="15" hidden="false" customHeight="false" outlineLevel="0" collapsed="false">
      <c r="A6743" s="22" t="s">
        <v>796</v>
      </c>
      <c r="B6743" s="28" t="s">
        <v>95</v>
      </c>
      <c r="C6743" s="28"/>
      <c r="D6743" s="23" t="n">
        <f aca="false">(Sens!D6722+Sens!D6727+Sens!D6728+Sens!D6730+Sens!D6732-Sens!D6734)+(Sens!D6735+Sens!D6737+Sens!D6739-Sens!D6741)+(Sens!D6734-Q!L5)+(Sens!D6741-Q!L12)+(Sens!D6722-Q!L6)+(Sens!D6727-Q!L7)</f>
        <v>0</v>
      </c>
      <c r="E6743" s="23" t="n">
        <f aca="false">(Sens!E6722+Sens!E6727+Sens!E6728+Sens!E6730+Sens!E6732-Sens!E6734)+(Sens!E6735+Sens!E6737+Sens!E6739-Sens!E6741)+(Sens!E6734-Q!M5)+(Sens!E6741-Q!M12)+(Sens!E6722-Q!M6)+(Sens!E6727-Q!M7)</f>
        <v>0</v>
      </c>
      <c r="F6743" s="23" t="n">
        <f aca="false">(Sens!F6722+Sens!F6727+Sens!F6728+Sens!F6730+Sens!F6732-Sens!F6734)+(Sens!F6735+Sens!F6737+Sens!F6739-Sens!F6741)</f>
        <v>0</v>
      </c>
      <c r="G6743" s="23" t="n">
        <f aca="false">(Sens!G6722+Sens!G6727+Sens!G6728+Sens!G6730+Sens!G6732-Sens!G6734)+(Sens!G6735+Sens!G6737+Sens!G6739-Sens!G6741)</f>
        <v>0</v>
      </c>
      <c r="H6743" s="23" t="n">
        <f aca="false">(Sens!H6722+Sens!H6727+Sens!H6728+Sens!H6730+Sens!H6732-Sens!H6734)+(Sens!H6735+Sens!H6737+Sens!H6739-Sens!H6741)</f>
        <v>0</v>
      </c>
      <c r="I6743" s="23" t="n">
        <f aca="false">(Sens!I6722+Sens!I6727+Sens!I6728+Sens!I6730+Sens!I6732-Sens!I6734)+(Sens!I6735+Sens!I6737+Sens!I6739-Sens!I6741)</f>
        <v>0</v>
      </c>
      <c r="J6743" s="23" t="n">
        <f aca="false">(Sens!J6722+Sens!J6727+Sens!J6728+Sens!J6730+Sens!J6732-Sens!J6734)+(Sens!J6735+Sens!J6737+Sens!J6739-Sens!J6741)</f>
        <v>0</v>
      </c>
      <c r="K6743" s="23" t="n">
        <f aca="false">(Sens!K6722+Sens!K6727+Sens!K6728+Sens!K6730+Sens!K6732-Sens!K6734)+(Sens!K6735+Sens!K6737+Sens!K6739-Sens!K6741)</f>
        <v>0</v>
      </c>
    </row>
    <row r="6744" customFormat="false" ht="17.15" hidden="false" customHeight="false" outlineLevel="0" collapsed="false">
      <c r="A6744" s="3" t="s">
        <v>1306</v>
      </c>
    </row>
    <row r="6745" customFormat="false" ht="15" hidden="false" customHeight="false" outlineLevel="0" collapsed="false">
      <c r="A6745" s="4" t="s">
        <v>43</v>
      </c>
      <c r="B6745" s="4" t="s">
        <v>63</v>
      </c>
      <c r="C6745" s="19" t="s">
        <v>710</v>
      </c>
      <c r="D6745" s="19" t="s">
        <v>711</v>
      </c>
      <c r="E6745" s="19" t="s">
        <v>712</v>
      </c>
      <c r="F6745" s="19" t="s">
        <v>713</v>
      </c>
      <c r="G6745" s="19" t="s">
        <v>714</v>
      </c>
      <c r="H6745" s="19" t="s">
        <v>715</v>
      </c>
      <c r="I6745" s="19" t="s">
        <v>716</v>
      </c>
      <c r="J6745" s="19" t="s">
        <v>717</v>
      </c>
      <c r="K6745" s="19" t="s">
        <v>718</v>
      </c>
      <c r="L6745" s="4" t="s">
        <v>47</v>
      </c>
    </row>
    <row r="6746" customFormat="false" ht="15" hidden="false" customHeight="false" outlineLevel="0" collapsed="false">
      <c r="A6746" s="0" t="s">
        <v>783</v>
      </c>
      <c r="B6746" s="0" t="s">
        <v>95</v>
      </c>
      <c r="D6746" s="6" t="n">
        <f aca="false">Sens!D6722</f>
        <v>72.61</v>
      </c>
      <c r="E6746" s="6" t="n">
        <f aca="false">Sens!E6722</f>
        <v>101.938</v>
      </c>
      <c r="F6746" s="6" t="n">
        <f aca="false">Sens!F6722</f>
        <v>140.371218658004</v>
      </c>
      <c r="G6746" s="6" t="n">
        <f aca="false">Sens!G6722</f>
        <v>180.839237491182</v>
      </c>
      <c r="H6746" s="6" t="n">
        <f aca="false">Sens!H6722</f>
        <v>216.029319588236</v>
      </c>
      <c r="I6746" s="6" t="n">
        <f aca="false">Sens!I6722</f>
        <v>256.870609469343</v>
      </c>
      <c r="J6746" s="6" t="n">
        <f aca="false">Sens!J6722</f>
        <v>295.029805062166</v>
      </c>
      <c r="K6746" s="6" t="n">
        <f aca="false">Sens!K6722</f>
        <v>329.457346147753</v>
      </c>
    </row>
    <row r="6747" customFormat="false" ht="17.15" hidden="false" customHeight="false" outlineLevel="0" collapsed="false">
      <c r="A6747" s="0" t="s">
        <v>780</v>
      </c>
      <c r="B6747" s="0" t="s">
        <v>95</v>
      </c>
      <c r="D6747" s="6" t="n">
        <f aca="false">Sens!D6719</f>
        <v>12.9359794422418</v>
      </c>
      <c r="E6747" s="6" t="n">
        <f aca="false">Sens!E6719</f>
        <v>27.8095064661409</v>
      </c>
      <c r="F6747" s="6" t="n">
        <f aca="false">Sens!F6719</f>
        <v>50.6619113883066</v>
      </c>
      <c r="G6747" s="6" t="n">
        <f aca="false">Sens!G6719</f>
        <v>75.1482839325348</v>
      </c>
      <c r="H6747" s="6" t="n">
        <f aca="false">Sens!H6719</f>
        <v>94.895655604042</v>
      </c>
      <c r="I6747" s="6" t="n">
        <f aca="false">Sens!I6719</f>
        <v>121.918667866643</v>
      </c>
      <c r="J6747" s="6" t="n">
        <f aca="false">Sens!J6719</f>
        <v>149.006768672892</v>
      </c>
      <c r="K6747" s="6" t="n">
        <f aca="false">Sens!K6719</f>
        <v>176.133157939015</v>
      </c>
    </row>
    <row r="6748" customFormat="false" ht="17.15" hidden="false" customHeight="false" outlineLevel="0" collapsed="false">
      <c r="A6748" s="0" t="s">
        <v>807</v>
      </c>
      <c r="B6748" s="0" t="s">
        <v>95</v>
      </c>
      <c r="D6748" s="6" t="n">
        <f aca="false">Sens!D6720</f>
        <v>59.6740205577583</v>
      </c>
      <c r="E6748" s="6" t="n">
        <f aca="false">Sens!E6720</f>
        <v>74.1284935338591</v>
      </c>
      <c r="F6748" s="6" t="n">
        <f aca="false">Sens!F6720</f>
        <v>89.709307269697</v>
      </c>
      <c r="G6748" s="6" t="n">
        <f aca="false">Sens!G6720</f>
        <v>105.690953558647</v>
      </c>
      <c r="H6748" s="6" t="n">
        <f aca="false">Sens!H6720</f>
        <v>121.133663984194</v>
      </c>
      <c r="I6748" s="6" t="n">
        <f aca="false">Sens!I6720</f>
        <v>134.951941602699</v>
      </c>
      <c r="J6748" s="6" t="n">
        <f aca="false">Sens!J6720</f>
        <v>146.023036389274</v>
      </c>
      <c r="K6748" s="6" t="n">
        <f aca="false">Sens!K6720</f>
        <v>153.324188208738</v>
      </c>
    </row>
    <row r="6749" customFormat="false" ht="15" hidden="false" customHeight="false" outlineLevel="0" collapsed="false">
      <c r="A6749" s="0" t="s">
        <v>788</v>
      </c>
      <c r="B6749" s="0" t="s">
        <v>95</v>
      </c>
      <c r="D6749" s="6" t="n">
        <f aca="false">Sens!D6727</f>
        <v>84.605</v>
      </c>
      <c r="E6749" s="6" t="n">
        <f aca="false">Sens!E6727</f>
        <v>100.299</v>
      </c>
      <c r="F6749" s="6" t="n">
        <f aca="false">Sens!F6727</f>
        <v>117.39238776686</v>
      </c>
      <c r="G6749" s="6" t="n">
        <f aca="false">Sens!G6727</f>
        <v>132.544168448684</v>
      </c>
      <c r="H6749" s="6" t="n">
        <f aca="false">Sens!H6727</f>
        <v>147.777359388781</v>
      </c>
      <c r="I6749" s="6" t="n">
        <f aca="false">Sens!I6727</f>
        <v>162.084028071957</v>
      </c>
      <c r="J6749" s="6" t="n">
        <f aca="false">Sens!J6727</f>
        <v>175.182702785465</v>
      </c>
      <c r="K6749" s="6" t="n">
        <f aca="false">Sens!K6727</f>
        <v>187.527991980448</v>
      </c>
    </row>
    <row r="6750" customFormat="false" ht="17.15" hidden="false" customHeight="false" outlineLevel="0" collapsed="false">
      <c r="A6750" s="0" t="s">
        <v>808</v>
      </c>
      <c r="B6750" s="0" t="s">
        <v>95</v>
      </c>
      <c r="D6750" s="6" t="n">
        <f aca="false">Sens!D6725</f>
        <v>83.705</v>
      </c>
      <c r="E6750" s="6" t="n">
        <f aca="false">Sens!E6725</f>
        <v>95.049</v>
      </c>
      <c r="F6750" s="6" t="n">
        <f aca="false">Sens!F6725</f>
        <v>106.89238776686</v>
      </c>
      <c r="G6750" s="6" t="n">
        <f aca="false">Sens!G6725</f>
        <v>119.044168448684</v>
      </c>
      <c r="H6750" s="6" t="n">
        <f aca="false">Sens!H6725</f>
        <v>131.277359388781</v>
      </c>
      <c r="I6750" s="6" t="n">
        <f aca="false">Sens!I6725</f>
        <v>143.334028071957</v>
      </c>
      <c r="J6750" s="6" t="n">
        <f aca="false">Sens!J6725</f>
        <v>154.932702785465</v>
      </c>
      <c r="K6750" s="6" t="n">
        <f aca="false">Sens!K6725</f>
        <v>165.777991980448</v>
      </c>
    </row>
    <row r="6751" customFormat="false" ht="17.15" hidden="false" customHeight="false" outlineLevel="0" collapsed="false">
      <c r="A6751" s="0" t="s">
        <v>809</v>
      </c>
      <c r="B6751" s="0" t="s">
        <v>95</v>
      </c>
      <c r="D6751" s="6" t="n">
        <f aca="false">Sens!D6724</f>
        <v>0.9</v>
      </c>
      <c r="E6751" s="6" t="n">
        <f aca="false">Sens!E6724</f>
        <v>5.25</v>
      </c>
      <c r="F6751" s="6" t="n">
        <f aca="false">Sens!F6724</f>
        <v>10.5</v>
      </c>
      <c r="G6751" s="6" t="n">
        <f aca="false">Sens!G6724</f>
        <v>13.5</v>
      </c>
      <c r="H6751" s="6" t="n">
        <f aca="false">Sens!H6724</f>
        <v>16.5</v>
      </c>
      <c r="I6751" s="6" t="n">
        <f aca="false">Sens!I6724</f>
        <v>18.75</v>
      </c>
      <c r="J6751" s="6" t="n">
        <f aca="false">Sens!J6724</f>
        <v>20.25</v>
      </c>
      <c r="K6751" s="6" t="n">
        <f aca="false">Sens!K6724</f>
        <v>21.75</v>
      </c>
    </row>
    <row r="6752" customFormat="false" ht="15" hidden="false" customHeight="false" outlineLevel="0" collapsed="false">
      <c r="A6752" s="0" t="s">
        <v>789</v>
      </c>
      <c r="B6752" s="0" t="s">
        <v>95</v>
      </c>
      <c r="D6752" s="6" t="n">
        <f aca="false">Sens!D6728</f>
        <v>35.391</v>
      </c>
      <c r="E6752" s="6" t="n">
        <f aca="false">Sens!E6728</f>
        <v>37.285</v>
      </c>
      <c r="F6752" s="6" t="n">
        <f aca="false">Sens!F6728</f>
        <v>39.0720834331704</v>
      </c>
      <c r="G6752" s="6" t="n">
        <f aca="false">Sens!G6728</f>
        <v>40.726562953769</v>
      </c>
      <c r="H6752" s="6" t="n">
        <f aca="false">Sens!H6728</f>
        <v>42.2235987259198</v>
      </c>
      <c r="I6752" s="6" t="n">
        <f aca="false">Sens!I6728</f>
        <v>43.5397988077414</v>
      </c>
      <c r="J6752" s="6" t="n">
        <f aca="false">Sens!J6728</f>
        <v>44.653811225693</v>
      </c>
      <c r="K6752" s="6" t="n">
        <f aca="false">Sens!K6728</f>
        <v>45.5468874502068</v>
      </c>
    </row>
    <row r="6753" customFormat="false" ht="15" hidden="false" customHeight="false" outlineLevel="0" collapsed="false">
      <c r="A6753" s="0" t="s">
        <v>790</v>
      </c>
      <c r="B6753" s="0" t="s">
        <v>95</v>
      </c>
      <c r="D6753" s="6" t="n">
        <f aca="false">Sens!D6730</f>
        <v>18.417</v>
      </c>
      <c r="E6753" s="6" t="n">
        <f aca="false">Sens!E6730</f>
        <v>20.345</v>
      </c>
      <c r="F6753" s="6" t="n">
        <f aca="false">Sens!F6730</f>
        <v>22.3572203267814</v>
      </c>
      <c r="G6753" s="6" t="n">
        <f aca="false">Sens!G6730</f>
        <v>24.4392124437232</v>
      </c>
      <c r="H6753" s="6" t="n">
        <f aca="false">Sens!H6730</f>
        <v>26.5738052080665</v>
      </c>
      <c r="I6753" s="6" t="n">
        <f aca="false">Sens!I6730</f>
        <v>28.7412169166967</v>
      </c>
      <c r="J6753" s="6" t="n">
        <f aca="false">Sens!J6730</f>
        <v>30.9192545395413</v>
      </c>
      <c r="K6753" s="6" t="n">
        <f aca="false">Sens!K6730</f>
        <v>33.0836023573092</v>
      </c>
    </row>
    <row r="6754" customFormat="false" ht="15" hidden="false" customHeight="false" outlineLevel="0" collapsed="false">
      <c r="A6754" s="0" t="s">
        <v>791</v>
      </c>
      <c r="B6754" s="0" t="s">
        <v>95</v>
      </c>
      <c r="D6754" s="6" t="n">
        <f aca="false">Sens!D6732</f>
        <v>7.76</v>
      </c>
      <c r="E6754" s="6" t="n">
        <f aca="false">Sens!E6732</f>
        <v>8.26</v>
      </c>
      <c r="F6754" s="6" t="n">
        <f aca="false">Sens!F6732</f>
        <v>8.79988041237113</v>
      </c>
      <c r="G6754" s="6" t="n">
        <f aca="false">Sens!G6732</f>
        <v>9.38321269125306</v>
      </c>
      <c r="H6754" s="6" t="n">
        <f aca="false">Sens!H6732</f>
        <v>10.0139193587476</v>
      </c>
      <c r="I6754" s="6" t="n">
        <f aca="false">Sens!I6732</f>
        <v>10.6963111830911</v>
      </c>
      <c r="J6754" s="6" t="n">
        <f aca="false">Sens!J6732</f>
        <v>11.4351285534696</v>
      </c>
      <c r="K6754" s="6" t="n">
        <f aca="false">Sens!K6732</f>
        <v>12.2355875522124</v>
      </c>
    </row>
    <row r="6755" customFormat="false" ht="15" hidden="false" customHeight="false" outlineLevel="0" collapsed="false">
      <c r="A6755" s="0" t="s">
        <v>626</v>
      </c>
      <c r="B6755" s="0" t="s">
        <v>95</v>
      </c>
      <c r="D6755" s="6" t="n">
        <f aca="false">Sens!D6734</f>
        <v>218.783</v>
      </c>
      <c r="E6755" s="6" t="n">
        <f aca="false">Sens!E6734</f>
        <v>268.127</v>
      </c>
      <c r="F6755" s="6" t="n">
        <f aca="false">Sens!F6734</f>
        <v>327.992790597186</v>
      </c>
      <c r="G6755" s="6" t="n">
        <f aca="false">Sens!G6734</f>
        <v>387.932394028611</v>
      </c>
      <c r="H6755" s="6" t="n">
        <f aca="false">Sens!H6734</f>
        <v>442.618002269751</v>
      </c>
      <c r="I6755" s="6" t="n">
        <f aca="false">Sens!I6734</f>
        <v>501.931964448829</v>
      </c>
      <c r="J6755" s="6" t="n">
        <f aca="false">Sens!J6734</f>
        <v>557.220702166335</v>
      </c>
      <c r="K6755" s="6" t="n">
        <f aca="false">Sens!K6734</f>
        <v>607.85141548793</v>
      </c>
    </row>
    <row r="6756" customFormat="false" ht="15" hidden="false" customHeight="false" outlineLevel="0" collapsed="false">
      <c r="A6756" s="0" t="s">
        <v>792</v>
      </c>
      <c r="B6756" s="0" t="s">
        <v>95</v>
      </c>
      <c r="D6756" s="6" t="n">
        <f aca="false">Sens!D6735</f>
        <v>22.171</v>
      </c>
      <c r="E6756" s="6" t="n">
        <f aca="false">Sens!E6735</f>
        <v>24.835</v>
      </c>
      <c r="F6756" s="6" t="n">
        <f aca="false">Sens!F6735</f>
        <v>27.6114901218559</v>
      </c>
      <c r="G6756" s="6" t="n">
        <f aca="false">Sens!G6735</f>
        <v>30.4675667338515</v>
      </c>
      <c r="H6756" s="6" t="n">
        <f aca="false">Sens!H6735</f>
        <v>33.3643766955789</v>
      </c>
      <c r="I6756" s="6" t="n">
        <f aca="false">Sens!I6735</f>
        <v>36.2577016533691</v>
      </c>
      <c r="J6756" s="6" t="n">
        <f aca="false">Sens!J6735</f>
        <v>39.0988367952171</v>
      </c>
      <c r="K6756" s="6" t="n">
        <f aca="false">Sens!K6735</f>
        <v>41.8357553708823</v>
      </c>
    </row>
    <row r="6757" customFormat="false" ht="15" hidden="false" customHeight="false" outlineLevel="0" collapsed="false">
      <c r="A6757" s="0" t="s">
        <v>793</v>
      </c>
      <c r="B6757" s="0" t="s">
        <v>95</v>
      </c>
      <c r="D6757" s="6" t="n">
        <f aca="false">Sens!D6737</f>
        <v>23.455</v>
      </c>
      <c r="E6757" s="6" t="n">
        <f aca="false">Sens!E6737</f>
        <v>21.79</v>
      </c>
      <c r="F6757" s="6" t="n">
        <f aca="false">Sens!F6737</f>
        <v>20.5736277908051</v>
      </c>
      <c r="G6757" s="6" t="n">
        <f aca="false">Sens!G6737</f>
        <v>19.7371452817919</v>
      </c>
      <c r="H6757" s="6" t="n">
        <f aca="false">Sens!H6737</f>
        <v>19.2339764043138</v>
      </c>
      <c r="I6757" s="6" t="n">
        <f aca="false">Sens!I6737</f>
        <v>19.0353086852681</v>
      </c>
      <c r="J6757" s="6" t="n">
        <f aca="false">Sens!J6737</f>
        <v>19.1273539319129</v>
      </c>
      <c r="K6757" s="6" t="n">
        <f aca="false">Sens!K6737</f>
        <v>19.5099010105511</v>
      </c>
    </row>
    <row r="6758" customFormat="false" ht="15" hidden="false" customHeight="false" outlineLevel="0" collapsed="false">
      <c r="A6758" s="0" t="s">
        <v>794</v>
      </c>
      <c r="B6758" s="0" t="s">
        <v>95</v>
      </c>
      <c r="D6758" s="6" t="n">
        <f aca="false">Sens!D6739</f>
        <v>17.315</v>
      </c>
      <c r="E6758" s="6" t="n">
        <f aca="false">Sens!E6739</f>
        <v>17.087</v>
      </c>
      <c r="F6758" s="6" t="n">
        <f aca="false">Sens!F6739</f>
        <v>16.9564585436519</v>
      </c>
      <c r="G6758" s="6" t="n">
        <f aca="false">Sens!G6739</f>
        <v>16.9206490624268</v>
      </c>
      <c r="H6758" s="6" t="n">
        <f aca="false">Sens!H6739</f>
        <v>16.9784519149849</v>
      </c>
      <c r="I6758" s="6" t="n">
        <f aca="false">Sens!I6739</f>
        <v>17.1303084701817</v>
      </c>
      <c r="J6758" s="6" t="n">
        <f aca="false">Sens!J6739</f>
        <v>17.3782189407267</v>
      </c>
      <c r="K6758" s="6" t="n">
        <f aca="false">Sens!K6739</f>
        <v>17.7257833195413</v>
      </c>
    </row>
    <row r="6759" customFormat="false" ht="15" hidden="false" customHeight="false" outlineLevel="0" collapsed="false">
      <c r="A6759" s="0" t="s">
        <v>640</v>
      </c>
      <c r="B6759" s="0" t="s">
        <v>95</v>
      </c>
      <c r="D6759" s="6" t="n">
        <f aca="false">Sens!D6741</f>
        <v>62.941</v>
      </c>
      <c r="E6759" s="6" t="n">
        <f aca="false">Sens!E6741</f>
        <v>63.712</v>
      </c>
      <c r="F6759" s="6" t="n">
        <f aca="false">Sens!F6741</f>
        <v>65.1415764563129</v>
      </c>
      <c r="G6759" s="6" t="n">
        <f aca="false">Sens!G6741</f>
        <v>67.1253610780702</v>
      </c>
      <c r="H6759" s="6" t="n">
        <f aca="false">Sens!H6741</f>
        <v>69.5768050148776</v>
      </c>
      <c r="I6759" s="6" t="n">
        <f aca="false">Sens!I6741</f>
        <v>72.4233188088189</v>
      </c>
      <c r="J6759" s="6" t="n">
        <f aca="false">Sens!J6741</f>
        <v>75.6044096678567</v>
      </c>
      <c r="K6759" s="6" t="n">
        <f aca="false">Sens!K6741</f>
        <v>79.0714397009747</v>
      </c>
    </row>
    <row r="6760" customFormat="false" ht="15" hidden="false" customHeight="false" outlineLevel="0" collapsed="false">
      <c r="A6760" s="1" t="s">
        <v>810</v>
      </c>
      <c r="B6760" s="0" t="s">
        <v>95</v>
      </c>
      <c r="D6760" s="6" t="n">
        <f aca="false">Sens!D6742</f>
        <v>281.724</v>
      </c>
      <c r="E6760" s="6" t="n">
        <f aca="false">Sens!E6742</f>
        <v>331.839</v>
      </c>
      <c r="F6760" s="6" t="n">
        <f aca="false">Sens!F6742</f>
        <v>393.134367053499</v>
      </c>
      <c r="G6760" s="6" t="n">
        <f aca="false">Sens!G6742</f>
        <v>455.057755106681</v>
      </c>
      <c r="H6760" s="6" t="n">
        <f aca="false">Sens!H6742</f>
        <v>512.194807284628</v>
      </c>
      <c r="I6760" s="6" t="n">
        <f aca="false">Sens!I6742</f>
        <v>574.355283257648</v>
      </c>
      <c r="J6760" s="6" t="n">
        <f aca="false">Sens!J6742</f>
        <v>632.825111834192</v>
      </c>
      <c r="K6760" s="6" t="n">
        <f aca="false">Sens!K6742</f>
        <v>686.922855188904</v>
      </c>
    </row>
    <row r="6761" customFormat="false" ht="15" hidden="false" customHeight="false" outlineLevel="0" collapsed="false">
      <c r="A6761" s="1" t="s">
        <v>811</v>
      </c>
      <c r="B6761" s="0" t="s">
        <v>126</v>
      </c>
      <c r="E6761" s="7" t="n">
        <f aca="false">Sens!E6760/Sens!D6760-1</f>
        <v>0.177886867998467</v>
      </c>
      <c r="F6761" s="7" t="n">
        <f aca="false">Sens!F6760/Sens!E6760-1</f>
        <v>0.184714174806154</v>
      </c>
      <c r="G6761" s="7" t="n">
        <f aca="false">Sens!G6760/Sens!F6760-1</f>
        <v>0.157512019407744</v>
      </c>
      <c r="H6761" s="7" t="n">
        <f aca="false">Sens!H6760/Sens!G6760-1</f>
        <v>0.125560000981749</v>
      </c>
      <c r="I6761" s="7" t="n">
        <f aca="false">Sens!I6760/Sens!H6760-1</f>
        <v>0.121361003838675</v>
      </c>
      <c r="J6761" s="7" t="n">
        <f aca="false">Sens!J6760/Sens!I6760-1</f>
        <v>0.101800802188</v>
      </c>
      <c r="K6761" s="7" t="n">
        <f aca="false">Sens!K6760/Sens!J6760-1</f>
        <v>0.0854860882462682</v>
      </c>
    </row>
    <row r="6762" customFormat="false" ht="17.15" hidden="false" customHeight="false" outlineLevel="0" collapsed="false">
      <c r="A6762" s="22" t="s">
        <v>812</v>
      </c>
      <c r="B6762" s="28" t="s">
        <v>95</v>
      </c>
      <c r="C6762" s="28"/>
      <c r="D6762" s="23" t="n">
        <f aca="false">(Sens!D6755+Sens!D6759-Sens!D6760)+(Sens!D6747+Sens!D6748-Sens!D6746)+(Sens!D6750+Sens!D6751-Sens!D6749)+(Sens!D6760-Q!L18)</f>
        <v>0</v>
      </c>
      <c r="E6762" s="23" t="n">
        <f aca="false">(Sens!E6755+Sens!E6759-Sens!E6760)+(Sens!E6747+Sens!E6748-Sens!E6746)+(Sens!E6750+Sens!E6751-Sens!E6749)+(Sens!E6760-Q!M18)</f>
        <v>0</v>
      </c>
      <c r="F6762" s="23" t="n">
        <f aca="false">(Sens!F6755+Sens!F6759-Sens!F6760)+(Sens!F6747+Sens!F6748-Sens!F6746)+(Sens!F6750+Sens!F6751-Sens!F6749)</f>
        <v>0</v>
      </c>
      <c r="G6762" s="23" t="n">
        <f aca="false">(Sens!G6755+Sens!G6759-Sens!G6760)+(Sens!G6747+Sens!G6748-Sens!G6746)+(Sens!G6750+Sens!G6751-Sens!G6749)</f>
        <v>0</v>
      </c>
      <c r="H6762" s="23" t="n">
        <f aca="false">(Sens!H6755+Sens!H6759-Sens!H6760)+(Sens!H6747+Sens!H6748-Sens!H6746)+(Sens!H6750+Sens!H6751-Sens!H6749)</f>
        <v>0</v>
      </c>
      <c r="I6762" s="23" t="n">
        <f aca="false">(Sens!I6755+Sens!I6759-Sens!I6760)+(Sens!I6747+Sens!I6748-Sens!I6746)+(Sens!I6750+Sens!I6751-Sens!I6749)</f>
        <v>0</v>
      </c>
      <c r="J6762" s="23" t="n">
        <f aca="false">(Sens!J6755+Sens!J6759-Sens!J6760)+(Sens!J6747+Sens!J6748-Sens!J6746)+(Sens!J6750+Sens!J6751-Sens!J6749)</f>
        <v>0</v>
      </c>
      <c r="K6762" s="23" t="n">
        <f aca="false">(Sens!K6755+Sens!K6759-Sens!K6760)+(Sens!K6747+Sens!K6748-Sens!K6746)+(Sens!K6750+Sens!K6751-Sens!K6749)</f>
        <v>0</v>
      </c>
    </row>
    <row r="6763" customFormat="false" ht="17.15" hidden="false" customHeight="false" outlineLevel="0" collapsed="false">
      <c r="A6763" s="0" t="s">
        <v>813</v>
      </c>
      <c r="B6763" s="0" t="s">
        <v>126</v>
      </c>
      <c r="E6763" s="7" t="n">
        <f aca="false">(Q!M21+Sens!E6700+Sens!E6701+Sens!E6702+Sens!E6715-Sens!E6698)/(Q!M5-Sens!E6698)</f>
        <v>0.570957350878296</v>
      </c>
      <c r="F6763" s="7" t="n">
        <f aca="false">Sens!$E$6763+dm_seg</f>
        <v>0.570957350878296</v>
      </c>
      <c r="G6763" s="7" t="n">
        <f aca="false">Sens!$E$6763+dm_seg</f>
        <v>0.570957350878296</v>
      </c>
      <c r="H6763" s="7" t="n">
        <f aca="false">Sens!$E$6763+dm_seg</f>
        <v>0.570957350878296</v>
      </c>
      <c r="I6763" s="7" t="n">
        <f aca="false">Sens!$E$6763+dm_seg</f>
        <v>0.570957350878296</v>
      </c>
      <c r="J6763" s="7" t="n">
        <f aca="false">Sens!$E$6763+dm_seg</f>
        <v>0.570957350878296</v>
      </c>
      <c r="K6763" s="7" t="n">
        <f aca="false">Sens!$E$6763+dm_seg</f>
        <v>0.570957350878296</v>
      </c>
      <c r="L6763" s="11" t="s">
        <v>814</v>
      </c>
    </row>
    <row r="6764" customFormat="false" ht="17.15" hidden="false" customHeight="false" outlineLevel="0" collapsed="false">
      <c r="A6764" s="0" t="s">
        <v>654</v>
      </c>
      <c r="B6764" s="0" t="s">
        <v>95</v>
      </c>
      <c r="D6764" s="6" t="n">
        <f aca="false">Q!L21</f>
        <v>110.814</v>
      </c>
      <c r="E6764" s="6" t="n">
        <f aca="false">Q!M21</f>
        <v>136.365</v>
      </c>
      <c r="F6764" s="6" t="n">
        <f aca="false">Sens!F6763*(Sens!F6734-Sens!F6698)+Sens!F6698-(Sens!F6700+Sens!F6701+Sens!F6702)-Sens!F6715</f>
        <v>152.109306291552</v>
      </c>
      <c r="G6764" s="6" t="n">
        <f aca="false">Sens!G6763*(Sens!G6734-Sens!G6698)+Sens!G6698-(Sens!G6700+Sens!G6701+Sens!G6702)-Sens!G6715</f>
        <v>159.508164885141</v>
      </c>
      <c r="H6764" s="6" t="n">
        <f aca="false">Sens!H6763*(Sens!H6734-Sens!H6698)+Sens!H6698-(Sens!H6700+Sens!H6701+Sens!H6702)-Sens!H6715</f>
        <v>160.771198500393</v>
      </c>
      <c r="I6764" s="6" t="n">
        <f aca="false">Sens!I6763*(Sens!I6734-Sens!I6698)+Sens!I6698-(Sens!I6700+Sens!I6701+Sens!I6702)-Sens!I6715</f>
        <v>166.748283803165</v>
      </c>
      <c r="J6764" s="6" t="n">
        <f aca="false">Sens!J6763*(Sens!J6734-Sens!J6698)+Sens!J6698-(Sens!J6700+Sens!J6701+Sens!J6702)-Sens!J6715</f>
        <v>169.466722746269</v>
      </c>
      <c r="K6764" s="6" t="n">
        <f aca="false">Sens!K6763*(Sens!K6734-Sens!K6698)+Sens!K6698-(Sens!K6700+Sens!K6701+Sens!K6702)-Sens!K6715</f>
        <v>168.245030512819</v>
      </c>
      <c r="L6764" s="1" t="s">
        <v>815</v>
      </c>
    </row>
    <row r="6765" customFormat="false" ht="17.15" hidden="false" customHeight="false" outlineLevel="0" collapsed="false">
      <c r="A6765" s="0" t="s">
        <v>816</v>
      </c>
      <c r="B6765" s="0" t="s">
        <v>126</v>
      </c>
      <c r="E6765" s="7" t="n">
        <f aca="false">Q!M22/Q!M12</f>
        <v>0.296207935710698</v>
      </c>
      <c r="F6765" s="7" t="n">
        <f aca="false">Sens!$E$6765+dm_seg</f>
        <v>0.296207935710698</v>
      </c>
      <c r="G6765" s="7" t="n">
        <f aca="false">Sens!$E$6765+dm_seg</f>
        <v>0.296207935710698</v>
      </c>
      <c r="H6765" s="7" t="n">
        <f aca="false">Sens!$E$6765+dm_seg</f>
        <v>0.296207935710698</v>
      </c>
      <c r="I6765" s="7" t="n">
        <f aca="false">Sens!$E$6765+dm_seg</f>
        <v>0.296207935710698</v>
      </c>
      <c r="J6765" s="7" t="n">
        <f aca="false">Sens!$E$6765+dm_seg</f>
        <v>0.296207935710698</v>
      </c>
      <c r="K6765" s="7" t="n">
        <f aca="false">Sens!$E$6765+dm_seg</f>
        <v>0.296207935710698</v>
      </c>
      <c r="L6765" s="11" t="s">
        <v>817</v>
      </c>
    </row>
    <row r="6766" customFormat="false" ht="17.15" hidden="false" customHeight="false" outlineLevel="0" collapsed="false">
      <c r="A6766" s="0" t="s">
        <v>656</v>
      </c>
      <c r="B6766" s="0" t="s">
        <v>95</v>
      </c>
      <c r="D6766" s="6" t="n">
        <f aca="false">Q!L22</f>
        <v>17.714</v>
      </c>
      <c r="E6766" s="6" t="n">
        <f aca="false">Q!M22</f>
        <v>18.872</v>
      </c>
      <c r="F6766" s="6" t="n">
        <f aca="false">Sens!F6741*Sens!F6765</f>
        <v>19.2954518910651</v>
      </c>
      <c r="G6766" s="6" t="n">
        <f aca="false">Sens!G6741*Sens!G6765</f>
        <v>19.8830646387704</v>
      </c>
      <c r="H6766" s="6" t="n">
        <f aca="false">Sens!H6741*Sens!H6765</f>
        <v>20.6092017868026</v>
      </c>
      <c r="I6766" s="6" t="n">
        <f aca="false">Sens!I6741*Sens!I6765</f>
        <v>21.452361761678</v>
      </c>
      <c r="J6766" s="6" t="n">
        <f aca="false">Sens!J6741*Sens!J6765</f>
        <v>22.3946261183418</v>
      </c>
      <c r="K6766" s="6" t="n">
        <f aca="false">Sens!K6741*Sens!K6765</f>
        <v>23.4215879274986</v>
      </c>
    </row>
    <row r="6767" customFormat="false" ht="15" hidden="false" customHeight="false" outlineLevel="0" collapsed="false">
      <c r="A6767" s="1" t="s">
        <v>818</v>
      </c>
      <c r="B6767" s="0" t="s">
        <v>95</v>
      </c>
      <c r="D6767" s="6" t="n">
        <f aca="false">Sens!D6764+Sens!D6766</f>
        <v>128.528</v>
      </c>
      <c r="E6767" s="6" t="n">
        <f aca="false">Sens!E6764+Sens!E6766</f>
        <v>155.237</v>
      </c>
      <c r="F6767" s="6" t="n">
        <f aca="false">Sens!F6764+Sens!F6766</f>
        <v>171.404758182617</v>
      </c>
      <c r="G6767" s="6" t="n">
        <f aca="false">Sens!G6764+Sens!G6766</f>
        <v>179.391229523911</v>
      </c>
      <c r="H6767" s="6" t="n">
        <f aca="false">Sens!H6764+Sens!H6766</f>
        <v>181.380400287195</v>
      </c>
      <c r="I6767" s="6" t="n">
        <f aca="false">Sens!I6764+Sens!I6766</f>
        <v>188.200645564843</v>
      </c>
      <c r="J6767" s="6" t="n">
        <f aca="false">Sens!J6764+Sens!J6766</f>
        <v>191.861348864611</v>
      </c>
      <c r="K6767" s="6" t="n">
        <f aca="false">Sens!K6764+Sens!K6766</f>
        <v>191.666618440317</v>
      </c>
    </row>
    <row r="6768" customFormat="false" ht="15" hidden="false" customHeight="false" outlineLevel="0" collapsed="false">
      <c r="A6768" s="22" t="s">
        <v>819</v>
      </c>
      <c r="B6768" s="28" t="s">
        <v>95</v>
      </c>
      <c r="C6768" s="28"/>
      <c r="D6768" s="23" t="n">
        <f aca="false">Sens!D6767-Q!L23</f>
        <v>0</v>
      </c>
      <c r="E6768" s="23" t="n">
        <f aca="false">Sens!E6767-Q!M23</f>
        <v>0</v>
      </c>
      <c r="F6768" s="28"/>
      <c r="G6768" s="28"/>
      <c r="H6768" s="28"/>
      <c r="I6768" s="28"/>
      <c r="J6768" s="28"/>
      <c r="K6768" s="28"/>
    </row>
    <row r="6769" customFormat="false" ht="15" hidden="false" customHeight="false" outlineLevel="0" collapsed="false">
      <c r="A6769" s="1" t="s">
        <v>820</v>
      </c>
      <c r="B6769" s="0" t="s">
        <v>126</v>
      </c>
      <c r="D6769" s="7" t="n">
        <f aca="false">Sens!D6767/Sens!D6760</f>
        <v>0.456219562408598</v>
      </c>
      <c r="E6769" s="7" t="n">
        <f aca="false">Sens!E6767/Sens!E6760</f>
        <v>0.467808184089272</v>
      </c>
      <c r="F6769" s="7" t="n">
        <f aca="false">Sens!F6767/Sens!F6760</f>
        <v>0.435995355652261</v>
      </c>
      <c r="G6769" s="7" t="n">
        <f aca="false">Sens!G6767/Sens!G6760</f>
        <v>0.394216398931287</v>
      </c>
      <c r="H6769" s="7" t="n">
        <f aca="false">Sens!H6767/Sens!H6760</f>
        <v>0.354123856211611</v>
      </c>
      <c r="I6769" s="7" t="n">
        <f aca="false">Sens!I6767/Sens!I6760</f>
        <v>0.327672872611879</v>
      </c>
      <c r="J6769" s="7" t="n">
        <f aca="false">Sens!J6767/Sens!J6760</f>
        <v>0.303182262013144</v>
      </c>
      <c r="K6769" s="7" t="n">
        <f aca="false">Sens!K6767/Sens!K6760</f>
        <v>0.279022043003081</v>
      </c>
    </row>
    <row r="6770" customFormat="false" ht="17.15" hidden="false" customHeight="false" outlineLevel="0" collapsed="false">
      <c r="A6770" s="1" t="s">
        <v>821</v>
      </c>
      <c r="B6770" s="0" t="s">
        <v>95</v>
      </c>
      <c r="E6770" s="6" t="n">
        <f aca="false">Sens!E6715</f>
        <v>16.3054059770833</v>
      </c>
      <c r="F6770" s="6" t="n">
        <f aca="false">Sens!F6715</f>
        <v>34.759212830331</v>
      </c>
      <c r="G6770" s="6" t="n">
        <f aca="false">Sens!G6715</f>
        <v>60.5440880092619</v>
      </c>
      <c r="H6770" s="6" t="n">
        <f aca="false">Sens!H6715</f>
        <v>87.7796707420619</v>
      </c>
      <c r="I6770" s="6" t="n">
        <f aca="false">Sens!I6715</f>
        <v>116.034536490045</v>
      </c>
      <c r="J6770" s="6" t="n">
        <f aca="false">Sens!J6715</f>
        <v>145.261632707195</v>
      </c>
      <c r="K6770" s="6" t="n">
        <f aca="false">Sens!K6715</f>
        <v>175.776277383512</v>
      </c>
    </row>
    <row r="6771" customFormat="false" ht="17.15" hidden="false" customHeight="false" outlineLevel="0" collapsed="false">
      <c r="A6771" s="1" t="s">
        <v>822</v>
      </c>
      <c r="B6771" s="0" t="s">
        <v>95</v>
      </c>
      <c r="E6771" s="6" t="n">
        <f aca="false">Sens!E6791</f>
        <v>22.2285940229167</v>
      </c>
      <c r="F6771" s="6" t="n">
        <f aca="false">Sens!F6791</f>
        <v>23.5412564942279</v>
      </c>
      <c r="G6771" s="6" t="n">
        <f aca="false">Sens!G6791</f>
        <v>25.2306707689507</v>
      </c>
      <c r="H6771" s="6" t="n">
        <f aca="false">Sens!H6791</f>
        <v>27.2509886844358</v>
      </c>
      <c r="I6771" s="6" t="n">
        <f aca="false">Sens!I6791</f>
        <v>29.5285946315735</v>
      </c>
      <c r="J6771" s="6" t="n">
        <f aca="false">Sens!J6791</f>
        <v>31.9714098749524</v>
      </c>
      <c r="K6771" s="6" t="n">
        <f aca="false">Sens!K6791</f>
        <v>34.4801153918417</v>
      </c>
    </row>
    <row r="6772" customFormat="false" ht="17.15" hidden="false" customHeight="false" outlineLevel="0" collapsed="false">
      <c r="A6772" s="1" t="s">
        <v>823</v>
      </c>
      <c r="B6772" s="0" t="s">
        <v>95</v>
      </c>
      <c r="D6772" s="6" t="n">
        <f aca="false">Q!L27</f>
        <v>-4.901</v>
      </c>
      <c r="E6772" s="6" t="n">
        <f aca="false">Q!M27</f>
        <v>10.697</v>
      </c>
      <c r="F6772" s="6" t="n">
        <f aca="false">oie_f</f>
        <v>-0.4</v>
      </c>
      <c r="G6772" s="6" t="n">
        <f aca="false">oie_f</f>
        <v>-0.4</v>
      </c>
      <c r="H6772" s="6" t="n">
        <f aca="false">oie_f</f>
        <v>-0.4</v>
      </c>
      <c r="I6772" s="6" t="n">
        <f aca="false">oie_f</f>
        <v>-0.4</v>
      </c>
      <c r="J6772" s="6" t="n">
        <f aca="false">oie_f</f>
        <v>-0.4</v>
      </c>
      <c r="K6772" s="6" t="n">
        <f aca="false">oie_f</f>
        <v>-0.4</v>
      </c>
      <c r="L6772" s="11" t="s">
        <v>824</v>
      </c>
    </row>
    <row r="6773" customFormat="false" ht="15" hidden="false" customHeight="false" outlineLevel="0" collapsed="false">
      <c r="A6773" s="1" t="s">
        <v>666</v>
      </c>
      <c r="B6773" s="0" t="s">
        <v>95</v>
      </c>
      <c r="D6773" s="6" t="n">
        <f aca="false">Sens!D6767+Sens!D6772</f>
        <v>123.627</v>
      </c>
      <c r="E6773" s="6" t="n">
        <f aca="false">Sens!E6767+Sens!E6772</f>
        <v>165.934</v>
      </c>
      <c r="F6773" s="6" t="n">
        <f aca="false">Sens!F6767+Sens!F6772</f>
        <v>171.004758182617</v>
      </c>
      <c r="G6773" s="6" t="n">
        <f aca="false">Sens!G6767+Sens!G6772</f>
        <v>178.991229523911</v>
      </c>
      <c r="H6773" s="6" t="n">
        <f aca="false">Sens!H6767+Sens!H6772</f>
        <v>180.980400287195</v>
      </c>
      <c r="I6773" s="6" t="n">
        <f aca="false">Sens!I6767+Sens!I6772</f>
        <v>187.800645564843</v>
      </c>
      <c r="J6773" s="6" t="n">
        <f aca="false">Sens!J6767+Sens!J6772</f>
        <v>191.461348864611</v>
      </c>
      <c r="K6773" s="6" t="n">
        <f aca="false">Sens!K6767+Sens!K6772</f>
        <v>191.266618440317</v>
      </c>
    </row>
    <row r="6774" customFormat="false" ht="15" hidden="false" customHeight="false" outlineLevel="0" collapsed="false">
      <c r="A6774" s="1" t="s">
        <v>668</v>
      </c>
      <c r="B6774" s="0" t="s">
        <v>95</v>
      </c>
      <c r="D6774" s="6" t="n">
        <f aca="false">Q!L29</f>
        <v>21.795</v>
      </c>
      <c r="E6774" s="6" t="n">
        <f aca="false">Q!M29</f>
        <v>32.185</v>
      </c>
      <c r="F6774" s="6" t="n">
        <f aca="false">Sens!F6773*tax_f</f>
        <v>34.2009516365234</v>
      </c>
      <c r="G6774" s="6" t="n">
        <f aca="false">Sens!G6773*tax_f</f>
        <v>35.7982459047823</v>
      </c>
      <c r="H6774" s="6" t="n">
        <f aca="false">Sens!H6773*tax_f</f>
        <v>36.1960800574391</v>
      </c>
      <c r="I6774" s="6" t="n">
        <f aca="false">Sens!I6773*tax_f</f>
        <v>37.5601291129686</v>
      </c>
      <c r="J6774" s="6" t="n">
        <f aca="false">Sens!J6773*tax_f</f>
        <v>38.2922697729222</v>
      </c>
      <c r="K6774" s="6" t="n">
        <f aca="false">Sens!K6773*tax_f</f>
        <v>38.2533236880635</v>
      </c>
    </row>
    <row r="6775" customFormat="false" ht="15" hidden="false" customHeight="false" outlineLevel="0" collapsed="false">
      <c r="A6775" s="1" t="s">
        <v>825</v>
      </c>
      <c r="B6775" s="0" t="s">
        <v>95</v>
      </c>
      <c r="D6775" s="6" t="n">
        <f aca="false">Sens!D6773-Sens!D6774</f>
        <v>101.832</v>
      </c>
      <c r="E6775" s="6" t="n">
        <f aca="false">Sens!E6773-Sens!E6774</f>
        <v>133.749</v>
      </c>
      <c r="F6775" s="6" t="n">
        <f aca="false">Sens!F6773-Sens!F6774</f>
        <v>136.803806546094</v>
      </c>
      <c r="G6775" s="6" t="n">
        <f aca="false">Sens!G6773-Sens!G6774</f>
        <v>143.192983619129</v>
      </c>
      <c r="H6775" s="6" t="n">
        <f aca="false">Sens!H6773-Sens!H6774</f>
        <v>144.784320229756</v>
      </c>
      <c r="I6775" s="6" t="n">
        <f aca="false">Sens!I6773-Sens!I6774</f>
        <v>150.240516451874</v>
      </c>
      <c r="J6775" s="6" t="n">
        <f aca="false">Sens!J6773-Sens!J6774</f>
        <v>153.169079091689</v>
      </c>
      <c r="K6775" s="6" t="n">
        <f aca="false">Sens!K6773-Sens!K6774</f>
        <v>153.013294752254</v>
      </c>
    </row>
    <row r="6776" customFormat="false" ht="17.15" hidden="false" customHeight="false" outlineLevel="0" collapsed="false">
      <c r="A6776" s="1" t="s">
        <v>826</v>
      </c>
      <c r="B6776" s="1" t="s">
        <v>79</v>
      </c>
      <c r="D6776" s="18" t="n">
        <f aca="false">Q!L31</f>
        <v>7.465</v>
      </c>
      <c r="E6776" s="18" t="n">
        <f aca="false">Q!M31</f>
        <v>7.453</v>
      </c>
      <c r="F6776" s="18" t="n">
        <f aca="false">Sens!F6813</f>
        <v>7.4735</v>
      </c>
      <c r="G6776" s="18" t="n">
        <f aca="false">Sens!G6813</f>
        <v>7.5185</v>
      </c>
      <c r="H6776" s="18" t="n">
        <f aca="false">Sens!H6813</f>
        <v>7.55913792051976</v>
      </c>
      <c r="I6776" s="18" t="n">
        <f aca="false">Sens!I6813</f>
        <v>7.59394377979993</v>
      </c>
      <c r="J6776" s="18" t="n">
        <f aca="false">Sens!J6813</f>
        <v>7.61864701533323</v>
      </c>
      <c r="K6776" s="18" t="n">
        <f aca="false">Sens!K6813</f>
        <v>7.64578252204944</v>
      </c>
    </row>
    <row r="6777" customFormat="false" ht="17.15" hidden="false" customHeight="false" outlineLevel="0" collapsed="false">
      <c r="A6777" s="0" t="s">
        <v>827</v>
      </c>
      <c r="B6777" s="0" t="s">
        <v>73</v>
      </c>
      <c r="D6777" s="8" t="n">
        <f aca="false">Sens!D6775/Sens!D6776</f>
        <v>13.641259209645</v>
      </c>
      <c r="E6777" s="8" t="n">
        <f aca="false">Sens!E6775/Sens!E6776</f>
        <v>17.9456594659869</v>
      </c>
      <c r="F6777" s="8" t="n">
        <f aca="false">Sens!F6775/Sens!F6776</f>
        <v>18.3051858628613</v>
      </c>
      <c r="G6777" s="8" t="n">
        <f aca="false">Sens!G6775/Sens!G6776</f>
        <v>19.0454191153992</v>
      </c>
      <c r="H6777" s="8" t="n">
        <f aca="false">Sens!H6775/Sens!H6776</f>
        <v>19.1535492210997</v>
      </c>
      <c r="I6777" s="8" t="n">
        <f aca="false">Sens!I6775/Sens!I6776</f>
        <v>19.784254507061</v>
      </c>
      <c r="J6777" s="8" t="n">
        <f aca="false">Sens!J6775/Sens!J6776</f>
        <v>20.1044987099969</v>
      </c>
      <c r="K6777" s="8" t="n">
        <f aca="false">Sens!K6775/Sens!K6776</f>
        <v>20.0127710029658</v>
      </c>
      <c r="L6777" s="1" t="s">
        <v>828</v>
      </c>
    </row>
    <row r="6778" customFormat="false" ht="17.15" hidden="false" customHeight="false" outlineLevel="0" collapsed="false">
      <c r="A6778" s="0" t="s">
        <v>829</v>
      </c>
      <c r="B6778" s="0" t="s">
        <v>126</v>
      </c>
      <c r="E6778" s="7" t="n">
        <f aca="false">Sens!E6777/Sens!D6777-1</f>
        <v>0.315542736208578</v>
      </c>
      <c r="F6778" s="7" t="n">
        <f aca="false">Sens!F6777/Sens!E6777-1</f>
        <v>0.0200341702435523</v>
      </c>
      <c r="G6778" s="7" t="n">
        <f aca="false">Sens!G6777/Sens!F6777-1</f>
        <v>0.0404384450441346</v>
      </c>
      <c r="H6778" s="7" t="n">
        <f aca="false">Sens!H6777/Sens!G6777-1</f>
        <v>0.00567748627873543</v>
      </c>
      <c r="I6778" s="7" t="n">
        <f aca="false">Sens!I6777/Sens!H6777-1</f>
        <v>0.0329288989043601</v>
      </c>
      <c r="J6778" s="7" t="n">
        <f aca="false">Sens!J6777/Sens!I6777-1</f>
        <v>0.0161868218396439</v>
      </c>
      <c r="K6778" s="7" t="n">
        <f aca="false">Sens!K6777/Sens!J6777-1</f>
        <v>-0.00456254634120767</v>
      </c>
    </row>
    <row r="6779" customFormat="false" ht="17.15" hidden="false" customHeight="false" outlineLevel="0" collapsed="false">
      <c r="A6779" s="0" t="s">
        <v>763</v>
      </c>
      <c r="B6779" s="0" t="s">
        <v>95</v>
      </c>
      <c r="E6779" s="6" t="n">
        <f aca="false">Sens!E6724</f>
        <v>5.25</v>
      </c>
      <c r="F6779" s="6" t="n">
        <f aca="false">Sens!F6724</f>
        <v>10.5</v>
      </c>
      <c r="G6779" s="6" t="n">
        <f aca="false">Sens!G6724</f>
        <v>13.5</v>
      </c>
      <c r="H6779" s="6" t="n">
        <f aca="false">Sens!H6724</f>
        <v>16.5</v>
      </c>
      <c r="I6779" s="6" t="n">
        <f aca="false">Sens!I6724</f>
        <v>18.75</v>
      </c>
      <c r="J6779" s="6" t="n">
        <f aca="false">Sens!J6724</f>
        <v>20.25</v>
      </c>
      <c r="K6779" s="6" t="n">
        <f aca="false">Sens!K6724</f>
        <v>21.75</v>
      </c>
    </row>
    <row r="6780" customFormat="false" ht="17.15" hidden="false" customHeight="false" outlineLevel="0" collapsed="false">
      <c r="A6780" s="0" t="s">
        <v>764</v>
      </c>
      <c r="B6780" s="0" t="s">
        <v>95</v>
      </c>
      <c r="E6780" s="6" t="n">
        <f aca="false">Sens!E6704+Sens!E6779*Sens!E6763-Sens!E6705-Sens!E6715</f>
        <v>2.1514866143068</v>
      </c>
      <c r="F6780" s="6" t="n">
        <f aca="false">Sens!F6704+Sens!F6779*Sens!F6763-Sens!F6705-Sens!F6715</f>
        <v>-0.239745634076684</v>
      </c>
      <c r="G6780" s="6" t="n">
        <f aca="false">Sens!G6704+Sens!G6779*Sens!G6763-Sens!G6705-Sens!G6715</f>
        <v>-11.3702977752829</v>
      </c>
      <c r="H6780" s="6" t="n">
        <f aca="false">Sens!H6704+Sens!H6779*Sens!H6763-Sens!H6705-Sens!H6715</f>
        <v>-28.3426351035529</v>
      </c>
      <c r="I6780" s="6" t="n">
        <f aca="false">Sens!I6704+Sens!I6779*Sens!I6763-Sens!I6705-Sens!I6715</f>
        <v>-39.5176509829598</v>
      </c>
      <c r="J6780" s="6" t="n">
        <f aca="false">Sens!J6704+Sens!J6779*Sens!J6763-Sens!J6705-Sens!J6715</f>
        <v>-52.0441369574706</v>
      </c>
      <c r="K6780" s="6" t="n">
        <f aca="false">Sens!K6704+Sens!K6779*Sens!K6763-Sens!K6705-Sens!K6715</f>
        <v>-65.8293597615005</v>
      </c>
    </row>
    <row r="6781" customFormat="false" ht="17.15" hidden="false" customHeight="false" outlineLevel="0" collapsed="false">
      <c r="A6781" s="0" t="s">
        <v>765</v>
      </c>
      <c r="B6781" s="0" t="s">
        <v>95</v>
      </c>
      <c r="E6781" s="6" t="n">
        <f aca="false">Sens!E6687*(cxit_open+self_build*tk_cxfac)/1000*ai_net_open</f>
        <v>126.6980382</v>
      </c>
      <c r="F6781" s="6" t="n">
        <f aca="false">Sens!E6781+Sens!F6712-Sens!F6715</f>
        <v>260.78360663364</v>
      </c>
      <c r="G6781" s="6" t="n">
        <f aca="false">Sens!F6781+Sens!G6712-Sens!G6715</f>
        <v>383.813699107579</v>
      </c>
      <c r="H6781" s="6" t="n">
        <f aca="false">Sens!G6781+Sens!H6712-Sens!H6715</f>
        <v>484.114314275917</v>
      </c>
      <c r="I6781" s="6" t="n">
        <f aca="false">Sens!H6781+Sens!I6712-Sens!I6715</f>
        <v>586.418739042938</v>
      </c>
      <c r="J6781" s="6" t="n">
        <f aca="false">Sens!I6781+Sens!J6712-Sens!J6715</f>
        <v>674.934167259476</v>
      </c>
      <c r="K6781" s="6" t="n">
        <f aca="false">Sens!J6781+Sens!K6712-Sens!K6715</f>
        <v>778.014201826364</v>
      </c>
      <c r="L6781" s="1" t="s">
        <v>766</v>
      </c>
    </row>
    <row r="6782" customFormat="false" ht="17.15" hidden="false" customHeight="false" outlineLevel="0" collapsed="false">
      <c r="A6782" s="0" t="s">
        <v>767</v>
      </c>
      <c r="B6782" s="0" t="s">
        <v>126</v>
      </c>
      <c r="F6782" s="7" t="n">
        <f aca="false">Sens!F6780*(1-tax_f)/((Sens!E6781+Sens!F6781)/2)</f>
        <v>-0.000989964349633604</v>
      </c>
      <c r="G6782" s="7" t="n">
        <f aca="false">Sens!G6780*(1-tax_f)/((Sens!F6781+Sens!G6781)/2)</f>
        <v>-0.0282230103638631</v>
      </c>
      <c r="H6782" s="7" t="n">
        <f aca="false">Sens!H6780*(1-tax_f)/((Sens!G6781+Sens!H6781)/2)</f>
        <v>-0.0522488218681882</v>
      </c>
      <c r="I6782" s="7" t="n">
        <f aca="false">Sens!I6780*(1-tax_f)/((Sens!H6781+Sens!I6781)/2)</f>
        <v>-0.0590623908124239</v>
      </c>
      <c r="J6782" s="7" t="n">
        <f aca="false">Sens!J6780*(1-tax_f)/((Sens!I6781+Sens!J6781)/2)</f>
        <v>-0.0660169082862434</v>
      </c>
      <c r="K6782" s="7" t="n">
        <f aca="false">Sens!K6780*(1-tax_f)/((Sens!J6781+Sens!K6781)/2)</f>
        <v>-0.0724918915629948</v>
      </c>
    </row>
    <row r="6783" customFormat="false" ht="17.15" hidden="false" customHeight="false" outlineLevel="0" collapsed="false">
      <c r="A6783" s="1" t="s">
        <v>768</v>
      </c>
      <c r="B6783" s="0" t="s">
        <v>126</v>
      </c>
      <c r="F6783" s="7" t="n">
        <f aca="false">Sens!F6716*(1-tax_f)/(Sens!F6703*(Sens!E6781+Sens!F6781)/2)</f>
        <v>0.0977375697916612</v>
      </c>
      <c r="G6783" s="7" t="n">
        <f aca="false">Sens!G6716*(1-tax_f)/(Sens!G6703*(Sens!F6781+Sens!G6781)/2)</f>
        <v>0.0658769714524078</v>
      </c>
      <c r="H6783" s="7" t="n">
        <f aca="false">Sens!H6716*(1-tax_f)/(Sens!H6703*(Sens!G6781+Sens!H6781)/2)</f>
        <v>0.0387493500576523</v>
      </c>
      <c r="I6783" s="7" t="n">
        <f aca="false">Sens!I6716*(1-tax_f)/(Sens!I6703*(Sens!H6781+Sens!I6781)/2)</f>
        <v>0.0397192042103196</v>
      </c>
      <c r="J6783" s="7" t="n">
        <f aca="false">Sens!J6716*(1-tax_f)/(Sens!J6703*(Sens!I6781+Sens!J6781)/2)</f>
        <v>0.039641578261593</v>
      </c>
      <c r="K6783" s="7" t="n">
        <f aca="false">Sens!K6716*(1-tax_f)/(Sens!K6703*(Sens!J6781+Sens!K6781)/2)</f>
        <v>0.0382051986294895</v>
      </c>
    </row>
    <row r="6784" customFormat="false" ht="17.15" hidden="false" customHeight="false" outlineLevel="0" collapsed="false">
      <c r="A6784" s="0" t="s">
        <v>769</v>
      </c>
      <c r="B6784" s="0" t="s">
        <v>208</v>
      </c>
      <c r="F6784" s="7" t="n">
        <f aca="false">Sens!F6782-wacc</f>
        <v>-0.109953185499888</v>
      </c>
      <c r="G6784" s="7" t="n">
        <f aca="false">Sens!G6782-wacc</f>
        <v>-0.137186231514117</v>
      </c>
      <c r="H6784" s="7" t="n">
        <f aca="false">Sens!H6782-wacc</f>
        <v>-0.161212043018442</v>
      </c>
      <c r="I6784" s="7" t="n">
        <f aca="false">Sens!I6782-wacc</f>
        <v>-0.168025611962678</v>
      </c>
      <c r="J6784" s="7" t="n">
        <f aca="false">Sens!J6782-wacc</f>
        <v>-0.174980129436497</v>
      </c>
      <c r="K6784" s="7" t="n">
        <f aca="false">Sens!K6782-wacc</f>
        <v>-0.181455112713249</v>
      </c>
    </row>
    <row r="6785" customFormat="false" ht="17.15" hidden="false" customHeight="false" outlineLevel="0" collapsed="false">
      <c r="A6785" s="0" t="s">
        <v>770</v>
      </c>
      <c r="B6785" s="0" t="s">
        <v>95</v>
      </c>
      <c r="F6785" s="6" t="n">
        <f aca="false">Sens!F6780*(1-tax_f)-wacc*(Sens!E6781+Sens!F6781)/2</f>
        <v>-21.3024205860974</v>
      </c>
      <c r="G6785" s="6" t="n">
        <f aca="false">Sens!G6780*(1-tax_f)-wacc*(Sens!F6781+Sens!G6781)/2</f>
        <v>-44.2149376093955</v>
      </c>
      <c r="H6785" s="6" t="n">
        <f aca="false">Sens!H6780*(1-tax_f)-wacc*(Sens!G6781+Sens!H6781)/2</f>
        <v>-69.9602241152455</v>
      </c>
      <c r="I6785" s="6" t="n">
        <f aca="false">Sens!I6780*(1-tax_f)-wacc*(Sens!H6781+Sens!I6781)/2</f>
        <v>-89.9384857050873</v>
      </c>
      <c r="J6785" s="6" t="n">
        <f aca="false">Sens!J6780*(1-tax_f)-wacc*(Sens!I6781+Sens!J6781)/2</f>
        <v>-110.355847404949</v>
      </c>
      <c r="K6785" s="6" t="n">
        <f aca="false">Sens!K6780*(1-tax_f)-wacc*(Sens!J6781+Sens!K6781)/2</f>
        <v>-131.822455039501</v>
      </c>
    </row>
    <row r="6786" customFormat="false" ht="17.15" hidden="false" customHeight="false" outlineLevel="0" collapsed="false">
      <c r="A6786" s="1" t="s">
        <v>771</v>
      </c>
      <c r="B6786" s="0" t="s">
        <v>95</v>
      </c>
      <c r="F6786" s="6" t="n">
        <f aca="false">(Sens!E6688+Sens!F6688)/2*Sens!F6695/1000</f>
        <v>26.7873066765967</v>
      </c>
      <c r="G6786" s="6" t="n">
        <f aca="false">(Sens!F6688+Sens!G6688)/2*Sens!G6695/1000</f>
        <v>45.4131817597218</v>
      </c>
      <c r="H6786" s="6" t="n">
        <f aca="false">(Sens!G6688+Sens!H6688)/2*Sens!H6695/1000</f>
        <v>65.3915129357971</v>
      </c>
      <c r="I6786" s="6" t="n">
        <f aca="false">(Sens!H6688+Sens!I6688)/2*Sens!I6695/1000</f>
        <v>85.5187419289299</v>
      </c>
      <c r="J6786" s="6" t="n">
        <f aca="false">(Sens!I6688+Sens!J6688)/2*Sens!J6695/1000</f>
        <v>105.723807195006</v>
      </c>
      <c r="K6786" s="6" t="n">
        <f aca="false">(Sens!J6688+Sens!K6688)/2*Sens!K6695/1000</f>
        <v>125.974659797015</v>
      </c>
      <c r="L6786" s="1" t="s">
        <v>772</v>
      </c>
    </row>
    <row r="6787" customFormat="false" ht="17.15" hidden="false" customHeight="false" outlineLevel="0" collapsed="false">
      <c r="A6787" s="1" t="s">
        <v>773</v>
      </c>
      <c r="B6787" s="0" t="s">
        <v>126</v>
      </c>
      <c r="F6787" s="7" t="n">
        <f aca="false">(Sens!F6704+Sens!F6786-Sens!F6705-Sens!F6715)*(1-tax_f)/((Sens!E6781+Sens!F6781)/2)</f>
        <v>0.0848659920069116</v>
      </c>
      <c r="G6787" s="7" t="n">
        <f aca="false">(Sens!G6704+Sens!G6786-Sens!G6705-Sens!G6715)*(1-tax_f)/((Sens!F6781+Sens!G6781)/2)</f>
        <v>0.0653678431802923</v>
      </c>
      <c r="H6787" s="7" t="n">
        <f aca="false">(Sens!H6704+Sens!H6786-Sens!H6705-Sens!H6715)*(1-tax_f)/((Sens!G6781+Sens!H6781)/2)</f>
        <v>0.0509315632019722</v>
      </c>
      <c r="I6787" s="7" t="n">
        <f aca="false">(Sens!I6704+Sens!I6786-Sens!I6705-Sens!I6715)*(1-tax_f)/((Sens!H6781+Sens!I6781)/2)</f>
        <v>0.0527522478751369</v>
      </c>
      <c r="J6787" s="7" t="n">
        <f aca="false">(Sens!J6704+Sens!J6786-Sens!J6705-Sens!J6715)*(1-tax_f)/((Sens!I6781+Sens!J6781)/2)</f>
        <v>0.0534255352922165</v>
      </c>
      <c r="K6787" s="7" t="n">
        <f aca="false">(Sens!K6704+Sens!K6786-Sens!K6705-Sens!K6715)*(1-tax_f)/((Sens!J6781+Sens!K6781)/2)</f>
        <v>0.0525573832291813</v>
      </c>
      <c r="L6787" s="1" t="s">
        <v>774</v>
      </c>
    </row>
    <row r="6788" customFormat="false" ht="17.15" hidden="false" customHeight="false" outlineLevel="0" collapsed="false">
      <c r="A6788" s="3" t="s">
        <v>1307</v>
      </c>
    </row>
    <row r="6789" customFormat="false" ht="15" hidden="false" customHeight="false" outlineLevel="0" collapsed="false">
      <c r="A6789" s="4" t="s">
        <v>43</v>
      </c>
      <c r="B6789" s="4" t="s">
        <v>63</v>
      </c>
      <c r="C6789" s="19" t="s">
        <v>710</v>
      </c>
      <c r="D6789" s="19" t="s">
        <v>711</v>
      </c>
      <c r="E6789" s="19" t="s">
        <v>712</v>
      </c>
      <c r="F6789" s="19" t="s">
        <v>713</v>
      </c>
      <c r="G6789" s="19" t="s">
        <v>714</v>
      </c>
      <c r="H6789" s="19" t="s">
        <v>715</v>
      </c>
      <c r="I6789" s="19" t="s">
        <v>716</v>
      </c>
      <c r="J6789" s="19" t="s">
        <v>717</v>
      </c>
      <c r="K6789" s="19" t="s">
        <v>718</v>
      </c>
      <c r="L6789" s="4" t="s">
        <v>47</v>
      </c>
    </row>
    <row r="6790" customFormat="false" ht="15" hidden="false" customHeight="false" outlineLevel="0" collapsed="false">
      <c r="A6790" s="1" t="s">
        <v>825</v>
      </c>
      <c r="B6790" s="0" t="s">
        <v>95</v>
      </c>
      <c r="F6790" s="6" t="n">
        <f aca="false">Sens!F6775</f>
        <v>136.803806546094</v>
      </c>
      <c r="G6790" s="6" t="n">
        <f aca="false">Sens!G6775</f>
        <v>143.192983619129</v>
      </c>
      <c r="H6790" s="6" t="n">
        <f aca="false">Sens!H6775</f>
        <v>144.784320229756</v>
      </c>
      <c r="I6790" s="6" t="n">
        <f aca="false">Sens!I6775</f>
        <v>150.240516451874</v>
      </c>
      <c r="J6790" s="6" t="n">
        <f aca="false">Sens!J6775</f>
        <v>153.169079091689</v>
      </c>
      <c r="K6790" s="6" t="n">
        <f aca="false">Sens!K6775</f>
        <v>153.013294752254</v>
      </c>
    </row>
    <row r="6791" customFormat="false" ht="17.15" hidden="false" customHeight="false" outlineLevel="0" collapsed="false">
      <c r="A6791" s="1" t="s">
        <v>843</v>
      </c>
      <c r="B6791" s="0" t="s">
        <v>95</v>
      </c>
      <c r="E6791" s="6" t="n">
        <f aca="false">Q!M38-Sens!E6715</f>
        <v>22.2285940229167</v>
      </c>
      <c r="F6791" s="6" t="n">
        <f aca="false">Sens!E6791*(1-1/life_nonai)+Sens!F6797/life_nonai</f>
        <v>23.5412564942279</v>
      </c>
      <c r="G6791" s="6" t="n">
        <f aca="false">Sens!F6791*(1-1/life_nonai)+Sens!G6797/life_nonai</f>
        <v>25.2306707689507</v>
      </c>
      <c r="H6791" s="6" t="n">
        <f aca="false">Sens!G6791*(1-1/life_nonai)+Sens!H6797/life_nonai</f>
        <v>27.2509886844358</v>
      </c>
      <c r="I6791" s="6" t="n">
        <f aca="false">Sens!H6791*(1-1/life_nonai)+Sens!I6797/life_nonai</f>
        <v>29.5285946315735</v>
      </c>
      <c r="J6791" s="6" t="n">
        <f aca="false">Sens!I6791*(1-1/life_nonai)+Sens!J6797/life_nonai</f>
        <v>31.9714098749524</v>
      </c>
      <c r="K6791" s="6" t="n">
        <f aca="false">Sens!J6791*(1-1/life_nonai)+Sens!K6797/life_nonai</f>
        <v>34.4801153918417</v>
      </c>
      <c r="L6791" s="11" t="s">
        <v>844</v>
      </c>
    </row>
    <row r="6792" customFormat="false" ht="17.15" hidden="false" customHeight="false" outlineLevel="0" collapsed="false">
      <c r="A6792" s="1" t="s">
        <v>845</v>
      </c>
      <c r="B6792" s="0" t="s">
        <v>95</v>
      </c>
      <c r="E6792" s="6" t="n">
        <f aca="false">Sens!E6715+Sens!E6791</f>
        <v>38.534</v>
      </c>
      <c r="F6792" s="6" t="n">
        <f aca="false">Sens!F6715+Sens!F6791</f>
        <v>58.3004693245588</v>
      </c>
      <c r="G6792" s="6" t="n">
        <f aca="false">Sens!G6715+Sens!G6791</f>
        <v>85.7747587782126</v>
      </c>
      <c r="H6792" s="6" t="n">
        <f aca="false">Sens!H6715+Sens!H6791</f>
        <v>115.030659426498</v>
      </c>
      <c r="I6792" s="6" t="n">
        <f aca="false">Sens!I6715+Sens!I6791</f>
        <v>145.563131121619</v>
      </c>
      <c r="J6792" s="6" t="n">
        <f aca="false">Sens!J6715+Sens!J6791</f>
        <v>177.233042582148</v>
      </c>
      <c r="K6792" s="6" t="n">
        <f aca="false">Sens!K6715+Sens!K6791</f>
        <v>210.256392775354</v>
      </c>
    </row>
    <row r="6793" customFormat="false" ht="15" hidden="false" customHeight="false" outlineLevel="0" collapsed="false">
      <c r="A6793" s="1" t="s">
        <v>685</v>
      </c>
      <c r="B6793" s="0" t="s">
        <v>95</v>
      </c>
      <c r="F6793" s="6" t="n">
        <f aca="false">Sens!F6742*sbc_r</f>
        <v>14.6963793384703</v>
      </c>
      <c r="G6793" s="6" t="n">
        <f aca="false">Sens!G6742*sbc_r</f>
        <v>17.011235726055</v>
      </c>
      <c r="H6793" s="6" t="n">
        <f aca="false">Sens!H6742*sbc_r</f>
        <v>19.1471665005193</v>
      </c>
      <c r="I6793" s="6" t="n">
        <f aca="false">Sens!I6742*sbc_r</f>
        <v>21.4708858476885</v>
      </c>
      <c r="J6793" s="6" t="n">
        <f aca="false">Sens!J6742*sbc_r</f>
        <v>23.6566392506702</v>
      </c>
      <c r="K6793" s="6" t="n">
        <f aca="false">Sens!K6742*sbc_r</f>
        <v>25.6789528012631</v>
      </c>
    </row>
    <row r="6794" customFormat="false" ht="17.15" hidden="false" customHeight="false" outlineLevel="0" collapsed="false">
      <c r="A6794" s="1" t="s">
        <v>846</v>
      </c>
      <c r="B6794" s="0" t="s">
        <v>95</v>
      </c>
      <c r="F6794" s="6" t="n">
        <f aca="false">wc27</f>
        <v>-4.895</v>
      </c>
      <c r="G6794" s="6" t="n">
        <f aca="false">0</f>
        <v>0</v>
      </c>
      <c r="H6794" s="6" t="n">
        <f aca="false">0</f>
        <v>0</v>
      </c>
      <c r="I6794" s="6" t="n">
        <f aca="false">0</f>
        <v>0</v>
      </c>
      <c r="J6794" s="6" t="n">
        <f aca="false">0</f>
        <v>0</v>
      </c>
      <c r="K6794" s="6" t="n">
        <f aca="false">0</f>
        <v>0</v>
      </c>
      <c r="L6794" s="11" t="s">
        <v>847</v>
      </c>
    </row>
    <row r="6795" customFormat="false" ht="15" hidden="false" customHeight="false" outlineLevel="0" collapsed="false">
      <c r="A6795" s="1" t="s">
        <v>678</v>
      </c>
      <c r="B6795" s="0" t="s">
        <v>95</v>
      </c>
      <c r="E6795" s="6" t="n">
        <f aca="false">Q!M35</f>
        <v>182.935</v>
      </c>
      <c r="F6795" s="6" t="n">
        <f aca="false">Sens!F6790+Sens!F6792+Sens!F6793+Sens!F6794</f>
        <v>204.905655209123</v>
      </c>
      <c r="G6795" s="6" t="n">
        <f aca="false">Sens!G6790+Sens!G6792+Sens!G6793+Sens!G6794</f>
        <v>245.978978123397</v>
      </c>
      <c r="H6795" s="6" t="n">
        <f aca="false">Sens!H6790+Sens!H6792+Sens!H6793+Sens!H6794</f>
        <v>278.962146156773</v>
      </c>
      <c r="I6795" s="6" t="n">
        <f aca="false">Sens!I6790+Sens!I6792+Sens!I6793+Sens!I6794</f>
        <v>317.274533421182</v>
      </c>
      <c r="J6795" s="6" t="n">
        <f aca="false">Sens!J6790+Sens!J6792+Sens!J6793+Sens!J6794</f>
        <v>354.058760924507</v>
      </c>
      <c r="K6795" s="6" t="n">
        <f aca="false">Sens!K6790+Sens!K6792+Sens!K6793+Sens!K6794</f>
        <v>388.948640328871</v>
      </c>
    </row>
    <row r="6796" customFormat="false" ht="17.15" hidden="false" customHeight="false" outlineLevel="0" collapsed="false">
      <c r="A6796" s="0" t="s">
        <v>848</v>
      </c>
      <c r="B6796" s="0" t="s">
        <v>95</v>
      </c>
      <c r="F6796" s="6" t="n">
        <f aca="false">Sens!F6712</f>
        <v>168.844781263971</v>
      </c>
      <c r="G6796" s="6" t="n">
        <f aca="false">Sens!G6712</f>
        <v>183.5741804832</v>
      </c>
      <c r="H6796" s="6" t="n">
        <f aca="false">Sens!H6712</f>
        <v>188.0802859104</v>
      </c>
      <c r="I6796" s="6" t="n">
        <f aca="false">Sens!I6712</f>
        <v>218.338961257067</v>
      </c>
      <c r="J6796" s="6" t="n">
        <f aca="false">Sens!J6712</f>
        <v>233.777060923733</v>
      </c>
      <c r="K6796" s="6" t="n">
        <f aca="false">Sens!K6712</f>
        <v>278.8563119504</v>
      </c>
    </row>
    <row r="6797" customFormat="false" ht="17.15" hidden="false" customHeight="false" outlineLevel="0" collapsed="false">
      <c r="A6797" s="1" t="s">
        <v>849</v>
      </c>
      <c r="B6797" s="0" t="s">
        <v>95</v>
      </c>
      <c r="E6797" s="6" t="n">
        <f aca="false">Sens!E6720*cx_azo+Sens!E6727*cx_m365+Sens!E6728*cx_lic+(Sens!E6730+Sens!E6732)*cx_ind+Sens!E6735*cx_srch+(Sens!E6737+Sens!E6739)*cx_dev</f>
        <v>30.1846587067718</v>
      </c>
      <c r="F6797" s="6" t="n">
        <f aca="false">Sens!F6720*cx_azo+Sens!F6727*cx_m365+Sens!F6728*cx_lic+(Sens!F6730+Sens!F6732)*cx_ind+Sens!F6735*cx_srch+(Sens!F6737+Sens!F6739)*cx_dev</f>
        <v>35.3552187360286</v>
      </c>
      <c r="G6797" s="6" t="n">
        <f aca="false">Sens!G6720*cx_azo+Sens!G6727*cx_m365+Sens!G6728*cx_lic+(Sens!G6730+Sens!G6732)*cx_ind+Sens!G6735*cx_srch+(Sens!G6737+Sens!G6739)*cx_dev</f>
        <v>40.4353992414566</v>
      </c>
      <c r="H6797" s="6" t="n">
        <f aca="false">Sens!H6720*cx_azo+Sens!H6727*cx_m365+Sens!H6728*cx_lic+(Sens!H6730+Sens!H6732)*cx_ind+Sens!H6735*cx_srch+(Sens!H6737+Sens!H6739)*cx_dev</f>
        <v>45.4338499238012</v>
      </c>
      <c r="I6797" s="6" t="n">
        <f aca="false">Sens!I6720*cx_azo+Sens!I6727*cx_m365+Sens!I6728*cx_lic+(Sens!I6730+Sens!I6732)*cx_ind+Sens!I6735*cx_srch+(Sens!I6737+Sens!I6739)*cx_dev</f>
        <v>50.0270481558128</v>
      </c>
      <c r="J6797" s="6" t="n">
        <f aca="false">Sens!J6720*cx_azo+Sens!J6727*cx_m365+Sens!J6728*cx_lic+(Sens!J6730+Sens!J6732)*cx_ind+Sens!J6735*cx_srch+(Sens!J6737+Sens!J6739)*cx_dev</f>
        <v>53.9567470653624</v>
      </c>
      <c r="K6797" s="6" t="n">
        <f aca="false">Sens!K6720*cx_azo+Sens!K6727*cx_m365+Sens!K6728*cx_lic+(Sens!K6730+Sens!K6732)*cx_ind+Sens!K6735*cx_srch+(Sens!K6737+Sens!K6739)*cx_dev</f>
        <v>57.058465043846</v>
      </c>
    </row>
    <row r="6798" customFormat="false" ht="17.15" hidden="false" customHeight="false" outlineLevel="0" collapsed="false">
      <c r="A6798" s="1" t="s">
        <v>850</v>
      </c>
      <c r="B6798" s="0" t="s">
        <v>95</v>
      </c>
      <c r="E6798" s="6" t="n">
        <f aca="false">Q!M42</f>
        <v>145.3</v>
      </c>
      <c r="F6798" s="6" t="n">
        <f aca="false">Sens!F6796+Sens!F6797</f>
        <v>204.2</v>
      </c>
      <c r="G6798" s="6" t="n">
        <f aca="false">Sens!G6796+Sens!G6797</f>
        <v>224.009579724657</v>
      </c>
      <c r="H6798" s="6" t="n">
        <f aca="false">Sens!H6796+Sens!H6797</f>
        <v>233.514135834201</v>
      </c>
      <c r="I6798" s="6" t="n">
        <f aca="false">Sens!I6796+Sens!I6797</f>
        <v>268.36600941288</v>
      </c>
      <c r="J6798" s="6" t="n">
        <f aca="false">Sens!J6796+Sens!J6797</f>
        <v>287.733807989096</v>
      </c>
      <c r="K6798" s="6" t="n">
        <f aca="false">Sens!K6796+Sens!K6797</f>
        <v>335.914776994246</v>
      </c>
      <c r="L6798" s="1" t="s">
        <v>851</v>
      </c>
    </row>
    <row r="6799" customFormat="false" ht="15" hidden="false" customHeight="false" outlineLevel="0" collapsed="false">
      <c r="A6799" s="1" t="s">
        <v>852</v>
      </c>
      <c r="B6799" s="0" t="s">
        <v>95</v>
      </c>
      <c r="E6799" s="6" t="n">
        <f aca="false">fl_liab</f>
        <v>66.594</v>
      </c>
      <c r="F6799" s="6" t="n">
        <f aca="false">Sens!E6799-Sens!F6800</f>
        <v>62.46973</v>
      </c>
      <c r="G6799" s="6" t="n">
        <f aca="false">Sens!F6799-Sens!G6800</f>
        <v>57.98686785</v>
      </c>
      <c r="H6799" s="6" t="n">
        <f aca="false">Sens!G6799-Sens!H6800</f>
        <v>53.92827690325</v>
      </c>
      <c r="I6799" s="6" t="n">
        <f aca="false">Sens!H6799-Sens!I6800</f>
        <v>49.7850493638962</v>
      </c>
      <c r="J6799" s="6" t="n">
        <f aca="false">Sens!I6799-Sens!J6800</f>
        <v>45.4823765852716</v>
      </c>
      <c r="K6799" s="6" t="n">
        <f aca="false">Sens!J6799-Sens!K6800</f>
        <v>40.9860835316088</v>
      </c>
    </row>
    <row r="6800" customFormat="false" ht="15" hidden="false" customHeight="false" outlineLevel="0" collapsed="false">
      <c r="A6800" s="1" t="s">
        <v>853</v>
      </c>
      <c r="B6800" s="0" t="s">
        <v>95</v>
      </c>
      <c r="F6800" s="6" t="n">
        <f aca="false">fl_pay_27-Sens!E6799*fl_rate</f>
        <v>4.12427</v>
      </c>
      <c r="G6800" s="6" t="n">
        <f aca="false">fl_pay_28-Sens!F6799*fl_rate</f>
        <v>4.48286215</v>
      </c>
      <c r="H6800" s="6" t="n">
        <f aca="false">fl_pay_29-Sens!G6799*fl_rate</f>
        <v>4.05859094675</v>
      </c>
      <c r="I6800" s="6" t="n">
        <f aca="false">fl_pay_30-Sens!H6799*fl_rate</f>
        <v>4.14322753935375</v>
      </c>
      <c r="J6800" s="6" t="n">
        <f aca="false">fl_pay_31-Sens!I6799*fl_rate</f>
        <v>4.30267277862467</v>
      </c>
      <c r="K6800" s="6" t="n">
        <f aca="false">fl_pay_32-Sens!J6799*fl_rate</f>
        <v>4.49629305366278</v>
      </c>
    </row>
    <row r="6801" customFormat="false" ht="17.15" hidden="false" customHeight="false" outlineLevel="0" collapsed="false">
      <c r="A6801" s="1" t="s">
        <v>854</v>
      </c>
      <c r="B6801" s="0" t="s">
        <v>95</v>
      </c>
      <c r="E6801" s="6" t="n">
        <f aca="false">Q!M35-Q!M36-Q!M43</f>
        <v>63.886</v>
      </c>
      <c r="F6801" s="6" t="n">
        <f aca="false">Sens!F6795-Sens!F6798-Sens!F6800</f>
        <v>-3.41861479087732</v>
      </c>
      <c r="G6801" s="6" t="n">
        <f aca="false">Sens!G6795-Sens!G6798-Sens!G6800</f>
        <v>17.4865362487402</v>
      </c>
      <c r="H6801" s="6" t="n">
        <f aca="false">Sens!H6795-Sens!H6798-Sens!H6800</f>
        <v>41.3894193758222</v>
      </c>
      <c r="I6801" s="6" t="n">
        <f aca="false">Sens!I6795-Sens!I6798-Sens!I6800</f>
        <v>44.7652964689482</v>
      </c>
      <c r="J6801" s="6" t="n">
        <f aca="false">Sens!J6795-Sens!J6798-Sens!J6800</f>
        <v>62.0222801567863</v>
      </c>
      <c r="K6801" s="6" t="n">
        <f aca="false">Sens!K6795-Sens!K6798-Sens!K6800</f>
        <v>48.5375702809617</v>
      </c>
      <c r="L6801" s="11" t="s">
        <v>855</v>
      </c>
    </row>
    <row r="6802" customFormat="false" ht="15" hidden="false" customHeight="false" outlineLevel="0" collapsed="false">
      <c r="A6802" s="1" t="s">
        <v>856</v>
      </c>
      <c r="B6802" s="0" t="s">
        <v>73</v>
      </c>
      <c r="F6802" s="8" t="n">
        <f aca="false">dps_27</f>
        <v>3.85</v>
      </c>
      <c r="G6802" s="8" t="n">
        <f aca="false">Sens!F6802*(1+dps_g)</f>
        <v>4.158</v>
      </c>
      <c r="H6802" s="8" t="n">
        <f aca="false">Sens!G6802*(1+dps_g)</f>
        <v>4.49064</v>
      </c>
      <c r="I6802" s="8" t="n">
        <f aca="false">Sens!H6802*(1+dps_g)</f>
        <v>4.8498912</v>
      </c>
      <c r="J6802" s="8" t="n">
        <f aca="false">Sens!I6802*(1+dps_g)</f>
        <v>5.237882496</v>
      </c>
      <c r="K6802" s="8" t="n">
        <f aca="false">Sens!J6802*(1+dps_g)</f>
        <v>5.65691309568</v>
      </c>
    </row>
    <row r="6803" customFormat="false" ht="17.15" hidden="false" customHeight="false" outlineLevel="0" collapsed="false">
      <c r="A6803" s="1" t="s">
        <v>857</v>
      </c>
      <c r="B6803" s="0" t="s">
        <v>95</v>
      </c>
      <c r="E6803" s="6" t="n">
        <f aca="false">Q!M41</f>
        <v>26.445</v>
      </c>
      <c r="F6803" s="6" t="n">
        <f aca="false">Sens!F6802*Sens!E6812</f>
        <v>28.59395</v>
      </c>
      <c r="G6803" s="6" t="n">
        <f aca="false">Sens!G6802*Sens!F6812</f>
        <v>31.068576</v>
      </c>
      <c r="H6803" s="6" t="n">
        <f aca="false">Sens!H6802*Sens!G6812</f>
        <v>33.75614088</v>
      </c>
      <c r="I6803" s="6" t="n">
        <f aca="false">Sens!I6802*Sens!H6812</f>
        <v>36.6325660326302</v>
      </c>
      <c r="J6803" s="6" t="n">
        <f aca="false">Sens!J6802*Sens!I6812</f>
        <v>39.7377807245957</v>
      </c>
      <c r="K6803" s="6" t="n">
        <f aca="false">Sens!K6802*Sens!J6812</f>
        <v>43.0077131336478</v>
      </c>
      <c r="L6803" s="1" t="s">
        <v>858</v>
      </c>
    </row>
    <row r="6804" customFormat="false" ht="15" hidden="false" customHeight="false" outlineLevel="0" collapsed="false">
      <c r="A6804" s="1" t="s">
        <v>859</v>
      </c>
      <c r="B6804" s="0" t="s">
        <v>95</v>
      </c>
      <c r="E6804" s="6" t="n">
        <f aca="false">Sens!E6801-Sens!E6803</f>
        <v>37.441</v>
      </c>
      <c r="F6804" s="6" t="n">
        <f aca="false">Sens!F6801-Sens!F6803</f>
        <v>-32.0125647908773</v>
      </c>
      <c r="G6804" s="6" t="n">
        <f aca="false">Sens!G6801-Sens!G6803</f>
        <v>-13.5820397512598</v>
      </c>
      <c r="H6804" s="6" t="n">
        <f aca="false">Sens!H6801-Sens!H6803</f>
        <v>7.63327849582217</v>
      </c>
      <c r="I6804" s="6" t="n">
        <f aca="false">Sens!I6801-Sens!I6803</f>
        <v>8.13273043631803</v>
      </c>
      <c r="J6804" s="6" t="n">
        <f aca="false">Sens!J6801-Sens!J6803</f>
        <v>22.2844994321906</v>
      </c>
      <c r="K6804" s="6" t="n">
        <f aca="false">Sens!K6801-Sens!K6803</f>
        <v>5.52985714731391</v>
      </c>
    </row>
    <row r="6805" customFormat="false" ht="15" hidden="false" customHeight="false" outlineLevel="0" collapsed="false">
      <c r="A6805" s="1" t="s">
        <v>860</v>
      </c>
      <c r="B6805" s="0" t="s">
        <v>95</v>
      </c>
      <c r="F6805" s="6" t="n">
        <f aca="false">debt_mat_27</f>
        <v>9.25</v>
      </c>
      <c r="G6805" s="6" t="n">
        <f aca="false">debt_mat_28</f>
        <v>0</v>
      </c>
      <c r="H6805" s="6" t="n">
        <f aca="false">debt_mat_29</f>
        <v>2.001</v>
      </c>
      <c r="I6805" s="6" t="n">
        <f aca="false">debt_mat_30</f>
        <v>0</v>
      </c>
      <c r="J6805" s="6" t="n">
        <f aca="false">debt_mat_31</f>
        <v>0.5</v>
      </c>
      <c r="K6805" s="6" t="n">
        <f aca="false">debt_mat_32</f>
        <v>0</v>
      </c>
    </row>
    <row r="6806" customFormat="false" ht="15" hidden="false" customHeight="false" outlineLevel="0" collapsed="false">
      <c r="A6806" s="1" t="s">
        <v>861</v>
      </c>
      <c r="B6806" s="0" t="s">
        <v>95</v>
      </c>
      <c r="E6806" s="6" t="n">
        <f aca="false">Q!M40</f>
        <v>22.271</v>
      </c>
      <c r="F6806" s="6" t="n">
        <f aca="false">MAX(0,MIN(bb_target,Sens!E6808+Sens!F6804-Sens!F6805-min_cash))</f>
        <v>0</v>
      </c>
      <c r="G6806" s="6" t="n">
        <f aca="false">MAX(0,MIN(bb_target,Sens!F6808+Sens!G6804-Sens!G6805-min_cash))</f>
        <v>0</v>
      </c>
      <c r="H6806" s="6" t="n">
        <f aca="false">MAX(0,MIN(bb_target,Sens!G6808+Sens!H6804-Sens!H6805-min_cash))</f>
        <v>5.63227849582217</v>
      </c>
      <c r="I6806" s="6" t="n">
        <f aca="false">MAX(0,MIN(bb_target,Sens!H6808+Sens!I6804-Sens!I6805-min_cash))</f>
        <v>8.13273043631803</v>
      </c>
      <c r="J6806" s="6" t="n">
        <f aca="false">MAX(0,MIN(bb_target,Sens!I6808+Sens!J6804-Sens!J6805-min_cash))</f>
        <v>21.7844994321906</v>
      </c>
      <c r="K6806" s="6" t="n">
        <f aca="false">MAX(0,MIN(bb_target,Sens!J6808+Sens!K6804-Sens!K6805-min_cash))</f>
        <v>5.52985714731391</v>
      </c>
    </row>
    <row r="6807" customFormat="false" ht="15" hidden="false" customHeight="false" outlineLevel="0" collapsed="false">
      <c r="A6807" s="1" t="s">
        <v>862</v>
      </c>
      <c r="B6807" s="0" t="s">
        <v>95</v>
      </c>
      <c r="F6807" s="6" t="n">
        <f aca="false">MAX(0,min_cash-(Sens!E6808+Sens!F6804-Sens!F6805-Sens!F6806))</f>
        <v>14.4195647908773</v>
      </c>
      <c r="G6807" s="6" t="n">
        <f aca="false">MAX(0,min_cash-(Sens!F6808+Sens!G6804-Sens!G6805-Sens!G6806))</f>
        <v>13.5820397512598</v>
      </c>
      <c r="H6807" s="6" t="n">
        <f aca="false">MAX(0,min_cash-(Sens!G6808+Sens!H6804-Sens!H6805-Sens!H6806))</f>
        <v>0</v>
      </c>
      <c r="I6807" s="6" t="n">
        <f aca="false">MAX(0,min_cash-(Sens!H6808+Sens!I6804-Sens!I6805-Sens!I6806))</f>
        <v>0</v>
      </c>
      <c r="J6807" s="6" t="n">
        <f aca="false">MAX(0,min_cash-(Sens!I6808+Sens!J6804-Sens!J6805-Sens!J6806))</f>
        <v>0</v>
      </c>
      <c r="K6807" s="6" t="n">
        <f aca="false">MAX(0,min_cash-(Sens!J6808+Sens!K6804-Sens!K6805-Sens!K6806))</f>
        <v>0</v>
      </c>
    </row>
    <row r="6808" customFormat="false" ht="15" hidden="false" customHeight="false" outlineLevel="0" collapsed="false">
      <c r="A6808" s="1" t="s">
        <v>863</v>
      </c>
      <c r="B6808" s="0" t="s">
        <v>95</v>
      </c>
      <c r="E6808" s="6" t="n">
        <f aca="false">cash_open</f>
        <v>76.843</v>
      </c>
      <c r="F6808" s="6" t="n">
        <f aca="false">Sens!E6808+Sens!F6804-Sens!F6805-Sens!F6806+Sens!F6807</f>
        <v>50</v>
      </c>
      <c r="G6808" s="6" t="n">
        <f aca="false">Sens!F6808+Sens!G6804-Sens!G6805-Sens!G6806+Sens!G6807</f>
        <v>50</v>
      </c>
      <c r="H6808" s="6" t="n">
        <f aca="false">Sens!G6808+Sens!H6804-Sens!H6805-Sens!H6806+Sens!H6807</f>
        <v>50</v>
      </c>
      <c r="I6808" s="6" t="n">
        <f aca="false">Sens!H6808+Sens!I6804-Sens!I6805-Sens!I6806+Sens!I6807</f>
        <v>50</v>
      </c>
      <c r="J6808" s="6" t="n">
        <f aca="false">Sens!I6808+Sens!J6804-Sens!J6805-Sens!J6806+Sens!J6807</f>
        <v>50</v>
      </c>
      <c r="K6808" s="6" t="n">
        <f aca="false">Sens!J6808+Sens!K6804-Sens!K6805-Sens!K6806+Sens!K6807</f>
        <v>50</v>
      </c>
    </row>
    <row r="6809" customFormat="false" ht="15" hidden="false" customHeight="false" outlineLevel="0" collapsed="false">
      <c r="A6809" s="1" t="s">
        <v>864</v>
      </c>
      <c r="B6809" s="0" t="s">
        <v>95</v>
      </c>
      <c r="E6809" s="6" t="n">
        <f aca="false">debt_face</f>
        <v>46.136</v>
      </c>
      <c r="F6809" s="6" t="n">
        <f aca="false">Sens!E6809-Sens!F6805+Sens!F6807</f>
        <v>51.3055647908773</v>
      </c>
      <c r="G6809" s="6" t="n">
        <f aca="false">Sens!F6809-Sens!G6805+Sens!G6807</f>
        <v>64.8876045421372</v>
      </c>
      <c r="H6809" s="6" t="n">
        <f aca="false">Sens!G6809-Sens!H6805+Sens!H6807</f>
        <v>62.8866045421372</v>
      </c>
      <c r="I6809" s="6" t="n">
        <f aca="false">Sens!H6809-Sens!I6805+Sens!I6807</f>
        <v>62.8866045421372</v>
      </c>
      <c r="J6809" s="6" t="n">
        <f aca="false">Sens!I6809-Sens!J6805+Sens!J6807</f>
        <v>62.3866045421372</v>
      </c>
      <c r="K6809" s="6" t="n">
        <f aca="false">Sens!J6809-Sens!K6805+Sens!K6807</f>
        <v>62.3866045421372</v>
      </c>
    </row>
    <row r="6810" customFormat="false" ht="15" hidden="false" customHeight="false" outlineLevel="0" collapsed="false">
      <c r="A6810" s="1" t="s">
        <v>865</v>
      </c>
      <c r="B6810" s="0" t="s">
        <v>95</v>
      </c>
      <c r="E6810" s="6" t="n">
        <f aca="false">Sens!E6808-Sens!E6809</f>
        <v>30.707</v>
      </c>
      <c r="F6810" s="6" t="n">
        <f aca="false">Sens!F6808-Sens!F6809</f>
        <v>-1.30556479087732</v>
      </c>
      <c r="G6810" s="6" t="n">
        <f aca="false">Sens!G6808-Sens!G6809</f>
        <v>-14.8876045421372</v>
      </c>
      <c r="H6810" s="6" t="n">
        <f aca="false">Sens!H6808-Sens!H6809</f>
        <v>-12.8866045421372</v>
      </c>
      <c r="I6810" s="6" t="n">
        <f aca="false">Sens!I6808-Sens!I6809</f>
        <v>-12.8866045421372</v>
      </c>
      <c r="J6810" s="6" t="n">
        <f aca="false">Sens!J6808-Sens!J6809</f>
        <v>-12.3866045421372</v>
      </c>
      <c r="K6810" s="6" t="n">
        <f aca="false">Sens!K6808-Sens!K6809</f>
        <v>-12.3866045421372</v>
      </c>
    </row>
    <row r="6811" customFormat="false" ht="15" hidden="false" customHeight="false" outlineLevel="0" collapsed="false">
      <c r="A6811" s="1" t="s">
        <v>866</v>
      </c>
      <c r="B6811" s="0" t="s">
        <v>73</v>
      </c>
      <c r="F6811" s="27" t="n">
        <f aca="false">px*(1+bb_g)^(1-0.5)</f>
        <v>553.494156066711</v>
      </c>
      <c r="G6811" s="27" t="n">
        <f aca="false">px*(1+bb_g)^(2-0.5)</f>
        <v>597.773688552047</v>
      </c>
      <c r="H6811" s="27" t="n">
        <f aca="false">px*(1+bb_g)^(3-0.5)</f>
        <v>645.595583636211</v>
      </c>
      <c r="I6811" s="27" t="n">
        <f aca="false">px*(1+bb_g)^(4-0.5)</f>
        <v>697.243230327108</v>
      </c>
      <c r="J6811" s="27" t="n">
        <f aca="false">px*(1+bb_g)^(5-0.5)</f>
        <v>753.022688753277</v>
      </c>
      <c r="K6811" s="27" t="n">
        <f aca="false">px*(1+bb_g)^(6-0.5)</f>
        <v>813.264503853539</v>
      </c>
    </row>
    <row r="6812" customFormat="false" ht="15" hidden="false" customHeight="false" outlineLevel="0" collapsed="false">
      <c r="A6812" s="1" t="s">
        <v>867</v>
      </c>
      <c r="B6812" s="1" t="s">
        <v>79</v>
      </c>
      <c r="E6812" s="18" t="n">
        <f aca="false">sh_out26</f>
        <v>7.427</v>
      </c>
      <c r="F6812" s="18" t="n">
        <f aca="false">Sens!E6812+sh_iss-Sens!F6806/Sens!F6811</f>
        <v>7.472</v>
      </c>
      <c r="G6812" s="18" t="n">
        <f aca="false">Sens!F6812+sh_iss-Sens!G6806/Sens!G6811</f>
        <v>7.517</v>
      </c>
      <c r="H6812" s="18" t="n">
        <f aca="false">Sens!G6812+sh_iss-Sens!H6806/Sens!H6811</f>
        <v>7.55327584103953</v>
      </c>
      <c r="I6812" s="18" t="n">
        <f aca="false">Sens!H6812+sh_iss-Sens!I6806/Sens!I6811</f>
        <v>7.58661171856034</v>
      </c>
      <c r="J6812" s="18" t="n">
        <f aca="false">Sens!I6812+sh_iss-Sens!J6806/Sens!J6811</f>
        <v>7.60268231210612</v>
      </c>
      <c r="K6812" s="18" t="n">
        <f aca="false">Sens!J6812+sh_iss-Sens!K6806/Sens!K6811</f>
        <v>7.64088273199275</v>
      </c>
    </row>
    <row r="6813" customFormat="false" ht="15" hidden="false" customHeight="false" outlineLevel="0" collapsed="false">
      <c r="A6813" s="1" t="s">
        <v>868</v>
      </c>
      <c r="B6813" s="1" t="s">
        <v>79</v>
      </c>
      <c r="E6813" s="18" t="n">
        <f aca="false">sh_dil26</f>
        <v>7.453</v>
      </c>
      <c r="F6813" s="18" t="n">
        <f aca="false">(Sens!E6812+Sens!F6812)/2+dil_gap</f>
        <v>7.4735</v>
      </c>
      <c r="G6813" s="18" t="n">
        <f aca="false">(Sens!F6812+Sens!G6812)/2+dil_gap</f>
        <v>7.5185</v>
      </c>
      <c r="H6813" s="18" t="n">
        <f aca="false">(Sens!G6812+Sens!H6812)/2+dil_gap</f>
        <v>7.55913792051976</v>
      </c>
      <c r="I6813" s="18" t="n">
        <f aca="false">(Sens!H6812+Sens!I6812)/2+dil_gap</f>
        <v>7.59394377979993</v>
      </c>
      <c r="J6813" s="18" t="n">
        <f aca="false">(Sens!I6812+Sens!J6812)/2+dil_gap</f>
        <v>7.61864701533323</v>
      </c>
      <c r="K6813" s="18" t="n">
        <f aca="false">(Sens!J6812+Sens!K6812)/2+dil_gap</f>
        <v>7.64578252204944</v>
      </c>
    </row>
    <row r="6814" customFormat="false" ht="17.15" hidden="false" customHeight="false" outlineLevel="0" collapsed="false">
      <c r="A6814" s="1" t="s">
        <v>869</v>
      </c>
      <c r="B6814" s="0" t="s">
        <v>95</v>
      </c>
      <c r="C6814" s="6" t="n">
        <f aca="false">SUM(Sens!F6804:J6804)</f>
        <v>-7.54409617780634</v>
      </c>
    </row>
    <row r="6815" customFormat="false" ht="17.15" hidden="false" customHeight="false" outlineLevel="0" collapsed="false">
      <c r="A6815" s="1" t="s">
        <v>836</v>
      </c>
      <c r="B6815" s="1" t="s">
        <v>870</v>
      </c>
      <c r="C6815" s="30" t="str">
        <f aca="false">IF(SUM(Sens!F6807:J6807)&gt;0.05,"需要舉債 "&amp;TEXT(SUM(Sens!F6807:J6807),"0.0")&amp;" 十億美元","不需舉債")&amp;"；"&amp;IF(SUM(Sens!F6806:J6806)&lt;5*bb_target-0.05,"回購較每年 "&amp;TEXT(bb_target,"0.0")&amp;" 的目標少 "&amp;TEXT(5*bb_target-SUM(Sens!F6806:J6806),"0.0")&amp;" 十億美元（"&amp;TEXT(COUNTIF(Sens!F6806:J6806,"&lt;"&amp;(bb_target-0.05)),"0")&amp;" 年減少）","回購不減")</f>
        <v>需要舉債 28.0 十億美元；回購較每年 22.3 的目標少 75.8 十億美元（5 年減少）</v>
      </c>
    </row>
    <row r="6816" customFormat="false" ht="17.15" hidden="false" customHeight="false" outlineLevel="0" collapsed="false">
      <c r="A6816" s="3" t="s">
        <v>1308</v>
      </c>
    </row>
    <row r="6817" customFormat="false" ht="15" hidden="false" customHeight="false" outlineLevel="0" collapsed="false">
      <c r="A6817" s="4" t="s">
        <v>43</v>
      </c>
      <c r="B6817" s="4" t="s">
        <v>63</v>
      </c>
      <c r="C6817" s="19" t="s">
        <v>710</v>
      </c>
      <c r="D6817" s="19" t="s">
        <v>711</v>
      </c>
      <c r="E6817" s="19" t="s">
        <v>712</v>
      </c>
      <c r="F6817" s="19" t="s">
        <v>713</v>
      </c>
      <c r="G6817" s="19" t="s">
        <v>714</v>
      </c>
      <c r="H6817" s="19" t="s">
        <v>715</v>
      </c>
      <c r="I6817" s="19" t="s">
        <v>716</v>
      </c>
      <c r="J6817" s="19" t="s">
        <v>717</v>
      </c>
      <c r="K6817" s="19" t="s">
        <v>718</v>
      </c>
      <c r="L6817" s="4" t="s">
        <v>47</v>
      </c>
    </row>
    <row r="6818" customFormat="false" ht="17.15" hidden="false" customHeight="false" outlineLevel="0" collapsed="false">
      <c r="A6818" s="1" t="s">
        <v>938</v>
      </c>
      <c r="B6818" s="1" t="s">
        <v>213</v>
      </c>
      <c r="F6818" s="34" t="n">
        <f aca="false">1-0.5</f>
        <v>0.5</v>
      </c>
      <c r="G6818" s="34" t="n">
        <f aca="false">2-0.5</f>
        <v>1.5</v>
      </c>
      <c r="H6818" s="34" t="n">
        <f aca="false">3-0.5</f>
        <v>2.5</v>
      </c>
      <c r="I6818" s="34" t="n">
        <f aca="false">4-0.5</f>
        <v>3.5</v>
      </c>
      <c r="J6818" s="34" t="n">
        <f aca="false">5-0.5</f>
        <v>4.5</v>
      </c>
      <c r="K6818" s="34" t="n">
        <f aca="false">6-0.5</f>
        <v>5.5</v>
      </c>
    </row>
    <row r="6819" customFormat="false" ht="15" hidden="false" customHeight="false" outlineLevel="0" collapsed="false">
      <c r="A6819" s="1" t="s">
        <v>939</v>
      </c>
      <c r="B6819" s="0" t="s">
        <v>182</v>
      </c>
      <c r="F6819" s="18" t="n">
        <f aca="false">1/(1+wacc)^Sens!F6818</f>
        <v>0.949601579913219</v>
      </c>
      <c r="G6819" s="18" t="n">
        <f aca="false">1/(1+wacc)^Sens!G6818</f>
        <v>0.856296729956707</v>
      </c>
      <c r="H6819" s="18" t="n">
        <f aca="false">1/(1+wacc)^Sens!H6818</f>
        <v>0.772159719660069</v>
      </c>
      <c r="I6819" s="18" t="n">
        <f aca="false">1/(1+wacc)^Sens!I6818</f>
        <v>0.696289746073958</v>
      </c>
      <c r="J6819" s="18" t="n">
        <f aca="false">1/(1+wacc)^Sens!J6818</f>
        <v>0.627874516299776</v>
      </c>
      <c r="K6819" s="18" t="n">
        <f aca="false">1/(1+wacc)^Sens!K6818</f>
        <v>0.566181550771831</v>
      </c>
    </row>
    <row r="6820" customFormat="false" ht="15" hidden="false" customHeight="false" outlineLevel="0" collapsed="false">
      <c r="A6820" s="1" t="s">
        <v>940</v>
      </c>
      <c r="B6820" s="0" t="s">
        <v>95</v>
      </c>
      <c r="F6820" s="6" t="n">
        <f aca="false">Sens!F6801*Sens!F6819</f>
        <v>-3.2463220065318</v>
      </c>
      <c r="G6820" s="6" t="n">
        <f aca="false">Sens!G6801*Sens!G6819</f>
        <v>14.9736638080656</v>
      </c>
      <c r="H6820" s="6" t="n">
        <f aca="false">Sens!H6801*Sens!H6819</f>
        <v>31.9592424621279</v>
      </c>
      <c r="I6820" s="6" t="n">
        <f aca="false">Sens!I6801*Sens!I6819</f>
        <v>31.1696169112894</v>
      </c>
      <c r="J6820" s="6" t="n">
        <f aca="false">Sens!J6801*Sens!J6819</f>
        <v>38.9422091532514</v>
      </c>
      <c r="K6820" s="6" t="n">
        <f aca="false">Sens!K6801*Sens!K6819</f>
        <v>27.4810768123717</v>
      </c>
    </row>
    <row r="6821" customFormat="false" ht="17.15" hidden="false" customHeight="false" outlineLevel="0" collapsed="false">
      <c r="A6821" s="1" t="s">
        <v>941</v>
      </c>
      <c r="B6821" s="0" t="s">
        <v>95</v>
      </c>
      <c r="C6821" s="6" t="n">
        <f aca="false">SUM(Sens!F6820:K6820)</f>
        <v>141.279487140574</v>
      </c>
    </row>
    <row r="6822" customFormat="false" ht="17.15" hidden="false" customHeight="false" outlineLevel="0" collapsed="false">
      <c r="A6822" s="1" t="s">
        <v>942</v>
      </c>
      <c r="B6822" s="0" t="s">
        <v>95</v>
      </c>
      <c r="C6822" s="6" t="n">
        <f aca="false">Sens!K6767*(1+g_tv)*(1-tax_f)</f>
        <v>157.933293594821</v>
      </c>
    </row>
    <row r="6823" customFormat="false" ht="17.15" hidden="false" customHeight="false" outlineLevel="0" collapsed="false">
      <c r="A6823" s="1" t="s">
        <v>943</v>
      </c>
      <c r="B6823" s="0" t="s">
        <v>95</v>
      </c>
      <c r="C6823" s="6" t="n">
        <f aca="false">Sens!$C$6822*(1-g_tv/(wacc+ronic_prem))</f>
        <v>114.450742713628</v>
      </c>
    </row>
    <row r="6824" customFormat="false" ht="17.15" hidden="false" customHeight="false" outlineLevel="0" collapsed="false">
      <c r="A6824" s="1" t="s">
        <v>944</v>
      </c>
      <c r="B6824" s="0" t="s">
        <v>95</v>
      </c>
      <c r="C6824" s="6" t="n">
        <f aca="false">Sens!$C$6823/(wacc-g_tv)</f>
        <v>1449.41836270645</v>
      </c>
    </row>
    <row r="6825" customFormat="false" ht="15" hidden="false" customHeight="false" outlineLevel="0" collapsed="false">
      <c r="A6825" s="1" t="s">
        <v>945</v>
      </c>
      <c r="B6825" s="0" t="s">
        <v>95</v>
      </c>
      <c r="C6825" s="6" t="n">
        <f aca="false">Sens!$C$6824/(1+wacc)^6</f>
        <v>779.275282454467</v>
      </c>
    </row>
    <row r="6826" customFormat="false" ht="17.15" hidden="false" customHeight="false" outlineLevel="0" collapsed="false">
      <c r="A6826" s="0" t="s">
        <v>877</v>
      </c>
      <c r="B6826" s="0" t="s">
        <v>95</v>
      </c>
      <c r="C6826" s="6" t="n">
        <f aca="false">Sens!$C$6821+Sens!$C$6825</f>
        <v>920.554769595041</v>
      </c>
    </row>
    <row r="6827" customFormat="false" ht="15" hidden="false" customHeight="false" outlineLevel="0" collapsed="false">
      <c r="A6827" s="1" t="s">
        <v>878</v>
      </c>
      <c r="B6827" s="0" t="s">
        <v>126</v>
      </c>
      <c r="C6827" s="7" t="n">
        <f aca="false">Sens!$C$6825/Sens!$C$6826</f>
        <v>0.846527885350348</v>
      </c>
    </row>
    <row r="6828" customFormat="false" ht="17.15" hidden="false" customHeight="false" outlineLevel="0" collapsed="false">
      <c r="A6828" s="1" t="s">
        <v>946</v>
      </c>
      <c r="B6828" s="0" t="s">
        <v>95</v>
      </c>
      <c r="C6828" s="6" t="n">
        <f aca="false">Sens!$C$6826+Sens!E6810+oai_v</f>
        <v>1121.66176959504</v>
      </c>
    </row>
    <row r="6829" customFormat="false" ht="17.15" hidden="false" customHeight="false" outlineLevel="0" collapsed="false">
      <c r="A6829" s="0" t="s">
        <v>883</v>
      </c>
      <c r="B6829" s="0" t="s">
        <v>73</v>
      </c>
      <c r="C6829" s="5" t="n">
        <f aca="false">Sens!$C$6828/sh_dil26</f>
        <v>150.498023560317</v>
      </c>
    </row>
    <row r="6830" customFormat="false" ht="17.15" hidden="false" customHeight="false" outlineLevel="0" collapsed="false">
      <c r="A6830" s="0" t="s">
        <v>947</v>
      </c>
      <c r="B6830" s="0" t="s">
        <v>73</v>
      </c>
      <c r="C6830" s="5" t="n">
        <f aca="false">Sens!$C$6829*(1+wacc)^t_roll</f>
        <v>172.620415934017</v>
      </c>
    </row>
    <row r="6831" customFormat="false" ht="17.15" hidden="false" customHeight="false" outlineLevel="0" collapsed="false">
      <c r="A6831" s="1" t="s">
        <v>948</v>
      </c>
      <c r="B6831" s="0" t="s">
        <v>126</v>
      </c>
      <c r="F6831" s="7" t="n">
        <f aca="false">Sens!F6791/(Sens!F6742-Sens!F6698)</f>
        <v>0.068739123701213</v>
      </c>
      <c r="G6831" s="7" t="n">
        <f aca="false">Sens!G6791/(Sens!G6742-Sens!G6698)</f>
        <v>0.0664123236806204</v>
      </c>
      <c r="H6831" s="7" t="n">
        <f aca="false">Sens!H6791/(Sens!H6742-Sens!H6698)</f>
        <v>0.065303244865675</v>
      </c>
      <c r="I6831" s="7" t="n">
        <f aca="false">Sens!I6791/(Sens!I6742-Sens!I6698)</f>
        <v>0.0652657049121772</v>
      </c>
      <c r="J6831" s="7" t="n">
        <f aca="false">Sens!J6791/(Sens!J6742-Sens!J6698)</f>
        <v>0.0660814339242476</v>
      </c>
      <c r="K6831" s="7" t="n">
        <f aca="false">Sens!K6791/(Sens!K6742-Sens!K6698)</f>
        <v>0.0675035451526998</v>
      </c>
    </row>
    <row r="6832" customFormat="false" ht="17.15" hidden="false" customHeight="false" outlineLevel="0" collapsed="false">
      <c r="A6832" s="0" t="s">
        <v>949</v>
      </c>
      <c r="B6832" s="0" t="s">
        <v>95</v>
      </c>
      <c r="F6832" s="6" t="n">
        <f aca="false">Sens!F6727*(al_m365+Sens!F6831)</f>
        <v>78.5048825244028</v>
      </c>
      <c r="G6832" s="6" t="n">
        <f aca="false">Sens!G6727*(al_m365+Sens!G6831)</f>
        <v>88.329067286203</v>
      </c>
      <c r="H6832" s="6" t="n">
        <f aca="false">Sens!H6727*(al_m365+Sens!H6831)</f>
        <v>98.3167567190371</v>
      </c>
      <c r="I6832" s="6" t="n">
        <f aca="false">Sens!I6727*(al_m365+Sens!I6831)</f>
        <v>107.828945190295</v>
      </c>
      <c r="J6832" s="6" t="n">
        <f aca="false">Sens!J6727*(al_m365+Sens!J6831)</f>
        <v>116.685945870068</v>
      </c>
      <c r="K6832" s="6" t="n">
        <f aca="false">Sens!K6727*(al_m365+Sens!K6831)</f>
        <v>125.175599462316</v>
      </c>
    </row>
    <row r="6833" customFormat="false" ht="17.15" hidden="false" customHeight="false" outlineLevel="0" collapsed="false">
      <c r="A6833" s="0" t="s">
        <v>950</v>
      </c>
      <c r="B6833" s="0" t="s">
        <v>95</v>
      </c>
      <c r="F6833" s="6" t="n">
        <f aca="false">Sens!F6728*(al_lic+Sens!F6831)</f>
        <v>31.9898433512546</v>
      </c>
      <c r="G6833" s="6" t="n">
        <f aca="false">Sens!G6728*(al_lic+Sens!G6831)</f>
        <v>33.2496678966116</v>
      </c>
      <c r="H6833" s="6" t="n">
        <f aca="false">Sens!H6728*(al_lic+Sens!H6831)</f>
        <v>34.4250370511486</v>
      </c>
      <c r="I6833" s="6" t="n">
        <f aca="false">Sens!I6728*(al_lic+Sens!I6831)</f>
        <v>35.4965047667277</v>
      </c>
      <c r="J6833" s="6" t="n">
        <f aca="false">Sens!J6728*(al_lic+Sens!J6831)</f>
        <v>36.4411462952462</v>
      </c>
      <c r="K6833" s="6" t="n">
        <f aca="false">Sens!K6728*(al_lic+Sens!K6831)</f>
        <v>37.2347419612151</v>
      </c>
    </row>
    <row r="6834" customFormat="false" ht="17.15" hidden="false" customHeight="false" outlineLevel="0" collapsed="false">
      <c r="A6834" s="0" t="s">
        <v>951</v>
      </c>
      <c r="B6834" s="0" t="s">
        <v>95</v>
      </c>
      <c r="F6834" s="6" t="n">
        <f aca="false">Sens!F6730*(al_ind+Sens!F6831)</f>
        <v>8.24398183169232</v>
      </c>
      <c r="G6834" s="6" t="n">
        <f aca="false">Sens!G6730*(al_ind+Sens!G6831)</f>
        <v>8.95482862042896</v>
      </c>
      <c r="H6834" s="6" t="n">
        <f aca="false">Sens!H6730*(al_ind+Sens!H6831)</f>
        <v>9.70749727093508</v>
      </c>
      <c r="I6834" s="6" t="n">
        <f aca="false">Sens!I6730*(al_ind+Sens!I6831)</f>
        <v>10.498180857111</v>
      </c>
      <c r="J6834" s="6" t="n">
        <f aca="false">Sens!J6730*(al_ind+Sens!J6831)</f>
        <v>11.3189650377041</v>
      </c>
      <c r="K6834" s="6" t="n">
        <f aca="false">Sens!K6730*(al_ind+Sens!K6831)</f>
        <v>12.1583411527334</v>
      </c>
    </row>
    <row r="6835" customFormat="false" ht="17.15" hidden="false" customHeight="false" outlineLevel="0" collapsed="false">
      <c r="A6835" s="0" t="s">
        <v>952</v>
      </c>
      <c r="B6835" s="0" t="s">
        <v>95</v>
      </c>
      <c r="F6835" s="6" t="n">
        <f aca="false">Sens!F6732*(al_fro+Sens!F6831)</f>
        <v>3.2448601919332</v>
      </c>
      <c r="G6835" s="6" t="n">
        <f aca="false">Sens!G6732*(al_fro+Sens!G6831)</f>
        <v>3.43812476579152</v>
      </c>
      <c r="H6835" s="6" t="n">
        <f aca="false">Sens!H6732*(al_fro+Sens!H6831)</f>
        <v>3.65811723557369</v>
      </c>
      <c r="I6835" s="6" t="n">
        <f aca="false">Sens!I6732*(al_fro+Sens!I6831)</f>
        <v>3.90699564425178</v>
      </c>
      <c r="J6835" s="6" t="n">
        <f aca="false">Sens!J6732*(al_fro+Sens!J6831)</f>
        <v>4.18618825796225</v>
      </c>
      <c r="K6835" s="6" t="n">
        <f aca="false">Sens!K6732*(al_fro+Sens!K6831)</f>
        <v>4.49662180246432</v>
      </c>
    </row>
    <row r="6836" customFormat="false" ht="17.15" hidden="false" customHeight="false" outlineLevel="0" collapsed="false">
      <c r="A6836" s="0" t="s">
        <v>953</v>
      </c>
      <c r="B6836" s="0" t="s">
        <v>95</v>
      </c>
      <c r="F6836" s="6" t="n">
        <f aca="false">Sens!F6735*(al_srch+Sens!F6831)</f>
        <v>10.1814366716178</v>
      </c>
      <c r="G6836" s="6" t="n">
        <f aca="false">Sens!G6735*(al_srch+Sens!G6831)</f>
        <v>11.1636919238449</v>
      </c>
      <c r="H6836" s="6" t="n">
        <f aca="false">Sens!H6735*(al_srch+Sens!H6831)</f>
        <v>12.1881150698157</v>
      </c>
      <c r="I6836" s="6" t="n">
        <f aca="false">Sens!I6735*(al_srch+Sens!I6831)</f>
        <v>13.2436949529133</v>
      </c>
      <c r="J6836" s="6" t="n">
        <f aca="false">Sens!J6735*(al_srch+Sens!J6831)</f>
        <v>14.3133582387632</v>
      </c>
      <c r="K6836" s="6" t="n">
        <f aca="false">Sens!K6735*(al_srch+Sens!K6831)</f>
        <v>15.3747884129403</v>
      </c>
    </row>
    <row r="6837" customFormat="false" ht="17.15" hidden="false" customHeight="false" outlineLevel="0" collapsed="false">
      <c r="A6837" s="0" t="s">
        <v>954</v>
      </c>
      <c r="B6837" s="0" t="s">
        <v>95</v>
      </c>
      <c r="F6837" s="6" t="n">
        <f aca="false">Sens!F6704</f>
        <v>35.0573455625419</v>
      </c>
      <c r="G6837" s="6" t="n">
        <f aca="false">Sens!G6704</f>
        <v>52.2504971712871</v>
      </c>
      <c r="H6837" s="6" t="n">
        <f aca="false">Sens!H6704</f>
        <v>65.2796698510271</v>
      </c>
      <c r="I6837" s="6" t="n">
        <f aca="false">Sens!I6704</f>
        <v>85.5659922535278</v>
      </c>
      <c r="J6837" s="6" t="n">
        <f aca="false">Sens!J6704</f>
        <v>105.90773710582</v>
      </c>
      <c r="K6837" s="6" t="n">
        <f aca="false">Sens!K6704</f>
        <v>126.282084319851</v>
      </c>
    </row>
    <row r="6838" customFormat="false" ht="17.15" hidden="false" customHeight="false" outlineLevel="0" collapsed="false">
      <c r="A6838" s="0" t="s">
        <v>955</v>
      </c>
      <c r="B6838" s="0" t="s">
        <v>95</v>
      </c>
      <c r="F6838" s="6" t="n">
        <f aca="false">Sens!F6764+Sens!F6715+Sens!F6831*(Sens!F6734-Sens!F6698)</f>
        <v>205.932000733988</v>
      </c>
      <c r="G6838" s="6" t="n">
        <f aca="false">Sens!G6764+Sens!G6715+Sens!G6831*(Sens!G6734-Sens!G6698)</f>
        <v>240.824972456258</v>
      </c>
      <c r="H6838" s="6" t="n">
        <f aca="false">Sens!H6764+Sens!H6715+Sens!H6831*(Sens!H6734-Sens!H6698)</f>
        <v>271.258266792033</v>
      </c>
      <c r="I6838" s="6" t="n">
        <f aca="false">Sens!I6764+Sens!I6715+Sens!I6831*(Sens!I6734-Sens!I6698)</f>
        <v>307.584655970647</v>
      </c>
      <c r="J6838" s="6" t="n">
        <f aca="false">Sens!J6764+Sens!J6715+Sens!J6831*(Sens!J6734-Sens!J6698)</f>
        <v>341.703717526569</v>
      </c>
      <c r="K6838" s="6" t="n">
        <f aca="false">Sens!K6764+Sens!K6715+Sens!K6831*(Sens!K6734-Sens!K6698)</f>
        <v>373.163820788029</v>
      </c>
    </row>
    <row r="6839" customFormat="false" ht="17.15" hidden="false" customHeight="false" outlineLevel="0" collapsed="false">
      <c r="A6839" s="0" t="s">
        <v>956</v>
      </c>
      <c r="B6839" s="0" t="s">
        <v>95</v>
      </c>
      <c r="F6839" s="6" t="n">
        <f aca="false">Sens!F6838-Sens!F6832-Sens!F6833-Sens!F6834-Sens!F6835-Sens!F6837</f>
        <v>48.8910872721633</v>
      </c>
      <c r="G6839" s="6" t="n">
        <f aca="false">Sens!G6838-Sens!G6832-Sens!G6833-Sens!G6834-Sens!G6835-Sens!G6837</f>
        <v>54.6027867159361</v>
      </c>
      <c r="H6839" s="6" t="n">
        <f aca="false">Sens!H6838-Sens!H6832-Sens!H6833-Sens!H6834-Sens!H6835-Sens!H6837</f>
        <v>59.8711886643112</v>
      </c>
      <c r="I6839" s="6" t="n">
        <f aca="false">Sens!I6838-Sens!I6832-Sens!I6833-Sens!I6834-Sens!I6835-Sens!I6837</f>
        <v>64.288037258733</v>
      </c>
      <c r="J6839" s="6" t="n">
        <f aca="false">Sens!J6838-Sens!J6832-Sens!J6833-Sens!J6834-Sens!J6835-Sens!J6837</f>
        <v>67.163734959768</v>
      </c>
      <c r="K6839" s="6" t="n">
        <f aca="false">Sens!K6838-Sens!K6832-Sens!K6833-Sens!K6834-Sens!K6835-Sens!K6837</f>
        <v>67.8164320894486</v>
      </c>
    </row>
    <row r="6840" customFormat="false" ht="17.15" hidden="false" customHeight="false" outlineLevel="0" collapsed="false">
      <c r="A6840" s="0" t="s">
        <v>957</v>
      </c>
      <c r="B6840" s="0" t="s">
        <v>95</v>
      </c>
      <c r="F6840" s="6" t="n">
        <f aca="false">Sens!F6766+Sens!F6831*Sens!F6741</f>
        <v>23.7732267731876</v>
      </c>
      <c r="G6840" s="6" t="n">
        <f aca="false">Sens!G6766+Sens!G6831*Sens!G6741</f>
        <v>24.3410158458657</v>
      </c>
      <c r="H6840" s="6" t="n">
        <f aca="false">Sens!H6766+Sens!H6831*Sens!H6741</f>
        <v>25.1527929216605</v>
      </c>
      <c r="I6840" s="6" t="n">
        <f aca="false">Sens!I6766+Sens!I6831*Sens!I6741</f>
        <v>26.1791207158149</v>
      </c>
      <c r="J6840" s="6" t="n">
        <f aca="false">Sens!J6766+Sens!J6831*Sens!J6741</f>
        <v>27.39067392019</v>
      </c>
      <c r="K6840" s="6" t="n">
        <f aca="false">Sens!K6766+Sens!K6831*Sens!K6741</f>
        <v>28.7591904276424</v>
      </c>
    </row>
    <row r="6841" customFormat="false" ht="17.15" hidden="false" customHeight="false" outlineLevel="0" collapsed="false">
      <c r="A6841" s="0" t="s">
        <v>958</v>
      </c>
      <c r="B6841" s="0" t="s">
        <v>95</v>
      </c>
      <c r="F6841" s="6" t="n">
        <f aca="false">(Sens!F6840-Sens!F6836)*Sens!F6737/(Sens!F6737+Sens!F6739)</f>
        <v>7.45088695156316</v>
      </c>
      <c r="G6841" s="6" t="n">
        <f aca="false">(Sens!G6840-Sens!G6836)*Sens!G6737/(Sens!G6737+Sens!G6739)</f>
        <v>7.09488285716171</v>
      </c>
      <c r="H6841" s="6" t="n">
        <f aca="false">(Sens!H6840-Sens!H6836)*Sens!H6737/(Sens!H6737+Sens!H6739)</f>
        <v>6.88609738328488</v>
      </c>
      <c r="I6841" s="6" t="n">
        <f aca="false">(Sens!I6840-Sens!I6836)*Sens!I6737/(Sens!I6737+Sens!I6739)</f>
        <v>6.80839542468855</v>
      </c>
      <c r="J6841" s="6" t="n">
        <f aca="false">(Sens!J6840-Sens!J6836)*Sens!J6737/(Sens!J6737+Sens!J6739)</f>
        <v>6.85195234137736</v>
      </c>
      <c r="K6841" s="6" t="n">
        <f aca="false">(Sens!K6840-Sens!K6836)*Sens!K6737/(Sens!K6737+Sens!K6739)</f>
        <v>7.01285240462801</v>
      </c>
    </row>
    <row r="6842" customFormat="false" ht="17.15" hidden="false" customHeight="false" outlineLevel="0" collapsed="false">
      <c r="A6842" s="0" t="s">
        <v>959</v>
      </c>
      <c r="B6842" s="0" t="s">
        <v>95</v>
      </c>
      <c r="F6842" s="6" t="n">
        <f aca="false">Sens!F6840-Sens!F6836-Sens!F6841</f>
        <v>6.14090315000658</v>
      </c>
      <c r="G6842" s="6" t="n">
        <f aca="false">Sens!G6840-Sens!G6836-Sens!G6841</f>
        <v>6.08244106485912</v>
      </c>
      <c r="H6842" s="6" t="n">
        <f aca="false">Sens!H6840-Sens!H6836-Sens!H6841</f>
        <v>6.07858046855997</v>
      </c>
      <c r="I6842" s="6" t="n">
        <f aca="false">Sens!I6840-Sens!I6836-Sens!I6841</f>
        <v>6.1270303382131</v>
      </c>
      <c r="J6842" s="6" t="n">
        <f aca="false">Sens!J6840-Sens!J6836-Sens!J6841</f>
        <v>6.22536334004943</v>
      </c>
      <c r="K6842" s="6" t="n">
        <f aca="false">Sens!K6840-Sens!K6836-Sens!K6841</f>
        <v>6.37154961007403</v>
      </c>
    </row>
    <row r="6843" customFormat="false" ht="17.15" hidden="false" customHeight="false" outlineLevel="0" collapsed="false">
      <c r="A6843" s="1" t="s">
        <v>960</v>
      </c>
      <c r="B6843" s="0" t="s">
        <v>95</v>
      </c>
      <c r="C6843" s="6" t="n">
        <f aca="false">(w_ntm28*Sens!G6837+(1-w_ntm28)*Sens!H6837)*m_ai*1</f>
        <v>338.776008390068</v>
      </c>
    </row>
    <row r="6844" customFormat="false" ht="17.15" hidden="false" customHeight="false" outlineLevel="0" collapsed="false">
      <c r="A6844" s="1" t="s">
        <v>961</v>
      </c>
      <c r="B6844" s="0" t="s">
        <v>95</v>
      </c>
      <c r="C6844" s="6" t="n">
        <f aca="false">(w_ntm28*Sens!G6839+(1-w_ntm28)*Sens!H6839)*m_cloud*1</f>
        <v>778.1488662809</v>
      </c>
    </row>
    <row r="6845" customFormat="false" ht="17.15" hidden="false" customHeight="false" outlineLevel="0" collapsed="false">
      <c r="A6845" s="1" t="s">
        <v>962</v>
      </c>
      <c r="B6845" s="0" t="s">
        <v>95</v>
      </c>
      <c r="C6845" s="6" t="n">
        <f aca="false">(w_ntm28*Sens!G6832+(1-w_ntm28)*Sens!H6832)*m_sw*1</f>
        <v>988.826012754565</v>
      </c>
    </row>
    <row r="6846" customFormat="false" ht="17.15" hidden="false" customHeight="false" outlineLevel="0" collapsed="false">
      <c r="A6846" s="1" t="s">
        <v>963</v>
      </c>
      <c r="B6846" s="0" t="s">
        <v>95</v>
      </c>
      <c r="C6846" s="6" t="n">
        <f aca="false">(w_ntm28*Sens!G6833+(1-w_ntm28)*Sens!H6833)*m_sw*1</f>
        <v>363.200222736945</v>
      </c>
    </row>
    <row r="6847" customFormat="false" ht="17.15" hidden="false" customHeight="false" outlineLevel="0" collapsed="false">
      <c r="A6847" s="1" t="s">
        <v>964</v>
      </c>
      <c r="B6847" s="0" t="s">
        <v>95</v>
      </c>
      <c r="C6847" s="6" t="n">
        <f aca="false">(w_ntm28*Sens!G6834+(1-w_ntm28)*Sens!H6834)*m_sw*1</f>
        <v>99.3400968491396</v>
      </c>
    </row>
    <row r="6848" customFormat="false" ht="17.15" hidden="false" customHeight="false" outlineLevel="0" collapsed="false">
      <c r="A6848" s="1" t="s">
        <v>965</v>
      </c>
      <c r="B6848" s="0" t="s">
        <v>95</v>
      </c>
      <c r="C6848" s="6" t="n">
        <f aca="false">(w_ntm28*Sens!G6835+(1-w_ntm28)*Sens!H6835)*m_sw*1</f>
        <v>37.8998526855906</v>
      </c>
    </row>
    <row r="6849" customFormat="false" ht="17.15" hidden="false" customHeight="false" outlineLevel="0" collapsed="false">
      <c r="A6849" s="1" t="s">
        <v>966</v>
      </c>
      <c r="B6849" s="0" t="s">
        <v>95</v>
      </c>
      <c r="C6849" s="6" t="n">
        <f aca="false">(w_ntm28*Sens!G6836+(1-w_ntm28)*Sens!H6836)*m_ads*1</f>
        <v>104.718313956243</v>
      </c>
    </row>
    <row r="6850" customFormat="false" ht="17.15" hidden="false" customHeight="false" outlineLevel="0" collapsed="false">
      <c r="A6850" s="1" t="s">
        <v>967</v>
      </c>
      <c r="B6850" s="0" t="s">
        <v>95</v>
      </c>
      <c r="C6850" s="6" t="n">
        <f aca="false">(w_ntm28*Sens!G6841+(1-w_ntm28)*Sens!H6841)*m_game*1</f>
        <v>88.7558736554384</v>
      </c>
    </row>
    <row r="6851" customFormat="false" ht="17.15" hidden="false" customHeight="false" outlineLevel="0" collapsed="false">
      <c r="A6851" s="1" t="s">
        <v>968</v>
      </c>
      <c r="B6851" s="0" t="s">
        <v>95</v>
      </c>
      <c r="C6851" s="6" t="n">
        <f aca="false">(w_ntm28*Sens!G6842+(1-w_ntm28)*Sens!H6842)*m_pc*1</f>
        <v>87.9948624447938</v>
      </c>
    </row>
    <row r="6852" customFormat="false" ht="17.15" hidden="false" customHeight="false" outlineLevel="0" collapsed="false">
      <c r="A6852" s="1" t="s">
        <v>969</v>
      </c>
      <c r="B6852" s="0" t="s">
        <v>95</v>
      </c>
      <c r="C6852" s="6" t="n">
        <f aca="false">Sens!$C$6843+Sens!$C$6844+Sens!$C$6845+Sens!$C$6846+Sens!$C$6847+Sens!$C$6848+Sens!$C$6849+Sens!$C$6850+Sens!$C$6851</f>
        <v>2887.66010975368</v>
      </c>
    </row>
    <row r="6853" customFormat="false" ht="17.15" hidden="false" customHeight="false" outlineLevel="0" collapsed="false">
      <c r="A6853" s="1" t="s">
        <v>903</v>
      </c>
      <c r="B6853" s="0" t="s">
        <v>95</v>
      </c>
      <c r="C6853" s="6" t="n">
        <f aca="false">Sens!F6810+oai_v-Sens!F6799</f>
        <v>106.624705209123</v>
      </c>
      <c r="L6853" s="1" t="s">
        <v>970</v>
      </c>
    </row>
    <row r="6854" customFormat="false" ht="15" hidden="false" customHeight="false" outlineLevel="0" collapsed="false">
      <c r="A6854" s="1" t="s">
        <v>904</v>
      </c>
      <c r="B6854" s="0" t="s">
        <v>73</v>
      </c>
      <c r="C6854" s="5" t="n">
        <f aca="false">(Sens!$C$6852+Sens!$C$6853)/Sens!F6812</f>
        <v>400.734049111724</v>
      </c>
    </row>
    <row r="6855" customFormat="false" ht="17.15" hidden="false" customHeight="false" outlineLevel="0" collapsed="false">
      <c r="A6855" s="1" t="s">
        <v>971</v>
      </c>
      <c r="B6855" s="0" t="s">
        <v>73</v>
      </c>
      <c r="C6855" s="5" t="n">
        <f aca="false">w_dcf*Sens!$C$6830+(1-w_dcf)*Sens!$C$6854</f>
        <v>286.677232522871</v>
      </c>
    </row>
    <row r="6856" customFormat="false" ht="17.15" hidden="false" customHeight="false" outlineLevel="0" collapsed="false">
      <c r="A6856" s="3" t="s">
        <v>1309</v>
      </c>
    </row>
    <row r="6857" customFormat="false" ht="15" hidden="false" customHeight="false" outlineLevel="0" collapsed="false">
      <c r="A6857" s="4" t="s">
        <v>43</v>
      </c>
      <c r="B6857" s="4" t="s">
        <v>63</v>
      </c>
      <c r="C6857" s="19" t="s">
        <v>710</v>
      </c>
      <c r="D6857" s="19" t="s">
        <v>711</v>
      </c>
      <c r="E6857" s="19" t="s">
        <v>712</v>
      </c>
      <c r="F6857" s="19" t="s">
        <v>713</v>
      </c>
      <c r="G6857" s="19" t="s">
        <v>714</v>
      </c>
      <c r="H6857" s="19" t="s">
        <v>715</v>
      </c>
      <c r="I6857" s="19" t="s">
        <v>716</v>
      </c>
      <c r="J6857" s="19" t="s">
        <v>717</v>
      </c>
      <c r="K6857" s="19" t="s">
        <v>718</v>
      </c>
      <c r="L6857" s="4" t="s">
        <v>47</v>
      </c>
    </row>
    <row r="6858" customFormat="false" ht="17.15" hidden="false" customHeight="false" outlineLevel="0" collapsed="false">
      <c r="A6858" s="1" t="s">
        <v>719</v>
      </c>
      <c r="B6858" s="0" t="s">
        <v>340</v>
      </c>
      <c r="C6858" s="27" t="n">
        <f aca="false">mw_ext_24</f>
        <v>640</v>
      </c>
      <c r="D6858" s="27" t="n">
        <f aca="false">mw_ext_25</f>
        <v>1630</v>
      </c>
      <c r="E6858" s="27" t="n">
        <f aca="false">mw_ext_26</f>
        <v>3250</v>
      </c>
      <c r="F6858" s="27" t="n">
        <f aca="false">MIN(1000000000,Sens!E6858+pace)</f>
        <v>5777.2</v>
      </c>
      <c r="G6858" s="27" t="n">
        <f aca="false">MIN(1000000000,Sens!F6858+pace)</f>
        <v>8304.4</v>
      </c>
      <c r="H6858" s="27" t="n">
        <f aca="false">MIN(1000000000,Sens!G6858+pace)</f>
        <v>10831.6</v>
      </c>
      <c r="I6858" s="27" t="n">
        <f aca="false">MIN(1000000000,Sens!H6858+pace)</f>
        <v>13358.8</v>
      </c>
      <c r="J6858" s="27" t="n">
        <f aca="false">MIN(1000000000,Sens!I6858+pace)</f>
        <v>15886</v>
      </c>
      <c r="K6858" s="27" t="n">
        <f aca="false">MIN(1000000000,Sens!J6858+pace)</f>
        <v>18413.2</v>
      </c>
      <c r="L6858" s="11" t="s">
        <v>720</v>
      </c>
    </row>
    <row r="6859" customFormat="false" ht="17.15" hidden="false" customHeight="false" outlineLevel="0" collapsed="false">
      <c r="A6859" s="1" t="s">
        <v>721</v>
      </c>
      <c r="B6859" s="0" t="s">
        <v>340</v>
      </c>
      <c r="C6859" s="27" t="n">
        <f aca="false">rent_ext_24</f>
        <v>150</v>
      </c>
      <c r="D6859" s="27" t="n">
        <f aca="false">rent_ext_25</f>
        <v>400</v>
      </c>
      <c r="E6859" s="27" t="n">
        <f aca="false">rent_ext_26</f>
        <v>550</v>
      </c>
      <c r="F6859" s="27" t="n">
        <f aca="false">rent_ext_f</f>
        <v>756</v>
      </c>
      <c r="G6859" s="27" t="n">
        <f aca="false">rent_ext_f</f>
        <v>756</v>
      </c>
      <c r="H6859" s="27" t="n">
        <f aca="false">rent_ext_f</f>
        <v>756</v>
      </c>
      <c r="I6859" s="27" t="n">
        <f aca="false">rent_ext_f</f>
        <v>756</v>
      </c>
      <c r="J6859" s="27" t="n">
        <f aca="false">rent_ext_f</f>
        <v>756</v>
      </c>
      <c r="K6859" s="27" t="n">
        <f aca="false">rent_ext_f</f>
        <v>756</v>
      </c>
      <c r="L6859" s="1" t="s">
        <v>722</v>
      </c>
    </row>
    <row r="6860" customFormat="false" ht="17.15" hidden="false" customHeight="false" outlineLevel="0" collapsed="false">
      <c r="A6860" s="1" t="s">
        <v>723</v>
      </c>
      <c r="B6860" s="0" t="s">
        <v>340</v>
      </c>
      <c r="C6860" s="27" t="n">
        <f aca="false">Sens!C6858-Sens!C6859</f>
        <v>490</v>
      </c>
      <c r="D6860" s="27" t="n">
        <f aca="false">Sens!D6858-Sens!D6859</f>
        <v>1230</v>
      </c>
      <c r="E6860" s="27" t="n">
        <f aca="false">Sens!E6858-Sens!E6859</f>
        <v>2700</v>
      </c>
      <c r="F6860" s="27" t="n">
        <f aca="false">Sens!F6858-Sens!F6859</f>
        <v>5021.2</v>
      </c>
      <c r="G6860" s="27" t="n">
        <f aca="false">Sens!G6858-Sens!G6859</f>
        <v>7548.4</v>
      </c>
      <c r="H6860" s="27" t="n">
        <f aca="false">Sens!H6858-Sens!H6859</f>
        <v>10075.6</v>
      </c>
      <c r="I6860" s="27" t="n">
        <f aca="false">Sens!I6858-Sens!I6859</f>
        <v>12602.8</v>
      </c>
      <c r="J6860" s="27" t="n">
        <f aca="false">Sens!J6858-Sens!J6859</f>
        <v>15130</v>
      </c>
      <c r="K6860" s="27" t="n">
        <f aca="false">Sens!K6858-Sens!K6859</f>
        <v>17657.2</v>
      </c>
    </row>
    <row r="6861" customFormat="false" ht="17.15" hidden="false" customHeight="false" outlineLevel="0" collapsed="false">
      <c r="A6861" s="1" t="s">
        <v>724</v>
      </c>
      <c r="B6861" s="0" t="s">
        <v>340</v>
      </c>
      <c r="C6861" s="27" t="n">
        <f aca="false">Sens!C6860/ext_sh</f>
        <v>816.666666666667</v>
      </c>
      <c r="D6861" s="27" t="n">
        <f aca="false">Sens!D6860/ext_sh</f>
        <v>2050</v>
      </c>
      <c r="E6861" s="27" t="n">
        <f aca="false">Sens!E6860/ext_sh</f>
        <v>4500</v>
      </c>
      <c r="F6861" s="27" t="n">
        <f aca="false">Sens!F6860/ext_sh</f>
        <v>8368.66666666667</v>
      </c>
      <c r="G6861" s="27" t="n">
        <f aca="false">Sens!G6860/ext_sh</f>
        <v>12580.6666666667</v>
      </c>
      <c r="H6861" s="27" t="n">
        <f aca="false">Sens!H6860/ext_sh</f>
        <v>16792.6666666667</v>
      </c>
      <c r="I6861" s="27" t="n">
        <f aca="false">Sens!I6860/ext_sh</f>
        <v>21004.6666666667</v>
      </c>
      <c r="J6861" s="27" t="n">
        <f aca="false">Sens!J6860/ext_sh</f>
        <v>25216.6666666667</v>
      </c>
      <c r="K6861" s="27" t="n">
        <f aca="false">Sens!K6860/ext_sh</f>
        <v>29428.6666666667</v>
      </c>
      <c r="L6861" s="1" t="s">
        <v>725</v>
      </c>
    </row>
    <row r="6862" customFormat="false" ht="17.15" hidden="false" customHeight="false" outlineLevel="0" collapsed="false">
      <c r="A6862" s="1" t="s">
        <v>726</v>
      </c>
      <c r="B6862" s="0" t="s">
        <v>340</v>
      </c>
      <c r="C6862" s="27" t="n">
        <f aca="false">Sens!C6861-Sens!C6860</f>
        <v>326.666666666667</v>
      </c>
      <c r="D6862" s="27" t="n">
        <f aca="false">Sens!D6861-Sens!D6860</f>
        <v>820</v>
      </c>
      <c r="E6862" s="27" t="n">
        <f aca="false">Sens!E6861-Sens!E6860</f>
        <v>1800</v>
      </c>
      <c r="F6862" s="27" t="n">
        <f aca="false">Sens!F6861-Sens!F6860</f>
        <v>3347.46666666667</v>
      </c>
      <c r="G6862" s="27" t="n">
        <f aca="false">Sens!G6861-Sens!G6860</f>
        <v>5032.26666666667</v>
      </c>
      <c r="H6862" s="27" t="n">
        <f aca="false">Sens!H6861-Sens!H6860</f>
        <v>6717.06666666667</v>
      </c>
      <c r="I6862" s="27" t="n">
        <f aca="false">Sens!I6861-Sens!I6860</f>
        <v>8401.86666666667</v>
      </c>
      <c r="J6862" s="27" t="n">
        <f aca="false">Sens!J6861-Sens!J6860</f>
        <v>10086.6666666667</v>
      </c>
      <c r="K6862" s="27" t="n">
        <f aca="false">Sens!K6861-Sens!K6860</f>
        <v>11771.4666666667</v>
      </c>
    </row>
    <row r="6863" customFormat="false" ht="17.15" hidden="false" customHeight="false" outlineLevel="0" collapsed="false">
      <c r="A6863" s="1" t="s">
        <v>727</v>
      </c>
      <c r="B6863" s="0" t="s">
        <v>340</v>
      </c>
      <c r="C6863" s="27" t="n">
        <f aca="false">Sens!C6861</f>
        <v>816.666666666667</v>
      </c>
      <c r="D6863" s="27" t="n">
        <f aca="false">Sens!D6861-Sens!C6861</f>
        <v>1233.33333333333</v>
      </c>
      <c r="E6863" s="27" t="n">
        <f aca="false">Sens!E6861-Sens!D6861</f>
        <v>2450</v>
      </c>
      <c r="F6863" s="27" t="n">
        <f aca="false">Sens!F6861-Sens!E6861</f>
        <v>3868.66666666667</v>
      </c>
      <c r="G6863" s="27" t="n">
        <f aca="false">Sens!G6861-Sens!F6861</f>
        <v>4212</v>
      </c>
      <c r="H6863" s="27" t="n">
        <f aca="false">Sens!H6861-Sens!G6861</f>
        <v>4212</v>
      </c>
      <c r="I6863" s="27" t="n">
        <f aca="false">Sens!I6861-Sens!H6861</f>
        <v>4212</v>
      </c>
      <c r="J6863" s="27" t="n">
        <f aca="false">Sens!J6861-Sens!I6861</f>
        <v>4212</v>
      </c>
      <c r="K6863" s="27" t="n">
        <f aca="false">Sens!K6861-Sens!J6861</f>
        <v>4212</v>
      </c>
    </row>
    <row r="6864" customFormat="false" ht="17.15" hidden="false" customHeight="false" outlineLevel="0" collapsed="false">
      <c r="A6864" s="1" t="s">
        <v>728</v>
      </c>
      <c r="B6864" s="0" t="s">
        <v>340</v>
      </c>
      <c r="D6864" s="27" t="n">
        <f aca="false">Sens!D6858-Sens!C6858</f>
        <v>990</v>
      </c>
      <c r="E6864" s="27" t="n">
        <f aca="false">Sens!E6858-Sens!D6858</f>
        <v>1620</v>
      </c>
      <c r="F6864" s="27" t="n">
        <f aca="false">Sens!F6858-Sens!E6858</f>
        <v>2527.2</v>
      </c>
      <c r="G6864" s="27" t="n">
        <f aca="false">Sens!G6858-Sens!F6858</f>
        <v>2527.2</v>
      </c>
      <c r="H6864" s="27" t="n">
        <f aca="false">Sens!H6858-Sens!G6858</f>
        <v>2527.2</v>
      </c>
      <c r="I6864" s="27" t="n">
        <f aca="false">Sens!I6858-Sens!H6858</f>
        <v>2527.2</v>
      </c>
      <c r="J6864" s="27" t="n">
        <f aca="false">Sens!J6858-Sens!I6858</f>
        <v>2527.2</v>
      </c>
      <c r="K6864" s="27" t="n">
        <f aca="false">Sens!K6858-Sens!J6858</f>
        <v>2527.2</v>
      </c>
    </row>
    <row r="6865" customFormat="false" ht="17.15" hidden="false" customHeight="false" outlineLevel="0" collapsed="false">
      <c r="A6865" s="1" t="s">
        <v>729</v>
      </c>
      <c r="B6865" s="0" t="s">
        <v>340</v>
      </c>
      <c r="C6865" s="27" t="n">
        <f aca="false">mix_h*Sens!C6858</f>
        <v>128</v>
      </c>
      <c r="D6865" s="27" t="n">
        <f aca="false">mix_h*Sens!D6858</f>
        <v>326</v>
      </c>
      <c r="E6865" s="27" t="n">
        <f aca="false">mix_h*Sens!E6858</f>
        <v>650</v>
      </c>
      <c r="F6865" s="27" t="n">
        <f aca="false">Sens!E6865</f>
        <v>650</v>
      </c>
      <c r="G6865" s="27" t="n">
        <f aca="false">Sens!F6865</f>
        <v>650</v>
      </c>
      <c r="H6865" s="27" t="n">
        <f aca="false">Sens!G6865</f>
        <v>650</v>
      </c>
      <c r="I6865" s="27" t="n">
        <f aca="false">Sens!H6865</f>
        <v>650</v>
      </c>
      <c r="J6865" s="27" t="n">
        <f aca="false">Sens!I6865</f>
        <v>650</v>
      </c>
      <c r="K6865" s="27" t="n">
        <f aca="false">Sens!J6865</f>
        <v>650</v>
      </c>
    </row>
    <row r="6866" customFormat="false" ht="17.15" hidden="false" customHeight="false" outlineLevel="0" collapsed="false">
      <c r="A6866" s="1" t="s">
        <v>730</v>
      </c>
      <c r="B6866" s="0" t="s">
        <v>340</v>
      </c>
      <c r="C6866" s="27" t="n">
        <f aca="false">mix_g2*Sens!C6858</f>
        <v>288</v>
      </c>
      <c r="D6866" s="27" t="n">
        <f aca="false">mix_g2*Sens!D6858</f>
        <v>733.5</v>
      </c>
      <c r="E6866" s="27" t="n">
        <f aca="false">mix_g2*Sens!E6858</f>
        <v>1462.5</v>
      </c>
      <c r="F6866" s="27" t="n">
        <f aca="false">Sens!E6866</f>
        <v>1462.5</v>
      </c>
      <c r="G6866" s="27" t="n">
        <f aca="false">Sens!F6866</f>
        <v>1462.5</v>
      </c>
      <c r="H6866" s="27" t="n">
        <f aca="false">Sens!G6866</f>
        <v>1462.5</v>
      </c>
      <c r="I6866" s="27" t="n">
        <f aca="false">Sens!H6866</f>
        <v>1462.5</v>
      </c>
      <c r="J6866" s="27" t="n">
        <f aca="false">Sens!I6866</f>
        <v>1462.5</v>
      </c>
      <c r="K6866" s="27" t="n">
        <f aca="false">Sens!J6866</f>
        <v>1462.5</v>
      </c>
    </row>
    <row r="6867" customFormat="false" ht="17.15" hidden="false" customHeight="false" outlineLevel="0" collapsed="false">
      <c r="A6867" s="1" t="s">
        <v>731</v>
      </c>
      <c r="B6867" s="0" t="s">
        <v>340</v>
      </c>
      <c r="C6867" s="27" t="n">
        <f aca="false">mix_g3*Sens!C6858</f>
        <v>224</v>
      </c>
      <c r="D6867" s="27" t="n">
        <f aca="false">mix_g3*Sens!D6858</f>
        <v>570.5</v>
      </c>
      <c r="E6867" s="27" t="n">
        <f aca="false">mix_g3*Sens!E6858</f>
        <v>1137.5</v>
      </c>
      <c r="F6867" s="27" t="n">
        <f aca="false">Sens!E6867+Sens!F6864*a_g3_27</f>
        <v>2906.54</v>
      </c>
      <c r="G6867" s="27" t="n">
        <f aca="false">Sens!F6867+Sens!G6864*a_g3_28</f>
        <v>3664.7</v>
      </c>
      <c r="H6867" s="27" t="n">
        <f aca="false">Sens!G6867+Sens!H6864*a_g3_29</f>
        <v>3917.42</v>
      </c>
      <c r="I6867" s="27" t="n">
        <f aca="false">Sens!H6867+Sens!I6864*a_g3_29</f>
        <v>4170.14</v>
      </c>
      <c r="J6867" s="27" t="n">
        <f aca="false">Sens!I6867+Sens!J6864*a_g3_29</f>
        <v>4422.86</v>
      </c>
      <c r="K6867" s="27" t="n">
        <f aca="false">Sens!J6867+Sens!K6864*a_g3_29</f>
        <v>4675.58</v>
      </c>
    </row>
    <row r="6868" customFormat="false" ht="17.15" hidden="false" customHeight="false" outlineLevel="0" collapsed="false">
      <c r="A6868" s="1" t="s">
        <v>732</v>
      </c>
      <c r="B6868" s="0" t="s">
        <v>340</v>
      </c>
      <c r="C6868" s="27" t="n">
        <f aca="false">0</f>
        <v>0</v>
      </c>
      <c r="D6868" s="27" t="n">
        <f aca="false">0</f>
        <v>0</v>
      </c>
      <c r="E6868" s="27" t="n">
        <f aca="false">0</f>
        <v>0</v>
      </c>
      <c r="F6868" s="27" t="n">
        <f aca="false">Sens!E6868+Sens!F6864*(1-a_g3_27)</f>
        <v>758.16</v>
      </c>
      <c r="G6868" s="27" t="n">
        <f aca="false">Sens!F6868+Sens!G6864*(1-a_g3_28)</f>
        <v>2527.2</v>
      </c>
      <c r="H6868" s="27" t="n">
        <f aca="false">Sens!G6868+Sens!H6864*(1-a_g3_29)</f>
        <v>4801.68</v>
      </c>
      <c r="I6868" s="27" t="n">
        <f aca="false">Sens!H6868+Sens!I6864*(1-a_g3_29)</f>
        <v>7076.16</v>
      </c>
      <c r="J6868" s="27" t="n">
        <f aca="false">Sens!I6868+Sens!J6864*(1-a_g3_29)</f>
        <v>9350.64</v>
      </c>
      <c r="K6868" s="27" t="n">
        <f aca="false">Sens!J6868+Sens!K6864*(1-a_g3_29)</f>
        <v>11625.12</v>
      </c>
    </row>
    <row r="6869" customFormat="false" ht="17.15" hidden="false" customHeight="false" outlineLevel="0" collapsed="false">
      <c r="A6869" s="1" t="s">
        <v>733</v>
      </c>
      <c r="B6869" s="0" t="s">
        <v>291</v>
      </c>
      <c r="C6869" s="18" t="n">
        <f aca="false">(Sens!C6865*tk_hold_h100+Sens!C6866*tk_hold_gb200+Sens!C6867*tk_hold_gb300+Sens!C6868*tk_hold_vr200)/Sens!C6858</f>
        <v>9.7235358126469</v>
      </c>
      <c r="D6869" s="18" t="n">
        <f aca="false">(Sens!D6865*tk_hold_h100+Sens!D6866*tk_hold_gb200+Sens!D6867*tk_hold_gb300+Sens!D6868*tk_hold_vr200)/Sens!D6858</f>
        <v>9.7235358126469</v>
      </c>
      <c r="E6869" s="18" t="n">
        <f aca="false">(Sens!E6865*tk_hold_h100+Sens!E6866*tk_hold_gb200+Sens!E6867*tk_hold_gb300+Sens!E6868*tk_hold_vr200)/Sens!E6858</f>
        <v>9.7235358126469</v>
      </c>
      <c r="F6869" s="18" t="n">
        <f aca="false">(Sens!F6865*tk_hold_h100+Sens!F6866*tk_hold_gb200+Sens!F6867*tk_hold_gb300+Sens!F6868*tk_hold_vr200)/Sens!F6858</f>
        <v>10.4079573161931</v>
      </c>
      <c r="G6869" s="18" t="n">
        <f aca="false">(Sens!G6865*tk_hold_h100+Sens!G6866*tk_hold_gb200+Sens!G6867*tk_hold_gb300+Sens!G6868*tk_hold_vr200)/Sens!G6858</f>
        <v>10.8388131109316</v>
      </c>
      <c r="H6869" s="18" t="n">
        <f aca="false">(Sens!H6865*tk_hold_h100+Sens!H6866*tk_hold_gb200+Sens!H6867*tk_hold_gb300+Sens!H6868*tk_hold_vr200)/Sens!H6858</f>
        <v>11.1311018388216</v>
      </c>
      <c r="I6869" s="18" t="n">
        <f aca="false">(Sens!I6865*tk_hold_h100+Sens!I6866*tk_hold_gb200+Sens!I6867*tk_hold_gb300+Sens!I6868*tk_hold_vr200)/Sens!I6858</f>
        <v>11.3128009818501</v>
      </c>
      <c r="J6869" s="18" t="n">
        <f aca="false">(Sens!J6865*tk_hold_h100+Sens!J6866*tk_hold_gb200+Sens!J6867*tk_hold_gb300+Sens!J6868*tk_hold_vr200)/Sens!J6858</f>
        <v>11.4366894646418</v>
      </c>
      <c r="K6869" s="18" t="n">
        <f aca="false">(Sens!K6865*tk_hold_h100+Sens!K6866*tk_hold_gb200+Sens!K6867*tk_hold_gb300+Sens!K6868*tk_hold_vr200)/Sens!K6858</f>
        <v>11.526570716348</v>
      </c>
    </row>
    <row r="6870" customFormat="false" ht="17.15" hidden="false" customHeight="false" outlineLevel="0" collapsed="false">
      <c r="A6870" s="0" t="s">
        <v>734</v>
      </c>
      <c r="B6870" s="0" t="s">
        <v>182</v>
      </c>
      <c r="C6870" s="18" t="n">
        <f aca="false">k_B</f>
        <v>1.17213932619116</v>
      </c>
      <c r="D6870" s="18" t="n">
        <f aca="false">k_B</f>
        <v>1.17213932619116</v>
      </c>
      <c r="E6870" s="18" t="n">
        <f aca="false">k_B</f>
        <v>1.17213932619116</v>
      </c>
      <c r="F6870" s="18" t="n">
        <f aca="false">(k_B+((ls_A*k_long+(1-ls_A)*k_spot)-k_B)*MIN(1,1/3))*1</f>
        <v>1.25022828131298</v>
      </c>
      <c r="G6870" s="18" t="n">
        <f aca="false">(k_B+((ls_A*k_long+(1-ls_A)*k_spot)-k_B)*MIN(1,2/3))*1</f>
        <v>1.3283172364348</v>
      </c>
      <c r="H6870" s="18" t="n">
        <f aca="false">(k_B+((ls_A*k_long+(1-ls_A)*k_spot)-k_B)*MIN(1,3/3))*1</f>
        <v>1.40640619155662</v>
      </c>
      <c r="I6870" s="18" t="n">
        <f aca="false">(k_B+((ls_A*k_long+(1-ls_A)*k_spot)-k_B)*MIN(1,4/3))*1</f>
        <v>1.40640619155662</v>
      </c>
      <c r="J6870" s="18" t="n">
        <f aca="false">(k_B+((ls_A*k_long+(1-ls_A)*k_spot)-k_B)*MIN(1,5/3))*1</f>
        <v>1.40640619155662</v>
      </c>
      <c r="K6870" s="18" t="n">
        <f aca="false">(k_B+((ls_A*k_long+(1-ls_A)*k_spot)-k_B)*MIN(1,6/3))*1</f>
        <v>1.40640619155662</v>
      </c>
      <c r="L6870" s="1" t="s">
        <v>735</v>
      </c>
    </row>
    <row r="6871" customFormat="false" ht="17.15" hidden="false" customHeight="false" outlineLevel="0" collapsed="false">
      <c r="A6871" s="1" t="s">
        <v>736</v>
      </c>
      <c r="B6871" s="0" t="s">
        <v>291</v>
      </c>
      <c r="C6871" s="18" t="n">
        <f aca="false">Sens!C6869*Sens!C6870*chip_f</f>
        <v>11.3973387156315</v>
      </c>
      <c r="D6871" s="18" t="n">
        <f aca="false">Sens!D6869*Sens!D6870*chip_f</f>
        <v>11.3973387156315</v>
      </c>
      <c r="E6871" s="18" t="n">
        <f aca="false">Sens!E6869*Sens!E6870*chip_f</f>
        <v>11.3973387156315</v>
      </c>
      <c r="F6871" s="18" t="n">
        <f aca="false">Sens!F6869*Sens!F6870*chip_f</f>
        <v>13.0123225874029</v>
      </c>
      <c r="G6871" s="18" t="n">
        <f aca="false">Sens!G6869*Sens!G6870*chip_f</f>
        <v>14.3973822777458</v>
      </c>
      <c r="H6871" s="18" t="n">
        <f aca="false">Sens!H6869*Sens!H6870*chip_f</f>
        <v>15.6548505449659</v>
      </c>
      <c r="I6871" s="18" t="n">
        <f aca="false">Sens!I6869*Sens!I6870*chip_f</f>
        <v>15.9103933447218</v>
      </c>
      <c r="J6871" s="18" t="n">
        <f aca="false">Sens!J6869*Sens!J6870*chip_f</f>
        <v>16.0846308739825</v>
      </c>
      <c r="K6871" s="18" t="n">
        <f aca="false">Sens!K6869*Sens!K6870*chip_f</f>
        <v>16.211040422887</v>
      </c>
      <c r="L6871" s="1" t="s">
        <v>737</v>
      </c>
    </row>
    <row r="6872" customFormat="false" ht="17.15" hidden="false" customHeight="false" outlineLevel="0" collapsed="false">
      <c r="A6872" s="0" t="s">
        <v>738</v>
      </c>
      <c r="B6872" s="0" t="s">
        <v>95</v>
      </c>
      <c r="D6872" s="6" t="n">
        <f aca="false">(Sens!C6858+Sens!D6858)/2*Sens!D6871/1000</f>
        <v>12.9359794422418</v>
      </c>
      <c r="E6872" s="6" t="n">
        <f aca="false">(Sens!D6858+Sens!E6858)/2*Sens!E6871/1000</f>
        <v>27.8095064661409</v>
      </c>
      <c r="F6872" s="6" t="n">
        <f aca="false">(Sens!E6858+Sens!F6858)/2*Sens!F6871/1000</f>
        <v>58.7324192305018</v>
      </c>
      <c r="G6872" s="6" t="n">
        <f aca="false">(Sens!F6858+Sens!G6858)/2*Sens!G6871/1000</f>
        <v>101.369089141153</v>
      </c>
      <c r="H6872" s="6" t="n">
        <f aca="false">(Sens!G6858+Sens!H6858)/2*Sens!H6871/1000</f>
        <v>149.785610014234</v>
      </c>
      <c r="I6872" s="6" t="n">
        <f aca="false">(Sens!H6858+Sens!I6858)/2*Sens!I6871/1000</f>
        <v>192.439389583079</v>
      </c>
      <c r="J6872" s="6" t="n">
        <f aca="false">(Sens!I6858+Sens!J6858)/2*Sens!J6871/1000</f>
        <v>235.195906491722</v>
      </c>
      <c r="K6872" s="6" t="n">
        <f aca="false">(Sens!J6858+Sens!K6858)/2*Sens!K6871/1000</f>
        <v>278.012858836343</v>
      </c>
      <c r="L6872" s="11" t="s">
        <v>739</v>
      </c>
    </row>
    <row r="6873" customFormat="false" ht="17.15" hidden="false" customHeight="false" outlineLevel="0" collapsed="false">
      <c r="A6873" s="1" t="s">
        <v>740</v>
      </c>
      <c r="B6873" s="0" t="s">
        <v>291</v>
      </c>
      <c r="C6873" s="18" t="n">
        <f aca="false">(Sens!C6865*tk_opex_h100+Sens!C6866*tk_opex_gb200+Sens!C6867*tk_opex_gb300+Sens!C6868*tk_opex_vr200)/Sens!C6858</f>
        <v>1.88636041306092</v>
      </c>
      <c r="D6873" s="18" t="n">
        <f aca="false">(Sens!D6865*tk_opex_h100+Sens!D6866*tk_opex_gb200+Sens!D6867*tk_opex_gb300+Sens!D6868*tk_opex_vr200)/Sens!D6858</f>
        <v>1.88636041306092</v>
      </c>
      <c r="E6873" s="18" t="n">
        <f aca="false">(Sens!E6865*tk_opex_h100+Sens!E6866*tk_opex_gb200+Sens!E6867*tk_opex_gb300+Sens!E6868*tk_opex_vr200)/Sens!E6858</f>
        <v>1.88636041306092</v>
      </c>
      <c r="F6873" s="18" t="n">
        <f aca="false">(Sens!F6865*tk_opex_h100+Sens!F6866*tk_opex_gb200+Sens!F6867*tk_opex_gb300+Sens!F6868*tk_opex_vr200)/Sens!F6858</f>
        <v>1.9430236476499</v>
      </c>
      <c r="G6873" s="18" t="n">
        <f aca="false">(Sens!G6865*tk_opex_h100+Sens!G6866*tk_opex_gb200+Sens!G6867*tk_opex_gb300+Sens!G6868*tk_opex_vr200)/Sens!G6858</f>
        <v>1.9786941852423</v>
      </c>
      <c r="H6873" s="18" t="n">
        <f aca="false">(Sens!H6865*tk_opex_h100+Sens!H6866*tk_opex_gb200+Sens!H6867*tk_opex_gb300+Sens!H6868*tk_opex_vr200)/Sens!H6858</f>
        <v>2.00289275976156</v>
      </c>
      <c r="I6873" s="18" t="n">
        <f aca="false">(Sens!I6865*tk_opex_h100+Sens!I6866*tk_opex_gb200+Sens!I6867*tk_opex_gb300+Sens!I6868*tk_opex_vr200)/Sens!I6858</f>
        <v>2.01793562605478</v>
      </c>
      <c r="J6873" s="18" t="n">
        <f aca="false">(Sens!J6865*tk_opex_h100+Sens!J6866*tk_opex_gb200+Sens!J6867*tk_opex_gb300+Sens!J6868*tk_opex_vr200)/Sens!J6858</f>
        <v>2.02819234961902</v>
      </c>
      <c r="K6873" s="18" t="n">
        <f aca="false">(Sens!K6865*tk_opex_h100+Sens!K6866*tk_opex_gb200+Sens!K6867*tk_opex_gb300+Sens!K6868*tk_opex_vr200)/Sens!K6858</f>
        <v>2.0356336155994</v>
      </c>
    </row>
    <row r="6874" customFormat="false" ht="17.15" hidden="false" customHeight="false" outlineLevel="0" collapsed="false">
      <c r="A6874" s="0" t="s">
        <v>741</v>
      </c>
      <c r="B6874" s="0" t="s">
        <v>95</v>
      </c>
      <c r="D6874" s="6" t="n">
        <f aca="false">(Sens!C6861+Sens!D6861)/2*Sens!D6873/1000</f>
        <v>2.70378325872065</v>
      </c>
      <c r="E6874" s="6" t="n">
        <f aca="false">(Sens!D6861+Sens!E6861)/2*Sens!E6873/1000</f>
        <v>6.17783035277451</v>
      </c>
      <c r="F6874" s="6" t="n">
        <f aca="false">(Sens!E6861+Sens!F6861)/2*Sens!F6873/1000</f>
        <v>12.5020618235287</v>
      </c>
      <c r="G6874" s="6" t="n">
        <f aca="false">(Sens!F6861+Sens!G6861)/2*Sens!G6873/1000</f>
        <v>20.7261620256847</v>
      </c>
      <c r="H6874" s="6" t="n">
        <f aca="false">(Sens!G6861+Sens!H6861)/2*Sens!H6873/1000</f>
        <v>29.4158183316982</v>
      </c>
      <c r="I6874" s="6" t="n">
        <f aca="false">(Sens!H6861+Sens!I6861)/2*Sens!I6873/1000</f>
        <v>38.1362927516005</v>
      </c>
      <c r="J6874" s="6" t="n">
        <f aca="false">(Sens!I6861+Sens!J6861)/2*Sens!J6873/1000</f>
        <v>46.8728773279286</v>
      </c>
      <c r="K6874" s="6" t="n">
        <f aca="false">(Sens!J6861+Sens!K6861)/2*Sens!K6873/1000</f>
        <v>55.618938734484</v>
      </c>
    </row>
    <row r="6875" customFormat="false" ht="17.15" hidden="false" customHeight="false" outlineLevel="0" collapsed="false">
      <c r="A6875" s="0" t="s">
        <v>742</v>
      </c>
      <c r="B6875" s="0" t="s">
        <v>95</v>
      </c>
      <c r="D6875" s="6" t="n">
        <f aca="false">(Sens!C6859+Sens!D6859)/2*rent_mw/1000</f>
        <v>2.44475</v>
      </c>
      <c r="E6875" s="6" t="n">
        <f aca="false">(Sens!D6859+Sens!E6859)/2*rent_mw/1000</f>
        <v>4.22275</v>
      </c>
      <c r="F6875" s="6" t="n">
        <f aca="false">(Sens!E6859+Sens!F6859)/2*rent_mw/1000</f>
        <v>5.80517</v>
      </c>
      <c r="G6875" s="6" t="n">
        <f aca="false">(Sens!F6859+Sens!G6859)/2*rent_mw/1000</f>
        <v>6.72084</v>
      </c>
      <c r="H6875" s="6" t="n">
        <f aca="false">(Sens!G6859+Sens!H6859)/2*rent_mw/1000</f>
        <v>6.72084</v>
      </c>
      <c r="I6875" s="6" t="n">
        <f aca="false">(Sens!H6859+Sens!I6859)/2*rent_mw/1000</f>
        <v>6.72084</v>
      </c>
      <c r="J6875" s="6" t="n">
        <f aca="false">(Sens!I6859+Sens!J6859)/2*rent_mw/1000</f>
        <v>6.72084</v>
      </c>
      <c r="K6875" s="6" t="n">
        <f aca="false">(Sens!J6859+Sens!K6859)/2*rent_mw/1000</f>
        <v>6.72084</v>
      </c>
    </row>
    <row r="6876" customFormat="false" ht="17.15" hidden="false" customHeight="false" outlineLevel="0" collapsed="false">
      <c r="A6876" s="0" t="s">
        <v>743</v>
      </c>
      <c r="B6876" s="0" t="s">
        <v>95</v>
      </c>
      <c r="D6876" s="6" t="n">
        <f aca="false">(Sens!C6861+Sens!D6861)/2*(1-self_build)*fac_rent/1000</f>
        <v>0.853242375631075</v>
      </c>
      <c r="E6876" s="6" t="n">
        <f aca="false">(Sens!D6861+Sens!E6861)/2*(1-self_build)*fac_rent/1000</f>
        <v>1.94955961408728</v>
      </c>
      <c r="F6876" s="6" t="n">
        <f aca="false">(Sens!E6861+Sens!F6861)/2*(1-self_build)*fac_rent/1000</f>
        <v>3.83026455274573</v>
      </c>
      <c r="G6876" s="6" t="n">
        <f aca="false">(Sens!F6861+Sens!G6861)/2*(1-self_build)*fac_rent/1000</f>
        <v>6.23541590972812</v>
      </c>
      <c r="H6876" s="6" t="n">
        <f aca="false">(Sens!G6861+Sens!H6861)/2*(1-self_build)*fac_rent/1000</f>
        <v>8.74275792332679</v>
      </c>
      <c r="I6876" s="6" t="n">
        <f aca="false">(Sens!H6861+Sens!I6861)/2*(1-self_build)*fac_rent/1000</f>
        <v>11.2500999369255</v>
      </c>
      <c r="J6876" s="6" t="n">
        <f aca="false">(Sens!I6861+Sens!J6861)/2*(1-self_build)*fac_rent/1000</f>
        <v>13.7574419505241</v>
      </c>
      <c r="K6876" s="6" t="n">
        <f aca="false">(Sens!J6861+Sens!K6861)/2*(1-self_build)*fac_rent/1000</f>
        <v>16.2647839641228</v>
      </c>
      <c r="L6876" s="11" t="s">
        <v>744</v>
      </c>
    </row>
    <row r="6877" customFormat="false" ht="17.15" hidden="false" customHeight="false" outlineLevel="0" collapsed="false">
      <c r="A6877" s="1" t="s">
        <v>745</v>
      </c>
      <c r="B6877" s="0" t="s">
        <v>126</v>
      </c>
      <c r="D6877" s="7" t="n">
        <f aca="false">(Sens!C6860+Sens!D6860)/(Sens!C6861+Sens!D6861)</f>
        <v>0.6</v>
      </c>
      <c r="E6877" s="7" t="n">
        <f aca="false">(Sens!D6860+Sens!E6860)/(Sens!D6861+Sens!E6861)</f>
        <v>0.6</v>
      </c>
      <c r="F6877" s="7" t="n">
        <f aca="false">(Sens!E6860+Sens!F6860)/(Sens!E6861+Sens!F6861)</f>
        <v>0.6</v>
      </c>
      <c r="G6877" s="7" t="n">
        <f aca="false">(Sens!F6860+Sens!G6860)/(Sens!F6861+Sens!G6861)</f>
        <v>0.6</v>
      </c>
      <c r="H6877" s="7" t="n">
        <f aca="false">(Sens!G6860+Sens!H6860)/(Sens!G6861+Sens!H6861)</f>
        <v>0.6</v>
      </c>
      <c r="I6877" s="7" t="n">
        <f aca="false">(Sens!H6860+Sens!I6860)/(Sens!H6861+Sens!I6861)</f>
        <v>0.6</v>
      </c>
      <c r="J6877" s="7" t="n">
        <f aca="false">(Sens!I6860+Sens!J6860)/(Sens!I6861+Sens!J6861)</f>
        <v>0.6</v>
      </c>
      <c r="K6877" s="7" t="n">
        <f aca="false">(Sens!J6860+Sens!K6860)/(Sens!J6861+Sens!K6861)</f>
        <v>0.6</v>
      </c>
    </row>
    <row r="6878" customFormat="false" ht="17.15" hidden="false" customHeight="false" outlineLevel="0" collapsed="false">
      <c r="A6878" s="0" t="s">
        <v>746</v>
      </c>
      <c r="B6878" s="0" t="s">
        <v>95</v>
      </c>
      <c r="D6878" s="6" t="n">
        <f aca="false">Sens!D6872-Sens!D6877*(Sens!D6874+Sens!D6876)-Sens!D6875</f>
        <v>8.35701406163072</v>
      </c>
      <c r="E6878" s="6" t="n">
        <f aca="false">Sens!E6872-Sens!E6877*(Sens!E6874+Sens!E6876)-Sens!E6875</f>
        <v>18.7103224860238</v>
      </c>
      <c r="F6878" s="6" t="n">
        <f aca="false">Sens!F6872-Sens!F6877*(Sens!F6874+Sens!F6876)-Sens!F6875</f>
        <v>43.1278534047371</v>
      </c>
      <c r="G6878" s="6" t="n">
        <f aca="false">Sens!G6872-Sens!G6877*(Sens!G6874+Sens!G6876)-Sens!G6875</f>
        <v>78.4713023799053</v>
      </c>
      <c r="H6878" s="6" t="n">
        <f aca="false">Sens!H6872-Sens!H6877*(Sens!H6874+Sens!H6876)-Sens!H6875</f>
        <v>120.169624261219</v>
      </c>
      <c r="I6878" s="6" t="n">
        <f aca="false">Sens!I6872-Sens!I6877*(Sens!I6874+Sens!I6876)-Sens!I6875</f>
        <v>156.086713969963</v>
      </c>
      <c r="J6878" s="6" t="n">
        <f aca="false">Sens!J6872-Sens!J6877*(Sens!J6874+Sens!J6876)-Sens!J6875</f>
        <v>192.09687492465</v>
      </c>
      <c r="K6878" s="6" t="n">
        <f aca="false">Sens!K6872-Sens!K6877*(Sens!K6874+Sens!K6876)-Sens!K6875</f>
        <v>228.161785217179</v>
      </c>
    </row>
    <row r="6879" customFormat="false" ht="17.15" hidden="false" customHeight="false" outlineLevel="0" collapsed="false">
      <c r="A6879" s="1" t="s">
        <v>747</v>
      </c>
      <c r="B6879" s="0" t="s">
        <v>95</v>
      </c>
      <c r="D6879" s="6" t="n">
        <f aca="false">(1-Sens!D6877)*(Sens!D6874+Sens!D6876)</f>
        <v>1.42281025374069</v>
      </c>
      <c r="E6879" s="6" t="n">
        <f aca="false">(1-Sens!E6877)*(Sens!E6874+Sens!E6876)</f>
        <v>3.25095598674472</v>
      </c>
      <c r="F6879" s="6" t="n">
        <f aca="false">(1-Sens!F6877)*(Sens!F6874+Sens!F6876)</f>
        <v>6.53293055050977</v>
      </c>
      <c r="G6879" s="6" t="n">
        <f aca="false">(1-Sens!G6877)*(Sens!G6874+Sens!G6876)</f>
        <v>10.7846311741651</v>
      </c>
      <c r="H6879" s="6" t="n">
        <f aca="false">(1-Sens!H6877)*(Sens!H6874+Sens!H6876)</f>
        <v>15.26343050201</v>
      </c>
      <c r="I6879" s="6" t="n">
        <f aca="false">(1-Sens!I6877)*(Sens!I6874+Sens!I6876)</f>
        <v>19.7545570754104</v>
      </c>
      <c r="J6879" s="6" t="n">
        <f aca="false">(1-Sens!J6877)*(Sens!J6874+Sens!J6876)</f>
        <v>24.2521277113811</v>
      </c>
      <c r="K6879" s="6" t="n">
        <f aca="false">(1-Sens!K6877)*(Sens!K6874+Sens!K6876)</f>
        <v>28.7534890794427</v>
      </c>
    </row>
    <row r="6880" customFormat="false" ht="17.15" hidden="false" customHeight="false" outlineLevel="0" collapsed="false">
      <c r="A6880" s="1" t="s">
        <v>748</v>
      </c>
      <c r="B6880" s="0" t="s">
        <v>302</v>
      </c>
      <c r="C6880" s="8" t="n">
        <f aca="false">cxit_open</f>
        <v>27.5918995</v>
      </c>
      <c r="D6880" s="8" t="n">
        <f aca="false">cxit_open</f>
        <v>27.5918995</v>
      </c>
      <c r="E6880" s="8" t="n">
        <f aca="false">cxit_open</f>
        <v>27.5918995</v>
      </c>
      <c r="F6880" s="8" t="n">
        <f aca="false">(a_g3_27*tk_cxit_gb300+(1-a_g3_27)*tk_cxit_vr200)</f>
        <v>33.8419624</v>
      </c>
      <c r="G6880" s="8" t="n">
        <f aca="false">(a_g3_28*tk_cxit_gb300+(1-a_g3_28)*tk_cxit_vr200)</f>
        <v>35.9816136</v>
      </c>
      <c r="H6880" s="8" t="n">
        <f aca="false">(a_g3_29*tk_cxit_gb300+(1-a_g3_29)*tk_cxit_vr200)</f>
        <v>37.0514392</v>
      </c>
      <c r="I6880" s="8" t="n">
        <f aca="false">(a_g3_29*tk_cxit_gb300+(1-a_g3_29)*tk_cxit_vr200)</f>
        <v>37.0514392</v>
      </c>
      <c r="J6880" s="8" t="n">
        <f aca="false">(a_g3_29*tk_cxit_gb300+(1-a_g3_29)*tk_cxit_vr200)</f>
        <v>37.0514392</v>
      </c>
      <c r="K6880" s="8" t="n">
        <f aca="false">(a_g3_29*tk_cxit_gb300+(1-a_g3_29)*tk_cxit_vr200)</f>
        <v>37.0514392</v>
      </c>
      <c r="L6880" s="11" t="s">
        <v>749</v>
      </c>
    </row>
    <row r="6881" customFormat="false" ht="17.15" hidden="false" customHeight="false" outlineLevel="0" collapsed="false">
      <c r="A6881" s="0" t="s">
        <v>750</v>
      </c>
      <c r="B6881" s="0" t="s">
        <v>340</v>
      </c>
      <c r="F6881" s="27" t="n">
        <f aca="false">Sens!C6863*IF(3=life_it,1,0)+Sens!D6863*IF(2=life_it,1,0)+Sens!E6863*IF(1=life_it,1,0)</f>
        <v>0</v>
      </c>
      <c r="G6881" s="27" t="n">
        <f aca="false">Sens!C6863*IF(4=life_it,1,0)+Sens!D6863*IF(3=life_it,1,0)+Sens!E6863*IF(2=life_it,1,0)+Sens!F6863*IF(1=life_it,1,0)</f>
        <v>0</v>
      </c>
      <c r="H6881" s="27" t="n">
        <f aca="false">Sens!C6863*IF(5=life_it,1,0)+Sens!D6863*IF(4=life_it,1,0)+Sens!E6863*IF(3=life_it,1,0)+Sens!F6863*IF(2=life_it,1,0)+Sens!G6863*IF(1=life_it,1,0)</f>
        <v>0</v>
      </c>
      <c r="I6881" s="27" t="n">
        <f aca="false">Sens!C6863*IF(6=life_it,1,0)+Sens!D6863*IF(5=life_it,1,0)+Sens!E6863*IF(4=life_it,1,0)+Sens!F6863*IF(3=life_it,1,0)+Sens!G6863*IF(2=life_it,1,0)+Sens!H6863*IF(1=life_it,1,0)</f>
        <v>816.666666666667</v>
      </c>
      <c r="J6881" s="27" t="n">
        <f aca="false">Sens!C6863*IF(7=life_it,1,0)+Sens!D6863*IF(6=life_it,1,0)+Sens!E6863*IF(5=life_it,1,0)+Sens!F6863*IF(4=life_it,1,0)+Sens!G6863*IF(3=life_it,1,0)+Sens!H6863*IF(2=life_it,1,0)+Sens!I6863*IF(1=life_it,1,0)</f>
        <v>1233.33333333333</v>
      </c>
      <c r="K6881" s="27" t="n">
        <f aca="false">Sens!C6863*IF(8=life_it,1,0)+Sens!D6863*IF(7=life_it,1,0)+Sens!E6863*IF(6=life_it,1,0)+Sens!F6863*IF(5=life_it,1,0)+Sens!G6863*IF(4=life_it,1,0)+Sens!H6863*IF(3=life_it,1,0)+Sens!I6863*IF(2=life_it,1,0)+Sens!J6863*IF(1=life_it,1,0)</f>
        <v>2450</v>
      </c>
      <c r="L6881" s="1" t="s">
        <v>751</v>
      </c>
    </row>
    <row r="6882" customFormat="false" ht="17.15" hidden="false" customHeight="false" outlineLevel="0" collapsed="false">
      <c r="A6882" s="0" t="s">
        <v>752</v>
      </c>
      <c r="B6882" s="0" t="s">
        <v>95</v>
      </c>
      <c r="C6882" s="6" t="n">
        <f aca="false">Sens!C6863*Sens!C6880/1000</f>
        <v>22.5333845916667</v>
      </c>
      <c r="D6882" s="6" t="n">
        <f aca="false">Sens!D6863*Sens!D6880/1000</f>
        <v>34.0300093833333</v>
      </c>
      <c r="E6882" s="6" t="n">
        <f aca="false">Sens!E6863*Sens!E6880/1000</f>
        <v>67.600153775</v>
      </c>
      <c r="F6882" s="6" t="n">
        <f aca="false">(Sens!F6863+Sens!F6881)*Sens!F6880/1000</f>
        <v>130.923271871467</v>
      </c>
      <c r="G6882" s="6" t="n">
        <f aca="false">(Sens!G6863+Sens!G6881)*Sens!G6880/1000</f>
        <v>151.5545564832</v>
      </c>
      <c r="H6882" s="6" t="n">
        <f aca="false">(Sens!H6863+Sens!H6881)*Sens!H6880/1000</f>
        <v>156.0606619104</v>
      </c>
      <c r="I6882" s="6" t="n">
        <f aca="false">(Sens!I6863+Sens!I6881)*Sens!I6880/1000</f>
        <v>186.319337257067</v>
      </c>
      <c r="J6882" s="6" t="n">
        <f aca="false">(Sens!J6863+Sens!J6881)*Sens!J6880/1000</f>
        <v>201.757436923733</v>
      </c>
      <c r="K6882" s="6" t="n">
        <f aca="false">(Sens!K6863+Sens!K6881)*Sens!K6880/1000</f>
        <v>246.8366879504</v>
      </c>
    </row>
    <row r="6883" customFormat="false" ht="17.15" hidden="false" customHeight="false" outlineLevel="0" collapsed="false">
      <c r="A6883" s="0" t="s">
        <v>753</v>
      </c>
      <c r="B6883" s="0" t="s">
        <v>95</v>
      </c>
      <c r="C6883" s="6" t="n">
        <f aca="false">Sens!C6863*self_build*tk_cxfac/1000</f>
        <v>6.2083</v>
      </c>
      <c r="D6883" s="6" t="n">
        <f aca="false">Sens!D6863*self_build*tk_cxfac/1000</f>
        <v>9.3758</v>
      </c>
      <c r="E6883" s="6" t="n">
        <f aca="false">Sens!E6863*self_build*tk_cxfac/1000</f>
        <v>18.6249</v>
      </c>
      <c r="F6883" s="6" t="n">
        <f aca="false">Sens!F6863*self_build*tk_cxfac/1000</f>
        <v>29.409604</v>
      </c>
      <c r="G6883" s="6" t="n">
        <f aca="false">Sens!G6863*self_build*tk_cxfac/1000</f>
        <v>32.019624</v>
      </c>
      <c r="H6883" s="6" t="n">
        <f aca="false">Sens!H6863*self_build*tk_cxfac/1000</f>
        <v>32.019624</v>
      </c>
      <c r="I6883" s="6" t="n">
        <f aca="false">Sens!I6863*self_build*tk_cxfac/1000</f>
        <v>32.019624</v>
      </c>
      <c r="J6883" s="6" t="n">
        <f aca="false">Sens!J6863*self_build*tk_cxfac/1000</f>
        <v>32.019624</v>
      </c>
      <c r="K6883" s="6" t="n">
        <f aca="false">Sens!K6863*self_build*tk_cxfac/1000</f>
        <v>32.019624</v>
      </c>
    </row>
    <row r="6884" customFormat="false" ht="17.15" hidden="false" customHeight="false" outlineLevel="0" collapsed="false">
      <c r="A6884" s="0" t="s">
        <v>754</v>
      </c>
      <c r="B6884" s="0" t="s">
        <v>95</v>
      </c>
      <c r="F6884" s="6" t="n">
        <f aca="false">MAX(0,capex_floor27-Sens!F6882-Sens!F6883-Sens!F6971)</f>
        <v>8.0389389075924</v>
      </c>
      <c r="G6884" s="6" t="n">
        <f aca="false">0</f>
        <v>0</v>
      </c>
      <c r="H6884" s="6" t="n">
        <f aca="false">0</f>
        <v>0</v>
      </c>
      <c r="I6884" s="6" t="n">
        <f aca="false">0</f>
        <v>0</v>
      </c>
      <c r="J6884" s="6" t="n">
        <f aca="false">0</f>
        <v>0</v>
      </c>
      <c r="K6884" s="6" t="n">
        <f aca="false">0</f>
        <v>0</v>
      </c>
      <c r="L6884" s="1" t="s">
        <v>755</v>
      </c>
    </row>
    <row r="6885" customFormat="false" ht="17.15" hidden="false" customHeight="false" outlineLevel="0" collapsed="false">
      <c r="A6885" s="0" t="s">
        <v>756</v>
      </c>
      <c r="B6885" s="0" t="s">
        <v>95</v>
      </c>
      <c r="C6885" s="6" t="n">
        <f aca="false">Sens!C6882</f>
        <v>22.5333845916667</v>
      </c>
      <c r="D6885" s="6" t="n">
        <f aca="false">Sens!D6882</f>
        <v>34.0300093833333</v>
      </c>
      <c r="E6885" s="6" t="n">
        <f aca="false">Sens!E6882</f>
        <v>67.600153775</v>
      </c>
      <c r="F6885" s="6" t="n">
        <f aca="false">Sens!F6882+Sens!F6884</f>
        <v>138.962210779059</v>
      </c>
      <c r="G6885" s="6" t="n">
        <f aca="false">Sens!G6882+Sens!G6884</f>
        <v>151.5545564832</v>
      </c>
      <c r="H6885" s="6" t="n">
        <f aca="false">Sens!H6882+Sens!H6884</f>
        <v>156.0606619104</v>
      </c>
      <c r="I6885" s="6" t="n">
        <f aca="false">Sens!I6882+Sens!I6884</f>
        <v>186.319337257067</v>
      </c>
      <c r="J6885" s="6" t="n">
        <f aca="false">Sens!J6882+Sens!J6884</f>
        <v>201.757436923733</v>
      </c>
      <c r="K6885" s="6" t="n">
        <f aca="false">Sens!K6882+Sens!K6884</f>
        <v>246.8366879504</v>
      </c>
    </row>
    <row r="6886" customFormat="false" ht="17.15" hidden="false" customHeight="false" outlineLevel="0" collapsed="false">
      <c r="A6886" s="0" t="s">
        <v>757</v>
      </c>
      <c r="B6886" s="0" t="s">
        <v>95</v>
      </c>
      <c r="C6886" s="6" t="n">
        <f aca="false">Sens!C6885+Sens!C6883</f>
        <v>28.7416845916667</v>
      </c>
      <c r="D6886" s="6" t="n">
        <f aca="false">Sens!D6885+Sens!D6883</f>
        <v>43.4058093833333</v>
      </c>
      <c r="E6886" s="6" t="n">
        <f aca="false">Sens!E6885+Sens!E6883</f>
        <v>86.225053775</v>
      </c>
      <c r="F6886" s="6" t="n">
        <f aca="false">Sens!F6885+Sens!F6883</f>
        <v>168.371814779059</v>
      </c>
      <c r="G6886" s="6" t="n">
        <f aca="false">Sens!G6885+Sens!G6883</f>
        <v>183.5741804832</v>
      </c>
      <c r="H6886" s="6" t="n">
        <f aca="false">Sens!H6885+Sens!H6883</f>
        <v>188.0802859104</v>
      </c>
      <c r="I6886" s="6" t="n">
        <f aca="false">Sens!I6885+Sens!I6883</f>
        <v>218.338961257067</v>
      </c>
      <c r="J6886" s="6" t="n">
        <f aca="false">Sens!J6885+Sens!J6883</f>
        <v>233.777060923733</v>
      </c>
      <c r="K6886" s="6" t="n">
        <f aca="false">Sens!K6885+Sens!K6883</f>
        <v>278.8563119504</v>
      </c>
      <c r="L6886" s="11" t="s">
        <v>758</v>
      </c>
    </row>
    <row r="6887" customFormat="false" ht="17.15" hidden="false" customHeight="false" outlineLevel="0" collapsed="false">
      <c r="A6887" s="0" t="s">
        <v>759</v>
      </c>
      <c r="B6887" s="0" t="s">
        <v>95</v>
      </c>
      <c r="E6887" s="6" t="n">
        <f aca="false">(Sens!C6885*IF(2&lt;life_it,1,IF(2=life_it,0.5,0))+Sens!D6885*IF(1&lt;life_it,1,IF(1=life_it,0.5,0))+Sens!E6885*0.5)/life_it</f>
        <v>15.0605784770833</v>
      </c>
      <c r="F6887" s="6" t="n">
        <f aca="false">(Sens!C6885*IF(3&lt;life_it,1,IF(3=life_it,0.5,0))+Sens!D6885*IF(2&lt;life_it,1,IF(2=life_it,0.5,0))+Sens!E6885*IF(1&lt;life_it,1,IF(1=life_it,0.5,0))+Sens!F6885*0.5)/life_it</f>
        <v>32.2741088565883</v>
      </c>
      <c r="G6887" s="6" t="n">
        <f aca="false">(Sens!C6885*IF(4&lt;life_it,1,IF(4=life_it,0.5,0))+Sens!D6885*IF(3&lt;life_it,1,IF(3=life_it,0.5,0))+Sens!E6885*IF(2&lt;life_it,1,IF(2=life_it,0.5,0))+Sens!F6885*IF(1&lt;life_it,1,IF(1=life_it,0.5,0))+Sens!G6885*0.5)/life_it</f>
        <v>56.4838394617765</v>
      </c>
      <c r="H6887" s="6" t="n">
        <f aca="false">(Sens!C6885*IF(5&lt;life_it,1,IF(5=life_it,0.5,0))+Sens!D6885*IF(4&lt;life_it,1,IF(4=life_it,0.5,0))+Sens!E6885*IF(3&lt;life_it,1,IF(3=life_it,0.5,0))+Sens!F6885*IF(2&lt;life_it,1,IF(2=life_it,0.5,0))+Sens!G6885*IF(1&lt;life_it,1,IF(1=life_it,0.5,0))+Sens!H6885*0.5)/life_it</f>
        <v>82.1184409945765</v>
      </c>
      <c r="I6887" s="6" t="n">
        <f aca="false">(Sens!C6885*IF(6&lt;life_it,1,IF(6=life_it,0.5,0))+Sens!D6885*IF(5&lt;life_it,1,IF(5=life_it,0.5,0))+Sens!E6885*IF(4&lt;life_it,1,IF(4=life_it,0.5,0))+Sens!F6885*IF(3&lt;life_it,1,IF(3=life_it,0.5,0))+Sens!G6885*IF(2&lt;life_it,1,IF(2=life_it,0.5,0))+Sens!H6885*IF(1&lt;life_it,1,IF(1=life_it,0.5,0))+Sens!I6885*0.5)/life_it</f>
        <v>108.77232554256</v>
      </c>
      <c r="J6887" s="6" t="n">
        <f aca="false">(Sens!C6885*IF(7&lt;life_it,1,IF(7=life_it,0.5,0))+Sens!D6885*IF(6&lt;life_it,1,IF(6=life_it,0.5,0))+Sens!E6885*IF(5&lt;life_it,1,IF(5=life_it,0.5,0))+Sens!F6885*IF(4&lt;life_it,1,IF(4=life_it,0.5,0))+Sens!G6885*IF(3&lt;life_it,1,IF(3=life_it,0.5,0))+Sens!H6885*IF(2&lt;life_it,1,IF(2=life_it,0.5,0))+Sens!I6885*IF(1&lt;life_it,1,IF(1=life_it,0.5,0))+Sens!J6885*0.5)/life_it</f>
        <v>136.39844055971</v>
      </c>
      <c r="K6887" s="6" t="n">
        <f aca="false">(Sens!C6885*IF(8&lt;life_it,1,IF(8=life_it,0.5,0))+Sens!D6885*IF(7&lt;life_it,1,IF(7=life_it,0.5,0))+Sens!E6885*IF(6&lt;life_it,1,IF(6=life_it,0.5,0))+Sens!F6885*IF(5&lt;life_it,1,IF(5=life_it,0.5,0))+Sens!G6885*IF(4&lt;life_it,1,IF(4=life_it,0.5,0))+Sens!H6885*IF(3&lt;life_it,1,IF(3=life_it,0.5,0))+Sens!I6885*IF(2&lt;life_it,1,IF(2=life_it,0.5,0))+Sens!J6885*IF(1&lt;life_it,1,IF(1=life_it,0.5,0))+Sens!K6885*0.5)/life_it</f>
        <v>165.312104036027</v>
      </c>
    </row>
    <row r="6888" customFormat="false" ht="17.15" hidden="false" customHeight="false" outlineLevel="0" collapsed="false">
      <c r="A6888" s="0" t="s">
        <v>760</v>
      </c>
      <c r="B6888" s="0" t="s">
        <v>95</v>
      </c>
      <c r="E6888" s="6" t="n">
        <f aca="false">(Sens!C6883*IF(2&lt;life_fac,1,IF(2=life_fac,0.5,0))+Sens!D6883*IF(1&lt;life_fac,1,IF(1=life_fac,0.5,0))+Sens!E6883*0.5)/life_fac</f>
        <v>1.2448275</v>
      </c>
      <c r="F6888" s="6" t="n">
        <f aca="false">(Sens!C6883*IF(3&lt;life_fac,1,IF(3=life_fac,0.5,0))+Sens!D6883*IF(2&lt;life_fac,1,IF(2=life_fac,0.5,0))+Sens!E6883*IF(1&lt;life_fac,1,IF(1=life_fac,0.5,0))+Sens!F6883*0.5)/life_fac</f>
        <v>2.4456901</v>
      </c>
      <c r="G6888" s="6" t="n">
        <f aca="false">(Sens!C6883*IF(4&lt;life_fac,1,IF(4=life_fac,0.5,0))+Sens!D6883*IF(3&lt;life_fac,1,IF(3=life_fac,0.5,0))+Sens!E6883*IF(2&lt;life_fac,1,IF(2=life_fac,0.5,0))+Sens!F6883*IF(1&lt;life_fac,1,IF(1=life_fac,0.5,0))+Sens!G6883*0.5)/life_fac</f>
        <v>3.9814208</v>
      </c>
      <c r="H6888" s="6" t="n">
        <f aca="false">(Sens!C6883*IF(5&lt;life_fac,1,IF(5=life_fac,0.5,0))+Sens!D6883*IF(4&lt;life_fac,1,IF(4=life_fac,0.5,0))+Sens!E6883*IF(3&lt;life_fac,1,IF(3=life_fac,0.5,0))+Sens!F6883*IF(2&lt;life_fac,1,IF(2=life_fac,0.5,0))+Sens!G6883*IF(1&lt;life_fac,1,IF(1=life_fac,0.5,0))+Sens!H6883*0.5)/life_fac</f>
        <v>5.582402</v>
      </c>
      <c r="I6888" s="6" t="n">
        <f aca="false">(Sens!C6883*IF(6&lt;life_fac,1,IF(6=life_fac,0.5,0))+Sens!D6883*IF(5&lt;life_fac,1,IF(5=life_fac,0.5,0))+Sens!E6883*IF(4&lt;life_fac,1,IF(4=life_fac,0.5,0))+Sens!F6883*IF(3&lt;life_fac,1,IF(3=life_fac,0.5,0))+Sens!G6883*IF(2&lt;life_fac,1,IF(2=life_fac,0.5,0))+Sens!H6883*IF(1&lt;life_fac,1,IF(1=life_fac,0.5,0))+Sens!I6883*0.5)/life_fac</f>
        <v>7.1833832</v>
      </c>
      <c r="J6888" s="6" t="n">
        <f aca="false">(Sens!C6883*IF(7&lt;life_fac,1,IF(7=life_fac,0.5,0))+Sens!D6883*IF(6&lt;life_fac,1,IF(6=life_fac,0.5,0))+Sens!E6883*IF(5&lt;life_fac,1,IF(5=life_fac,0.5,0))+Sens!F6883*IF(4&lt;life_fac,1,IF(4=life_fac,0.5,0))+Sens!G6883*IF(3&lt;life_fac,1,IF(3=life_fac,0.5,0))+Sens!H6883*IF(2&lt;life_fac,1,IF(2=life_fac,0.5,0))+Sens!I6883*IF(1&lt;life_fac,1,IF(1=life_fac,0.5,0))+Sens!J6883*0.5)/life_fac</f>
        <v>8.7843644</v>
      </c>
      <c r="K6888" s="6" t="n">
        <f aca="false">(Sens!C6883*IF(8&lt;life_fac,1,IF(8=life_fac,0.5,0))+Sens!D6883*IF(7&lt;life_fac,1,IF(7=life_fac,0.5,0))+Sens!E6883*IF(6&lt;life_fac,1,IF(6=life_fac,0.5,0))+Sens!F6883*IF(5&lt;life_fac,1,IF(5=life_fac,0.5,0))+Sens!G6883*IF(4&lt;life_fac,1,IF(4=life_fac,0.5,0))+Sens!H6883*IF(3&lt;life_fac,1,IF(3=life_fac,0.5,0))+Sens!I6883*IF(2&lt;life_fac,1,IF(2=life_fac,0.5,0))+Sens!J6883*IF(1&lt;life_fac,1,IF(1=life_fac,0.5,0))+Sens!K6883*0.5)/life_fac</f>
        <v>10.3853456</v>
      </c>
    </row>
    <row r="6889" customFormat="false" ht="17.15" hidden="false" customHeight="false" outlineLevel="0" collapsed="false">
      <c r="A6889" s="0" t="s">
        <v>761</v>
      </c>
      <c r="B6889" s="0" t="s">
        <v>95</v>
      </c>
      <c r="E6889" s="6" t="n">
        <f aca="false">Sens!E6887+Sens!E6888</f>
        <v>16.3054059770833</v>
      </c>
      <c r="F6889" s="6" t="n">
        <f aca="false">Sens!F6887+Sens!F6888</f>
        <v>34.7197989565883</v>
      </c>
      <c r="G6889" s="6" t="n">
        <f aca="false">Sens!G6887+Sens!G6888</f>
        <v>60.4652602617765</v>
      </c>
      <c r="H6889" s="6" t="n">
        <f aca="false">Sens!H6887+Sens!H6888</f>
        <v>87.7008429945765</v>
      </c>
      <c r="I6889" s="6" t="n">
        <f aca="false">Sens!I6887+Sens!I6888</f>
        <v>115.95570874256</v>
      </c>
      <c r="J6889" s="6" t="n">
        <f aca="false">Sens!J6887+Sens!J6888</f>
        <v>145.18280495971</v>
      </c>
      <c r="K6889" s="6" t="n">
        <f aca="false">Sens!K6887+Sens!K6888</f>
        <v>175.697449636027</v>
      </c>
    </row>
    <row r="6890" customFormat="false" ht="17.15" hidden="false" customHeight="false" outlineLevel="0" collapsed="false">
      <c r="A6890" s="0" t="s">
        <v>762</v>
      </c>
      <c r="B6890" s="0" t="s">
        <v>95</v>
      </c>
      <c r="E6890" s="6" t="n">
        <f aca="false">Sens!E6878-Sens!E6877*Sens!E6889</f>
        <v>8.92707889977379</v>
      </c>
      <c r="F6890" s="6" t="n">
        <f aca="false">Sens!F6878-Sens!F6877*Sens!F6889</f>
        <v>22.2959740307842</v>
      </c>
      <c r="G6890" s="6" t="n">
        <f aca="false">Sens!G6878-Sens!G6877*Sens!G6889</f>
        <v>42.1921462228394</v>
      </c>
      <c r="H6890" s="6" t="n">
        <f aca="false">Sens!H6878-Sens!H6877*Sens!H6889</f>
        <v>67.549118464473</v>
      </c>
      <c r="I6890" s="6" t="n">
        <f aca="false">Sens!I6878-Sens!I6877*Sens!I6889</f>
        <v>86.5132887244276</v>
      </c>
      <c r="J6890" s="6" t="n">
        <f aca="false">Sens!J6878-Sens!J6877*Sens!J6889</f>
        <v>104.987191948825</v>
      </c>
      <c r="K6890" s="6" t="n">
        <f aca="false">Sens!K6878-Sens!K6877*Sens!K6889</f>
        <v>122.743315435563</v>
      </c>
    </row>
    <row r="6891" customFormat="false" ht="17.15" hidden="false" customHeight="false" outlineLevel="0" collapsed="false">
      <c r="A6891" s="3" t="s">
        <v>1310</v>
      </c>
    </row>
    <row r="6892" customFormat="false" ht="15" hidden="false" customHeight="false" outlineLevel="0" collapsed="false">
      <c r="A6892" s="4" t="s">
        <v>43</v>
      </c>
      <c r="B6892" s="4" t="s">
        <v>63</v>
      </c>
      <c r="C6892" s="19" t="s">
        <v>710</v>
      </c>
      <c r="D6892" s="19" t="s">
        <v>711</v>
      </c>
      <c r="E6892" s="19" t="s">
        <v>712</v>
      </c>
      <c r="F6892" s="19" t="s">
        <v>713</v>
      </c>
      <c r="G6892" s="19" t="s">
        <v>714</v>
      </c>
      <c r="H6892" s="19" t="s">
        <v>715</v>
      </c>
      <c r="I6892" s="19" t="s">
        <v>716</v>
      </c>
      <c r="J6892" s="19" t="s">
        <v>717</v>
      </c>
      <c r="K6892" s="19" t="s">
        <v>718</v>
      </c>
      <c r="L6892" s="4" t="s">
        <v>47</v>
      </c>
    </row>
    <row r="6893" customFormat="false" ht="17.15" hidden="false" customHeight="false" outlineLevel="0" collapsed="false">
      <c r="A6893" s="0" t="s">
        <v>780</v>
      </c>
      <c r="B6893" s="0" t="s">
        <v>95</v>
      </c>
      <c r="D6893" s="6" t="n">
        <f aca="false">Sens!D6872</f>
        <v>12.9359794422418</v>
      </c>
      <c r="E6893" s="6" t="n">
        <f aca="false">Sens!E6872</f>
        <v>27.8095064661409</v>
      </c>
      <c r="F6893" s="6" t="n">
        <f aca="false">Sens!F6872</f>
        <v>58.7324192305018</v>
      </c>
      <c r="G6893" s="6" t="n">
        <f aca="false">Sens!G6872</f>
        <v>101.369089141153</v>
      </c>
      <c r="H6893" s="6" t="n">
        <f aca="false">Sens!H6872</f>
        <v>149.785610014234</v>
      </c>
      <c r="I6893" s="6" t="n">
        <f aca="false">Sens!I6872</f>
        <v>192.439389583079</v>
      </c>
      <c r="J6893" s="6" t="n">
        <f aca="false">Sens!J6872</f>
        <v>235.195906491722</v>
      </c>
      <c r="K6893" s="6" t="n">
        <f aca="false">Sens!K6872</f>
        <v>278.012858836343</v>
      </c>
    </row>
    <row r="6894" customFormat="false" ht="17.15" hidden="false" customHeight="false" outlineLevel="0" collapsed="false">
      <c r="A6894" s="0" t="s">
        <v>781</v>
      </c>
      <c r="B6894" s="0" t="s">
        <v>95</v>
      </c>
      <c r="D6894" s="6" t="n">
        <f aca="false">Q!L6-Sens!D6893</f>
        <v>59.6740205577583</v>
      </c>
      <c r="E6894" s="6" t="n">
        <f aca="false">Q!M6-Sens!E6893</f>
        <v>74.1284935338591</v>
      </c>
      <c r="F6894" s="6" t="n">
        <f aca="false">Sens!E6894*(1+Sens!F6895)</f>
        <v>90.5741396942587</v>
      </c>
      <c r="G6894" s="6" t="n">
        <f aca="false">Sens!F6894*(1+Sens!G6895)</f>
        <v>108.823251828521</v>
      </c>
      <c r="H6894" s="6" t="n">
        <f aca="false">Sens!G6894*(1+Sens!H6895)</f>
        <v>128.532442249697</v>
      </c>
      <c r="I6894" s="6" t="n">
        <f aca="false">Sens!H6894*(1+Sens!I6895)</f>
        <v>149.192913382446</v>
      </c>
      <c r="J6894" s="6" t="n">
        <f aca="false">Sens!I6894*(1+Sens!J6895)</f>
        <v>170.135219187612</v>
      </c>
      <c r="K6894" s="6" t="n">
        <f aca="false">Sens!J6894*(1+Sens!K6895)</f>
        <v>190.551445490125</v>
      </c>
    </row>
    <row r="6895" customFormat="false" ht="15" hidden="false" customHeight="false" outlineLevel="0" collapsed="false">
      <c r="A6895" s="1" t="s">
        <v>782</v>
      </c>
      <c r="B6895" s="0" t="s">
        <v>126</v>
      </c>
      <c r="E6895" s="7" t="n">
        <f aca="false">Sens!E6894/Sens!D6894-1</f>
        <v>0.242223883039864</v>
      </c>
      <c r="F6895" s="7" t="n">
        <f aca="false">Sens!$E$6895+(glt_azo_hi-Sens!$E$6895)*MIN(1,1/n_conv)</f>
        <v>0.221853235866554</v>
      </c>
      <c r="G6895" s="7" t="n">
        <f aca="false">Sens!$E$6895+(glt_azo_hi-Sens!$E$6895)*MIN(1,2/n_conv)</f>
        <v>0.201482588693243</v>
      </c>
      <c r="H6895" s="7" t="n">
        <f aca="false">Sens!$E$6895+(glt_azo_hi-Sens!$E$6895)*MIN(1,3/n_conv)</f>
        <v>0.181111941519932</v>
      </c>
      <c r="I6895" s="7" t="n">
        <f aca="false">Sens!$E$6895+(glt_azo_hi-Sens!$E$6895)*MIN(1,4/n_conv)</f>
        <v>0.160741294346622</v>
      </c>
      <c r="J6895" s="7" t="n">
        <f aca="false">Sens!$E$6895+(glt_azo_hi-Sens!$E$6895)*MIN(1,5/n_conv)</f>
        <v>0.140370647173311</v>
      </c>
      <c r="K6895" s="7" t="n">
        <f aca="false">Sens!$E$6895+(glt_azo_hi-Sens!$E$6895)*MIN(1,6/n_conv)</f>
        <v>0.12</v>
      </c>
    </row>
    <row r="6896" customFormat="false" ht="15" hidden="false" customHeight="false" outlineLevel="0" collapsed="false">
      <c r="A6896" s="0" t="s">
        <v>783</v>
      </c>
      <c r="B6896" s="0" t="s">
        <v>95</v>
      </c>
      <c r="D6896" s="6" t="n">
        <f aca="false">Sens!D6893+Sens!D6894</f>
        <v>72.61</v>
      </c>
      <c r="E6896" s="6" t="n">
        <f aca="false">Sens!E6893+Sens!E6894</f>
        <v>101.938</v>
      </c>
      <c r="F6896" s="6" t="n">
        <f aca="false">Sens!F6893+Sens!F6894</f>
        <v>149.30655892476</v>
      </c>
      <c r="G6896" s="6" t="n">
        <f aca="false">Sens!G6893+Sens!G6894</f>
        <v>210.192340969674</v>
      </c>
      <c r="H6896" s="6" t="n">
        <f aca="false">Sens!H6893+Sens!H6894</f>
        <v>278.318052263931</v>
      </c>
      <c r="I6896" s="6" t="n">
        <f aca="false">Sens!I6893+Sens!I6894</f>
        <v>341.632302965525</v>
      </c>
      <c r="J6896" s="6" t="n">
        <f aca="false">Sens!J6893+Sens!J6894</f>
        <v>405.331125679334</v>
      </c>
      <c r="K6896" s="6" t="n">
        <f aca="false">Sens!K6893+Sens!K6894</f>
        <v>468.564304326468</v>
      </c>
    </row>
    <row r="6897" customFormat="false" ht="17.15" hidden="false" customHeight="false" outlineLevel="0" collapsed="false">
      <c r="A6897" s="0" t="s">
        <v>784</v>
      </c>
      <c r="B6897" s="1" t="s">
        <v>451</v>
      </c>
      <c r="C6897" s="27" t="n">
        <f aca="false">cop_s24</f>
        <v>1</v>
      </c>
      <c r="D6897" s="27" t="n">
        <f aca="false">cop_s25</f>
        <v>5</v>
      </c>
      <c r="E6897" s="27" t="n">
        <f aca="false">cop_s26</f>
        <v>30</v>
      </c>
      <c r="F6897" s="27" t="n">
        <f aca="false">Sens!E6897+IF(2027&lt;=2029,cop_add_A,cop_add_A*cop_tail)</f>
        <v>60</v>
      </c>
      <c r="G6897" s="27" t="n">
        <f aca="false">Sens!F6897+IF(2028&lt;=2029,cop_add_A,cop_add_A*cop_tail)</f>
        <v>90</v>
      </c>
      <c r="H6897" s="27" t="n">
        <f aca="false">Sens!G6897+IF(2029&lt;=2029,cop_add_A,cop_add_A*cop_tail)</f>
        <v>120</v>
      </c>
      <c r="I6897" s="27" t="n">
        <f aca="false">Sens!H6897+IF(2030&lt;=2029,cop_add_A,cop_add_A*cop_tail)</f>
        <v>135</v>
      </c>
      <c r="J6897" s="27" t="n">
        <f aca="false">Sens!I6897+IF(2031&lt;=2029,cop_add_A,cop_add_A*cop_tail)</f>
        <v>150</v>
      </c>
      <c r="K6897" s="27" t="n">
        <f aca="false">Sens!J6897+IF(2032&lt;=2029,cop_add_A,cop_add_A*cop_tail)</f>
        <v>165</v>
      </c>
    </row>
    <row r="6898" customFormat="false" ht="17.15" hidden="false" customHeight="false" outlineLevel="0" collapsed="false">
      <c r="A6898" s="0" t="s">
        <v>785</v>
      </c>
      <c r="B6898" s="0" t="s">
        <v>95</v>
      </c>
      <c r="D6898" s="6" t="n">
        <f aca="false">(Sens!C6897+Sens!D6897)/2*cop_px*12/1000</f>
        <v>0.9</v>
      </c>
      <c r="E6898" s="6" t="n">
        <f aca="false">(Sens!D6897+Sens!E6897)/2*cop_px*12/1000</f>
        <v>5.25</v>
      </c>
      <c r="F6898" s="6" t="n">
        <f aca="false">(Sens!E6897+Sens!F6897)/2*cop_px*12/1000</f>
        <v>13.5</v>
      </c>
      <c r="G6898" s="6" t="n">
        <f aca="false">(Sens!F6897+Sens!G6897)/2*cop_px*12/1000</f>
        <v>22.5</v>
      </c>
      <c r="H6898" s="6" t="n">
        <f aca="false">(Sens!G6897+Sens!H6897)/2*cop_px*12/1000</f>
        <v>31.5</v>
      </c>
      <c r="I6898" s="6" t="n">
        <f aca="false">(Sens!H6897+Sens!I6897)/2*cop_px*12/1000</f>
        <v>38.25</v>
      </c>
      <c r="J6898" s="6" t="n">
        <f aca="false">(Sens!I6897+Sens!J6897)/2*cop_px*12/1000</f>
        <v>42.75</v>
      </c>
      <c r="K6898" s="6" t="n">
        <f aca="false">(Sens!J6897+Sens!K6897)/2*cop_px*12/1000</f>
        <v>47.25</v>
      </c>
      <c r="L6898" s="1" t="s">
        <v>786</v>
      </c>
    </row>
    <row r="6899" customFormat="false" ht="17.15" hidden="false" customHeight="false" outlineLevel="0" collapsed="false">
      <c r="A6899" s="0" t="s">
        <v>787</v>
      </c>
      <c r="B6899" s="0" t="s">
        <v>95</v>
      </c>
      <c r="D6899" s="6" t="n">
        <f aca="false">Q!L7-Sens!D6898</f>
        <v>83.705</v>
      </c>
      <c r="E6899" s="6" t="n">
        <f aca="false">Q!M7-Sens!E6898</f>
        <v>95.049</v>
      </c>
      <c r="F6899" s="6" t="n">
        <f aca="false">Sens!E6899*(1+Sens!F6900)</f>
        <v>106.89238776686</v>
      </c>
      <c r="G6899" s="6" t="n">
        <f aca="false">Sens!F6899*(1+Sens!G6900)</f>
        <v>119.044168448684</v>
      </c>
      <c r="H6899" s="6" t="n">
        <f aca="false">Sens!G6899*(1+Sens!H6900)</f>
        <v>131.277359388781</v>
      </c>
      <c r="I6899" s="6" t="n">
        <f aca="false">Sens!H6899*(1+Sens!I6900)</f>
        <v>143.334028071957</v>
      </c>
      <c r="J6899" s="6" t="n">
        <f aca="false">Sens!I6899*(1+Sens!J6900)</f>
        <v>154.932702785465</v>
      </c>
      <c r="K6899" s="6" t="n">
        <f aca="false">Sens!J6899*(1+Sens!K6900)</f>
        <v>165.777991980448</v>
      </c>
    </row>
    <row r="6900" customFormat="false" ht="15" hidden="false" customHeight="false" outlineLevel="0" collapsed="false">
      <c r="A6900" s="1" t="s">
        <v>782</v>
      </c>
      <c r="B6900" s="0" t="s">
        <v>126</v>
      </c>
      <c r="E6900" s="7" t="n">
        <f aca="false">Sens!E6899/Sens!D6899-1</f>
        <v>0.135523564900544</v>
      </c>
      <c r="F6900" s="7" t="n">
        <f aca="false">Sens!$E$6900+(glt_m365b-Sens!$E$6900)*MIN(1,1/n_conv)</f>
        <v>0.124602970750453</v>
      </c>
      <c r="G6900" s="7" t="n">
        <f aca="false">Sens!$E$6900+(glt_m365b-Sens!$E$6900)*MIN(1,2/n_conv)</f>
        <v>0.113682376600363</v>
      </c>
      <c r="H6900" s="7" t="n">
        <f aca="false">Sens!$E$6900+(glt_m365b-Sens!$E$6900)*MIN(1,3/n_conv)</f>
        <v>0.102761782450272</v>
      </c>
      <c r="I6900" s="7" t="n">
        <f aca="false">Sens!$E$6900+(glt_m365b-Sens!$E$6900)*MIN(1,4/n_conv)</f>
        <v>0.0918411883001813</v>
      </c>
      <c r="J6900" s="7" t="n">
        <f aca="false">Sens!$E$6900+(glt_m365b-Sens!$E$6900)*MIN(1,5/n_conv)</f>
        <v>0.0809205941500906</v>
      </c>
      <c r="K6900" s="7" t="n">
        <f aca="false">Sens!$E$6900+(glt_m365b-Sens!$E$6900)*MIN(1,6/n_conv)</f>
        <v>0.07</v>
      </c>
    </row>
    <row r="6901" customFormat="false" ht="15" hidden="false" customHeight="false" outlineLevel="0" collapsed="false">
      <c r="A6901" s="0" t="s">
        <v>788</v>
      </c>
      <c r="B6901" s="0" t="s">
        <v>95</v>
      </c>
      <c r="D6901" s="6" t="n">
        <f aca="false">Sens!D6899+Sens!D6898</f>
        <v>84.605</v>
      </c>
      <c r="E6901" s="6" t="n">
        <f aca="false">Sens!E6899+Sens!E6898</f>
        <v>100.299</v>
      </c>
      <c r="F6901" s="6" t="n">
        <f aca="false">Sens!F6899+Sens!F6898</f>
        <v>120.39238776686</v>
      </c>
      <c r="G6901" s="6" t="n">
        <f aca="false">Sens!G6899+Sens!G6898</f>
        <v>141.544168448684</v>
      </c>
      <c r="H6901" s="6" t="n">
        <f aca="false">Sens!H6899+Sens!H6898</f>
        <v>162.777359388781</v>
      </c>
      <c r="I6901" s="6" t="n">
        <f aca="false">Sens!I6899+Sens!I6898</f>
        <v>181.584028071957</v>
      </c>
      <c r="J6901" s="6" t="n">
        <f aca="false">Sens!J6899+Sens!J6898</f>
        <v>197.682702785465</v>
      </c>
      <c r="K6901" s="6" t="n">
        <f aca="false">Sens!K6899+Sens!K6898</f>
        <v>213.027991980448</v>
      </c>
    </row>
    <row r="6902" customFormat="false" ht="15" hidden="false" customHeight="false" outlineLevel="0" collapsed="false">
      <c r="A6902" s="0" t="s">
        <v>789</v>
      </c>
      <c r="B6902" s="0" t="s">
        <v>95</v>
      </c>
      <c r="D6902" s="6" t="n">
        <f aca="false">Q!L8</f>
        <v>35.391</v>
      </c>
      <c r="E6902" s="6" t="n">
        <f aca="false">Q!M8</f>
        <v>37.285</v>
      </c>
      <c r="F6902" s="6" t="n">
        <f aca="false">Sens!E6902*(1+Sens!F6903)</f>
        <v>39.0720834331704</v>
      </c>
      <c r="G6902" s="6" t="n">
        <f aca="false">Sens!F6902*(1+Sens!G6903)</f>
        <v>40.726562953769</v>
      </c>
      <c r="H6902" s="6" t="n">
        <f aca="false">Sens!G6902*(1+Sens!H6903)</f>
        <v>42.2235987259198</v>
      </c>
      <c r="I6902" s="6" t="n">
        <f aca="false">Sens!H6902*(1+Sens!I6903)</f>
        <v>43.5397988077414</v>
      </c>
      <c r="J6902" s="6" t="n">
        <f aca="false">Sens!I6902*(1+Sens!J6903)</f>
        <v>44.653811225693</v>
      </c>
      <c r="K6902" s="6" t="n">
        <f aca="false">Sens!J6902*(1+Sens!K6903)</f>
        <v>45.5468874502068</v>
      </c>
    </row>
    <row r="6903" customFormat="false" ht="15" hidden="false" customHeight="false" outlineLevel="0" collapsed="false">
      <c r="A6903" s="1" t="s">
        <v>782</v>
      </c>
      <c r="B6903" s="0" t="s">
        <v>126</v>
      </c>
      <c r="E6903" s="7" t="n">
        <f aca="false">Sens!E6902/Sens!D6902-1</f>
        <v>0.0535164307309768</v>
      </c>
      <c r="F6903" s="7" t="n">
        <f aca="false">Sens!$E$6903+(glt_lic-Sens!$E$6903)*MIN(1,1/n_conv)</f>
        <v>0.0479303589424807</v>
      </c>
      <c r="G6903" s="7" t="n">
        <f aca="false">Sens!$E$6903+(glt_lic-Sens!$E$6903)*MIN(1,2/n_conv)</f>
        <v>0.0423442871539845</v>
      </c>
      <c r="H6903" s="7" t="n">
        <f aca="false">Sens!$E$6903+(glt_lic-Sens!$E$6903)*MIN(1,3/n_conv)</f>
        <v>0.0367582153654884</v>
      </c>
      <c r="I6903" s="7" t="n">
        <f aca="false">Sens!$E$6903+(glt_lic-Sens!$E$6903)*MIN(1,4/n_conv)</f>
        <v>0.0311721435769923</v>
      </c>
      <c r="J6903" s="7" t="n">
        <f aca="false">Sens!$E$6903+(glt_lic-Sens!$E$6903)*MIN(1,5/n_conv)</f>
        <v>0.0255860717884961</v>
      </c>
      <c r="K6903" s="7" t="n">
        <f aca="false">Sens!$E$6903+(glt_lic-Sens!$E$6903)*MIN(1,6/n_conv)</f>
        <v>0.02</v>
      </c>
    </row>
    <row r="6904" customFormat="false" ht="15" hidden="false" customHeight="false" outlineLevel="0" collapsed="false">
      <c r="A6904" s="0" t="s">
        <v>790</v>
      </c>
      <c r="B6904" s="0" t="s">
        <v>95</v>
      </c>
      <c r="D6904" s="6" t="n">
        <f aca="false">Q!L9</f>
        <v>18.417</v>
      </c>
      <c r="E6904" s="6" t="n">
        <f aca="false">Q!M9</f>
        <v>20.345</v>
      </c>
      <c r="F6904" s="6" t="n">
        <f aca="false">Sens!E6904*(1+Sens!F6905)</f>
        <v>22.3572203267814</v>
      </c>
      <c r="G6904" s="6" t="n">
        <f aca="false">Sens!F6904*(1+Sens!G6905)</f>
        <v>24.4392124437232</v>
      </c>
      <c r="H6904" s="6" t="n">
        <f aca="false">Sens!G6904*(1+Sens!H6905)</f>
        <v>26.5738052080665</v>
      </c>
      <c r="I6904" s="6" t="n">
        <f aca="false">Sens!H6904*(1+Sens!I6905)</f>
        <v>28.7412169166967</v>
      </c>
      <c r="J6904" s="6" t="n">
        <f aca="false">Sens!I6904*(1+Sens!J6905)</f>
        <v>30.9192545395413</v>
      </c>
      <c r="K6904" s="6" t="n">
        <f aca="false">Sens!J6904*(1+Sens!K6905)</f>
        <v>33.0836023573092</v>
      </c>
    </row>
    <row r="6905" customFormat="false" ht="15" hidden="false" customHeight="false" outlineLevel="0" collapsed="false">
      <c r="A6905" s="1" t="s">
        <v>782</v>
      </c>
      <c r="B6905" s="0" t="s">
        <v>126</v>
      </c>
      <c r="E6905" s="7" t="n">
        <f aca="false">Sens!E6904/Sens!D6904-1</f>
        <v>0.104685888038225</v>
      </c>
      <c r="F6905" s="7" t="n">
        <f aca="false">Sens!$E$6905+(glt_ind-Sens!$E$6905)*MIN(1,1/n_conv)</f>
        <v>0.0989049066985211</v>
      </c>
      <c r="G6905" s="7" t="n">
        <f aca="false">Sens!$E$6905+(glt_ind-Sens!$E$6905)*MIN(1,2/n_conv)</f>
        <v>0.0931239253588169</v>
      </c>
      <c r="H6905" s="7" t="n">
        <f aca="false">Sens!$E$6905+(glt_ind-Sens!$E$6905)*MIN(1,3/n_conv)</f>
        <v>0.0873429440191127</v>
      </c>
      <c r="I6905" s="7" t="n">
        <f aca="false">Sens!$E$6905+(glt_ind-Sens!$E$6905)*MIN(1,4/n_conv)</f>
        <v>0.0815619626794085</v>
      </c>
      <c r="J6905" s="7" t="n">
        <f aca="false">Sens!$E$6905+(glt_ind-Sens!$E$6905)*MIN(1,5/n_conv)</f>
        <v>0.0757809813397042</v>
      </c>
      <c r="K6905" s="7" t="n">
        <f aca="false">Sens!$E$6905+(glt_ind-Sens!$E$6905)*MIN(1,6/n_conv)</f>
        <v>0.07</v>
      </c>
    </row>
    <row r="6906" customFormat="false" ht="15" hidden="false" customHeight="false" outlineLevel="0" collapsed="false">
      <c r="A6906" s="0" t="s">
        <v>791</v>
      </c>
      <c r="B6906" s="0" t="s">
        <v>95</v>
      </c>
      <c r="D6906" s="6" t="n">
        <f aca="false">Q!L10</f>
        <v>7.76</v>
      </c>
      <c r="E6906" s="6" t="n">
        <f aca="false">Q!M10</f>
        <v>8.26</v>
      </c>
      <c r="F6906" s="6" t="n">
        <f aca="false">Sens!E6906*(1+Sens!F6907)</f>
        <v>8.79988041237113</v>
      </c>
      <c r="G6906" s="6" t="n">
        <f aca="false">Sens!F6906*(1+Sens!G6907)</f>
        <v>9.38321269125306</v>
      </c>
      <c r="H6906" s="6" t="n">
        <f aca="false">Sens!G6906*(1+Sens!H6907)</f>
        <v>10.0139193587476</v>
      </c>
      <c r="I6906" s="6" t="n">
        <f aca="false">Sens!H6906*(1+Sens!I6907)</f>
        <v>10.6963111830911</v>
      </c>
      <c r="J6906" s="6" t="n">
        <f aca="false">Sens!I6906*(1+Sens!J6907)</f>
        <v>11.4351285534696</v>
      </c>
      <c r="K6906" s="6" t="n">
        <f aca="false">Sens!J6906*(1+Sens!K6907)</f>
        <v>12.2355875522124</v>
      </c>
    </row>
    <row r="6907" customFormat="false" ht="15" hidden="false" customHeight="false" outlineLevel="0" collapsed="false">
      <c r="A6907" s="1" t="s">
        <v>782</v>
      </c>
      <c r="B6907" s="0" t="s">
        <v>126</v>
      </c>
      <c r="E6907" s="7" t="n">
        <f aca="false">Sens!E6906/Sens!D6906-1</f>
        <v>0.0644329896907216</v>
      </c>
      <c r="F6907" s="7" t="n">
        <f aca="false">Sens!$E$6907+(glt_fro-Sens!$E$6907)*MIN(1,1/n_conv)</f>
        <v>0.065360824742268</v>
      </c>
      <c r="G6907" s="7" t="n">
        <f aca="false">Sens!$E$6907+(glt_fro-Sens!$E$6907)*MIN(1,2/n_conv)</f>
        <v>0.0662886597938144</v>
      </c>
      <c r="H6907" s="7" t="n">
        <f aca="false">Sens!$E$6907+(glt_fro-Sens!$E$6907)*MIN(1,3/n_conv)</f>
        <v>0.0672164948453608</v>
      </c>
      <c r="I6907" s="7" t="n">
        <f aca="false">Sens!$E$6907+(glt_fro-Sens!$E$6907)*MIN(1,4/n_conv)</f>
        <v>0.0681443298969072</v>
      </c>
      <c r="J6907" s="7" t="n">
        <f aca="false">Sens!$E$6907+(glt_fro-Sens!$E$6907)*MIN(1,5/n_conv)</f>
        <v>0.0690721649484536</v>
      </c>
      <c r="K6907" s="7" t="n">
        <f aca="false">Sens!$E$6907+(glt_fro-Sens!$E$6907)*MIN(1,6/n_conv)</f>
        <v>0.07</v>
      </c>
    </row>
    <row r="6908" customFormat="false" ht="15" hidden="false" customHeight="false" outlineLevel="0" collapsed="false">
      <c r="A6908" s="0" t="s">
        <v>626</v>
      </c>
      <c r="B6908" s="0" t="s">
        <v>95</v>
      </c>
      <c r="D6908" s="6" t="n">
        <f aca="false">Sens!D6896+Sens!D6901+Sens!D6902+Sens!D6904+Sens!D6906</f>
        <v>218.783</v>
      </c>
      <c r="E6908" s="6" t="n">
        <f aca="false">Sens!E6896+Sens!E6901+Sens!E6902+Sens!E6904+Sens!E6906</f>
        <v>268.127</v>
      </c>
      <c r="F6908" s="6" t="n">
        <f aca="false">Sens!F6896+Sens!F6901+Sens!F6902+Sens!F6904+Sens!F6906</f>
        <v>339.928130863943</v>
      </c>
      <c r="G6908" s="6" t="n">
        <f aca="false">Sens!G6896+Sens!G6901+Sens!G6902+Sens!G6904+Sens!G6906</f>
        <v>426.285497507103</v>
      </c>
      <c r="H6908" s="6" t="n">
        <f aca="false">Sens!H6896+Sens!H6901+Sens!H6902+Sens!H6904+Sens!H6906</f>
        <v>519.906734945446</v>
      </c>
      <c r="I6908" s="6" t="n">
        <f aca="false">Sens!I6896+Sens!I6901+Sens!I6902+Sens!I6904+Sens!I6906</f>
        <v>606.193657945011</v>
      </c>
      <c r="J6908" s="6" t="n">
        <f aca="false">Sens!J6896+Sens!J6901+Sens!J6902+Sens!J6904+Sens!J6906</f>
        <v>690.022022783503</v>
      </c>
      <c r="K6908" s="6" t="n">
        <f aca="false">Sens!K6896+Sens!K6901+Sens!K6902+Sens!K6904+Sens!K6906</f>
        <v>772.458373666645</v>
      </c>
    </row>
    <row r="6909" customFormat="false" ht="15" hidden="false" customHeight="false" outlineLevel="0" collapsed="false">
      <c r="A6909" s="0" t="s">
        <v>792</v>
      </c>
      <c r="B6909" s="0" t="s">
        <v>95</v>
      </c>
      <c r="D6909" s="6" t="n">
        <f aca="false">Q!L13</f>
        <v>22.171</v>
      </c>
      <c r="E6909" s="6" t="n">
        <f aca="false">Q!M13</f>
        <v>24.835</v>
      </c>
      <c r="F6909" s="6" t="n">
        <f aca="false">Sens!E6909*(1+Sens!F6910)</f>
        <v>27.6114901218559</v>
      </c>
      <c r="G6909" s="6" t="n">
        <f aca="false">Sens!F6909*(1+Sens!G6910)</f>
        <v>30.4675667338515</v>
      </c>
      <c r="H6909" s="6" t="n">
        <f aca="false">Sens!G6909*(1+Sens!H6910)</f>
        <v>33.3643766955789</v>
      </c>
      <c r="I6909" s="6" t="n">
        <f aca="false">Sens!H6909*(1+Sens!I6910)</f>
        <v>36.2577016533691</v>
      </c>
      <c r="J6909" s="6" t="n">
        <f aca="false">Sens!I6909*(1+Sens!J6910)</f>
        <v>39.0988367952171</v>
      </c>
      <c r="K6909" s="6" t="n">
        <f aca="false">Sens!J6909*(1+Sens!K6910)</f>
        <v>41.8357553708823</v>
      </c>
    </row>
    <row r="6910" customFormat="false" ht="15" hidden="false" customHeight="false" outlineLevel="0" collapsed="false">
      <c r="A6910" s="1" t="s">
        <v>782</v>
      </c>
      <c r="B6910" s="0" t="s">
        <v>126</v>
      </c>
      <c r="E6910" s="7" t="n">
        <f aca="false">Sens!E6909/Sens!D6909-1</f>
        <v>0.120156961796942</v>
      </c>
      <c r="F6910" s="7" t="n">
        <f aca="false">Sens!$E$6910+(glt_srch-Sens!$E$6910)*MIN(1,1/n_conv)</f>
        <v>0.111797468164118</v>
      </c>
      <c r="G6910" s="7" t="n">
        <f aca="false">Sens!$E$6910+(glt_srch-Sens!$E$6910)*MIN(1,2/n_conv)</f>
        <v>0.103437974531295</v>
      </c>
      <c r="H6910" s="7" t="n">
        <f aca="false">Sens!$E$6910+(glt_srch-Sens!$E$6910)*MIN(1,3/n_conv)</f>
        <v>0.095078480898471</v>
      </c>
      <c r="I6910" s="7" t="n">
        <f aca="false">Sens!$E$6910+(glt_srch-Sens!$E$6910)*MIN(1,4/n_conv)</f>
        <v>0.0867189872656474</v>
      </c>
      <c r="J6910" s="7" t="n">
        <f aca="false">Sens!$E$6910+(glt_srch-Sens!$E$6910)*MIN(1,5/n_conv)</f>
        <v>0.0783594936328237</v>
      </c>
      <c r="K6910" s="7" t="n">
        <f aca="false">Sens!$E$6910+(glt_srch-Sens!$E$6910)*MIN(1,6/n_conv)</f>
        <v>0.07</v>
      </c>
    </row>
    <row r="6911" customFormat="false" ht="15" hidden="false" customHeight="false" outlineLevel="0" collapsed="false">
      <c r="A6911" s="0" t="s">
        <v>793</v>
      </c>
      <c r="B6911" s="0" t="s">
        <v>95</v>
      </c>
      <c r="D6911" s="6" t="n">
        <f aca="false">Q!L14</f>
        <v>23.455</v>
      </c>
      <c r="E6911" s="6" t="n">
        <f aca="false">Q!M14</f>
        <v>21.79</v>
      </c>
      <c r="F6911" s="6" t="n">
        <f aca="false">Sens!E6911*(1+Sens!F6912)</f>
        <v>20.5736277908051</v>
      </c>
      <c r="G6911" s="6" t="n">
        <f aca="false">Sens!F6911*(1+Sens!G6912)</f>
        <v>19.7371452817919</v>
      </c>
      <c r="H6911" s="6" t="n">
        <f aca="false">Sens!G6911*(1+Sens!H6912)</f>
        <v>19.2339764043138</v>
      </c>
      <c r="I6911" s="6" t="n">
        <f aca="false">Sens!H6911*(1+Sens!I6912)</f>
        <v>19.0353086852681</v>
      </c>
      <c r="J6911" s="6" t="n">
        <f aca="false">Sens!I6911*(1+Sens!J6912)</f>
        <v>19.1273539319129</v>
      </c>
      <c r="K6911" s="6" t="n">
        <f aca="false">Sens!J6911*(1+Sens!K6912)</f>
        <v>19.5099010105511</v>
      </c>
    </row>
    <row r="6912" customFormat="false" ht="15" hidden="false" customHeight="false" outlineLevel="0" collapsed="false">
      <c r="A6912" s="1" t="s">
        <v>782</v>
      </c>
      <c r="B6912" s="0" t="s">
        <v>126</v>
      </c>
      <c r="E6912" s="7" t="n">
        <f aca="false">Sens!E6911/Sens!D6911-1</f>
        <v>-0.0709869963760392</v>
      </c>
      <c r="F6912" s="7" t="n">
        <f aca="false">Sens!$E$6912+(glt_xbox-Sens!$E$6912)*MIN(1,1/n_conv)</f>
        <v>-0.0558224969800327</v>
      </c>
      <c r="G6912" s="7" t="n">
        <f aca="false">Sens!$E$6912+(glt_xbox-Sens!$E$6912)*MIN(1,2/n_conv)</f>
        <v>-0.0406579975840262</v>
      </c>
      <c r="H6912" s="7" t="n">
        <f aca="false">Sens!$E$6912+(glt_xbox-Sens!$E$6912)*MIN(1,3/n_conv)</f>
        <v>-0.0254934981880196</v>
      </c>
      <c r="I6912" s="7" t="n">
        <f aca="false">Sens!$E$6912+(glt_xbox-Sens!$E$6912)*MIN(1,4/n_conv)</f>
        <v>-0.0103289987920131</v>
      </c>
      <c r="J6912" s="7" t="n">
        <f aca="false">Sens!$E$6912+(glt_xbox-Sens!$E$6912)*MIN(1,5/n_conv)</f>
        <v>0.00483550060399347</v>
      </c>
      <c r="K6912" s="7" t="n">
        <f aca="false">Sens!$E$6912+(glt_xbox-Sens!$E$6912)*MIN(1,6/n_conv)</f>
        <v>0.02</v>
      </c>
    </row>
    <row r="6913" customFormat="false" ht="15" hidden="false" customHeight="false" outlineLevel="0" collapsed="false">
      <c r="A6913" s="0" t="s">
        <v>794</v>
      </c>
      <c r="B6913" s="0" t="s">
        <v>95</v>
      </c>
      <c r="D6913" s="6" t="n">
        <f aca="false">Q!L15</f>
        <v>17.315</v>
      </c>
      <c r="E6913" s="6" t="n">
        <f aca="false">Q!M15</f>
        <v>17.087</v>
      </c>
      <c r="F6913" s="6" t="n">
        <f aca="false">Sens!E6913*(1+Sens!F6914)</f>
        <v>16.9564585436519</v>
      </c>
      <c r="G6913" s="6" t="n">
        <f aca="false">Sens!F6913*(1+Sens!G6914)</f>
        <v>16.9206490624268</v>
      </c>
      <c r="H6913" s="6" t="n">
        <f aca="false">Sens!G6913*(1+Sens!H6914)</f>
        <v>16.9784519149849</v>
      </c>
      <c r="I6913" s="6" t="n">
        <f aca="false">Sens!H6913*(1+Sens!I6914)</f>
        <v>17.1303084701817</v>
      </c>
      <c r="J6913" s="6" t="n">
        <f aca="false">Sens!I6913*(1+Sens!J6914)</f>
        <v>17.3782189407267</v>
      </c>
      <c r="K6913" s="6" t="n">
        <f aca="false">Sens!J6913*(1+Sens!K6914)</f>
        <v>17.7257833195413</v>
      </c>
    </row>
    <row r="6914" customFormat="false" ht="15" hidden="false" customHeight="false" outlineLevel="0" collapsed="false">
      <c r="A6914" s="1" t="s">
        <v>782</v>
      </c>
      <c r="B6914" s="0" t="s">
        <v>126</v>
      </c>
      <c r="E6914" s="7" t="n">
        <f aca="false">Sens!E6913/Sens!D6913-1</f>
        <v>-0.0131677736066995</v>
      </c>
      <c r="F6914" s="7" t="n">
        <f aca="false">Sens!$E$6914+(glt_win-Sens!$E$6914)*MIN(1,1/n_conv)</f>
        <v>-0.00763981133891627</v>
      </c>
      <c r="G6914" s="7" t="n">
        <f aca="false">Sens!$E$6914+(glt_win-Sens!$E$6914)*MIN(1,2/n_conv)</f>
        <v>-0.00211184907113301</v>
      </c>
      <c r="H6914" s="7" t="n">
        <f aca="false">Sens!$E$6914+(glt_win-Sens!$E$6914)*MIN(1,3/n_conv)</f>
        <v>0.00341611319665024</v>
      </c>
      <c r="I6914" s="7" t="n">
        <f aca="false">Sens!$E$6914+(glt_win-Sens!$E$6914)*MIN(1,4/n_conv)</f>
        <v>0.00894407546443349</v>
      </c>
      <c r="J6914" s="7" t="n">
        <f aca="false">Sens!$E$6914+(glt_win-Sens!$E$6914)*MIN(1,5/n_conv)</f>
        <v>0.0144720377322168</v>
      </c>
      <c r="K6914" s="7" t="n">
        <f aca="false">Sens!$E$6914+(glt_win-Sens!$E$6914)*MIN(1,6/n_conv)</f>
        <v>0.02</v>
      </c>
    </row>
    <row r="6915" customFormat="false" ht="15" hidden="false" customHeight="false" outlineLevel="0" collapsed="false">
      <c r="A6915" s="0" t="s">
        <v>640</v>
      </c>
      <c r="B6915" s="0" t="s">
        <v>95</v>
      </c>
      <c r="D6915" s="6" t="n">
        <f aca="false">Sens!D6909+Sens!D6911+Sens!D6913</f>
        <v>62.941</v>
      </c>
      <c r="E6915" s="6" t="n">
        <f aca="false">Sens!E6909+Sens!E6911+Sens!E6913</f>
        <v>63.712</v>
      </c>
      <c r="F6915" s="6" t="n">
        <f aca="false">Sens!F6909+Sens!F6911+Sens!F6913</f>
        <v>65.1415764563129</v>
      </c>
      <c r="G6915" s="6" t="n">
        <f aca="false">Sens!G6909+Sens!G6911+Sens!G6913</f>
        <v>67.1253610780702</v>
      </c>
      <c r="H6915" s="6" t="n">
        <f aca="false">Sens!H6909+Sens!H6911+Sens!H6913</f>
        <v>69.5768050148776</v>
      </c>
      <c r="I6915" s="6" t="n">
        <f aca="false">Sens!I6909+Sens!I6911+Sens!I6913</f>
        <v>72.4233188088189</v>
      </c>
      <c r="J6915" s="6" t="n">
        <f aca="false">Sens!J6909+Sens!J6911+Sens!J6913</f>
        <v>75.6044096678567</v>
      </c>
      <c r="K6915" s="6" t="n">
        <f aca="false">Sens!K6909+Sens!K6911+Sens!K6913</f>
        <v>79.0714397009747</v>
      </c>
    </row>
    <row r="6916" customFormat="false" ht="15" hidden="false" customHeight="false" outlineLevel="0" collapsed="false">
      <c r="A6916" s="1" t="s">
        <v>795</v>
      </c>
      <c r="B6916" s="0" t="s">
        <v>95</v>
      </c>
      <c r="D6916" s="6" t="n">
        <f aca="false">Sens!D6908+Sens!D6915</f>
        <v>281.724</v>
      </c>
      <c r="E6916" s="6" t="n">
        <f aca="false">Sens!E6908+Sens!E6915</f>
        <v>331.839</v>
      </c>
      <c r="F6916" s="6" t="n">
        <f aca="false">Sens!F6908+Sens!F6915</f>
        <v>405.069707320256</v>
      </c>
      <c r="G6916" s="6" t="n">
        <f aca="false">Sens!G6908+Sens!G6915</f>
        <v>493.410858585174</v>
      </c>
      <c r="H6916" s="6" t="n">
        <f aca="false">Sens!H6908+Sens!H6915</f>
        <v>589.483539960324</v>
      </c>
      <c r="I6916" s="6" t="n">
        <f aca="false">Sens!I6908+Sens!I6915</f>
        <v>678.61697675383</v>
      </c>
      <c r="J6916" s="6" t="n">
        <f aca="false">Sens!J6908+Sens!J6915</f>
        <v>765.62643245136</v>
      </c>
      <c r="K6916" s="6" t="n">
        <f aca="false">Sens!K6908+Sens!K6915</f>
        <v>851.529813367619</v>
      </c>
    </row>
    <row r="6917" customFormat="false" ht="15" hidden="false" customHeight="false" outlineLevel="0" collapsed="false">
      <c r="A6917" s="22" t="s">
        <v>796</v>
      </c>
      <c r="B6917" s="28" t="s">
        <v>95</v>
      </c>
      <c r="C6917" s="28"/>
      <c r="D6917" s="23" t="n">
        <f aca="false">(Sens!D6896+Sens!D6901+Sens!D6902+Sens!D6904+Sens!D6906-Sens!D6908)+(Sens!D6909+Sens!D6911+Sens!D6913-Sens!D6915)+(Sens!D6908-Q!L5)+(Sens!D6915-Q!L12)+(Sens!D6896-Q!L6)+(Sens!D6901-Q!L7)</f>
        <v>0</v>
      </c>
      <c r="E6917" s="23" t="n">
        <f aca="false">(Sens!E6896+Sens!E6901+Sens!E6902+Sens!E6904+Sens!E6906-Sens!E6908)+(Sens!E6909+Sens!E6911+Sens!E6913-Sens!E6915)+(Sens!E6908-Q!M5)+(Sens!E6915-Q!M12)+(Sens!E6896-Q!M6)+(Sens!E6901-Q!M7)</f>
        <v>0</v>
      </c>
      <c r="F6917" s="23" t="n">
        <f aca="false">(Sens!F6896+Sens!F6901+Sens!F6902+Sens!F6904+Sens!F6906-Sens!F6908)+(Sens!F6909+Sens!F6911+Sens!F6913-Sens!F6915)</f>
        <v>0</v>
      </c>
      <c r="G6917" s="23" t="n">
        <f aca="false">(Sens!G6896+Sens!G6901+Sens!G6902+Sens!G6904+Sens!G6906-Sens!G6908)+(Sens!G6909+Sens!G6911+Sens!G6913-Sens!G6915)</f>
        <v>0</v>
      </c>
      <c r="H6917" s="23" t="n">
        <f aca="false">(Sens!H6896+Sens!H6901+Sens!H6902+Sens!H6904+Sens!H6906-Sens!H6908)+(Sens!H6909+Sens!H6911+Sens!H6913-Sens!H6915)</f>
        <v>0</v>
      </c>
      <c r="I6917" s="23" t="n">
        <f aca="false">(Sens!I6896+Sens!I6901+Sens!I6902+Sens!I6904+Sens!I6906-Sens!I6908)+(Sens!I6909+Sens!I6911+Sens!I6913-Sens!I6915)</f>
        <v>0</v>
      </c>
      <c r="J6917" s="23" t="n">
        <f aca="false">(Sens!J6896+Sens!J6901+Sens!J6902+Sens!J6904+Sens!J6906-Sens!J6908)+(Sens!J6909+Sens!J6911+Sens!J6913-Sens!J6915)</f>
        <v>0</v>
      </c>
      <c r="K6917" s="23" t="n">
        <f aca="false">(Sens!K6896+Sens!K6901+Sens!K6902+Sens!K6904+Sens!K6906-Sens!K6908)+(Sens!K6909+Sens!K6911+Sens!K6913-Sens!K6915)</f>
        <v>0</v>
      </c>
    </row>
    <row r="6918" customFormat="false" ht="17.15" hidden="false" customHeight="false" outlineLevel="0" collapsed="false">
      <c r="A6918" s="3" t="s">
        <v>1311</v>
      </c>
    </row>
    <row r="6919" customFormat="false" ht="15" hidden="false" customHeight="false" outlineLevel="0" collapsed="false">
      <c r="A6919" s="4" t="s">
        <v>43</v>
      </c>
      <c r="B6919" s="4" t="s">
        <v>63</v>
      </c>
      <c r="C6919" s="19" t="s">
        <v>710</v>
      </c>
      <c r="D6919" s="19" t="s">
        <v>711</v>
      </c>
      <c r="E6919" s="19" t="s">
        <v>712</v>
      </c>
      <c r="F6919" s="19" t="s">
        <v>713</v>
      </c>
      <c r="G6919" s="19" t="s">
        <v>714</v>
      </c>
      <c r="H6919" s="19" t="s">
        <v>715</v>
      </c>
      <c r="I6919" s="19" t="s">
        <v>716</v>
      </c>
      <c r="J6919" s="19" t="s">
        <v>717</v>
      </c>
      <c r="K6919" s="19" t="s">
        <v>718</v>
      </c>
      <c r="L6919" s="4" t="s">
        <v>47</v>
      </c>
    </row>
    <row r="6920" customFormat="false" ht="15" hidden="false" customHeight="false" outlineLevel="0" collapsed="false">
      <c r="A6920" s="0" t="s">
        <v>783</v>
      </c>
      <c r="B6920" s="0" t="s">
        <v>95</v>
      </c>
      <c r="D6920" s="6" t="n">
        <f aca="false">Sens!D6896</f>
        <v>72.61</v>
      </c>
      <c r="E6920" s="6" t="n">
        <f aca="false">Sens!E6896</f>
        <v>101.938</v>
      </c>
      <c r="F6920" s="6" t="n">
        <f aca="false">Sens!F6896</f>
        <v>149.30655892476</v>
      </c>
      <c r="G6920" s="6" t="n">
        <f aca="false">Sens!G6896</f>
        <v>210.192340969674</v>
      </c>
      <c r="H6920" s="6" t="n">
        <f aca="false">Sens!H6896</f>
        <v>278.318052263931</v>
      </c>
      <c r="I6920" s="6" t="n">
        <f aca="false">Sens!I6896</f>
        <v>341.632302965525</v>
      </c>
      <c r="J6920" s="6" t="n">
        <f aca="false">Sens!J6896</f>
        <v>405.331125679334</v>
      </c>
      <c r="K6920" s="6" t="n">
        <f aca="false">Sens!K6896</f>
        <v>468.564304326468</v>
      </c>
    </row>
    <row r="6921" customFormat="false" ht="17.15" hidden="false" customHeight="false" outlineLevel="0" collapsed="false">
      <c r="A6921" s="0" t="s">
        <v>780</v>
      </c>
      <c r="B6921" s="0" t="s">
        <v>95</v>
      </c>
      <c r="D6921" s="6" t="n">
        <f aca="false">Sens!D6893</f>
        <v>12.9359794422418</v>
      </c>
      <c r="E6921" s="6" t="n">
        <f aca="false">Sens!E6893</f>
        <v>27.8095064661409</v>
      </c>
      <c r="F6921" s="6" t="n">
        <f aca="false">Sens!F6893</f>
        <v>58.7324192305018</v>
      </c>
      <c r="G6921" s="6" t="n">
        <f aca="false">Sens!G6893</f>
        <v>101.369089141153</v>
      </c>
      <c r="H6921" s="6" t="n">
        <f aca="false">Sens!H6893</f>
        <v>149.785610014234</v>
      </c>
      <c r="I6921" s="6" t="n">
        <f aca="false">Sens!I6893</f>
        <v>192.439389583079</v>
      </c>
      <c r="J6921" s="6" t="n">
        <f aca="false">Sens!J6893</f>
        <v>235.195906491722</v>
      </c>
      <c r="K6921" s="6" t="n">
        <f aca="false">Sens!K6893</f>
        <v>278.012858836343</v>
      </c>
    </row>
    <row r="6922" customFormat="false" ht="17.15" hidden="false" customHeight="false" outlineLevel="0" collapsed="false">
      <c r="A6922" s="0" t="s">
        <v>807</v>
      </c>
      <c r="B6922" s="0" t="s">
        <v>95</v>
      </c>
      <c r="D6922" s="6" t="n">
        <f aca="false">Sens!D6894</f>
        <v>59.6740205577583</v>
      </c>
      <c r="E6922" s="6" t="n">
        <f aca="false">Sens!E6894</f>
        <v>74.1284935338591</v>
      </c>
      <c r="F6922" s="6" t="n">
        <f aca="false">Sens!F6894</f>
        <v>90.5741396942587</v>
      </c>
      <c r="G6922" s="6" t="n">
        <f aca="false">Sens!G6894</f>
        <v>108.823251828521</v>
      </c>
      <c r="H6922" s="6" t="n">
        <f aca="false">Sens!H6894</f>
        <v>128.532442249697</v>
      </c>
      <c r="I6922" s="6" t="n">
        <f aca="false">Sens!I6894</f>
        <v>149.192913382446</v>
      </c>
      <c r="J6922" s="6" t="n">
        <f aca="false">Sens!J6894</f>
        <v>170.135219187612</v>
      </c>
      <c r="K6922" s="6" t="n">
        <f aca="false">Sens!K6894</f>
        <v>190.551445490125</v>
      </c>
    </row>
    <row r="6923" customFormat="false" ht="15" hidden="false" customHeight="false" outlineLevel="0" collapsed="false">
      <c r="A6923" s="0" t="s">
        <v>788</v>
      </c>
      <c r="B6923" s="0" t="s">
        <v>95</v>
      </c>
      <c r="D6923" s="6" t="n">
        <f aca="false">Sens!D6901</f>
        <v>84.605</v>
      </c>
      <c r="E6923" s="6" t="n">
        <f aca="false">Sens!E6901</f>
        <v>100.299</v>
      </c>
      <c r="F6923" s="6" t="n">
        <f aca="false">Sens!F6901</f>
        <v>120.39238776686</v>
      </c>
      <c r="G6923" s="6" t="n">
        <f aca="false">Sens!G6901</f>
        <v>141.544168448684</v>
      </c>
      <c r="H6923" s="6" t="n">
        <f aca="false">Sens!H6901</f>
        <v>162.777359388781</v>
      </c>
      <c r="I6923" s="6" t="n">
        <f aca="false">Sens!I6901</f>
        <v>181.584028071957</v>
      </c>
      <c r="J6923" s="6" t="n">
        <f aca="false">Sens!J6901</f>
        <v>197.682702785465</v>
      </c>
      <c r="K6923" s="6" t="n">
        <f aca="false">Sens!K6901</f>
        <v>213.027991980448</v>
      </c>
    </row>
    <row r="6924" customFormat="false" ht="17.15" hidden="false" customHeight="false" outlineLevel="0" collapsed="false">
      <c r="A6924" s="0" t="s">
        <v>808</v>
      </c>
      <c r="B6924" s="0" t="s">
        <v>95</v>
      </c>
      <c r="D6924" s="6" t="n">
        <f aca="false">Sens!D6899</f>
        <v>83.705</v>
      </c>
      <c r="E6924" s="6" t="n">
        <f aca="false">Sens!E6899</f>
        <v>95.049</v>
      </c>
      <c r="F6924" s="6" t="n">
        <f aca="false">Sens!F6899</f>
        <v>106.89238776686</v>
      </c>
      <c r="G6924" s="6" t="n">
        <f aca="false">Sens!G6899</f>
        <v>119.044168448684</v>
      </c>
      <c r="H6924" s="6" t="n">
        <f aca="false">Sens!H6899</f>
        <v>131.277359388781</v>
      </c>
      <c r="I6924" s="6" t="n">
        <f aca="false">Sens!I6899</f>
        <v>143.334028071957</v>
      </c>
      <c r="J6924" s="6" t="n">
        <f aca="false">Sens!J6899</f>
        <v>154.932702785465</v>
      </c>
      <c r="K6924" s="6" t="n">
        <f aca="false">Sens!K6899</f>
        <v>165.777991980448</v>
      </c>
    </row>
    <row r="6925" customFormat="false" ht="17.15" hidden="false" customHeight="false" outlineLevel="0" collapsed="false">
      <c r="A6925" s="0" t="s">
        <v>809</v>
      </c>
      <c r="B6925" s="0" t="s">
        <v>95</v>
      </c>
      <c r="D6925" s="6" t="n">
        <f aca="false">Sens!D6898</f>
        <v>0.9</v>
      </c>
      <c r="E6925" s="6" t="n">
        <f aca="false">Sens!E6898</f>
        <v>5.25</v>
      </c>
      <c r="F6925" s="6" t="n">
        <f aca="false">Sens!F6898</f>
        <v>13.5</v>
      </c>
      <c r="G6925" s="6" t="n">
        <f aca="false">Sens!G6898</f>
        <v>22.5</v>
      </c>
      <c r="H6925" s="6" t="n">
        <f aca="false">Sens!H6898</f>
        <v>31.5</v>
      </c>
      <c r="I6925" s="6" t="n">
        <f aca="false">Sens!I6898</f>
        <v>38.25</v>
      </c>
      <c r="J6925" s="6" t="n">
        <f aca="false">Sens!J6898</f>
        <v>42.75</v>
      </c>
      <c r="K6925" s="6" t="n">
        <f aca="false">Sens!K6898</f>
        <v>47.25</v>
      </c>
    </row>
    <row r="6926" customFormat="false" ht="15" hidden="false" customHeight="false" outlineLevel="0" collapsed="false">
      <c r="A6926" s="0" t="s">
        <v>789</v>
      </c>
      <c r="B6926" s="0" t="s">
        <v>95</v>
      </c>
      <c r="D6926" s="6" t="n">
        <f aca="false">Sens!D6902</f>
        <v>35.391</v>
      </c>
      <c r="E6926" s="6" t="n">
        <f aca="false">Sens!E6902</f>
        <v>37.285</v>
      </c>
      <c r="F6926" s="6" t="n">
        <f aca="false">Sens!F6902</f>
        <v>39.0720834331704</v>
      </c>
      <c r="G6926" s="6" t="n">
        <f aca="false">Sens!G6902</f>
        <v>40.726562953769</v>
      </c>
      <c r="H6926" s="6" t="n">
        <f aca="false">Sens!H6902</f>
        <v>42.2235987259198</v>
      </c>
      <c r="I6926" s="6" t="n">
        <f aca="false">Sens!I6902</f>
        <v>43.5397988077414</v>
      </c>
      <c r="J6926" s="6" t="n">
        <f aca="false">Sens!J6902</f>
        <v>44.653811225693</v>
      </c>
      <c r="K6926" s="6" t="n">
        <f aca="false">Sens!K6902</f>
        <v>45.5468874502068</v>
      </c>
    </row>
    <row r="6927" customFormat="false" ht="15" hidden="false" customHeight="false" outlineLevel="0" collapsed="false">
      <c r="A6927" s="0" t="s">
        <v>790</v>
      </c>
      <c r="B6927" s="0" t="s">
        <v>95</v>
      </c>
      <c r="D6927" s="6" t="n">
        <f aca="false">Sens!D6904</f>
        <v>18.417</v>
      </c>
      <c r="E6927" s="6" t="n">
        <f aca="false">Sens!E6904</f>
        <v>20.345</v>
      </c>
      <c r="F6927" s="6" t="n">
        <f aca="false">Sens!F6904</f>
        <v>22.3572203267814</v>
      </c>
      <c r="G6927" s="6" t="n">
        <f aca="false">Sens!G6904</f>
        <v>24.4392124437232</v>
      </c>
      <c r="H6927" s="6" t="n">
        <f aca="false">Sens!H6904</f>
        <v>26.5738052080665</v>
      </c>
      <c r="I6927" s="6" t="n">
        <f aca="false">Sens!I6904</f>
        <v>28.7412169166967</v>
      </c>
      <c r="J6927" s="6" t="n">
        <f aca="false">Sens!J6904</f>
        <v>30.9192545395413</v>
      </c>
      <c r="K6927" s="6" t="n">
        <f aca="false">Sens!K6904</f>
        <v>33.0836023573092</v>
      </c>
    </row>
    <row r="6928" customFormat="false" ht="15" hidden="false" customHeight="false" outlineLevel="0" collapsed="false">
      <c r="A6928" s="0" t="s">
        <v>791</v>
      </c>
      <c r="B6928" s="0" t="s">
        <v>95</v>
      </c>
      <c r="D6928" s="6" t="n">
        <f aca="false">Sens!D6906</f>
        <v>7.76</v>
      </c>
      <c r="E6928" s="6" t="n">
        <f aca="false">Sens!E6906</f>
        <v>8.26</v>
      </c>
      <c r="F6928" s="6" t="n">
        <f aca="false">Sens!F6906</f>
        <v>8.79988041237113</v>
      </c>
      <c r="G6928" s="6" t="n">
        <f aca="false">Sens!G6906</f>
        <v>9.38321269125306</v>
      </c>
      <c r="H6928" s="6" t="n">
        <f aca="false">Sens!H6906</f>
        <v>10.0139193587476</v>
      </c>
      <c r="I6928" s="6" t="n">
        <f aca="false">Sens!I6906</f>
        <v>10.6963111830911</v>
      </c>
      <c r="J6928" s="6" t="n">
        <f aca="false">Sens!J6906</f>
        <v>11.4351285534696</v>
      </c>
      <c r="K6928" s="6" t="n">
        <f aca="false">Sens!K6906</f>
        <v>12.2355875522124</v>
      </c>
    </row>
    <row r="6929" customFormat="false" ht="15" hidden="false" customHeight="false" outlineLevel="0" collapsed="false">
      <c r="A6929" s="0" t="s">
        <v>626</v>
      </c>
      <c r="B6929" s="0" t="s">
        <v>95</v>
      </c>
      <c r="D6929" s="6" t="n">
        <f aca="false">Sens!D6908</f>
        <v>218.783</v>
      </c>
      <c r="E6929" s="6" t="n">
        <f aca="false">Sens!E6908</f>
        <v>268.127</v>
      </c>
      <c r="F6929" s="6" t="n">
        <f aca="false">Sens!F6908</f>
        <v>339.928130863943</v>
      </c>
      <c r="G6929" s="6" t="n">
        <f aca="false">Sens!G6908</f>
        <v>426.285497507103</v>
      </c>
      <c r="H6929" s="6" t="n">
        <f aca="false">Sens!H6908</f>
        <v>519.906734945446</v>
      </c>
      <c r="I6929" s="6" t="n">
        <f aca="false">Sens!I6908</f>
        <v>606.193657945011</v>
      </c>
      <c r="J6929" s="6" t="n">
        <f aca="false">Sens!J6908</f>
        <v>690.022022783503</v>
      </c>
      <c r="K6929" s="6" t="n">
        <f aca="false">Sens!K6908</f>
        <v>772.458373666645</v>
      </c>
    </row>
    <row r="6930" customFormat="false" ht="15" hidden="false" customHeight="false" outlineLevel="0" collapsed="false">
      <c r="A6930" s="0" t="s">
        <v>792</v>
      </c>
      <c r="B6930" s="0" t="s">
        <v>95</v>
      </c>
      <c r="D6930" s="6" t="n">
        <f aca="false">Sens!D6909</f>
        <v>22.171</v>
      </c>
      <c r="E6930" s="6" t="n">
        <f aca="false">Sens!E6909</f>
        <v>24.835</v>
      </c>
      <c r="F6930" s="6" t="n">
        <f aca="false">Sens!F6909</f>
        <v>27.6114901218559</v>
      </c>
      <c r="G6930" s="6" t="n">
        <f aca="false">Sens!G6909</f>
        <v>30.4675667338515</v>
      </c>
      <c r="H6930" s="6" t="n">
        <f aca="false">Sens!H6909</f>
        <v>33.3643766955789</v>
      </c>
      <c r="I6930" s="6" t="n">
        <f aca="false">Sens!I6909</f>
        <v>36.2577016533691</v>
      </c>
      <c r="J6930" s="6" t="n">
        <f aca="false">Sens!J6909</f>
        <v>39.0988367952171</v>
      </c>
      <c r="K6930" s="6" t="n">
        <f aca="false">Sens!K6909</f>
        <v>41.8357553708823</v>
      </c>
    </row>
    <row r="6931" customFormat="false" ht="15" hidden="false" customHeight="false" outlineLevel="0" collapsed="false">
      <c r="A6931" s="0" t="s">
        <v>793</v>
      </c>
      <c r="B6931" s="0" t="s">
        <v>95</v>
      </c>
      <c r="D6931" s="6" t="n">
        <f aca="false">Sens!D6911</f>
        <v>23.455</v>
      </c>
      <c r="E6931" s="6" t="n">
        <f aca="false">Sens!E6911</f>
        <v>21.79</v>
      </c>
      <c r="F6931" s="6" t="n">
        <f aca="false">Sens!F6911</f>
        <v>20.5736277908051</v>
      </c>
      <c r="G6931" s="6" t="n">
        <f aca="false">Sens!G6911</f>
        <v>19.7371452817919</v>
      </c>
      <c r="H6931" s="6" t="n">
        <f aca="false">Sens!H6911</f>
        <v>19.2339764043138</v>
      </c>
      <c r="I6931" s="6" t="n">
        <f aca="false">Sens!I6911</f>
        <v>19.0353086852681</v>
      </c>
      <c r="J6931" s="6" t="n">
        <f aca="false">Sens!J6911</f>
        <v>19.1273539319129</v>
      </c>
      <c r="K6931" s="6" t="n">
        <f aca="false">Sens!K6911</f>
        <v>19.5099010105511</v>
      </c>
    </row>
    <row r="6932" customFormat="false" ht="15" hidden="false" customHeight="false" outlineLevel="0" collapsed="false">
      <c r="A6932" s="0" t="s">
        <v>794</v>
      </c>
      <c r="B6932" s="0" t="s">
        <v>95</v>
      </c>
      <c r="D6932" s="6" t="n">
        <f aca="false">Sens!D6913</f>
        <v>17.315</v>
      </c>
      <c r="E6932" s="6" t="n">
        <f aca="false">Sens!E6913</f>
        <v>17.087</v>
      </c>
      <c r="F6932" s="6" t="n">
        <f aca="false">Sens!F6913</f>
        <v>16.9564585436519</v>
      </c>
      <c r="G6932" s="6" t="n">
        <f aca="false">Sens!G6913</f>
        <v>16.9206490624268</v>
      </c>
      <c r="H6932" s="6" t="n">
        <f aca="false">Sens!H6913</f>
        <v>16.9784519149849</v>
      </c>
      <c r="I6932" s="6" t="n">
        <f aca="false">Sens!I6913</f>
        <v>17.1303084701817</v>
      </c>
      <c r="J6932" s="6" t="n">
        <f aca="false">Sens!J6913</f>
        <v>17.3782189407267</v>
      </c>
      <c r="K6932" s="6" t="n">
        <f aca="false">Sens!K6913</f>
        <v>17.7257833195413</v>
      </c>
    </row>
    <row r="6933" customFormat="false" ht="15" hidden="false" customHeight="false" outlineLevel="0" collapsed="false">
      <c r="A6933" s="0" t="s">
        <v>640</v>
      </c>
      <c r="B6933" s="0" t="s">
        <v>95</v>
      </c>
      <c r="D6933" s="6" t="n">
        <f aca="false">Sens!D6915</f>
        <v>62.941</v>
      </c>
      <c r="E6933" s="6" t="n">
        <f aca="false">Sens!E6915</f>
        <v>63.712</v>
      </c>
      <c r="F6933" s="6" t="n">
        <f aca="false">Sens!F6915</f>
        <v>65.1415764563129</v>
      </c>
      <c r="G6933" s="6" t="n">
        <f aca="false">Sens!G6915</f>
        <v>67.1253610780702</v>
      </c>
      <c r="H6933" s="6" t="n">
        <f aca="false">Sens!H6915</f>
        <v>69.5768050148776</v>
      </c>
      <c r="I6933" s="6" t="n">
        <f aca="false">Sens!I6915</f>
        <v>72.4233188088189</v>
      </c>
      <c r="J6933" s="6" t="n">
        <f aca="false">Sens!J6915</f>
        <v>75.6044096678567</v>
      </c>
      <c r="K6933" s="6" t="n">
        <f aca="false">Sens!K6915</f>
        <v>79.0714397009747</v>
      </c>
    </row>
    <row r="6934" customFormat="false" ht="15" hidden="false" customHeight="false" outlineLevel="0" collapsed="false">
      <c r="A6934" s="1" t="s">
        <v>810</v>
      </c>
      <c r="B6934" s="0" t="s">
        <v>95</v>
      </c>
      <c r="D6934" s="6" t="n">
        <f aca="false">Sens!D6916</f>
        <v>281.724</v>
      </c>
      <c r="E6934" s="6" t="n">
        <f aca="false">Sens!E6916</f>
        <v>331.839</v>
      </c>
      <c r="F6934" s="6" t="n">
        <f aca="false">Sens!F6916</f>
        <v>405.069707320256</v>
      </c>
      <c r="G6934" s="6" t="n">
        <f aca="false">Sens!G6916</f>
        <v>493.410858585174</v>
      </c>
      <c r="H6934" s="6" t="n">
        <f aca="false">Sens!H6916</f>
        <v>589.483539960324</v>
      </c>
      <c r="I6934" s="6" t="n">
        <f aca="false">Sens!I6916</f>
        <v>678.61697675383</v>
      </c>
      <c r="J6934" s="6" t="n">
        <f aca="false">Sens!J6916</f>
        <v>765.62643245136</v>
      </c>
      <c r="K6934" s="6" t="n">
        <f aca="false">Sens!K6916</f>
        <v>851.529813367619</v>
      </c>
    </row>
    <row r="6935" customFormat="false" ht="15" hidden="false" customHeight="false" outlineLevel="0" collapsed="false">
      <c r="A6935" s="1" t="s">
        <v>811</v>
      </c>
      <c r="B6935" s="0" t="s">
        <v>126</v>
      </c>
      <c r="E6935" s="7" t="n">
        <f aca="false">Sens!E6934/Sens!D6934-1</f>
        <v>0.177886867998467</v>
      </c>
      <c r="F6935" s="7" t="n">
        <f aca="false">Sens!F6934/Sens!E6934-1</f>
        <v>0.220681436842132</v>
      </c>
      <c r="G6935" s="7" t="n">
        <f aca="false">Sens!G6934/Sens!F6934-1</f>
        <v>0.218088762670849</v>
      </c>
      <c r="H6935" s="7" t="n">
        <f aca="false">Sens!H6934/Sens!G6934-1</f>
        <v>0.194711323643409</v>
      </c>
      <c r="I6935" s="7" t="n">
        <f aca="false">Sens!I6934/Sens!H6934-1</f>
        <v>0.151205980746308</v>
      </c>
      <c r="J6935" s="7" t="n">
        <f aca="false">Sens!J6934/Sens!I6934-1</f>
        <v>0.12821585471342</v>
      </c>
      <c r="K6935" s="7" t="n">
        <f aca="false">Sens!K6934/Sens!J6934-1</f>
        <v>0.112200124336378</v>
      </c>
    </row>
    <row r="6936" customFormat="false" ht="17.15" hidden="false" customHeight="false" outlineLevel="0" collapsed="false">
      <c r="A6936" s="22" t="s">
        <v>812</v>
      </c>
      <c r="B6936" s="28" t="s">
        <v>95</v>
      </c>
      <c r="C6936" s="28"/>
      <c r="D6936" s="23" t="n">
        <f aca="false">(Sens!D6929+Sens!D6933-Sens!D6934)+(Sens!D6921+Sens!D6922-Sens!D6920)+(Sens!D6924+Sens!D6925-Sens!D6923)+(Sens!D6934-Q!L18)</f>
        <v>0</v>
      </c>
      <c r="E6936" s="23" t="n">
        <f aca="false">(Sens!E6929+Sens!E6933-Sens!E6934)+(Sens!E6921+Sens!E6922-Sens!E6920)+(Sens!E6924+Sens!E6925-Sens!E6923)+(Sens!E6934-Q!M18)</f>
        <v>0</v>
      </c>
      <c r="F6936" s="23" t="n">
        <f aca="false">(Sens!F6929+Sens!F6933-Sens!F6934)+(Sens!F6921+Sens!F6922-Sens!F6920)+(Sens!F6924+Sens!F6925-Sens!F6923)</f>
        <v>0</v>
      </c>
      <c r="G6936" s="23" t="n">
        <f aca="false">(Sens!G6929+Sens!G6933-Sens!G6934)+(Sens!G6921+Sens!G6922-Sens!G6920)+(Sens!G6924+Sens!G6925-Sens!G6923)</f>
        <v>0</v>
      </c>
      <c r="H6936" s="23" t="n">
        <f aca="false">(Sens!H6929+Sens!H6933-Sens!H6934)+(Sens!H6921+Sens!H6922-Sens!H6920)+(Sens!H6924+Sens!H6925-Sens!H6923)</f>
        <v>0</v>
      </c>
      <c r="I6936" s="23" t="n">
        <f aca="false">(Sens!I6929+Sens!I6933-Sens!I6934)+(Sens!I6921+Sens!I6922-Sens!I6920)+(Sens!I6924+Sens!I6925-Sens!I6923)</f>
        <v>0</v>
      </c>
      <c r="J6936" s="23" t="n">
        <f aca="false">(Sens!J6929+Sens!J6933-Sens!J6934)+(Sens!J6921+Sens!J6922-Sens!J6920)+(Sens!J6924+Sens!J6925-Sens!J6923)</f>
        <v>0</v>
      </c>
      <c r="K6936" s="23" t="n">
        <f aca="false">(Sens!K6929+Sens!K6933-Sens!K6934)+(Sens!K6921+Sens!K6922-Sens!K6920)+(Sens!K6924+Sens!K6925-Sens!K6923)</f>
        <v>0</v>
      </c>
    </row>
    <row r="6937" customFormat="false" ht="17.15" hidden="false" customHeight="false" outlineLevel="0" collapsed="false">
      <c r="A6937" s="0" t="s">
        <v>813</v>
      </c>
      <c r="B6937" s="0" t="s">
        <v>126</v>
      </c>
      <c r="E6937" s="7" t="n">
        <f aca="false">(Q!M21+Sens!E6874+Sens!E6875+Sens!E6876+Sens!E6889-Sens!E6872)/(Q!M5-Sens!E6872)</f>
        <v>0.570957350878296</v>
      </c>
      <c r="F6937" s="7" t="n">
        <f aca="false">Sens!$E$6937+dm_seg</f>
        <v>0.570957350878296</v>
      </c>
      <c r="G6937" s="7" t="n">
        <f aca="false">Sens!$E$6937+dm_seg</f>
        <v>0.570957350878296</v>
      </c>
      <c r="H6937" s="7" t="n">
        <f aca="false">Sens!$E$6937+dm_seg</f>
        <v>0.570957350878296</v>
      </c>
      <c r="I6937" s="7" t="n">
        <f aca="false">Sens!$E$6937+dm_seg</f>
        <v>0.570957350878296</v>
      </c>
      <c r="J6937" s="7" t="n">
        <f aca="false">Sens!$E$6937+dm_seg</f>
        <v>0.570957350878296</v>
      </c>
      <c r="K6937" s="7" t="n">
        <f aca="false">Sens!$E$6937+dm_seg</f>
        <v>0.570957350878296</v>
      </c>
      <c r="L6937" s="11" t="s">
        <v>814</v>
      </c>
    </row>
    <row r="6938" customFormat="false" ht="17.15" hidden="false" customHeight="false" outlineLevel="0" collapsed="false">
      <c r="A6938" s="0" t="s">
        <v>654</v>
      </c>
      <c r="B6938" s="0" t="s">
        <v>95</v>
      </c>
      <c r="D6938" s="6" t="n">
        <f aca="false">Q!L21</f>
        <v>110.814</v>
      </c>
      <c r="E6938" s="6" t="n">
        <f aca="false">Q!M21</f>
        <v>136.365</v>
      </c>
      <c r="F6938" s="6" t="n">
        <f aca="false">Sens!F6937*(Sens!F6908-Sens!F6872)+Sens!F6872-(Sens!F6874+Sens!F6875+Sens!F6876)-Sens!F6889</f>
        <v>162.425882490206</v>
      </c>
      <c r="G6938" s="6" t="n">
        <f aca="false">Sens!G6937*(Sens!G6908-Sens!G6872)+Sens!G6872-(Sens!G6874+Sens!G6875+Sens!G6876)-Sens!G6889</f>
        <v>192.734822721477</v>
      </c>
      <c r="H6938" s="6" t="n">
        <f aca="false">Sens!H6937*(Sens!H6908-Sens!H6872)+Sens!H6872-(Sens!H6874+Sens!H6875+Sens!H6876)-Sens!H6889</f>
        <v>228.528727759452</v>
      </c>
      <c r="I6938" s="6" t="n">
        <f aca="false">Sens!I6937*(Sens!I6908-Sens!I6872)+Sens!I6872-(Sens!I6874+Sens!I6875+Sens!I6876)-Sens!I6889</f>
        <v>256.61248913051</v>
      </c>
      <c r="J6938" s="6" t="n">
        <f aca="false">Sens!J6937*(Sens!J6908-Sens!J6872)+Sens!J6872-(Sens!J6874+Sens!J6875+Sens!J6876)-Sens!J6889</f>
        <v>282.348256721779</v>
      </c>
      <c r="K6938" s="6" t="n">
        <f aca="false">Sens!K6937*(Sens!K6908-Sens!K6872)+Sens!K6872-(Sens!K6874+Sens!K6875+Sens!K6876)-Sens!K6889</f>
        <v>306.018147802874</v>
      </c>
      <c r="L6938" s="1" t="s">
        <v>815</v>
      </c>
    </row>
    <row r="6939" customFormat="false" ht="17.15" hidden="false" customHeight="false" outlineLevel="0" collapsed="false">
      <c r="A6939" s="0" t="s">
        <v>816</v>
      </c>
      <c r="B6939" s="0" t="s">
        <v>126</v>
      </c>
      <c r="E6939" s="7" t="n">
        <f aca="false">Q!M22/Q!M12</f>
        <v>0.296207935710698</v>
      </c>
      <c r="F6939" s="7" t="n">
        <f aca="false">Sens!$E$6939+dm_seg</f>
        <v>0.296207935710698</v>
      </c>
      <c r="G6939" s="7" t="n">
        <f aca="false">Sens!$E$6939+dm_seg</f>
        <v>0.296207935710698</v>
      </c>
      <c r="H6939" s="7" t="n">
        <f aca="false">Sens!$E$6939+dm_seg</f>
        <v>0.296207935710698</v>
      </c>
      <c r="I6939" s="7" t="n">
        <f aca="false">Sens!$E$6939+dm_seg</f>
        <v>0.296207935710698</v>
      </c>
      <c r="J6939" s="7" t="n">
        <f aca="false">Sens!$E$6939+dm_seg</f>
        <v>0.296207935710698</v>
      </c>
      <c r="K6939" s="7" t="n">
        <f aca="false">Sens!$E$6939+dm_seg</f>
        <v>0.296207935710698</v>
      </c>
      <c r="L6939" s="11" t="s">
        <v>817</v>
      </c>
    </row>
    <row r="6940" customFormat="false" ht="17.15" hidden="false" customHeight="false" outlineLevel="0" collapsed="false">
      <c r="A6940" s="0" t="s">
        <v>656</v>
      </c>
      <c r="B6940" s="0" t="s">
        <v>95</v>
      </c>
      <c r="D6940" s="6" t="n">
        <f aca="false">Q!L22</f>
        <v>17.714</v>
      </c>
      <c r="E6940" s="6" t="n">
        <f aca="false">Q!M22</f>
        <v>18.872</v>
      </c>
      <c r="F6940" s="6" t="n">
        <f aca="false">Sens!F6915*Sens!F6939</f>
        <v>19.2954518910651</v>
      </c>
      <c r="G6940" s="6" t="n">
        <f aca="false">Sens!G6915*Sens!G6939</f>
        <v>19.8830646387704</v>
      </c>
      <c r="H6940" s="6" t="n">
        <f aca="false">Sens!H6915*Sens!H6939</f>
        <v>20.6092017868026</v>
      </c>
      <c r="I6940" s="6" t="n">
        <f aca="false">Sens!I6915*Sens!I6939</f>
        <v>21.452361761678</v>
      </c>
      <c r="J6940" s="6" t="n">
        <f aca="false">Sens!J6915*Sens!J6939</f>
        <v>22.3946261183418</v>
      </c>
      <c r="K6940" s="6" t="n">
        <f aca="false">Sens!K6915*Sens!K6939</f>
        <v>23.4215879274986</v>
      </c>
    </row>
    <row r="6941" customFormat="false" ht="15" hidden="false" customHeight="false" outlineLevel="0" collapsed="false">
      <c r="A6941" s="1" t="s">
        <v>818</v>
      </c>
      <c r="B6941" s="0" t="s">
        <v>95</v>
      </c>
      <c r="D6941" s="6" t="n">
        <f aca="false">Sens!D6938+Sens!D6940</f>
        <v>128.528</v>
      </c>
      <c r="E6941" s="6" t="n">
        <f aca="false">Sens!E6938+Sens!E6940</f>
        <v>155.237</v>
      </c>
      <c r="F6941" s="6" t="n">
        <f aca="false">Sens!F6938+Sens!F6940</f>
        <v>181.721334381271</v>
      </c>
      <c r="G6941" s="6" t="n">
        <f aca="false">Sens!G6938+Sens!G6940</f>
        <v>212.617887360248</v>
      </c>
      <c r="H6941" s="6" t="n">
        <f aca="false">Sens!H6938+Sens!H6940</f>
        <v>249.137929546255</v>
      </c>
      <c r="I6941" s="6" t="n">
        <f aca="false">Sens!I6938+Sens!I6940</f>
        <v>278.064850892188</v>
      </c>
      <c r="J6941" s="6" t="n">
        <f aca="false">Sens!J6938+Sens!J6940</f>
        <v>304.74288284012</v>
      </c>
      <c r="K6941" s="6" t="n">
        <f aca="false">Sens!K6938+Sens!K6940</f>
        <v>329.439735730373</v>
      </c>
    </row>
    <row r="6942" customFormat="false" ht="15" hidden="false" customHeight="false" outlineLevel="0" collapsed="false">
      <c r="A6942" s="22" t="s">
        <v>819</v>
      </c>
      <c r="B6942" s="28" t="s">
        <v>95</v>
      </c>
      <c r="C6942" s="28"/>
      <c r="D6942" s="23" t="n">
        <f aca="false">Sens!D6941-Q!L23</f>
        <v>0</v>
      </c>
      <c r="E6942" s="23" t="n">
        <f aca="false">Sens!E6941-Q!M23</f>
        <v>0</v>
      </c>
      <c r="F6942" s="28"/>
      <c r="G6942" s="28"/>
      <c r="H6942" s="28"/>
      <c r="I6942" s="28"/>
      <c r="J6942" s="28"/>
      <c r="K6942" s="28"/>
    </row>
    <row r="6943" customFormat="false" ht="15" hidden="false" customHeight="false" outlineLevel="0" collapsed="false">
      <c r="A6943" s="1" t="s">
        <v>820</v>
      </c>
      <c r="B6943" s="0" t="s">
        <v>126</v>
      </c>
      <c r="D6943" s="7" t="n">
        <f aca="false">Sens!D6941/Sens!D6934</f>
        <v>0.456219562408598</v>
      </c>
      <c r="E6943" s="7" t="n">
        <f aca="false">Sens!E6941/Sens!E6934</f>
        <v>0.467808184089272</v>
      </c>
      <c r="F6943" s="7" t="n">
        <f aca="false">Sens!F6941/Sens!F6934</f>
        <v>0.448617438177372</v>
      </c>
      <c r="G6943" s="7" t="n">
        <f aca="false">Sens!G6941/Sens!G6934</f>
        <v>0.430914487714999</v>
      </c>
      <c r="H6943" s="7" t="n">
        <f aca="false">Sens!H6941/Sens!H6934</f>
        <v>0.422637635586947</v>
      </c>
      <c r="I6943" s="7" t="n">
        <f aca="false">Sens!I6941/Sens!I6934</f>
        <v>0.409752276199032</v>
      </c>
      <c r="J6943" s="7" t="n">
        <f aca="false">Sens!J6941/Sens!J6934</f>
        <v>0.398030775745821</v>
      </c>
      <c r="K6943" s="7" t="n">
        <f aca="false">Sens!K6941/Sens!K6934</f>
        <v>0.386879860879455</v>
      </c>
    </row>
    <row r="6944" customFormat="false" ht="17.15" hidden="false" customHeight="false" outlineLevel="0" collapsed="false">
      <c r="A6944" s="1" t="s">
        <v>821</v>
      </c>
      <c r="B6944" s="0" t="s">
        <v>95</v>
      </c>
      <c r="E6944" s="6" t="n">
        <f aca="false">Sens!E6889</f>
        <v>16.3054059770833</v>
      </c>
      <c r="F6944" s="6" t="n">
        <f aca="false">Sens!F6889</f>
        <v>34.7197989565883</v>
      </c>
      <c r="G6944" s="6" t="n">
        <f aca="false">Sens!G6889</f>
        <v>60.4652602617765</v>
      </c>
      <c r="H6944" s="6" t="n">
        <f aca="false">Sens!H6889</f>
        <v>87.7008429945765</v>
      </c>
      <c r="I6944" s="6" t="n">
        <f aca="false">Sens!I6889</f>
        <v>115.95570874256</v>
      </c>
      <c r="J6944" s="6" t="n">
        <f aca="false">Sens!J6889</f>
        <v>145.18280495971</v>
      </c>
      <c r="K6944" s="6" t="n">
        <f aca="false">Sens!K6889</f>
        <v>175.697449636027</v>
      </c>
    </row>
    <row r="6945" customFormat="false" ht="17.15" hidden="false" customHeight="false" outlineLevel="0" collapsed="false">
      <c r="A6945" s="1" t="s">
        <v>822</v>
      </c>
      <c r="B6945" s="0" t="s">
        <v>95</v>
      </c>
      <c r="E6945" s="6" t="n">
        <f aca="false">Sens!E6965</f>
        <v>22.2285940229167</v>
      </c>
      <c r="F6945" s="6" t="n">
        <f aca="false">Sens!F6965</f>
        <v>23.5885531427191</v>
      </c>
      <c r="G6945" s="6" t="n">
        <f aca="false">Sens!G6965</f>
        <v>25.4258837179903</v>
      </c>
      <c r="H6945" s="6" t="n">
        <f aca="false">Sens!H6965</f>
        <v>27.7246559038815</v>
      </c>
      <c r="I6945" s="6" t="n">
        <f aca="false">Sens!I6965</f>
        <v>30.4347145646696</v>
      </c>
      <c r="J6945" s="6" t="n">
        <f aca="false">Sens!J6965</f>
        <v>33.4941614707056</v>
      </c>
      <c r="K6945" s="6" t="n">
        <f aca="false">Sens!K6965</f>
        <v>36.8501369736474</v>
      </c>
    </row>
    <row r="6946" customFormat="false" ht="17.15" hidden="false" customHeight="false" outlineLevel="0" collapsed="false">
      <c r="A6946" s="1" t="s">
        <v>823</v>
      </c>
      <c r="B6946" s="0" t="s">
        <v>95</v>
      </c>
      <c r="D6946" s="6" t="n">
        <f aca="false">Q!L27</f>
        <v>-4.901</v>
      </c>
      <c r="E6946" s="6" t="n">
        <f aca="false">Q!M27</f>
        <v>10.697</v>
      </c>
      <c r="F6946" s="6" t="n">
        <f aca="false">oie_f</f>
        <v>-0.4</v>
      </c>
      <c r="G6946" s="6" t="n">
        <f aca="false">oie_f</f>
        <v>-0.4</v>
      </c>
      <c r="H6946" s="6" t="n">
        <f aca="false">oie_f</f>
        <v>-0.4</v>
      </c>
      <c r="I6946" s="6" t="n">
        <f aca="false">oie_f</f>
        <v>-0.4</v>
      </c>
      <c r="J6946" s="6" t="n">
        <f aca="false">oie_f</f>
        <v>-0.4</v>
      </c>
      <c r="K6946" s="6" t="n">
        <f aca="false">oie_f</f>
        <v>-0.4</v>
      </c>
      <c r="L6946" s="11" t="s">
        <v>824</v>
      </c>
    </row>
    <row r="6947" customFormat="false" ht="15" hidden="false" customHeight="false" outlineLevel="0" collapsed="false">
      <c r="A6947" s="1" t="s">
        <v>666</v>
      </c>
      <c r="B6947" s="0" t="s">
        <v>95</v>
      </c>
      <c r="D6947" s="6" t="n">
        <f aca="false">Sens!D6941+Sens!D6946</f>
        <v>123.627</v>
      </c>
      <c r="E6947" s="6" t="n">
        <f aca="false">Sens!E6941+Sens!E6946</f>
        <v>165.934</v>
      </c>
      <c r="F6947" s="6" t="n">
        <f aca="false">Sens!F6941+Sens!F6946</f>
        <v>181.321334381271</v>
      </c>
      <c r="G6947" s="6" t="n">
        <f aca="false">Sens!G6941+Sens!G6946</f>
        <v>212.217887360248</v>
      </c>
      <c r="H6947" s="6" t="n">
        <f aca="false">Sens!H6941+Sens!H6946</f>
        <v>248.737929546255</v>
      </c>
      <c r="I6947" s="6" t="n">
        <f aca="false">Sens!I6941+Sens!I6946</f>
        <v>277.664850892188</v>
      </c>
      <c r="J6947" s="6" t="n">
        <f aca="false">Sens!J6941+Sens!J6946</f>
        <v>304.34288284012</v>
      </c>
      <c r="K6947" s="6" t="n">
        <f aca="false">Sens!K6941+Sens!K6946</f>
        <v>329.039735730373</v>
      </c>
    </row>
    <row r="6948" customFormat="false" ht="15" hidden="false" customHeight="false" outlineLevel="0" collapsed="false">
      <c r="A6948" s="1" t="s">
        <v>668</v>
      </c>
      <c r="B6948" s="0" t="s">
        <v>95</v>
      </c>
      <c r="D6948" s="6" t="n">
        <f aca="false">Q!L29</f>
        <v>21.795</v>
      </c>
      <c r="E6948" s="6" t="n">
        <f aca="false">Q!M29</f>
        <v>32.185</v>
      </c>
      <c r="F6948" s="6" t="n">
        <f aca="false">Sens!F6947*tax_f</f>
        <v>36.2642668762542</v>
      </c>
      <c r="G6948" s="6" t="n">
        <f aca="false">Sens!G6947*tax_f</f>
        <v>42.4435774720496</v>
      </c>
      <c r="H6948" s="6" t="n">
        <f aca="false">Sens!H6947*tax_f</f>
        <v>49.747585909251</v>
      </c>
      <c r="I6948" s="6" t="n">
        <f aca="false">Sens!I6947*tax_f</f>
        <v>55.5329701784375</v>
      </c>
      <c r="J6948" s="6" t="n">
        <f aca="false">Sens!J6947*tax_f</f>
        <v>60.8685765680241</v>
      </c>
      <c r="K6948" s="6" t="n">
        <f aca="false">Sens!K6947*tax_f</f>
        <v>65.8079471460746</v>
      </c>
    </row>
    <row r="6949" customFormat="false" ht="15" hidden="false" customHeight="false" outlineLevel="0" collapsed="false">
      <c r="A6949" s="1" t="s">
        <v>825</v>
      </c>
      <c r="B6949" s="0" t="s">
        <v>95</v>
      </c>
      <c r="D6949" s="6" t="n">
        <f aca="false">Sens!D6947-Sens!D6948</f>
        <v>101.832</v>
      </c>
      <c r="E6949" s="6" t="n">
        <f aca="false">Sens!E6947-Sens!E6948</f>
        <v>133.749</v>
      </c>
      <c r="F6949" s="6" t="n">
        <f aca="false">Sens!F6947-Sens!F6948</f>
        <v>145.057067505017</v>
      </c>
      <c r="G6949" s="6" t="n">
        <f aca="false">Sens!G6947-Sens!G6948</f>
        <v>169.774309888198</v>
      </c>
      <c r="H6949" s="6" t="n">
        <f aca="false">Sens!H6947-Sens!H6948</f>
        <v>198.990343637004</v>
      </c>
      <c r="I6949" s="6" t="n">
        <f aca="false">Sens!I6947-Sens!I6948</f>
        <v>222.13188071375</v>
      </c>
      <c r="J6949" s="6" t="n">
        <f aca="false">Sens!J6947-Sens!J6948</f>
        <v>243.474306272096</v>
      </c>
      <c r="K6949" s="6" t="n">
        <f aca="false">Sens!K6947-Sens!K6948</f>
        <v>263.231788584298</v>
      </c>
    </row>
    <row r="6950" customFormat="false" ht="17.15" hidden="false" customHeight="false" outlineLevel="0" collapsed="false">
      <c r="A6950" s="1" t="s">
        <v>826</v>
      </c>
      <c r="B6950" s="1" t="s">
        <v>79</v>
      </c>
      <c r="D6950" s="18" t="n">
        <f aca="false">Q!L31</f>
        <v>7.465</v>
      </c>
      <c r="E6950" s="18" t="n">
        <f aca="false">Q!M31</f>
        <v>7.453</v>
      </c>
      <c r="F6950" s="18" t="n">
        <f aca="false">Sens!F6987</f>
        <v>7.4735</v>
      </c>
      <c r="G6950" s="18" t="n">
        <f aca="false">Sens!G6987</f>
        <v>7.50760712322316</v>
      </c>
      <c r="H6950" s="18" t="n">
        <f aca="false">Sens!H6987</f>
        <v>7.52446583229628</v>
      </c>
      <c r="I6950" s="18" t="n">
        <f aca="false">Sens!I6987</f>
        <v>7.53624666430359</v>
      </c>
      <c r="J6950" s="18" t="n">
        <f aca="false">Sens!J6987</f>
        <v>7.55048817542147</v>
      </c>
      <c r="K6950" s="18" t="n">
        <f aca="false">Sens!K6987</f>
        <v>7.56700809312321</v>
      </c>
    </row>
    <row r="6951" customFormat="false" ht="17.15" hidden="false" customHeight="false" outlineLevel="0" collapsed="false">
      <c r="A6951" s="0" t="s">
        <v>827</v>
      </c>
      <c r="B6951" s="0" t="s">
        <v>73</v>
      </c>
      <c r="D6951" s="8" t="n">
        <f aca="false">Sens!D6949/Sens!D6950</f>
        <v>13.641259209645</v>
      </c>
      <c r="E6951" s="8" t="n">
        <f aca="false">Sens!E6949/Sens!E6950</f>
        <v>17.9456594659869</v>
      </c>
      <c r="F6951" s="8" t="n">
        <f aca="false">Sens!F6949/Sens!F6950</f>
        <v>19.4095226473562</v>
      </c>
      <c r="G6951" s="8" t="n">
        <f aca="false">Sens!G6949/Sens!G6950</f>
        <v>22.6136380209665</v>
      </c>
      <c r="H6951" s="8" t="n">
        <f aca="false">Sens!H6949/Sens!H6950</f>
        <v>26.4457767597141</v>
      </c>
      <c r="I6951" s="8" t="n">
        <f aca="false">Sens!I6949/Sens!I6950</f>
        <v>29.4751340565731</v>
      </c>
      <c r="J6951" s="8" t="n">
        <f aca="false">Sens!J6949/Sens!J6950</f>
        <v>32.246167481549</v>
      </c>
      <c r="K6951" s="8" t="n">
        <f aca="false">Sens!K6949/Sens!K6950</f>
        <v>34.7867724396277</v>
      </c>
      <c r="L6951" s="1" t="s">
        <v>828</v>
      </c>
    </row>
    <row r="6952" customFormat="false" ht="17.15" hidden="false" customHeight="false" outlineLevel="0" collapsed="false">
      <c r="A6952" s="0" t="s">
        <v>829</v>
      </c>
      <c r="B6952" s="0" t="s">
        <v>126</v>
      </c>
      <c r="E6952" s="7" t="n">
        <f aca="false">Sens!E6951/Sens!D6951-1</f>
        <v>0.315542736208578</v>
      </c>
      <c r="F6952" s="7" t="n">
        <f aca="false">Sens!F6951/Sens!E6951-1</f>
        <v>0.0815719914971034</v>
      </c>
      <c r="G6952" s="7" t="n">
        <f aca="false">Sens!G6951/Sens!F6951-1</f>
        <v>0.165079555629704</v>
      </c>
      <c r="H6952" s="7" t="n">
        <f aca="false">Sens!H6951/Sens!G6951-1</f>
        <v>0.169461399143058</v>
      </c>
      <c r="I6952" s="7" t="n">
        <f aca="false">Sens!I6951/Sens!H6951-1</f>
        <v>0.11454975682445</v>
      </c>
      <c r="J6952" s="7" t="n">
        <f aca="false">Sens!J6951/Sens!I6951-1</f>
        <v>0.0940125808980998</v>
      </c>
      <c r="K6952" s="7" t="n">
        <f aca="false">Sens!K6951/Sens!J6951-1</f>
        <v>0.0787878112812128</v>
      </c>
    </row>
    <row r="6953" customFormat="false" ht="17.15" hidden="false" customHeight="false" outlineLevel="0" collapsed="false">
      <c r="A6953" s="0" t="s">
        <v>763</v>
      </c>
      <c r="B6953" s="0" t="s">
        <v>95</v>
      </c>
      <c r="E6953" s="6" t="n">
        <f aca="false">Sens!E6898</f>
        <v>5.25</v>
      </c>
      <c r="F6953" s="6" t="n">
        <f aca="false">Sens!F6898</f>
        <v>13.5</v>
      </c>
      <c r="G6953" s="6" t="n">
        <f aca="false">Sens!G6898</f>
        <v>22.5</v>
      </c>
      <c r="H6953" s="6" t="n">
        <f aca="false">Sens!H6898</f>
        <v>31.5</v>
      </c>
      <c r="I6953" s="6" t="n">
        <f aca="false">Sens!I6898</f>
        <v>38.25</v>
      </c>
      <c r="J6953" s="6" t="n">
        <f aca="false">Sens!J6898</f>
        <v>42.75</v>
      </c>
      <c r="K6953" s="6" t="n">
        <f aca="false">Sens!K6898</f>
        <v>47.25</v>
      </c>
    </row>
    <row r="6954" customFormat="false" ht="17.15" hidden="false" customHeight="false" outlineLevel="0" collapsed="false">
      <c r="A6954" s="0" t="s">
        <v>764</v>
      </c>
      <c r="B6954" s="0" t="s">
        <v>95</v>
      </c>
      <c r="E6954" s="6" t="n">
        <f aca="false">Sens!E6878+Sens!E6953*Sens!E6937-Sens!E6879-Sens!E6889</f>
        <v>2.1514866143068</v>
      </c>
      <c r="F6954" s="6" t="n">
        <f aca="false">Sens!F6878+Sens!F6953*Sens!F6937-Sens!F6879-Sens!F6889</f>
        <v>9.58304813449609</v>
      </c>
      <c r="G6954" s="6" t="n">
        <f aca="false">Sens!G6878+Sens!G6953*Sens!G6937-Sens!G6879-Sens!G6889</f>
        <v>20.0679513387253</v>
      </c>
      <c r="H6954" s="6" t="n">
        <f aca="false">Sens!H6878+Sens!H6953*Sens!H6937-Sens!H6879-Sens!H6889</f>
        <v>35.1905073172987</v>
      </c>
      <c r="I6954" s="6" t="n">
        <f aca="false">Sens!I6878+Sens!I6953*Sens!I6937-Sens!I6879-Sens!I6889</f>
        <v>42.2155668230881</v>
      </c>
      <c r="J6954" s="6" t="n">
        <f aca="false">Sens!J6878+Sens!J6953*Sens!J6937-Sens!J6879-Sens!J6889</f>
        <v>47.0703690036067</v>
      </c>
      <c r="K6954" s="6" t="n">
        <f aca="false">Sens!K6878+Sens!K6953*Sens!K6937-Sens!K6879-Sens!K6889</f>
        <v>50.6885813307094</v>
      </c>
    </row>
    <row r="6955" customFormat="false" ht="17.15" hidden="false" customHeight="false" outlineLevel="0" collapsed="false">
      <c r="A6955" s="0" t="s">
        <v>765</v>
      </c>
      <c r="B6955" s="0" t="s">
        <v>95</v>
      </c>
      <c r="E6955" s="6" t="n">
        <f aca="false">Sens!E6861*(cxit_open+self_build*tk_cxfac)/1000*ai_net_open</f>
        <v>126.6980382</v>
      </c>
      <c r="F6955" s="6" t="n">
        <f aca="false">Sens!E6955+Sens!F6886-Sens!F6889</f>
        <v>260.350054022471</v>
      </c>
      <c r="G6955" s="6" t="n">
        <f aca="false">Sens!F6955+Sens!G6886-Sens!G6889</f>
        <v>383.458974243894</v>
      </c>
      <c r="H6955" s="6" t="n">
        <f aca="false">Sens!G6955+Sens!H6886-Sens!H6889</f>
        <v>483.838417159718</v>
      </c>
      <c r="I6955" s="6" t="n">
        <f aca="false">Sens!H6955+Sens!I6886-Sens!I6889</f>
        <v>586.221669674225</v>
      </c>
      <c r="J6955" s="6" t="n">
        <f aca="false">Sens!I6955+Sens!J6886-Sens!J6889</f>
        <v>674.815925638248</v>
      </c>
      <c r="K6955" s="6" t="n">
        <f aca="false">Sens!J6955+Sens!K6886-Sens!K6889</f>
        <v>777.974787952622</v>
      </c>
      <c r="L6955" s="1" t="s">
        <v>766</v>
      </c>
    </row>
    <row r="6956" customFormat="false" ht="17.15" hidden="false" customHeight="false" outlineLevel="0" collapsed="false">
      <c r="A6956" s="0" t="s">
        <v>767</v>
      </c>
      <c r="B6956" s="0" t="s">
        <v>126</v>
      </c>
      <c r="F6956" s="7" t="n">
        <f aca="false">Sens!F6954*(1-tax_f)/((Sens!E6955+Sens!F6955)/2)</f>
        <v>0.0396149143305442</v>
      </c>
      <c r="G6956" s="7" t="n">
        <f aca="false">Sens!G6954*(1-tax_f)/((Sens!F6955+Sens!G6955)/2)</f>
        <v>0.0498730535488484</v>
      </c>
      <c r="H6956" s="7" t="n">
        <f aca="false">Sens!H6954*(1-tax_f)/((Sens!G6955+Sens!H6955)/2)</f>
        <v>0.0649198444106418</v>
      </c>
      <c r="I6956" s="7" t="n">
        <f aca="false">Sens!I6954*(1-tax_f)/((Sens!H6955+Sens!I6955)/2)</f>
        <v>0.0631225365267016</v>
      </c>
      <c r="J6956" s="7" t="n">
        <f aca="false">Sens!J6954*(1-tax_f)/((Sens!I6955+Sens!J6955)/2)</f>
        <v>0.059722716186831</v>
      </c>
      <c r="K6956" s="7" t="n">
        <f aca="false">Sens!K6954*(1-tax_f)/((Sens!J6955+Sens!K6955)/2)</f>
        <v>0.0558247856146296</v>
      </c>
    </row>
    <row r="6957" customFormat="false" ht="17.15" hidden="false" customHeight="false" outlineLevel="0" collapsed="false">
      <c r="A6957" s="1" t="s">
        <v>768</v>
      </c>
      <c r="B6957" s="0" t="s">
        <v>126</v>
      </c>
      <c r="F6957" s="7" t="n">
        <f aca="false">Sens!F6890*(1-tax_f)/(Sens!F6877*(Sens!E6955+Sens!F6955)/2)</f>
        <v>0.153613806510079</v>
      </c>
      <c r="G6957" s="7" t="n">
        <f aca="false">Sens!G6890*(1-tax_f)/(Sens!G6877*(Sens!F6955+Sens!G6955)/2)</f>
        <v>0.174760503484306</v>
      </c>
      <c r="H6957" s="7" t="n">
        <f aca="false">Sens!H6890*(1-tax_f)/(Sens!H6877*(Sens!G6955+Sens!H6955)/2)</f>
        <v>0.207692291430058</v>
      </c>
      <c r="I6957" s="7" t="n">
        <f aca="false">Sens!I6890*(1-tax_f)/(Sens!I6877*(Sens!H6955+Sens!I6955)/2)</f>
        <v>0.215597335237252</v>
      </c>
      <c r="J6957" s="7" t="n">
        <f aca="false">Sens!J6890*(1-tax_f)/(Sens!J6877*(Sens!I6955+Sens!J6955)/2)</f>
        <v>0.22201229070216</v>
      </c>
      <c r="K6957" s="7" t="n">
        <f aca="false">Sens!K6890*(1-tax_f)/(Sens!K6877*(Sens!J6955+Sens!K6955)/2)</f>
        <v>0.225301211500135</v>
      </c>
    </row>
    <row r="6958" customFormat="false" ht="17.15" hidden="false" customHeight="false" outlineLevel="0" collapsed="false">
      <c r="A6958" s="0" t="s">
        <v>769</v>
      </c>
      <c r="B6958" s="0" t="s">
        <v>208</v>
      </c>
      <c r="F6958" s="7" t="n">
        <f aca="false">Sens!F6956-wacc</f>
        <v>-0.0693483068197098</v>
      </c>
      <c r="G6958" s="7" t="n">
        <f aca="false">Sens!G6956-wacc</f>
        <v>-0.0590901676014056</v>
      </c>
      <c r="H6958" s="7" t="n">
        <f aca="false">Sens!H6956-wacc</f>
        <v>-0.0440433767396122</v>
      </c>
      <c r="I6958" s="7" t="n">
        <f aca="false">Sens!I6956-wacc</f>
        <v>-0.0458406846235524</v>
      </c>
      <c r="J6958" s="7" t="n">
        <f aca="false">Sens!J6956-wacc</f>
        <v>-0.049240504963423</v>
      </c>
      <c r="K6958" s="7" t="n">
        <f aca="false">Sens!K6956-wacc</f>
        <v>-0.0531384355356244</v>
      </c>
    </row>
    <row r="6959" customFormat="false" ht="17.15" hidden="false" customHeight="false" outlineLevel="0" collapsed="false">
      <c r="A6959" s="0" t="s">
        <v>770</v>
      </c>
      <c r="B6959" s="0" t="s">
        <v>95</v>
      </c>
      <c r="F6959" s="6" t="n">
        <f aca="false">Sens!F6954*(1-tax_f)-wacc*(Sens!E6955+Sens!F6955)/2</f>
        <v>-13.4205649267136</v>
      </c>
      <c r="G6959" s="6" t="n">
        <f aca="false">Sens!G6954*(1-tax_f)-wacc*(Sens!F6955+Sens!G6955)/2</f>
        <v>-19.0213916917788</v>
      </c>
      <c r="H6959" s="6" t="n">
        <f aca="false">Sens!H6954*(1-tax_f)-wacc*(Sens!G6955+Sens!H6955)/2</f>
        <v>-19.0993528774361</v>
      </c>
      <c r="I6959" s="6" t="n">
        <f aca="false">Sens!I6954*(1-tax_f)-wacc*(Sens!H6955+Sens!I6955)/2</f>
        <v>-24.5261434844029</v>
      </c>
      <c r="J6959" s="6" t="n">
        <f aca="false">Sens!J6954*(1-tax_f)-wacc*(Sens!I6955+Sens!J6955)/2</f>
        <v>-31.0470639855234</v>
      </c>
      <c r="K6959" s="6" t="n">
        <f aca="false">Sens!K6954*(1-tax_f)-wacc*(Sens!J6955+Sens!K6955)/2</f>
        <v>-38.5995128404511</v>
      </c>
    </row>
    <row r="6960" customFormat="false" ht="17.15" hidden="false" customHeight="false" outlineLevel="0" collapsed="false">
      <c r="A6960" s="1" t="s">
        <v>771</v>
      </c>
      <c r="B6960" s="0" t="s">
        <v>95</v>
      </c>
      <c r="F6960" s="6" t="n">
        <f aca="false">(Sens!E6862+Sens!F6862)/2*Sens!F6869/1000</f>
        <v>26.7873066765967</v>
      </c>
      <c r="G6960" s="6" t="n">
        <f aca="false">(Sens!F6862+Sens!G6862)/2*Sens!G6869/1000</f>
        <v>45.4131817597218</v>
      </c>
      <c r="H6960" s="6" t="n">
        <f aca="false">(Sens!G6862+Sens!H6862)/2*Sens!H6869/1000</f>
        <v>65.3915129357971</v>
      </c>
      <c r="I6960" s="6" t="n">
        <f aca="false">(Sens!H6862+Sens!I6862)/2*Sens!I6869/1000</f>
        <v>85.5187419289299</v>
      </c>
      <c r="J6960" s="6" t="n">
        <f aca="false">(Sens!I6862+Sens!J6862)/2*Sens!J6869/1000</f>
        <v>105.723807195006</v>
      </c>
      <c r="K6960" s="6" t="n">
        <f aca="false">(Sens!J6862+Sens!K6862)/2*Sens!K6869/1000</f>
        <v>125.974659797015</v>
      </c>
      <c r="L6960" s="1" t="s">
        <v>772</v>
      </c>
    </row>
    <row r="6961" customFormat="false" ht="17.15" hidden="false" customHeight="false" outlineLevel="0" collapsed="false">
      <c r="A6961" s="1" t="s">
        <v>773</v>
      </c>
      <c r="B6961" s="0" t="s">
        <v>126</v>
      </c>
      <c r="F6961" s="7" t="n">
        <f aca="false">(Sens!F6878+Sens!F6960-Sens!F6879-Sens!F6889)*(1-tax_f)/((Sens!E6955+Sens!F6955)/2)</f>
        <v>0.11848628074988</v>
      </c>
      <c r="G6961" s="7" t="n">
        <f aca="false">(Sens!G6878+Sens!G6960-Sens!G6879-Sens!G6889)*(1-tax_f)/((Sens!F6955+Sens!G6955)/2)</f>
        <v>0.130807964207445</v>
      </c>
      <c r="H6961" s="7" t="n">
        <f aca="false">(Sens!H6878+Sens!H6960-Sens!H6879-Sens!H6889)*(1-tax_f)/((Sens!G6955+Sens!H6955)/2)</f>
        <v>0.152375624820929</v>
      </c>
      <c r="I6961" s="7" t="n">
        <f aca="false">(Sens!I6878+Sens!I6960-Sens!I6879-Sens!I6889)*(1-tax_f)/((Sens!H6955+Sens!I6955)/2)</f>
        <v>0.158339056109258</v>
      </c>
      <c r="J6961" s="7" t="n">
        <f aca="false">(Sens!J6878+Sens!J6960-Sens!J6879-Sens!J6889)*(1-tax_f)/((Sens!I6955+Sens!J6955)/2)</f>
        <v>0.162895380662148</v>
      </c>
      <c r="K6961" s="7" t="n">
        <f aca="false">(Sens!K6878+Sens!K6960-Sens!K6879-Sens!K6889)*(1-tax_f)/((Sens!J6955+Sens!K6955)/2)</f>
        <v>0.164852932936221</v>
      </c>
      <c r="L6961" s="1" t="s">
        <v>774</v>
      </c>
    </row>
    <row r="6962" customFormat="false" ht="17.15" hidden="false" customHeight="false" outlineLevel="0" collapsed="false">
      <c r="A6962" s="3" t="s">
        <v>1312</v>
      </c>
    </row>
    <row r="6963" customFormat="false" ht="15" hidden="false" customHeight="false" outlineLevel="0" collapsed="false">
      <c r="A6963" s="4" t="s">
        <v>43</v>
      </c>
      <c r="B6963" s="4" t="s">
        <v>63</v>
      </c>
      <c r="C6963" s="19" t="s">
        <v>710</v>
      </c>
      <c r="D6963" s="19" t="s">
        <v>711</v>
      </c>
      <c r="E6963" s="19" t="s">
        <v>712</v>
      </c>
      <c r="F6963" s="19" t="s">
        <v>713</v>
      </c>
      <c r="G6963" s="19" t="s">
        <v>714</v>
      </c>
      <c r="H6963" s="19" t="s">
        <v>715</v>
      </c>
      <c r="I6963" s="19" t="s">
        <v>716</v>
      </c>
      <c r="J6963" s="19" t="s">
        <v>717</v>
      </c>
      <c r="K6963" s="19" t="s">
        <v>718</v>
      </c>
      <c r="L6963" s="4" t="s">
        <v>47</v>
      </c>
    </row>
    <row r="6964" customFormat="false" ht="15" hidden="false" customHeight="false" outlineLevel="0" collapsed="false">
      <c r="A6964" s="1" t="s">
        <v>825</v>
      </c>
      <c r="B6964" s="0" t="s">
        <v>95</v>
      </c>
      <c r="F6964" s="6" t="n">
        <f aca="false">Sens!F6949</f>
        <v>145.057067505017</v>
      </c>
      <c r="G6964" s="6" t="n">
        <f aca="false">Sens!G6949</f>
        <v>169.774309888198</v>
      </c>
      <c r="H6964" s="6" t="n">
        <f aca="false">Sens!H6949</f>
        <v>198.990343637004</v>
      </c>
      <c r="I6964" s="6" t="n">
        <f aca="false">Sens!I6949</f>
        <v>222.13188071375</v>
      </c>
      <c r="J6964" s="6" t="n">
        <f aca="false">Sens!J6949</f>
        <v>243.474306272096</v>
      </c>
      <c r="K6964" s="6" t="n">
        <f aca="false">Sens!K6949</f>
        <v>263.231788584298</v>
      </c>
    </row>
    <row r="6965" customFormat="false" ht="17.15" hidden="false" customHeight="false" outlineLevel="0" collapsed="false">
      <c r="A6965" s="1" t="s">
        <v>843</v>
      </c>
      <c r="B6965" s="0" t="s">
        <v>95</v>
      </c>
      <c r="E6965" s="6" t="n">
        <f aca="false">Q!M38-Sens!E6889</f>
        <v>22.2285940229167</v>
      </c>
      <c r="F6965" s="6" t="n">
        <f aca="false">Sens!E6965*(1-1/life_nonai)+Sens!F6971/life_nonai</f>
        <v>23.5885531427191</v>
      </c>
      <c r="G6965" s="6" t="n">
        <f aca="false">Sens!F6965*(1-1/life_nonai)+Sens!G6971/life_nonai</f>
        <v>25.4258837179903</v>
      </c>
      <c r="H6965" s="6" t="n">
        <f aca="false">Sens!G6965*(1-1/life_nonai)+Sens!H6971/life_nonai</f>
        <v>27.7246559038815</v>
      </c>
      <c r="I6965" s="6" t="n">
        <f aca="false">Sens!H6965*(1-1/life_nonai)+Sens!I6971/life_nonai</f>
        <v>30.4347145646696</v>
      </c>
      <c r="J6965" s="6" t="n">
        <f aca="false">Sens!I6965*(1-1/life_nonai)+Sens!J6971/life_nonai</f>
        <v>33.4941614707056</v>
      </c>
      <c r="K6965" s="6" t="n">
        <f aca="false">Sens!J6965*(1-1/life_nonai)+Sens!K6971/life_nonai</f>
        <v>36.8501369736474</v>
      </c>
      <c r="L6965" s="11" t="s">
        <v>844</v>
      </c>
    </row>
    <row r="6966" customFormat="false" ht="17.15" hidden="false" customHeight="false" outlineLevel="0" collapsed="false">
      <c r="A6966" s="1" t="s">
        <v>845</v>
      </c>
      <c r="B6966" s="0" t="s">
        <v>95</v>
      </c>
      <c r="E6966" s="6" t="n">
        <f aca="false">Sens!E6889+Sens!E6965</f>
        <v>38.534</v>
      </c>
      <c r="F6966" s="6" t="n">
        <f aca="false">Sens!F6889+Sens!F6965</f>
        <v>58.3083520993073</v>
      </c>
      <c r="G6966" s="6" t="n">
        <f aca="false">Sens!G6889+Sens!G6965</f>
        <v>85.8911439797669</v>
      </c>
      <c r="H6966" s="6" t="n">
        <f aca="false">Sens!H6889+Sens!H6965</f>
        <v>115.425498898458</v>
      </c>
      <c r="I6966" s="6" t="n">
        <f aca="false">Sens!I6889+Sens!I6965</f>
        <v>146.390423307229</v>
      </c>
      <c r="J6966" s="6" t="n">
        <f aca="false">Sens!J6889+Sens!J6965</f>
        <v>178.676966430415</v>
      </c>
      <c r="K6966" s="6" t="n">
        <f aca="false">Sens!K6889+Sens!K6965</f>
        <v>212.547586609674</v>
      </c>
    </row>
    <row r="6967" customFormat="false" ht="15" hidden="false" customHeight="false" outlineLevel="0" collapsed="false">
      <c r="A6967" s="1" t="s">
        <v>685</v>
      </c>
      <c r="B6967" s="0" t="s">
        <v>95</v>
      </c>
      <c r="F6967" s="6" t="n">
        <f aca="false">Sens!F6916*sbc_r</f>
        <v>15.1425532240266</v>
      </c>
      <c r="G6967" s="6" t="n">
        <f aca="false">Sens!G6916*sbc_r</f>
        <v>18.4449739203321</v>
      </c>
      <c r="H6967" s="6" t="n">
        <f aca="false">Sens!H6916*sbc_r</f>
        <v>22.0364192069281</v>
      </c>
      <c r="I6967" s="6" t="n">
        <f aca="false">Sens!I6916*sbc_r</f>
        <v>25.3684575852485</v>
      </c>
      <c r="J6967" s="6" t="n">
        <f aca="false">Sens!J6916*sbc_r</f>
        <v>28.6210960573022</v>
      </c>
      <c r="K6967" s="6" t="n">
        <f aca="false">Sens!K6916*sbc_r</f>
        <v>31.8323865935749</v>
      </c>
    </row>
    <row r="6968" customFormat="false" ht="17.15" hidden="false" customHeight="false" outlineLevel="0" collapsed="false">
      <c r="A6968" s="1" t="s">
        <v>846</v>
      </c>
      <c r="B6968" s="0" t="s">
        <v>95</v>
      </c>
      <c r="F6968" s="6" t="n">
        <f aca="false">wc27</f>
        <v>-4.895</v>
      </c>
      <c r="G6968" s="6" t="n">
        <f aca="false">0</f>
        <v>0</v>
      </c>
      <c r="H6968" s="6" t="n">
        <f aca="false">0</f>
        <v>0</v>
      </c>
      <c r="I6968" s="6" t="n">
        <f aca="false">0</f>
        <v>0</v>
      </c>
      <c r="J6968" s="6" t="n">
        <f aca="false">0</f>
        <v>0</v>
      </c>
      <c r="K6968" s="6" t="n">
        <f aca="false">0</f>
        <v>0</v>
      </c>
      <c r="L6968" s="11" t="s">
        <v>847</v>
      </c>
    </row>
    <row r="6969" customFormat="false" ht="15" hidden="false" customHeight="false" outlineLevel="0" collapsed="false">
      <c r="A6969" s="1" t="s">
        <v>678</v>
      </c>
      <c r="B6969" s="0" t="s">
        <v>95</v>
      </c>
      <c r="E6969" s="6" t="n">
        <f aca="false">Q!M35</f>
        <v>182.935</v>
      </c>
      <c r="F6969" s="6" t="n">
        <f aca="false">Sens!F6964+Sens!F6966+Sens!F6967+Sens!F6968</f>
        <v>213.612972828351</v>
      </c>
      <c r="G6969" s="6" t="n">
        <f aca="false">Sens!G6964+Sens!G6966+Sens!G6967+Sens!G6968</f>
        <v>274.110427788297</v>
      </c>
      <c r="H6969" s="6" t="n">
        <f aca="false">Sens!H6964+Sens!H6966+Sens!H6967+Sens!H6968</f>
        <v>336.45226174239</v>
      </c>
      <c r="I6969" s="6" t="n">
        <f aca="false">Sens!I6964+Sens!I6966+Sens!I6967+Sens!I6968</f>
        <v>393.890761606228</v>
      </c>
      <c r="J6969" s="6" t="n">
        <f aca="false">Sens!J6964+Sens!J6966+Sens!J6967+Sens!J6968</f>
        <v>450.772368759814</v>
      </c>
      <c r="K6969" s="6" t="n">
        <f aca="false">Sens!K6964+Sens!K6966+Sens!K6967+Sens!K6968</f>
        <v>507.611761787547</v>
      </c>
    </row>
    <row r="6970" customFormat="false" ht="17.15" hidden="false" customHeight="false" outlineLevel="0" collapsed="false">
      <c r="A6970" s="0" t="s">
        <v>848</v>
      </c>
      <c r="B6970" s="0" t="s">
        <v>95</v>
      </c>
      <c r="F6970" s="6" t="n">
        <f aca="false">Sens!F6886</f>
        <v>168.371814779059</v>
      </c>
      <c r="G6970" s="6" t="n">
        <f aca="false">Sens!G6886</f>
        <v>183.5741804832</v>
      </c>
      <c r="H6970" s="6" t="n">
        <f aca="false">Sens!H6886</f>
        <v>188.0802859104</v>
      </c>
      <c r="I6970" s="6" t="n">
        <f aca="false">Sens!I6886</f>
        <v>218.338961257067</v>
      </c>
      <c r="J6970" s="6" t="n">
        <f aca="false">Sens!J6886</f>
        <v>233.777060923733</v>
      </c>
      <c r="K6970" s="6" t="n">
        <f aca="false">Sens!K6886</f>
        <v>278.8563119504</v>
      </c>
    </row>
    <row r="6971" customFormat="false" ht="17.15" hidden="false" customHeight="false" outlineLevel="0" collapsed="false">
      <c r="A6971" s="1" t="s">
        <v>849</v>
      </c>
      <c r="B6971" s="0" t="s">
        <v>95</v>
      </c>
      <c r="E6971" s="6" t="n">
        <f aca="false">Sens!E6894*cx_azo+Sens!E6901*cx_m365+Sens!E6902*cx_lic+(Sens!E6904+Sens!E6906)*cx_ind+Sens!E6909*cx_srch+(Sens!E6911+Sens!E6913)*cx_dev</f>
        <v>30.1846587067718</v>
      </c>
      <c r="F6971" s="6" t="n">
        <f aca="false">Sens!F6894*cx_azo+Sens!F6901*cx_m365+Sens!F6902*cx_lic+(Sens!F6904+Sens!F6906)*cx_ind+Sens!F6909*cx_srch+(Sens!F6911+Sens!F6913)*cx_dev</f>
        <v>35.8281852209409</v>
      </c>
      <c r="G6971" s="6" t="n">
        <f aca="false">Sens!G6894*cx_azo+Sens!G6901*cx_m365+Sens!G6902*cx_lic+(Sens!G6904+Sens!G6906)*cx_ind+Sens!G6909*cx_srch+(Sens!G6911+Sens!G6913)*cx_dev</f>
        <v>41.9618588954315</v>
      </c>
      <c r="H6971" s="6" t="n">
        <f aca="false">Sens!H6894*cx_azo+Sens!H6901*cx_m365+Sens!H6902*cx_lic+(Sens!H6904+Sens!H6906)*cx_ind+Sens!H6909*cx_srch+(Sens!H6911+Sens!H6913)*cx_dev</f>
        <v>48.413605576902</v>
      </c>
      <c r="I6971" s="6" t="n">
        <f aca="false">Sens!I6894*cx_azo+Sens!I6901*cx_m365+Sens!I6902*cx_lic+(Sens!I6904+Sens!I6906)*cx_ind+Sens!I6909*cx_srch+(Sens!I6911+Sens!I6913)*cx_dev</f>
        <v>54.8252425117621</v>
      </c>
      <c r="J6971" s="6" t="n">
        <f aca="false">Sens!J6894*cx_azo+Sens!J6901*cx_m365+Sens!J6902*cx_lic+(Sens!J6904+Sens!J6906)*cx_ind+Sens!J6909*cx_srch+(Sens!J6911+Sens!J6913)*cx_dev</f>
        <v>61.0291836250298</v>
      </c>
      <c r="K6971" s="6" t="n">
        <f aca="false">Sens!K6894*cx_azo+Sens!K6901*cx_m365+Sens!K6902*cx_lic+(Sens!K6904+Sens!K6906)*cx_ind+Sens!K6909*cx_srch+(Sens!K6911+Sens!K6913)*cx_dev</f>
        <v>67.0539165001234</v>
      </c>
    </row>
    <row r="6972" customFormat="false" ht="17.15" hidden="false" customHeight="false" outlineLevel="0" collapsed="false">
      <c r="A6972" s="1" t="s">
        <v>850</v>
      </c>
      <c r="B6972" s="0" t="s">
        <v>95</v>
      </c>
      <c r="E6972" s="6" t="n">
        <f aca="false">Q!M42</f>
        <v>145.3</v>
      </c>
      <c r="F6972" s="6" t="n">
        <f aca="false">Sens!F6970+Sens!F6971</f>
        <v>204.2</v>
      </c>
      <c r="G6972" s="6" t="n">
        <f aca="false">Sens!G6970+Sens!G6971</f>
        <v>225.536039378632</v>
      </c>
      <c r="H6972" s="6" t="n">
        <f aca="false">Sens!H6970+Sens!H6971</f>
        <v>236.493891487302</v>
      </c>
      <c r="I6972" s="6" t="n">
        <f aca="false">Sens!I6970+Sens!I6971</f>
        <v>273.164203768829</v>
      </c>
      <c r="J6972" s="6" t="n">
        <f aca="false">Sens!J6970+Sens!J6971</f>
        <v>294.806244548763</v>
      </c>
      <c r="K6972" s="6" t="n">
        <f aca="false">Sens!K6970+Sens!K6971</f>
        <v>345.910228450523</v>
      </c>
      <c r="L6972" s="1" t="s">
        <v>851</v>
      </c>
    </row>
    <row r="6973" customFormat="false" ht="15" hidden="false" customHeight="false" outlineLevel="0" collapsed="false">
      <c r="A6973" s="1" t="s">
        <v>852</v>
      </c>
      <c r="B6973" s="0" t="s">
        <v>95</v>
      </c>
      <c r="E6973" s="6" t="n">
        <f aca="false">fl_liab</f>
        <v>66.594</v>
      </c>
      <c r="F6973" s="6" t="n">
        <f aca="false">Sens!E6973-Sens!F6974</f>
        <v>62.46973</v>
      </c>
      <c r="G6973" s="6" t="n">
        <f aca="false">Sens!F6973-Sens!G6974</f>
        <v>57.98686785</v>
      </c>
      <c r="H6973" s="6" t="n">
        <f aca="false">Sens!G6973-Sens!H6974</f>
        <v>53.92827690325</v>
      </c>
      <c r="I6973" s="6" t="n">
        <f aca="false">Sens!H6973-Sens!I6974</f>
        <v>49.7850493638962</v>
      </c>
      <c r="J6973" s="6" t="n">
        <f aca="false">Sens!I6973-Sens!J6974</f>
        <v>45.4823765852716</v>
      </c>
      <c r="K6973" s="6" t="n">
        <f aca="false">Sens!J6973-Sens!K6974</f>
        <v>40.9860835316088</v>
      </c>
    </row>
    <row r="6974" customFormat="false" ht="15" hidden="false" customHeight="false" outlineLevel="0" collapsed="false">
      <c r="A6974" s="1" t="s">
        <v>853</v>
      </c>
      <c r="B6974" s="0" t="s">
        <v>95</v>
      </c>
      <c r="F6974" s="6" t="n">
        <f aca="false">fl_pay_27-Sens!E6973*fl_rate</f>
        <v>4.12427</v>
      </c>
      <c r="G6974" s="6" t="n">
        <f aca="false">fl_pay_28-Sens!F6973*fl_rate</f>
        <v>4.48286215</v>
      </c>
      <c r="H6974" s="6" t="n">
        <f aca="false">fl_pay_29-Sens!G6973*fl_rate</f>
        <v>4.05859094675</v>
      </c>
      <c r="I6974" s="6" t="n">
        <f aca="false">fl_pay_30-Sens!H6973*fl_rate</f>
        <v>4.14322753935375</v>
      </c>
      <c r="J6974" s="6" t="n">
        <f aca="false">fl_pay_31-Sens!I6973*fl_rate</f>
        <v>4.30267277862467</v>
      </c>
      <c r="K6974" s="6" t="n">
        <f aca="false">fl_pay_32-Sens!J6973*fl_rate</f>
        <v>4.49629305366278</v>
      </c>
    </row>
    <row r="6975" customFormat="false" ht="17.15" hidden="false" customHeight="false" outlineLevel="0" collapsed="false">
      <c r="A6975" s="1" t="s">
        <v>854</v>
      </c>
      <c r="B6975" s="0" t="s">
        <v>95</v>
      </c>
      <c r="E6975" s="6" t="n">
        <f aca="false">Q!M35-Q!M36-Q!M43</f>
        <v>63.886</v>
      </c>
      <c r="F6975" s="6" t="n">
        <f aca="false">Sens!F6969-Sens!F6972-Sens!F6974</f>
        <v>5.28870282835086</v>
      </c>
      <c r="G6975" s="6" t="n">
        <f aca="false">Sens!G6969-Sens!G6972-Sens!G6974</f>
        <v>44.0915262596656</v>
      </c>
      <c r="H6975" s="6" t="n">
        <f aca="false">Sens!H6969-Sens!H6972-Sens!H6974</f>
        <v>95.8997793083382</v>
      </c>
      <c r="I6975" s="6" t="n">
        <f aca="false">Sens!I6969-Sens!I6972-Sens!I6974</f>
        <v>116.583330298045</v>
      </c>
      <c r="J6975" s="6" t="n">
        <f aca="false">Sens!J6969-Sens!J6972-Sens!J6974</f>
        <v>151.663451432426</v>
      </c>
      <c r="K6975" s="6" t="n">
        <f aca="false">Sens!K6969-Sens!K6972-Sens!K6974</f>
        <v>157.205240283361</v>
      </c>
      <c r="L6975" s="11" t="s">
        <v>855</v>
      </c>
    </row>
    <row r="6976" customFormat="false" ht="15" hidden="false" customHeight="false" outlineLevel="0" collapsed="false">
      <c r="A6976" s="1" t="s">
        <v>856</v>
      </c>
      <c r="B6976" s="0" t="s">
        <v>73</v>
      </c>
      <c r="F6976" s="8" t="n">
        <f aca="false">dps_27</f>
        <v>3.85</v>
      </c>
      <c r="G6976" s="8" t="n">
        <f aca="false">Sens!F6976*(1+dps_g)</f>
        <v>4.158</v>
      </c>
      <c r="H6976" s="8" t="n">
        <f aca="false">Sens!G6976*(1+dps_g)</f>
        <v>4.49064</v>
      </c>
      <c r="I6976" s="8" t="n">
        <f aca="false">Sens!H6976*(1+dps_g)</f>
        <v>4.8498912</v>
      </c>
      <c r="J6976" s="8" t="n">
        <f aca="false">Sens!I6976*(1+dps_g)</f>
        <v>5.237882496</v>
      </c>
      <c r="K6976" s="8" t="n">
        <f aca="false">Sens!J6976*(1+dps_g)</f>
        <v>5.65691309568</v>
      </c>
    </row>
    <row r="6977" customFormat="false" ht="17.15" hidden="false" customHeight="false" outlineLevel="0" collapsed="false">
      <c r="A6977" s="1" t="s">
        <v>857</v>
      </c>
      <c r="B6977" s="0" t="s">
        <v>95</v>
      </c>
      <c r="E6977" s="6" t="n">
        <f aca="false">Q!M41</f>
        <v>26.445</v>
      </c>
      <c r="F6977" s="6" t="n">
        <f aca="false">Sens!F6976*Sens!E6986</f>
        <v>28.59395</v>
      </c>
      <c r="G6977" s="6" t="n">
        <f aca="false">Sens!G6976*Sens!F6986</f>
        <v>31.068576</v>
      </c>
      <c r="H6977" s="6" t="n">
        <f aca="false">Sens!H6976*Sens!G6986</f>
        <v>33.6583089036617</v>
      </c>
      <c r="I6977" s="6" t="n">
        <f aca="false">Sens!I6976*Sens!H6986</f>
        <v>36.4019128559541</v>
      </c>
      <c r="J6977" s="6" t="n">
        <f aca="false">Sens!J6976*Sens!I6986</f>
        <v>39.3824647327499</v>
      </c>
      <c r="K6977" s="6" t="n">
        <f aca="false">Sens!K6976*Sens!J6986</f>
        <v>42.6203171366749</v>
      </c>
      <c r="L6977" s="1" t="s">
        <v>858</v>
      </c>
    </row>
    <row r="6978" customFormat="false" ht="15" hidden="false" customHeight="false" outlineLevel="0" collapsed="false">
      <c r="A6978" s="1" t="s">
        <v>859</v>
      </c>
      <c r="B6978" s="0" t="s">
        <v>95</v>
      </c>
      <c r="E6978" s="6" t="n">
        <f aca="false">Sens!E6975-Sens!E6977</f>
        <v>37.441</v>
      </c>
      <c r="F6978" s="6" t="n">
        <f aca="false">Sens!F6975-Sens!F6977</f>
        <v>-23.3052471716491</v>
      </c>
      <c r="G6978" s="6" t="n">
        <f aca="false">Sens!G6975-Sens!G6977</f>
        <v>13.0229502596656</v>
      </c>
      <c r="H6978" s="6" t="n">
        <f aca="false">Sens!H6975-Sens!H6977</f>
        <v>62.2414704046765</v>
      </c>
      <c r="I6978" s="6" t="n">
        <f aca="false">Sens!I6975-Sens!I6977</f>
        <v>80.1814174420912</v>
      </c>
      <c r="J6978" s="6" t="n">
        <f aca="false">Sens!J6975-Sens!J6977</f>
        <v>112.280986699676</v>
      </c>
      <c r="K6978" s="6" t="n">
        <f aca="false">Sens!K6975-Sens!K6977</f>
        <v>114.584923146686</v>
      </c>
    </row>
    <row r="6979" customFormat="false" ht="15" hidden="false" customHeight="false" outlineLevel="0" collapsed="false">
      <c r="A6979" s="1" t="s">
        <v>860</v>
      </c>
      <c r="B6979" s="0" t="s">
        <v>95</v>
      </c>
      <c r="F6979" s="6" t="n">
        <f aca="false">debt_mat_27</f>
        <v>9.25</v>
      </c>
      <c r="G6979" s="6" t="n">
        <f aca="false">debt_mat_28</f>
        <v>0</v>
      </c>
      <c r="H6979" s="6" t="n">
        <f aca="false">debt_mat_29</f>
        <v>2.001</v>
      </c>
      <c r="I6979" s="6" t="n">
        <f aca="false">debt_mat_30</f>
        <v>0</v>
      </c>
      <c r="J6979" s="6" t="n">
        <f aca="false">debt_mat_31</f>
        <v>0.5</v>
      </c>
      <c r="K6979" s="6" t="n">
        <f aca="false">debt_mat_32</f>
        <v>0</v>
      </c>
    </row>
    <row r="6980" customFormat="false" ht="15" hidden="false" customHeight="false" outlineLevel="0" collapsed="false">
      <c r="A6980" s="1" t="s">
        <v>861</v>
      </c>
      <c r="B6980" s="0" t="s">
        <v>95</v>
      </c>
      <c r="E6980" s="6" t="n">
        <f aca="false">Q!M40</f>
        <v>22.271</v>
      </c>
      <c r="F6980" s="6" t="n">
        <f aca="false">MAX(0,MIN(bb_target,Sens!E6982+Sens!F6978-Sens!F6979-min_cash))</f>
        <v>0</v>
      </c>
      <c r="G6980" s="6" t="n">
        <f aca="false">MAX(0,MIN(bb_target,Sens!F6982+Sens!G6978-Sens!G6979-min_cash))</f>
        <v>13.0229502596656</v>
      </c>
      <c r="H6980" s="6" t="n">
        <f aca="false">MAX(0,MIN(bb_target,Sens!G6982+Sens!H6978-Sens!H6979-min_cash))</f>
        <v>22.271</v>
      </c>
      <c r="I6980" s="6" t="n">
        <f aca="false">MAX(0,MIN(bb_target,Sens!H6982+Sens!I6978-Sens!I6979-min_cash))</f>
        <v>22.271</v>
      </c>
      <c r="J6980" s="6" t="n">
        <f aca="false">MAX(0,MIN(bb_target,Sens!I6982+Sens!J6978-Sens!J6979-min_cash))</f>
        <v>22.271</v>
      </c>
      <c r="K6980" s="6" t="n">
        <f aca="false">MAX(0,MIN(bb_target,Sens!J6982+Sens!K6978-Sens!K6979-min_cash))</f>
        <v>22.271</v>
      </c>
    </row>
    <row r="6981" customFormat="false" ht="15" hidden="false" customHeight="false" outlineLevel="0" collapsed="false">
      <c r="A6981" s="1" t="s">
        <v>862</v>
      </c>
      <c r="B6981" s="0" t="s">
        <v>95</v>
      </c>
      <c r="F6981" s="6" t="n">
        <f aca="false">MAX(0,min_cash-(Sens!E6982+Sens!F6978-Sens!F6979-Sens!F6980))</f>
        <v>5.71224717164914</v>
      </c>
      <c r="G6981" s="6" t="n">
        <f aca="false">MAX(0,min_cash-(Sens!F6982+Sens!G6978-Sens!G6979-Sens!G6980))</f>
        <v>0</v>
      </c>
      <c r="H6981" s="6" t="n">
        <f aca="false">MAX(0,min_cash-(Sens!G6982+Sens!H6978-Sens!H6979-Sens!H6980))</f>
        <v>0</v>
      </c>
      <c r="I6981" s="6" t="n">
        <f aca="false">MAX(0,min_cash-(Sens!H6982+Sens!I6978-Sens!I6979-Sens!I6980))</f>
        <v>0</v>
      </c>
      <c r="J6981" s="6" t="n">
        <f aca="false">MAX(0,min_cash-(Sens!I6982+Sens!J6978-Sens!J6979-Sens!J6980))</f>
        <v>0</v>
      </c>
      <c r="K6981" s="6" t="n">
        <f aca="false">MAX(0,min_cash-(Sens!J6982+Sens!K6978-Sens!K6979-Sens!K6980))</f>
        <v>0</v>
      </c>
    </row>
    <row r="6982" customFormat="false" ht="15" hidden="false" customHeight="false" outlineLevel="0" collapsed="false">
      <c r="A6982" s="1" t="s">
        <v>863</v>
      </c>
      <c r="B6982" s="0" t="s">
        <v>95</v>
      </c>
      <c r="E6982" s="6" t="n">
        <f aca="false">cash_open</f>
        <v>76.843</v>
      </c>
      <c r="F6982" s="6" t="n">
        <f aca="false">Sens!E6982+Sens!F6978-Sens!F6979-Sens!F6980+Sens!F6981</f>
        <v>50</v>
      </c>
      <c r="G6982" s="6" t="n">
        <f aca="false">Sens!F6982+Sens!G6978-Sens!G6979-Sens!G6980+Sens!G6981</f>
        <v>50</v>
      </c>
      <c r="H6982" s="6" t="n">
        <f aca="false">Sens!G6982+Sens!H6978-Sens!H6979-Sens!H6980+Sens!H6981</f>
        <v>87.9694704046765</v>
      </c>
      <c r="I6982" s="6" t="n">
        <f aca="false">Sens!H6982+Sens!I6978-Sens!I6979-Sens!I6980+Sens!I6981</f>
        <v>145.879887846768</v>
      </c>
      <c r="J6982" s="6" t="n">
        <f aca="false">Sens!I6982+Sens!J6978-Sens!J6979-Sens!J6980+Sens!J6981</f>
        <v>235.389874546444</v>
      </c>
      <c r="K6982" s="6" t="n">
        <f aca="false">Sens!J6982+Sens!K6978-Sens!K6979-Sens!K6980+Sens!K6981</f>
        <v>327.70379769313</v>
      </c>
    </row>
    <row r="6983" customFormat="false" ht="15" hidden="false" customHeight="false" outlineLevel="0" collapsed="false">
      <c r="A6983" s="1" t="s">
        <v>864</v>
      </c>
      <c r="B6983" s="0" t="s">
        <v>95</v>
      </c>
      <c r="E6983" s="6" t="n">
        <f aca="false">debt_face</f>
        <v>46.136</v>
      </c>
      <c r="F6983" s="6" t="n">
        <f aca="false">Sens!E6983-Sens!F6979+Sens!F6981</f>
        <v>42.5982471716491</v>
      </c>
      <c r="G6983" s="6" t="n">
        <f aca="false">Sens!F6983-Sens!G6979+Sens!G6981</f>
        <v>42.5982471716491</v>
      </c>
      <c r="H6983" s="6" t="n">
        <f aca="false">Sens!G6983-Sens!H6979+Sens!H6981</f>
        <v>40.5972471716491</v>
      </c>
      <c r="I6983" s="6" t="n">
        <f aca="false">Sens!H6983-Sens!I6979+Sens!I6981</f>
        <v>40.5972471716491</v>
      </c>
      <c r="J6983" s="6" t="n">
        <f aca="false">Sens!I6983-Sens!J6979+Sens!J6981</f>
        <v>40.0972471716491</v>
      </c>
      <c r="K6983" s="6" t="n">
        <f aca="false">Sens!J6983-Sens!K6979+Sens!K6981</f>
        <v>40.0972471716491</v>
      </c>
    </row>
    <row r="6984" customFormat="false" ht="15" hidden="false" customHeight="false" outlineLevel="0" collapsed="false">
      <c r="A6984" s="1" t="s">
        <v>865</v>
      </c>
      <c r="B6984" s="0" t="s">
        <v>95</v>
      </c>
      <c r="E6984" s="6" t="n">
        <f aca="false">Sens!E6982-Sens!E6983</f>
        <v>30.707</v>
      </c>
      <c r="F6984" s="6" t="n">
        <f aca="false">Sens!F6982-Sens!F6983</f>
        <v>7.40175282835086</v>
      </c>
      <c r="G6984" s="6" t="n">
        <f aca="false">Sens!G6982-Sens!G6983</f>
        <v>7.40175282835086</v>
      </c>
      <c r="H6984" s="6" t="n">
        <f aca="false">Sens!H6982-Sens!H6983</f>
        <v>47.3722232330273</v>
      </c>
      <c r="I6984" s="6" t="n">
        <f aca="false">Sens!I6982-Sens!I6983</f>
        <v>105.282640675118</v>
      </c>
      <c r="J6984" s="6" t="n">
        <f aca="false">Sens!J6982-Sens!J6983</f>
        <v>195.292627374795</v>
      </c>
      <c r="K6984" s="6" t="n">
        <f aca="false">Sens!K6982-Sens!K6983</f>
        <v>287.606550521481</v>
      </c>
    </row>
    <row r="6985" customFormat="false" ht="15" hidden="false" customHeight="false" outlineLevel="0" collapsed="false">
      <c r="A6985" s="1" t="s">
        <v>866</v>
      </c>
      <c r="B6985" s="0" t="s">
        <v>73</v>
      </c>
      <c r="F6985" s="27" t="n">
        <f aca="false">px*(1+bb_g)^(1-0.5)</f>
        <v>553.494156066711</v>
      </c>
      <c r="G6985" s="27" t="n">
        <f aca="false">px*(1+bb_g)^(2-0.5)</f>
        <v>597.773688552047</v>
      </c>
      <c r="H6985" s="27" t="n">
        <f aca="false">px*(1+bb_g)^(3-0.5)</f>
        <v>645.595583636211</v>
      </c>
      <c r="I6985" s="27" t="n">
        <f aca="false">px*(1+bb_g)^(4-0.5)</f>
        <v>697.243230327108</v>
      </c>
      <c r="J6985" s="27" t="n">
        <f aca="false">px*(1+bb_g)^(5-0.5)</f>
        <v>753.022688753277</v>
      </c>
      <c r="K6985" s="27" t="n">
        <f aca="false">px*(1+bb_g)^(6-0.5)</f>
        <v>813.264503853539</v>
      </c>
    </row>
    <row r="6986" customFormat="false" ht="15" hidden="false" customHeight="false" outlineLevel="0" collapsed="false">
      <c r="A6986" s="1" t="s">
        <v>867</v>
      </c>
      <c r="B6986" s="1" t="s">
        <v>79</v>
      </c>
      <c r="E6986" s="18" t="n">
        <f aca="false">sh_out26</f>
        <v>7.427</v>
      </c>
      <c r="F6986" s="18" t="n">
        <f aca="false">Sens!E6986+sh_iss-Sens!F6980/Sens!F6985</f>
        <v>7.472</v>
      </c>
      <c r="G6986" s="18" t="n">
        <f aca="false">Sens!F6986+sh_iss-Sens!G6980/Sens!G6985</f>
        <v>7.49521424644633</v>
      </c>
      <c r="H6986" s="18" t="n">
        <f aca="false">Sens!G6986+sh_iss-Sens!H6980/Sens!H6985</f>
        <v>7.50571741814623</v>
      </c>
      <c r="I6986" s="18" t="n">
        <f aca="false">Sens!H6986+sh_iss-Sens!I6980/Sens!I6985</f>
        <v>7.51877591046095</v>
      </c>
      <c r="J6986" s="18" t="n">
        <f aca="false">Sens!I6986+sh_iss-Sens!J6980/Sens!J6985</f>
        <v>7.53420044038199</v>
      </c>
      <c r="K6986" s="18" t="n">
        <f aca="false">Sens!J6986+sh_iss-Sens!K6980/Sens!K6985</f>
        <v>7.55181574586444</v>
      </c>
    </row>
    <row r="6987" customFormat="false" ht="15" hidden="false" customHeight="false" outlineLevel="0" collapsed="false">
      <c r="A6987" s="1" t="s">
        <v>868</v>
      </c>
      <c r="B6987" s="1" t="s">
        <v>79</v>
      </c>
      <c r="E6987" s="18" t="n">
        <f aca="false">sh_dil26</f>
        <v>7.453</v>
      </c>
      <c r="F6987" s="18" t="n">
        <f aca="false">(Sens!E6986+Sens!F6986)/2+dil_gap</f>
        <v>7.4735</v>
      </c>
      <c r="G6987" s="18" t="n">
        <f aca="false">(Sens!F6986+Sens!G6986)/2+dil_gap</f>
        <v>7.50760712322316</v>
      </c>
      <c r="H6987" s="18" t="n">
        <f aca="false">(Sens!G6986+Sens!H6986)/2+dil_gap</f>
        <v>7.52446583229628</v>
      </c>
      <c r="I6987" s="18" t="n">
        <f aca="false">(Sens!H6986+Sens!I6986)/2+dil_gap</f>
        <v>7.53624666430359</v>
      </c>
      <c r="J6987" s="18" t="n">
        <f aca="false">(Sens!I6986+Sens!J6986)/2+dil_gap</f>
        <v>7.55048817542147</v>
      </c>
      <c r="K6987" s="18" t="n">
        <f aca="false">(Sens!J6986+Sens!K6986)/2+dil_gap</f>
        <v>7.56700809312321</v>
      </c>
    </row>
    <row r="6988" customFormat="false" ht="17.15" hidden="false" customHeight="false" outlineLevel="0" collapsed="false">
      <c r="A6988" s="1" t="s">
        <v>869</v>
      </c>
      <c r="B6988" s="0" t="s">
        <v>95</v>
      </c>
      <c r="C6988" s="6" t="n">
        <f aca="false">SUM(Sens!F6978:J6978)</f>
        <v>244.42157763446</v>
      </c>
    </row>
    <row r="6989" customFormat="false" ht="17.15" hidden="false" customHeight="false" outlineLevel="0" collapsed="false">
      <c r="A6989" s="1" t="s">
        <v>836</v>
      </c>
      <c r="B6989" s="1" t="s">
        <v>870</v>
      </c>
      <c r="C6989" s="30" t="str">
        <f aca="false">IF(SUM(Sens!F6981:J6981)&gt;0.05,"需要舉債 "&amp;TEXT(SUM(Sens!F6981:J6981),"0.0")&amp;" 十億美元","不需舉債")&amp;"；"&amp;IF(SUM(Sens!F6980:J6980)&lt;5*bb_target-0.05,"回購較每年 "&amp;TEXT(bb_target,"0.0")&amp;" 的目標少 "&amp;TEXT(5*bb_target-SUM(Sens!F6980:J6980),"0.0")&amp;" 十億美元（"&amp;TEXT(COUNTIF(Sens!F6980:J6980,"&lt;"&amp;(bb_target-0.05)),"0")&amp;" 年減少）","回購不減")</f>
        <v>需要舉債 5.7 十億美元；回購較每年 22.3 的目標少 31.5 十億美元（2 年減少）</v>
      </c>
    </row>
    <row r="6990" customFormat="false" ht="17.15" hidden="false" customHeight="false" outlineLevel="0" collapsed="false">
      <c r="A6990" s="3" t="s">
        <v>1313</v>
      </c>
    </row>
    <row r="6991" customFormat="false" ht="15" hidden="false" customHeight="false" outlineLevel="0" collapsed="false">
      <c r="A6991" s="4" t="s">
        <v>43</v>
      </c>
      <c r="B6991" s="4" t="s">
        <v>63</v>
      </c>
      <c r="C6991" s="19" t="s">
        <v>710</v>
      </c>
      <c r="D6991" s="19" t="s">
        <v>711</v>
      </c>
      <c r="E6991" s="19" t="s">
        <v>712</v>
      </c>
      <c r="F6991" s="19" t="s">
        <v>713</v>
      </c>
      <c r="G6991" s="19" t="s">
        <v>714</v>
      </c>
      <c r="H6991" s="19" t="s">
        <v>715</v>
      </c>
      <c r="I6991" s="19" t="s">
        <v>716</v>
      </c>
      <c r="J6991" s="19" t="s">
        <v>717</v>
      </c>
      <c r="K6991" s="19" t="s">
        <v>718</v>
      </c>
      <c r="L6991" s="4" t="s">
        <v>47</v>
      </c>
    </row>
    <row r="6992" customFormat="false" ht="17.15" hidden="false" customHeight="false" outlineLevel="0" collapsed="false">
      <c r="A6992" s="1" t="s">
        <v>938</v>
      </c>
      <c r="B6992" s="1" t="s">
        <v>213</v>
      </c>
      <c r="F6992" s="34" t="n">
        <f aca="false">1-0.5</f>
        <v>0.5</v>
      </c>
      <c r="G6992" s="34" t="n">
        <f aca="false">2-0.5</f>
        <v>1.5</v>
      </c>
      <c r="H6992" s="34" t="n">
        <f aca="false">3-0.5</f>
        <v>2.5</v>
      </c>
      <c r="I6992" s="34" t="n">
        <f aca="false">4-0.5</f>
        <v>3.5</v>
      </c>
      <c r="J6992" s="34" t="n">
        <f aca="false">5-0.5</f>
        <v>4.5</v>
      </c>
      <c r="K6992" s="34" t="n">
        <f aca="false">6-0.5</f>
        <v>5.5</v>
      </c>
    </row>
    <row r="6993" customFormat="false" ht="15" hidden="false" customHeight="false" outlineLevel="0" collapsed="false">
      <c r="A6993" s="1" t="s">
        <v>939</v>
      </c>
      <c r="B6993" s="0" t="s">
        <v>182</v>
      </c>
      <c r="F6993" s="18" t="n">
        <f aca="false">1/(1+wacc)^Sens!F6992</f>
        <v>0.949601579913219</v>
      </c>
      <c r="G6993" s="18" t="n">
        <f aca="false">1/(1+wacc)^Sens!G6992</f>
        <v>0.856296729956707</v>
      </c>
      <c r="H6993" s="18" t="n">
        <f aca="false">1/(1+wacc)^Sens!H6992</f>
        <v>0.772159719660069</v>
      </c>
      <c r="I6993" s="18" t="n">
        <f aca="false">1/(1+wacc)^Sens!I6992</f>
        <v>0.696289746073958</v>
      </c>
      <c r="J6993" s="18" t="n">
        <f aca="false">1/(1+wacc)^Sens!J6992</f>
        <v>0.627874516299776</v>
      </c>
      <c r="K6993" s="18" t="n">
        <f aca="false">1/(1+wacc)^Sens!K6992</f>
        <v>0.566181550771831</v>
      </c>
    </row>
    <row r="6994" customFormat="false" ht="15" hidden="false" customHeight="false" outlineLevel="0" collapsed="false">
      <c r="A6994" s="1" t="s">
        <v>940</v>
      </c>
      <c r="B6994" s="0" t="s">
        <v>95</v>
      </c>
      <c r="F6994" s="6" t="n">
        <f aca="false">Sens!F6975*Sens!F6993</f>
        <v>5.02216056149348</v>
      </c>
      <c r="G6994" s="6" t="n">
        <f aca="false">Sens!G6975*Sens!G6993</f>
        <v>37.7554297549519</v>
      </c>
      <c r="H6994" s="6" t="n">
        <f aca="false">Sens!H6975*Sens!H6993</f>
        <v>74.0499467061889</v>
      </c>
      <c r="I6994" s="6" t="n">
        <f aca="false">Sens!I6975*Sens!I6993</f>
        <v>81.1757774496823</v>
      </c>
      <c r="J6994" s="6" t="n">
        <f aca="false">Sens!J6975*Sens!J6993</f>
        <v>95.2256162084892</v>
      </c>
      <c r="K6994" s="6" t="n">
        <f aca="false">Sens!K6975*Sens!K6993</f>
        <v>89.0067067330917</v>
      </c>
    </row>
    <row r="6995" customFormat="false" ht="17.15" hidden="false" customHeight="false" outlineLevel="0" collapsed="false">
      <c r="A6995" s="1" t="s">
        <v>941</v>
      </c>
      <c r="B6995" s="0" t="s">
        <v>95</v>
      </c>
      <c r="C6995" s="6" t="n">
        <f aca="false">SUM(Sens!F6994:K6994)</f>
        <v>382.235637413897</v>
      </c>
    </row>
    <row r="6996" customFormat="false" ht="17.15" hidden="false" customHeight="false" outlineLevel="0" collapsed="false">
      <c r="A6996" s="1" t="s">
        <v>942</v>
      </c>
      <c r="B6996" s="0" t="s">
        <v>95</v>
      </c>
      <c r="C6996" s="6" t="n">
        <f aca="false">Sens!K6941*(1+g_tv)*(1-tax_f)</f>
        <v>271.458342241827</v>
      </c>
    </row>
    <row r="6997" customFormat="false" ht="17.15" hidden="false" customHeight="false" outlineLevel="0" collapsed="false">
      <c r="A6997" s="1" t="s">
        <v>943</v>
      </c>
      <c r="B6997" s="0" t="s">
        <v>95</v>
      </c>
      <c r="C6997" s="6" t="n">
        <f aca="false">Sens!$C$6996*(1-g_tv/(wacc+ronic_prem))</f>
        <v>196.719818717224</v>
      </c>
    </row>
    <row r="6998" customFormat="false" ht="17.15" hidden="false" customHeight="false" outlineLevel="0" collapsed="false">
      <c r="A6998" s="1" t="s">
        <v>944</v>
      </c>
      <c r="B6998" s="0" t="s">
        <v>95</v>
      </c>
      <c r="C6998" s="6" t="n">
        <f aca="false">Sens!$C$6997/(wacc-g_tv)</f>
        <v>2491.28411748678</v>
      </c>
    </row>
    <row r="6999" customFormat="false" ht="15" hidden="false" customHeight="false" outlineLevel="0" collapsed="false">
      <c r="A6999" s="1" t="s">
        <v>945</v>
      </c>
      <c r="B6999" s="0" t="s">
        <v>95</v>
      </c>
      <c r="C6999" s="6" t="n">
        <f aca="false">Sens!$C$6998/(1+wacc)^6</f>
        <v>1339.43117065506</v>
      </c>
    </row>
    <row r="7000" customFormat="false" ht="17.15" hidden="false" customHeight="false" outlineLevel="0" collapsed="false">
      <c r="A7000" s="0" t="s">
        <v>877</v>
      </c>
      <c r="B7000" s="0" t="s">
        <v>95</v>
      </c>
      <c r="C7000" s="6" t="n">
        <f aca="false">Sens!$C$6995+Sens!$C$6999</f>
        <v>1721.66680806896</v>
      </c>
    </row>
    <row r="7001" customFormat="false" ht="15" hidden="false" customHeight="false" outlineLevel="0" collapsed="false">
      <c r="A7001" s="1" t="s">
        <v>878</v>
      </c>
      <c r="B7001" s="0" t="s">
        <v>126</v>
      </c>
      <c r="C7001" s="7" t="n">
        <f aca="false">Sens!$C$6999/Sens!$C$7000</f>
        <v>0.777985127190425</v>
      </c>
    </row>
    <row r="7002" customFormat="false" ht="17.15" hidden="false" customHeight="false" outlineLevel="0" collapsed="false">
      <c r="A7002" s="1" t="s">
        <v>946</v>
      </c>
      <c r="B7002" s="0" t="s">
        <v>95</v>
      </c>
      <c r="C7002" s="6" t="n">
        <f aca="false">Sens!$C$7000+Sens!E6984+oai_v</f>
        <v>1922.77380806896</v>
      </c>
    </row>
    <row r="7003" customFormat="false" ht="17.15" hidden="false" customHeight="false" outlineLevel="0" collapsed="false">
      <c r="A7003" s="0" t="s">
        <v>883</v>
      </c>
      <c r="B7003" s="0" t="s">
        <v>73</v>
      </c>
      <c r="C7003" s="5" t="n">
        <f aca="false">Sens!$C$7002/sh_dil26</f>
        <v>257.986556832009</v>
      </c>
    </row>
    <row r="7004" customFormat="false" ht="17.15" hidden="false" customHeight="false" outlineLevel="0" collapsed="false">
      <c r="A7004" s="0" t="s">
        <v>947</v>
      </c>
      <c r="B7004" s="0" t="s">
        <v>73</v>
      </c>
      <c r="C7004" s="5" t="n">
        <f aca="false">Sens!$C$7003*(1+wacc)^t_roll</f>
        <v>295.909180015762</v>
      </c>
    </row>
    <row r="7005" customFormat="false" ht="17.15" hidden="false" customHeight="false" outlineLevel="0" collapsed="false">
      <c r="A7005" s="1" t="s">
        <v>948</v>
      </c>
      <c r="B7005" s="0" t="s">
        <v>126</v>
      </c>
      <c r="F7005" s="7" t="n">
        <f aca="false">Sens!F6965/(Sens!F6916-Sens!F6872)</f>
        <v>0.0681086153697838</v>
      </c>
      <c r="G7005" s="7" t="n">
        <f aca="false">Sens!G6965/(Sens!G6916-Sens!G6872)</f>
        <v>0.0648550376508309</v>
      </c>
      <c r="H7005" s="7" t="n">
        <f aca="false">Sens!H6965/(Sens!H6916-Sens!H6872)</f>
        <v>0.0630538695219255</v>
      </c>
      <c r="I7005" s="7" t="n">
        <f aca="false">Sens!I6965/(Sens!I6916-Sens!I6872)</f>
        <v>0.0625999950795357</v>
      </c>
      <c r="J7005" s="7" t="n">
        <f aca="false">Sens!J6965/(Sens!J6916-Sens!J6872)</f>
        <v>0.0631452373713015</v>
      </c>
      <c r="K7005" s="7" t="n">
        <f aca="false">Sens!K6965/(Sens!K6916-Sens!K6872)</f>
        <v>0.0642529164700357</v>
      </c>
    </row>
    <row r="7006" customFormat="false" ht="17.15" hidden="false" customHeight="false" outlineLevel="0" collapsed="false">
      <c r="A7006" s="0" t="s">
        <v>949</v>
      </c>
      <c r="B7006" s="0" t="s">
        <v>95</v>
      </c>
      <c r="F7006" s="6" t="n">
        <f aca="false">Sens!F6901*(al_m365+Sens!F7005)</f>
        <v>80.4351914919788</v>
      </c>
      <c r="G7006" s="6" t="n">
        <f aca="false">Sens!G6901*(al_m365+Sens!G7005)</f>
        <v>94.1063534432053</v>
      </c>
      <c r="H7006" s="6" t="n">
        <f aca="false">Sens!H6901*(al_m365+Sens!H7005)</f>
        <v>107.930158013292</v>
      </c>
      <c r="I7006" s="6" t="n">
        <f aca="false">Sens!I6901*(al_m365+Sens!I7005)</f>
        <v>120.317576107001</v>
      </c>
      <c r="J7006" s="6" t="n">
        <f aca="false">Sens!J6901*(al_m365+Sens!J7005)</f>
        <v>131.092342862868</v>
      </c>
      <c r="K7006" s="6" t="n">
        <f aca="false">Sens!K6901*(al_m365+Sens!K7005)</f>
        <v>141.504464962768</v>
      </c>
    </row>
    <row r="7007" customFormat="false" ht="17.15" hidden="false" customHeight="false" outlineLevel="0" collapsed="false">
      <c r="A7007" s="0" t="s">
        <v>950</v>
      </c>
      <c r="B7007" s="0" t="s">
        <v>95</v>
      </c>
      <c r="F7007" s="6" t="n">
        <f aca="false">Sens!F6902*(al_lic+Sens!F7005)</f>
        <v>31.9652080771237</v>
      </c>
      <c r="G7007" s="6" t="n">
        <f aca="false">Sens!G6902*(al_lic+Sens!G7005)</f>
        <v>33.1862449890824</v>
      </c>
      <c r="H7007" s="6" t="n">
        <f aca="false">Sens!H6902*(al_lic+Sens!H7005)</f>
        <v>34.3300603292501</v>
      </c>
      <c r="I7007" s="6" t="n">
        <f aca="false">Sens!I6902*(al_lic+Sens!I7005)</f>
        <v>35.3804402969347</v>
      </c>
      <c r="J7007" s="6" t="n">
        <f aca="false">Sens!J6902*(al_lic+Sens!J7005)</f>
        <v>36.3100339286494</v>
      </c>
      <c r="K7007" s="6" t="n">
        <f aca="false">Sens!K6902*(al_lic+Sens!K7005)</f>
        <v>37.0866859424634</v>
      </c>
    </row>
    <row r="7008" customFormat="false" ht="17.15" hidden="false" customHeight="false" outlineLevel="0" collapsed="false">
      <c r="A7008" s="0" t="s">
        <v>951</v>
      </c>
      <c r="B7008" s="0" t="s">
        <v>95</v>
      </c>
      <c r="F7008" s="6" t="n">
        <f aca="false">Sens!F6904*(al_ind+Sens!F7005)</f>
        <v>8.22988541800869</v>
      </c>
      <c r="G7008" s="6" t="n">
        <f aca="false">Sens!G6904*(al_ind+Sens!G7005)</f>
        <v>8.91676977631129</v>
      </c>
      <c r="H7008" s="6" t="n">
        <f aca="false">Sens!H6904*(al_ind+Sens!H7005)</f>
        <v>9.64772280871046</v>
      </c>
      <c r="I7008" s="6" t="n">
        <f aca="false">Sens!I6904*(al_ind+Sens!I7005)</f>
        <v>10.4215651125741</v>
      </c>
      <c r="J7008" s="6" t="n">
        <f aca="false">Sens!J6904*(al_ind+Sens!J7005)</f>
        <v>11.2281800291054</v>
      </c>
      <c r="K7008" s="6" t="n">
        <f aca="false">Sens!K6904*(al_ind+Sens!K7005)</f>
        <v>12.0507986459848</v>
      </c>
    </row>
    <row r="7009" customFormat="false" ht="17.15" hidden="false" customHeight="false" outlineLevel="0" collapsed="false">
      <c r="A7009" s="0" t="s">
        <v>952</v>
      </c>
      <c r="B7009" s="0" t="s">
        <v>95</v>
      </c>
      <c r="F7009" s="6" t="n">
        <f aca="false">Sens!F6906*(al_fro+Sens!F7005)</f>
        <v>3.23931179401762</v>
      </c>
      <c r="G7009" s="6" t="n">
        <f aca="false">Sens!G6906*(al_fro+Sens!G7005)</f>
        <v>3.42351241975289</v>
      </c>
      <c r="H7009" s="6" t="n">
        <f aca="false">Sens!H6906*(al_fro+Sens!H7005)</f>
        <v>3.63559217227383</v>
      </c>
      <c r="I7009" s="6" t="n">
        <f aca="false">Sens!I6906*(al_fro+Sens!I7005)</f>
        <v>3.87848238235802</v>
      </c>
      <c r="J7009" s="6" t="n">
        <f aca="false">Sens!J6906*(al_fro+Sens!J7005)</f>
        <v>4.15261247292106</v>
      </c>
      <c r="K7009" s="6" t="n">
        <f aca="false">Sens!K6906*(al_fro+Sens!K7005)</f>
        <v>4.45684845061785</v>
      </c>
    </row>
    <row r="7010" customFormat="false" ht="17.15" hidden="false" customHeight="false" outlineLevel="0" collapsed="false">
      <c r="A7010" s="0" t="s">
        <v>953</v>
      </c>
      <c r="B7010" s="0" t="s">
        <v>95</v>
      </c>
      <c r="F7010" s="6" t="n">
        <f aca="false">Sens!F6909*(al_srch+Sens!F7005)</f>
        <v>10.1640273970528</v>
      </c>
      <c r="G7010" s="6" t="n">
        <f aca="false">Sens!G6909*(al_srch+Sens!G7005)</f>
        <v>11.1162452078086</v>
      </c>
      <c r="H7010" s="6" t="n">
        <f aca="false">Sens!H6909*(al_srch+Sens!H7005)</f>
        <v>12.1130660635171</v>
      </c>
      <c r="I7010" s="6" t="n">
        <f aca="false">Sens!I6909*(al_srch+Sens!I7005)</f>
        <v>13.1470424411069</v>
      </c>
      <c r="J7010" s="6" t="n">
        <f aca="false">Sens!J6909*(al_srch+Sens!J7005)</f>
        <v>14.1985563689409</v>
      </c>
      <c r="K7010" s="6" t="n">
        <f aca="false">Sens!K6909*(al_srch+Sens!K7005)</f>
        <v>15.2387959065708</v>
      </c>
    </row>
    <row r="7011" customFormat="false" ht="17.15" hidden="false" customHeight="false" outlineLevel="0" collapsed="false">
      <c r="A7011" s="0" t="s">
        <v>954</v>
      </c>
      <c r="B7011" s="0" t="s">
        <v>95</v>
      </c>
      <c r="F7011" s="6" t="n">
        <f aca="false">Sens!F6878</f>
        <v>43.1278534047371</v>
      </c>
      <c r="G7011" s="6" t="n">
        <f aca="false">Sens!G6878</f>
        <v>78.4713023799053</v>
      </c>
      <c r="H7011" s="6" t="n">
        <f aca="false">Sens!H6878</f>
        <v>120.169624261219</v>
      </c>
      <c r="I7011" s="6" t="n">
        <f aca="false">Sens!I6878</f>
        <v>156.086713969963</v>
      </c>
      <c r="J7011" s="6" t="n">
        <f aca="false">Sens!J6878</f>
        <v>192.09687492465</v>
      </c>
      <c r="K7011" s="6" t="n">
        <f aca="false">Sens!K6878</f>
        <v>228.161785217179</v>
      </c>
    </row>
    <row r="7012" customFormat="false" ht="17.15" hidden="false" customHeight="false" outlineLevel="0" collapsed="false">
      <c r="A7012" s="0" t="s">
        <v>955</v>
      </c>
      <c r="B7012" s="0" t="s">
        <v>95</v>
      </c>
      <c r="F7012" s="6" t="n">
        <f aca="false">Sens!F6938+Sens!F6889+Sens!F7005*(Sens!F6908-Sens!F6872)</f>
        <v>216.297532014069</v>
      </c>
      <c r="G7012" s="6" t="n">
        <f aca="false">Sens!G6938+Sens!G6889+Sens!G7005*(Sens!G6908-Sens!G6872)</f>
        <v>274.2725488812</v>
      </c>
      <c r="H7012" s="6" t="n">
        <f aca="false">Sens!H6938+Sens!H6889+Sens!H7005*(Sens!H6908-Sens!H6872)</f>
        <v>339.56713987275</v>
      </c>
      <c r="I7012" s="6" t="n">
        <f aca="false">Sens!I6938+Sens!I6889+Sens!I7005*(Sens!I6908-Sens!I6872)</f>
        <v>398.469213036663</v>
      </c>
      <c r="J7012" s="6" t="n">
        <f aca="false">Sens!J6938+Sens!J6889+Sens!J7005*(Sens!J6908-Sens!J6872)</f>
        <v>456.2511647574</v>
      </c>
      <c r="K7012" s="6" t="n">
        <f aca="false">Sens!K6938+Sens!K6889+Sens!K7005*(Sens!K6908-Sens!K6872)</f>
        <v>513.485163802276</v>
      </c>
    </row>
    <row r="7013" customFormat="false" ht="17.15" hidden="false" customHeight="false" outlineLevel="0" collapsed="false">
      <c r="A7013" s="0" t="s">
        <v>956</v>
      </c>
      <c r="B7013" s="0" t="s">
        <v>95</v>
      </c>
      <c r="F7013" s="6" t="n">
        <f aca="false">Sens!F7012-Sens!F7006-Sens!F7007-Sens!F7008-Sens!F7009-Sens!F7011</f>
        <v>49.3000818282031</v>
      </c>
      <c r="G7013" s="6" t="n">
        <f aca="false">Sens!G7012-Sens!G7006-Sens!G7007-Sens!G7008-Sens!G7009-Sens!G7011</f>
        <v>56.1683658729432</v>
      </c>
      <c r="H7013" s="6" t="n">
        <f aca="false">Sens!H7012-Sens!H7006-Sens!H7007-Sens!H7008-Sens!H7009-Sens!H7011</f>
        <v>63.8539822880041</v>
      </c>
      <c r="I7013" s="6" t="n">
        <f aca="false">Sens!I7012-Sens!I7006-Sens!I7007-Sens!I7008-Sens!I7009-Sens!I7011</f>
        <v>72.3844351678323</v>
      </c>
      <c r="J7013" s="6" t="n">
        <f aca="false">Sens!J7012-Sens!J7006-Sens!J7007-Sens!J7008-Sens!J7009-Sens!J7011</f>
        <v>81.3711205392059</v>
      </c>
      <c r="K7013" s="6" t="n">
        <f aca="false">Sens!K7012-Sens!K7006-Sens!K7007-Sens!K7008-Sens!K7009-Sens!K7011</f>
        <v>90.2245805832628</v>
      </c>
    </row>
    <row r="7014" customFormat="false" ht="17.15" hidden="false" customHeight="false" outlineLevel="0" collapsed="false">
      <c r="A7014" s="0" t="s">
        <v>957</v>
      </c>
      <c r="B7014" s="0" t="s">
        <v>95</v>
      </c>
      <c r="F7014" s="6" t="n">
        <f aca="false">Sens!F6940+Sens!F7005*Sens!F6915</f>
        <v>23.7321544665094</v>
      </c>
      <c r="G7014" s="6" t="n">
        <f aca="false">Sens!G6940+Sens!G7005*Sens!G6915</f>
        <v>24.2364824588143</v>
      </c>
      <c r="H7014" s="6" t="n">
        <f aca="false">Sens!H6940+Sens!H7005*Sens!H6915</f>
        <v>24.9962885719632</v>
      </c>
      <c r="I7014" s="6" t="n">
        <f aca="false">Sens!I6940+Sens!I7005*Sens!I6915</f>
        <v>25.9860611627537</v>
      </c>
      <c r="J7014" s="6" t="n">
        <f aca="false">Sens!J6940+Sens!J7005*Sens!J6915</f>
        <v>27.1686845131357</v>
      </c>
      <c r="K7014" s="6" t="n">
        <f aca="false">Sens!K6940+Sens!K7005*Sens!K6915</f>
        <v>28.5021585377708</v>
      </c>
    </row>
    <row r="7015" customFormat="false" ht="17.15" hidden="false" customHeight="false" outlineLevel="0" collapsed="false">
      <c r="A7015" s="0" t="s">
        <v>958</v>
      </c>
      <c r="B7015" s="0" t="s">
        <v>95</v>
      </c>
      <c r="F7015" s="6" t="n">
        <f aca="false">(Sens!F7014-Sens!F7010)*Sens!F6911/(Sens!F6911+Sens!F6913)</f>
        <v>7.43791510783334</v>
      </c>
      <c r="G7015" s="6" t="n">
        <f aca="false">(Sens!G7014-Sens!G7010)*Sens!G6911/(Sens!G6911+Sens!G6913)</f>
        <v>7.06414647654645</v>
      </c>
      <c r="H7015" s="6" t="n">
        <f aca="false">(Sens!H7014-Sens!H7010)*Sens!H6911/(Sens!H6911+Sens!H6913)</f>
        <v>6.84283295099875</v>
      </c>
      <c r="I7015" s="6" t="n">
        <f aca="false">(Sens!I7014-Sens!I7010)*Sens!I6911/(Sens!I6911+Sens!I6913)</f>
        <v>6.75765281515887</v>
      </c>
      <c r="J7015" s="6" t="n">
        <f aca="false">(Sens!J7014-Sens!J7010)*Sens!J6911/(Sens!J6911+Sens!J6913)</f>
        <v>6.7957906706955</v>
      </c>
      <c r="K7015" s="6" t="n">
        <f aca="false">(Sens!K7014-Sens!K7010)*Sens!K6911/(Sens!K6911+Sens!K6913)</f>
        <v>6.94943296080718</v>
      </c>
    </row>
    <row r="7016" customFormat="false" ht="17.15" hidden="false" customHeight="false" outlineLevel="0" collapsed="false">
      <c r="A7016" s="0" t="s">
        <v>959</v>
      </c>
      <c r="B7016" s="0" t="s">
        <v>95</v>
      </c>
      <c r="F7016" s="6" t="n">
        <f aca="false">Sens!F7014-Sens!F7010-Sens!F7015</f>
        <v>6.13021196162328</v>
      </c>
      <c r="G7016" s="6" t="n">
        <f aca="false">Sens!G7014-Sens!G7010-Sens!G7015</f>
        <v>6.05609077445924</v>
      </c>
      <c r="H7016" s="6" t="n">
        <f aca="false">Sens!H7014-Sens!H7010-Sens!H7015</f>
        <v>6.04038955744736</v>
      </c>
      <c r="I7016" s="6" t="n">
        <f aca="false">Sens!I7014-Sens!I7010-Sens!I7015</f>
        <v>6.08136590648796</v>
      </c>
      <c r="J7016" s="6" t="n">
        <f aca="false">Sens!J7014-Sens!J7010-Sens!J7015</f>
        <v>6.17433747349933</v>
      </c>
      <c r="K7016" s="6" t="n">
        <f aca="false">Sens!K7014-Sens!K7010-Sens!K7015</f>
        <v>6.31392967039284</v>
      </c>
    </row>
    <row r="7017" customFormat="false" ht="17.15" hidden="false" customHeight="false" outlineLevel="0" collapsed="false">
      <c r="A7017" s="1" t="s">
        <v>960</v>
      </c>
      <c r="B7017" s="0" t="s">
        <v>95</v>
      </c>
      <c r="C7017" s="6" t="n">
        <f aca="false">(w_ntm28*Sens!G7011+(1-w_ntm28)*Sens!H7011)*m_ai*1</f>
        <v>551.711134531404</v>
      </c>
    </row>
    <row r="7018" customFormat="false" ht="17.15" hidden="false" customHeight="false" outlineLevel="0" collapsed="false">
      <c r="A7018" s="1" t="s">
        <v>961</v>
      </c>
      <c r="B7018" s="0" t="s">
        <v>95</v>
      </c>
      <c r="C7018" s="6" t="n">
        <f aca="false">(w_ntm28*Sens!G7013+(1-w_ntm28)*Sens!H7013)*m_cloud*1</f>
        <v>810.584887117568</v>
      </c>
    </row>
    <row r="7019" customFormat="false" ht="17.15" hidden="false" customHeight="false" outlineLevel="0" collapsed="false">
      <c r="A7019" s="1" t="s">
        <v>962</v>
      </c>
      <c r="B7019" s="0" t="s">
        <v>95</v>
      </c>
      <c r="C7019" s="6" t="n">
        <f aca="false">(w_ntm28*Sens!G7006+(1-w_ntm28)*Sens!H7006)*m_sw*1</f>
        <v>1064.61452552667</v>
      </c>
    </row>
    <row r="7020" customFormat="false" ht="17.15" hidden="false" customHeight="false" outlineLevel="0" collapsed="false">
      <c r="A7020" s="1" t="s">
        <v>963</v>
      </c>
      <c r="B7020" s="0" t="s">
        <v>95</v>
      </c>
      <c r="C7020" s="6" t="n">
        <f aca="false">(w_ntm28*Sens!G7007+(1-w_ntm28)*Sens!H7007)*m_sw*1</f>
        <v>362.405084976637</v>
      </c>
    </row>
    <row r="7021" customFormat="false" ht="17.15" hidden="false" customHeight="false" outlineLevel="0" collapsed="false">
      <c r="A7021" s="1" t="s">
        <v>964</v>
      </c>
      <c r="B7021" s="0" t="s">
        <v>95</v>
      </c>
      <c r="C7021" s="6" t="n">
        <f aca="false">(w_ntm28*Sens!G7008+(1-w_ntm28)*Sens!H7008)*m_sw*1</f>
        <v>98.8532411033113</v>
      </c>
    </row>
    <row r="7022" customFormat="false" ht="17.15" hidden="false" customHeight="false" outlineLevel="0" collapsed="false">
      <c r="A7022" s="1" t="s">
        <v>965</v>
      </c>
      <c r="B7022" s="0" t="s">
        <v>95</v>
      </c>
      <c r="C7022" s="6" t="n">
        <f aca="false">(w_ntm28*Sens!G7009+(1-w_ntm28)*Sens!H7009)*m_sw*1</f>
        <v>37.7144120418591</v>
      </c>
    </row>
    <row r="7023" customFormat="false" ht="17.15" hidden="false" customHeight="false" outlineLevel="0" collapsed="false">
      <c r="A7023" s="1" t="s">
        <v>966</v>
      </c>
      <c r="B7023" s="0" t="s">
        <v>95</v>
      </c>
      <c r="C7023" s="6" t="n">
        <f aca="false">(w_ntm28*Sens!G7010+(1-w_ntm28)*Sens!H7010)*m_ads*1</f>
        <v>104.20478146908</v>
      </c>
    </row>
    <row r="7024" customFormat="false" ht="17.15" hidden="false" customHeight="false" outlineLevel="0" collapsed="false">
      <c r="A7024" s="1" t="s">
        <v>967</v>
      </c>
      <c r="B7024" s="0" t="s">
        <v>95</v>
      </c>
      <c r="C7024" s="6" t="n">
        <f aca="false">(w_ntm28*Sens!G7015+(1-w_ntm28)*Sens!H7015)*m_game*1</f>
        <v>88.3165195887413</v>
      </c>
    </row>
    <row r="7025" customFormat="false" ht="17.15" hidden="false" customHeight="false" outlineLevel="0" collapsed="false">
      <c r="A7025" s="1" t="s">
        <v>968</v>
      </c>
      <c r="B7025" s="0" t="s">
        <v>95</v>
      </c>
      <c r="C7025" s="6" t="n">
        <f aca="false">(w_ntm28*Sens!G7016+(1-w_ntm28)*Sens!H7016)*m_pc*1</f>
        <v>87.5581836434139</v>
      </c>
    </row>
    <row r="7026" customFormat="false" ht="17.15" hidden="false" customHeight="false" outlineLevel="0" collapsed="false">
      <c r="A7026" s="1" t="s">
        <v>969</v>
      </c>
      <c r="B7026" s="0" t="s">
        <v>95</v>
      </c>
      <c r="C7026" s="6" t="n">
        <f aca="false">Sens!$C$7017+Sens!$C$7018+Sens!$C$7019+Sens!$C$7020+Sens!$C$7021+Sens!$C$7022+Sens!$C$7023+Sens!$C$7024+Sens!$C$7025</f>
        <v>3205.96276999868</v>
      </c>
    </row>
    <row r="7027" customFormat="false" ht="17.15" hidden="false" customHeight="false" outlineLevel="0" collapsed="false">
      <c r="A7027" s="1" t="s">
        <v>903</v>
      </c>
      <c r="B7027" s="0" t="s">
        <v>95</v>
      </c>
      <c r="C7027" s="6" t="n">
        <f aca="false">Sens!F6984+oai_v-Sens!F6973</f>
        <v>115.332022828351</v>
      </c>
      <c r="L7027" s="1" t="s">
        <v>970</v>
      </c>
    </row>
    <row r="7028" customFormat="false" ht="15" hidden="false" customHeight="false" outlineLevel="0" collapsed="false">
      <c r="A7028" s="1" t="s">
        <v>904</v>
      </c>
      <c r="B7028" s="0" t="s">
        <v>73</v>
      </c>
      <c r="C7028" s="5" t="n">
        <f aca="false">(Sens!$C$7026+Sens!$C$7027)/Sens!F6986</f>
        <v>444.498767776637</v>
      </c>
    </row>
    <row r="7029" customFormat="false" ht="17.15" hidden="false" customHeight="false" outlineLevel="0" collapsed="false">
      <c r="A7029" s="1" t="s">
        <v>971</v>
      </c>
      <c r="B7029" s="0" t="s">
        <v>73</v>
      </c>
      <c r="C7029" s="5" t="n">
        <f aca="false">w_dcf*Sens!$C$7004+(1-w_dcf)*Sens!$C$7028</f>
        <v>370.2039738962</v>
      </c>
    </row>
    <row r="7030" customFormat="false" ht="17.15" hidden="false" customHeight="false" outlineLevel="0" collapsed="false">
      <c r="A7030" s="3" t="s">
        <v>1314</v>
      </c>
    </row>
    <row r="7031" customFormat="false" ht="15" hidden="false" customHeight="false" outlineLevel="0" collapsed="false">
      <c r="A7031" s="4" t="s">
        <v>43</v>
      </c>
      <c r="B7031" s="4" t="s">
        <v>63</v>
      </c>
      <c r="C7031" s="19" t="s">
        <v>710</v>
      </c>
      <c r="D7031" s="19" t="s">
        <v>711</v>
      </c>
      <c r="E7031" s="19" t="s">
        <v>712</v>
      </c>
      <c r="F7031" s="19" t="s">
        <v>713</v>
      </c>
      <c r="G7031" s="19" t="s">
        <v>714</v>
      </c>
      <c r="H7031" s="19" t="s">
        <v>715</v>
      </c>
      <c r="I7031" s="19" t="s">
        <v>716</v>
      </c>
      <c r="J7031" s="19" t="s">
        <v>717</v>
      </c>
      <c r="K7031" s="19" t="s">
        <v>718</v>
      </c>
      <c r="L7031" s="4" t="s">
        <v>47</v>
      </c>
    </row>
    <row r="7032" customFormat="false" ht="17.15" hidden="false" customHeight="false" outlineLevel="0" collapsed="false">
      <c r="A7032" s="1" t="s">
        <v>719</v>
      </c>
      <c r="B7032" s="0" t="s">
        <v>340</v>
      </c>
      <c r="C7032" s="27" t="n">
        <f aca="false">mw_ext_24</f>
        <v>640</v>
      </c>
      <c r="D7032" s="27" t="n">
        <f aca="false">mw_ext_25</f>
        <v>1630</v>
      </c>
      <c r="E7032" s="27" t="n">
        <f aca="false">mw_ext_26</f>
        <v>3250</v>
      </c>
      <c r="F7032" s="27" t="n">
        <f aca="false">MIN(1000000000,Sens!E7032+pace)</f>
        <v>5777.2</v>
      </c>
      <c r="G7032" s="27" t="n">
        <f aca="false">MIN(1000000000,Sens!F7032+pace)</f>
        <v>8304.4</v>
      </c>
      <c r="H7032" s="27" t="n">
        <f aca="false">MIN(1000000000,Sens!G7032+pace)</f>
        <v>10831.6</v>
      </c>
      <c r="I7032" s="27" t="n">
        <f aca="false">MIN(1000000000,Sens!H7032+pace)</f>
        <v>13358.8</v>
      </c>
      <c r="J7032" s="27" t="n">
        <f aca="false">MIN(1000000000,Sens!I7032+pace)</f>
        <v>15886</v>
      </c>
      <c r="K7032" s="27" t="n">
        <f aca="false">MIN(1000000000,Sens!J7032+pace)</f>
        <v>18413.2</v>
      </c>
      <c r="L7032" s="11" t="s">
        <v>720</v>
      </c>
    </row>
    <row r="7033" customFormat="false" ht="17.15" hidden="false" customHeight="false" outlineLevel="0" collapsed="false">
      <c r="A7033" s="1" t="s">
        <v>721</v>
      </c>
      <c r="B7033" s="0" t="s">
        <v>340</v>
      </c>
      <c r="C7033" s="27" t="n">
        <f aca="false">rent_ext_24</f>
        <v>150</v>
      </c>
      <c r="D7033" s="27" t="n">
        <f aca="false">rent_ext_25</f>
        <v>400</v>
      </c>
      <c r="E7033" s="27" t="n">
        <f aca="false">rent_ext_26</f>
        <v>550</v>
      </c>
      <c r="F7033" s="27" t="n">
        <f aca="false">rent_ext_f</f>
        <v>756</v>
      </c>
      <c r="G7033" s="27" t="n">
        <f aca="false">rent_ext_f</f>
        <v>756</v>
      </c>
      <c r="H7033" s="27" t="n">
        <f aca="false">rent_ext_f</f>
        <v>756</v>
      </c>
      <c r="I7033" s="27" t="n">
        <f aca="false">rent_ext_f</f>
        <v>756</v>
      </c>
      <c r="J7033" s="27" t="n">
        <f aca="false">rent_ext_f</f>
        <v>756</v>
      </c>
      <c r="K7033" s="27" t="n">
        <f aca="false">rent_ext_f</f>
        <v>756</v>
      </c>
      <c r="L7033" s="1" t="s">
        <v>722</v>
      </c>
    </row>
    <row r="7034" customFormat="false" ht="17.15" hidden="false" customHeight="false" outlineLevel="0" collapsed="false">
      <c r="A7034" s="1" t="s">
        <v>723</v>
      </c>
      <c r="B7034" s="0" t="s">
        <v>340</v>
      </c>
      <c r="C7034" s="27" t="n">
        <f aca="false">Sens!C7032-Sens!C7033</f>
        <v>490</v>
      </c>
      <c r="D7034" s="27" t="n">
        <f aca="false">Sens!D7032-Sens!D7033</f>
        <v>1230</v>
      </c>
      <c r="E7034" s="27" t="n">
        <f aca="false">Sens!E7032-Sens!E7033</f>
        <v>2700</v>
      </c>
      <c r="F7034" s="27" t="n">
        <f aca="false">Sens!F7032-Sens!F7033</f>
        <v>5021.2</v>
      </c>
      <c r="G7034" s="27" t="n">
        <f aca="false">Sens!G7032-Sens!G7033</f>
        <v>7548.4</v>
      </c>
      <c r="H7034" s="27" t="n">
        <f aca="false">Sens!H7032-Sens!H7033</f>
        <v>10075.6</v>
      </c>
      <c r="I7034" s="27" t="n">
        <f aca="false">Sens!I7032-Sens!I7033</f>
        <v>12602.8</v>
      </c>
      <c r="J7034" s="27" t="n">
        <f aca="false">Sens!J7032-Sens!J7033</f>
        <v>15130</v>
      </c>
      <c r="K7034" s="27" t="n">
        <f aca="false">Sens!K7032-Sens!K7033</f>
        <v>17657.2</v>
      </c>
    </row>
    <row r="7035" customFormat="false" ht="17.15" hidden="false" customHeight="false" outlineLevel="0" collapsed="false">
      <c r="A7035" s="1" t="s">
        <v>724</v>
      </c>
      <c r="B7035" s="0" t="s">
        <v>340</v>
      </c>
      <c r="C7035" s="27" t="n">
        <f aca="false">Sens!C7034/ext_sh</f>
        <v>816.666666666667</v>
      </c>
      <c r="D7035" s="27" t="n">
        <f aca="false">Sens!D7034/ext_sh</f>
        <v>2050</v>
      </c>
      <c r="E7035" s="27" t="n">
        <f aca="false">Sens!E7034/ext_sh</f>
        <v>4500</v>
      </c>
      <c r="F7035" s="27" t="n">
        <f aca="false">Sens!F7034/ext_sh</f>
        <v>8368.66666666667</v>
      </c>
      <c r="G7035" s="27" t="n">
        <f aca="false">Sens!G7034/ext_sh</f>
        <v>12580.6666666667</v>
      </c>
      <c r="H7035" s="27" t="n">
        <f aca="false">Sens!H7034/ext_sh</f>
        <v>16792.6666666667</v>
      </c>
      <c r="I7035" s="27" t="n">
        <f aca="false">Sens!I7034/ext_sh</f>
        <v>21004.6666666667</v>
      </c>
      <c r="J7035" s="27" t="n">
        <f aca="false">Sens!J7034/ext_sh</f>
        <v>25216.6666666667</v>
      </c>
      <c r="K7035" s="27" t="n">
        <f aca="false">Sens!K7034/ext_sh</f>
        <v>29428.6666666667</v>
      </c>
      <c r="L7035" s="1" t="s">
        <v>725</v>
      </c>
    </row>
    <row r="7036" customFormat="false" ht="17.15" hidden="false" customHeight="false" outlineLevel="0" collapsed="false">
      <c r="A7036" s="1" t="s">
        <v>726</v>
      </c>
      <c r="B7036" s="0" t="s">
        <v>340</v>
      </c>
      <c r="C7036" s="27" t="n">
        <f aca="false">Sens!C7035-Sens!C7034</f>
        <v>326.666666666667</v>
      </c>
      <c r="D7036" s="27" t="n">
        <f aca="false">Sens!D7035-Sens!D7034</f>
        <v>820</v>
      </c>
      <c r="E7036" s="27" t="n">
        <f aca="false">Sens!E7035-Sens!E7034</f>
        <v>1800</v>
      </c>
      <c r="F7036" s="27" t="n">
        <f aca="false">Sens!F7035-Sens!F7034</f>
        <v>3347.46666666667</v>
      </c>
      <c r="G7036" s="27" t="n">
        <f aca="false">Sens!G7035-Sens!G7034</f>
        <v>5032.26666666667</v>
      </c>
      <c r="H7036" s="27" t="n">
        <f aca="false">Sens!H7035-Sens!H7034</f>
        <v>6717.06666666667</v>
      </c>
      <c r="I7036" s="27" t="n">
        <f aca="false">Sens!I7035-Sens!I7034</f>
        <v>8401.86666666667</v>
      </c>
      <c r="J7036" s="27" t="n">
        <f aca="false">Sens!J7035-Sens!J7034</f>
        <v>10086.6666666667</v>
      </c>
      <c r="K7036" s="27" t="n">
        <f aca="false">Sens!K7035-Sens!K7034</f>
        <v>11771.4666666667</v>
      </c>
    </row>
    <row r="7037" customFormat="false" ht="17.15" hidden="false" customHeight="false" outlineLevel="0" collapsed="false">
      <c r="A7037" s="1" t="s">
        <v>727</v>
      </c>
      <c r="B7037" s="0" t="s">
        <v>340</v>
      </c>
      <c r="C7037" s="27" t="n">
        <f aca="false">Sens!C7035</f>
        <v>816.666666666667</v>
      </c>
      <c r="D7037" s="27" t="n">
        <f aca="false">Sens!D7035-Sens!C7035</f>
        <v>1233.33333333333</v>
      </c>
      <c r="E7037" s="27" t="n">
        <f aca="false">Sens!E7035-Sens!D7035</f>
        <v>2450</v>
      </c>
      <c r="F7037" s="27" t="n">
        <f aca="false">Sens!F7035-Sens!E7035</f>
        <v>3868.66666666667</v>
      </c>
      <c r="G7037" s="27" t="n">
        <f aca="false">Sens!G7035-Sens!F7035</f>
        <v>4212</v>
      </c>
      <c r="H7037" s="27" t="n">
        <f aca="false">Sens!H7035-Sens!G7035</f>
        <v>4212</v>
      </c>
      <c r="I7037" s="27" t="n">
        <f aca="false">Sens!I7035-Sens!H7035</f>
        <v>4212</v>
      </c>
      <c r="J7037" s="27" t="n">
        <f aca="false">Sens!J7035-Sens!I7035</f>
        <v>4212</v>
      </c>
      <c r="K7037" s="27" t="n">
        <f aca="false">Sens!K7035-Sens!J7035</f>
        <v>4212</v>
      </c>
    </row>
    <row r="7038" customFormat="false" ht="17.15" hidden="false" customHeight="false" outlineLevel="0" collapsed="false">
      <c r="A7038" s="1" t="s">
        <v>728</v>
      </c>
      <c r="B7038" s="0" t="s">
        <v>340</v>
      </c>
      <c r="D7038" s="27" t="n">
        <f aca="false">Sens!D7032-Sens!C7032</f>
        <v>990</v>
      </c>
      <c r="E7038" s="27" t="n">
        <f aca="false">Sens!E7032-Sens!D7032</f>
        <v>1620</v>
      </c>
      <c r="F7038" s="27" t="n">
        <f aca="false">Sens!F7032-Sens!E7032</f>
        <v>2527.2</v>
      </c>
      <c r="G7038" s="27" t="n">
        <f aca="false">Sens!G7032-Sens!F7032</f>
        <v>2527.2</v>
      </c>
      <c r="H7038" s="27" t="n">
        <f aca="false">Sens!H7032-Sens!G7032</f>
        <v>2527.2</v>
      </c>
      <c r="I7038" s="27" t="n">
        <f aca="false">Sens!I7032-Sens!H7032</f>
        <v>2527.2</v>
      </c>
      <c r="J7038" s="27" t="n">
        <f aca="false">Sens!J7032-Sens!I7032</f>
        <v>2527.2</v>
      </c>
      <c r="K7038" s="27" t="n">
        <f aca="false">Sens!K7032-Sens!J7032</f>
        <v>2527.2</v>
      </c>
    </row>
    <row r="7039" customFormat="false" ht="17.15" hidden="false" customHeight="false" outlineLevel="0" collapsed="false">
      <c r="A7039" s="1" t="s">
        <v>729</v>
      </c>
      <c r="B7039" s="0" t="s">
        <v>340</v>
      </c>
      <c r="C7039" s="27" t="n">
        <f aca="false">mix_h*Sens!C7032</f>
        <v>128</v>
      </c>
      <c r="D7039" s="27" t="n">
        <f aca="false">mix_h*Sens!D7032</f>
        <v>326</v>
      </c>
      <c r="E7039" s="27" t="n">
        <f aca="false">mix_h*Sens!E7032</f>
        <v>650</v>
      </c>
      <c r="F7039" s="27" t="n">
        <f aca="false">Sens!E7039</f>
        <v>650</v>
      </c>
      <c r="G7039" s="27" t="n">
        <f aca="false">Sens!F7039</f>
        <v>650</v>
      </c>
      <c r="H7039" s="27" t="n">
        <f aca="false">Sens!G7039</f>
        <v>650</v>
      </c>
      <c r="I7039" s="27" t="n">
        <f aca="false">Sens!H7039</f>
        <v>650</v>
      </c>
      <c r="J7039" s="27" t="n">
        <f aca="false">Sens!I7039</f>
        <v>650</v>
      </c>
      <c r="K7039" s="27" t="n">
        <f aca="false">Sens!J7039</f>
        <v>650</v>
      </c>
    </row>
    <row r="7040" customFormat="false" ht="17.15" hidden="false" customHeight="false" outlineLevel="0" collapsed="false">
      <c r="A7040" s="1" t="s">
        <v>730</v>
      </c>
      <c r="B7040" s="0" t="s">
        <v>340</v>
      </c>
      <c r="C7040" s="27" t="n">
        <f aca="false">mix_g2*Sens!C7032</f>
        <v>288</v>
      </c>
      <c r="D7040" s="27" t="n">
        <f aca="false">mix_g2*Sens!D7032</f>
        <v>733.5</v>
      </c>
      <c r="E7040" s="27" t="n">
        <f aca="false">mix_g2*Sens!E7032</f>
        <v>1462.5</v>
      </c>
      <c r="F7040" s="27" t="n">
        <f aca="false">Sens!E7040</f>
        <v>1462.5</v>
      </c>
      <c r="G7040" s="27" t="n">
        <f aca="false">Sens!F7040</f>
        <v>1462.5</v>
      </c>
      <c r="H7040" s="27" t="n">
        <f aca="false">Sens!G7040</f>
        <v>1462.5</v>
      </c>
      <c r="I7040" s="27" t="n">
        <f aca="false">Sens!H7040</f>
        <v>1462.5</v>
      </c>
      <c r="J7040" s="27" t="n">
        <f aca="false">Sens!I7040</f>
        <v>1462.5</v>
      </c>
      <c r="K7040" s="27" t="n">
        <f aca="false">Sens!J7040</f>
        <v>1462.5</v>
      </c>
    </row>
    <row r="7041" customFormat="false" ht="17.15" hidden="false" customHeight="false" outlineLevel="0" collapsed="false">
      <c r="A7041" s="1" t="s">
        <v>731</v>
      </c>
      <c r="B7041" s="0" t="s">
        <v>340</v>
      </c>
      <c r="C7041" s="27" t="n">
        <f aca="false">mix_g3*Sens!C7032</f>
        <v>224</v>
      </c>
      <c r="D7041" s="27" t="n">
        <f aca="false">mix_g3*Sens!D7032</f>
        <v>570.5</v>
      </c>
      <c r="E7041" s="27" t="n">
        <f aca="false">mix_g3*Sens!E7032</f>
        <v>1137.5</v>
      </c>
      <c r="F7041" s="27" t="n">
        <f aca="false">Sens!E7041+Sens!F7038*a_g3_27</f>
        <v>2906.54</v>
      </c>
      <c r="G7041" s="27" t="n">
        <f aca="false">Sens!F7041+Sens!G7038*a_g3_28</f>
        <v>3664.7</v>
      </c>
      <c r="H7041" s="27" t="n">
        <f aca="false">Sens!G7041+Sens!H7038*a_g3_29</f>
        <v>3917.42</v>
      </c>
      <c r="I7041" s="27" t="n">
        <f aca="false">Sens!H7041+Sens!I7038*a_g3_29</f>
        <v>4170.14</v>
      </c>
      <c r="J7041" s="27" t="n">
        <f aca="false">Sens!I7041+Sens!J7038*a_g3_29</f>
        <v>4422.86</v>
      </c>
      <c r="K7041" s="27" t="n">
        <f aca="false">Sens!J7041+Sens!K7038*a_g3_29</f>
        <v>4675.58</v>
      </c>
    </row>
    <row r="7042" customFormat="false" ht="17.15" hidden="false" customHeight="false" outlineLevel="0" collapsed="false">
      <c r="A7042" s="1" t="s">
        <v>732</v>
      </c>
      <c r="B7042" s="0" t="s">
        <v>340</v>
      </c>
      <c r="C7042" s="27" t="n">
        <f aca="false">0</f>
        <v>0</v>
      </c>
      <c r="D7042" s="27" t="n">
        <f aca="false">0</f>
        <v>0</v>
      </c>
      <c r="E7042" s="27" t="n">
        <f aca="false">0</f>
        <v>0</v>
      </c>
      <c r="F7042" s="27" t="n">
        <f aca="false">Sens!E7042+Sens!F7038*(1-a_g3_27)</f>
        <v>758.16</v>
      </c>
      <c r="G7042" s="27" t="n">
        <f aca="false">Sens!F7042+Sens!G7038*(1-a_g3_28)</f>
        <v>2527.2</v>
      </c>
      <c r="H7042" s="27" t="n">
        <f aca="false">Sens!G7042+Sens!H7038*(1-a_g3_29)</f>
        <v>4801.68</v>
      </c>
      <c r="I7042" s="27" t="n">
        <f aca="false">Sens!H7042+Sens!I7038*(1-a_g3_29)</f>
        <v>7076.16</v>
      </c>
      <c r="J7042" s="27" t="n">
        <f aca="false">Sens!I7042+Sens!J7038*(1-a_g3_29)</f>
        <v>9350.64</v>
      </c>
      <c r="K7042" s="27" t="n">
        <f aca="false">Sens!J7042+Sens!K7038*(1-a_g3_29)</f>
        <v>11625.12</v>
      </c>
    </row>
    <row r="7043" customFormat="false" ht="17.15" hidden="false" customHeight="false" outlineLevel="0" collapsed="false">
      <c r="A7043" s="1" t="s">
        <v>733</v>
      </c>
      <c r="B7043" s="0" t="s">
        <v>291</v>
      </c>
      <c r="C7043" s="18" t="n">
        <f aca="false">(Sens!C7039*tk_hold_h100+Sens!C7040*tk_hold_gb200+Sens!C7041*tk_hold_gb300+Sens!C7042*tk_hold_vr200)/Sens!C7032</f>
        <v>9.7235358126469</v>
      </c>
      <c r="D7043" s="18" t="n">
        <f aca="false">(Sens!D7039*tk_hold_h100+Sens!D7040*tk_hold_gb200+Sens!D7041*tk_hold_gb300+Sens!D7042*tk_hold_vr200)/Sens!D7032</f>
        <v>9.7235358126469</v>
      </c>
      <c r="E7043" s="18" t="n">
        <f aca="false">(Sens!E7039*tk_hold_h100+Sens!E7040*tk_hold_gb200+Sens!E7041*tk_hold_gb300+Sens!E7042*tk_hold_vr200)/Sens!E7032</f>
        <v>9.7235358126469</v>
      </c>
      <c r="F7043" s="18" t="n">
        <f aca="false">(Sens!F7039*tk_hold_h100+Sens!F7040*tk_hold_gb200+Sens!F7041*tk_hold_gb300+Sens!F7042*tk_hold_vr200)/Sens!F7032</f>
        <v>10.4079573161931</v>
      </c>
      <c r="G7043" s="18" t="n">
        <f aca="false">(Sens!G7039*tk_hold_h100+Sens!G7040*tk_hold_gb200+Sens!G7041*tk_hold_gb300+Sens!G7042*tk_hold_vr200)/Sens!G7032</f>
        <v>10.8388131109316</v>
      </c>
      <c r="H7043" s="18" t="n">
        <f aca="false">(Sens!H7039*tk_hold_h100+Sens!H7040*tk_hold_gb200+Sens!H7041*tk_hold_gb300+Sens!H7042*tk_hold_vr200)/Sens!H7032</f>
        <v>11.1311018388216</v>
      </c>
      <c r="I7043" s="18" t="n">
        <f aca="false">(Sens!I7039*tk_hold_h100+Sens!I7040*tk_hold_gb200+Sens!I7041*tk_hold_gb300+Sens!I7042*tk_hold_vr200)/Sens!I7032</f>
        <v>11.3128009818501</v>
      </c>
      <c r="J7043" s="18" t="n">
        <f aca="false">(Sens!J7039*tk_hold_h100+Sens!J7040*tk_hold_gb200+Sens!J7041*tk_hold_gb300+Sens!J7042*tk_hold_vr200)/Sens!J7032</f>
        <v>11.4366894646418</v>
      </c>
      <c r="K7043" s="18" t="n">
        <f aca="false">(Sens!K7039*tk_hold_h100+Sens!K7040*tk_hold_gb200+Sens!K7041*tk_hold_gb300+Sens!K7042*tk_hold_vr200)/Sens!K7032</f>
        <v>11.526570716348</v>
      </c>
    </row>
    <row r="7044" customFormat="false" ht="17.15" hidden="false" customHeight="false" outlineLevel="0" collapsed="false">
      <c r="A7044" s="0" t="s">
        <v>734</v>
      </c>
      <c r="B7044" s="0" t="s">
        <v>182</v>
      </c>
      <c r="C7044" s="18" t="n">
        <f aca="false">k_B</f>
        <v>1.17213932619116</v>
      </c>
      <c r="D7044" s="18" t="n">
        <f aca="false">k_B</f>
        <v>1.17213932619116</v>
      </c>
      <c r="E7044" s="18" t="n">
        <f aca="false">k_B</f>
        <v>1.17213932619116</v>
      </c>
      <c r="F7044" s="18" t="n">
        <f aca="false">(k_B+((ls_B*k_long+(1-ls_B)*k_spot)-k_B)*MIN(1,1/3))*1</f>
        <v>1.17213932619116</v>
      </c>
      <c r="G7044" s="18" t="n">
        <f aca="false">(k_B+((ls_B*k_long+(1-ls_B)*k_spot)-k_B)*MIN(1,2/3))*1</f>
        <v>1.17213932619116</v>
      </c>
      <c r="H7044" s="18" t="n">
        <f aca="false">(k_B+((ls_B*k_long+(1-ls_B)*k_spot)-k_B)*MIN(1,3/3))*1</f>
        <v>1.17213932619116</v>
      </c>
      <c r="I7044" s="18" t="n">
        <f aca="false">(k_B+((ls_B*k_long+(1-ls_B)*k_spot)-k_B)*MIN(1,4/3))*1</f>
        <v>1.17213932619116</v>
      </c>
      <c r="J7044" s="18" t="n">
        <f aca="false">(k_B+((ls_B*k_long+(1-ls_B)*k_spot)-k_B)*MIN(1,5/3))*1</f>
        <v>1.17213932619116</v>
      </c>
      <c r="K7044" s="18" t="n">
        <f aca="false">(k_B+((ls_B*k_long+(1-ls_B)*k_spot)-k_B)*MIN(1,6/3))*1</f>
        <v>1.17213932619116</v>
      </c>
      <c r="L7044" s="1" t="s">
        <v>735</v>
      </c>
    </row>
    <row r="7045" customFormat="false" ht="17.15" hidden="false" customHeight="false" outlineLevel="0" collapsed="false">
      <c r="A7045" s="1" t="s">
        <v>736</v>
      </c>
      <c r="B7045" s="0" t="s">
        <v>291</v>
      </c>
      <c r="C7045" s="18" t="n">
        <f aca="false">Sens!C7043*Sens!C7044*chip_f</f>
        <v>11.3973387156315</v>
      </c>
      <c r="D7045" s="18" t="n">
        <f aca="false">Sens!D7043*Sens!D7044*chip_f</f>
        <v>11.3973387156315</v>
      </c>
      <c r="E7045" s="18" t="n">
        <f aca="false">Sens!E7043*Sens!E7044*chip_f</f>
        <v>11.3973387156315</v>
      </c>
      <c r="F7045" s="18" t="n">
        <f aca="false">Sens!F7043*Sens!F7044*chip_f</f>
        <v>12.1995760756289</v>
      </c>
      <c r="G7045" s="18" t="n">
        <f aca="false">Sens!G7043*Sens!G7044*chip_f</f>
        <v>12.7045990965592</v>
      </c>
      <c r="H7045" s="18" t="n">
        <f aca="false">Sens!H7043*Sens!H7044*chip_f</f>
        <v>13.0472022091214</v>
      </c>
      <c r="I7045" s="18" t="n">
        <f aca="false">Sens!I7043*Sens!I7044*chip_f</f>
        <v>13.2601789202004</v>
      </c>
      <c r="J7045" s="18" t="n">
        <f aca="false">Sens!J7043*Sens!J7044*chip_f</f>
        <v>13.4053934829427</v>
      </c>
      <c r="K7045" s="18" t="n">
        <f aca="false">Sens!K7043*Sens!K7044*chip_f</f>
        <v>13.5107468327548</v>
      </c>
      <c r="L7045" s="1" t="s">
        <v>737</v>
      </c>
    </row>
    <row r="7046" customFormat="false" ht="17.15" hidden="false" customHeight="false" outlineLevel="0" collapsed="false">
      <c r="A7046" s="0" t="s">
        <v>738</v>
      </c>
      <c r="B7046" s="0" t="s">
        <v>95</v>
      </c>
      <c r="D7046" s="6" t="n">
        <f aca="false">(Sens!C7032+Sens!D7032)/2*Sens!D7045/1000</f>
        <v>12.9359794422418</v>
      </c>
      <c r="E7046" s="6" t="n">
        <f aca="false">(Sens!D7032+Sens!E7032)/2*Sens!E7045/1000</f>
        <v>27.8095064661409</v>
      </c>
      <c r="F7046" s="6" t="n">
        <f aca="false">(Sens!E7032+Sens!F7032)/2*Sens!F7045/1000</f>
        <v>55.0640065749585</v>
      </c>
      <c r="G7046" s="6" t="n">
        <f aca="false">(Sens!F7032+Sens!G7032)/2*Sens!G7045/1000</f>
        <v>89.4505413190538</v>
      </c>
      <c r="H7046" s="6" t="n">
        <f aca="false">(Sens!G7032+Sens!H7032)/2*Sens!H7045/1000</f>
        <v>124.835630736874</v>
      </c>
      <c r="I7046" s="6" t="n">
        <f aca="false">(Sens!H7032+Sens!I7032)/2*Sens!I7045/1000</f>
        <v>160.384516075608</v>
      </c>
      <c r="J7046" s="6" t="n">
        <f aca="false">(Sens!I7032+Sens!J7032)/2*Sens!J7045/1000</f>
        <v>196.019025664981</v>
      </c>
      <c r="K7046" s="6" t="n">
        <f aca="false">(Sens!J7032+Sens!K7032)/2*Sens!K7045/1000</f>
        <v>231.703903883012</v>
      </c>
      <c r="L7046" s="11" t="s">
        <v>739</v>
      </c>
    </row>
    <row r="7047" customFormat="false" ht="17.15" hidden="false" customHeight="false" outlineLevel="0" collapsed="false">
      <c r="A7047" s="1" t="s">
        <v>740</v>
      </c>
      <c r="B7047" s="0" t="s">
        <v>291</v>
      </c>
      <c r="C7047" s="18" t="n">
        <f aca="false">(Sens!C7039*tk_opex_h100+Sens!C7040*tk_opex_gb200+Sens!C7041*tk_opex_gb300+Sens!C7042*tk_opex_vr200)/Sens!C7032</f>
        <v>1.88636041306092</v>
      </c>
      <c r="D7047" s="18" t="n">
        <f aca="false">(Sens!D7039*tk_opex_h100+Sens!D7040*tk_opex_gb200+Sens!D7041*tk_opex_gb300+Sens!D7042*tk_opex_vr200)/Sens!D7032</f>
        <v>1.88636041306092</v>
      </c>
      <c r="E7047" s="18" t="n">
        <f aca="false">(Sens!E7039*tk_opex_h100+Sens!E7040*tk_opex_gb200+Sens!E7041*tk_opex_gb300+Sens!E7042*tk_opex_vr200)/Sens!E7032</f>
        <v>1.88636041306092</v>
      </c>
      <c r="F7047" s="18" t="n">
        <f aca="false">(Sens!F7039*tk_opex_h100+Sens!F7040*tk_opex_gb200+Sens!F7041*tk_opex_gb300+Sens!F7042*tk_opex_vr200)/Sens!F7032</f>
        <v>1.9430236476499</v>
      </c>
      <c r="G7047" s="18" t="n">
        <f aca="false">(Sens!G7039*tk_opex_h100+Sens!G7040*tk_opex_gb200+Sens!G7041*tk_opex_gb300+Sens!G7042*tk_opex_vr200)/Sens!G7032</f>
        <v>1.9786941852423</v>
      </c>
      <c r="H7047" s="18" t="n">
        <f aca="false">(Sens!H7039*tk_opex_h100+Sens!H7040*tk_opex_gb200+Sens!H7041*tk_opex_gb300+Sens!H7042*tk_opex_vr200)/Sens!H7032</f>
        <v>2.00289275976156</v>
      </c>
      <c r="I7047" s="18" t="n">
        <f aca="false">(Sens!I7039*tk_opex_h100+Sens!I7040*tk_opex_gb200+Sens!I7041*tk_opex_gb300+Sens!I7042*tk_opex_vr200)/Sens!I7032</f>
        <v>2.01793562605478</v>
      </c>
      <c r="J7047" s="18" t="n">
        <f aca="false">(Sens!J7039*tk_opex_h100+Sens!J7040*tk_opex_gb200+Sens!J7041*tk_opex_gb300+Sens!J7042*tk_opex_vr200)/Sens!J7032</f>
        <v>2.02819234961902</v>
      </c>
      <c r="K7047" s="18" t="n">
        <f aca="false">(Sens!K7039*tk_opex_h100+Sens!K7040*tk_opex_gb200+Sens!K7041*tk_opex_gb300+Sens!K7042*tk_opex_vr200)/Sens!K7032</f>
        <v>2.0356336155994</v>
      </c>
    </row>
    <row r="7048" customFormat="false" ht="17.15" hidden="false" customHeight="false" outlineLevel="0" collapsed="false">
      <c r="A7048" s="0" t="s">
        <v>741</v>
      </c>
      <c r="B7048" s="0" t="s">
        <v>95</v>
      </c>
      <c r="D7048" s="6" t="n">
        <f aca="false">(Sens!C7035+Sens!D7035)/2*Sens!D7047/1000</f>
        <v>2.70378325872065</v>
      </c>
      <c r="E7048" s="6" t="n">
        <f aca="false">(Sens!D7035+Sens!E7035)/2*Sens!E7047/1000</f>
        <v>6.17783035277451</v>
      </c>
      <c r="F7048" s="6" t="n">
        <f aca="false">(Sens!E7035+Sens!F7035)/2*Sens!F7047/1000</f>
        <v>12.5020618235287</v>
      </c>
      <c r="G7048" s="6" t="n">
        <f aca="false">(Sens!F7035+Sens!G7035)/2*Sens!G7047/1000</f>
        <v>20.7261620256847</v>
      </c>
      <c r="H7048" s="6" t="n">
        <f aca="false">(Sens!G7035+Sens!H7035)/2*Sens!H7047/1000</f>
        <v>29.4158183316982</v>
      </c>
      <c r="I7048" s="6" t="n">
        <f aca="false">(Sens!H7035+Sens!I7035)/2*Sens!I7047/1000</f>
        <v>38.1362927516005</v>
      </c>
      <c r="J7048" s="6" t="n">
        <f aca="false">(Sens!I7035+Sens!J7035)/2*Sens!J7047/1000</f>
        <v>46.8728773279286</v>
      </c>
      <c r="K7048" s="6" t="n">
        <f aca="false">(Sens!J7035+Sens!K7035)/2*Sens!K7047/1000</f>
        <v>55.618938734484</v>
      </c>
    </row>
    <row r="7049" customFormat="false" ht="17.15" hidden="false" customHeight="false" outlineLevel="0" collapsed="false">
      <c r="A7049" s="0" t="s">
        <v>742</v>
      </c>
      <c r="B7049" s="0" t="s">
        <v>95</v>
      </c>
      <c r="D7049" s="6" t="n">
        <f aca="false">(Sens!C7033+Sens!D7033)/2*rent_mw/1000</f>
        <v>2.44475</v>
      </c>
      <c r="E7049" s="6" t="n">
        <f aca="false">(Sens!D7033+Sens!E7033)/2*rent_mw/1000</f>
        <v>4.22275</v>
      </c>
      <c r="F7049" s="6" t="n">
        <f aca="false">(Sens!E7033+Sens!F7033)/2*rent_mw/1000</f>
        <v>5.80517</v>
      </c>
      <c r="G7049" s="6" t="n">
        <f aca="false">(Sens!F7033+Sens!G7033)/2*rent_mw/1000</f>
        <v>6.72084</v>
      </c>
      <c r="H7049" s="6" t="n">
        <f aca="false">(Sens!G7033+Sens!H7033)/2*rent_mw/1000</f>
        <v>6.72084</v>
      </c>
      <c r="I7049" s="6" t="n">
        <f aca="false">(Sens!H7033+Sens!I7033)/2*rent_mw/1000</f>
        <v>6.72084</v>
      </c>
      <c r="J7049" s="6" t="n">
        <f aca="false">(Sens!I7033+Sens!J7033)/2*rent_mw/1000</f>
        <v>6.72084</v>
      </c>
      <c r="K7049" s="6" t="n">
        <f aca="false">(Sens!J7033+Sens!K7033)/2*rent_mw/1000</f>
        <v>6.72084</v>
      </c>
    </row>
    <row r="7050" customFormat="false" ht="17.15" hidden="false" customHeight="false" outlineLevel="0" collapsed="false">
      <c r="A7050" s="0" t="s">
        <v>743</v>
      </c>
      <c r="B7050" s="0" t="s">
        <v>95</v>
      </c>
      <c r="D7050" s="6" t="n">
        <f aca="false">(Sens!C7035+Sens!D7035)/2*(1-self_build)*fac_rent/1000</f>
        <v>0.853242375631075</v>
      </c>
      <c r="E7050" s="6" t="n">
        <f aca="false">(Sens!D7035+Sens!E7035)/2*(1-self_build)*fac_rent/1000</f>
        <v>1.94955961408728</v>
      </c>
      <c r="F7050" s="6" t="n">
        <f aca="false">(Sens!E7035+Sens!F7035)/2*(1-self_build)*fac_rent/1000</f>
        <v>3.83026455274573</v>
      </c>
      <c r="G7050" s="6" t="n">
        <f aca="false">(Sens!F7035+Sens!G7035)/2*(1-self_build)*fac_rent/1000</f>
        <v>6.23541590972812</v>
      </c>
      <c r="H7050" s="6" t="n">
        <f aca="false">(Sens!G7035+Sens!H7035)/2*(1-self_build)*fac_rent/1000</f>
        <v>8.74275792332679</v>
      </c>
      <c r="I7050" s="6" t="n">
        <f aca="false">(Sens!H7035+Sens!I7035)/2*(1-self_build)*fac_rent/1000</f>
        <v>11.2500999369255</v>
      </c>
      <c r="J7050" s="6" t="n">
        <f aca="false">(Sens!I7035+Sens!J7035)/2*(1-self_build)*fac_rent/1000</f>
        <v>13.7574419505241</v>
      </c>
      <c r="K7050" s="6" t="n">
        <f aca="false">(Sens!J7035+Sens!K7035)/2*(1-self_build)*fac_rent/1000</f>
        <v>16.2647839641228</v>
      </c>
      <c r="L7050" s="11" t="s">
        <v>744</v>
      </c>
    </row>
    <row r="7051" customFormat="false" ht="17.15" hidden="false" customHeight="false" outlineLevel="0" collapsed="false">
      <c r="A7051" s="1" t="s">
        <v>745</v>
      </c>
      <c r="B7051" s="0" t="s">
        <v>126</v>
      </c>
      <c r="D7051" s="7" t="n">
        <f aca="false">(Sens!C7034+Sens!D7034)/(Sens!C7035+Sens!D7035)</f>
        <v>0.6</v>
      </c>
      <c r="E7051" s="7" t="n">
        <f aca="false">(Sens!D7034+Sens!E7034)/(Sens!D7035+Sens!E7035)</f>
        <v>0.6</v>
      </c>
      <c r="F7051" s="7" t="n">
        <f aca="false">(Sens!E7034+Sens!F7034)/(Sens!E7035+Sens!F7035)</f>
        <v>0.6</v>
      </c>
      <c r="G7051" s="7" t="n">
        <f aca="false">(Sens!F7034+Sens!G7034)/(Sens!F7035+Sens!G7035)</f>
        <v>0.6</v>
      </c>
      <c r="H7051" s="7" t="n">
        <f aca="false">(Sens!G7034+Sens!H7034)/(Sens!G7035+Sens!H7035)</f>
        <v>0.6</v>
      </c>
      <c r="I7051" s="7" t="n">
        <f aca="false">(Sens!H7034+Sens!I7034)/(Sens!H7035+Sens!I7035)</f>
        <v>0.6</v>
      </c>
      <c r="J7051" s="7" t="n">
        <f aca="false">(Sens!I7034+Sens!J7034)/(Sens!I7035+Sens!J7035)</f>
        <v>0.6</v>
      </c>
      <c r="K7051" s="7" t="n">
        <f aca="false">(Sens!J7034+Sens!K7034)/(Sens!J7035+Sens!K7035)</f>
        <v>0.6</v>
      </c>
    </row>
    <row r="7052" customFormat="false" ht="17.15" hidden="false" customHeight="false" outlineLevel="0" collapsed="false">
      <c r="A7052" s="0" t="s">
        <v>746</v>
      </c>
      <c r="B7052" s="0" t="s">
        <v>95</v>
      </c>
      <c r="D7052" s="6" t="n">
        <f aca="false">Sens!D7046-Sens!D7051*(Sens!D7048+Sens!D7050)-Sens!D7049</f>
        <v>8.35701406163072</v>
      </c>
      <c r="E7052" s="6" t="n">
        <f aca="false">Sens!E7046-Sens!E7051*(Sens!E7048+Sens!E7050)-Sens!E7049</f>
        <v>18.7103224860238</v>
      </c>
      <c r="F7052" s="6" t="n">
        <f aca="false">Sens!F7046-Sens!F7051*(Sens!F7048+Sens!F7050)-Sens!F7049</f>
        <v>39.4594407491938</v>
      </c>
      <c r="G7052" s="6" t="n">
        <f aca="false">Sens!G7046-Sens!G7051*(Sens!G7048+Sens!G7050)-Sens!G7049</f>
        <v>66.5527545578061</v>
      </c>
      <c r="H7052" s="6" t="n">
        <f aca="false">Sens!H7046-Sens!H7051*(Sens!H7048+Sens!H7050)-Sens!H7049</f>
        <v>95.219644983859</v>
      </c>
      <c r="I7052" s="6" t="n">
        <f aca="false">Sens!I7046-Sens!I7051*(Sens!I7048+Sens!I7050)-Sens!I7049</f>
        <v>124.031840462493</v>
      </c>
      <c r="J7052" s="6" t="n">
        <f aca="false">Sens!J7046-Sens!J7051*(Sens!J7048+Sens!J7050)-Sens!J7049</f>
        <v>152.919994097909</v>
      </c>
      <c r="K7052" s="6" t="n">
        <f aca="false">Sens!K7046-Sens!K7051*(Sens!K7048+Sens!K7050)-Sens!K7049</f>
        <v>181.852830263848</v>
      </c>
    </row>
    <row r="7053" customFormat="false" ht="17.15" hidden="false" customHeight="false" outlineLevel="0" collapsed="false">
      <c r="A7053" s="1" t="s">
        <v>747</v>
      </c>
      <c r="B7053" s="0" t="s">
        <v>95</v>
      </c>
      <c r="D7053" s="6" t="n">
        <f aca="false">(1-Sens!D7051)*(Sens!D7048+Sens!D7050)</f>
        <v>1.42281025374069</v>
      </c>
      <c r="E7053" s="6" t="n">
        <f aca="false">(1-Sens!E7051)*(Sens!E7048+Sens!E7050)</f>
        <v>3.25095598674472</v>
      </c>
      <c r="F7053" s="6" t="n">
        <f aca="false">(1-Sens!F7051)*(Sens!F7048+Sens!F7050)</f>
        <v>6.53293055050977</v>
      </c>
      <c r="G7053" s="6" t="n">
        <f aca="false">(1-Sens!G7051)*(Sens!G7048+Sens!G7050)</f>
        <v>10.7846311741651</v>
      </c>
      <c r="H7053" s="6" t="n">
        <f aca="false">(1-Sens!H7051)*(Sens!H7048+Sens!H7050)</f>
        <v>15.26343050201</v>
      </c>
      <c r="I7053" s="6" t="n">
        <f aca="false">(1-Sens!I7051)*(Sens!I7048+Sens!I7050)</f>
        <v>19.7545570754104</v>
      </c>
      <c r="J7053" s="6" t="n">
        <f aca="false">(1-Sens!J7051)*(Sens!J7048+Sens!J7050)</f>
        <v>24.2521277113811</v>
      </c>
      <c r="K7053" s="6" t="n">
        <f aca="false">(1-Sens!K7051)*(Sens!K7048+Sens!K7050)</f>
        <v>28.7534890794427</v>
      </c>
    </row>
    <row r="7054" customFormat="false" ht="17.15" hidden="false" customHeight="false" outlineLevel="0" collapsed="false">
      <c r="A7054" s="1" t="s">
        <v>748</v>
      </c>
      <c r="B7054" s="0" t="s">
        <v>302</v>
      </c>
      <c r="C7054" s="8" t="n">
        <f aca="false">cxit_open</f>
        <v>27.5918995</v>
      </c>
      <c r="D7054" s="8" t="n">
        <f aca="false">cxit_open</f>
        <v>27.5918995</v>
      </c>
      <c r="E7054" s="8" t="n">
        <f aca="false">cxit_open</f>
        <v>27.5918995</v>
      </c>
      <c r="F7054" s="8" t="n">
        <f aca="false">(a_g3_27*tk_cxit_gb300+(1-a_g3_27)*tk_cxit_vr200)</f>
        <v>33.8419624</v>
      </c>
      <c r="G7054" s="8" t="n">
        <f aca="false">(a_g3_28*tk_cxit_gb300+(1-a_g3_28)*tk_cxit_vr200)</f>
        <v>35.9816136</v>
      </c>
      <c r="H7054" s="8" t="n">
        <f aca="false">(a_g3_29*tk_cxit_gb300+(1-a_g3_29)*tk_cxit_vr200)</f>
        <v>37.0514392</v>
      </c>
      <c r="I7054" s="8" t="n">
        <f aca="false">(a_g3_29*tk_cxit_gb300+(1-a_g3_29)*tk_cxit_vr200)</f>
        <v>37.0514392</v>
      </c>
      <c r="J7054" s="8" t="n">
        <f aca="false">(a_g3_29*tk_cxit_gb300+(1-a_g3_29)*tk_cxit_vr200)</f>
        <v>37.0514392</v>
      </c>
      <c r="K7054" s="8" t="n">
        <f aca="false">(a_g3_29*tk_cxit_gb300+(1-a_g3_29)*tk_cxit_vr200)</f>
        <v>37.0514392</v>
      </c>
      <c r="L7054" s="11" t="s">
        <v>749</v>
      </c>
    </row>
    <row r="7055" customFormat="false" ht="17.15" hidden="false" customHeight="false" outlineLevel="0" collapsed="false">
      <c r="A7055" s="0" t="s">
        <v>750</v>
      </c>
      <c r="B7055" s="0" t="s">
        <v>340</v>
      </c>
      <c r="F7055" s="27" t="n">
        <f aca="false">Sens!C7037*IF(3=life_it,1,0)+Sens!D7037*IF(2=life_it,1,0)+Sens!E7037*IF(1=life_it,1,0)</f>
        <v>0</v>
      </c>
      <c r="G7055" s="27" t="n">
        <f aca="false">Sens!C7037*IF(4=life_it,1,0)+Sens!D7037*IF(3=life_it,1,0)+Sens!E7037*IF(2=life_it,1,0)+Sens!F7037*IF(1=life_it,1,0)</f>
        <v>0</v>
      </c>
      <c r="H7055" s="27" t="n">
        <f aca="false">Sens!C7037*IF(5=life_it,1,0)+Sens!D7037*IF(4=life_it,1,0)+Sens!E7037*IF(3=life_it,1,0)+Sens!F7037*IF(2=life_it,1,0)+Sens!G7037*IF(1=life_it,1,0)</f>
        <v>0</v>
      </c>
      <c r="I7055" s="27" t="n">
        <f aca="false">Sens!C7037*IF(6=life_it,1,0)+Sens!D7037*IF(5=life_it,1,0)+Sens!E7037*IF(4=life_it,1,0)+Sens!F7037*IF(3=life_it,1,0)+Sens!G7037*IF(2=life_it,1,0)+Sens!H7037*IF(1=life_it,1,0)</f>
        <v>816.666666666667</v>
      </c>
      <c r="J7055" s="27" t="n">
        <f aca="false">Sens!C7037*IF(7=life_it,1,0)+Sens!D7037*IF(6=life_it,1,0)+Sens!E7037*IF(5=life_it,1,0)+Sens!F7037*IF(4=life_it,1,0)+Sens!G7037*IF(3=life_it,1,0)+Sens!H7037*IF(2=life_it,1,0)+Sens!I7037*IF(1=life_it,1,0)</f>
        <v>1233.33333333333</v>
      </c>
      <c r="K7055" s="27" t="n">
        <f aca="false">Sens!C7037*IF(8=life_it,1,0)+Sens!D7037*IF(7=life_it,1,0)+Sens!E7037*IF(6=life_it,1,0)+Sens!F7037*IF(5=life_it,1,0)+Sens!G7037*IF(4=life_it,1,0)+Sens!H7037*IF(3=life_it,1,0)+Sens!I7037*IF(2=life_it,1,0)+Sens!J7037*IF(1=life_it,1,0)</f>
        <v>2450</v>
      </c>
      <c r="L7055" s="1" t="s">
        <v>751</v>
      </c>
    </row>
    <row r="7056" customFormat="false" ht="17.15" hidden="false" customHeight="false" outlineLevel="0" collapsed="false">
      <c r="A7056" s="0" t="s">
        <v>752</v>
      </c>
      <c r="B7056" s="0" t="s">
        <v>95</v>
      </c>
      <c r="C7056" s="6" t="n">
        <f aca="false">Sens!C7037*Sens!C7054/1000</f>
        <v>22.5333845916667</v>
      </c>
      <c r="D7056" s="6" t="n">
        <f aca="false">Sens!D7037*Sens!D7054/1000</f>
        <v>34.0300093833333</v>
      </c>
      <c r="E7056" s="6" t="n">
        <f aca="false">Sens!E7037*Sens!E7054/1000</f>
        <v>67.600153775</v>
      </c>
      <c r="F7056" s="6" t="n">
        <f aca="false">(Sens!F7037+Sens!F7055)*Sens!F7054/1000</f>
        <v>130.923271871467</v>
      </c>
      <c r="G7056" s="6" t="n">
        <f aca="false">(Sens!G7037+Sens!G7055)*Sens!G7054/1000</f>
        <v>151.5545564832</v>
      </c>
      <c r="H7056" s="6" t="n">
        <f aca="false">(Sens!H7037+Sens!H7055)*Sens!H7054/1000</f>
        <v>156.0606619104</v>
      </c>
      <c r="I7056" s="6" t="n">
        <f aca="false">(Sens!I7037+Sens!I7055)*Sens!I7054/1000</f>
        <v>186.319337257067</v>
      </c>
      <c r="J7056" s="6" t="n">
        <f aca="false">(Sens!J7037+Sens!J7055)*Sens!J7054/1000</f>
        <v>201.757436923733</v>
      </c>
      <c r="K7056" s="6" t="n">
        <f aca="false">(Sens!K7037+Sens!K7055)*Sens!K7054/1000</f>
        <v>246.8366879504</v>
      </c>
    </row>
    <row r="7057" customFormat="false" ht="17.15" hidden="false" customHeight="false" outlineLevel="0" collapsed="false">
      <c r="A7057" s="0" t="s">
        <v>753</v>
      </c>
      <c r="B7057" s="0" t="s">
        <v>95</v>
      </c>
      <c r="C7057" s="6" t="n">
        <f aca="false">Sens!C7037*self_build*tk_cxfac/1000</f>
        <v>6.2083</v>
      </c>
      <c r="D7057" s="6" t="n">
        <f aca="false">Sens!D7037*self_build*tk_cxfac/1000</f>
        <v>9.3758</v>
      </c>
      <c r="E7057" s="6" t="n">
        <f aca="false">Sens!E7037*self_build*tk_cxfac/1000</f>
        <v>18.6249</v>
      </c>
      <c r="F7057" s="6" t="n">
        <f aca="false">Sens!F7037*self_build*tk_cxfac/1000</f>
        <v>29.409604</v>
      </c>
      <c r="G7057" s="6" t="n">
        <f aca="false">Sens!G7037*self_build*tk_cxfac/1000</f>
        <v>32.019624</v>
      </c>
      <c r="H7057" s="6" t="n">
        <f aca="false">Sens!H7037*self_build*tk_cxfac/1000</f>
        <v>32.019624</v>
      </c>
      <c r="I7057" s="6" t="n">
        <f aca="false">Sens!I7037*self_build*tk_cxfac/1000</f>
        <v>32.019624</v>
      </c>
      <c r="J7057" s="6" t="n">
        <f aca="false">Sens!J7037*self_build*tk_cxfac/1000</f>
        <v>32.019624</v>
      </c>
      <c r="K7057" s="6" t="n">
        <f aca="false">Sens!K7037*self_build*tk_cxfac/1000</f>
        <v>32.019624</v>
      </c>
    </row>
    <row r="7058" customFormat="false" ht="17.15" hidden="false" customHeight="false" outlineLevel="0" collapsed="false">
      <c r="A7058" s="0" t="s">
        <v>754</v>
      </c>
      <c r="B7058" s="0" t="s">
        <v>95</v>
      </c>
      <c r="F7058" s="6" t="n">
        <f aca="false">MAX(0,capex_floor27-Sens!F7056-Sens!F7057-Sens!F7145)</f>
        <v>8.18893890759241</v>
      </c>
      <c r="G7058" s="6" t="n">
        <f aca="false">0</f>
        <v>0</v>
      </c>
      <c r="H7058" s="6" t="n">
        <f aca="false">0</f>
        <v>0</v>
      </c>
      <c r="I7058" s="6" t="n">
        <f aca="false">0</f>
        <v>0</v>
      </c>
      <c r="J7058" s="6" t="n">
        <f aca="false">0</f>
        <v>0</v>
      </c>
      <c r="K7058" s="6" t="n">
        <f aca="false">0</f>
        <v>0</v>
      </c>
      <c r="L7058" s="1" t="s">
        <v>755</v>
      </c>
    </row>
    <row r="7059" customFormat="false" ht="17.15" hidden="false" customHeight="false" outlineLevel="0" collapsed="false">
      <c r="A7059" s="0" t="s">
        <v>756</v>
      </c>
      <c r="B7059" s="0" t="s">
        <v>95</v>
      </c>
      <c r="C7059" s="6" t="n">
        <f aca="false">Sens!C7056</f>
        <v>22.5333845916667</v>
      </c>
      <c r="D7059" s="6" t="n">
        <f aca="false">Sens!D7056</f>
        <v>34.0300093833333</v>
      </c>
      <c r="E7059" s="6" t="n">
        <f aca="false">Sens!E7056</f>
        <v>67.600153775</v>
      </c>
      <c r="F7059" s="6" t="n">
        <f aca="false">Sens!F7056+Sens!F7058</f>
        <v>139.112210779059</v>
      </c>
      <c r="G7059" s="6" t="n">
        <f aca="false">Sens!G7056+Sens!G7058</f>
        <v>151.5545564832</v>
      </c>
      <c r="H7059" s="6" t="n">
        <f aca="false">Sens!H7056+Sens!H7058</f>
        <v>156.0606619104</v>
      </c>
      <c r="I7059" s="6" t="n">
        <f aca="false">Sens!I7056+Sens!I7058</f>
        <v>186.319337257067</v>
      </c>
      <c r="J7059" s="6" t="n">
        <f aca="false">Sens!J7056+Sens!J7058</f>
        <v>201.757436923733</v>
      </c>
      <c r="K7059" s="6" t="n">
        <f aca="false">Sens!K7056+Sens!K7058</f>
        <v>246.8366879504</v>
      </c>
    </row>
    <row r="7060" customFormat="false" ht="17.15" hidden="false" customHeight="false" outlineLevel="0" collapsed="false">
      <c r="A7060" s="0" t="s">
        <v>757</v>
      </c>
      <c r="B7060" s="0" t="s">
        <v>95</v>
      </c>
      <c r="C7060" s="6" t="n">
        <f aca="false">Sens!C7059+Sens!C7057</f>
        <v>28.7416845916667</v>
      </c>
      <c r="D7060" s="6" t="n">
        <f aca="false">Sens!D7059+Sens!D7057</f>
        <v>43.4058093833333</v>
      </c>
      <c r="E7060" s="6" t="n">
        <f aca="false">Sens!E7059+Sens!E7057</f>
        <v>86.225053775</v>
      </c>
      <c r="F7060" s="6" t="n">
        <f aca="false">Sens!F7059+Sens!F7057</f>
        <v>168.521814779059</v>
      </c>
      <c r="G7060" s="6" t="n">
        <f aca="false">Sens!G7059+Sens!G7057</f>
        <v>183.5741804832</v>
      </c>
      <c r="H7060" s="6" t="n">
        <f aca="false">Sens!H7059+Sens!H7057</f>
        <v>188.0802859104</v>
      </c>
      <c r="I7060" s="6" t="n">
        <f aca="false">Sens!I7059+Sens!I7057</f>
        <v>218.338961257067</v>
      </c>
      <c r="J7060" s="6" t="n">
        <f aca="false">Sens!J7059+Sens!J7057</f>
        <v>233.777060923733</v>
      </c>
      <c r="K7060" s="6" t="n">
        <f aca="false">Sens!K7059+Sens!K7057</f>
        <v>278.8563119504</v>
      </c>
      <c r="L7060" s="11" t="s">
        <v>758</v>
      </c>
    </row>
    <row r="7061" customFormat="false" ht="17.15" hidden="false" customHeight="false" outlineLevel="0" collapsed="false">
      <c r="A7061" s="0" t="s">
        <v>759</v>
      </c>
      <c r="B7061" s="0" t="s">
        <v>95</v>
      </c>
      <c r="E7061" s="6" t="n">
        <f aca="false">(Sens!C7059*IF(2&lt;life_it,1,IF(2=life_it,0.5,0))+Sens!D7059*IF(1&lt;life_it,1,IF(1=life_it,0.5,0))+Sens!E7059*0.5)/life_it</f>
        <v>15.0605784770833</v>
      </c>
      <c r="F7061" s="6" t="n">
        <f aca="false">(Sens!C7059*IF(3&lt;life_it,1,IF(3=life_it,0.5,0))+Sens!D7059*IF(2&lt;life_it,1,IF(2=life_it,0.5,0))+Sens!E7059*IF(1&lt;life_it,1,IF(1=life_it,0.5,0))+Sens!F7059*0.5)/life_it</f>
        <v>32.2866088565883</v>
      </c>
      <c r="G7061" s="6" t="n">
        <f aca="false">(Sens!C7059*IF(4&lt;life_it,1,IF(4=life_it,0.5,0))+Sens!D7059*IF(3&lt;life_it,1,IF(3=life_it,0.5,0))+Sens!E7059*IF(2&lt;life_it,1,IF(2=life_it,0.5,0))+Sens!F7059*IF(1&lt;life_it,1,IF(1=life_it,0.5,0))+Sens!G7059*0.5)/life_it</f>
        <v>56.5088394617765</v>
      </c>
      <c r="H7061" s="6" t="n">
        <f aca="false">(Sens!C7059*IF(5&lt;life_it,1,IF(5=life_it,0.5,0))+Sens!D7059*IF(4&lt;life_it,1,IF(4=life_it,0.5,0))+Sens!E7059*IF(3&lt;life_it,1,IF(3=life_it,0.5,0))+Sens!F7059*IF(2&lt;life_it,1,IF(2=life_it,0.5,0))+Sens!G7059*IF(1&lt;life_it,1,IF(1=life_it,0.5,0))+Sens!H7059*0.5)/life_it</f>
        <v>82.1434409945765</v>
      </c>
      <c r="I7061" s="6" t="n">
        <f aca="false">(Sens!C7059*IF(6&lt;life_it,1,IF(6=life_it,0.5,0))+Sens!D7059*IF(5&lt;life_it,1,IF(5=life_it,0.5,0))+Sens!E7059*IF(4&lt;life_it,1,IF(4=life_it,0.5,0))+Sens!F7059*IF(3&lt;life_it,1,IF(3=life_it,0.5,0))+Sens!G7059*IF(2&lt;life_it,1,IF(2=life_it,0.5,0))+Sens!H7059*IF(1&lt;life_it,1,IF(1=life_it,0.5,0))+Sens!I7059*0.5)/life_it</f>
        <v>108.79732554256</v>
      </c>
      <c r="J7061" s="6" t="n">
        <f aca="false">(Sens!C7059*IF(7&lt;life_it,1,IF(7=life_it,0.5,0))+Sens!D7059*IF(6&lt;life_it,1,IF(6=life_it,0.5,0))+Sens!E7059*IF(5&lt;life_it,1,IF(5=life_it,0.5,0))+Sens!F7059*IF(4&lt;life_it,1,IF(4=life_it,0.5,0))+Sens!G7059*IF(3&lt;life_it,1,IF(3=life_it,0.5,0))+Sens!H7059*IF(2&lt;life_it,1,IF(2=life_it,0.5,0))+Sens!I7059*IF(1&lt;life_it,1,IF(1=life_it,0.5,0))+Sens!J7059*0.5)/life_it</f>
        <v>136.42344055971</v>
      </c>
      <c r="K7061" s="6" t="n">
        <f aca="false">(Sens!C7059*IF(8&lt;life_it,1,IF(8=life_it,0.5,0))+Sens!D7059*IF(7&lt;life_it,1,IF(7=life_it,0.5,0))+Sens!E7059*IF(6&lt;life_it,1,IF(6=life_it,0.5,0))+Sens!F7059*IF(5&lt;life_it,1,IF(5=life_it,0.5,0))+Sens!G7059*IF(4&lt;life_it,1,IF(4=life_it,0.5,0))+Sens!H7059*IF(3&lt;life_it,1,IF(3=life_it,0.5,0))+Sens!I7059*IF(2&lt;life_it,1,IF(2=life_it,0.5,0))+Sens!J7059*IF(1&lt;life_it,1,IF(1=life_it,0.5,0))+Sens!K7059*0.5)/life_it</f>
        <v>165.337104036027</v>
      </c>
    </row>
    <row r="7062" customFormat="false" ht="17.15" hidden="false" customHeight="false" outlineLevel="0" collapsed="false">
      <c r="A7062" s="0" t="s">
        <v>760</v>
      </c>
      <c r="B7062" s="0" t="s">
        <v>95</v>
      </c>
      <c r="E7062" s="6" t="n">
        <f aca="false">(Sens!C7057*IF(2&lt;life_fac,1,IF(2=life_fac,0.5,0))+Sens!D7057*IF(1&lt;life_fac,1,IF(1=life_fac,0.5,0))+Sens!E7057*0.5)/life_fac</f>
        <v>1.2448275</v>
      </c>
      <c r="F7062" s="6" t="n">
        <f aca="false">(Sens!C7057*IF(3&lt;life_fac,1,IF(3=life_fac,0.5,0))+Sens!D7057*IF(2&lt;life_fac,1,IF(2=life_fac,0.5,0))+Sens!E7057*IF(1&lt;life_fac,1,IF(1=life_fac,0.5,0))+Sens!F7057*0.5)/life_fac</f>
        <v>2.4456901</v>
      </c>
      <c r="G7062" s="6" t="n">
        <f aca="false">(Sens!C7057*IF(4&lt;life_fac,1,IF(4=life_fac,0.5,0))+Sens!D7057*IF(3&lt;life_fac,1,IF(3=life_fac,0.5,0))+Sens!E7057*IF(2&lt;life_fac,1,IF(2=life_fac,0.5,0))+Sens!F7057*IF(1&lt;life_fac,1,IF(1=life_fac,0.5,0))+Sens!G7057*0.5)/life_fac</f>
        <v>3.9814208</v>
      </c>
      <c r="H7062" s="6" t="n">
        <f aca="false">(Sens!C7057*IF(5&lt;life_fac,1,IF(5=life_fac,0.5,0))+Sens!D7057*IF(4&lt;life_fac,1,IF(4=life_fac,0.5,0))+Sens!E7057*IF(3&lt;life_fac,1,IF(3=life_fac,0.5,0))+Sens!F7057*IF(2&lt;life_fac,1,IF(2=life_fac,0.5,0))+Sens!G7057*IF(1&lt;life_fac,1,IF(1=life_fac,0.5,0))+Sens!H7057*0.5)/life_fac</f>
        <v>5.582402</v>
      </c>
      <c r="I7062" s="6" t="n">
        <f aca="false">(Sens!C7057*IF(6&lt;life_fac,1,IF(6=life_fac,0.5,0))+Sens!D7057*IF(5&lt;life_fac,1,IF(5=life_fac,0.5,0))+Sens!E7057*IF(4&lt;life_fac,1,IF(4=life_fac,0.5,0))+Sens!F7057*IF(3&lt;life_fac,1,IF(3=life_fac,0.5,0))+Sens!G7057*IF(2&lt;life_fac,1,IF(2=life_fac,0.5,0))+Sens!H7057*IF(1&lt;life_fac,1,IF(1=life_fac,0.5,0))+Sens!I7057*0.5)/life_fac</f>
        <v>7.1833832</v>
      </c>
      <c r="J7062" s="6" t="n">
        <f aca="false">(Sens!C7057*IF(7&lt;life_fac,1,IF(7=life_fac,0.5,0))+Sens!D7057*IF(6&lt;life_fac,1,IF(6=life_fac,0.5,0))+Sens!E7057*IF(5&lt;life_fac,1,IF(5=life_fac,0.5,0))+Sens!F7057*IF(4&lt;life_fac,1,IF(4=life_fac,0.5,0))+Sens!G7057*IF(3&lt;life_fac,1,IF(3=life_fac,0.5,0))+Sens!H7057*IF(2&lt;life_fac,1,IF(2=life_fac,0.5,0))+Sens!I7057*IF(1&lt;life_fac,1,IF(1=life_fac,0.5,0))+Sens!J7057*0.5)/life_fac</f>
        <v>8.7843644</v>
      </c>
      <c r="K7062" s="6" t="n">
        <f aca="false">(Sens!C7057*IF(8&lt;life_fac,1,IF(8=life_fac,0.5,0))+Sens!D7057*IF(7&lt;life_fac,1,IF(7=life_fac,0.5,0))+Sens!E7057*IF(6&lt;life_fac,1,IF(6=life_fac,0.5,0))+Sens!F7057*IF(5&lt;life_fac,1,IF(5=life_fac,0.5,0))+Sens!G7057*IF(4&lt;life_fac,1,IF(4=life_fac,0.5,0))+Sens!H7057*IF(3&lt;life_fac,1,IF(3=life_fac,0.5,0))+Sens!I7057*IF(2&lt;life_fac,1,IF(2=life_fac,0.5,0))+Sens!J7057*IF(1&lt;life_fac,1,IF(1=life_fac,0.5,0))+Sens!K7057*0.5)/life_fac</f>
        <v>10.3853456</v>
      </c>
    </row>
    <row r="7063" customFormat="false" ht="17.15" hidden="false" customHeight="false" outlineLevel="0" collapsed="false">
      <c r="A7063" s="0" t="s">
        <v>761</v>
      </c>
      <c r="B7063" s="0" t="s">
        <v>95</v>
      </c>
      <c r="E7063" s="6" t="n">
        <f aca="false">Sens!E7061+Sens!E7062</f>
        <v>16.3054059770833</v>
      </c>
      <c r="F7063" s="6" t="n">
        <f aca="false">Sens!F7061+Sens!F7062</f>
        <v>34.7322989565883</v>
      </c>
      <c r="G7063" s="6" t="n">
        <f aca="false">Sens!G7061+Sens!G7062</f>
        <v>60.4902602617765</v>
      </c>
      <c r="H7063" s="6" t="n">
        <f aca="false">Sens!H7061+Sens!H7062</f>
        <v>87.7258429945765</v>
      </c>
      <c r="I7063" s="6" t="n">
        <f aca="false">Sens!I7061+Sens!I7062</f>
        <v>115.98070874256</v>
      </c>
      <c r="J7063" s="6" t="n">
        <f aca="false">Sens!J7061+Sens!J7062</f>
        <v>145.20780495971</v>
      </c>
      <c r="K7063" s="6" t="n">
        <f aca="false">Sens!K7061+Sens!K7062</f>
        <v>175.722449636027</v>
      </c>
    </row>
    <row r="7064" customFormat="false" ht="17.15" hidden="false" customHeight="false" outlineLevel="0" collapsed="false">
      <c r="A7064" s="0" t="s">
        <v>762</v>
      </c>
      <c r="B7064" s="0" t="s">
        <v>95</v>
      </c>
      <c r="E7064" s="6" t="n">
        <f aca="false">Sens!E7052-Sens!E7051*Sens!E7063</f>
        <v>8.92707889977379</v>
      </c>
      <c r="F7064" s="6" t="n">
        <f aca="false">Sens!F7052-Sens!F7051*Sens!F7063</f>
        <v>18.6200613752409</v>
      </c>
      <c r="G7064" s="6" t="n">
        <f aca="false">Sens!G7052-Sens!G7051*Sens!G7063</f>
        <v>30.2585984007402</v>
      </c>
      <c r="H7064" s="6" t="n">
        <f aca="false">Sens!H7052-Sens!H7051*Sens!H7063</f>
        <v>42.584139187113</v>
      </c>
      <c r="I7064" s="6" t="n">
        <f aca="false">Sens!I7052-Sens!I7051*Sens!I7063</f>
        <v>54.4434152169569</v>
      </c>
      <c r="J7064" s="6" t="n">
        <f aca="false">Sens!J7052-Sens!J7051*Sens!J7063</f>
        <v>65.7953111220836</v>
      </c>
      <c r="K7064" s="6" t="n">
        <f aca="false">Sens!K7052-Sens!K7051*Sens!K7063</f>
        <v>76.4193604822324</v>
      </c>
    </row>
    <row r="7065" customFormat="false" ht="17.15" hidden="false" customHeight="false" outlineLevel="0" collapsed="false">
      <c r="A7065" s="3" t="s">
        <v>1315</v>
      </c>
    </row>
    <row r="7066" customFormat="false" ht="15" hidden="false" customHeight="false" outlineLevel="0" collapsed="false">
      <c r="A7066" s="4" t="s">
        <v>43</v>
      </c>
      <c r="B7066" s="4" t="s">
        <v>63</v>
      </c>
      <c r="C7066" s="19" t="s">
        <v>710</v>
      </c>
      <c r="D7066" s="19" t="s">
        <v>711</v>
      </c>
      <c r="E7066" s="19" t="s">
        <v>712</v>
      </c>
      <c r="F7066" s="19" t="s">
        <v>713</v>
      </c>
      <c r="G7066" s="19" t="s">
        <v>714</v>
      </c>
      <c r="H7066" s="19" t="s">
        <v>715</v>
      </c>
      <c r="I7066" s="19" t="s">
        <v>716</v>
      </c>
      <c r="J7066" s="19" t="s">
        <v>717</v>
      </c>
      <c r="K7066" s="19" t="s">
        <v>718</v>
      </c>
      <c r="L7066" s="4" t="s">
        <v>47</v>
      </c>
    </row>
    <row r="7067" customFormat="false" ht="17.15" hidden="false" customHeight="false" outlineLevel="0" collapsed="false">
      <c r="A7067" s="0" t="s">
        <v>780</v>
      </c>
      <c r="B7067" s="0" t="s">
        <v>95</v>
      </c>
      <c r="D7067" s="6" t="n">
        <f aca="false">Sens!D7046</f>
        <v>12.9359794422418</v>
      </c>
      <c r="E7067" s="6" t="n">
        <f aca="false">Sens!E7046</f>
        <v>27.8095064661409</v>
      </c>
      <c r="F7067" s="6" t="n">
        <f aca="false">Sens!F7046</f>
        <v>55.0640065749585</v>
      </c>
      <c r="G7067" s="6" t="n">
        <f aca="false">Sens!G7046</f>
        <v>89.4505413190538</v>
      </c>
      <c r="H7067" s="6" t="n">
        <f aca="false">Sens!H7046</f>
        <v>124.835630736874</v>
      </c>
      <c r="I7067" s="6" t="n">
        <f aca="false">Sens!I7046</f>
        <v>160.384516075608</v>
      </c>
      <c r="J7067" s="6" t="n">
        <f aca="false">Sens!J7046</f>
        <v>196.019025664981</v>
      </c>
      <c r="K7067" s="6" t="n">
        <f aca="false">Sens!K7046</f>
        <v>231.703903883012</v>
      </c>
    </row>
    <row r="7068" customFormat="false" ht="17.15" hidden="false" customHeight="false" outlineLevel="0" collapsed="false">
      <c r="A7068" s="0" t="s">
        <v>781</v>
      </c>
      <c r="B7068" s="0" t="s">
        <v>95</v>
      </c>
      <c r="D7068" s="6" t="n">
        <f aca="false">Q!L6-Sens!D7067</f>
        <v>59.6740205577583</v>
      </c>
      <c r="E7068" s="6" t="n">
        <f aca="false">Q!M6-Sens!E7067</f>
        <v>74.1284935338591</v>
      </c>
      <c r="F7068" s="6" t="n">
        <f aca="false">Sens!E7068*(1+Sens!F7069)</f>
        <v>90.5741396942587</v>
      </c>
      <c r="G7068" s="6" t="n">
        <f aca="false">Sens!F7068*(1+Sens!G7069)</f>
        <v>108.823251828521</v>
      </c>
      <c r="H7068" s="6" t="n">
        <f aca="false">Sens!G7068*(1+Sens!H7069)</f>
        <v>128.532442249697</v>
      </c>
      <c r="I7068" s="6" t="n">
        <f aca="false">Sens!H7068*(1+Sens!I7069)</f>
        <v>149.192913382446</v>
      </c>
      <c r="J7068" s="6" t="n">
        <f aca="false">Sens!I7068*(1+Sens!J7069)</f>
        <v>170.135219187612</v>
      </c>
      <c r="K7068" s="6" t="n">
        <f aca="false">Sens!J7068*(1+Sens!K7069)</f>
        <v>190.551445490125</v>
      </c>
    </row>
    <row r="7069" customFormat="false" ht="15" hidden="false" customHeight="false" outlineLevel="0" collapsed="false">
      <c r="A7069" s="1" t="s">
        <v>782</v>
      </c>
      <c r="B7069" s="0" t="s">
        <v>126</v>
      </c>
      <c r="E7069" s="7" t="n">
        <f aca="false">Sens!E7068/Sens!D7068-1</f>
        <v>0.242223883039864</v>
      </c>
      <c r="F7069" s="7" t="n">
        <f aca="false">Sens!$E$7069+(glt_azo_hi-Sens!$E$7069)*MIN(1,1/n_conv)</f>
        <v>0.221853235866554</v>
      </c>
      <c r="G7069" s="7" t="n">
        <f aca="false">Sens!$E$7069+(glt_azo_hi-Sens!$E$7069)*MIN(1,2/n_conv)</f>
        <v>0.201482588693243</v>
      </c>
      <c r="H7069" s="7" t="n">
        <f aca="false">Sens!$E$7069+(glt_azo_hi-Sens!$E$7069)*MIN(1,3/n_conv)</f>
        <v>0.181111941519932</v>
      </c>
      <c r="I7069" s="7" t="n">
        <f aca="false">Sens!$E$7069+(glt_azo_hi-Sens!$E$7069)*MIN(1,4/n_conv)</f>
        <v>0.160741294346622</v>
      </c>
      <c r="J7069" s="7" t="n">
        <f aca="false">Sens!$E$7069+(glt_azo_hi-Sens!$E$7069)*MIN(1,5/n_conv)</f>
        <v>0.140370647173311</v>
      </c>
      <c r="K7069" s="7" t="n">
        <f aca="false">Sens!$E$7069+(glt_azo_hi-Sens!$E$7069)*MIN(1,6/n_conv)</f>
        <v>0.12</v>
      </c>
    </row>
    <row r="7070" customFormat="false" ht="15" hidden="false" customHeight="false" outlineLevel="0" collapsed="false">
      <c r="A7070" s="0" t="s">
        <v>783</v>
      </c>
      <c r="B7070" s="0" t="s">
        <v>95</v>
      </c>
      <c r="D7070" s="6" t="n">
        <f aca="false">Sens!D7067+Sens!D7068</f>
        <v>72.61</v>
      </c>
      <c r="E7070" s="6" t="n">
        <f aca="false">Sens!E7067+Sens!E7068</f>
        <v>101.938</v>
      </c>
      <c r="F7070" s="6" t="n">
        <f aca="false">Sens!F7067+Sens!F7068</f>
        <v>145.638146269217</v>
      </c>
      <c r="G7070" s="6" t="n">
        <f aca="false">Sens!G7067+Sens!G7068</f>
        <v>198.273793147575</v>
      </c>
      <c r="H7070" s="6" t="n">
        <f aca="false">Sens!H7067+Sens!H7068</f>
        <v>253.368072986571</v>
      </c>
      <c r="I7070" s="6" t="n">
        <f aca="false">Sens!I7067+Sens!I7068</f>
        <v>309.577429458054</v>
      </c>
      <c r="J7070" s="6" t="n">
        <f aca="false">Sens!J7067+Sens!J7068</f>
        <v>366.154244852593</v>
      </c>
      <c r="K7070" s="6" t="n">
        <f aca="false">Sens!K7067+Sens!K7068</f>
        <v>422.255349373138</v>
      </c>
    </row>
    <row r="7071" customFormat="false" ht="17.15" hidden="false" customHeight="false" outlineLevel="0" collapsed="false">
      <c r="A7071" s="0" t="s">
        <v>784</v>
      </c>
      <c r="B7071" s="1" t="s">
        <v>451</v>
      </c>
      <c r="C7071" s="27" t="n">
        <f aca="false">cop_s24</f>
        <v>1</v>
      </c>
      <c r="D7071" s="27" t="n">
        <f aca="false">cop_s25</f>
        <v>5</v>
      </c>
      <c r="E7071" s="27" t="n">
        <f aca="false">cop_s26</f>
        <v>30</v>
      </c>
      <c r="F7071" s="27" t="n">
        <f aca="false">Sens!E7071+IF(2027&lt;=2029,cop_add_B,cop_add_B*cop_tail)</f>
        <v>50</v>
      </c>
      <c r="G7071" s="27" t="n">
        <f aca="false">Sens!F7071+IF(2028&lt;=2029,cop_add_B,cop_add_B*cop_tail)</f>
        <v>70</v>
      </c>
      <c r="H7071" s="27" t="n">
        <f aca="false">Sens!G7071+IF(2029&lt;=2029,cop_add_B,cop_add_B*cop_tail)</f>
        <v>90</v>
      </c>
      <c r="I7071" s="27" t="n">
        <f aca="false">Sens!H7071+IF(2030&lt;=2029,cop_add_B,cop_add_B*cop_tail)</f>
        <v>100</v>
      </c>
      <c r="J7071" s="27" t="n">
        <f aca="false">Sens!I7071+IF(2031&lt;=2029,cop_add_B,cop_add_B*cop_tail)</f>
        <v>110</v>
      </c>
      <c r="K7071" s="27" t="n">
        <f aca="false">Sens!J7071+IF(2032&lt;=2029,cop_add_B,cop_add_B*cop_tail)</f>
        <v>120</v>
      </c>
    </row>
    <row r="7072" customFormat="false" ht="17.15" hidden="false" customHeight="false" outlineLevel="0" collapsed="false">
      <c r="A7072" s="0" t="s">
        <v>785</v>
      </c>
      <c r="B7072" s="0" t="s">
        <v>95</v>
      </c>
      <c r="D7072" s="6" t="n">
        <f aca="false">(Sens!C7071+Sens!D7071)/2*cop_px*12/1000</f>
        <v>0.9</v>
      </c>
      <c r="E7072" s="6" t="n">
        <f aca="false">(Sens!D7071+Sens!E7071)/2*cop_px*12/1000</f>
        <v>5.25</v>
      </c>
      <c r="F7072" s="6" t="n">
        <f aca="false">(Sens!E7071+Sens!F7071)/2*cop_px*12/1000</f>
        <v>12</v>
      </c>
      <c r="G7072" s="6" t="n">
        <f aca="false">(Sens!F7071+Sens!G7071)/2*cop_px*12/1000</f>
        <v>18</v>
      </c>
      <c r="H7072" s="6" t="n">
        <f aca="false">(Sens!G7071+Sens!H7071)/2*cop_px*12/1000</f>
        <v>24</v>
      </c>
      <c r="I7072" s="6" t="n">
        <f aca="false">(Sens!H7071+Sens!I7071)/2*cop_px*12/1000</f>
        <v>28.5</v>
      </c>
      <c r="J7072" s="6" t="n">
        <f aca="false">(Sens!I7071+Sens!J7071)/2*cop_px*12/1000</f>
        <v>31.5</v>
      </c>
      <c r="K7072" s="6" t="n">
        <f aca="false">(Sens!J7071+Sens!K7071)/2*cop_px*12/1000</f>
        <v>34.5</v>
      </c>
      <c r="L7072" s="1" t="s">
        <v>786</v>
      </c>
    </row>
    <row r="7073" customFormat="false" ht="17.15" hidden="false" customHeight="false" outlineLevel="0" collapsed="false">
      <c r="A7073" s="0" t="s">
        <v>787</v>
      </c>
      <c r="B7073" s="0" t="s">
        <v>95</v>
      </c>
      <c r="D7073" s="6" t="n">
        <f aca="false">Q!L7-Sens!D7072</f>
        <v>83.705</v>
      </c>
      <c r="E7073" s="6" t="n">
        <f aca="false">Q!M7-Sens!E7072</f>
        <v>95.049</v>
      </c>
      <c r="F7073" s="6" t="n">
        <f aca="false">Sens!E7073*(1+Sens!F7074)</f>
        <v>106.89238776686</v>
      </c>
      <c r="G7073" s="6" t="n">
        <f aca="false">Sens!F7073*(1+Sens!G7074)</f>
        <v>119.044168448684</v>
      </c>
      <c r="H7073" s="6" t="n">
        <f aca="false">Sens!G7073*(1+Sens!H7074)</f>
        <v>131.277359388781</v>
      </c>
      <c r="I7073" s="6" t="n">
        <f aca="false">Sens!H7073*(1+Sens!I7074)</f>
        <v>143.334028071957</v>
      </c>
      <c r="J7073" s="6" t="n">
        <f aca="false">Sens!I7073*(1+Sens!J7074)</f>
        <v>154.932702785465</v>
      </c>
      <c r="K7073" s="6" t="n">
        <f aca="false">Sens!J7073*(1+Sens!K7074)</f>
        <v>165.777991980448</v>
      </c>
    </row>
    <row r="7074" customFormat="false" ht="15" hidden="false" customHeight="false" outlineLevel="0" collapsed="false">
      <c r="A7074" s="1" t="s">
        <v>782</v>
      </c>
      <c r="B7074" s="0" t="s">
        <v>126</v>
      </c>
      <c r="E7074" s="7" t="n">
        <f aca="false">Sens!E7073/Sens!D7073-1</f>
        <v>0.135523564900544</v>
      </c>
      <c r="F7074" s="7" t="n">
        <f aca="false">Sens!$E$7074+(glt_m365b-Sens!$E$7074)*MIN(1,1/n_conv)</f>
        <v>0.124602970750453</v>
      </c>
      <c r="G7074" s="7" t="n">
        <f aca="false">Sens!$E$7074+(glt_m365b-Sens!$E$7074)*MIN(1,2/n_conv)</f>
        <v>0.113682376600363</v>
      </c>
      <c r="H7074" s="7" t="n">
        <f aca="false">Sens!$E$7074+(glt_m365b-Sens!$E$7074)*MIN(1,3/n_conv)</f>
        <v>0.102761782450272</v>
      </c>
      <c r="I7074" s="7" t="n">
        <f aca="false">Sens!$E$7074+(glt_m365b-Sens!$E$7074)*MIN(1,4/n_conv)</f>
        <v>0.0918411883001813</v>
      </c>
      <c r="J7074" s="7" t="n">
        <f aca="false">Sens!$E$7074+(glt_m365b-Sens!$E$7074)*MIN(1,5/n_conv)</f>
        <v>0.0809205941500906</v>
      </c>
      <c r="K7074" s="7" t="n">
        <f aca="false">Sens!$E$7074+(glt_m365b-Sens!$E$7074)*MIN(1,6/n_conv)</f>
        <v>0.07</v>
      </c>
    </row>
    <row r="7075" customFormat="false" ht="15" hidden="false" customHeight="false" outlineLevel="0" collapsed="false">
      <c r="A7075" s="0" t="s">
        <v>788</v>
      </c>
      <c r="B7075" s="0" t="s">
        <v>95</v>
      </c>
      <c r="D7075" s="6" t="n">
        <f aca="false">Sens!D7073+Sens!D7072</f>
        <v>84.605</v>
      </c>
      <c r="E7075" s="6" t="n">
        <f aca="false">Sens!E7073+Sens!E7072</f>
        <v>100.299</v>
      </c>
      <c r="F7075" s="6" t="n">
        <f aca="false">Sens!F7073+Sens!F7072</f>
        <v>118.89238776686</v>
      </c>
      <c r="G7075" s="6" t="n">
        <f aca="false">Sens!G7073+Sens!G7072</f>
        <v>137.044168448684</v>
      </c>
      <c r="H7075" s="6" t="n">
        <f aca="false">Sens!H7073+Sens!H7072</f>
        <v>155.277359388781</v>
      </c>
      <c r="I7075" s="6" t="n">
        <f aca="false">Sens!I7073+Sens!I7072</f>
        <v>171.834028071957</v>
      </c>
      <c r="J7075" s="6" t="n">
        <f aca="false">Sens!J7073+Sens!J7072</f>
        <v>186.432702785465</v>
      </c>
      <c r="K7075" s="6" t="n">
        <f aca="false">Sens!K7073+Sens!K7072</f>
        <v>200.277991980448</v>
      </c>
    </row>
    <row r="7076" customFormat="false" ht="15" hidden="false" customHeight="false" outlineLevel="0" collapsed="false">
      <c r="A7076" s="0" t="s">
        <v>789</v>
      </c>
      <c r="B7076" s="0" t="s">
        <v>95</v>
      </c>
      <c r="D7076" s="6" t="n">
        <f aca="false">Q!L8</f>
        <v>35.391</v>
      </c>
      <c r="E7076" s="6" t="n">
        <f aca="false">Q!M8</f>
        <v>37.285</v>
      </c>
      <c r="F7076" s="6" t="n">
        <f aca="false">Sens!E7076*(1+Sens!F7077)</f>
        <v>39.0720834331704</v>
      </c>
      <c r="G7076" s="6" t="n">
        <f aca="false">Sens!F7076*(1+Sens!G7077)</f>
        <v>40.726562953769</v>
      </c>
      <c r="H7076" s="6" t="n">
        <f aca="false">Sens!G7076*(1+Sens!H7077)</f>
        <v>42.2235987259198</v>
      </c>
      <c r="I7076" s="6" t="n">
        <f aca="false">Sens!H7076*(1+Sens!I7077)</f>
        <v>43.5397988077414</v>
      </c>
      <c r="J7076" s="6" t="n">
        <f aca="false">Sens!I7076*(1+Sens!J7077)</f>
        <v>44.653811225693</v>
      </c>
      <c r="K7076" s="6" t="n">
        <f aca="false">Sens!J7076*(1+Sens!K7077)</f>
        <v>45.5468874502068</v>
      </c>
    </row>
    <row r="7077" customFormat="false" ht="15" hidden="false" customHeight="false" outlineLevel="0" collapsed="false">
      <c r="A7077" s="1" t="s">
        <v>782</v>
      </c>
      <c r="B7077" s="0" t="s">
        <v>126</v>
      </c>
      <c r="E7077" s="7" t="n">
        <f aca="false">Sens!E7076/Sens!D7076-1</f>
        <v>0.0535164307309768</v>
      </c>
      <c r="F7077" s="7" t="n">
        <f aca="false">Sens!$E$7077+(glt_lic-Sens!$E$7077)*MIN(1,1/n_conv)</f>
        <v>0.0479303589424807</v>
      </c>
      <c r="G7077" s="7" t="n">
        <f aca="false">Sens!$E$7077+(glt_lic-Sens!$E$7077)*MIN(1,2/n_conv)</f>
        <v>0.0423442871539845</v>
      </c>
      <c r="H7077" s="7" t="n">
        <f aca="false">Sens!$E$7077+(glt_lic-Sens!$E$7077)*MIN(1,3/n_conv)</f>
        <v>0.0367582153654884</v>
      </c>
      <c r="I7077" s="7" t="n">
        <f aca="false">Sens!$E$7077+(glt_lic-Sens!$E$7077)*MIN(1,4/n_conv)</f>
        <v>0.0311721435769923</v>
      </c>
      <c r="J7077" s="7" t="n">
        <f aca="false">Sens!$E$7077+(glt_lic-Sens!$E$7077)*MIN(1,5/n_conv)</f>
        <v>0.0255860717884961</v>
      </c>
      <c r="K7077" s="7" t="n">
        <f aca="false">Sens!$E$7077+(glt_lic-Sens!$E$7077)*MIN(1,6/n_conv)</f>
        <v>0.02</v>
      </c>
    </row>
    <row r="7078" customFormat="false" ht="15" hidden="false" customHeight="false" outlineLevel="0" collapsed="false">
      <c r="A7078" s="0" t="s">
        <v>790</v>
      </c>
      <c r="B7078" s="0" t="s">
        <v>95</v>
      </c>
      <c r="D7078" s="6" t="n">
        <f aca="false">Q!L9</f>
        <v>18.417</v>
      </c>
      <c r="E7078" s="6" t="n">
        <f aca="false">Q!M9</f>
        <v>20.345</v>
      </c>
      <c r="F7078" s="6" t="n">
        <f aca="false">Sens!E7078*(1+Sens!F7079)</f>
        <v>22.3572203267814</v>
      </c>
      <c r="G7078" s="6" t="n">
        <f aca="false">Sens!F7078*(1+Sens!G7079)</f>
        <v>24.4392124437232</v>
      </c>
      <c r="H7078" s="6" t="n">
        <f aca="false">Sens!G7078*(1+Sens!H7079)</f>
        <v>26.5738052080665</v>
      </c>
      <c r="I7078" s="6" t="n">
        <f aca="false">Sens!H7078*(1+Sens!I7079)</f>
        <v>28.7412169166967</v>
      </c>
      <c r="J7078" s="6" t="n">
        <f aca="false">Sens!I7078*(1+Sens!J7079)</f>
        <v>30.9192545395413</v>
      </c>
      <c r="K7078" s="6" t="n">
        <f aca="false">Sens!J7078*(1+Sens!K7079)</f>
        <v>33.0836023573092</v>
      </c>
    </row>
    <row r="7079" customFormat="false" ht="15" hidden="false" customHeight="false" outlineLevel="0" collapsed="false">
      <c r="A7079" s="1" t="s">
        <v>782</v>
      </c>
      <c r="B7079" s="0" t="s">
        <v>126</v>
      </c>
      <c r="E7079" s="7" t="n">
        <f aca="false">Sens!E7078/Sens!D7078-1</f>
        <v>0.104685888038225</v>
      </c>
      <c r="F7079" s="7" t="n">
        <f aca="false">Sens!$E$7079+(glt_ind-Sens!$E$7079)*MIN(1,1/n_conv)</f>
        <v>0.0989049066985211</v>
      </c>
      <c r="G7079" s="7" t="n">
        <f aca="false">Sens!$E$7079+(glt_ind-Sens!$E$7079)*MIN(1,2/n_conv)</f>
        <v>0.0931239253588169</v>
      </c>
      <c r="H7079" s="7" t="n">
        <f aca="false">Sens!$E$7079+(glt_ind-Sens!$E$7079)*MIN(1,3/n_conv)</f>
        <v>0.0873429440191127</v>
      </c>
      <c r="I7079" s="7" t="n">
        <f aca="false">Sens!$E$7079+(glt_ind-Sens!$E$7079)*MIN(1,4/n_conv)</f>
        <v>0.0815619626794085</v>
      </c>
      <c r="J7079" s="7" t="n">
        <f aca="false">Sens!$E$7079+(glt_ind-Sens!$E$7079)*MIN(1,5/n_conv)</f>
        <v>0.0757809813397042</v>
      </c>
      <c r="K7079" s="7" t="n">
        <f aca="false">Sens!$E$7079+(glt_ind-Sens!$E$7079)*MIN(1,6/n_conv)</f>
        <v>0.07</v>
      </c>
    </row>
    <row r="7080" customFormat="false" ht="15" hidden="false" customHeight="false" outlineLevel="0" collapsed="false">
      <c r="A7080" s="0" t="s">
        <v>791</v>
      </c>
      <c r="B7080" s="0" t="s">
        <v>95</v>
      </c>
      <c r="D7080" s="6" t="n">
        <f aca="false">Q!L10</f>
        <v>7.76</v>
      </c>
      <c r="E7080" s="6" t="n">
        <f aca="false">Q!M10</f>
        <v>8.26</v>
      </c>
      <c r="F7080" s="6" t="n">
        <f aca="false">Sens!E7080*(1+Sens!F7081)</f>
        <v>8.79988041237113</v>
      </c>
      <c r="G7080" s="6" t="n">
        <f aca="false">Sens!F7080*(1+Sens!G7081)</f>
        <v>9.38321269125306</v>
      </c>
      <c r="H7080" s="6" t="n">
        <f aca="false">Sens!G7080*(1+Sens!H7081)</f>
        <v>10.0139193587476</v>
      </c>
      <c r="I7080" s="6" t="n">
        <f aca="false">Sens!H7080*(1+Sens!I7081)</f>
        <v>10.6963111830911</v>
      </c>
      <c r="J7080" s="6" t="n">
        <f aca="false">Sens!I7080*(1+Sens!J7081)</f>
        <v>11.4351285534696</v>
      </c>
      <c r="K7080" s="6" t="n">
        <f aca="false">Sens!J7080*(1+Sens!K7081)</f>
        <v>12.2355875522124</v>
      </c>
    </row>
    <row r="7081" customFormat="false" ht="15" hidden="false" customHeight="false" outlineLevel="0" collapsed="false">
      <c r="A7081" s="1" t="s">
        <v>782</v>
      </c>
      <c r="B7081" s="0" t="s">
        <v>126</v>
      </c>
      <c r="E7081" s="7" t="n">
        <f aca="false">Sens!E7080/Sens!D7080-1</f>
        <v>0.0644329896907216</v>
      </c>
      <c r="F7081" s="7" t="n">
        <f aca="false">Sens!$E$7081+(glt_fro-Sens!$E$7081)*MIN(1,1/n_conv)</f>
        <v>0.065360824742268</v>
      </c>
      <c r="G7081" s="7" t="n">
        <f aca="false">Sens!$E$7081+(glt_fro-Sens!$E$7081)*MIN(1,2/n_conv)</f>
        <v>0.0662886597938144</v>
      </c>
      <c r="H7081" s="7" t="n">
        <f aca="false">Sens!$E$7081+(glt_fro-Sens!$E$7081)*MIN(1,3/n_conv)</f>
        <v>0.0672164948453608</v>
      </c>
      <c r="I7081" s="7" t="n">
        <f aca="false">Sens!$E$7081+(glt_fro-Sens!$E$7081)*MIN(1,4/n_conv)</f>
        <v>0.0681443298969072</v>
      </c>
      <c r="J7081" s="7" t="n">
        <f aca="false">Sens!$E$7081+(glt_fro-Sens!$E$7081)*MIN(1,5/n_conv)</f>
        <v>0.0690721649484536</v>
      </c>
      <c r="K7081" s="7" t="n">
        <f aca="false">Sens!$E$7081+(glt_fro-Sens!$E$7081)*MIN(1,6/n_conv)</f>
        <v>0.07</v>
      </c>
    </row>
    <row r="7082" customFormat="false" ht="15" hidden="false" customHeight="false" outlineLevel="0" collapsed="false">
      <c r="A7082" s="0" t="s">
        <v>626</v>
      </c>
      <c r="B7082" s="0" t="s">
        <v>95</v>
      </c>
      <c r="D7082" s="6" t="n">
        <f aca="false">Sens!D7070+Sens!D7075+Sens!D7076+Sens!D7078+Sens!D7080</f>
        <v>218.783</v>
      </c>
      <c r="E7082" s="6" t="n">
        <f aca="false">Sens!E7070+Sens!E7075+Sens!E7076+Sens!E7078+Sens!E7080</f>
        <v>268.127</v>
      </c>
      <c r="F7082" s="6" t="n">
        <f aca="false">Sens!F7070+Sens!F7075+Sens!F7076+Sens!F7078+Sens!F7080</f>
        <v>334.7597182084</v>
      </c>
      <c r="G7082" s="6" t="n">
        <f aca="false">Sens!G7070+Sens!G7075+Sens!G7076+Sens!G7078+Sens!G7080</f>
        <v>409.866949685004</v>
      </c>
      <c r="H7082" s="6" t="n">
        <f aca="false">Sens!H7070+Sens!H7075+Sens!H7076+Sens!H7078+Sens!H7080</f>
        <v>487.456755668086</v>
      </c>
      <c r="I7082" s="6" t="n">
        <f aca="false">Sens!I7070+Sens!I7075+Sens!I7076+Sens!I7078+Sens!I7080</f>
        <v>564.388784437541</v>
      </c>
      <c r="J7082" s="6" t="n">
        <f aca="false">Sens!J7070+Sens!J7075+Sens!J7076+Sens!J7078+Sens!J7080</f>
        <v>639.595141956762</v>
      </c>
      <c r="K7082" s="6" t="n">
        <f aca="false">Sens!K7070+Sens!K7075+Sens!K7076+Sens!K7078+Sens!K7080</f>
        <v>713.399418713314</v>
      </c>
    </row>
    <row r="7083" customFormat="false" ht="15" hidden="false" customHeight="false" outlineLevel="0" collapsed="false">
      <c r="A7083" s="0" t="s">
        <v>792</v>
      </c>
      <c r="B7083" s="0" t="s">
        <v>95</v>
      </c>
      <c r="D7083" s="6" t="n">
        <f aca="false">Q!L13</f>
        <v>22.171</v>
      </c>
      <c r="E7083" s="6" t="n">
        <f aca="false">Q!M13</f>
        <v>24.835</v>
      </c>
      <c r="F7083" s="6" t="n">
        <f aca="false">Sens!E7083*(1+Sens!F7084)</f>
        <v>27.6114901218559</v>
      </c>
      <c r="G7083" s="6" t="n">
        <f aca="false">Sens!F7083*(1+Sens!G7084)</f>
        <v>30.4675667338515</v>
      </c>
      <c r="H7083" s="6" t="n">
        <f aca="false">Sens!G7083*(1+Sens!H7084)</f>
        <v>33.3643766955789</v>
      </c>
      <c r="I7083" s="6" t="n">
        <f aca="false">Sens!H7083*(1+Sens!I7084)</f>
        <v>36.2577016533691</v>
      </c>
      <c r="J7083" s="6" t="n">
        <f aca="false">Sens!I7083*(1+Sens!J7084)</f>
        <v>39.0988367952171</v>
      </c>
      <c r="K7083" s="6" t="n">
        <f aca="false">Sens!J7083*(1+Sens!K7084)</f>
        <v>41.8357553708823</v>
      </c>
    </row>
    <row r="7084" customFormat="false" ht="15" hidden="false" customHeight="false" outlineLevel="0" collapsed="false">
      <c r="A7084" s="1" t="s">
        <v>782</v>
      </c>
      <c r="B7084" s="0" t="s">
        <v>126</v>
      </c>
      <c r="E7084" s="7" t="n">
        <f aca="false">Sens!E7083/Sens!D7083-1</f>
        <v>0.120156961796942</v>
      </c>
      <c r="F7084" s="7" t="n">
        <f aca="false">Sens!$E$7084+(glt_srch-Sens!$E$7084)*MIN(1,1/n_conv)</f>
        <v>0.111797468164118</v>
      </c>
      <c r="G7084" s="7" t="n">
        <f aca="false">Sens!$E$7084+(glt_srch-Sens!$E$7084)*MIN(1,2/n_conv)</f>
        <v>0.103437974531295</v>
      </c>
      <c r="H7084" s="7" t="n">
        <f aca="false">Sens!$E$7084+(glt_srch-Sens!$E$7084)*MIN(1,3/n_conv)</f>
        <v>0.095078480898471</v>
      </c>
      <c r="I7084" s="7" t="n">
        <f aca="false">Sens!$E$7084+(glt_srch-Sens!$E$7084)*MIN(1,4/n_conv)</f>
        <v>0.0867189872656474</v>
      </c>
      <c r="J7084" s="7" t="n">
        <f aca="false">Sens!$E$7084+(glt_srch-Sens!$E$7084)*MIN(1,5/n_conv)</f>
        <v>0.0783594936328237</v>
      </c>
      <c r="K7084" s="7" t="n">
        <f aca="false">Sens!$E$7084+(glt_srch-Sens!$E$7084)*MIN(1,6/n_conv)</f>
        <v>0.07</v>
      </c>
    </row>
    <row r="7085" customFormat="false" ht="15" hidden="false" customHeight="false" outlineLevel="0" collapsed="false">
      <c r="A7085" s="0" t="s">
        <v>793</v>
      </c>
      <c r="B7085" s="0" t="s">
        <v>95</v>
      </c>
      <c r="D7085" s="6" t="n">
        <f aca="false">Q!L14</f>
        <v>23.455</v>
      </c>
      <c r="E7085" s="6" t="n">
        <f aca="false">Q!M14</f>
        <v>21.79</v>
      </c>
      <c r="F7085" s="6" t="n">
        <f aca="false">Sens!E7085*(1+Sens!F7086)</f>
        <v>20.5736277908051</v>
      </c>
      <c r="G7085" s="6" t="n">
        <f aca="false">Sens!F7085*(1+Sens!G7086)</f>
        <v>19.7371452817919</v>
      </c>
      <c r="H7085" s="6" t="n">
        <f aca="false">Sens!G7085*(1+Sens!H7086)</f>
        <v>19.2339764043138</v>
      </c>
      <c r="I7085" s="6" t="n">
        <f aca="false">Sens!H7085*(1+Sens!I7086)</f>
        <v>19.0353086852681</v>
      </c>
      <c r="J7085" s="6" t="n">
        <f aca="false">Sens!I7085*(1+Sens!J7086)</f>
        <v>19.1273539319129</v>
      </c>
      <c r="K7085" s="6" t="n">
        <f aca="false">Sens!J7085*(1+Sens!K7086)</f>
        <v>19.5099010105511</v>
      </c>
    </row>
    <row r="7086" customFormat="false" ht="15" hidden="false" customHeight="false" outlineLevel="0" collapsed="false">
      <c r="A7086" s="1" t="s">
        <v>782</v>
      </c>
      <c r="B7086" s="0" t="s">
        <v>126</v>
      </c>
      <c r="E7086" s="7" t="n">
        <f aca="false">Sens!E7085/Sens!D7085-1</f>
        <v>-0.0709869963760392</v>
      </c>
      <c r="F7086" s="7" t="n">
        <f aca="false">Sens!$E$7086+(glt_xbox-Sens!$E$7086)*MIN(1,1/n_conv)</f>
        <v>-0.0558224969800327</v>
      </c>
      <c r="G7086" s="7" t="n">
        <f aca="false">Sens!$E$7086+(glt_xbox-Sens!$E$7086)*MIN(1,2/n_conv)</f>
        <v>-0.0406579975840262</v>
      </c>
      <c r="H7086" s="7" t="n">
        <f aca="false">Sens!$E$7086+(glt_xbox-Sens!$E$7086)*MIN(1,3/n_conv)</f>
        <v>-0.0254934981880196</v>
      </c>
      <c r="I7086" s="7" t="n">
        <f aca="false">Sens!$E$7086+(glt_xbox-Sens!$E$7086)*MIN(1,4/n_conv)</f>
        <v>-0.0103289987920131</v>
      </c>
      <c r="J7086" s="7" t="n">
        <f aca="false">Sens!$E$7086+(glt_xbox-Sens!$E$7086)*MIN(1,5/n_conv)</f>
        <v>0.00483550060399347</v>
      </c>
      <c r="K7086" s="7" t="n">
        <f aca="false">Sens!$E$7086+(glt_xbox-Sens!$E$7086)*MIN(1,6/n_conv)</f>
        <v>0.02</v>
      </c>
    </row>
    <row r="7087" customFormat="false" ht="15" hidden="false" customHeight="false" outlineLevel="0" collapsed="false">
      <c r="A7087" s="0" t="s">
        <v>794</v>
      </c>
      <c r="B7087" s="0" t="s">
        <v>95</v>
      </c>
      <c r="D7087" s="6" t="n">
        <f aca="false">Q!L15</f>
        <v>17.315</v>
      </c>
      <c r="E7087" s="6" t="n">
        <f aca="false">Q!M15</f>
        <v>17.087</v>
      </c>
      <c r="F7087" s="6" t="n">
        <f aca="false">Sens!E7087*(1+Sens!F7088)</f>
        <v>16.9564585436519</v>
      </c>
      <c r="G7087" s="6" t="n">
        <f aca="false">Sens!F7087*(1+Sens!G7088)</f>
        <v>16.9206490624268</v>
      </c>
      <c r="H7087" s="6" t="n">
        <f aca="false">Sens!G7087*(1+Sens!H7088)</f>
        <v>16.9784519149849</v>
      </c>
      <c r="I7087" s="6" t="n">
        <f aca="false">Sens!H7087*(1+Sens!I7088)</f>
        <v>17.1303084701817</v>
      </c>
      <c r="J7087" s="6" t="n">
        <f aca="false">Sens!I7087*(1+Sens!J7088)</f>
        <v>17.3782189407267</v>
      </c>
      <c r="K7087" s="6" t="n">
        <f aca="false">Sens!J7087*(1+Sens!K7088)</f>
        <v>17.7257833195413</v>
      </c>
    </row>
    <row r="7088" customFormat="false" ht="15" hidden="false" customHeight="false" outlineLevel="0" collapsed="false">
      <c r="A7088" s="1" t="s">
        <v>782</v>
      </c>
      <c r="B7088" s="0" t="s">
        <v>126</v>
      </c>
      <c r="E7088" s="7" t="n">
        <f aca="false">Sens!E7087/Sens!D7087-1</f>
        <v>-0.0131677736066995</v>
      </c>
      <c r="F7088" s="7" t="n">
        <f aca="false">Sens!$E$7088+(glt_win-Sens!$E$7088)*MIN(1,1/n_conv)</f>
        <v>-0.00763981133891627</v>
      </c>
      <c r="G7088" s="7" t="n">
        <f aca="false">Sens!$E$7088+(glt_win-Sens!$E$7088)*MIN(1,2/n_conv)</f>
        <v>-0.00211184907113301</v>
      </c>
      <c r="H7088" s="7" t="n">
        <f aca="false">Sens!$E$7088+(glt_win-Sens!$E$7088)*MIN(1,3/n_conv)</f>
        <v>0.00341611319665024</v>
      </c>
      <c r="I7088" s="7" t="n">
        <f aca="false">Sens!$E$7088+(glt_win-Sens!$E$7088)*MIN(1,4/n_conv)</f>
        <v>0.00894407546443349</v>
      </c>
      <c r="J7088" s="7" t="n">
        <f aca="false">Sens!$E$7088+(glt_win-Sens!$E$7088)*MIN(1,5/n_conv)</f>
        <v>0.0144720377322168</v>
      </c>
      <c r="K7088" s="7" t="n">
        <f aca="false">Sens!$E$7088+(glt_win-Sens!$E$7088)*MIN(1,6/n_conv)</f>
        <v>0.02</v>
      </c>
    </row>
    <row r="7089" customFormat="false" ht="15" hidden="false" customHeight="false" outlineLevel="0" collapsed="false">
      <c r="A7089" s="0" t="s">
        <v>640</v>
      </c>
      <c r="B7089" s="0" t="s">
        <v>95</v>
      </c>
      <c r="D7089" s="6" t="n">
        <f aca="false">Sens!D7083+Sens!D7085+Sens!D7087</f>
        <v>62.941</v>
      </c>
      <c r="E7089" s="6" t="n">
        <f aca="false">Sens!E7083+Sens!E7085+Sens!E7087</f>
        <v>63.712</v>
      </c>
      <c r="F7089" s="6" t="n">
        <f aca="false">Sens!F7083+Sens!F7085+Sens!F7087</f>
        <v>65.1415764563129</v>
      </c>
      <c r="G7089" s="6" t="n">
        <f aca="false">Sens!G7083+Sens!G7085+Sens!G7087</f>
        <v>67.1253610780702</v>
      </c>
      <c r="H7089" s="6" t="n">
        <f aca="false">Sens!H7083+Sens!H7085+Sens!H7087</f>
        <v>69.5768050148776</v>
      </c>
      <c r="I7089" s="6" t="n">
        <f aca="false">Sens!I7083+Sens!I7085+Sens!I7087</f>
        <v>72.4233188088189</v>
      </c>
      <c r="J7089" s="6" t="n">
        <f aca="false">Sens!J7083+Sens!J7085+Sens!J7087</f>
        <v>75.6044096678567</v>
      </c>
      <c r="K7089" s="6" t="n">
        <f aca="false">Sens!K7083+Sens!K7085+Sens!K7087</f>
        <v>79.0714397009747</v>
      </c>
    </row>
    <row r="7090" customFormat="false" ht="15" hidden="false" customHeight="false" outlineLevel="0" collapsed="false">
      <c r="A7090" s="1" t="s">
        <v>795</v>
      </c>
      <c r="B7090" s="0" t="s">
        <v>95</v>
      </c>
      <c r="D7090" s="6" t="n">
        <f aca="false">Sens!D7082+Sens!D7089</f>
        <v>281.724</v>
      </c>
      <c r="E7090" s="6" t="n">
        <f aca="false">Sens!E7082+Sens!E7089</f>
        <v>331.839</v>
      </c>
      <c r="F7090" s="6" t="n">
        <f aca="false">Sens!F7082+Sens!F7089</f>
        <v>399.901294664713</v>
      </c>
      <c r="G7090" s="6" t="n">
        <f aca="false">Sens!G7082+Sens!G7089</f>
        <v>476.992310763075</v>
      </c>
      <c r="H7090" s="6" t="n">
        <f aca="false">Sens!H7082+Sens!H7089</f>
        <v>557.033560682964</v>
      </c>
      <c r="I7090" s="6" t="n">
        <f aca="false">Sens!I7082+Sens!I7089</f>
        <v>636.812103246359</v>
      </c>
      <c r="J7090" s="6" t="n">
        <f aca="false">Sens!J7082+Sens!J7089</f>
        <v>715.199551624619</v>
      </c>
      <c r="K7090" s="6" t="n">
        <f aca="false">Sens!K7082+Sens!K7089</f>
        <v>792.470858414289</v>
      </c>
    </row>
    <row r="7091" customFormat="false" ht="15" hidden="false" customHeight="false" outlineLevel="0" collapsed="false">
      <c r="A7091" s="22" t="s">
        <v>796</v>
      </c>
      <c r="B7091" s="28" t="s">
        <v>95</v>
      </c>
      <c r="C7091" s="28"/>
      <c r="D7091" s="23" t="n">
        <f aca="false">(Sens!D7070+Sens!D7075+Sens!D7076+Sens!D7078+Sens!D7080-Sens!D7082)+(Sens!D7083+Sens!D7085+Sens!D7087-Sens!D7089)+(Sens!D7082-Q!L5)+(Sens!D7089-Q!L12)+(Sens!D7070-Q!L6)+(Sens!D7075-Q!L7)</f>
        <v>0</v>
      </c>
      <c r="E7091" s="23" t="n">
        <f aca="false">(Sens!E7070+Sens!E7075+Sens!E7076+Sens!E7078+Sens!E7080-Sens!E7082)+(Sens!E7083+Sens!E7085+Sens!E7087-Sens!E7089)+(Sens!E7082-Q!M5)+(Sens!E7089-Q!M12)+(Sens!E7070-Q!M6)+(Sens!E7075-Q!M7)</f>
        <v>0</v>
      </c>
      <c r="F7091" s="23" t="n">
        <f aca="false">(Sens!F7070+Sens!F7075+Sens!F7076+Sens!F7078+Sens!F7080-Sens!F7082)+(Sens!F7083+Sens!F7085+Sens!F7087-Sens!F7089)</f>
        <v>0</v>
      </c>
      <c r="G7091" s="23" t="n">
        <f aca="false">(Sens!G7070+Sens!G7075+Sens!G7076+Sens!G7078+Sens!G7080-Sens!G7082)+(Sens!G7083+Sens!G7085+Sens!G7087-Sens!G7089)</f>
        <v>0</v>
      </c>
      <c r="H7091" s="23" t="n">
        <f aca="false">(Sens!H7070+Sens!H7075+Sens!H7076+Sens!H7078+Sens!H7080-Sens!H7082)+(Sens!H7083+Sens!H7085+Sens!H7087-Sens!H7089)</f>
        <v>0</v>
      </c>
      <c r="I7091" s="23" t="n">
        <f aca="false">(Sens!I7070+Sens!I7075+Sens!I7076+Sens!I7078+Sens!I7080-Sens!I7082)+(Sens!I7083+Sens!I7085+Sens!I7087-Sens!I7089)</f>
        <v>0</v>
      </c>
      <c r="J7091" s="23" t="n">
        <f aca="false">(Sens!J7070+Sens!J7075+Sens!J7076+Sens!J7078+Sens!J7080-Sens!J7082)+(Sens!J7083+Sens!J7085+Sens!J7087-Sens!J7089)</f>
        <v>0</v>
      </c>
      <c r="K7091" s="23" t="n">
        <f aca="false">(Sens!K7070+Sens!K7075+Sens!K7076+Sens!K7078+Sens!K7080-Sens!K7082)+(Sens!K7083+Sens!K7085+Sens!K7087-Sens!K7089)</f>
        <v>0</v>
      </c>
    </row>
    <row r="7092" customFormat="false" ht="17.15" hidden="false" customHeight="false" outlineLevel="0" collapsed="false">
      <c r="A7092" s="3" t="s">
        <v>1316</v>
      </c>
    </row>
    <row r="7093" customFormat="false" ht="15" hidden="false" customHeight="false" outlineLevel="0" collapsed="false">
      <c r="A7093" s="4" t="s">
        <v>43</v>
      </c>
      <c r="B7093" s="4" t="s">
        <v>63</v>
      </c>
      <c r="C7093" s="19" t="s">
        <v>710</v>
      </c>
      <c r="D7093" s="19" t="s">
        <v>711</v>
      </c>
      <c r="E7093" s="19" t="s">
        <v>712</v>
      </c>
      <c r="F7093" s="19" t="s">
        <v>713</v>
      </c>
      <c r="G7093" s="19" t="s">
        <v>714</v>
      </c>
      <c r="H7093" s="19" t="s">
        <v>715</v>
      </c>
      <c r="I7093" s="19" t="s">
        <v>716</v>
      </c>
      <c r="J7093" s="19" t="s">
        <v>717</v>
      </c>
      <c r="K7093" s="19" t="s">
        <v>718</v>
      </c>
      <c r="L7093" s="4" t="s">
        <v>47</v>
      </c>
    </row>
    <row r="7094" customFormat="false" ht="15" hidden="false" customHeight="false" outlineLevel="0" collapsed="false">
      <c r="A7094" s="0" t="s">
        <v>783</v>
      </c>
      <c r="B7094" s="0" t="s">
        <v>95</v>
      </c>
      <c r="D7094" s="6" t="n">
        <f aca="false">Sens!D7070</f>
        <v>72.61</v>
      </c>
      <c r="E7094" s="6" t="n">
        <f aca="false">Sens!E7070</f>
        <v>101.938</v>
      </c>
      <c r="F7094" s="6" t="n">
        <f aca="false">Sens!F7070</f>
        <v>145.638146269217</v>
      </c>
      <c r="G7094" s="6" t="n">
        <f aca="false">Sens!G7070</f>
        <v>198.273793147575</v>
      </c>
      <c r="H7094" s="6" t="n">
        <f aca="false">Sens!H7070</f>
        <v>253.368072986571</v>
      </c>
      <c r="I7094" s="6" t="n">
        <f aca="false">Sens!I7070</f>
        <v>309.577429458054</v>
      </c>
      <c r="J7094" s="6" t="n">
        <f aca="false">Sens!J7070</f>
        <v>366.154244852593</v>
      </c>
      <c r="K7094" s="6" t="n">
        <f aca="false">Sens!K7070</f>
        <v>422.255349373138</v>
      </c>
    </row>
    <row r="7095" customFormat="false" ht="17.15" hidden="false" customHeight="false" outlineLevel="0" collapsed="false">
      <c r="A7095" s="0" t="s">
        <v>780</v>
      </c>
      <c r="B7095" s="0" t="s">
        <v>95</v>
      </c>
      <c r="D7095" s="6" t="n">
        <f aca="false">Sens!D7067</f>
        <v>12.9359794422418</v>
      </c>
      <c r="E7095" s="6" t="n">
        <f aca="false">Sens!E7067</f>
        <v>27.8095064661409</v>
      </c>
      <c r="F7095" s="6" t="n">
        <f aca="false">Sens!F7067</f>
        <v>55.0640065749585</v>
      </c>
      <c r="G7095" s="6" t="n">
        <f aca="false">Sens!G7067</f>
        <v>89.4505413190538</v>
      </c>
      <c r="H7095" s="6" t="n">
        <f aca="false">Sens!H7067</f>
        <v>124.835630736874</v>
      </c>
      <c r="I7095" s="6" t="n">
        <f aca="false">Sens!I7067</f>
        <v>160.384516075608</v>
      </c>
      <c r="J7095" s="6" t="n">
        <f aca="false">Sens!J7067</f>
        <v>196.019025664981</v>
      </c>
      <c r="K7095" s="6" t="n">
        <f aca="false">Sens!K7067</f>
        <v>231.703903883012</v>
      </c>
    </row>
    <row r="7096" customFormat="false" ht="17.15" hidden="false" customHeight="false" outlineLevel="0" collapsed="false">
      <c r="A7096" s="0" t="s">
        <v>807</v>
      </c>
      <c r="B7096" s="0" t="s">
        <v>95</v>
      </c>
      <c r="D7096" s="6" t="n">
        <f aca="false">Sens!D7068</f>
        <v>59.6740205577583</v>
      </c>
      <c r="E7096" s="6" t="n">
        <f aca="false">Sens!E7068</f>
        <v>74.1284935338591</v>
      </c>
      <c r="F7096" s="6" t="n">
        <f aca="false">Sens!F7068</f>
        <v>90.5741396942587</v>
      </c>
      <c r="G7096" s="6" t="n">
        <f aca="false">Sens!G7068</f>
        <v>108.823251828521</v>
      </c>
      <c r="H7096" s="6" t="n">
        <f aca="false">Sens!H7068</f>
        <v>128.532442249697</v>
      </c>
      <c r="I7096" s="6" t="n">
        <f aca="false">Sens!I7068</f>
        <v>149.192913382446</v>
      </c>
      <c r="J7096" s="6" t="n">
        <f aca="false">Sens!J7068</f>
        <v>170.135219187612</v>
      </c>
      <c r="K7096" s="6" t="n">
        <f aca="false">Sens!K7068</f>
        <v>190.551445490125</v>
      </c>
    </row>
    <row r="7097" customFormat="false" ht="15" hidden="false" customHeight="false" outlineLevel="0" collapsed="false">
      <c r="A7097" s="0" t="s">
        <v>788</v>
      </c>
      <c r="B7097" s="0" t="s">
        <v>95</v>
      </c>
      <c r="D7097" s="6" t="n">
        <f aca="false">Sens!D7075</f>
        <v>84.605</v>
      </c>
      <c r="E7097" s="6" t="n">
        <f aca="false">Sens!E7075</f>
        <v>100.299</v>
      </c>
      <c r="F7097" s="6" t="n">
        <f aca="false">Sens!F7075</f>
        <v>118.89238776686</v>
      </c>
      <c r="G7097" s="6" t="n">
        <f aca="false">Sens!G7075</f>
        <v>137.044168448684</v>
      </c>
      <c r="H7097" s="6" t="n">
        <f aca="false">Sens!H7075</f>
        <v>155.277359388781</v>
      </c>
      <c r="I7097" s="6" t="n">
        <f aca="false">Sens!I7075</f>
        <v>171.834028071957</v>
      </c>
      <c r="J7097" s="6" t="n">
        <f aca="false">Sens!J7075</f>
        <v>186.432702785465</v>
      </c>
      <c r="K7097" s="6" t="n">
        <f aca="false">Sens!K7075</f>
        <v>200.277991980448</v>
      </c>
    </row>
    <row r="7098" customFormat="false" ht="17.15" hidden="false" customHeight="false" outlineLevel="0" collapsed="false">
      <c r="A7098" s="0" t="s">
        <v>808</v>
      </c>
      <c r="B7098" s="0" t="s">
        <v>95</v>
      </c>
      <c r="D7098" s="6" t="n">
        <f aca="false">Sens!D7073</f>
        <v>83.705</v>
      </c>
      <c r="E7098" s="6" t="n">
        <f aca="false">Sens!E7073</f>
        <v>95.049</v>
      </c>
      <c r="F7098" s="6" t="n">
        <f aca="false">Sens!F7073</f>
        <v>106.89238776686</v>
      </c>
      <c r="G7098" s="6" t="n">
        <f aca="false">Sens!G7073</f>
        <v>119.044168448684</v>
      </c>
      <c r="H7098" s="6" t="n">
        <f aca="false">Sens!H7073</f>
        <v>131.277359388781</v>
      </c>
      <c r="I7098" s="6" t="n">
        <f aca="false">Sens!I7073</f>
        <v>143.334028071957</v>
      </c>
      <c r="J7098" s="6" t="n">
        <f aca="false">Sens!J7073</f>
        <v>154.932702785465</v>
      </c>
      <c r="K7098" s="6" t="n">
        <f aca="false">Sens!K7073</f>
        <v>165.777991980448</v>
      </c>
    </row>
    <row r="7099" customFormat="false" ht="17.15" hidden="false" customHeight="false" outlineLevel="0" collapsed="false">
      <c r="A7099" s="0" t="s">
        <v>809</v>
      </c>
      <c r="B7099" s="0" t="s">
        <v>95</v>
      </c>
      <c r="D7099" s="6" t="n">
        <f aca="false">Sens!D7072</f>
        <v>0.9</v>
      </c>
      <c r="E7099" s="6" t="n">
        <f aca="false">Sens!E7072</f>
        <v>5.25</v>
      </c>
      <c r="F7099" s="6" t="n">
        <f aca="false">Sens!F7072</f>
        <v>12</v>
      </c>
      <c r="G7099" s="6" t="n">
        <f aca="false">Sens!G7072</f>
        <v>18</v>
      </c>
      <c r="H7099" s="6" t="n">
        <f aca="false">Sens!H7072</f>
        <v>24</v>
      </c>
      <c r="I7099" s="6" t="n">
        <f aca="false">Sens!I7072</f>
        <v>28.5</v>
      </c>
      <c r="J7099" s="6" t="n">
        <f aca="false">Sens!J7072</f>
        <v>31.5</v>
      </c>
      <c r="K7099" s="6" t="n">
        <f aca="false">Sens!K7072</f>
        <v>34.5</v>
      </c>
    </row>
    <row r="7100" customFormat="false" ht="15" hidden="false" customHeight="false" outlineLevel="0" collapsed="false">
      <c r="A7100" s="0" t="s">
        <v>789</v>
      </c>
      <c r="B7100" s="0" t="s">
        <v>95</v>
      </c>
      <c r="D7100" s="6" t="n">
        <f aca="false">Sens!D7076</f>
        <v>35.391</v>
      </c>
      <c r="E7100" s="6" t="n">
        <f aca="false">Sens!E7076</f>
        <v>37.285</v>
      </c>
      <c r="F7100" s="6" t="n">
        <f aca="false">Sens!F7076</f>
        <v>39.0720834331704</v>
      </c>
      <c r="G7100" s="6" t="n">
        <f aca="false">Sens!G7076</f>
        <v>40.726562953769</v>
      </c>
      <c r="H7100" s="6" t="n">
        <f aca="false">Sens!H7076</f>
        <v>42.2235987259198</v>
      </c>
      <c r="I7100" s="6" t="n">
        <f aca="false">Sens!I7076</f>
        <v>43.5397988077414</v>
      </c>
      <c r="J7100" s="6" t="n">
        <f aca="false">Sens!J7076</f>
        <v>44.653811225693</v>
      </c>
      <c r="K7100" s="6" t="n">
        <f aca="false">Sens!K7076</f>
        <v>45.5468874502068</v>
      </c>
    </row>
    <row r="7101" customFormat="false" ht="15" hidden="false" customHeight="false" outlineLevel="0" collapsed="false">
      <c r="A7101" s="0" t="s">
        <v>790</v>
      </c>
      <c r="B7101" s="0" t="s">
        <v>95</v>
      </c>
      <c r="D7101" s="6" t="n">
        <f aca="false">Sens!D7078</f>
        <v>18.417</v>
      </c>
      <c r="E7101" s="6" t="n">
        <f aca="false">Sens!E7078</f>
        <v>20.345</v>
      </c>
      <c r="F7101" s="6" t="n">
        <f aca="false">Sens!F7078</f>
        <v>22.3572203267814</v>
      </c>
      <c r="G7101" s="6" t="n">
        <f aca="false">Sens!G7078</f>
        <v>24.4392124437232</v>
      </c>
      <c r="H7101" s="6" t="n">
        <f aca="false">Sens!H7078</f>
        <v>26.5738052080665</v>
      </c>
      <c r="I7101" s="6" t="n">
        <f aca="false">Sens!I7078</f>
        <v>28.7412169166967</v>
      </c>
      <c r="J7101" s="6" t="n">
        <f aca="false">Sens!J7078</f>
        <v>30.9192545395413</v>
      </c>
      <c r="K7101" s="6" t="n">
        <f aca="false">Sens!K7078</f>
        <v>33.0836023573092</v>
      </c>
    </row>
    <row r="7102" customFormat="false" ht="15" hidden="false" customHeight="false" outlineLevel="0" collapsed="false">
      <c r="A7102" s="0" t="s">
        <v>791</v>
      </c>
      <c r="B7102" s="0" t="s">
        <v>95</v>
      </c>
      <c r="D7102" s="6" t="n">
        <f aca="false">Sens!D7080</f>
        <v>7.76</v>
      </c>
      <c r="E7102" s="6" t="n">
        <f aca="false">Sens!E7080</f>
        <v>8.26</v>
      </c>
      <c r="F7102" s="6" t="n">
        <f aca="false">Sens!F7080</f>
        <v>8.79988041237113</v>
      </c>
      <c r="G7102" s="6" t="n">
        <f aca="false">Sens!G7080</f>
        <v>9.38321269125306</v>
      </c>
      <c r="H7102" s="6" t="n">
        <f aca="false">Sens!H7080</f>
        <v>10.0139193587476</v>
      </c>
      <c r="I7102" s="6" t="n">
        <f aca="false">Sens!I7080</f>
        <v>10.6963111830911</v>
      </c>
      <c r="J7102" s="6" t="n">
        <f aca="false">Sens!J7080</f>
        <v>11.4351285534696</v>
      </c>
      <c r="K7102" s="6" t="n">
        <f aca="false">Sens!K7080</f>
        <v>12.2355875522124</v>
      </c>
    </row>
    <row r="7103" customFormat="false" ht="15" hidden="false" customHeight="false" outlineLevel="0" collapsed="false">
      <c r="A7103" s="0" t="s">
        <v>626</v>
      </c>
      <c r="B7103" s="0" t="s">
        <v>95</v>
      </c>
      <c r="D7103" s="6" t="n">
        <f aca="false">Sens!D7082</f>
        <v>218.783</v>
      </c>
      <c r="E7103" s="6" t="n">
        <f aca="false">Sens!E7082</f>
        <v>268.127</v>
      </c>
      <c r="F7103" s="6" t="n">
        <f aca="false">Sens!F7082</f>
        <v>334.7597182084</v>
      </c>
      <c r="G7103" s="6" t="n">
        <f aca="false">Sens!G7082</f>
        <v>409.866949685004</v>
      </c>
      <c r="H7103" s="6" t="n">
        <f aca="false">Sens!H7082</f>
        <v>487.456755668086</v>
      </c>
      <c r="I7103" s="6" t="n">
        <f aca="false">Sens!I7082</f>
        <v>564.388784437541</v>
      </c>
      <c r="J7103" s="6" t="n">
        <f aca="false">Sens!J7082</f>
        <v>639.595141956762</v>
      </c>
      <c r="K7103" s="6" t="n">
        <f aca="false">Sens!K7082</f>
        <v>713.399418713314</v>
      </c>
    </row>
    <row r="7104" customFormat="false" ht="15" hidden="false" customHeight="false" outlineLevel="0" collapsed="false">
      <c r="A7104" s="0" t="s">
        <v>792</v>
      </c>
      <c r="B7104" s="0" t="s">
        <v>95</v>
      </c>
      <c r="D7104" s="6" t="n">
        <f aca="false">Sens!D7083</f>
        <v>22.171</v>
      </c>
      <c r="E7104" s="6" t="n">
        <f aca="false">Sens!E7083</f>
        <v>24.835</v>
      </c>
      <c r="F7104" s="6" t="n">
        <f aca="false">Sens!F7083</f>
        <v>27.6114901218559</v>
      </c>
      <c r="G7104" s="6" t="n">
        <f aca="false">Sens!G7083</f>
        <v>30.4675667338515</v>
      </c>
      <c r="H7104" s="6" t="n">
        <f aca="false">Sens!H7083</f>
        <v>33.3643766955789</v>
      </c>
      <c r="I7104" s="6" t="n">
        <f aca="false">Sens!I7083</f>
        <v>36.2577016533691</v>
      </c>
      <c r="J7104" s="6" t="n">
        <f aca="false">Sens!J7083</f>
        <v>39.0988367952171</v>
      </c>
      <c r="K7104" s="6" t="n">
        <f aca="false">Sens!K7083</f>
        <v>41.8357553708823</v>
      </c>
    </row>
    <row r="7105" customFormat="false" ht="15" hidden="false" customHeight="false" outlineLevel="0" collapsed="false">
      <c r="A7105" s="0" t="s">
        <v>793</v>
      </c>
      <c r="B7105" s="0" t="s">
        <v>95</v>
      </c>
      <c r="D7105" s="6" t="n">
        <f aca="false">Sens!D7085</f>
        <v>23.455</v>
      </c>
      <c r="E7105" s="6" t="n">
        <f aca="false">Sens!E7085</f>
        <v>21.79</v>
      </c>
      <c r="F7105" s="6" t="n">
        <f aca="false">Sens!F7085</f>
        <v>20.5736277908051</v>
      </c>
      <c r="G7105" s="6" t="n">
        <f aca="false">Sens!G7085</f>
        <v>19.7371452817919</v>
      </c>
      <c r="H7105" s="6" t="n">
        <f aca="false">Sens!H7085</f>
        <v>19.2339764043138</v>
      </c>
      <c r="I7105" s="6" t="n">
        <f aca="false">Sens!I7085</f>
        <v>19.0353086852681</v>
      </c>
      <c r="J7105" s="6" t="n">
        <f aca="false">Sens!J7085</f>
        <v>19.1273539319129</v>
      </c>
      <c r="K7105" s="6" t="n">
        <f aca="false">Sens!K7085</f>
        <v>19.5099010105511</v>
      </c>
    </row>
    <row r="7106" customFormat="false" ht="15" hidden="false" customHeight="false" outlineLevel="0" collapsed="false">
      <c r="A7106" s="0" t="s">
        <v>794</v>
      </c>
      <c r="B7106" s="0" t="s">
        <v>95</v>
      </c>
      <c r="D7106" s="6" t="n">
        <f aca="false">Sens!D7087</f>
        <v>17.315</v>
      </c>
      <c r="E7106" s="6" t="n">
        <f aca="false">Sens!E7087</f>
        <v>17.087</v>
      </c>
      <c r="F7106" s="6" t="n">
        <f aca="false">Sens!F7087</f>
        <v>16.9564585436519</v>
      </c>
      <c r="G7106" s="6" t="n">
        <f aca="false">Sens!G7087</f>
        <v>16.9206490624268</v>
      </c>
      <c r="H7106" s="6" t="n">
        <f aca="false">Sens!H7087</f>
        <v>16.9784519149849</v>
      </c>
      <c r="I7106" s="6" t="n">
        <f aca="false">Sens!I7087</f>
        <v>17.1303084701817</v>
      </c>
      <c r="J7106" s="6" t="n">
        <f aca="false">Sens!J7087</f>
        <v>17.3782189407267</v>
      </c>
      <c r="K7106" s="6" t="n">
        <f aca="false">Sens!K7087</f>
        <v>17.7257833195413</v>
      </c>
    </row>
    <row r="7107" customFormat="false" ht="15" hidden="false" customHeight="false" outlineLevel="0" collapsed="false">
      <c r="A7107" s="0" t="s">
        <v>640</v>
      </c>
      <c r="B7107" s="0" t="s">
        <v>95</v>
      </c>
      <c r="D7107" s="6" t="n">
        <f aca="false">Sens!D7089</f>
        <v>62.941</v>
      </c>
      <c r="E7107" s="6" t="n">
        <f aca="false">Sens!E7089</f>
        <v>63.712</v>
      </c>
      <c r="F7107" s="6" t="n">
        <f aca="false">Sens!F7089</f>
        <v>65.1415764563129</v>
      </c>
      <c r="G7107" s="6" t="n">
        <f aca="false">Sens!G7089</f>
        <v>67.1253610780702</v>
      </c>
      <c r="H7107" s="6" t="n">
        <f aca="false">Sens!H7089</f>
        <v>69.5768050148776</v>
      </c>
      <c r="I7107" s="6" t="n">
        <f aca="false">Sens!I7089</f>
        <v>72.4233188088189</v>
      </c>
      <c r="J7107" s="6" t="n">
        <f aca="false">Sens!J7089</f>
        <v>75.6044096678567</v>
      </c>
      <c r="K7107" s="6" t="n">
        <f aca="false">Sens!K7089</f>
        <v>79.0714397009747</v>
      </c>
    </row>
    <row r="7108" customFormat="false" ht="15" hidden="false" customHeight="false" outlineLevel="0" collapsed="false">
      <c r="A7108" s="1" t="s">
        <v>810</v>
      </c>
      <c r="B7108" s="0" t="s">
        <v>95</v>
      </c>
      <c r="D7108" s="6" t="n">
        <f aca="false">Sens!D7090</f>
        <v>281.724</v>
      </c>
      <c r="E7108" s="6" t="n">
        <f aca="false">Sens!E7090</f>
        <v>331.839</v>
      </c>
      <c r="F7108" s="6" t="n">
        <f aca="false">Sens!F7090</f>
        <v>399.901294664713</v>
      </c>
      <c r="G7108" s="6" t="n">
        <f aca="false">Sens!G7090</f>
        <v>476.992310763075</v>
      </c>
      <c r="H7108" s="6" t="n">
        <f aca="false">Sens!H7090</f>
        <v>557.033560682964</v>
      </c>
      <c r="I7108" s="6" t="n">
        <f aca="false">Sens!I7090</f>
        <v>636.812103246359</v>
      </c>
      <c r="J7108" s="6" t="n">
        <f aca="false">Sens!J7090</f>
        <v>715.199551624619</v>
      </c>
      <c r="K7108" s="6" t="n">
        <f aca="false">Sens!K7090</f>
        <v>792.470858414289</v>
      </c>
    </row>
    <row r="7109" customFormat="false" ht="15" hidden="false" customHeight="false" outlineLevel="0" collapsed="false">
      <c r="A7109" s="1" t="s">
        <v>811</v>
      </c>
      <c r="B7109" s="0" t="s">
        <v>126</v>
      </c>
      <c r="E7109" s="7" t="n">
        <f aca="false">Sens!E7108/Sens!D7108-1</f>
        <v>0.177886867998467</v>
      </c>
      <c r="F7109" s="7" t="n">
        <f aca="false">Sens!F7108/Sens!E7108-1</f>
        <v>0.205106375877196</v>
      </c>
      <c r="G7109" s="7" t="n">
        <f aca="false">Sens!G7108/Sens!F7108-1</f>
        <v>0.192775110075592</v>
      </c>
      <c r="H7109" s="7" t="n">
        <f aca="false">Sens!H7108/Sens!G7108-1</f>
        <v>0.167804067515978</v>
      </c>
      <c r="I7109" s="7" t="n">
        <f aca="false">Sens!I7108/Sens!H7108-1</f>
        <v>0.143220351868173</v>
      </c>
      <c r="J7109" s="7" t="n">
        <f aca="false">Sens!J7108/Sens!I7108-1</f>
        <v>0.12309352786898</v>
      </c>
      <c r="K7109" s="7" t="n">
        <f aca="false">Sens!K7108/Sens!J7108-1</f>
        <v>0.108041604072798</v>
      </c>
    </row>
    <row r="7110" customFormat="false" ht="17.15" hidden="false" customHeight="false" outlineLevel="0" collapsed="false">
      <c r="A7110" s="22" t="s">
        <v>812</v>
      </c>
      <c r="B7110" s="28" t="s">
        <v>95</v>
      </c>
      <c r="C7110" s="28"/>
      <c r="D7110" s="23" t="n">
        <f aca="false">(Sens!D7103+Sens!D7107-Sens!D7108)+(Sens!D7095+Sens!D7096-Sens!D7094)+(Sens!D7098+Sens!D7099-Sens!D7097)+(Sens!D7108-Q!L18)</f>
        <v>0</v>
      </c>
      <c r="E7110" s="23" t="n">
        <f aca="false">(Sens!E7103+Sens!E7107-Sens!E7108)+(Sens!E7095+Sens!E7096-Sens!E7094)+(Sens!E7098+Sens!E7099-Sens!E7097)+(Sens!E7108-Q!M18)</f>
        <v>0</v>
      </c>
      <c r="F7110" s="23" t="n">
        <f aca="false">(Sens!F7103+Sens!F7107-Sens!F7108)+(Sens!F7095+Sens!F7096-Sens!F7094)+(Sens!F7098+Sens!F7099-Sens!F7097)</f>
        <v>0</v>
      </c>
      <c r="G7110" s="23" t="n">
        <f aca="false">(Sens!G7103+Sens!G7107-Sens!G7108)+(Sens!G7095+Sens!G7096-Sens!G7094)+(Sens!G7098+Sens!G7099-Sens!G7097)</f>
        <v>0</v>
      </c>
      <c r="H7110" s="23" t="n">
        <f aca="false">(Sens!H7103+Sens!H7107-Sens!H7108)+(Sens!H7095+Sens!H7096-Sens!H7094)+(Sens!H7098+Sens!H7099-Sens!H7097)</f>
        <v>0</v>
      </c>
      <c r="I7110" s="23" t="n">
        <f aca="false">(Sens!I7103+Sens!I7107-Sens!I7108)+(Sens!I7095+Sens!I7096-Sens!I7094)+(Sens!I7098+Sens!I7099-Sens!I7097)</f>
        <v>0</v>
      </c>
      <c r="J7110" s="23" t="n">
        <f aca="false">(Sens!J7103+Sens!J7107-Sens!J7108)+(Sens!J7095+Sens!J7096-Sens!J7094)+(Sens!J7098+Sens!J7099-Sens!J7097)</f>
        <v>0</v>
      </c>
      <c r="K7110" s="23" t="n">
        <f aca="false">(Sens!K7103+Sens!K7107-Sens!K7108)+(Sens!K7095+Sens!K7096-Sens!K7094)+(Sens!K7098+Sens!K7099-Sens!K7097)</f>
        <v>0</v>
      </c>
    </row>
    <row r="7111" customFormat="false" ht="17.15" hidden="false" customHeight="false" outlineLevel="0" collapsed="false">
      <c r="A7111" s="0" t="s">
        <v>813</v>
      </c>
      <c r="B7111" s="0" t="s">
        <v>126</v>
      </c>
      <c r="E7111" s="7" t="n">
        <f aca="false">(Q!M21+Sens!E7048+Sens!E7049+Sens!E7050+Sens!E7063-Sens!E7046)/(Q!M5-Sens!E7046)</f>
        <v>0.570957350878296</v>
      </c>
      <c r="F7111" s="7" t="n">
        <f aca="false">Sens!$E$7111+dm_seg</f>
        <v>0.570957350878296</v>
      </c>
      <c r="G7111" s="7" t="n">
        <f aca="false">Sens!$E$7111+dm_seg</f>
        <v>0.570957350878296</v>
      </c>
      <c r="H7111" s="7" t="n">
        <f aca="false">Sens!$E$7111+dm_seg</f>
        <v>0.570957350878296</v>
      </c>
      <c r="I7111" s="7" t="n">
        <f aca="false">Sens!$E$7111+dm_seg</f>
        <v>0.570957350878296</v>
      </c>
      <c r="J7111" s="7" t="n">
        <f aca="false">Sens!$E$7111+dm_seg</f>
        <v>0.570957350878296</v>
      </c>
      <c r="K7111" s="7" t="n">
        <f aca="false">Sens!$E$7111+dm_seg</f>
        <v>0.570957350878296</v>
      </c>
      <c r="L7111" s="11" t="s">
        <v>814</v>
      </c>
    </row>
    <row r="7112" customFormat="false" ht="17.15" hidden="false" customHeight="false" outlineLevel="0" collapsed="false">
      <c r="A7112" s="0" t="s">
        <v>654</v>
      </c>
      <c r="B7112" s="0" t="s">
        <v>95</v>
      </c>
      <c r="D7112" s="6" t="n">
        <f aca="false">Q!L21</f>
        <v>110.814</v>
      </c>
      <c r="E7112" s="6" t="n">
        <f aca="false">Q!M21</f>
        <v>136.365</v>
      </c>
      <c r="F7112" s="6" t="n">
        <f aca="false">Sens!F7111*(Sens!F7082-Sens!F7046)+Sens!F7046-(Sens!F7048+Sens!F7049+Sens!F7050)-Sens!F7063</f>
        <v>157.888533808345</v>
      </c>
      <c r="G7112" s="6" t="n">
        <f aca="false">Sens!G7111*(Sens!G7082-Sens!G7046)+Sens!G7046-(Sens!G7048+Sens!G7049+Sens!G7050)-Sens!G7063</f>
        <v>178.221966820426</v>
      </c>
      <c r="H7112" s="6" t="n">
        <f aca="false">Sens!H7111*(Sens!H7082-Sens!H7046)+Sens!H7046-(Sens!H7048+Sens!H7049+Sens!H7050)-Sens!H7063</f>
        <v>199.271568350505</v>
      </c>
      <c r="I7112" s="6" t="n">
        <f aca="false">Sens!I7111*(Sens!I7082-Sens!I7046)+Sens!I7046-(Sens!I7048+Sens!I7049+Sens!I7050)-Sens!I7063</f>
        <v>218.965781451976</v>
      </c>
      <c r="J7112" s="6" t="n">
        <f aca="false">Sens!J7111*(Sens!J7082-Sens!J7046)+Sens!J7046-(Sens!J7048+Sens!J7049+Sens!J7050)-Sens!J7063</f>
        <v>236.723105697657</v>
      </c>
      <c r="K7112" s="6" t="n">
        <f aca="false">Sens!K7111*(Sens!K7082-Sens!K7046)+Sens!K7046-(Sens!K7048+Sens!K7049+Sens!K7050)-Sens!K7063</f>
        <v>252.404486625845</v>
      </c>
      <c r="L7112" s="1" t="s">
        <v>815</v>
      </c>
    </row>
    <row r="7113" customFormat="false" ht="17.15" hidden="false" customHeight="false" outlineLevel="0" collapsed="false">
      <c r="A7113" s="0" t="s">
        <v>816</v>
      </c>
      <c r="B7113" s="0" t="s">
        <v>126</v>
      </c>
      <c r="E7113" s="7" t="n">
        <f aca="false">Q!M22/Q!M12</f>
        <v>0.296207935710698</v>
      </c>
      <c r="F7113" s="7" t="n">
        <f aca="false">Sens!$E$7113+dm_seg</f>
        <v>0.296207935710698</v>
      </c>
      <c r="G7113" s="7" t="n">
        <f aca="false">Sens!$E$7113+dm_seg</f>
        <v>0.296207935710698</v>
      </c>
      <c r="H7113" s="7" t="n">
        <f aca="false">Sens!$E$7113+dm_seg</f>
        <v>0.296207935710698</v>
      </c>
      <c r="I7113" s="7" t="n">
        <f aca="false">Sens!$E$7113+dm_seg</f>
        <v>0.296207935710698</v>
      </c>
      <c r="J7113" s="7" t="n">
        <f aca="false">Sens!$E$7113+dm_seg</f>
        <v>0.296207935710698</v>
      </c>
      <c r="K7113" s="7" t="n">
        <f aca="false">Sens!$E$7113+dm_seg</f>
        <v>0.296207935710698</v>
      </c>
      <c r="L7113" s="11" t="s">
        <v>817</v>
      </c>
    </row>
    <row r="7114" customFormat="false" ht="17.15" hidden="false" customHeight="false" outlineLevel="0" collapsed="false">
      <c r="A7114" s="0" t="s">
        <v>656</v>
      </c>
      <c r="B7114" s="0" t="s">
        <v>95</v>
      </c>
      <c r="D7114" s="6" t="n">
        <f aca="false">Q!L22</f>
        <v>17.714</v>
      </c>
      <c r="E7114" s="6" t="n">
        <f aca="false">Q!M22</f>
        <v>18.872</v>
      </c>
      <c r="F7114" s="6" t="n">
        <f aca="false">Sens!F7089*Sens!F7113</f>
        <v>19.2954518910651</v>
      </c>
      <c r="G7114" s="6" t="n">
        <f aca="false">Sens!G7089*Sens!G7113</f>
        <v>19.8830646387704</v>
      </c>
      <c r="H7114" s="6" t="n">
        <f aca="false">Sens!H7089*Sens!H7113</f>
        <v>20.6092017868026</v>
      </c>
      <c r="I7114" s="6" t="n">
        <f aca="false">Sens!I7089*Sens!I7113</f>
        <v>21.452361761678</v>
      </c>
      <c r="J7114" s="6" t="n">
        <f aca="false">Sens!J7089*Sens!J7113</f>
        <v>22.3946261183418</v>
      </c>
      <c r="K7114" s="6" t="n">
        <f aca="false">Sens!K7089*Sens!K7113</f>
        <v>23.4215879274986</v>
      </c>
    </row>
    <row r="7115" customFormat="false" ht="15" hidden="false" customHeight="false" outlineLevel="0" collapsed="false">
      <c r="A7115" s="1" t="s">
        <v>818</v>
      </c>
      <c r="B7115" s="0" t="s">
        <v>95</v>
      </c>
      <c r="D7115" s="6" t="n">
        <f aca="false">Sens!D7112+Sens!D7114</f>
        <v>128.528</v>
      </c>
      <c r="E7115" s="6" t="n">
        <f aca="false">Sens!E7112+Sens!E7114</f>
        <v>155.237</v>
      </c>
      <c r="F7115" s="6" t="n">
        <f aca="false">Sens!F7112+Sens!F7114</f>
        <v>177.18398569941</v>
      </c>
      <c r="G7115" s="6" t="n">
        <f aca="false">Sens!G7112+Sens!G7114</f>
        <v>198.105031459196</v>
      </c>
      <c r="H7115" s="6" t="n">
        <f aca="false">Sens!H7112+Sens!H7114</f>
        <v>219.880770137308</v>
      </c>
      <c r="I7115" s="6" t="n">
        <f aca="false">Sens!I7112+Sens!I7114</f>
        <v>240.418143213654</v>
      </c>
      <c r="J7115" s="6" t="n">
        <f aca="false">Sens!J7112+Sens!J7114</f>
        <v>259.117731815999</v>
      </c>
      <c r="K7115" s="6" t="n">
        <f aca="false">Sens!K7112+Sens!K7114</f>
        <v>275.826074553344</v>
      </c>
    </row>
    <row r="7116" customFormat="false" ht="15" hidden="false" customHeight="false" outlineLevel="0" collapsed="false">
      <c r="A7116" s="22" t="s">
        <v>819</v>
      </c>
      <c r="B7116" s="28" t="s">
        <v>95</v>
      </c>
      <c r="C7116" s="28"/>
      <c r="D7116" s="23" t="n">
        <f aca="false">Sens!D7115-Q!L23</f>
        <v>0</v>
      </c>
      <c r="E7116" s="23" t="n">
        <f aca="false">Sens!E7115-Q!M23</f>
        <v>0</v>
      </c>
      <c r="F7116" s="28"/>
      <c r="G7116" s="28"/>
      <c r="H7116" s="28"/>
      <c r="I7116" s="28"/>
      <c r="J7116" s="28"/>
      <c r="K7116" s="28"/>
    </row>
    <row r="7117" customFormat="false" ht="15" hidden="false" customHeight="false" outlineLevel="0" collapsed="false">
      <c r="A7117" s="1" t="s">
        <v>820</v>
      </c>
      <c r="B7117" s="0" t="s">
        <v>126</v>
      </c>
      <c r="D7117" s="7" t="n">
        <f aca="false">Sens!D7115/Sens!D7108</f>
        <v>0.456219562408598</v>
      </c>
      <c r="E7117" s="7" t="n">
        <f aca="false">Sens!E7115/Sens!E7108</f>
        <v>0.467808184089272</v>
      </c>
      <c r="F7117" s="7" t="n">
        <f aca="false">Sens!F7115/Sens!F7108</f>
        <v>0.443069297507441</v>
      </c>
      <c r="G7117" s="7" t="n">
        <f aca="false">Sens!G7115/Sens!G7108</f>
        <v>0.41532122633649</v>
      </c>
      <c r="H7117" s="7" t="n">
        <f aca="false">Sens!H7115/Sens!H7108</f>
        <v>0.394735229000777</v>
      </c>
      <c r="I7117" s="7" t="n">
        <f aca="false">Sens!I7115/Sens!I7108</f>
        <v>0.377533878498921</v>
      </c>
      <c r="J7117" s="7" t="n">
        <f aca="false">Sens!J7115/Sens!J7108</f>
        <v>0.36230130629612</v>
      </c>
      <c r="K7117" s="7" t="n">
        <f aca="false">Sens!K7115/Sens!K7108</f>
        <v>0.348058318643115</v>
      </c>
    </row>
    <row r="7118" customFormat="false" ht="17.15" hidden="false" customHeight="false" outlineLevel="0" collapsed="false">
      <c r="A7118" s="1" t="s">
        <v>821</v>
      </c>
      <c r="B7118" s="0" t="s">
        <v>95</v>
      </c>
      <c r="E7118" s="6" t="n">
        <f aca="false">Sens!E7063</f>
        <v>16.3054059770833</v>
      </c>
      <c r="F7118" s="6" t="n">
        <f aca="false">Sens!F7063</f>
        <v>34.7322989565883</v>
      </c>
      <c r="G7118" s="6" t="n">
        <f aca="false">Sens!G7063</f>
        <v>60.4902602617765</v>
      </c>
      <c r="H7118" s="6" t="n">
        <f aca="false">Sens!H7063</f>
        <v>87.7258429945765</v>
      </c>
      <c r="I7118" s="6" t="n">
        <f aca="false">Sens!I7063</f>
        <v>115.98070874256</v>
      </c>
      <c r="J7118" s="6" t="n">
        <f aca="false">Sens!J7063</f>
        <v>145.20780495971</v>
      </c>
      <c r="K7118" s="6" t="n">
        <f aca="false">Sens!K7063</f>
        <v>175.722449636027</v>
      </c>
    </row>
    <row r="7119" customFormat="false" ht="17.15" hidden="false" customHeight="false" outlineLevel="0" collapsed="false">
      <c r="A7119" s="1" t="s">
        <v>822</v>
      </c>
      <c r="B7119" s="0" t="s">
        <v>95</v>
      </c>
      <c r="E7119" s="6" t="n">
        <f aca="false">Sens!E7139</f>
        <v>22.2285940229167</v>
      </c>
      <c r="F7119" s="6" t="n">
        <f aca="false">Sens!F7139</f>
        <v>23.5735531427191</v>
      </c>
      <c r="G7119" s="6" t="n">
        <f aca="false">Sens!G7139</f>
        <v>25.3673837179903</v>
      </c>
      <c r="H7119" s="6" t="n">
        <f aca="false">Sens!H7139</f>
        <v>27.5970059038815</v>
      </c>
      <c r="I7119" s="6" t="n">
        <f aca="false">Sens!I7139</f>
        <v>30.2223295646696</v>
      </c>
      <c r="J7119" s="6" t="n">
        <f aca="false">Sens!J7139</f>
        <v>33.1905149707056</v>
      </c>
      <c r="K7119" s="6" t="n">
        <f aca="false">Sens!K7139</f>
        <v>36.4493551236474</v>
      </c>
    </row>
    <row r="7120" customFormat="false" ht="17.15" hidden="false" customHeight="false" outlineLevel="0" collapsed="false">
      <c r="A7120" s="1" t="s">
        <v>823</v>
      </c>
      <c r="B7120" s="0" t="s">
        <v>95</v>
      </c>
      <c r="D7120" s="6" t="n">
        <f aca="false">Q!L27</f>
        <v>-4.901</v>
      </c>
      <c r="E7120" s="6" t="n">
        <f aca="false">Q!M27</f>
        <v>10.697</v>
      </c>
      <c r="F7120" s="6" t="n">
        <f aca="false">oie_f</f>
        <v>-0.4</v>
      </c>
      <c r="G7120" s="6" t="n">
        <f aca="false">oie_f</f>
        <v>-0.4</v>
      </c>
      <c r="H7120" s="6" t="n">
        <f aca="false">oie_f</f>
        <v>-0.4</v>
      </c>
      <c r="I7120" s="6" t="n">
        <f aca="false">oie_f</f>
        <v>-0.4</v>
      </c>
      <c r="J7120" s="6" t="n">
        <f aca="false">oie_f</f>
        <v>-0.4</v>
      </c>
      <c r="K7120" s="6" t="n">
        <f aca="false">oie_f</f>
        <v>-0.4</v>
      </c>
      <c r="L7120" s="11" t="s">
        <v>824</v>
      </c>
    </row>
    <row r="7121" customFormat="false" ht="15" hidden="false" customHeight="false" outlineLevel="0" collapsed="false">
      <c r="A7121" s="1" t="s">
        <v>666</v>
      </c>
      <c r="B7121" s="0" t="s">
        <v>95</v>
      </c>
      <c r="D7121" s="6" t="n">
        <f aca="false">Sens!D7115+Sens!D7120</f>
        <v>123.627</v>
      </c>
      <c r="E7121" s="6" t="n">
        <f aca="false">Sens!E7115+Sens!E7120</f>
        <v>165.934</v>
      </c>
      <c r="F7121" s="6" t="n">
        <f aca="false">Sens!F7115+Sens!F7120</f>
        <v>176.78398569941</v>
      </c>
      <c r="G7121" s="6" t="n">
        <f aca="false">Sens!G7115+Sens!G7120</f>
        <v>197.705031459196</v>
      </c>
      <c r="H7121" s="6" t="n">
        <f aca="false">Sens!H7115+Sens!H7120</f>
        <v>219.480770137308</v>
      </c>
      <c r="I7121" s="6" t="n">
        <f aca="false">Sens!I7115+Sens!I7120</f>
        <v>240.018143213654</v>
      </c>
      <c r="J7121" s="6" t="n">
        <f aca="false">Sens!J7115+Sens!J7120</f>
        <v>258.717731815999</v>
      </c>
      <c r="K7121" s="6" t="n">
        <f aca="false">Sens!K7115+Sens!K7120</f>
        <v>275.426074553344</v>
      </c>
    </row>
    <row r="7122" customFormat="false" ht="15" hidden="false" customHeight="false" outlineLevel="0" collapsed="false">
      <c r="A7122" s="1" t="s">
        <v>668</v>
      </c>
      <c r="B7122" s="0" t="s">
        <v>95</v>
      </c>
      <c r="D7122" s="6" t="n">
        <f aca="false">Q!L29</f>
        <v>21.795</v>
      </c>
      <c r="E7122" s="6" t="n">
        <f aca="false">Q!M29</f>
        <v>32.185</v>
      </c>
      <c r="F7122" s="6" t="n">
        <f aca="false">Sens!F7121*tax_f</f>
        <v>35.3567971398821</v>
      </c>
      <c r="G7122" s="6" t="n">
        <f aca="false">Sens!G7121*tax_f</f>
        <v>39.5410062918393</v>
      </c>
      <c r="H7122" s="6" t="n">
        <f aca="false">Sens!H7121*tax_f</f>
        <v>43.8961540274616</v>
      </c>
      <c r="I7122" s="6" t="n">
        <f aca="false">Sens!I7121*tax_f</f>
        <v>48.0036286427307</v>
      </c>
      <c r="J7122" s="6" t="n">
        <f aca="false">Sens!J7121*tax_f</f>
        <v>51.7435463631997</v>
      </c>
      <c r="K7122" s="6" t="n">
        <f aca="false">Sens!K7121*tax_f</f>
        <v>55.0852149106687</v>
      </c>
    </row>
    <row r="7123" customFormat="false" ht="15" hidden="false" customHeight="false" outlineLevel="0" collapsed="false">
      <c r="A7123" s="1" t="s">
        <v>825</v>
      </c>
      <c r="B7123" s="0" t="s">
        <v>95</v>
      </c>
      <c r="D7123" s="6" t="n">
        <f aca="false">Sens!D7121-Sens!D7122</f>
        <v>101.832</v>
      </c>
      <c r="E7123" s="6" t="n">
        <f aca="false">Sens!E7121-Sens!E7122</f>
        <v>133.749</v>
      </c>
      <c r="F7123" s="6" t="n">
        <f aca="false">Sens!F7121-Sens!F7122</f>
        <v>141.427188559528</v>
      </c>
      <c r="G7123" s="6" t="n">
        <f aca="false">Sens!G7121-Sens!G7122</f>
        <v>158.164025167357</v>
      </c>
      <c r="H7123" s="6" t="n">
        <f aca="false">Sens!H7121-Sens!H7122</f>
        <v>175.584616109846</v>
      </c>
      <c r="I7123" s="6" t="n">
        <f aca="false">Sens!I7121-Sens!I7122</f>
        <v>192.014514570923</v>
      </c>
      <c r="J7123" s="6" t="n">
        <f aca="false">Sens!J7121-Sens!J7122</f>
        <v>206.974185452799</v>
      </c>
      <c r="K7123" s="6" t="n">
        <f aca="false">Sens!K7121-Sens!K7122</f>
        <v>220.340859642675</v>
      </c>
    </row>
    <row r="7124" customFormat="false" ht="17.15" hidden="false" customHeight="false" outlineLevel="0" collapsed="false">
      <c r="A7124" s="1" t="s">
        <v>826</v>
      </c>
      <c r="B7124" s="1" t="s">
        <v>79</v>
      </c>
      <c r="D7124" s="18" t="n">
        <f aca="false">Q!L31</f>
        <v>7.465</v>
      </c>
      <c r="E7124" s="18" t="n">
        <f aca="false">Q!M31</f>
        <v>7.453</v>
      </c>
      <c r="F7124" s="18" t="n">
        <f aca="false">Sens!F7161</f>
        <v>7.4735</v>
      </c>
      <c r="G7124" s="18" t="n">
        <f aca="false">Sens!G7161</f>
        <v>7.51748339640574</v>
      </c>
      <c r="H7124" s="18" t="n">
        <f aca="false">Sens!H7161</f>
        <v>7.54421837866143</v>
      </c>
      <c r="I7124" s="18" t="n">
        <f aca="false">Sens!I7161</f>
        <v>7.55599921066874</v>
      </c>
      <c r="J7124" s="18" t="n">
        <f aca="false">Sens!J7161</f>
        <v>7.57024072178662</v>
      </c>
      <c r="K7124" s="18" t="n">
        <f aca="false">Sens!K7161</f>
        <v>7.58676063948836</v>
      </c>
    </row>
    <row r="7125" customFormat="false" ht="17.15" hidden="false" customHeight="false" outlineLevel="0" collapsed="false">
      <c r="A7125" s="0" t="s">
        <v>827</v>
      </c>
      <c r="B7125" s="0" t="s">
        <v>73</v>
      </c>
      <c r="D7125" s="8" t="n">
        <f aca="false">Sens!D7123/Sens!D7124</f>
        <v>13.641259209645</v>
      </c>
      <c r="E7125" s="8" t="n">
        <f aca="false">Sens!E7123/Sens!E7124</f>
        <v>17.9456594659869</v>
      </c>
      <c r="F7125" s="8" t="n">
        <f aca="false">Sens!F7123/Sens!F7124</f>
        <v>18.9238226479599</v>
      </c>
      <c r="G7125" s="8" t="n">
        <f aca="false">Sens!G7123/Sens!G7124</f>
        <v>21.0394911205229</v>
      </c>
      <c r="H7125" s="8" t="n">
        <f aca="false">Sens!H7123/Sens!H7124</f>
        <v>23.2740633021019</v>
      </c>
      <c r="I7125" s="8" t="n">
        <f aca="false">Sens!I7123/Sens!I7124</f>
        <v>25.4121935719378</v>
      </c>
      <c r="J7125" s="8" t="n">
        <f aca="false">Sens!J7123/Sens!J7124</f>
        <v>27.3405025096681</v>
      </c>
      <c r="K7125" s="8" t="n">
        <f aca="false">Sens!K7123/Sens!K7124</f>
        <v>29.0428115651655</v>
      </c>
      <c r="L7125" s="1" t="s">
        <v>828</v>
      </c>
    </row>
    <row r="7126" customFormat="false" ht="17.15" hidden="false" customHeight="false" outlineLevel="0" collapsed="false">
      <c r="A7126" s="0" t="s">
        <v>829</v>
      </c>
      <c r="B7126" s="0" t="s">
        <v>126</v>
      </c>
      <c r="E7126" s="7" t="n">
        <f aca="false">Sens!E7125/Sens!D7125-1</f>
        <v>0.315542736208578</v>
      </c>
      <c r="F7126" s="7" t="n">
        <f aca="false">Sens!F7125/Sens!E7125-1</f>
        <v>0.0545069510444578</v>
      </c>
      <c r="G7126" s="7" t="n">
        <f aca="false">Sens!G7125/Sens!F7125-1</f>
        <v>0.111799212660192</v>
      </c>
      <c r="H7126" s="7" t="n">
        <f aca="false">Sens!H7125/Sens!G7125-1</f>
        <v>0.106208470954852</v>
      </c>
      <c r="I7126" s="7" t="n">
        <f aca="false">Sens!I7125/Sens!H7125-1</f>
        <v>0.0918675111467451</v>
      </c>
      <c r="J7126" s="7" t="n">
        <f aca="false">Sens!J7125/Sens!I7125-1</f>
        <v>0.0758812470191381</v>
      </c>
      <c r="K7126" s="7" t="n">
        <f aca="false">Sens!K7125/Sens!J7125-1</f>
        <v>0.06226326874919</v>
      </c>
    </row>
    <row r="7127" customFormat="false" ht="17.15" hidden="false" customHeight="false" outlineLevel="0" collapsed="false">
      <c r="A7127" s="0" t="s">
        <v>763</v>
      </c>
      <c r="B7127" s="0" t="s">
        <v>95</v>
      </c>
      <c r="E7127" s="6" t="n">
        <f aca="false">Sens!E7072</f>
        <v>5.25</v>
      </c>
      <c r="F7127" s="6" t="n">
        <f aca="false">Sens!F7072</f>
        <v>12</v>
      </c>
      <c r="G7127" s="6" t="n">
        <f aca="false">Sens!G7072</f>
        <v>18</v>
      </c>
      <c r="H7127" s="6" t="n">
        <f aca="false">Sens!H7072</f>
        <v>24</v>
      </c>
      <c r="I7127" s="6" t="n">
        <f aca="false">Sens!I7072</f>
        <v>28.5</v>
      </c>
      <c r="J7127" s="6" t="n">
        <f aca="false">Sens!J7072</f>
        <v>31.5</v>
      </c>
      <c r="K7127" s="6" t="n">
        <f aca="false">Sens!K7072</f>
        <v>34.5</v>
      </c>
    </row>
    <row r="7128" customFormat="false" ht="17.15" hidden="false" customHeight="false" outlineLevel="0" collapsed="false">
      <c r="A7128" s="0" t="s">
        <v>764</v>
      </c>
      <c r="B7128" s="0" t="s">
        <v>95</v>
      </c>
      <c r="E7128" s="6" t="n">
        <f aca="false">Sens!E7052+Sens!E7127*Sens!E7111-Sens!E7053-Sens!E7063</f>
        <v>2.1514866143068</v>
      </c>
      <c r="F7128" s="6" t="n">
        <f aca="false">Sens!F7052+Sens!F7127*Sens!F7111-Sens!F7053-Sens!F7063</f>
        <v>5.04569945263538</v>
      </c>
      <c r="G7128" s="6" t="n">
        <f aca="false">Sens!G7052+Sens!G7127*Sens!G7111-Sens!G7053-Sens!G7063</f>
        <v>5.55509543767379</v>
      </c>
      <c r="H7128" s="6" t="n">
        <f aca="false">Sens!H7052+Sens!H7127*Sens!H7111-Sens!H7053-Sens!H7063</f>
        <v>5.93334790835158</v>
      </c>
      <c r="I7128" s="6" t="n">
        <f aca="false">Sens!I7052+Sens!I7127*Sens!I7111-Sens!I7053-Sens!I7063</f>
        <v>4.56885914455401</v>
      </c>
      <c r="J7128" s="6" t="n">
        <f aca="false">Sens!J7052+Sens!J7127*Sens!J7111-Sens!J7053-Sens!J7063</f>
        <v>1.44521797948485</v>
      </c>
      <c r="K7128" s="6" t="n">
        <f aca="false">Sens!K7052+Sens!K7127*Sens!K7111-Sens!K7053-Sens!K7063</f>
        <v>-2.92507984631976</v>
      </c>
    </row>
    <row r="7129" customFormat="false" ht="17.15" hidden="false" customHeight="false" outlineLevel="0" collapsed="false">
      <c r="A7129" s="0" t="s">
        <v>765</v>
      </c>
      <c r="B7129" s="0" t="s">
        <v>95</v>
      </c>
      <c r="E7129" s="6" t="n">
        <f aca="false">Sens!E7035*(cxit_open+self_build*tk_cxfac)/1000*ai_net_open</f>
        <v>126.6980382</v>
      </c>
      <c r="F7129" s="6" t="n">
        <f aca="false">Sens!E7129+Sens!F7060-Sens!F7063</f>
        <v>260.487554022471</v>
      </c>
      <c r="G7129" s="6" t="n">
        <f aca="false">Sens!F7129+Sens!G7060-Sens!G7063</f>
        <v>383.571474243894</v>
      </c>
      <c r="H7129" s="6" t="n">
        <f aca="false">Sens!G7129+Sens!H7060-Sens!H7063</f>
        <v>483.925917159718</v>
      </c>
      <c r="I7129" s="6" t="n">
        <f aca="false">Sens!H7129+Sens!I7060-Sens!I7063</f>
        <v>586.284169674225</v>
      </c>
      <c r="J7129" s="6" t="n">
        <f aca="false">Sens!I7129+Sens!J7060-Sens!J7063</f>
        <v>674.853425638248</v>
      </c>
      <c r="K7129" s="6" t="n">
        <f aca="false">Sens!J7129+Sens!K7060-Sens!K7063</f>
        <v>777.987287952622</v>
      </c>
      <c r="L7129" s="1" t="s">
        <v>766</v>
      </c>
    </row>
    <row r="7130" customFormat="false" ht="17.15" hidden="false" customHeight="false" outlineLevel="0" collapsed="false">
      <c r="A7130" s="0" t="s">
        <v>767</v>
      </c>
      <c r="B7130" s="0" t="s">
        <v>126</v>
      </c>
      <c r="F7130" s="7" t="n">
        <f aca="false">Sens!F7128*(1-tax_f)/((Sens!E7129+Sens!F7129)/2)</f>
        <v>0.0208507735989771</v>
      </c>
      <c r="G7130" s="7" t="n">
        <f aca="false">Sens!G7128*(1-tax_f)/((Sens!F7129+Sens!G7129)/2)</f>
        <v>0.0138002144371807</v>
      </c>
      <c r="H7130" s="7" t="n">
        <f aca="false">Sens!H7128*(1-tax_f)/((Sens!G7129+Sens!H7129)/2)</f>
        <v>0.010943383516119</v>
      </c>
      <c r="I7130" s="7" t="n">
        <f aca="false">Sens!I7128*(1-tax_f)/((Sens!H7129+Sens!I7129)/2)</f>
        <v>0.0068305977688105</v>
      </c>
      <c r="J7130" s="7" t="n">
        <f aca="false">Sens!J7128*(1-tax_f)/((Sens!I7129+Sens!J7129)/2)</f>
        <v>0.00183354201458314</v>
      </c>
      <c r="K7130" s="7" t="n">
        <f aca="false">Sens!K7128*(1-tax_f)/((Sens!J7129+Sens!K7129)/2)</f>
        <v>-0.00322136329903925</v>
      </c>
    </row>
    <row r="7131" customFormat="false" ht="17.15" hidden="false" customHeight="false" outlineLevel="0" collapsed="false">
      <c r="A7131" s="1" t="s">
        <v>768</v>
      </c>
      <c r="B7131" s="0" t="s">
        <v>126</v>
      </c>
      <c r="F7131" s="7" t="n">
        <f aca="false">Sens!F7064*(1-tax_f)/(Sens!F7051*(Sens!E7129+Sens!F7129)/2)</f>
        <v>0.128242109205635</v>
      </c>
      <c r="G7131" s="7" t="n">
        <f aca="false">Sens!G7064*(1-tax_f)/(Sens!G7051*(Sens!F7129+Sens!G7129)/2)</f>
        <v>0.125282920033746</v>
      </c>
      <c r="H7131" s="7" t="n">
        <f aca="false">Sens!H7064*(1-tax_f)/(Sens!H7051*(Sens!G7129+Sens!H7129)/2)</f>
        <v>0.13090264665261</v>
      </c>
      <c r="I7131" s="7" t="n">
        <f aca="false">Sens!I7064*(1-tax_f)/(Sens!I7051*(Sens!H7129+Sens!I7129)/2)</f>
        <v>0.135657888450718</v>
      </c>
      <c r="J7131" s="7" t="n">
        <f aca="false">Sens!J7064*(1-tax_f)/(Sens!J7051*(Sens!I7129+Sens!J7129)/2)</f>
        <v>0.139123727374689</v>
      </c>
      <c r="K7131" s="7" t="n">
        <f aca="false">Sens!K7064*(1-tax_f)/(Sens!K7051*(Sens!J7129+Sens!K7129)/2)</f>
        <v>0.140266554605476</v>
      </c>
    </row>
    <row r="7132" customFormat="false" ht="17.15" hidden="false" customHeight="false" outlineLevel="0" collapsed="false">
      <c r="A7132" s="0" t="s">
        <v>769</v>
      </c>
      <c r="B7132" s="0" t="s">
        <v>208</v>
      </c>
      <c r="F7132" s="7" t="n">
        <f aca="false">Sens!F7130-wacc</f>
        <v>-0.0881124475512769</v>
      </c>
      <c r="G7132" s="7" t="n">
        <f aca="false">Sens!G7130-wacc</f>
        <v>-0.0951630067130733</v>
      </c>
      <c r="H7132" s="7" t="n">
        <f aca="false">Sens!H7130-wacc</f>
        <v>-0.098019837634135</v>
      </c>
      <c r="I7132" s="7" t="n">
        <f aca="false">Sens!I7130-wacc</f>
        <v>-0.102132623381443</v>
      </c>
      <c r="J7132" s="7" t="n">
        <f aca="false">Sens!J7130-wacc</f>
        <v>-0.107129679135671</v>
      </c>
      <c r="K7132" s="7" t="n">
        <f aca="false">Sens!K7130-wacc</f>
        <v>-0.112184584449293</v>
      </c>
    </row>
    <row r="7133" customFormat="false" ht="17.15" hidden="false" customHeight="false" outlineLevel="0" collapsed="false">
      <c r="A7133" s="0" t="s">
        <v>770</v>
      </c>
      <c r="B7133" s="0" t="s">
        <v>95</v>
      </c>
      <c r="F7133" s="6" t="n">
        <f aca="false">Sens!F7128*(1-tax_f)-wacc*(Sens!E7129+Sens!F7129)/2</f>
        <v>-17.0579350936563</v>
      </c>
      <c r="G7133" s="6" t="n">
        <f aca="false">Sens!G7128*(1-tax_f)-wacc*(Sens!F7129+Sens!G7129)/2</f>
        <v>-30.6452968152638</v>
      </c>
      <c r="H7133" s="6" t="n">
        <f aca="false">Sens!H7128*(1-tax_f)-wacc*(Sens!G7129+Sens!H7129)/2</f>
        <v>-42.5159767267088</v>
      </c>
      <c r="I7133" s="6" t="n">
        <f aca="false">Sens!I7128*(1-tax_f)-wacc*(Sens!H7129+Sens!I7129)/2</f>
        <v>-54.6516818688165</v>
      </c>
      <c r="J7133" s="6" t="n">
        <f aca="false">Sens!J7128*(1-tax_f)-wacc*(Sens!I7129+Sens!J7129)/2</f>
        <v>-67.5526329658784</v>
      </c>
      <c r="K7133" s="6" t="n">
        <f aca="false">Sens!K7128*(1-tax_f)-wacc*(Sens!J7129+Sens!K7129)/2</f>
        <v>-81.4931658626032</v>
      </c>
    </row>
    <row r="7134" customFormat="false" ht="17.15" hidden="false" customHeight="false" outlineLevel="0" collapsed="false">
      <c r="A7134" s="1" t="s">
        <v>771</v>
      </c>
      <c r="B7134" s="0" t="s">
        <v>95</v>
      </c>
      <c r="F7134" s="6" t="n">
        <f aca="false">(Sens!E7036+Sens!F7036)/2*Sens!F7043/1000</f>
        <v>26.7873066765967</v>
      </c>
      <c r="G7134" s="6" t="n">
        <f aca="false">(Sens!F7036+Sens!G7036)/2*Sens!G7043/1000</f>
        <v>45.4131817597218</v>
      </c>
      <c r="H7134" s="6" t="n">
        <f aca="false">(Sens!G7036+Sens!H7036)/2*Sens!H7043/1000</f>
        <v>65.3915129357971</v>
      </c>
      <c r="I7134" s="6" t="n">
        <f aca="false">(Sens!H7036+Sens!I7036)/2*Sens!I7043/1000</f>
        <v>85.5187419289299</v>
      </c>
      <c r="J7134" s="6" t="n">
        <f aca="false">(Sens!I7036+Sens!J7036)/2*Sens!J7043/1000</f>
        <v>105.723807195006</v>
      </c>
      <c r="K7134" s="6" t="n">
        <f aca="false">(Sens!J7036+Sens!K7036)/2*Sens!K7043/1000</f>
        <v>125.974659797015</v>
      </c>
      <c r="L7134" s="1" t="s">
        <v>772</v>
      </c>
    </row>
    <row r="7135" customFormat="false" ht="17.15" hidden="false" customHeight="false" outlineLevel="0" collapsed="false">
      <c r="A7135" s="1" t="s">
        <v>773</v>
      </c>
      <c r="B7135" s="0" t="s">
        <v>126</v>
      </c>
      <c r="F7135" s="7" t="n">
        <f aca="false">(Sens!F7052+Sens!F7134-Sens!F7053-Sens!F7063)*(1-tax_f)/((Sens!E7129+Sens!F7129)/2)</f>
        <v>0.10323325421402</v>
      </c>
      <c r="G7135" s="7" t="n">
        <f aca="false">(Sens!G7052+Sens!G7134-Sens!G7053-Sens!G7063)*(1-tax_f)/((Sens!F7129+Sens!G7129)/2)</f>
        <v>0.101086498213968</v>
      </c>
      <c r="H7135" s="7" t="n">
        <f aca="false">(Sens!H7052+Sens!H7134-Sens!H7053-Sens!H7063)*(1-tax_f)/((Sens!G7129+Sens!H7129)/2)</f>
        <v>0.106276994018091</v>
      </c>
      <c r="I7135" s="7" t="n">
        <f aca="false">(Sens!I7052+Sens!I7134-Sens!I7053-Sens!I7063)*(1-tax_f)/((Sens!H7129+Sens!I7129)/2)</f>
        <v>0.110356375790588</v>
      </c>
      <c r="J7135" s="7" t="n">
        <f aca="false">(Sens!J7052+Sens!J7134-Sens!J7053-Sens!J7063)*(1-tax_f)/((Sens!I7129+Sens!J7129)/2)</f>
        <v>0.113147201641835</v>
      </c>
      <c r="K7135" s="7" t="n">
        <f aca="false">(Sens!K7052+Sens!K7134-Sens!K7053-Sens!K7063)*(1-tax_f)/((Sens!J7129+Sens!K7129)/2)</f>
        <v>0.113820104713281</v>
      </c>
      <c r="L7135" s="1" t="s">
        <v>774</v>
      </c>
    </row>
    <row r="7136" customFormat="false" ht="17.15" hidden="false" customHeight="false" outlineLevel="0" collapsed="false">
      <c r="A7136" s="3" t="s">
        <v>1317</v>
      </c>
    </row>
    <row r="7137" customFormat="false" ht="15" hidden="false" customHeight="false" outlineLevel="0" collapsed="false">
      <c r="A7137" s="4" t="s">
        <v>43</v>
      </c>
      <c r="B7137" s="4" t="s">
        <v>63</v>
      </c>
      <c r="C7137" s="19" t="s">
        <v>710</v>
      </c>
      <c r="D7137" s="19" t="s">
        <v>711</v>
      </c>
      <c r="E7137" s="19" t="s">
        <v>712</v>
      </c>
      <c r="F7137" s="19" t="s">
        <v>713</v>
      </c>
      <c r="G7137" s="19" t="s">
        <v>714</v>
      </c>
      <c r="H7137" s="19" t="s">
        <v>715</v>
      </c>
      <c r="I7137" s="19" t="s">
        <v>716</v>
      </c>
      <c r="J7137" s="19" t="s">
        <v>717</v>
      </c>
      <c r="K7137" s="19" t="s">
        <v>718</v>
      </c>
      <c r="L7137" s="4" t="s">
        <v>47</v>
      </c>
    </row>
    <row r="7138" customFormat="false" ht="15" hidden="false" customHeight="false" outlineLevel="0" collapsed="false">
      <c r="A7138" s="1" t="s">
        <v>825</v>
      </c>
      <c r="B7138" s="0" t="s">
        <v>95</v>
      </c>
      <c r="F7138" s="6" t="n">
        <f aca="false">Sens!F7123</f>
        <v>141.427188559528</v>
      </c>
      <c r="G7138" s="6" t="n">
        <f aca="false">Sens!G7123</f>
        <v>158.164025167357</v>
      </c>
      <c r="H7138" s="6" t="n">
        <f aca="false">Sens!H7123</f>
        <v>175.584616109846</v>
      </c>
      <c r="I7138" s="6" t="n">
        <f aca="false">Sens!I7123</f>
        <v>192.014514570923</v>
      </c>
      <c r="J7138" s="6" t="n">
        <f aca="false">Sens!J7123</f>
        <v>206.974185452799</v>
      </c>
      <c r="K7138" s="6" t="n">
        <f aca="false">Sens!K7123</f>
        <v>220.340859642675</v>
      </c>
    </row>
    <row r="7139" customFormat="false" ht="17.15" hidden="false" customHeight="false" outlineLevel="0" collapsed="false">
      <c r="A7139" s="1" t="s">
        <v>843</v>
      </c>
      <c r="B7139" s="0" t="s">
        <v>95</v>
      </c>
      <c r="E7139" s="6" t="n">
        <f aca="false">Q!M38-Sens!E7063</f>
        <v>22.2285940229167</v>
      </c>
      <c r="F7139" s="6" t="n">
        <f aca="false">Sens!E7139*(1-1/life_nonai)+Sens!F7145/life_nonai</f>
        <v>23.5735531427191</v>
      </c>
      <c r="G7139" s="6" t="n">
        <f aca="false">Sens!F7139*(1-1/life_nonai)+Sens!G7145/life_nonai</f>
        <v>25.3673837179903</v>
      </c>
      <c r="H7139" s="6" t="n">
        <f aca="false">Sens!G7139*(1-1/life_nonai)+Sens!H7145/life_nonai</f>
        <v>27.5970059038815</v>
      </c>
      <c r="I7139" s="6" t="n">
        <f aca="false">Sens!H7139*(1-1/life_nonai)+Sens!I7145/life_nonai</f>
        <v>30.2223295646696</v>
      </c>
      <c r="J7139" s="6" t="n">
        <f aca="false">Sens!I7139*(1-1/life_nonai)+Sens!J7145/life_nonai</f>
        <v>33.1905149707056</v>
      </c>
      <c r="K7139" s="6" t="n">
        <f aca="false">Sens!J7139*(1-1/life_nonai)+Sens!K7145/life_nonai</f>
        <v>36.4493551236474</v>
      </c>
      <c r="L7139" s="11" t="s">
        <v>844</v>
      </c>
    </row>
    <row r="7140" customFormat="false" ht="17.15" hidden="false" customHeight="false" outlineLevel="0" collapsed="false">
      <c r="A7140" s="1" t="s">
        <v>845</v>
      </c>
      <c r="B7140" s="0" t="s">
        <v>95</v>
      </c>
      <c r="E7140" s="6" t="n">
        <f aca="false">Sens!E7063+Sens!E7139</f>
        <v>38.534</v>
      </c>
      <c r="F7140" s="6" t="n">
        <f aca="false">Sens!F7063+Sens!F7139</f>
        <v>58.3058520993073</v>
      </c>
      <c r="G7140" s="6" t="n">
        <f aca="false">Sens!G7063+Sens!G7139</f>
        <v>85.8576439797669</v>
      </c>
      <c r="H7140" s="6" t="n">
        <f aca="false">Sens!H7063+Sens!H7139</f>
        <v>115.322848898458</v>
      </c>
      <c r="I7140" s="6" t="n">
        <f aca="false">Sens!I7063+Sens!I7139</f>
        <v>146.203038307229</v>
      </c>
      <c r="J7140" s="6" t="n">
        <f aca="false">Sens!J7063+Sens!J7139</f>
        <v>178.398319930415</v>
      </c>
      <c r="K7140" s="6" t="n">
        <f aca="false">Sens!K7063+Sens!K7139</f>
        <v>212.171804759674</v>
      </c>
    </row>
    <row r="7141" customFormat="false" ht="15" hidden="false" customHeight="false" outlineLevel="0" collapsed="false">
      <c r="A7141" s="1" t="s">
        <v>685</v>
      </c>
      <c r="B7141" s="0" t="s">
        <v>95</v>
      </c>
      <c r="F7141" s="6" t="n">
        <f aca="false">Sens!F7090*sbc_r</f>
        <v>14.9493445927566</v>
      </c>
      <c r="G7141" s="6" t="n">
        <f aca="false">Sens!G7090*sbc_r</f>
        <v>17.8312061421832</v>
      </c>
      <c r="H7141" s="6" t="n">
        <f aca="false">Sens!H7090*sbc_r</f>
        <v>20.8233550615575</v>
      </c>
      <c r="I7141" s="6" t="n">
        <f aca="false">Sens!I7090*sbc_r</f>
        <v>23.8056833005496</v>
      </c>
      <c r="J7141" s="6" t="n">
        <f aca="false">Sens!J7090*sbc_r</f>
        <v>26.7360088413459</v>
      </c>
      <c r="K7141" s="6" t="n">
        <f aca="false">Sens!K7090*sbc_r</f>
        <v>29.6246101230695</v>
      </c>
    </row>
    <row r="7142" customFormat="false" ht="17.15" hidden="false" customHeight="false" outlineLevel="0" collapsed="false">
      <c r="A7142" s="1" t="s">
        <v>846</v>
      </c>
      <c r="B7142" s="0" t="s">
        <v>95</v>
      </c>
      <c r="F7142" s="6" t="n">
        <f aca="false">wc27</f>
        <v>-4.895</v>
      </c>
      <c r="G7142" s="6" t="n">
        <f aca="false">0</f>
        <v>0</v>
      </c>
      <c r="H7142" s="6" t="n">
        <f aca="false">0</f>
        <v>0</v>
      </c>
      <c r="I7142" s="6" t="n">
        <f aca="false">0</f>
        <v>0</v>
      </c>
      <c r="J7142" s="6" t="n">
        <f aca="false">0</f>
        <v>0</v>
      </c>
      <c r="K7142" s="6" t="n">
        <f aca="false">0</f>
        <v>0</v>
      </c>
      <c r="L7142" s="11" t="s">
        <v>847</v>
      </c>
    </row>
    <row r="7143" customFormat="false" ht="15" hidden="false" customHeight="false" outlineLevel="0" collapsed="false">
      <c r="A7143" s="1" t="s">
        <v>678</v>
      </c>
      <c r="B7143" s="0" t="s">
        <v>95</v>
      </c>
      <c r="E7143" s="6" t="n">
        <f aca="false">Q!M35</f>
        <v>182.935</v>
      </c>
      <c r="F7143" s="6" t="n">
        <f aca="false">Sens!F7138+Sens!F7140+Sens!F7141+Sens!F7142</f>
        <v>209.787385251592</v>
      </c>
      <c r="G7143" s="6" t="n">
        <f aca="false">Sens!G7138+Sens!G7140+Sens!G7141+Sens!G7142</f>
        <v>261.852875289307</v>
      </c>
      <c r="H7143" s="6" t="n">
        <f aca="false">Sens!H7138+Sens!H7140+Sens!H7141+Sens!H7142</f>
        <v>311.730820069862</v>
      </c>
      <c r="I7143" s="6" t="n">
        <f aca="false">Sens!I7138+Sens!I7140+Sens!I7141+Sens!I7142</f>
        <v>362.023236178702</v>
      </c>
      <c r="J7143" s="6" t="n">
        <f aca="false">Sens!J7138+Sens!J7140+Sens!J7141+Sens!J7142</f>
        <v>412.10851422456</v>
      </c>
      <c r="K7143" s="6" t="n">
        <f aca="false">Sens!K7138+Sens!K7140+Sens!K7141+Sens!K7142</f>
        <v>462.137274525418</v>
      </c>
    </row>
    <row r="7144" customFormat="false" ht="17.15" hidden="false" customHeight="false" outlineLevel="0" collapsed="false">
      <c r="A7144" s="0" t="s">
        <v>848</v>
      </c>
      <c r="B7144" s="0" t="s">
        <v>95</v>
      </c>
      <c r="F7144" s="6" t="n">
        <f aca="false">Sens!F7060</f>
        <v>168.521814779059</v>
      </c>
      <c r="G7144" s="6" t="n">
        <f aca="false">Sens!G7060</f>
        <v>183.5741804832</v>
      </c>
      <c r="H7144" s="6" t="n">
        <f aca="false">Sens!H7060</f>
        <v>188.0802859104</v>
      </c>
      <c r="I7144" s="6" t="n">
        <f aca="false">Sens!I7060</f>
        <v>218.338961257067</v>
      </c>
      <c r="J7144" s="6" t="n">
        <f aca="false">Sens!J7060</f>
        <v>233.777060923733</v>
      </c>
      <c r="K7144" s="6" t="n">
        <f aca="false">Sens!K7060</f>
        <v>278.8563119504</v>
      </c>
    </row>
    <row r="7145" customFormat="false" ht="17.15" hidden="false" customHeight="false" outlineLevel="0" collapsed="false">
      <c r="A7145" s="1" t="s">
        <v>849</v>
      </c>
      <c r="B7145" s="0" t="s">
        <v>95</v>
      </c>
      <c r="E7145" s="6" t="n">
        <f aca="false">Sens!E7068*cx_azo+Sens!E7075*cx_m365+Sens!E7076*cx_lic+(Sens!E7078+Sens!E7080)*cx_ind+Sens!E7083*cx_srch+(Sens!E7085+Sens!E7087)*cx_dev</f>
        <v>30.1846587067718</v>
      </c>
      <c r="F7145" s="6" t="n">
        <f aca="false">Sens!F7068*cx_azo+Sens!F7075*cx_m365+Sens!F7076*cx_lic+(Sens!F7078+Sens!F7080)*cx_ind+Sens!F7083*cx_srch+(Sens!F7085+Sens!F7087)*cx_dev</f>
        <v>35.6781852209409</v>
      </c>
      <c r="G7145" s="6" t="n">
        <f aca="false">Sens!G7068*cx_azo+Sens!G7075*cx_m365+Sens!G7076*cx_lic+(Sens!G7078+Sens!G7080)*cx_ind+Sens!G7083*cx_srch+(Sens!G7085+Sens!G7087)*cx_dev</f>
        <v>41.5118588954315</v>
      </c>
      <c r="H7145" s="6" t="n">
        <f aca="false">Sens!H7068*cx_azo+Sens!H7075*cx_m365+Sens!H7076*cx_lic+(Sens!H7078+Sens!H7080)*cx_ind+Sens!H7083*cx_srch+(Sens!H7085+Sens!H7087)*cx_dev</f>
        <v>47.663605576902</v>
      </c>
      <c r="I7145" s="6" t="n">
        <f aca="false">Sens!I7068*cx_azo+Sens!I7075*cx_m365+Sens!I7076*cx_lic+(Sens!I7078+Sens!I7080)*cx_ind+Sens!I7083*cx_srch+(Sens!I7085+Sens!I7087)*cx_dev</f>
        <v>53.8502425117622</v>
      </c>
      <c r="J7145" s="6" t="n">
        <f aca="false">Sens!J7068*cx_azo+Sens!J7075*cx_m365+Sens!J7076*cx_lic+(Sens!J7078+Sens!J7080)*cx_ind+Sens!J7083*cx_srch+(Sens!J7085+Sens!J7087)*cx_dev</f>
        <v>59.9041836250298</v>
      </c>
      <c r="K7145" s="6" t="n">
        <f aca="false">Sens!K7068*cx_azo+Sens!K7075*cx_m365+Sens!K7076*cx_lic+(Sens!K7078+Sens!K7080)*cx_ind+Sens!K7083*cx_srch+(Sens!K7085+Sens!K7087)*cx_dev</f>
        <v>65.7789165001234</v>
      </c>
    </row>
    <row r="7146" customFormat="false" ht="17.15" hidden="false" customHeight="false" outlineLevel="0" collapsed="false">
      <c r="A7146" s="1" t="s">
        <v>850</v>
      </c>
      <c r="B7146" s="0" t="s">
        <v>95</v>
      </c>
      <c r="E7146" s="6" t="n">
        <f aca="false">Q!M42</f>
        <v>145.3</v>
      </c>
      <c r="F7146" s="6" t="n">
        <f aca="false">Sens!F7144+Sens!F7145</f>
        <v>204.2</v>
      </c>
      <c r="G7146" s="6" t="n">
        <f aca="false">Sens!G7144+Sens!G7145</f>
        <v>225.086039378632</v>
      </c>
      <c r="H7146" s="6" t="n">
        <f aca="false">Sens!H7144+Sens!H7145</f>
        <v>235.743891487302</v>
      </c>
      <c r="I7146" s="6" t="n">
        <f aca="false">Sens!I7144+Sens!I7145</f>
        <v>272.189203768829</v>
      </c>
      <c r="J7146" s="6" t="n">
        <f aca="false">Sens!J7144+Sens!J7145</f>
        <v>293.681244548763</v>
      </c>
      <c r="K7146" s="6" t="n">
        <f aca="false">Sens!K7144+Sens!K7145</f>
        <v>344.635228450523</v>
      </c>
      <c r="L7146" s="1" t="s">
        <v>851</v>
      </c>
    </row>
    <row r="7147" customFormat="false" ht="15" hidden="false" customHeight="false" outlineLevel="0" collapsed="false">
      <c r="A7147" s="1" t="s">
        <v>852</v>
      </c>
      <c r="B7147" s="0" t="s">
        <v>95</v>
      </c>
      <c r="E7147" s="6" t="n">
        <f aca="false">fl_liab</f>
        <v>66.594</v>
      </c>
      <c r="F7147" s="6" t="n">
        <f aca="false">Sens!E7147-Sens!F7148</f>
        <v>62.46973</v>
      </c>
      <c r="G7147" s="6" t="n">
        <f aca="false">Sens!F7147-Sens!G7148</f>
        <v>57.98686785</v>
      </c>
      <c r="H7147" s="6" t="n">
        <f aca="false">Sens!G7147-Sens!H7148</f>
        <v>53.92827690325</v>
      </c>
      <c r="I7147" s="6" t="n">
        <f aca="false">Sens!H7147-Sens!I7148</f>
        <v>49.7850493638962</v>
      </c>
      <c r="J7147" s="6" t="n">
        <f aca="false">Sens!I7147-Sens!J7148</f>
        <v>45.4823765852716</v>
      </c>
      <c r="K7147" s="6" t="n">
        <f aca="false">Sens!J7147-Sens!K7148</f>
        <v>40.9860835316088</v>
      </c>
    </row>
    <row r="7148" customFormat="false" ht="15" hidden="false" customHeight="false" outlineLevel="0" collapsed="false">
      <c r="A7148" s="1" t="s">
        <v>853</v>
      </c>
      <c r="B7148" s="0" t="s">
        <v>95</v>
      </c>
      <c r="F7148" s="6" t="n">
        <f aca="false">fl_pay_27-Sens!E7147*fl_rate</f>
        <v>4.12427</v>
      </c>
      <c r="G7148" s="6" t="n">
        <f aca="false">fl_pay_28-Sens!F7147*fl_rate</f>
        <v>4.48286215</v>
      </c>
      <c r="H7148" s="6" t="n">
        <f aca="false">fl_pay_29-Sens!G7147*fl_rate</f>
        <v>4.05859094675</v>
      </c>
      <c r="I7148" s="6" t="n">
        <f aca="false">fl_pay_30-Sens!H7147*fl_rate</f>
        <v>4.14322753935375</v>
      </c>
      <c r="J7148" s="6" t="n">
        <f aca="false">fl_pay_31-Sens!I7147*fl_rate</f>
        <v>4.30267277862467</v>
      </c>
      <c r="K7148" s="6" t="n">
        <f aca="false">fl_pay_32-Sens!J7147*fl_rate</f>
        <v>4.49629305366278</v>
      </c>
    </row>
    <row r="7149" customFormat="false" ht="17.15" hidden="false" customHeight="false" outlineLevel="0" collapsed="false">
      <c r="A7149" s="1" t="s">
        <v>854</v>
      </c>
      <c r="B7149" s="0" t="s">
        <v>95</v>
      </c>
      <c r="E7149" s="6" t="n">
        <f aca="false">Q!M35-Q!M36-Q!M43</f>
        <v>63.886</v>
      </c>
      <c r="F7149" s="6" t="n">
        <f aca="false">Sens!F7143-Sens!F7146-Sens!F7148</f>
        <v>1.46311525159231</v>
      </c>
      <c r="G7149" s="6" t="n">
        <f aca="false">Sens!G7143-Sens!G7146-Sens!G7148</f>
        <v>32.2839737606756</v>
      </c>
      <c r="H7149" s="6" t="n">
        <f aca="false">Sens!H7143-Sens!H7146-Sens!H7148</f>
        <v>71.9283376358098</v>
      </c>
      <c r="I7149" s="6" t="n">
        <f aca="false">Sens!I7143-Sens!I7146-Sens!I7148</f>
        <v>85.6908048705191</v>
      </c>
      <c r="J7149" s="6" t="n">
        <f aca="false">Sens!J7143-Sens!J7146-Sens!J7148</f>
        <v>114.124596897172</v>
      </c>
      <c r="K7149" s="6" t="n">
        <f aca="false">Sens!K7143-Sens!K7146-Sens!K7148</f>
        <v>113.005753021232</v>
      </c>
      <c r="L7149" s="11" t="s">
        <v>855</v>
      </c>
    </row>
    <row r="7150" customFormat="false" ht="15" hidden="false" customHeight="false" outlineLevel="0" collapsed="false">
      <c r="A7150" s="1" t="s">
        <v>856</v>
      </c>
      <c r="B7150" s="0" t="s">
        <v>73</v>
      </c>
      <c r="F7150" s="8" t="n">
        <f aca="false">dps_27</f>
        <v>3.85</v>
      </c>
      <c r="G7150" s="8" t="n">
        <f aca="false">Sens!F7150*(1+dps_g)</f>
        <v>4.158</v>
      </c>
      <c r="H7150" s="8" t="n">
        <f aca="false">Sens!G7150*(1+dps_g)</f>
        <v>4.49064</v>
      </c>
      <c r="I7150" s="8" t="n">
        <f aca="false">Sens!H7150*(1+dps_g)</f>
        <v>4.8498912</v>
      </c>
      <c r="J7150" s="8" t="n">
        <f aca="false">Sens!I7150*(1+dps_g)</f>
        <v>5.237882496</v>
      </c>
      <c r="K7150" s="8" t="n">
        <f aca="false">Sens!J7150*(1+dps_g)</f>
        <v>5.65691309568</v>
      </c>
    </row>
    <row r="7151" customFormat="false" ht="17.15" hidden="false" customHeight="false" outlineLevel="0" collapsed="false">
      <c r="A7151" s="1" t="s">
        <v>857</v>
      </c>
      <c r="B7151" s="0" t="s">
        <v>95</v>
      </c>
      <c r="E7151" s="6" t="n">
        <f aca="false">Q!M41</f>
        <v>26.445</v>
      </c>
      <c r="F7151" s="6" t="n">
        <f aca="false">Sens!F7150*Sens!E7160</f>
        <v>28.59395</v>
      </c>
      <c r="G7151" s="6" t="n">
        <f aca="false">Sens!G7150*Sens!F7160</f>
        <v>31.068576</v>
      </c>
      <c r="H7151" s="6" t="n">
        <f aca="false">Sens!H7150*Sens!G7160</f>
        <v>33.7470104784709</v>
      </c>
      <c r="I7151" s="6" t="n">
        <f aca="false">Sens!I7150*Sens!H7160</f>
        <v>36.497710556748</v>
      </c>
      <c r="J7151" s="6" t="n">
        <f aca="false">Sens!J7150*Sens!I7160</f>
        <v>39.4859262496073</v>
      </c>
      <c r="K7151" s="6" t="n">
        <f aca="false">Sens!K7150*Sens!J7160</f>
        <v>42.732055574881</v>
      </c>
      <c r="L7151" s="1" t="s">
        <v>858</v>
      </c>
    </row>
    <row r="7152" customFormat="false" ht="15" hidden="false" customHeight="false" outlineLevel="0" collapsed="false">
      <c r="A7152" s="1" t="s">
        <v>859</v>
      </c>
      <c r="B7152" s="0" t="s">
        <v>95</v>
      </c>
      <c r="E7152" s="6" t="n">
        <f aca="false">Sens!E7149-Sens!E7151</f>
        <v>37.441</v>
      </c>
      <c r="F7152" s="6" t="n">
        <f aca="false">Sens!F7149-Sens!F7151</f>
        <v>-27.1308347484077</v>
      </c>
      <c r="G7152" s="6" t="n">
        <f aca="false">Sens!G7149-Sens!G7151</f>
        <v>1.21539776067564</v>
      </c>
      <c r="H7152" s="6" t="n">
        <f aca="false">Sens!H7149-Sens!H7151</f>
        <v>38.1813271573389</v>
      </c>
      <c r="I7152" s="6" t="n">
        <f aca="false">Sens!I7149-Sens!I7151</f>
        <v>49.1930943137711</v>
      </c>
      <c r="J7152" s="6" t="n">
        <f aca="false">Sens!J7149-Sens!J7151</f>
        <v>74.6386706475651</v>
      </c>
      <c r="K7152" s="6" t="n">
        <f aca="false">Sens!K7149-Sens!K7151</f>
        <v>70.2736974463512</v>
      </c>
    </row>
    <row r="7153" customFormat="false" ht="15" hidden="false" customHeight="false" outlineLevel="0" collapsed="false">
      <c r="A7153" s="1" t="s">
        <v>860</v>
      </c>
      <c r="B7153" s="0" t="s">
        <v>95</v>
      </c>
      <c r="F7153" s="6" t="n">
        <f aca="false">debt_mat_27</f>
        <v>9.25</v>
      </c>
      <c r="G7153" s="6" t="n">
        <f aca="false">debt_mat_28</f>
        <v>0</v>
      </c>
      <c r="H7153" s="6" t="n">
        <f aca="false">debt_mat_29</f>
        <v>2.001</v>
      </c>
      <c r="I7153" s="6" t="n">
        <f aca="false">debt_mat_30</f>
        <v>0</v>
      </c>
      <c r="J7153" s="6" t="n">
        <f aca="false">debt_mat_31</f>
        <v>0.5</v>
      </c>
      <c r="K7153" s="6" t="n">
        <f aca="false">debt_mat_32</f>
        <v>0</v>
      </c>
    </row>
    <row r="7154" customFormat="false" ht="15" hidden="false" customHeight="false" outlineLevel="0" collapsed="false">
      <c r="A7154" s="1" t="s">
        <v>861</v>
      </c>
      <c r="B7154" s="0" t="s">
        <v>95</v>
      </c>
      <c r="E7154" s="6" t="n">
        <f aca="false">Q!M40</f>
        <v>22.271</v>
      </c>
      <c r="F7154" s="6" t="n">
        <f aca="false">MAX(0,MIN(bb_target,Sens!E7156+Sens!F7152-Sens!F7153-min_cash))</f>
        <v>0</v>
      </c>
      <c r="G7154" s="6" t="n">
        <f aca="false">MAX(0,MIN(bb_target,Sens!F7156+Sens!G7152-Sens!G7153-min_cash))</f>
        <v>1.21539776067564</v>
      </c>
      <c r="H7154" s="6" t="n">
        <f aca="false">MAX(0,MIN(bb_target,Sens!G7156+Sens!H7152-Sens!H7153-min_cash))</f>
        <v>22.271</v>
      </c>
      <c r="I7154" s="6" t="n">
        <f aca="false">MAX(0,MIN(bb_target,Sens!H7156+Sens!I7152-Sens!I7153-min_cash))</f>
        <v>22.271</v>
      </c>
      <c r="J7154" s="6" t="n">
        <f aca="false">MAX(0,MIN(bb_target,Sens!I7156+Sens!J7152-Sens!J7153-min_cash))</f>
        <v>22.271</v>
      </c>
      <c r="K7154" s="6" t="n">
        <f aca="false">MAX(0,MIN(bb_target,Sens!J7156+Sens!K7152-Sens!K7153-min_cash))</f>
        <v>22.271</v>
      </c>
    </row>
    <row r="7155" customFormat="false" ht="15" hidden="false" customHeight="false" outlineLevel="0" collapsed="false">
      <c r="A7155" s="1" t="s">
        <v>862</v>
      </c>
      <c r="B7155" s="0" t="s">
        <v>95</v>
      </c>
      <c r="F7155" s="6" t="n">
        <f aca="false">MAX(0,min_cash-(Sens!E7156+Sens!F7152-Sens!F7153-Sens!F7154))</f>
        <v>9.53783474840769</v>
      </c>
      <c r="G7155" s="6" t="n">
        <f aca="false">MAX(0,min_cash-(Sens!F7156+Sens!G7152-Sens!G7153-Sens!G7154))</f>
        <v>0</v>
      </c>
      <c r="H7155" s="6" t="n">
        <f aca="false">MAX(0,min_cash-(Sens!G7156+Sens!H7152-Sens!H7153-Sens!H7154))</f>
        <v>0</v>
      </c>
      <c r="I7155" s="6" t="n">
        <f aca="false">MAX(0,min_cash-(Sens!H7156+Sens!I7152-Sens!I7153-Sens!I7154))</f>
        <v>0</v>
      </c>
      <c r="J7155" s="6" t="n">
        <f aca="false">MAX(0,min_cash-(Sens!I7156+Sens!J7152-Sens!J7153-Sens!J7154))</f>
        <v>0</v>
      </c>
      <c r="K7155" s="6" t="n">
        <f aca="false">MAX(0,min_cash-(Sens!J7156+Sens!K7152-Sens!K7153-Sens!K7154))</f>
        <v>0</v>
      </c>
    </row>
    <row r="7156" customFormat="false" ht="15" hidden="false" customHeight="false" outlineLevel="0" collapsed="false">
      <c r="A7156" s="1" t="s">
        <v>863</v>
      </c>
      <c r="B7156" s="0" t="s">
        <v>95</v>
      </c>
      <c r="E7156" s="6" t="n">
        <f aca="false">cash_open</f>
        <v>76.843</v>
      </c>
      <c r="F7156" s="6" t="n">
        <f aca="false">Sens!E7156+Sens!F7152-Sens!F7153-Sens!F7154+Sens!F7155</f>
        <v>50</v>
      </c>
      <c r="G7156" s="6" t="n">
        <f aca="false">Sens!F7156+Sens!G7152-Sens!G7153-Sens!G7154+Sens!G7155</f>
        <v>50</v>
      </c>
      <c r="H7156" s="6" t="n">
        <f aca="false">Sens!G7156+Sens!H7152-Sens!H7153-Sens!H7154+Sens!H7155</f>
        <v>63.9093271573389</v>
      </c>
      <c r="I7156" s="6" t="n">
        <f aca="false">Sens!H7156+Sens!I7152-Sens!I7153-Sens!I7154+Sens!I7155</f>
        <v>90.83142147111</v>
      </c>
      <c r="J7156" s="6" t="n">
        <f aca="false">Sens!I7156+Sens!J7152-Sens!J7153-Sens!J7154+Sens!J7155</f>
        <v>142.699092118675</v>
      </c>
      <c r="K7156" s="6" t="n">
        <f aca="false">Sens!J7156+Sens!K7152-Sens!K7153-Sens!K7154+Sens!K7155</f>
        <v>190.701789565026</v>
      </c>
    </row>
    <row r="7157" customFormat="false" ht="15" hidden="false" customHeight="false" outlineLevel="0" collapsed="false">
      <c r="A7157" s="1" t="s">
        <v>864</v>
      </c>
      <c r="B7157" s="0" t="s">
        <v>95</v>
      </c>
      <c r="E7157" s="6" t="n">
        <f aca="false">debt_face</f>
        <v>46.136</v>
      </c>
      <c r="F7157" s="6" t="n">
        <f aca="false">Sens!E7157-Sens!F7153+Sens!F7155</f>
        <v>46.4238347484077</v>
      </c>
      <c r="G7157" s="6" t="n">
        <f aca="false">Sens!F7157-Sens!G7153+Sens!G7155</f>
        <v>46.4238347484077</v>
      </c>
      <c r="H7157" s="6" t="n">
        <f aca="false">Sens!G7157-Sens!H7153+Sens!H7155</f>
        <v>44.4228347484077</v>
      </c>
      <c r="I7157" s="6" t="n">
        <f aca="false">Sens!H7157-Sens!I7153+Sens!I7155</f>
        <v>44.4228347484077</v>
      </c>
      <c r="J7157" s="6" t="n">
        <f aca="false">Sens!I7157-Sens!J7153+Sens!J7155</f>
        <v>43.9228347484077</v>
      </c>
      <c r="K7157" s="6" t="n">
        <f aca="false">Sens!J7157-Sens!K7153+Sens!K7155</f>
        <v>43.9228347484077</v>
      </c>
    </row>
    <row r="7158" customFormat="false" ht="15" hidden="false" customHeight="false" outlineLevel="0" collapsed="false">
      <c r="A7158" s="1" t="s">
        <v>865</v>
      </c>
      <c r="B7158" s="0" t="s">
        <v>95</v>
      </c>
      <c r="E7158" s="6" t="n">
        <f aca="false">Sens!E7156-Sens!E7157</f>
        <v>30.707</v>
      </c>
      <c r="F7158" s="6" t="n">
        <f aca="false">Sens!F7156-Sens!F7157</f>
        <v>3.57616525159231</v>
      </c>
      <c r="G7158" s="6" t="n">
        <f aca="false">Sens!G7156-Sens!G7157</f>
        <v>3.57616525159231</v>
      </c>
      <c r="H7158" s="6" t="n">
        <f aca="false">Sens!H7156-Sens!H7157</f>
        <v>19.4864924089312</v>
      </c>
      <c r="I7158" s="6" t="n">
        <f aca="false">Sens!I7156-Sens!I7157</f>
        <v>46.4085867227023</v>
      </c>
      <c r="J7158" s="6" t="n">
        <f aca="false">Sens!J7156-Sens!J7157</f>
        <v>98.7762573702674</v>
      </c>
      <c r="K7158" s="6" t="n">
        <f aca="false">Sens!K7156-Sens!K7157</f>
        <v>146.778954816619</v>
      </c>
    </row>
    <row r="7159" customFormat="false" ht="15" hidden="false" customHeight="false" outlineLevel="0" collapsed="false">
      <c r="A7159" s="1" t="s">
        <v>866</v>
      </c>
      <c r="B7159" s="0" t="s">
        <v>73</v>
      </c>
      <c r="F7159" s="27" t="n">
        <f aca="false">px*(1+bb_g)^(1-0.5)</f>
        <v>553.494156066711</v>
      </c>
      <c r="G7159" s="27" t="n">
        <f aca="false">px*(1+bb_g)^(2-0.5)</f>
        <v>597.773688552047</v>
      </c>
      <c r="H7159" s="27" t="n">
        <f aca="false">px*(1+bb_g)^(3-0.5)</f>
        <v>645.595583636211</v>
      </c>
      <c r="I7159" s="27" t="n">
        <f aca="false">px*(1+bb_g)^(4-0.5)</f>
        <v>697.243230327108</v>
      </c>
      <c r="J7159" s="27" t="n">
        <f aca="false">px*(1+bb_g)^(5-0.5)</f>
        <v>753.022688753277</v>
      </c>
      <c r="K7159" s="27" t="n">
        <f aca="false">px*(1+bb_g)^(6-0.5)</f>
        <v>813.264503853539</v>
      </c>
    </row>
    <row r="7160" customFormat="false" ht="15" hidden="false" customHeight="false" outlineLevel="0" collapsed="false">
      <c r="A7160" s="1" t="s">
        <v>867</v>
      </c>
      <c r="B7160" s="1" t="s">
        <v>79</v>
      </c>
      <c r="E7160" s="18" t="n">
        <f aca="false">sh_out26</f>
        <v>7.427</v>
      </c>
      <c r="F7160" s="18" t="n">
        <f aca="false">Sens!E7160+sh_iss-Sens!F7154/Sens!F7159</f>
        <v>7.472</v>
      </c>
      <c r="G7160" s="18" t="n">
        <f aca="false">Sens!F7160+sh_iss-Sens!G7154/Sens!G7159</f>
        <v>7.51496679281147</v>
      </c>
      <c r="H7160" s="18" t="n">
        <f aca="false">Sens!G7160+sh_iss-Sens!H7154/Sens!H7159</f>
        <v>7.52546996451138</v>
      </c>
      <c r="I7160" s="18" t="n">
        <f aca="false">Sens!H7160+sh_iss-Sens!I7154/Sens!I7159</f>
        <v>7.5385284568261</v>
      </c>
      <c r="J7160" s="18" t="n">
        <f aca="false">Sens!I7160+sh_iss-Sens!J7154/Sens!J7159</f>
        <v>7.55395298674714</v>
      </c>
      <c r="K7160" s="18" t="n">
        <f aca="false">Sens!J7160+sh_iss-Sens!K7154/Sens!K7159</f>
        <v>7.57156829222959</v>
      </c>
    </row>
    <row r="7161" customFormat="false" ht="15" hidden="false" customHeight="false" outlineLevel="0" collapsed="false">
      <c r="A7161" s="1" t="s">
        <v>868</v>
      </c>
      <c r="B7161" s="1" t="s">
        <v>79</v>
      </c>
      <c r="E7161" s="18" t="n">
        <f aca="false">sh_dil26</f>
        <v>7.453</v>
      </c>
      <c r="F7161" s="18" t="n">
        <f aca="false">(Sens!E7160+Sens!F7160)/2+dil_gap</f>
        <v>7.4735</v>
      </c>
      <c r="G7161" s="18" t="n">
        <f aca="false">(Sens!F7160+Sens!G7160)/2+dil_gap</f>
        <v>7.51748339640574</v>
      </c>
      <c r="H7161" s="18" t="n">
        <f aca="false">(Sens!G7160+Sens!H7160)/2+dil_gap</f>
        <v>7.54421837866143</v>
      </c>
      <c r="I7161" s="18" t="n">
        <f aca="false">(Sens!H7160+Sens!I7160)/2+dil_gap</f>
        <v>7.55599921066874</v>
      </c>
      <c r="J7161" s="18" t="n">
        <f aca="false">(Sens!I7160+Sens!J7160)/2+dil_gap</f>
        <v>7.57024072178662</v>
      </c>
      <c r="K7161" s="18" t="n">
        <f aca="false">(Sens!J7160+Sens!K7160)/2+dil_gap</f>
        <v>7.58676063948836</v>
      </c>
    </row>
    <row r="7162" customFormat="false" ht="17.15" hidden="false" customHeight="false" outlineLevel="0" collapsed="false">
      <c r="A7162" s="1" t="s">
        <v>869</v>
      </c>
      <c r="B7162" s="0" t="s">
        <v>95</v>
      </c>
      <c r="C7162" s="6" t="n">
        <f aca="false">SUM(Sens!F7152:J7152)</f>
        <v>136.097655130943</v>
      </c>
    </row>
    <row r="7163" customFormat="false" ht="17.15" hidden="false" customHeight="false" outlineLevel="0" collapsed="false">
      <c r="A7163" s="1" t="s">
        <v>836</v>
      </c>
      <c r="B7163" s="1" t="s">
        <v>870</v>
      </c>
      <c r="C7163" s="30" t="str">
        <f aca="false">IF(SUM(Sens!F7155:J7155)&gt;0.05,"需要舉債 "&amp;TEXT(SUM(Sens!F7155:J7155),"0.0")&amp;" 十億美元","不需舉債")&amp;"；"&amp;IF(SUM(Sens!F7154:J7154)&lt;5*bb_target-0.05,"回購較每年 "&amp;TEXT(bb_target,"0.0")&amp;" 的目標少 "&amp;TEXT(5*bb_target-SUM(Sens!F7154:J7154),"0.0")&amp;" 十億美元（"&amp;TEXT(COUNTIF(Sens!F7154:J7154,"&lt;"&amp;(bb_target-0.05)),"0")&amp;" 年減少）","回購不減")</f>
        <v>需要舉債 9.5 十億美元；回購較每年 22.3 的目標少 43.3 十億美元（2 年減少）</v>
      </c>
    </row>
    <row r="7164" customFormat="false" ht="17.15" hidden="false" customHeight="false" outlineLevel="0" collapsed="false">
      <c r="A7164" s="3" t="s">
        <v>1318</v>
      </c>
    </row>
    <row r="7165" customFormat="false" ht="15" hidden="false" customHeight="false" outlineLevel="0" collapsed="false">
      <c r="A7165" s="4" t="s">
        <v>43</v>
      </c>
      <c r="B7165" s="4" t="s">
        <v>63</v>
      </c>
      <c r="C7165" s="19" t="s">
        <v>710</v>
      </c>
      <c r="D7165" s="19" t="s">
        <v>711</v>
      </c>
      <c r="E7165" s="19" t="s">
        <v>712</v>
      </c>
      <c r="F7165" s="19" t="s">
        <v>713</v>
      </c>
      <c r="G7165" s="19" t="s">
        <v>714</v>
      </c>
      <c r="H7165" s="19" t="s">
        <v>715</v>
      </c>
      <c r="I7165" s="19" t="s">
        <v>716</v>
      </c>
      <c r="J7165" s="19" t="s">
        <v>717</v>
      </c>
      <c r="K7165" s="19" t="s">
        <v>718</v>
      </c>
      <c r="L7165" s="4" t="s">
        <v>47</v>
      </c>
    </row>
    <row r="7166" customFormat="false" ht="17.15" hidden="false" customHeight="false" outlineLevel="0" collapsed="false">
      <c r="A7166" s="1" t="s">
        <v>938</v>
      </c>
      <c r="B7166" s="1" t="s">
        <v>213</v>
      </c>
      <c r="F7166" s="34" t="n">
        <f aca="false">1-0.5</f>
        <v>0.5</v>
      </c>
      <c r="G7166" s="34" t="n">
        <f aca="false">2-0.5</f>
        <v>1.5</v>
      </c>
      <c r="H7166" s="34" t="n">
        <f aca="false">3-0.5</f>
        <v>2.5</v>
      </c>
      <c r="I7166" s="34" t="n">
        <f aca="false">4-0.5</f>
        <v>3.5</v>
      </c>
      <c r="J7166" s="34" t="n">
        <f aca="false">5-0.5</f>
        <v>4.5</v>
      </c>
      <c r="K7166" s="34" t="n">
        <f aca="false">6-0.5</f>
        <v>5.5</v>
      </c>
    </row>
    <row r="7167" customFormat="false" ht="15" hidden="false" customHeight="false" outlineLevel="0" collapsed="false">
      <c r="A7167" s="1" t="s">
        <v>939</v>
      </c>
      <c r="B7167" s="0" t="s">
        <v>182</v>
      </c>
      <c r="F7167" s="18" t="n">
        <f aca="false">1/(1+wacc)^Sens!F7166</f>
        <v>0.949601579913219</v>
      </c>
      <c r="G7167" s="18" t="n">
        <f aca="false">1/(1+wacc)^Sens!G7166</f>
        <v>0.856296729956707</v>
      </c>
      <c r="H7167" s="18" t="n">
        <f aca="false">1/(1+wacc)^Sens!H7166</f>
        <v>0.772159719660069</v>
      </c>
      <c r="I7167" s="18" t="n">
        <f aca="false">1/(1+wacc)^Sens!I7166</f>
        <v>0.696289746073958</v>
      </c>
      <c r="J7167" s="18" t="n">
        <f aca="false">1/(1+wacc)^Sens!J7166</f>
        <v>0.627874516299776</v>
      </c>
      <c r="K7167" s="18" t="n">
        <f aca="false">1/(1+wacc)^Sens!K7166</f>
        <v>0.566181550771831</v>
      </c>
    </row>
    <row r="7168" customFormat="false" ht="15" hidden="false" customHeight="false" outlineLevel="0" collapsed="false">
      <c r="A7168" s="1" t="s">
        <v>940</v>
      </c>
      <c r="B7168" s="0" t="s">
        <v>95</v>
      </c>
      <c r="F7168" s="6" t="n">
        <f aca="false">Sens!F7149*Sens!F7167</f>
        <v>1.38937655450718</v>
      </c>
      <c r="G7168" s="6" t="n">
        <f aca="false">Sens!G7149*Sens!G7167</f>
        <v>27.6446611612747</v>
      </c>
      <c r="H7168" s="6" t="n">
        <f aca="false">Sens!H7149*Sens!H7167</f>
        <v>55.5401650244817</v>
      </c>
      <c r="I7168" s="6" t="n">
        <f aca="false">Sens!I7149*Sens!I7167</f>
        <v>59.6656287641668</v>
      </c>
      <c r="J7168" s="6" t="n">
        <f aca="false">Sens!J7149*Sens!J7167</f>
        <v>71.6559260747191</v>
      </c>
      <c r="K7168" s="6" t="n">
        <f aca="false">Sens!K7149*Sens!K7167</f>
        <v>63.9817724916998</v>
      </c>
    </row>
    <row r="7169" customFormat="false" ht="17.15" hidden="false" customHeight="false" outlineLevel="0" collapsed="false">
      <c r="A7169" s="1" t="s">
        <v>941</v>
      </c>
      <c r="B7169" s="0" t="s">
        <v>95</v>
      </c>
      <c r="C7169" s="6" t="n">
        <f aca="false">SUM(Sens!F7168:K7168)</f>
        <v>279.877530070849</v>
      </c>
    </row>
    <row r="7170" customFormat="false" ht="17.15" hidden="false" customHeight="false" outlineLevel="0" collapsed="false">
      <c r="A7170" s="1" t="s">
        <v>942</v>
      </c>
      <c r="B7170" s="0" t="s">
        <v>95</v>
      </c>
      <c r="C7170" s="6" t="n">
        <f aca="false">Sens!K7115*(1+g_tv)*(1-tax_f)</f>
        <v>227.280685431955</v>
      </c>
    </row>
    <row r="7171" customFormat="false" ht="17.15" hidden="false" customHeight="false" outlineLevel="0" collapsed="false">
      <c r="A7171" s="1" t="s">
        <v>943</v>
      </c>
      <c r="B7171" s="0" t="s">
        <v>95</v>
      </c>
      <c r="C7171" s="6" t="n">
        <f aca="false">Sens!$C$7170*(1-g_tv/(wacc+ronic_prem))</f>
        <v>164.705254098511</v>
      </c>
    </row>
    <row r="7172" customFormat="false" ht="17.15" hidden="false" customHeight="false" outlineLevel="0" collapsed="false">
      <c r="A7172" s="1" t="s">
        <v>944</v>
      </c>
      <c r="B7172" s="0" t="s">
        <v>95</v>
      </c>
      <c r="C7172" s="6" t="n">
        <f aca="false">Sens!$C$7171/(wacc-g_tv)</f>
        <v>2085.84771111482</v>
      </c>
    </row>
    <row r="7173" customFormat="false" ht="15" hidden="false" customHeight="false" outlineLevel="0" collapsed="false">
      <c r="A7173" s="1" t="s">
        <v>945</v>
      </c>
      <c r="B7173" s="0" t="s">
        <v>95</v>
      </c>
      <c r="C7173" s="6" t="n">
        <f aca="false">Sens!$C$7172/(1+wacc)^6</f>
        <v>1121.44954559625</v>
      </c>
    </row>
    <row r="7174" customFormat="false" ht="17.15" hidden="false" customHeight="false" outlineLevel="0" collapsed="false">
      <c r="A7174" s="0" t="s">
        <v>877</v>
      </c>
      <c r="B7174" s="0" t="s">
        <v>95</v>
      </c>
      <c r="C7174" s="6" t="n">
        <f aca="false">Sens!$C$7169+Sens!$C$7173</f>
        <v>1401.3270756671</v>
      </c>
    </row>
    <row r="7175" customFormat="false" ht="15" hidden="false" customHeight="false" outlineLevel="0" collapsed="false">
      <c r="A7175" s="1" t="s">
        <v>878</v>
      </c>
      <c r="B7175" s="0" t="s">
        <v>126</v>
      </c>
      <c r="C7175" s="7" t="n">
        <f aca="false">Sens!$C$7173/Sens!$C$7174</f>
        <v>0.800276798378698</v>
      </c>
    </row>
    <row r="7176" customFormat="false" ht="17.15" hidden="false" customHeight="false" outlineLevel="0" collapsed="false">
      <c r="A7176" s="1" t="s">
        <v>946</v>
      </c>
      <c r="B7176" s="0" t="s">
        <v>95</v>
      </c>
      <c r="C7176" s="6" t="n">
        <f aca="false">Sens!$C$7174+Sens!E7158+oai_v</f>
        <v>1602.4340756671</v>
      </c>
    </row>
    <row r="7177" customFormat="false" ht="17.15" hidden="false" customHeight="false" outlineLevel="0" collapsed="false">
      <c r="A7177" s="0" t="s">
        <v>883</v>
      </c>
      <c r="B7177" s="0" t="s">
        <v>73</v>
      </c>
      <c r="C7177" s="5" t="n">
        <f aca="false">Sens!$C$7176/sh_dil26</f>
        <v>215.005242944734</v>
      </c>
    </row>
    <row r="7178" customFormat="false" ht="17.15" hidden="false" customHeight="false" outlineLevel="0" collapsed="false">
      <c r="A7178" s="0" t="s">
        <v>947</v>
      </c>
      <c r="B7178" s="0" t="s">
        <v>73</v>
      </c>
      <c r="C7178" s="5" t="n">
        <f aca="false">Sens!$C$7177*(1+wacc)^t_roll</f>
        <v>246.609846342862</v>
      </c>
    </row>
    <row r="7179" customFormat="false" ht="17.15" hidden="false" customHeight="false" outlineLevel="0" collapsed="false">
      <c r="A7179" s="1" t="s">
        <v>948</v>
      </c>
      <c r="B7179" s="0" t="s">
        <v>126</v>
      </c>
      <c r="F7179" s="7" t="n">
        <f aca="false">Sens!F7139/(Sens!F7090-Sens!F7046)</f>
        <v>0.0683613807349725</v>
      </c>
      <c r="G7179" s="7" t="n">
        <f aca="false">Sens!G7139/(Sens!G7090-Sens!G7046)</f>
        <v>0.0654571602807696</v>
      </c>
      <c r="H7179" s="7" t="n">
        <f aca="false">Sens!H7139/(Sens!H7090-Sens!H7046)</f>
        <v>0.063852702643263</v>
      </c>
      <c r="I7179" s="7" t="n">
        <f aca="false">Sens!I7139/(Sens!I7090-Sens!I7046)</f>
        <v>0.0634353055500918</v>
      </c>
      <c r="J7179" s="7" t="n">
        <f aca="false">Sens!J7139/(Sens!J7090-Sens!J7046)</f>
        <v>0.0639286593220292</v>
      </c>
      <c r="K7179" s="7" t="n">
        <f aca="false">Sens!K7139/(Sens!K7090-Sens!K7046)</f>
        <v>0.0649991138549061</v>
      </c>
    </row>
    <row r="7180" customFormat="false" ht="17.15" hidden="false" customHeight="false" outlineLevel="0" collapsed="false">
      <c r="A7180" s="0" t="s">
        <v>949</v>
      </c>
      <c r="B7180" s="0" t="s">
        <v>95</v>
      </c>
      <c r="F7180" s="6" t="n">
        <f aca="false">Sens!F7075*(al_m365+Sens!F7179)</f>
        <v>79.4630804467362</v>
      </c>
      <c r="G7180" s="6" t="n">
        <f aca="false">Sens!G7075*(al_m365+Sens!G7179)</f>
        <v>91.1970231689007</v>
      </c>
      <c r="H7180" s="6" t="n">
        <f aca="false">Sens!H7075*(al_m365+Sens!H7179)</f>
        <v>103.081294689552</v>
      </c>
      <c r="I7180" s="6" t="n">
        <f aca="false">Sens!I7075*(al_m365+Sens!I7179)</f>
        <v>114.000760917822</v>
      </c>
      <c r="J7180" s="6" t="n">
        <f aca="false">Sens!J7075*(al_m365+Sens!J7179)</f>
        <v>123.778014414136</v>
      </c>
      <c r="K7180" s="6" t="n">
        <f aca="false">Sens!K7075*(al_m365+Sens!K7179)</f>
        <v>133.184687191638</v>
      </c>
    </row>
    <row r="7181" customFormat="false" ht="17.15" hidden="false" customHeight="false" outlineLevel="0" collapsed="false">
      <c r="A7181" s="0" t="s">
        <v>950</v>
      </c>
      <c r="B7181" s="0" t="s">
        <v>95</v>
      </c>
      <c r="F7181" s="6" t="n">
        <f aca="false">Sens!F7076*(al_lic+Sens!F7179)</f>
        <v>31.9750841465614</v>
      </c>
      <c r="G7181" s="6" t="n">
        <f aca="false">Sens!G7076*(al_lic+Sens!G7179)</f>
        <v>33.2107673742765</v>
      </c>
      <c r="H7181" s="6" t="n">
        <f aca="false">Sens!H7076*(al_lic+Sens!H7179)</f>
        <v>34.3637899384144</v>
      </c>
      <c r="I7181" s="6" t="n">
        <f aca="false">Sens!I7076*(al_lic+Sens!I7179)</f>
        <v>35.4168095467647</v>
      </c>
      <c r="J7181" s="6" t="n">
        <f aca="false">Sens!J7076*(al_lic+Sens!J7179)</f>
        <v>36.3450167045473</v>
      </c>
      <c r="K7181" s="6" t="n">
        <f aca="false">Sens!K7076*(al_lic+Sens!K7179)</f>
        <v>37.1206729107677</v>
      </c>
    </row>
    <row r="7182" customFormat="false" ht="17.15" hidden="false" customHeight="false" outlineLevel="0" collapsed="false">
      <c r="A7182" s="0" t="s">
        <v>951</v>
      </c>
      <c r="B7182" s="0" t="s">
        <v>95</v>
      </c>
      <c r="F7182" s="6" t="n">
        <f aca="false">Sens!F7078*(al_ind+Sens!F7179)</f>
        <v>8.23553654896919</v>
      </c>
      <c r="G7182" s="6" t="n">
        <f aca="false">Sens!G7078*(al_ind+Sens!G7179)</f>
        <v>8.93148517918154</v>
      </c>
      <c r="H7182" s="6" t="n">
        <f aca="false">Sens!H7078*(al_ind+Sens!H7179)</f>
        <v>9.66895084447063</v>
      </c>
      <c r="I7182" s="6" t="n">
        <f aca="false">Sens!I7078*(al_ind+Sens!I7179)</f>
        <v>10.4455729520011</v>
      </c>
      <c r="J7182" s="6" t="n">
        <f aca="false">Sens!J7078*(al_ind+Sens!J7179)</f>
        <v>11.2524028518118</v>
      </c>
      <c r="K7182" s="6" t="n">
        <f aca="false">Sens!K7078*(al_ind+Sens!K7179)</f>
        <v>12.0754855435459</v>
      </c>
    </row>
    <row r="7183" customFormat="false" ht="17.15" hidden="false" customHeight="false" outlineLevel="0" collapsed="false">
      <c r="A7183" s="0" t="s">
        <v>952</v>
      </c>
      <c r="B7183" s="0" t="s">
        <v>95</v>
      </c>
      <c r="F7183" s="6" t="n">
        <f aca="false">Sens!F7080*(al_fro+Sens!F7179)</f>
        <v>3.24153609900367</v>
      </c>
      <c r="G7183" s="6" t="n">
        <f aca="false">Sens!G7080*(al_fro+Sens!G7179)</f>
        <v>3.42916226445582</v>
      </c>
      <c r="H7183" s="6" t="n">
        <f aca="false">Sens!H7080*(al_fro+Sens!H7179)</f>
        <v>3.643591622732</v>
      </c>
      <c r="I7183" s="6" t="n">
        <f aca="false">Sens!I7080*(al_fro+Sens!I7179)</f>
        <v>3.88741712308558</v>
      </c>
      <c r="J7183" s="6" t="n">
        <f aca="false">Sens!J7080*(al_fro+Sens!J7179)</f>
        <v>4.16157100363924</v>
      </c>
      <c r="K7183" s="6" t="n">
        <f aca="false">Sens!K7080*(al_fro+Sens!K7179)</f>
        <v>4.46597861405166</v>
      </c>
    </row>
    <row r="7184" customFormat="false" ht="17.15" hidden="false" customHeight="false" outlineLevel="0" collapsed="false">
      <c r="A7184" s="0" t="s">
        <v>953</v>
      </c>
      <c r="B7184" s="0" t="s">
        <v>95</v>
      </c>
      <c r="F7184" s="6" t="n">
        <f aca="false">Sens!F7083*(al_srch+Sens!F7179)</f>
        <v>10.1710066254369</v>
      </c>
      <c r="G7184" s="6" t="n">
        <f aca="false">Sens!G7083*(al_srch+Sens!G7179)</f>
        <v>11.1345904192182</v>
      </c>
      <c r="H7184" s="6" t="n">
        <f aca="false">Sens!H7083*(al_srch+Sens!H7179)</f>
        <v>12.1397186326943</v>
      </c>
      <c r="I7184" s="6" t="n">
        <f aca="false">Sens!I7083*(al_srch+Sens!I7179)</f>
        <v>13.1773288789363</v>
      </c>
      <c r="J7184" s="6" t="n">
        <f aca="false">Sens!J7083*(al_srch+Sens!J7179)</f>
        <v>14.2291872559342</v>
      </c>
      <c r="K7184" s="6" t="n">
        <f aca="false">Sens!K7083*(al_srch+Sens!K7179)</f>
        <v>15.2700136378227</v>
      </c>
    </row>
    <row r="7185" customFormat="false" ht="17.15" hidden="false" customHeight="false" outlineLevel="0" collapsed="false">
      <c r="A7185" s="0" t="s">
        <v>954</v>
      </c>
      <c r="B7185" s="0" t="s">
        <v>95</v>
      </c>
      <c r="F7185" s="6" t="n">
        <f aca="false">Sens!F7052</f>
        <v>39.4594407491938</v>
      </c>
      <c r="G7185" s="6" t="n">
        <f aca="false">Sens!G7052</f>
        <v>66.5527545578061</v>
      </c>
      <c r="H7185" s="6" t="n">
        <f aca="false">Sens!H7052</f>
        <v>95.219644983859</v>
      </c>
      <c r="I7185" s="6" t="n">
        <f aca="false">Sens!I7052</f>
        <v>124.031840462493</v>
      </c>
      <c r="J7185" s="6" t="n">
        <f aca="false">Sens!J7052</f>
        <v>152.919994097909</v>
      </c>
      <c r="K7185" s="6" t="n">
        <f aca="false">Sens!K7052</f>
        <v>181.852830263848</v>
      </c>
    </row>
    <row r="7186" customFormat="false" ht="17.15" hidden="false" customHeight="false" outlineLevel="0" collapsed="false">
      <c r="A7186" s="0" t="s">
        <v>955</v>
      </c>
      <c r="B7186" s="0" t="s">
        <v>95</v>
      </c>
      <c r="F7186" s="6" t="n">
        <f aca="false">Sens!F7112+Sens!F7063+Sens!F7179*(Sens!F7082-Sens!F7046)</f>
        <v>211.741217797846</v>
      </c>
      <c r="G7186" s="6" t="n">
        <f aca="false">Sens!G7112+Sens!G7063+Sens!G7179*(Sens!G7082-Sens!G7046)</f>
        <v>259.685775281201</v>
      </c>
      <c r="H7186" s="6" t="n">
        <f aca="false">Sens!H7112+Sens!H7063+Sens!H7179*(Sens!H7082-Sens!H7046)</f>
        <v>310.15175020748</v>
      </c>
      <c r="I7186" s="6" t="n">
        <f aca="false">Sens!I7112+Sens!I7063+Sens!I7179*(Sens!I7082-Sens!I7046)</f>
        <v>360.574624401616</v>
      </c>
      <c r="J7186" s="6" t="n">
        <f aca="false">Sens!J7112+Sens!J7063+Sens!J7179*(Sens!J7082-Sens!J7046)</f>
        <v>410.288137079173</v>
      </c>
      <c r="K7186" s="6" t="n">
        <f aca="false">Sens!K7112+Sens!K7063+Sens!K7179*(Sens!K7082-Sens!K7046)</f>
        <v>459.436717873724</v>
      </c>
    </row>
    <row r="7187" customFormat="false" ht="17.15" hidden="false" customHeight="false" outlineLevel="0" collapsed="false">
      <c r="A7187" s="0" t="s">
        <v>956</v>
      </c>
      <c r="B7187" s="0" t="s">
        <v>95</v>
      </c>
      <c r="F7187" s="6" t="n">
        <f aca="false">Sens!F7186-Sens!F7180-Sens!F7181-Sens!F7182-Sens!F7183-Sens!F7185</f>
        <v>49.3665398073822</v>
      </c>
      <c r="G7187" s="6" t="n">
        <f aca="false">Sens!G7186-Sens!G7180-Sens!G7181-Sens!G7182-Sens!G7183-Sens!G7185</f>
        <v>56.3645827365804</v>
      </c>
      <c r="H7187" s="6" t="n">
        <f aca="false">Sens!H7186-Sens!H7180-Sens!H7181-Sens!H7182-Sens!H7183-Sens!H7185</f>
        <v>64.1744781284523</v>
      </c>
      <c r="I7187" s="6" t="n">
        <f aca="false">Sens!I7186-Sens!I7180-Sens!I7181-Sens!I7182-Sens!I7183-Sens!I7185</f>
        <v>72.7922233994499</v>
      </c>
      <c r="J7187" s="6" t="n">
        <f aca="false">Sens!J7186-Sens!J7180-Sens!J7181-Sens!J7182-Sens!J7183-Sens!J7185</f>
        <v>81.8311380071286</v>
      </c>
      <c r="K7187" s="6" t="n">
        <f aca="false">Sens!K7186-Sens!K7180-Sens!K7181-Sens!K7182-Sens!K7183-Sens!K7185</f>
        <v>90.7370633498725</v>
      </c>
    </row>
    <row r="7188" customFormat="false" ht="17.15" hidden="false" customHeight="false" outlineLevel="0" collapsed="false">
      <c r="A7188" s="0" t="s">
        <v>957</v>
      </c>
      <c r="B7188" s="0" t="s">
        <v>95</v>
      </c>
      <c r="F7188" s="6" t="n">
        <f aca="false">Sens!F7114+Sens!F7179*Sens!F7089</f>
        <v>23.7486200008714</v>
      </c>
      <c r="G7188" s="6" t="n">
        <f aca="false">Sens!G7114+Sens!G7179*Sens!G7089</f>
        <v>24.2769001577622</v>
      </c>
      <c r="H7188" s="6" t="n">
        <f aca="false">Sens!H7114+Sens!H7179*Sens!H7089</f>
        <v>25.0518688282859</v>
      </c>
      <c r="I7188" s="6" t="n">
        <f aca="false">Sens!I7114+Sens!I7179*Sens!I7089</f>
        <v>26.0465571192671</v>
      </c>
      <c r="J7188" s="6" t="n">
        <f aca="false">Sens!J7114+Sens!J7179*Sens!J7089</f>
        <v>27.2279146672413</v>
      </c>
      <c r="K7188" s="6" t="n">
        <f aca="false">Sens!K7114+Sens!K7179*Sens!K7089</f>
        <v>28.5611614392936</v>
      </c>
    </row>
    <row r="7189" customFormat="false" ht="17.15" hidden="false" customHeight="false" outlineLevel="0" collapsed="false">
      <c r="A7189" s="0" t="s">
        <v>958</v>
      </c>
      <c r="B7189" s="0" t="s">
        <v>95</v>
      </c>
      <c r="F7189" s="6" t="n">
        <f aca="false">(Sens!F7188-Sens!F7184)*Sens!F7085/(Sens!F7085+Sens!F7087)</f>
        <v>7.44311540837513</v>
      </c>
      <c r="G7189" s="6" t="n">
        <f aca="false">(Sens!G7188-Sens!G7184)*Sens!G7085/(Sens!G7085+Sens!G7087)</f>
        <v>7.07603065837101</v>
      </c>
      <c r="H7189" s="6" t="n">
        <f aca="false">(Sens!H7188-Sens!H7184)*Sens!H7085/(Sens!H7085+Sens!H7087)</f>
        <v>6.85819768840554</v>
      </c>
      <c r="I7189" s="6" t="n">
        <f aca="false">(Sens!I7188-Sens!I7184)*Sens!I7085/(Sens!I7085+Sens!I7087)</f>
        <v>6.77355320781394</v>
      </c>
      <c r="J7189" s="6" t="n">
        <f aca="false">(Sens!J7188-Sens!J7184)*Sens!J7085/(Sens!J7085+Sens!J7087)</f>
        <v>6.8107754596251</v>
      </c>
      <c r="K7189" s="6" t="n">
        <f aca="false">(Sens!K7188-Sens!K7184)*Sens!K7085/(Sens!K7085+Sens!K7087)</f>
        <v>6.96399119792033</v>
      </c>
    </row>
    <row r="7190" customFormat="false" ht="17.15" hidden="false" customHeight="false" outlineLevel="0" collapsed="false">
      <c r="A7190" s="0" t="s">
        <v>959</v>
      </c>
      <c r="B7190" s="0" t="s">
        <v>95</v>
      </c>
      <c r="F7190" s="6" t="n">
        <f aca="false">Sens!F7188-Sens!F7184-Sens!F7189</f>
        <v>6.13449796705937</v>
      </c>
      <c r="G7190" s="6" t="n">
        <f aca="false">Sens!G7188-Sens!G7184-Sens!G7189</f>
        <v>6.06627908017297</v>
      </c>
      <c r="H7190" s="6" t="n">
        <f aca="false">Sens!H7188-Sens!H7184-Sens!H7189</f>
        <v>6.05395250718609</v>
      </c>
      <c r="I7190" s="6" t="n">
        <f aca="false">Sens!I7188-Sens!I7184-Sens!I7189</f>
        <v>6.09567503251696</v>
      </c>
      <c r="J7190" s="6" t="n">
        <f aca="false">Sens!J7188-Sens!J7184-Sens!J7189</f>
        <v>6.18795195168205</v>
      </c>
      <c r="K7190" s="6" t="n">
        <f aca="false">Sens!K7188-Sens!K7184-Sens!K7189</f>
        <v>6.32715660355066</v>
      </c>
    </row>
    <row r="7191" customFormat="false" ht="17.15" hidden="false" customHeight="false" outlineLevel="0" collapsed="false">
      <c r="A7191" s="1" t="s">
        <v>960</v>
      </c>
      <c r="B7191" s="0" t="s">
        <v>95</v>
      </c>
      <c r="C7191" s="6" t="n">
        <f aca="false">(w_ntm28*Sens!G7185+(1-w_ntm28)*Sens!H7185)*m_ai*1</f>
        <v>454.922440830797</v>
      </c>
    </row>
    <row r="7192" customFormat="false" ht="17.15" hidden="false" customHeight="false" outlineLevel="0" collapsed="false">
      <c r="A7192" s="1" t="s">
        <v>961</v>
      </c>
      <c r="B7192" s="0" t="s">
        <v>95</v>
      </c>
      <c r="C7192" s="6" t="n">
        <f aca="false">(w_ntm28*Sens!G7187+(1-w_ntm28)*Sens!H7187)*m_cloud*1</f>
        <v>813.851862212004</v>
      </c>
    </row>
    <row r="7193" customFormat="false" ht="17.15" hidden="false" customHeight="false" outlineLevel="0" collapsed="false">
      <c r="A7193" s="1" t="s">
        <v>962</v>
      </c>
      <c r="B7193" s="0" t="s">
        <v>95</v>
      </c>
      <c r="C7193" s="6" t="n">
        <f aca="false">(w_ntm28*Sens!G7180+(1-w_ntm28)*Sens!H7180)*m_sw*1</f>
        <v>1026.4218656376</v>
      </c>
    </row>
    <row r="7194" customFormat="false" ht="17.15" hidden="false" customHeight="false" outlineLevel="0" collapsed="false">
      <c r="A7194" s="1" t="s">
        <v>963</v>
      </c>
      <c r="B7194" s="0" t="s">
        <v>95</v>
      </c>
      <c r="C7194" s="6" t="n">
        <f aca="false">(w_ntm28*Sens!G7181+(1-w_ntm28)*Sens!H7181)*m_sw*1</f>
        <v>362.702073822288</v>
      </c>
    </row>
    <row r="7195" customFormat="false" ht="17.15" hidden="false" customHeight="false" outlineLevel="0" collapsed="false">
      <c r="A7195" s="1" t="s">
        <v>964</v>
      </c>
      <c r="B7195" s="0" t="s">
        <v>95</v>
      </c>
      <c r="C7195" s="6" t="n">
        <f aca="false">(w_ntm28*Sens!G7182+(1-w_ntm28)*Sens!H7182)*m_sw*1</f>
        <v>99.0349063566522</v>
      </c>
    </row>
    <row r="7196" customFormat="false" ht="17.15" hidden="false" customHeight="false" outlineLevel="0" collapsed="false">
      <c r="A7196" s="1" t="s">
        <v>965</v>
      </c>
      <c r="B7196" s="0" t="s">
        <v>95</v>
      </c>
      <c r="C7196" s="6" t="n">
        <f aca="false">(w_ntm28*Sens!G7183+(1-w_ntm28)*Sens!H7183)*m_sw*1</f>
        <v>37.7836340292384</v>
      </c>
    </row>
    <row r="7197" customFormat="false" ht="17.15" hidden="false" customHeight="false" outlineLevel="0" collapsed="false">
      <c r="A7197" s="1" t="s">
        <v>966</v>
      </c>
      <c r="B7197" s="0" t="s">
        <v>95</v>
      </c>
      <c r="C7197" s="6" t="n">
        <f aca="false">(w_ntm28*Sens!G7184+(1-w_ntm28)*Sens!H7184)*m_ads*1</f>
        <v>104.396372765441</v>
      </c>
    </row>
    <row r="7198" customFormat="false" ht="17.15" hidden="false" customHeight="false" outlineLevel="0" collapsed="false">
      <c r="A7198" s="1" t="s">
        <v>967</v>
      </c>
      <c r="B7198" s="0" t="s">
        <v>95</v>
      </c>
      <c r="C7198" s="6" t="n">
        <f aca="false">(w_ntm28*Sens!G7189+(1-w_ntm28)*Sens!H7189)*m_game*1</f>
        <v>88.4808283427372</v>
      </c>
    </row>
    <row r="7199" customFormat="false" ht="17.15" hidden="false" customHeight="false" outlineLevel="0" collapsed="false">
      <c r="A7199" s="1" t="s">
        <v>968</v>
      </c>
      <c r="B7199" s="0" t="s">
        <v>95</v>
      </c>
      <c r="C7199" s="6" t="n">
        <f aca="false">(w_ntm28*Sens!G7190+(1-w_ntm28)*Sens!H7190)*m_pc*1</f>
        <v>87.7213949193846</v>
      </c>
    </row>
    <row r="7200" customFormat="false" ht="17.15" hidden="false" customHeight="false" outlineLevel="0" collapsed="false">
      <c r="A7200" s="1" t="s">
        <v>969</v>
      </c>
      <c r="B7200" s="0" t="s">
        <v>95</v>
      </c>
      <c r="C7200" s="6" t="n">
        <f aca="false">Sens!$C$7191+Sens!$C$7192+Sens!$C$7193+Sens!$C$7194+Sens!$C$7195+Sens!$C$7196+Sens!$C$7197+Sens!$C$7198+Sens!$C$7199</f>
        <v>3075.31537891614</v>
      </c>
    </row>
    <row r="7201" customFormat="false" ht="17.15" hidden="false" customHeight="false" outlineLevel="0" collapsed="false">
      <c r="A7201" s="1" t="s">
        <v>903</v>
      </c>
      <c r="B7201" s="0" t="s">
        <v>95</v>
      </c>
      <c r="C7201" s="6" t="n">
        <f aca="false">Sens!F7158+oai_v-Sens!F7147</f>
        <v>111.506435251592</v>
      </c>
      <c r="L7201" s="1" t="s">
        <v>970</v>
      </c>
    </row>
    <row r="7202" customFormat="false" ht="15" hidden="false" customHeight="false" outlineLevel="0" collapsed="false">
      <c r="A7202" s="1" t="s">
        <v>904</v>
      </c>
      <c r="B7202" s="0" t="s">
        <v>73</v>
      </c>
      <c r="C7202" s="5" t="n">
        <f aca="false">(Sens!$C$7200+Sens!$C$7201)/Sens!F7160</f>
        <v>426.501848791185</v>
      </c>
    </row>
    <row r="7203" customFormat="false" ht="17.15" hidden="false" customHeight="false" outlineLevel="0" collapsed="false">
      <c r="A7203" s="1" t="s">
        <v>971</v>
      </c>
      <c r="B7203" s="0" t="s">
        <v>73</v>
      </c>
      <c r="C7203" s="5" t="n">
        <f aca="false">w_dcf*Sens!$C$7178+(1-w_dcf)*Sens!$C$7202</f>
        <v>336.555847567024</v>
      </c>
    </row>
    <row r="7204" customFormat="false" ht="17.15" hidden="false" customHeight="false" outlineLevel="0" collapsed="false">
      <c r="A7204" s="3" t="s">
        <v>1319</v>
      </c>
    </row>
    <row r="7205" customFormat="false" ht="15" hidden="false" customHeight="false" outlineLevel="0" collapsed="false">
      <c r="A7205" s="4" t="s">
        <v>43</v>
      </c>
      <c r="B7205" s="4" t="s">
        <v>63</v>
      </c>
      <c r="C7205" s="19" t="s">
        <v>710</v>
      </c>
      <c r="D7205" s="19" t="s">
        <v>711</v>
      </c>
      <c r="E7205" s="19" t="s">
        <v>712</v>
      </c>
      <c r="F7205" s="19" t="s">
        <v>713</v>
      </c>
      <c r="G7205" s="19" t="s">
        <v>714</v>
      </c>
      <c r="H7205" s="19" t="s">
        <v>715</v>
      </c>
      <c r="I7205" s="19" t="s">
        <v>716</v>
      </c>
      <c r="J7205" s="19" t="s">
        <v>717</v>
      </c>
      <c r="K7205" s="19" t="s">
        <v>718</v>
      </c>
      <c r="L7205" s="4" t="s">
        <v>47</v>
      </c>
    </row>
    <row r="7206" customFormat="false" ht="17.15" hidden="false" customHeight="false" outlineLevel="0" collapsed="false">
      <c r="A7206" s="1" t="s">
        <v>719</v>
      </c>
      <c r="B7206" s="0" t="s">
        <v>340</v>
      </c>
      <c r="C7206" s="27" t="n">
        <f aca="false">mw_ext_24</f>
        <v>640</v>
      </c>
      <c r="D7206" s="27" t="n">
        <f aca="false">mw_ext_25</f>
        <v>1630</v>
      </c>
      <c r="E7206" s="27" t="n">
        <f aca="false">mw_ext_26</f>
        <v>3250</v>
      </c>
      <c r="F7206" s="27" t="n">
        <f aca="false">MIN(1000000000,Sens!E7206+pace)</f>
        <v>5777.2</v>
      </c>
      <c r="G7206" s="27" t="n">
        <f aca="false">MIN(1000000000,Sens!F7206+pace)</f>
        <v>8304.4</v>
      </c>
      <c r="H7206" s="27" t="n">
        <f aca="false">MIN(1000000000,Sens!G7206+pace)</f>
        <v>10831.6</v>
      </c>
      <c r="I7206" s="27" t="n">
        <f aca="false">MIN(1000000000,Sens!H7206+pace)</f>
        <v>13358.8</v>
      </c>
      <c r="J7206" s="27" t="n">
        <f aca="false">MIN(1000000000,Sens!I7206+pace)</f>
        <v>15886</v>
      </c>
      <c r="K7206" s="27" t="n">
        <f aca="false">MIN(1000000000,Sens!J7206+pace)</f>
        <v>18413.2</v>
      </c>
      <c r="L7206" s="11" t="s">
        <v>720</v>
      </c>
    </row>
    <row r="7207" customFormat="false" ht="17.15" hidden="false" customHeight="false" outlineLevel="0" collapsed="false">
      <c r="A7207" s="1" t="s">
        <v>721</v>
      </c>
      <c r="B7207" s="0" t="s">
        <v>340</v>
      </c>
      <c r="C7207" s="27" t="n">
        <f aca="false">rent_ext_24</f>
        <v>150</v>
      </c>
      <c r="D7207" s="27" t="n">
        <f aca="false">rent_ext_25</f>
        <v>400</v>
      </c>
      <c r="E7207" s="27" t="n">
        <f aca="false">rent_ext_26</f>
        <v>550</v>
      </c>
      <c r="F7207" s="27" t="n">
        <f aca="false">rent_ext_f</f>
        <v>756</v>
      </c>
      <c r="G7207" s="27" t="n">
        <f aca="false">rent_ext_f</f>
        <v>756</v>
      </c>
      <c r="H7207" s="27" t="n">
        <f aca="false">rent_ext_f</f>
        <v>756</v>
      </c>
      <c r="I7207" s="27" t="n">
        <f aca="false">rent_ext_f</f>
        <v>756</v>
      </c>
      <c r="J7207" s="27" t="n">
        <f aca="false">rent_ext_f</f>
        <v>756</v>
      </c>
      <c r="K7207" s="27" t="n">
        <f aca="false">rent_ext_f</f>
        <v>756</v>
      </c>
      <c r="L7207" s="1" t="s">
        <v>722</v>
      </c>
    </row>
    <row r="7208" customFormat="false" ht="17.15" hidden="false" customHeight="false" outlineLevel="0" collapsed="false">
      <c r="A7208" s="1" t="s">
        <v>723</v>
      </c>
      <c r="B7208" s="0" t="s">
        <v>340</v>
      </c>
      <c r="C7208" s="27" t="n">
        <f aca="false">Sens!C7206-Sens!C7207</f>
        <v>490</v>
      </c>
      <c r="D7208" s="27" t="n">
        <f aca="false">Sens!D7206-Sens!D7207</f>
        <v>1230</v>
      </c>
      <c r="E7208" s="27" t="n">
        <f aca="false">Sens!E7206-Sens!E7207</f>
        <v>2700</v>
      </c>
      <c r="F7208" s="27" t="n">
        <f aca="false">Sens!F7206-Sens!F7207</f>
        <v>5021.2</v>
      </c>
      <c r="G7208" s="27" t="n">
        <f aca="false">Sens!G7206-Sens!G7207</f>
        <v>7548.4</v>
      </c>
      <c r="H7208" s="27" t="n">
        <f aca="false">Sens!H7206-Sens!H7207</f>
        <v>10075.6</v>
      </c>
      <c r="I7208" s="27" t="n">
        <f aca="false">Sens!I7206-Sens!I7207</f>
        <v>12602.8</v>
      </c>
      <c r="J7208" s="27" t="n">
        <f aca="false">Sens!J7206-Sens!J7207</f>
        <v>15130</v>
      </c>
      <c r="K7208" s="27" t="n">
        <f aca="false">Sens!K7206-Sens!K7207</f>
        <v>17657.2</v>
      </c>
    </row>
    <row r="7209" customFormat="false" ht="17.15" hidden="false" customHeight="false" outlineLevel="0" collapsed="false">
      <c r="A7209" s="1" t="s">
        <v>724</v>
      </c>
      <c r="B7209" s="0" t="s">
        <v>340</v>
      </c>
      <c r="C7209" s="27" t="n">
        <f aca="false">Sens!C7208/ext_sh</f>
        <v>816.666666666667</v>
      </c>
      <c r="D7209" s="27" t="n">
        <f aca="false">Sens!D7208/ext_sh</f>
        <v>2050</v>
      </c>
      <c r="E7209" s="27" t="n">
        <f aca="false">Sens!E7208/ext_sh</f>
        <v>4500</v>
      </c>
      <c r="F7209" s="27" t="n">
        <f aca="false">Sens!F7208/ext_sh</f>
        <v>8368.66666666667</v>
      </c>
      <c r="G7209" s="27" t="n">
        <f aca="false">Sens!G7208/ext_sh</f>
        <v>12580.6666666667</v>
      </c>
      <c r="H7209" s="27" t="n">
        <f aca="false">Sens!H7208/ext_sh</f>
        <v>16792.6666666667</v>
      </c>
      <c r="I7209" s="27" t="n">
        <f aca="false">Sens!I7208/ext_sh</f>
        <v>21004.6666666667</v>
      </c>
      <c r="J7209" s="27" t="n">
        <f aca="false">Sens!J7208/ext_sh</f>
        <v>25216.6666666667</v>
      </c>
      <c r="K7209" s="27" t="n">
        <f aca="false">Sens!K7208/ext_sh</f>
        <v>29428.6666666667</v>
      </c>
      <c r="L7209" s="1" t="s">
        <v>725</v>
      </c>
    </row>
    <row r="7210" customFormat="false" ht="17.15" hidden="false" customHeight="false" outlineLevel="0" collapsed="false">
      <c r="A7210" s="1" t="s">
        <v>726</v>
      </c>
      <c r="B7210" s="0" t="s">
        <v>340</v>
      </c>
      <c r="C7210" s="27" t="n">
        <f aca="false">Sens!C7209-Sens!C7208</f>
        <v>326.666666666667</v>
      </c>
      <c r="D7210" s="27" t="n">
        <f aca="false">Sens!D7209-Sens!D7208</f>
        <v>820</v>
      </c>
      <c r="E7210" s="27" t="n">
        <f aca="false">Sens!E7209-Sens!E7208</f>
        <v>1800</v>
      </c>
      <c r="F7210" s="27" t="n">
        <f aca="false">Sens!F7209-Sens!F7208</f>
        <v>3347.46666666667</v>
      </c>
      <c r="G7210" s="27" t="n">
        <f aca="false">Sens!G7209-Sens!G7208</f>
        <v>5032.26666666667</v>
      </c>
      <c r="H7210" s="27" t="n">
        <f aca="false">Sens!H7209-Sens!H7208</f>
        <v>6717.06666666667</v>
      </c>
      <c r="I7210" s="27" t="n">
        <f aca="false">Sens!I7209-Sens!I7208</f>
        <v>8401.86666666667</v>
      </c>
      <c r="J7210" s="27" t="n">
        <f aca="false">Sens!J7209-Sens!J7208</f>
        <v>10086.6666666667</v>
      </c>
      <c r="K7210" s="27" t="n">
        <f aca="false">Sens!K7209-Sens!K7208</f>
        <v>11771.4666666667</v>
      </c>
    </row>
    <row r="7211" customFormat="false" ht="17.15" hidden="false" customHeight="false" outlineLevel="0" collapsed="false">
      <c r="A7211" s="1" t="s">
        <v>727</v>
      </c>
      <c r="B7211" s="0" t="s">
        <v>340</v>
      </c>
      <c r="C7211" s="27" t="n">
        <f aca="false">Sens!C7209</f>
        <v>816.666666666667</v>
      </c>
      <c r="D7211" s="27" t="n">
        <f aca="false">Sens!D7209-Sens!C7209</f>
        <v>1233.33333333333</v>
      </c>
      <c r="E7211" s="27" t="n">
        <f aca="false">Sens!E7209-Sens!D7209</f>
        <v>2450</v>
      </c>
      <c r="F7211" s="27" t="n">
        <f aca="false">Sens!F7209-Sens!E7209</f>
        <v>3868.66666666667</v>
      </c>
      <c r="G7211" s="27" t="n">
        <f aca="false">Sens!G7209-Sens!F7209</f>
        <v>4212</v>
      </c>
      <c r="H7211" s="27" t="n">
        <f aca="false">Sens!H7209-Sens!G7209</f>
        <v>4212</v>
      </c>
      <c r="I7211" s="27" t="n">
        <f aca="false">Sens!I7209-Sens!H7209</f>
        <v>4212</v>
      </c>
      <c r="J7211" s="27" t="n">
        <f aca="false">Sens!J7209-Sens!I7209</f>
        <v>4212</v>
      </c>
      <c r="K7211" s="27" t="n">
        <f aca="false">Sens!K7209-Sens!J7209</f>
        <v>4212</v>
      </c>
    </row>
    <row r="7212" customFormat="false" ht="17.15" hidden="false" customHeight="false" outlineLevel="0" collapsed="false">
      <c r="A7212" s="1" t="s">
        <v>728</v>
      </c>
      <c r="B7212" s="0" t="s">
        <v>340</v>
      </c>
      <c r="D7212" s="27" t="n">
        <f aca="false">Sens!D7206-Sens!C7206</f>
        <v>990</v>
      </c>
      <c r="E7212" s="27" t="n">
        <f aca="false">Sens!E7206-Sens!D7206</f>
        <v>1620</v>
      </c>
      <c r="F7212" s="27" t="n">
        <f aca="false">Sens!F7206-Sens!E7206</f>
        <v>2527.2</v>
      </c>
      <c r="G7212" s="27" t="n">
        <f aca="false">Sens!G7206-Sens!F7206</f>
        <v>2527.2</v>
      </c>
      <c r="H7212" s="27" t="n">
        <f aca="false">Sens!H7206-Sens!G7206</f>
        <v>2527.2</v>
      </c>
      <c r="I7212" s="27" t="n">
        <f aca="false">Sens!I7206-Sens!H7206</f>
        <v>2527.2</v>
      </c>
      <c r="J7212" s="27" t="n">
        <f aca="false">Sens!J7206-Sens!I7206</f>
        <v>2527.2</v>
      </c>
      <c r="K7212" s="27" t="n">
        <f aca="false">Sens!K7206-Sens!J7206</f>
        <v>2527.2</v>
      </c>
    </row>
    <row r="7213" customFormat="false" ht="17.15" hidden="false" customHeight="false" outlineLevel="0" collapsed="false">
      <c r="A7213" s="1" t="s">
        <v>729</v>
      </c>
      <c r="B7213" s="0" t="s">
        <v>340</v>
      </c>
      <c r="C7213" s="27" t="n">
        <f aca="false">mix_h*Sens!C7206</f>
        <v>128</v>
      </c>
      <c r="D7213" s="27" t="n">
        <f aca="false">mix_h*Sens!D7206</f>
        <v>326</v>
      </c>
      <c r="E7213" s="27" t="n">
        <f aca="false">mix_h*Sens!E7206</f>
        <v>650</v>
      </c>
      <c r="F7213" s="27" t="n">
        <f aca="false">Sens!E7213</f>
        <v>650</v>
      </c>
      <c r="G7213" s="27" t="n">
        <f aca="false">Sens!F7213</f>
        <v>650</v>
      </c>
      <c r="H7213" s="27" t="n">
        <f aca="false">Sens!G7213</f>
        <v>650</v>
      </c>
      <c r="I7213" s="27" t="n">
        <f aca="false">Sens!H7213</f>
        <v>650</v>
      </c>
      <c r="J7213" s="27" t="n">
        <f aca="false">Sens!I7213</f>
        <v>650</v>
      </c>
      <c r="K7213" s="27" t="n">
        <f aca="false">Sens!J7213</f>
        <v>650</v>
      </c>
    </row>
    <row r="7214" customFormat="false" ht="17.15" hidden="false" customHeight="false" outlineLevel="0" collapsed="false">
      <c r="A7214" s="1" t="s">
        <v>730</v>
      </c>
      <c r="B7214" s="0" t="s">
        <v>340</v>
      </c>
      <c r="C7214" s="27" t="n">
        <f aca="false">mix_g2*Sens!C7206</f>
        <v>288</v>
      </c>
      <c r="D7214" s="27" t="n">
        <f aca="false">mix_g2*Sens!D7206</f>
        <v>733.5</v>
      </c>
      <c r="E7214" s="27" t="n">
        <f aca="false">mix_g2*Sens!E7206</f>
        <v>1462.5</v>
      </c>
      <c r="F7214" s="27" t="n">
        <f aca="false">Sens!E7214</f>
        <v>1462.5</v>
      </c>
      <c r="G7214" s="27" t="n">
        <f aca="false">Sens!F7214</f>
        <v>1462.5</v>
      </c>
      <c r="H7214" s="27" t="n">
        <f aca="false">Sens!G7214</f>
        <v>1462.5</v>
      </c>
      <c r="I7214" s="27" t="n">
        <f aca="false">Sens!H7214</f>
        <v>1462.5</v>
      </c>
      <c r="J7214" s="27" t="n">
        <f aca="false">Sens!I7214</f>
        <v>1462.5</v>
      </c>
      <c r="K7214" s="27" t="n">
        <f aca="false">Sens!J7214</f>
        <v>1462.5</v>
      </c>
    </row>
    <row r="7215" customFormat="false" ht="17.15" hidden="false" customHeight="false" outlineLevel="0" collapsed="false">
      <c r="A7215" s="1" t="s">
        <v>731</v>
      </c>
      <c r="B7215" s="0" t="s">
        <v>340</v>
      </c>
      <c r="C7215" s="27" t="n">
        <f aca="false">mix_g3*Sens!C7206</f>
        <v>224</v>
      </c>
      <c r="D7215" s="27" t="n">
        <f aca="false">mix_g3*Sens!D7206</f>
        <v>570.5</v>
      </c>
      <c r="E7215" s="27" t="n">
        <f aca="false">mix_g3*Sens!E7206</f>
        <v>1137.5</v>
      </c>
      <c r="F7215" s="27" t="n">
        <f aca="false">Sens!E7215+Sens!F7212*a_g3_27</f>
        <v>2906.54</v>
      </c>
      <c r="G7215" s="27" t="n">
        <f aca="false">Sens!F7215+Sens!G7212*a_g3_28</f>
        <v>3664.7</v>
      </c>
      <c r="H7215" s="27" t="n">
        <f aca="false">Sens!G7215+Sens!H7212*a_g3_29</f>
        <v>3917.42</v>
      </c>
      <c r="I7215" s="27" t="n">
        <f aca="false">Sens!H7215+Sens!I7212*a_g3_29</f>
        <v>4170.14</v>
      </c>
      <c r="J7215" s="27" t="n">
        <f aca="false">Sens!I7215+Sens!J7212*a_g3_29</f>
        <v>4422.86</v>
      </c>
      <c r="K7215" s="27" t="n">
        <f aca="false">Sens!J7215+Sens!K7212*a_g3_29</f>
        <v>4675.58</v>
      </c>
    </row>
    <row r="7216" customFormat="false" ht="17.15" hidden="false" customHeight="false" outlineLevel="0" collapsed="false">
      <c r="A7216" s="1" t="s">
        <v>732</v>
      </c>
      <c r="B7216" s="0" t="s">
        <v>340</v>
      </c>
      <c r="C7216" s="27" t="n">
        <f aca="false">0</f>
        <v>0</v>
      </c>
      <c r="D7216" s="27" t="n">
        <f aca="false">0</f>
        <v>0</v>
      </c>
      <c r="E7216" s="27" t="n">
        <f aca="false">0</f>
        <v>0</v>
      </c>
      <c r="F7216" s="27" t="n">
        <f aca="false">Sens!E7216+Sens!F7212*(1-a_g3_27)</f>
        <v>758.16</v>
      </c>
      <c r="G7216" s="27" t="n">
        <f aca="false">Sens!F7216+Sens!G7212*(1-a_g3_28)</f>
        <v>2527.2</v>
      </c>
      <c r="H7216" s="27" t="n">
        <f aca="false">Sens!G7216+Sens!H7212*(1-a_g3_29)</f>
        <v>4801.68</v>
      </c>
      <c r="I7216" s="27" t="n">
        <f aca="false">Sens!H7216+Sens!I7212*(1-a_g3_29)</f>
        <v>7076.16</v>
      </c>
      <c r="J7216" s="27" t="n">
        <f aca="false">Sens!I7216+Sens!J7212*(1-a_g3_29)</f>
        <v>9350.64</v>
      </c>
      <c r="K7216" s="27" t="n">
        <f aca="false">Sens!J7216+Sens!K7212*(1-a_g3_29)</f>
        <v>11625.12</v>
      </c>
    </row>
    <row r="7217" customFormat="false" ht="17.15" hidden="false" customHeight="false" outlineLevel="0" collapsed="false">
      <c r="A7217" s="1" t="s">
        <v>733</v>
      </c>
      <c r="B7217" s="0" t="s">
        <v>291</v>
      </c>
      <c r="C7217" s="18" t="n">
        <f aca="false">(Sens!C7213*tk_hold_h100+Sens!C7214*tk_hold_gb200+Sens!C7215*tk_hold_gb300+Sens!C7216*tk_hold_vr200)/Sens!C7206</f>
        <v>9.7235358126469</v>
      </c>
      <c r="D7217" s="18" t="n">
        <f aca="false">(Sens!D7213*tk_hold_h100+Sens!D7214*tk_hold_gb200+Sens!D7215*tk_hold_gb300+Sens!D7216*tk_hold_vr200)/Sens!D7206</f>
        <v>9.7235358126469</v>
      </c>
      <c r="E7217" s="18" t="n">
        <f aca="false">(Sens!E7213*tk_hold_h100+Sens!E7214*tk_hold_gb200+Sens!E7215*tk_hold_gb300+Sens!E7216*tk_hold_vr200)/Sens!E7206</f>
        <v>9.7235358126469</v>
      </c>
      <c r="F7217" s="18" t="n">
        <f aca="false">(Sens!F7213*tk_hold_h100+Sens!F7214*tk_hold_gb200+Sens!F7215*tk_hold_gb300+Sens!F7216*tk_hold_vr200)/Sens!F7206</f>
        <v>10.4079573161931</v>
      </c>
      <c r="G7217" s="18" t="n">
        <f aca="false">(Sens!G7213*tk_hold_h100+Sens!G7214*tk_hold_gb200+Sens!G7215*tk_hold_gb300+Sens!G7216*tk_hold_vr200)/Sens!G7206</f>
        <v>10.8388131109316</v>
      </c>
      <c r="H7217" s="18" t="n">
        <f aca="false">(Sens!H7213*tk_hold_h100+Sens!H7214*tk_hold_gb200+Sens!H7215*tk_hold_gb300+Sens!H7216*tk_hold_vr200)/Sens!H7206</f>
        <v>11.1311018388216</v>
      </c>
      <c r="I7217" s="18" t="n">
        <f aca="false">(Sens!I7213*tk_hold_h100+Sens!I7214*tk_hold_gb200+Sens!I7215*tk_hold_gb300+Sens!I7216*tk_hold_vr200)/Sens!I7206</f>
        <v>11.3128009818501</v>
      </c>
      <c r="J7217" s="18" t="n">
        <f aca="false">(Sens!J7213*tk_hold_h100+Sens!J7214*tk_hold_gb200+Sens!J7215*tk_hold_gb300+Sens!J7216*tk_hold_vr200)/Sens!J7206</f>
        <v>11.4366894646418</v>
      </c>
      <c r="K7217" s="18" t="n">
        <f aca="false">(Sens!K7213*tk_hold_h100+Sens!K7214*tk_hold_gb200+Sens!K7215*tk_hold_gb300+Sens!K7216*tk_hold_vr200)/Sens!K7206</f>
        <v>11.526570716348</v>
      </c>
    </row>
    <row r="7218" customFormat="false" ht="17.15" hidden="false" customHeight="false" outlineLevel="0" collapsed="false">
      <c r="A7218" s="0" t="s">
        <v>734</v>
      </c>
      <c r="B7218" s="0" t="s">
        <v>182</v>
      </c>
      <c r="C7218" s="18" t="n">
        <f aca="false">k_B</f>
        <v>1.17213932619116</v>
      </c>
      <c r="D7218" s="18" t="n">
        <f aca="false">k_B</f>
        <v>1.17213932619116</v>
      </c>
      <c r="E7218" s="18" t="n">
        <f aca="false">k_B</f>
        <v>1.17213932619116</v>
      </c>
      <c r="F7218" s="18" t="n">
        <f aca="false">(k_B+((ls_C*k_long+(1-ls_C)*k_spot)-k_B)*MIN(1,1/3))*1</f>
        <v>1.07843258004497</v>
      </c>
      <c r="G7218" s="18" t="n">
        <f aca="false">(k_B+((ls_C*k_long+(1-ls_C)*k_spot)-k_B)*MIN(1,2/3))*1</f>
        <v>0.984725833898784</v>
      </c>
      <c r="H7218" s="18" t="n">
        <f aca="false">(k_B+((ls_C*k_long+(1-ls_C)*k_spot)-k_B)*MIN(1,3/3))*1</f>
        <v>0.891019087752599</v>
      </c>
      <c r="I7218" s="18" t="n">
        <f aca="false">(k_B+((ls_C*k_long+(1-ls_C)*k_spot)-k_B)*MIN(1,4/3))*1</f>
        <v>0.891019087752599</v>
      </c>
      <c r="J7218" s="18" t="n">
        <f aca="false">(k_B+((ls_C*k_long+(1-ls_C)*k_spot)-k_B)*MIN(1,5/3))*1</f>
        <v>0.891019087752599</v>
      </c>
      <c r="K7218" s="18" t="n">
        <f aca="false">(k_B+((ls_C*k_long+(1-ls_C)*k_spot)-k_B)*MIN(1,6/3))*1</f>
        <v>0.891019087752599</v>
      </c>
      <c r="L7218" s="1" t="s">
        <v>735</v>
      </c>
    </row>
    <row r="7219" customFormat="false" ht="17.15" hidden="false" customHeight="false" outlineLevel="0" collapsed="false">
      <c r="A7219" s="1" t="s">
        <v>736</v>
      </c>
      <c r="B7219" s="0" t="s">
        <v>291</v>
      </c>
      <c r="C7219" s="18" t="n">
        <f aca="false">Sens!C7217*Sens!C7218*chip_f</f>
        <v>11.3973387156315</v>
      </c>
      <c r="D7219" s="18" t="n">
        <f aca="false">Sens!D7217*Sens!D7218*chip_f</f>
        <v>11.3973387156315</v>
      </c>
      <c r="E7219" s="18" t="n">
        <f aca="false">Sens!E7217*Sens!E7218*chip_f</f>
        <v>11.3973387156315</v>
      </c>
      <c r="F7219" s="18" t="n">
        <f aca="false">Sens!F7217*Sens!F7218*chip_f</f>
        <v>11.2242802615</v>
      </c>
      <c r="G7219" s="18" t="n">
        <f aca="false">Sens!G7217*Sens!G7218*chip_f</f>
        <v>10.6732592791352</v>
      </c>
      <c r="H7219" s="18" t="n">
        <f aca="false">Sens!H7217*Sens!H7218*chip_f</f>
        <v>9.91802420610807</v>
      </c>
      <c r="I7219" s="18" t="n">
        <f aca="false">Sens!I7217*Sens!I7218*chip_f</f>
        <v>10.0799216107748</v>
      </c>
      <c r="J7219" s="18" t="n">
        <f aca="false">Sens!J7217*Sens!J7218*chip_f</f>
        <v>10.1903086136949</v>
      </c>
      <c r="K7219" s="18" t="n">
        <f aca="false">Sens!K7217*Sens!K7218*chip_f</f>
        <v>10.2703945245962</v>
      </c>
      <c r="L7219" s="1" t="s">
        <v>737</v>
      </c>
    </row>
    <row r="7220" customFormat="false" ht="17.15" hidden="false" customHeight="false" outlineLevel="0" collapsed="false">
      <c r="A7220" s="0" t="s">
        <v>738</v>
      </c>
      <c r="B7220" s="0" t="s">
        <v>95</v>
      </c>
      <c r="D7220" s="6" t="n">
        <f aca="false">(Sens!C7206+Sens!D7206)/2*Sens!D7219/1000</f>
        <v>12.9359794422418</v>
      </c>
      <c r="E7220" s="6" t="n">
        <f aca="false">(Sens!D7206+Sens!E7206)/2*Sens!E7219/1000</f>
        <v>27.8095064661409</v>
      </c>
      <c r="F7220" s="6" t="n">
        <f aca="false">(Sens!E7206+Sens!F7206)/2*Sens!F7219/1000</f>
        <v>50.6619113883066</v>
      </c>
      <c r="G7220" s="6" t="n">
        <f aca="false">(Sens!F7206+Sens!G7206)/2*Sens!G7219/1000</f>
        <v>75.1482839325348</v>
      </c>
      <c r="H7220" s="6" t="n">
        <f aca="false">(Sens!G7206+Sens!H7206)/2*Sens!H7219/1000</f>
        <v>94.895655604042</v>
      </c>
      <c r="I7220" s="6" t="n">
        <f aca="false">(Sens!H7206+Sens!I7206)/2*Sens!I7219/1000</f>
        <v>121.918667866643</v>
      </c>
      <c r="J7220" s="6" t="n">
        <f aca="false">(Sens!I7206+Sens!J7206)/2*Sens!J7219/1000</f>
        <v>149.006768672892</v>
      </c>
      <c r="K7220" s="6" t="n">
        <f aca="false">(Sens!J7206+Sens!K7206)/2*Sens!K7219/1000</f>
        <v>176.133157939015</v>
      </c>
      <c r="L7220" s="11" t="s">
        <v>739</v>
      </c>
    </row>
    <row r="7221" customFormat="false" ht="17.15" hidden="false" customHeight="false" outlineLevel="0" collapsed="false">
      <c r="A7221" s="1" t="s">
        <v>740</v>
      </c>
      <c r="B7221" s="0" t="s">
        <v>291</v>
      </c>
      <c r="C7221" s="18" t="n">
        <f aca="false">(Sens!C7213*tk_opex_h100+Sens!C7214*tk_opex_gb200+Sens!C7215*tk_opex_gb300+Sens!C7216*tk_opex_vr200)/Sens!C7206</f>
        <v>1.88636041306092</v>
      </c>
      <c r="D7221" s="18" t="n">
        <f aca="false">(Sens!D7213*tk_opex_h100+Sens!D7214*tk_opex_gb200+Sens!D7215*tk_opex_gb300+Sens!D7216*tk_opex_vr200)/Sens!D7206</f>
        <v>1.88636041306092</v>
      </c>
      <c r="E7221" s="18" t="n">
        <f aca="false">(Sens!E7213*tk_opex_h100+Sens!E7214*tk_opex_gb200+Sens!E7215*tk_opex_gb300+Sens!E7216*tk_opex_vr200)/Sens!E7206</f>
        <v>1.88636041306092</v>
      </c>
      <c r="F7221" s="18" t="n">
        <f aca="false">(Sens!F7213*tk_opex_h100+Sens!F7214*tk_opex_gb200+Sens!F7215*tk_opex_gb300+Sens!F7216*tk_opex_vr200)/Sens!F7206</f>
        <v>1.9430236476499</v>
      </c>
      <c r="G7221" s="18" t="n">
        <f aca="false">(Sens!G7213*tk_opex_h100+Sens!G7214*tk_opex_gb200+Sens!G7215*tk_opex_gb300+Sens!G7216*tk_opex_vr200)/Sens!G7206</f>
        <v>1.9786941852423</v>
      </c>
      <c r="H7221" s="18" t="n">
        <f aca="false">(Sens!H7213*tk_opex_h100+Sens!H7214*tk_opex_gb200+Sens!H7215*tk_opex_gb300+Sens!H7216*tk_opex_vr200)/Sens!H7206</f>
        <v>2.00289275976156</v>
      </c>
      <c r="I7221" s="18" t="n">
        <f aca="false">(Sens!I7213*tk_opex_h100+Sens!I7214*tk_opex_gb200+Sens!I7215*tk_opex_gb300+Sens!I7216*tk_opex_vr200)/Sens!I7206</f>
        <v>2.01793562605478</v>
      </c>
      <c r="J7221" s="18" t="n">
        <f aca="false">(Sens!J7213*tk_opex_h100+Sens!J7214*tk_opex_gb200+Sens!J7215*tk_opex_gb300+Sens!J7216*tk_opex_vr200)/Sens!J7206</f>
        <v>2.02819234961902</v>
      </c>
      <c r="K7221" s="18" t="n">
        <f aca="false">(Sens!K7213*tk_opex_h100+Sens!K7214*tk_opex_gb200+Sens!K7215*tk_opex_gb300+Sens!K7216*tk_opex_vr200)/Sens!K7206</f>
        <v>2.0356336155994</v>
      </c>
    </row>
    <row r="7222" customFormat="false" ht="17.15" hidden="false" customHeight="false" outlineLevel="0" collapsed="false">
      <c r="A7222" s="0" t="s">
        <v>741</v>
      </c>
      <c r="B7222" s="0" t="s">
        <v>95</v>
      </c>
      <c r="D7222" s="6" t="n">
        <f aca="false">(Sens!C7209+Sens!D7209)/2*Sens!D7221/1000</f>
        <v>2.70378325872065</v>
      </c>
      <c r="E7222" s="6" t="n">
        <f aca="false">(Sens!D7209+Sens!E7209)/2*Sens!E7221/1000</f>
        <v>6.17783035277451</v>
      </c>
      <c r="F7222" s="6" t="n">
        <f aca="false">(Sens!E7209+Sens!F7209)/2*Sens!F7221/1000</f>
        <v>12.5020618235287</v>
      </c>
      <c r="G7222" s="6" t="n">
        <f aca="false">(Sens!F7209+Sens!G7209)/2*Sens!G7221/1000</f>
        <v>20.7261620256847</v>
      </c>
      <c r="H7222" s="6" t="n">
        <f aca="false">(Sens!G7209+Sens!H7209)/2*Sens!H7221/1000</f>
        <v>29.4158183316982</v>
      </c>
      <c r="I7222" s="6" t="n">
        <f aca="false">(Sens!H7209+Sens!I7209)/2*Sens!I7221/1000</f>
        <v>38.1362927516005</v>
      </c>
      <c r="J7222" s="6" t="n">
        <f aca="false">(Sens!I7209+Sens!J7209)/2*Sens!J7221/1000</f>
        <v>46.8728773279286</v>
      </c>
      <c r="K7222" s="6" t="n">
        <f aca="false">(Sens!J7209+Sens!K7209)/2*Sens!K7221/1000</f>
        <v>55.618938734484</v>
      </c>
    </row>
    <row r="7223" customFormat="false" ht="17.15" hidden="false" customHeight="false" outlineLevel="0" collapsed="false">
      <c r="A7223" s="0" t="s">
        <v>742</v>
      </c>
      <c r="B7223" s="0" t="s">
        <v>95</v>
      </c>
      <c r="D7223" s="6" t="n">
        <f aca="false">(Sens!C7207+Sens!D7207)/2*rent_mw/1000</f>
        <v>2.44475</v>
      </c>
      <c r="E7223" s="6" t="n">
        <f aca="false">(Sens!D7207+Sens!E7207)/2*rent_mw/1000</f>
        <v>4.22275</v>
      </c>
      <c r="F7223" s="6" t="n">
        <f aca="false">(Sens!E7207+Sens!F7207)/2*rent_mw/1000</f>
        <v>5.80517</v>
      </c>
      <c r="G7223" s="6" t="n">
        <f aca="false">(Sens!F7207+Sens!G7207)/2*rent_mw/1000</f>
        <v>6.72084</v>
      </c>
      <c r="H7223" s="6" t="n">
        <f aca="false">(Sens!G7207+Sens!H7207)/2*rent_mw/1000</f>
        <v>6.72084</v>
      </c>
      <c r="I7223" s="6" t="n">
        <f aca="false">(Sens!H7207+Sens!I7207)/2*rent_mw/1000</f>
        <v>6.72084</v>
      </c>
      <c r="J7223" s="6" t="n">
        <f aca="false">(Sens!I7207+Sens!J7207)/2*rent_mw/1000</f>
        <v>6.72084</v>
      </c>
      <c r="K7223" s="6" t="n">
        <f aca="false">(Sens!J7207+Sens!K7207)/2*rent_mw/1000</f>
        <v>6.72084</v>
      </c>
    </row>
    <row r="7224" customFormat="false" ht="17.15" hidden="false" customHeight="false" outlineLevel="0" collapsed="false">
      <c r="A7224" s="0" t="s">
        <v>743</v>
      </c>
      <c r="B7224" s="0" t="s">
        <v>95</v>
      </c>
      <c r="D7224" s="6" t="n">
        <f aca="false">(Sens!C7209+Sens!D7209)/2*(1-self_build)*fac_rent/1000</f>
        <v>0.853242375631075</v>
      </c>
      <c r="E7224" s="6" t="n">
        <f aca="false">(Sens!D7209+Sens!E7209)/2*(1-self_build)*fac_rent/1000</f>
        <v>1.94955961408728</v>
      </c>
      <c r="F7224" s="6" t="n">
        <f aca="false">(Sens!E7209+Sens!F7209)/2*(1-self_build)*fac_rent/1000</f>
        <v>3.83026455274573</v>
      </c>
      <c r="G7224" s="6" t="n">
        <f aca="false">(Sens!F7209+Sens!G7209)/2*(1-self_build)*fac_rent/1000</f>
        <v>6.23541590972812</v>
      </c>
      <c r="H7224" s="6" t="n">
        <f aca="false">(Sens!G7209+Sens!H7209)/2*(1-self_build)*fac_rent/1000</f>
        <v>8.74275792332679</v>
      </c>
      <c r="I7224" s="6" t="n">
        <f aca="false">(Sens!H7209+Sens!I7209)/2*(1-self_build)*fac_rent/1000</f>
        <v>11.2500999369255</v>
      </c>
      <c r="J7224" s="6" t="n">
        <f aca="false">(Sens!I7209+Sens!J7209)/2*(1-self_build)*fac_rent/1000</f>
        <v>13.7574419505241</v>
      </c>
      <c r="K7224" s="6" t="n">
        <f aca="false">(Sens!J7209+Sens!K7209)/2*(1-self_build)*fac_rent/1000</f>
        <v>16.2647839641228</v>
      </c>
      <c r="L7224" s="11" t="s">
        <v>744</v>
      </c>
    </row>
    <row r="7225" customFormat="false" ht="17.15" hidden="false" customHeight="false" outlineLevel="0" collapsed="false">
      <c r="A7225" s="1" t="s">
        <v>745</v>
      </c>
      <c r="B7225" s="0" t="s">
        <v>126</v>
      </c>
      <c r="D7225" s="7" t="n">
        <f aca="false">(Sens!C7208+Sens!D7208)/(Sens!C7209+Sens!D7209)</f>
        <v>0.6</v>
      </c>
      <c r="E7225" s="7" t="n">
        <f aca="false">(Sens!D7208+Sens!E7208)/(Sens!D7209+Sens!E7209)</f>
        <v>0.6</v>
      </c>
      <c r="F7225" s="7" t="n">
        <f aca="false">(Sens!E7208+Sens!F7208)/(Sens!E7209+Sens!F7209)</f>
        <v>0.6</v>
      </c>
      <c r="G7225" s="7" t="n">
        <f aca="false">(Sens!F7208+Sens!G7208)/(Sens!F7209+Sens!G7209)</f>
        <v>0.6</v>
      </c>
      <c r="H7225" s="7" t="n">
        <f aca="false">(Sens!G7208+Sens!H7208)/(Sens!G7209+Sens!H7209)</f>
        <v>0.6</v>
      </c>
      <c r="I7225" s="7" t="n">
        <f aca="false">(Sens!H7208+Sens!I7208)/(Sens!H7209+Sens!I7209)</f>
        <v>0.6</v>
      </c>
      <c r="J7225" s="7" t="n">
        <f aca="false">(Sens!I7208+Sens!J7208)/(Sens!I7209+Sens!J7209)</f>
        <v>0.6</v>
      </c>
      <c r="K7225" s="7" t="n">
        <f aca="false">(Sens!J7208+Sens!K7208)/(Sens!J7209+Sens!K7209)</f>
        <v>0.6</v>
      </c>
    </row>
    <row r="7226" customFormat="false" ht="17.15" hidden="false" customHeight="false" outlineLevel="0" collapsed="false">
      <c r="A7226" s="0" t="s">
        <v>746</v>
      </c>
      <c r="B7226" s="0" t="s">
        <v>95</v>
      </c>
      <c r="D7226" s="6" t="n">
        <f aca="false">Sens!D7220-Sens!D7225*(Sens!D7222+Sens!D7224)-Sens!D7223</f>
        <v>8.35701406163072</v>
      </c>
      <c r="E7226" s="6" t="n">
        <f aca="false">Sens!E7220-Sens!E7225*(Sens!E7222+Sens!E7224)-Sens!E7223</f>
        <v>18.7103224860238</v>
      </c>
      <c r="F7226" s="6" t="n">
        <f aca="false">Sens!F7220-Sens!F7225*(Sens!F7222+Sens!F7224)-Sens!F7223</f>
        <v>35.0573455625419</v>
      </c>
      <c r="G7226" s="6" t="n">
        <f aca="false">Sens!G7220-Sens!G7225*(Sens!G7222+Sens!G7224)-Sens!G7223</f>
        <v>52.2504971712871</v>
      </c>
      <c r="H7226" s="6" t="n">
        <f aca="false">Sens!H7220-Sens!H7225*(Sens!H7222+Sens!H7224)-Sens!H7223</f>
        <v>65.2796698510271</v>
      </c>
      <c r="I7226" s="6" t="n">
        <f aca="false">Sens!I7220-Sens!I7225*(Sens!I7222+Sens!I7224)-Sens!I7223</f>
        <v>85.5659922535278</v>
      </c>
      <c r="J7226" s="6" t="n">
        <f aca="false">Sens!J7220-Sens!J7225*(Sens!J7222+Sens!J7224)-Sens!J7223</f>
        <v>105.90773710582</v>
      </c>
      <c r="K7226" s="6" t="n">
        <f aca="false">Sens!K7220-Sens!K7225*(Sens!K7222+Sens!K7224)-Sens!K7223</f>
        <v>126.282084319851</v>
      </c>
    </row>
    <row r="7227" customFormat="false" ht="17.15" hidden="false" customHeight="false" outlineLevel="0" collapsed="false">
      <c r="A7227" s="1" t="s">
        <v>747</v>
      </c>
      <c r="B7227" s="0" t="s">
        <v>95</v>
      </c>
      <c r="D7227" s="6" t="n">
        <f aca="false">(1-Sens!D7225)*(Sens!D7222+Sens!D7224)</f>
        <v>1.42281025374069</v>
      </c>
      <c r="E7227" s="6" t="n">
        <f aca="false">(1-Sens!E7225)*(Sens!E7222+Sens!E7224)</f>
        <v>3.25095598674472</v>
      </c>
      <c r="F7227" s="6" t="n">
        <f aca="false">(1-Sens!F7225)*(Sens!F7222+Sens!F7224)</f>
        <v>6.53293055050977</v>
      </c>
      <c r="G7227" s="6" t="n">
        <f aca="false">(1-Sens!G7225)*(Sens!G7222+Sens!G7224)</f>
        <v>10.7846311741651</v>
      </c>
      <c r="H7227" s="6" t="n">
        <f aca="false">(1-Sens!H7225)*(Sens!H7222+Sens!H7224)</f>
        <v>15.26343050201</v>
      </c>
      <c r="I7227" s="6" t="n">
        <f aca="false">(1-Sens!I7225)*(Sens!I7222+Sens!I7224)</f>
        <v>19.7545570754104</v>
      </c>
      <c r="J7227" s="6" t="n">
        <f aca="false">(1-Sens!J7225)*(Sens!J7222+Sens!J7224)</f>
        <v>24.2521277113811</v>
      </c>
      <c r="K7227" s="6" t="n">
        <f aca="false">(1-Sens!K7225)*(Sens!K7222+Sens!K7224)</f>
        <v>28.7534890794427</v>
      </c>
    </row>
    <row r="7228" customFormat="false" ht="17.15" hidden="false" customHeight="false" outlineLevel="0" collapsed="false">
      <c r="A7228" s="1" t="s">
        <v>748</v>
      </c>
      <c r="B7228" s="0" t="s">
        <v>302</v>
      </c>
      <c r="C7228" s="8" t="n">
        <f aca="false">cxit_open</f>
        <v>27.5918995</v>
      </c>
      <c r="D7228" s="8" t="n">
        <f aca="false">cxit_open</f>
        <v>27.5918995</v>
      </c>
      <c r="E7228" s="8" t="n">
        <f aca="false">cxit_open</f>
        <v>27.5918995</v>
      </c>
      <c r="F7228" s="8" t="n">
        <f aca="false">(a_g3_27*tk_cxit_gb300+(1-a_g3_27)*tk_cxit_vr200)</f>
        <v>33.8419624</v>
      </c>
      <c r="G7228" s="8" t="n">
        <f aca="false">(a_g3_28*tk_cxit_gb300+(1-a_g3_28)*tk_cxit_vr200)</f>
        <v>35.9816136</v>
      </c>
      <c r="H7228" s="8" t="n">
        <f aca="false">(a_g3_29*tk_cxit_gb300+(1-a_g3_29)*tk_cxit_vr200)</f>
        <v>37.0514392</v>
      </c>
      <c r="I7228" s="8" t="n">
        <f aca="false">(a_g3_29*tk_cxit_gb300+(1-a_g3_29)*tk_cxit_vr200)</f>
        <v>37.0514392</v>
      </c>
      <c r="J7228" s="8" t="n">
        <f aca="false">(a_g3_29*tk_cxit_gb300+(1-a_g3_29)*tk_cxit_vr200)</f>
        <v>37.0514392</v>
      </c>
      <c r="K7228" s="8" t="n">
        <f aca="false">(a_g3_29*tk_cxit_gb300+(1-a_g3_29)*tk_cxit_vr200)</f>
        <v>37.0514392</v>
      </c>
      <c r="L7228" s="11" t="s">
        <v>749</v>
      </c>
    </row>
    <row r="7229" customFormat="false" ht="17.15" hidden="false" customHeight="false" outlineLevel="0" collapsed="false">
      <c r="A7229" s="0" t="s">
        <v>750</v>
      </c>
      <c r="B7229" s="0" t="s">
        <v>340</v>
      </c>
      <c r="F7229" s="27" t="n">
        <f aca="false">Sens!C7211*IF(3=life_it,1,0)+Sens!D7211*IF(2=life_it,1,0)+Sens!E7211*IF(1=life_it,1,0)</f>
        <v>0</v>
      </c>
      <c r="G7229" s="27" t="n">
        <f aca="false">Sens!C7211*IF(4=life_it,1,0)+Sens!D7211*IF(3=life_it,1,0)+Sens!E7211*IF(2=life_it,1,0)+Sens!F7211*IF(1=life_it,1,0)</f>
        <v>0</v>
      </c>
      <c r="H7229" s="27" t="n">
        <f aca="false">Sens!C7211*IF(5=life_it,1,0)+Sens!D7211*IF(4=life_it,1,0)+Sens!E7211*IF(3=life_it,1,0)+Sens!F7211*IF(2=life_it,1,0)+Sens!G7211*IF(1=life_it,1,0)</f>
        <v>0</v>
      </c>
      <c r="I7229" s="27" t="n">
        <f aca="false">Sens!C7211*IF(6=life_it,1,0)+Sens!D7211*IF(5=life_it,1,0)+Sens!E7211*IF(4=life_it,1,0)+Sens!F7211*IF(3=life_it,1,0)+Sens!G7211*IF(2=life_it,1,0)+Sens!H7211*IF(1=life_it,1,0)</f>
        <v>816.666666666667</v>
      </c>
      <c r="J7229" s="27" t="n">
        <f aca="false">Sens!C7211*IF(7=life_it,1,0)+Sens!D7211*IF(6=life_it,1,0)+Sens!E7211*IF(5=life_it,1,0)+Sens!F7211*IF(4=life_it,1,0)+Sens!G7211*IF(3=life_it,1,0)+Sens!H7211*IF(2=life_it,1,0)+Sens!I7211*IF(1=life_it,1,0)</f>
        <v>1233.33333333333</v>
      </c>
      <c r="K7229" s="27" t="n">
        <f aca="false">Sens!C7211*IF(8=life_it,1,0)+Sens!D7211*IF(7=life_it,1,0)+Sens!E7211*IF(6=life_it,1,0)+Sens!F7211*IF(5=life_it,1,0)+Sens!G7211*IF(4=life_it,1,0)+Sens!H7211*IF(3=life_it,1,0)+Sens!I7211*IF(2=life_it,1,0)+Sens!J7211*IF(1=life_it,1,0)</f>
        <v>2450</v>
      </c>
      <c r="L7229" s="1" t="s">
        <v>751</v>
      </c>
    </row>
    <row r="7230" customFormat="false" ht="17.15" hidden="false" customHeight="false" outlineLevel="0" collapsed="false">
      <c r="A7230" s="0" t="s">
        <v>752</v>
      </c>
      <c r="B7230" s="0" t="s">
        <v>95</v>
      </c>
      <c r="C7230" s="6" t="n">
        <f aca="false">Sens!C7211*Sens!C7228/1000</f>
        <v>22.5333845916667</v>
      </c>
      <c r="D7230" s="6" t="n">
        <f aca="false">Sens!D7211*Sens!D7228/1000</f>
        <v>34.0300093833333</v>
      </c>
      <c r="E7230" s="6" t="n">
        <f aca="false">Sens!E7211*Sens!E7228/1000</f>
        <v>67.600153775</v>
      </c>
      <c r="F7230" s="6" t="n">
        <f aca="false">(Sens!F7211+Sens!F7229)*Sens!F7228/1000</f>
        <v>130.923271871467</v>
      </c>
      <c r="G7230" s="6" t="n">
        <f aca="false">(Sens!G7211+Sens!G7229)*Sens!G7228/1000</f>
        <v>151.5545564832</v>
      </c>
      <c r="H7230" s="6" t="n">
        <f aca="false">(Sens!H7211+Sens!H7229)*Sens!H7228/1000</f>
        <v>156.0606619104</v>
      </c>
      <c r="I7230" s="6" t="n">
        <f aca="false">(Sens!I7211+Sens!I7229)*Sens!I7228/1000</f>
        <v>186.319337257067</v>
      </c>
      <c r="J7230" s="6" t="n">
        <f aca="false">(Sens!J7211+Sens!J7229)*Sens!J7228/1000</f>
        <v>201.757436923733</v>
      </c>
      <c r="K7230" s="6" t="n">
        <f aca="false">(Sens!K7211+Sens!K7229)*Sens!K7228/1000</f>
        <v>246.8366879504</v>
      </c>
    </row>
    <row r="7231" customFormat="false" ht="17.15" hidden="false" customHeight="false" outlineLevel="0" collapsed="false">
      <c r="A7231" s="0" t="s">
        <v>753</v>
      </c>
      <c r="B7231" s="0" t="s">
        <v>95</v>
      </c>
      <c r="C7231" s="6" t="n">
        <f aca="false">Sens!C7211*self_build*tk_cxfac/1000</f>
        <v>6.2083</v>
      </c>
      <c r="D7231" s="6" t="n">
        <f aca="false">Sens!D7211*self_build*tk_cxfac/1000</f>
        <v>9.3758</v>
      </c>
      <c r="E7231" s="6" t="n">
        <f aca="false">Sens!E7211*self_build*tk_cxfac/1000</f>
        <v>18.6249</v>
      </c>
      <c r="F7231" s="6" t="n">
        <f aca="false">Sens!F7211*self_build*tk_cxfac/1000</f>
        <v>29.409604</v>
      </c>
      <c r="G7231" s="6" t="n">
        <f aca="false">Sens!G7211*self_build*tk_cxfac/1000</f>
        <v>32.019624</v>
      </c>
      <c r="H7231" s="6" t="n">
        <f aca="false">Sens!H7211*self_build*tk_cxfac/1000</f>
        <v>32.019624</v>
      </c>
      <c r="I7231" s="6" t="n">
        <f aca="false">Sens!I7211*self_build*tk_cxfac/1000</f>
        <v>32.019624</v>
      </c>
      <c r="J7231" s="6" t="n">
        <f aca="false">Sens!J7211*self_build*tk_cxfac/1000</f>
        <v>32.019624</v>
      </c>
      <c r="K7231" s="6" t="n">
        <f aca="false">Sens!K7211*self_build*tk_cxfac/1000</f>
        <v>32.019624</v>
      </c>
    </row>
    <row r="7232" customFormat="false" ht="17.15" hidden="false" customHeight="false" outlineLevel="0" collapsed="false">
      <c r="A7232" s="0" t="s">
        <v>754</v>
      </c>
      <c r="B7232" s="0" t="s">
        <v>95</v>
      </c>
      <c r="F7232" s="6" t="n">
        <f aca="false">MAX(0,capex_floor27-Sens!F7230-Sens!F7231-Sens!F7319)</f>
        <v>8.33893890759241</v>
      </c>
      <c r="G7232" s="6" t="n">
        <f aca="false">0</f>
        <v>0</v>
      </c>
      <c r="H7232" s="6" t="n">
        <f aca="false">0</f>
        <v>0</v>
      </c>
      <c r="I7232" s="6" t="n">
        <f aca="false">0</f>
        <v>0</v>
      </c>
      <c r="J7232" s="6" t="n">
        <f aca="false">0</f>
        <v>0</v>
      </c>
      <c r="K7232" s="6" t="n">
        <f aca="false">0</f>
        <v>0</v>
      </c>
      <c r="L7232" s="1" t="s">
        <v>755</v>
      </c>
    </row>
    <row r="7233" customFormat="false" ht="17.15" hidden="false" customHeight="false" outlineLevel="0" collapsed="false">
      <c r="A7233" s="0" t="s">
        <v>756</v>
      </c>
      <c r="B7233" s="0" t="s">
        <v>95</v>
      </c>
      <c r="C7233" s="6" t="n">
        <f aca="false">Sens!C7230</f>
        <v>22.5333845916667</v>
      </c>
      <c r="D7233" s="6" t="n">
        <f aca="false">Sens!D7230</f>
        <v>34.0300093833333</v>
      </c>
      <c r="E7233" s="6" t="n">
        <f aca="false">Sens!E7230</f>
        <v>67.600153775</v>
      </c>
      <c r="F7233" s="6" t="n">
        <f aca="false">Sens!F7230+Sens!F7232</f>
        <v>139.262210779059</v>
      </c>
      <c r="G7233" s="6" t="n">
        <f aca="false">Sens!G7230+Sens!G7232</f>
        <v>151.5545564832</v>
      </c>
      <c r="H7233" s="6" t="n">
        <f aca="false">Sens!H7230+Sens!H7232</f>
        <v>156.0606619104</v>
      </c>
      <c r="I7233" s="6" t="n">
        <f aca="false">Sens!I7230+Sens!I7232</f>
        <v>186.319337257067</v>
      </c>
      <c r="J7233" s="6" t="n">
        <f aca="false">Sens!J7230+Sens!J7232</f>
        <v>201.757436923733</v>
      </c>
      <c r="K7233" s="6" t="n">
        <f aca="false">Sens!K7230+Sens!K7232</f>
        <v>246.8366879504</v>
      </c>
    </row>
    <row r="7234" customFormat="false" ht="17.15" hidden="false" customHeight="false" outlineLevel="0" collapsed="false">
      <c r="A7234" s="0" t="s">
        <v>757</v>
      </c>
      <c r="B7234" s="0" t="s">
        <v>95</v>
      </c>
      <c r="C7234" s="6" t="n">
        <f aca="false">Sens!C7233+Sens!C7231</f>
        <v>28.7416845916667</v>
      </c>
      <c r="D7234" s="6" t="n">
        <f aca="false">Sens!D7233+Sens!D7231</f>
        <v>43.4058093833333</v>
      </c>
      <c r="E7234" s="6" t="n">
        <f aca="false">Sens!E7233+Sens!E7231</f>
        <v>86.225053775</v>
      </c>
      <c r="F7234" s="6" t="n">
        <f aca="false">Sens!F7233+Sens!F7231</f>
        <v>168.671814779059</v>
      </c>
      <c r="G7234" s="6" t="n">
        <f aca="false">Sens!G7233+Sens!G7231</f>
        <v>183.5741804832</v>
      </c>
      <c r="H7234" s="6" t="n">
        <f aca="false">Sens!H7233+Sens!H7231</f>
        <v>188.0802859104</v>
      </c>
      <c r="I7234" s="6" t="n">
        <f aca="false">Sens!I7233+Sens!I7231</f>
        <v>218.338961257067</v>
      </c>
      <c r="J7234" s="6" t="n">
        <f aca="false">Sens!J7233+Sens!J7231</f>
        <v>233.777060923733</v>
      </c>
      <c r="K7234" s="6" t="n">
        <f aca="false">Sens!K7233+Sens!K7231</f>
        <v>278.8563119504</v>
      </c>
      <c r="L7234" s="11" t="s">
        <v>758</v>
      </c>
    </row>
    <row r="7235" customFormat="false" ht="17.15" hidden="false" customHeight="false" outlineLevel="0" collapsed="false">
      <c r="A7235" s="0" t="s">
        <v>759</v>
      </c>
      <c r="B7235" s="0" t="s">
        <v>95</v>
      </c>
      <c r="E7235" s="6" t="n">
        <f aca="false">(Sens!C7233*IF(2&lt;life_it,1,IF(2=life_it,0.5,0))+Sens!D7233*IF(1&lt;life_it,1,IF(1=life_it,0.5,0))+Sens!E7233*0.5)/life_it</f>
        <v>15.0605784770833</v>
      </c>
      <c r="F7235" s="6" t="n">
        <f aca="false">(Sens!C7233*IF(3&lt;life_it,1,IF(3=life_it,0.5,0))+Sens!D7233*IF(2&lt;life_it,1,IF(2=life_it,0.5,0))+Sens!E7233*IF(1&lt;life_it,1,IF(1=life_it,0.5,0))+Sens!F7233*0.5)/life_it</f>
        <v>32.2991088565883</v>
      </c>
      <c r="G7235" s="6" t="n">
        <f aca="false">(Sens!C7233*IF(4&lt;life_it,1,IF(4=life_it,0.5,0))+Sens!D7233*IF(3&lt;life_it,1,IF(3=life_it,0.5,0))+Sens!E7233*IF(2&lt;life_it,1,IF(2=life_it,0.5,0))+Sens!F7233*IF(1&lt;life_it,1,IF(1=life_it,0.5,0))+Sens!G7233*0.5)/life_it</f>
        <v>56.5338394617765</v>
      </c>
      <c r="H7235" s="6" t="n">
        <f aca="false">(Sens!C7233*IF(5&lt;life_it,1,IF(5=life_it,0.5,0))+Sens!D7233*IF(4&lt;life_it,1,IF(4=life_it,0.5,0))+Sens!E7233*IF(3&lt;life_it,1,IF(3=life_it,0.5,0))+Sens!F7233*IF(2&lt;life_it,1,IF(2=life_it,0.5,0))+Sens!G7233*IF(1&lt;life_it,1,IF(1=life_it,0.5,0))+Sens!H7233*0.5)/life_it</f>
        <v>82.1684409945765</v>
      </c>
      <c r="I7235" s="6" t="n">
        <f aca="false">(Sens!C7233*IF(6&lt;life_it,1,IF(6=life_it,0.5,0))+Sens!D7233*IF(5&lt;life_it,1,IF(5=life_it,0.5,0))+Sens!E7233*IF(4&lt;life_it,1,IF(4=life_it,0.5,0))+Sens!F7233*IF(3&lt;life_it,1,IF(3=life_it,0.5,0))+Sens!G7233*IF(2&lt;life_it,1,IF(2=life_it,0.5,0))+Sens!H7233*IF(1&lt;life_it,1,IF(1=life_it,0.5,0))+Sens!I7233*0.5)/life_it</f>
        <v>108.82232554256</v>
      </c>
      <c r="J7235" s="6" t="n">
        <f aca="false">(Sens!C7233*IF(7&lt;life_it,1,IF(7=life_it,0.5,0))+Sens!D7233*IF(6&lt;life_it,1,IF(6=life_it,0.5,0))+Sens!E7233*IF(5&lt;life_it,1,IF(5=life_it,0.5,0))+Sens!F7233*IF(4&lt;life_it,1,IF(4=life_it,0.5,0))+Sens!G7233*IF(3&lt;life_it,1,IF(3=life_it,0.5,0))+Sens!H7233*IF(2&lt;life_it,1,IF(2=life_it,0.5,0))+Sens!I7233*IF(1&lt;life_it,1,IF(1=life_it,0.5,0))+Sens!J7233*0.5)/life_it</f>
        <v>136.44844055971</v>
      </c>
      <c r="K7235" s="6" t="n">
        <f aca="false">(Sens!C7233*IF(8&lt;life_it,1,IF(8=life_it,0.5,0))+Sens!D7233*IF(7&lt;life_it,1,IF(7=life_it,0.5,0))+Sens!E7233*IF(6&lt;life_it,1,IF(6=life_it,0.5,0))+Sens!F7233*IF(5&lt;life_it,1,IF(5=life_it,0.5,0))+Sens!G7233*IF(4&lt;life_it,1,IF(4=life_it,0.5,0))+Sens!H7233*IF(3&lt;life_it,1,IF(3=life_it,0.5,0))+Sens!I7233*IF(2&lt;life_it,1,IF(2=life_it,0.5,0))+Sens!J7233*IF(1&lt;life_it,1,IF(1=life_it,0.5,0))+Sens!K7233*0.5)/life_it</f>
        <v>165.362104036027</v>
      </c>
    </row>
    <row r="7236" customFormat="false" ht="17.15" hidden="false" customHeight="false" outlineLevel="0" collapsed="false">
      <c r="A7236" s="0" t="s">
        <v>760</v>
      </c>
      <c r="B7236" s="0" t="s">
        <v>95</v>
      </c>
      <c r="E7236" s="6" t="n">
        <f aca="false">(Sens!C7231*IF(2&lt;life_fac,1,IF(2=life_fac,0.5,0))+Sens!D7231*IF(1&lt;life_fac,1,IF(1=life_fac,0.5,0))+Sens!E7231*0.5)/life_fac</f>
        <v>1.2448275</v>
      </c>
      <c r="F7236" s="6" t="n">
        <f aca="false">(Sens!C7231*IF(3&lt;life_fac,1,IF(3=life_fac,0.5,0))+Sens!D7231*IF(2&lt;life_fac,1,IF(2=life_fac,0.5,0))+Sens!E7231*IF(1&lt;life_fac,1,IF(1=life_fac,0.5,0))+Sens!F7231*0.5)/life_fac</f>
        <v>2.4456901</v>
      </c>
      <c r="G7236" s="6" t="n">
        <f aca="false">(Sens!C7231*IF(4&lt;life_fac,1,IF(4=life_fac,0.5,0))+Sens!D7231*IF(3&lt;life_fac,1,IF(3=life_fac,0.5,0))+Sens!E7231*IF(2&lt;life_fac,1,IF(2=life_fac,0.5,0))+Sens!F7231*IF(1&lt;life_fac,1,IF(1=life_fac,0.5,0))+Sens!G7231*0.5)/life_fac</f>
        <v>3.9814208</v>
      </c>
      <c r="H7236" s="6" t="n">
        <f aca="false">(Sens!C7231*IF(5&lt;life_fac,1,IF(5=life_fac,0.5,0))+Sens!D7231*IF(4&lt;life_fac,1,IF(4=life_fac,0.5,0))+Sens!E7231*IF(3&lt;life_fac,1,IF(3=life_fac,0.5,0))+Sens!F7231*IF(2&lt;life_fac,1,IF(2=life_fac,0.5,0))+Sens!G7231*IF(1&lt;life_fac,1,IF(1=life_fac,0.5,0))+Sens!H7231*0.5)/life_fac</f>
        <v>5.582402</v>
      </c>
      <c r="I7236" s="6" t="n">
        <f aca="false">(Sens!C7231*IF(6&lt;life_fac,1,IF(6=life_fac,0.5,0))+Sens!D7231*IF(5&lt;life_fac,1,IF(5=life_fac,0.5,0))+Sens!E7231*IF(4&lt;life_fac,1,IF(4=life_fac,0.5,0))+Sens!F7231*IF(3&lt;life_fac,1,IF(3=life_fac,0.5,0))+Sens!G7231*IF(2&lt;life_fac,1,IF(2=life_fac,0.5,0))+Sens!H7231*IF(1&lt;life_fac,1,IF(1=life_fac,0.5,0))+Sens!I7231*0.5)/life_fac</f>
        <v>7.1833832</v>
      </c>
      <c r="J7236" s="6" t="n">
        <f aca="false">(Sens!C7231*IF(7&lt;life_fac,1,IF(7=life_fac,0.5,0))+Sens!D7231*IF(6&lt;life_fac,1,IF(6=life_fac,0.5,0))+Sens!E7231*IF(5&lt;life_fac,1,IF(5=life_fac,0.5,0))+Sens!F7231*IF(4&lt;life_fac,1,IF(4=life_fac,0.5,0))+Sens!G7231*IF(3&lt;life_fac,1,IF(3=life_fac,0.5,0))+Sens!H7231*IF(2&lt;life_fac,1,IF(2=life_fac,0.5,0))+Sens!I7231*IF(1&lt;life_fac,1,IF(1=life_fac,0.5,0))+Sens!J7231*0.5)/life_fac</f>
        <v>8.7843644</v>
      </c>
      <c r="K7236" s="6" t="n">
        <f aca="false">(Sens!C7231*IF(8&lt;life_fac,1,IF(8=life_fac,0.5,0))+Sens!D7231*IF(7&lt;life_fac,1,IF(7=life_fac,0.5,0))+Sens!E7231*IF(6&lt;life_fac,1,IF(6=life_fac,0.5,0))+Sens!F7231*IF(5&lt;life_fac,1,IF(5=life_fac,0.5,0))+Sens!G7231*IF(4&lt;life_fac,1,IF(4=life_fac,0.5,0))+Sens!H7231*IF(3&lt;life_fac,1,IF(3=life_fac,0.5,0))+Sens!I7231*IF(2&lt;life_fac,1,IF(2=life_fac,0.5,0))+Sens!J7231*IF(1&lt;life_fac,1,IF(1=life_fac,0.5,0))+Sens!K7231*0.5)/life_fac</f>
        <v>10.3853456</v>
      </c>
    </row>
    <row r="7237" customFormat="false" ht="17.15" hidden="false" customHeight="false" outlineLevel="0" collapsed="false">
      <c r="A7237" s="0" t="s">
        <v>761</v>
      </c>
      <c r="B7237" s="0" t="s">
        <v>95</v>
      </c>
      <c r="E7237" s="6" t="n">
        <f aca="false">Sens!E7235+Sens!E7236</f>
        <v>16.3054059770833</v>
      </c>
      <c r="F7237" s="6" t="n">
        <f aca="false">Sens!F7235+Sens!F7236</f>
        <v>34.7447989565883</v>
      </c>
      <c r="G7237" s="6" t="n">
        <f aca="false">Sens!G7235+Sens!G7236</f>
        <v>60.5152602617765</v>
      </c>
      <c r="H7237" s="6" t="n">
        <f aca="false">Sens!H7235+Sens!H7236</f>
        <v>87.7508429945765</v>
      </c>
      <c r="I7237" s="6" t="n">
        <f aca="false">Sens!I7235+Sens!I7236</f>
        <v>116.00570874256</v>
      </c>
      <c r="J7237" s="6" t="n">
        <f aca="false">Sens!J7235+Sens!J7236</f>
        <v>145.23280495971</v>
      </c>
      <c r="K7237" s="6" t="n">
        <f aca="false">Sens!K7235+Sens!K7236</f>
        <v>175.747449636027</v>
      </c>
    </row>
    <row r="7238" customFormat="false" ht="17.15" hidden="false" customHeight="false" outlineLevel="0" collapsed="false">
      <c r="A7238" s="0" t="s">
        <v>762</v>
      </c>
      <c r="B7238" s="0" t="s">
        <v>95</v>
      </c>
      <c r="E7238" s="6" t="n">
        <f aca="false">Sens!E7226-Sens!E7225*Sens!E7237</f>
        <v>8.92707889977379</v>
      </c>
      <c r="F7238" s="6" t="n">
        <f aca="false">Sens!F7226-Sens!F7225*Sens!F7237</f>
        <v>14.210466188589</v>
      </c>
      <c r="G7238" s="6" t="n">
        <f aca="false">Sens!G7226-Sens!G7225*Sens!G7237</f>
        <v>15.9413410142212</v>
      </c>
      <c r="H7238" s="6" t="n">
        <f aca="false">Sens!H7226-Sens!H7225*Sens!H7237</f>
        <v>12.6291640542811</v>
      </c>
      <c r="I7238" s="6" t="n">
        <f aca="false">Sens!I7226-Sens!I7225*Sens!I7237</f>
        <v>15.9625670079919</v>
      </c>
      <c r="J7238" s="6" t="n">
        <f aca="false">Sens!J7226-Sens!J7225*Sens!J7237</f>
        <v>18.7680541299943</v>
      </c>
      <c r="K7238" s="6" t="n">
        <f aca="false">Sens!K7226-Sens!K7225*Sens!K7237</f>
        <v>20.8336145382352</v>
      </c>
    </row>
    <row r="7239" customFormat="false" ht="17.15" hidden="false" customHeight="false" outlineLevel="0" collapsed="false">
      <c r="A7239" s="3" t="s">
        <v>1320</v>
      </c>
    </row>
    <row r="7240" customFormat="false" ht="15" hidden="false" customHeight="false" outlineLevel="0" collapsed="false">
      <c r="A7240" s="4" t="s">
        <v>43</v>
      </c>
      <c r="B7240" s="4" t="s">
        <v>63</v>
      </c>
      <c r="C7240" s="19" t="s">
        <v>710</v>
      </c>
      <c r="D7240" s="19" t="s">
        <v>711</v>
      </c>
      <c r="E7240" s="19" t="s">
        <v>712</v>
      </c>
      <c r="F7240" s="19" t="s">
        <v>713</v>
      </c>
      <c r="G7240" s="19" t="s">
        <v>714</v>
      </c>
      <c r="H7240" s="19" t="s">
        <v>715</v>
      </c>
      <c r="I7240" s="19" t="s">
        <v>716</v>
      </c>
      <c r="J7240" s="19" t="s">
        <v>717</v>
      </c>
      <c r="K7240" s="19" t="s">
        <v>718</v>
      </c>
      <c r="L7240" s="4" t="s">
        <v>47</v>
      </c>
    </row>
    <row r="7241" customFormat="false" ht="17.15" hidden="false" customHeight="false" outlineLevel="0" collapsed="false">
      <c r="A7241" s="0" t="s">
        <v>780</v>
      </c>
      <c r="B7241" s="0" t="s">
        <v>95</v>
      </c>
      <c r="D7241" s="6" t="n">
        <f aca="false">Sens!D7220</f>
        <v>12.9359794422418</v>
      </c>
      <c r="E7241" s="6" t="n">
        <f aca="false">Sens!E7220</f>
        <v>27.8095064661409</v>
      </c>
      <c r="F7241" s="6" t="n">
        <f aca="false">Sens!F7220</f>
        <v>50.6619113883066</v>
      </c>
      <c r="G7241" s="6" t="n">
        <f aca="false">Sens!G7220</f>
        <v>75.1482839325348</v>
      </c>
      <c r="H7241" s="6" t="n">
        <f aca="false">Sens!H7220</f>
        <v>94.895655604042</v>
      </c>
      <c r="I7241" s="6" t="n">
        <f aca="false">Sens!I7220</f>
        <v>121.918667866643</v>
      </c>
      <c r="J7241" s="6" t="n">
        <f aca="false">Sens!J7220</f>
        <v>149.006768672892</v>
      </c>
      <c r="K7241" s="6" t="n">
        <f aca="false">Sens!K7220</f>
        <v>176.133157939015</v>
      </c>
    </row>
    <row r="7242" customFormat="false" ht="17.15" hidden="false" customHeight="false" outlineLevel="0" collapsed="false">
      <c r="A7242" s="0" t="s">
        <v>781</v>
      </c>
      <c r="B7242" s="0" t="s">
        <v>95</v>
      </c>
      <c r="D7242" s="6" t="n">
        <f aca="false">Q!L6-Sens!D7241</f>
        <v>59.6740205577583</v>
      </c>
      <c r="E7242" s="6" t="n">
        <f aca="false">Q!M6-Sens!E7241</f>
        <v>74.1284935338591</v>
      </c>
      <c r="F7242" s="6" t="n">
        <f aca="false">Sens!E7242*(1+Sens!F7243)</f>
        <v>90.5741396942587</v>
      </c>
      <c r="G7242" s="6" t="n">
        <f aca="false">Sens!F7242*(1+Sens!G7243)</f>
        <v>108.823251828521</v>
      </c>
      <c r="H7242" s="6" t="n">
        <f aca="false">Sens!G7242*(1+Sens!H7243)</f>
        <v>128.532442249697</v>
      </c>
      <c r="I7242" s="6" t="n">
        <f aca="false">Sens!H7242*(1+Sens!I7243)</f>
        <v>149.192913382446</v>
      </c>
      <c r="J7242" s="6" t="n">
        <f aca="false">Sens!I7242*(1+Sens!J7243)</f>
        <v>170.135219187612</v>
      </c>
      <c r="K7242" s="6" t="n">
        <f aca="false">Sens!J7242*(1+Sens!K7243)</f>
        <v>190.551445490125</v>
      </c>
    </row>
    <row r="7243" customFormat="false" ht="15" hidden="false" customHeight="false" outlineLevel="0" collapsed="false">
      <c r="A7243" s="1" t="s">
        <v>782</v>
      </c>
      <c r="B7243" s="0" t="s">
        <v>126</v>
      </c>
      <c r="E7243" s="7" t="n">
        <f aca="false">Sens!E7242/Sens!D7242-1</f>
        <v>0.242223883039864</v>
      </c>
      <c r="F7243" s="7" t="n">
        <f aca="false">Sens!$E$7243+(glt_azo_hi-Sens!$E$7243)*MIN(1,1/n_conv)</f>
        <v>0.221853235866554</v>
      </c>
      <c r="G7243" s="7" t="n">
        <f aca="false">Sens!$E$7243+(glt_azo_hi-Sens!$E$7243)*MIN(1,2/n_conv)</f>
        <v>0.201482588693243</v>
      </c>
      <c r="H7243" s="7" t="n">
        <f aca="false">Sens!$E$7243+(glt_azo_hi-Sens!$E$7243)*MIN(1,3/n_conv)</f>
        <v>0.181111941519932</v>
      </c>
      <c r="I7243" s="7" t="n">
        <f aca="false">Sens!$E$7243+(glt_azo_hi-Sens!$E$7243)*MIN(1,4/n_conv)</f>
        <v>0.160741294346622</v>
      </c>
      <c r="J7243" s="7" t="n">
        <f aca="false">Sens!$E$7243+(glt_azo_hi-Sens!$E$7243)*MIN(1,5/n_conv)</f>
        <v>0.140370647173311</v>
      </c>
      <c r="K7243" s="7" t="n">
        <f aca="false">Sens!$E$7243+(glt_azo_hi-Sens!$E$7243)*MIN(1,6/n_conv)</f>
        <v>0.12</v>
      </c>
    </row>
    <row r="7244" customFormat="false" ht="15" hidden="false" customHeight="false" outlineLevel="0" collapsed="false">
      <c r="A7244" s="0" t="s">
        <v>783</v>
      </c>
      <c r="B7244" s="0" t="s">
        <v>95</v>
      </c>
      <c r="D7244" s="6" t="n">
        <f aca="false">Sens!D7241+Sens!D7242</f>
        <v>72.61</v>
      </c>
      <c r="E7244" s="6" t="n">
        <f aca="false">Sens!E7241+Sens!E7242</f>
        <v>101.938</v>
      </c>
      <c r="F7244" s="6" t="n">
        <f aca="false">Sens!F7241+Sens!F7242</f>
        <v>141.236051082565</v>
      </c>
      <c r="G7244" s="6" t="n">
        <f aca="false">Sens!G7241+Sens!G7242</f>
        <v>183.971535761056</v>
      </c>
      <c r="H7244" s="6" t="n">
        <f aca="false">Sens!H7241+Sens!H7242</f>
        <v>223.428097853739</v>
      </c>
      <c r="I7244" s="6" t="n">
        <f aca="false">Sens!I7241+Sens!I7242</f>
        <v>271.11158124909</v>
      </c>
      <c r="J7244" s="6" t="n">
        <f aca="false">Sens!J7241+Sens!J7242</f>
        <v>319.141987860504</v>
      </c>
      <c r="K7244" s="6" t="n">
        <f aca="false">Sens!K7241+Sens!K7242</f>
        <v>366.68460342914</v>
      </c>
    </row>
    <row r="7245" customFormat="false" ht="17.15" hidden="false" customHeight="false" outlineLevel="0" collapsed="false">
      <c r="A7245" s="0" t="s">
        <v>784</v>
      </c>
      <c r="B7245" s="1" t="s">
        <v>451</v>
      </c>
      <c r="C7245" s="27" t="n">
        <f aca="false">cop_s24</f>
        <v>1</v>
      </c>
      <c r="D7245" s="27" t="n">
        <f aca="false">cop_s25</f>
        <v>5</v>
      </c>
      <c r="E7245" s="27" t="n">
        <f aca="false">cop_s26</f>
        <v>30</v>
      </c>
      <c r="F7245" s="27" t="n">
        <f aca="false">Sens!E7245+IF(2027&lt;=2029,cop_add_C,cop_add_C*cop_tail)</f>
        <v>40</v>
      </c>
      <c r="G7245" s="27" t="n">
        <f aca="false">Sens!F7245+IF(2028&lt;=2029,cop_add_C,cop_add_C*cop_tail)</f>
        <v>50</v>
      </c>
      <c r="H7245" s="27" t="n">
        <f aca="false">Sens!G7245+IF(2029&lt;=2029,cop_add_C,cop_add_C*cop_tail)</f>
        <v>60</v>
      </c>
      <c r="I7245" s="27" t="n">
        <f aca="false">Sens!H7245+IF(2030&lt;=2029,cop_add_C,cop_add_C*cop_tail)</f>
        <v>65</v>
      </c>
      <c r="J7245" s="27" t="n">
        <f aca="false">Sens!I7245+IF(2031&lt;=2029,cop_add_C,cop_add_C*cop_tail)</f>
        <v>70</v>
      </c>
      <c r="K7245" s="27" t="n">
        <f aca="false">Sens!J7245+IF(2032&lt;=2029,cop_add_C,cop_add_C*cop_tail)</f>
        <v>75</v>
      </c>
    </row>
    <row r="7246" customFormat="false" ht="17.15" hidden="false" customHeight="false" outlineLevel="0" collapsed="false">
      <c r="A7246" s="0" t="s">
        <v>785</v>
      </c>
      <c r="B7246" s="0" t="s">
        <v>95</v>
      </c>
      <c r="D7246" s="6" t="n">
        <f aca="false">(Sens!C7245+Sens!D7245)/2*cop_px*12/1000</f>
        <v>0.9</v>
      </c>
      <c r="E7246" s="6" t="n">
        <f aca="false">(Sens!D7245+Sens!E7245)/2*cop_px*12/1000</f>
        <v>5.25</v>
      </c>
      <c r="F7246" s="6" t="n">
        <f aca="false">(Sens!E7245+Sens!F7245)/2*cop_px*12/1000</f>
        <v>10.5</v>
      </c>
      <c r="G7246" s="6" t="n">
        <f aca="false">(Sens!F7245+Sens!G7245)/2*cop_px*12/1000</f>
        <v>13.5</v>
      </c>
      <c r="H7246" s="6" t="n">
        <f aca="false">(Sens!G7245+Sens!H7245)/2*cop_px*12/1000</f>
        <v>16.5</v>
      </c>
      <c r="I7246" s="6" t="n">
        <f aca="false">(Sens!H7245+Sens!I7245)/2*cop_px*12/1000</f>
        <v>18.75</v>
      </c>
      <c r="J7246" s="6" t="n">
        <f aca="false">(Sens!I7245+Sens!J7245)/2*cop_px*12/1000</f>
        <v>20.25</v>
      </c>
      <c r="K7246" s="6" t="n">
        <f aca="false">(Sens!J7245+Sens!K7245)/2*cop_px*12/1000</f>
        <v>21.75</v>
      </c>
      <c r="L7246" s="1" t="s">
        <v>786</v>
      </c>
    </row>
    <row r="7247" customFormat="false" ht="17.15" hidden="false" customHeight="false" outlineLevel="0" collapsed="false">
      <c r="A7247" s="0" t="s">
        <v>787</v>
      </c>
      <c r="B7247" s="0" t="s">
        <v>95</v>
      </c>
      <c r="D7247" s="6" t="n">
        <f aca="false">Q!L7-Sens!D7246</f>
        <v>83.705</v>
      </c>
      <c r="E7247" s="6" t="n">
        <f aca="false">Q!M7-Sens!E7246</f>
        <v>95.049</v>
      </c>
      <c r="F7247" s="6" t="n">
        <f aca="false">Sens!E7247*(1+Sens!F7248)</f>
        <v>106.89238776686</v>
      </c>
      <c r="G7247" s="6" t="n">
        <f aca="false">Sens!F7247*(1+Sens!G7248)</f>
        <v>119.044168448684</v>
      </c>
      <c r="H7247" s="6" t="n">
        <f aca="false">Sens!G7247*(1+Sens!H7248)</f>
        <v>131.277359388781</v>
      </c>
      <c r="I7247" s="6" t="n">
        <f aca="false">Sens!H7247*(1+Sens!I7248)</f>
        <v>143.334028071957</v>
      </c>
      <c r="J7247" s="6" t="n">
        <f aca="false">Sens!I7247*(1+Sens!J7248)</f>
        <v>154.932702785465</v>
      </c>
      <c r="K7247" s="6" t="n">
        <f aca="false">Sens!J7247*(1+Sens!K7248)</f>
        <v>165.777991980448</v>
      </c>
    </row>
    <row r="7248" customFormat="false" ht="15" hidden="false" customHeight="false" outlineLevel="0" collapsed="false">
      <c r="A7248" s="1" t="s">
        <v>782</v>
      </c>
      <c r="B7248" s="0" t="s">
        <v>126</v>
      </c>
      <c r="E7248" s="7" t="n">
        <f aca="false">Sens!E7247/Sens!D7247-1</f>
        <v>0.135523564900544</v>
      </c>
      <c r="F7248" s="7" t="n">
        <f aca="false">Sens!$E$7248+(glt_m365b-Sens!$E$7248)*MIN(1,1/n_conv)</f>
        <v>0.124602970750453</v>
      </c>
      <c r="G7248" s="7" t="n">
        <f aca="false">Sens!$E$7248+(glt_m365b-Sens!$E$7248)*MIN(1,2/n_conv)</f>
        <v>0.113682376600363</v>
      </c>
      <c r="H7248" s="7" t="n">
        <f aca="false">Sens!$E$7248+(glt_m365b-Sens!$E$7248)*MIN(1,3/n_conv)</f>
        <v>0.102761782450272</v>
      </c>
      <c r="I7248" s="7" t="n">
        <f aca="false">Sens!$E$7248+(glt_m365b-Sens!$E$7248)*MIN(1,4/n_conv)</f>
        <v>0.0918411883001813</v>
      </c>
      <c r="J7248" s="7" t="n">
        <f aca="false">Sens!$E$7248+(glt_m365b-Sens!$E$7248)*MIN(1,5/n_conv)</f>
        <v>0.0809205941500906</v>
      </c>
      <c r="K7248" s="7" t="n">
        <f aca="false">Sens!$E$7248+(glt_m365b-Sens!$E$7248)*MIN(1,6/n_conv)</f>
        <v>0.07</v>
      </c>
    </row>
    <row r="7249" customFormat="false" ht="15" hidden="false" customHeight="false" outlineLevel="0" collapsed="false">
      <c r="A7249" s="0" t="s">
        <v>788</v>
      </c>
      <c r="B7249" s="0" t="s">
        <v>95</v>
      </c>
      <c r="D7249" s="6" t="n">
        <f aca="false">Sens!D7247+Sens!D7246</f>
        <v>84.605</v>
      </c>
      <c r="E7249" s="6" t="n">
        <f aca="false">Sens!E7247+Sens!E7246</f>
        <v>100.299</v>
      </c>
      <c r="F7249" s="6" t="n">
        <f aca="false">Sens!F7247+Sens!F7246</f>
        <v>117.39238776686</v>
      </c>
      <c r="G7249" s="6" t="n">
        <f aca="false">Sens!G7247+Sens!G7246</f>
        <v>132.544168448684</v>
      </c>
      <c r="H7249" s="6" t="n">
        <f aca="false">Sens!H7247+Sens!H7246</f>
        <v>147.777359388781</v>
      </c>
      <c r="I7249" s="6" t="n">
        <f aca="false">Sens!I7247+Sens!I7246</f>
        <v>162.084028071957</v>
      </c>
      <c r="J7249" s="6" t="n">
        <f aca="false">Sens!J7247+Sens!J7246</f>
        <v>175.182702785465</v>
      </c>
      <c r="K7249" s="6" t="n">
        <f aca="false">Sens!K7247+Sens!K7246</f>
        <v>187.527991980448</v>
      </c>
    </row>
    <row r="7250" customFormat="false" ht="15" hidden="false" customHeight="false" outlineLevel="0" collapsed="false">
      <c r="A7250" s="0" t="s">
        <v>789</v>
      </c>
      <c r="B7250" s="0" t="s">
        <v>95</v>
      </c>
      <c r="D7250" s="6" t="n">
        <f aca="false">Q!L8</f>
        <v>35.391</v>
      </c>
      <c r="E7250" s="6" t="n">
        <f aca="false">Q!M8</f>
        <v>37.285</v>
      </c>
      <c r="F7250" s="6" t="n">
        <f aca="false">Sens!E7250*(1+Sens!F7251)</f>
        <v>39.0720834331704</v>
      </c>
      <c r="G7250" s="6" t="n">
        <f aca="false">Sens!F7250*(1+Sens!G7251)</f>
        <v>40.726562953769</v>
      </c>
      <c r="H7250" s="6" t="n">
        <f aca="false">Sens!G7250*(1+Sens!H7251)</f>
        <v>42.2235987259198</v>
      </c>
      <c r="I7250" s="6" t="n">
        <f aca="false">Sens!H7250*(1+Sens!I7251)</f>
        <v>43.5397988077414</v>
      </c>
      <c r="J7250" s="6" t="n">
        <f aca="false">Sens!I7250*(1+Sens!J7251)</f>
        <v>44.653811225693</v>
      </c>
      <c r="K7250" s="6" t="n">
        <f aca="false">Sens!J7250*(1+Sens!K7251)</f>
        <v>45.5468874502068</v>
      </c>
    </row>
    <row r="7251" customFormat="false" ht="15" hidden="false" customHeight="false" outlineLevel="0" collapsed="false">
      <c r="A7251" s="1" t="s">
        <v>782</v>
      </c>
      <c r="B7251" s="0" t="s">
        <v>126</v>
      </c>
      <c r="E7251" s="7" t="n">
        <f aca="false">Sens!E7250/Sens!D7250-1</f>
        <v>0.0535164307309768</v>
      </c>
      <c r="F7251" s="7" t="n">
        <f aca="false">Sens!$E$7251+(glt_lic-Sens!$E$7251)*MIN(1,1/n_conv)</f>
        <v>0.0479303589424807</v>
      </c>
      <c r="G7251" s="7" t="n">
        <f aca="false">Sens!$E$7251+(glt_lic-Sens!$E$7251)*MIN(1,2/n_conv)</f>
        <v>0.0423442871539845</v>
      </c>
      <c r="H7251" s="7" t="n">
        <f aca="false">Sens!$E$7251+(glt_lic-Sens!$E$7251)*MIN(1,3/n_conv)</f>
        <v>0.0367582153654884</v>
      </c>
      <c r="I7251" s="7" t="n">
        <f aca="false">Sens!$E$7251+(glt_lic-Sens!$E$7251)*MIN(1,4/n_conv)</f>
        <v>0.0311721435769923</v>
      </c>
      <c r="J7251" s="7" t="n">
        <f aca="false">Sens!$E$7251+(glt_lic-Sens!$E$7251)*MIN(1,5/n_conv)</f>
        <v>0.0255860717884961</v>
      </c>
      <c r="K7251" s="7" t="n">
        <f aca="false">Sens!$E$7251+(glt_lic-Sens!$E$7251)*MIN(1,6/n_conv)</f>
        <v>0.02</v>
      </c>
    </row>
    <row r="7252" customFormat="false" ht="15" hidden="false" customHeight="false" outlineLevel="0" collapsed="false">
      <c r="A7252" s="0" t="s">
        <v>790</v>
      </c>
      <c r="B7252" s="0" t="s">
        <v>95</v>
      </c>
      <c r="D7252" s="6" t="n">
        <f aca="false">Q!L9</f>
        <v>18.417</v>
      </c>
      <c r="E7252" s="6" t="n">
        <f aca="false">Q!M9</f>
        <v>20.345</v>
      </c>
      <c r="F7252" s="6" t="n">
        <f aca="false">Sens!E7252*(1+Sens!F7253)</f>
        <v>22.3572203267814</v>
      </c>
      <c r="G7252" s="6" t="n">
        <f aca="false">Sens!F7252*(1+Sens!G7253)</f>
        <v>24.4392124437232</v>
      </c>
      <c r="H7252" s="6" t="n">
        <f aca="false">Sens!G7252*(1+Sens!H7253)</f>
        <v>26.5738052080665</v>
      </c>
      <c r="I7252" s="6" t="n">
        <f aca="false">Sens!H7252*(1+Sens!I7253)</f>
        <v>28.7412169166967</v>
      </c>
      <c r="J7252" s="6" t="n">
        <f aca="false">Sens!I7252*(1+Sens!J7253)</f>
        <v>30.9192545395413</v>
      </c>
      <c r="K7252" s="6" t="n">
        <f aca="false">Sens!J7252*(1+Sens!K7253)</f>
        <v>33.0836023573092</v>
      </c>
    </row>
    <row r="7253" customFormat="false" ht="15" hidden="false" customHeight="false" outlineLevel="0" collapsed="false">
      <c r="A7253" s="1" t="s">
        <v>782</v>
      </c>
      <c r="B7253" s="0" t="s">
        <v>126</v>
      </c>
      <c r="E7253" s="7" t="n">
        <f aca="false">Sens!E7252/Sens!D7252-1</f>
        <v>0.104685888038225</v>
      </c>
      <c r="F7253" s="7" t="n">
        <f aca="false">Sens!$E$7253+(glt_ind-Sens!$E$7253)*MIN(1,1/n_conv)</f>
        <v>0.0989049066985211</v>
      </c>
      <c r="G7253" s="7" t="n">
        <f aca="false">Sens!$E$7253+(glt_ind-Sens!$E$7253)*MIN(1,2/n_conv)</f>
        <v>0.0931239253588169</v>
      </c>
      <c r="H7253" s="7" t="n">
        <f aca="false">Sens!$E$7253+(glt_ind-Sens!$E$7253)*MIN(1,3/n_conv)</f>
        <v>0.0873429440191127</v>
      </c>
      <c r="I7253" s="7" t="n">
        <f aca="false">Sens!$E$7253+(glt_ind-Sens!$E$7253)*MIN(1,4/n_conv)</f>
        <v>0.0815619626794085</v>
      </c>
      <c r="J7253" s="7" t="n">
        <f aca="false">Sens!$E$7253+(glt_ind-Sens!$E$7253)*MIN(1,5/n_conv)</f>
        <v>0.0757809813397042</v>
      </c>
      <c r="K7253" s="7" t="n">
        <f aca="false">Sens!$E$7253+(glt_ind-Sens!$E$7253)*MIN(1,6/n_conv)</f>
        <v>0.07</v>
      </c>
    </row>
    <row r="7254" customFormat="false" ht="15" hidden="false" customHeight="false" outlineLevel="0" collapsed="false">
      <c r="A7254" s="0" t="s">
        <v>791</v>
      </c>
      <c r="B7254" s="0" t="s">
        <v>95</v>
      </c>
      <c r="D7254" s="6" t="n">
        <f aca="false">Q!L10</f>
        <v>7.76</v>
      </c>
      <c r="E7254" s="6" t="n">
        <f aca="false">Q!M10</f>
        <v>8.26</v>
      </c>
      <c r="F7254" s="6" t="n">
        <f aca="false">Sens!E7254*(1+Sens!F7255)</f>
        <v>8.79988041237113</v>
      </c>
      <c r="G7254" s="6" t="n">
        <f aca="false">Sens!F7254*(1+Sens!G7255)</f>
        <v>9.38321269125306</v>
      </c>
      <c r="H7254" s="6" t="n">
        <f aca="false">Sens!G7254*(1+Sens!H7255)</f>
        <v>10.0139193587476</v>
      </c>
      <c r="I7254" s="6" t="n">
        <f aca="false">Sens!H7254*(1+Sens!I7255)</f>
        <v>10.6963111830911</v>
      </c>
      <c r="J7254" s="6" t="n">
        <f aca="false">Sens!I7254*(1+Sens!J7255)</f>
        <v>11.4351285534696</v>
      </c>
      <c r="K7254" s="6" t="n">
        <f aca="false">Sens!J7254*(1+Sens!K7255)</f>
        <v>12.2355875522124</v>
      </c>
    </row>
    <row r="7255" customFormat="false" ht="15" hidden="false" customHeight="false" outlineLevel="0" collapsed="false">
      <c r="A7255" s="1" t="s">
        <v>782</v>
      </c>
      <c r="B7255" s="0" t="s">
        <v>126</v>
      </c>
      <c r="E7255" s="7" t="n">
        <f aca="false">Sens!E7254/Sens!D7254-1</f>
        <v>0.0644329896907216</v>
      </c>
      <c r="F7255" s="7" t="n">
        <f aca="false">Sens!$E$7255+(glt_fro-Sens!$E$7255)*MIN(1,1/n_conv)</f>
        <v>0.065360824742268</v>
      </c>
      <c r="G7255" s="7" t="n">
        <f aca="false">Sens!$E$7255+(glt_fro-Sens!$E$7255)*MIN(1,2/n_conv)</f>
        <v>0.0662886597938144</v>
      </c>
      <c r="H7255" s="7" t="n">
        <f aca="false">Sens!$E$7255+(glt_fro-Sens!$E$7255)*MIN(1,3/n_conv)</f>
        <v>0.0672164948453608</v>
      </c>
      <c r="I7255" s="7" t="n">
        <f aca="false">Sens!$E$7255+(glt_fro-Sens!$E$7255)*MIN(1,4/n_conv)</f>
        <v>0.0681443298969072</v>
      </c>
      <c r="J7255" s="7" t="n">
        <f aca="false">Sens!$E$7255+(glt_fro-Sens!$E$7255)*MIN(1,5/n_conv)</f>
        <v>0.0690721649484536</v>
      </c>
      <c r="K7255" s="7" t="n">
        <f aca="false">Sens!$E$7255+(glt_fro-Sens!$E$7255)*MIN(1,6/n_conv)</f>
        <v>0.07</v>
      </c>
    </row>
    <row r="7256" customFormat="false" ht="15" hidden="false" customHeight="false" outlineLevel="0" collapsed="false">
      <c r="A7256" s="0" t="s">
        <v>626</v>
      </c>
      <c r="B7256" s="0" t="s">
        <v>95</v>
      </c>
      <c r="D7256" s="6" t="n">
        <f aca="false">Sens!D7244+Sens!D7249+Sens!D7250+Sens!D7252+Sens!D7254</f>
        <v>218.783</v>
      </c>
      <c r="E7256" s="6" t="n">
        <f aca="false">Sens!E7244+Sens!E7249+Sens!E7250+Sens!E7252+Sens!E7254</f>
        <v>268.127</v>
      </c>
      <c r="F7256" s="6" t="n">
        <f aca="false">Sens!F7244+Sens!F7249+Sens!F7250+Sens!F7252+Sens!F7254</f>
        <v>328.857623021748</v>
      </c>
      <c r="G7256" s="6" t="n">
        <f aca="false">Sens!G7244+Sens!G7249+Sens!G7250+Sens!G7252+Sens!G7254</f>
        <v>391.064692298485</v>
      </c>
      <c r="H7256" s="6" t="n">
        <f aca="false">Sens!H7244+Sens!H7249+Sens!H7250+Sens!H7252+Sens!H7254</f>
        <v>450.016780535254</v>
      </c>
      <c r="I7256" s="6" t="n">
        <f aca="false">Sens!I7244+Sens!I7249+Sens!I7250+Sens!I7252+Sens!I7254</f>
        <v>516.172936228576</v>
      </c>
      <c r="J7256" s="6" t="n">
        <f aca="false">Sens!J7244+Sens!J7249+Sens!J7250+Sens!J7252+Sens!J7254</f>
        <v>581.332884964673</v>
      </c>
      <c r="K7256" s="6" t="n">
        <f aca="false">Sens!K7244+Sens!K7249+Sens!K7250+Sens!K7252+Sens!K7254</f>
        <v>645.078672769317</v>
      </c>
    </row>
    <row r="7257" customFormat="false" ht="15" hidden="false" customHeight="false" outlineLevel="0" collapsed="false">
      <c r="A7257" s="0" t="s">
        <v>792</v>
      </c>
      <c r="B7257" s="0" t="s">
        <v>95</v>
      </c>
      <c r="D7257" s="6" t="n">
        <f aca="false">Q!L13</f>
        <v>22.171</v>
      </c>
      <c r="E7257" s="6" t="n">
        <f aca="false">Q!M13</f>
        <v>24.835</v>
      </c>
      <c r="F7257" s="6" t="n">
        <f aca="false">Sens!E7257*(1+Sens!F7258)</f>
        <v>27.6114901218559</v>
      </c>
      <c r="G7257" s="6" t="n">
        <f aca="false">Sens!F7257*(1+Sens!G7258)</f>
        <v>30.4675667338515</v>
      </c>
      <c r="H7257" s="6" t="n">
        <f aca="false">Sens!G7257*(1+Sens!H7258)</f>
        <v>33.3643766955789</v>
      </c>
      <c r="I7257" s="6" t="n">
        <f aca="false">Sens!H7257*(1+Sens!I7258)</f>
        <v>36.2577016533691</v>
      </c>
      <c r="J7257" s="6" t="n">
        <f aca="false">Sens!I7257*(1+Sens!J7258)</f>
        <v>39.0988367952171</v>
      </c>
      <c r="K7257" s="6" t="n">
        <f aca="false">Sens!J7257*(1+Sens!K7258)</f>
        <v>41.8357553708823</v>
      </c>
    </row>
    <row r="7258" customFormat="false" ht="15" hidden="false" customHeight="false" outlineLevel="0" collapsed="false">
      <c r="A7258" s="1" t="s">
        <v>782</v>
      </c>
      <c r="B7258" s="0" t="s">
        <v>126</v>
      </c>
      <c r="E7258" s="7" t="n">
        <f aca="false">Sens!E7257/Sens!D7257-1</f>
        <v>0.120156961796942</v>
      </c>
      <c r="F7258" s="7" t="n">
        <f aca="false">Sens!$E$7258+(glt_srch-Sens!$E$7258)*MIN(1,1/n_conv)</f>
        <v>0.111797468164118</v>
      </c>
      <c r="G7258" s="7" t="n">
        <f aca="false">Sens!$E$7258+(glt_srch-Sens!$E$7258)*MIN(1,2/n_conv)</f>
        <v>0.103437974531295</v>
      </c>
      <c r="H7258" s="7" t="n">
        <f aca="false">Sens!$E$7258+(glt_srch-Sens!$E$7258)*MIN(1,3/n_conv)</f>
        <v>0.095078480898471</v>
      </c>
      <c r="I7258" s="7" t="n">
        <f aca="false">Sens!$E$7258+(glt_srch-Sens!$E$7258)*MIN(1,4/n_conv)</f>
        <v>0.0867189872656474</v>
      </c>
      <c r="J7258" s="7" t="n">
        <f aca="false">Sens!$E$7258+(glt_srch-Sens!$E$7258)*MIN(1,5/n_conv)</f>
        <v>0.0783594936328237</v>
      </c>
      <c r="K7258" s="7" t="n">
        <f aca="false">Sens!$E$7258+(glt_srch-Sens!$E$7258)*MIN(1,6/n_conv)</f>
        <v>0.07</v>
      </c>
    </row>
    <row r="7259" customFormat="false" ht="15" hidden="false" customHeight="false" outlineLevel="0" collapsed="false">
      <c r="A7259" s="0" t="s">
        <v>793</v>
      </c>
      <c r="B7259" s="0" t="s">
        <v>95</v>
      </c>
      <c r="D7259" s="6" t="n">
        <f aca="false">Q!L14</f>
        <v>23.455</v>
      </c>
      <c r="E7259" s="6" t="n">
        <f aca="false">Q!M14</f>
        <v>21.79</v>
      </c>
      <c r="F7259" s="6" t="n">
        <f aca="false">Sens!E7259*(1+Sens!F7260)</f>
        <v>20.5736277908051</v>
      </c>
      <c r="G7259" s="6" t="n">
        <f aca="false">Sens!F7259*(1+Sens!G7260)</f>
        <v>19.7371452817919</v>
      </c>
      <c r="H7259" s="6" t="n">
        <f aca="false">Sens!G7259*(1+Sens!H7260)</f>
        <v>19.2339764043138</v>
      </c>
      <c r="I7259" s="6" t="n">
        <f aca="false">Sens!H7259*(1+Sens!I7260)</f>
        <v>19.0353086852681</v>
      </c>
      <c r="J7259" s="6" t="n">
        <f aca="false">Sens!I7259*(1+Sens!J7260)</f>
        <v>19.1273539319129</v>
      </c>
      <c r="K7259" s="6" t="n">
        <f aca="false">Sens!J7259*(1+Sens!K7260)</f>
        <v>19.5099010105511</v>
      </c>
    </row>
    <row r="7260" customFormat="false" ht="15" hidden="false" customHeight="false" outlineLevel="0" collapsed="false">
      <c r="A7260" s="1" t="s">
        <v>782</v>
      </c>
      <c r="B7260" s="0" t="s">
        <v>126</v>
      </c>
      <c r="E7260" s="7" t="n">
        <f aca="false">Sens!E7259/Sens!D7259-1</f>
        <v>-0.0709869963760392</v>
      </c>
      <c r="F7260" s="7" t="n">
        <f aca="false">Sens!$E$7260+(glt_xbox-Sens!$E$7260)*MIN(1,1/n_conv)</f>
        <v>-0.0558224969800327</v>
      </c>
      <c r="G7260" s="7" t="n">
        <f aca="false">Sens!$E$7260+(glt_xbox-Sens!$E$7260)*MIN(1,2/n_conv)</f>
        <v>-0.0406579975840262</v>
      </c>
      <c r="H7260" s="7" t="n">
        <f aca="false">Sens!$E$7260+(glt_xbox-Sens!$E$7260)*MIN(1,3/n_conv)</f>
        <v>-0.0254934981880196</v>
      </c>
      <c r="I7260" s="7" t="n">
        <f aca="false">Sens!$E$7260+(glt_xbox-Sens!$E$7260)*MIN(1,4/n_conv)</f>
        <v>-0.0103289987920131</v>
      </c>
      <c r="J7260" s="7" t="n">
        <f aca="false">Sens!$E$7260+(glt_xbox-Sens!$E$7260)*MIN(1,5/n_conv)</f>
        <v>0.00483550060399347</v>
      </c>
      <c r="K7260" s="7" t="n">
        <f aca="false">Sens!$E$7260+(glt_xbox-Sens!$E$7260)*MIN(1,6/n_conv)</f>
        <v>0.02</v>
      </c>
    </row>
    <row r="7261" customFormat="false" ht="15" hidden="false" customHeight="false" outlineLevel="0" collapsed="false">
      <c r="A7261" s="0" t="s">
        <v>794</v>
      </c>
      <c r="B7261" s="0" t="s">
        <v>95</v>
      </c>
      <c r="D7261" s="6" t="n">
        <f aca="false">Q!L15</f>
        <v>17.315</v>
      </c>
      <c r="E7261" s="6" t="n">
        <f aca="false">Q!M15</f>
        <v>17.087</v>
      </c>
      <c r="F7261" s="6" t="n">
        <f aca="false">Sens!E7261*(1+Sens!F7262)</f>
        <v>16.9564585436519</v>
      </c>
      <c r="G7261" s="6" t="n">
        <f aca="false">Sens!F7261*(1+Sens!G7262)</f>
        <v>16.9206490624268</v>
      </c>
      <c r="H7261" s="6" t="n">
        <f aca="false">Sens!G7261*(1+Sens!H7262)</f>
        <v>16.9784519149849</v>
      </c>
      <c r="I7261" s="6" t="n">
        <f aca="false">Sens!H7261*(1+Sens!I7262)</f>
        <v>17.1303084701817</v>
      </c>
      <c r="J7261" s="6" t="n">
        <f aca="false">Sens!I7261*(1+Sens!J7262)</f>
        <v>17.3782189407267</v>
      </c>
      <c r="K7261" s="6" t="n">
        <f aca="false">Sens!J7261*(1+Sens!K7262)</f>
        <v>17.7257833195413</v>
      </c>
    </row>
    <row r="7262" customFormat="false" ht="15" hidden="false" customHeight="false" outlineLevel="0" collapsed="false">
      <c r="A7262" s="1" t="s">
        <v>782</v>
      </c>
      <c r="B7262" s="0" t="s">
        <v>126</v>
      </c>
      <c r="E7262" s="7" t="n">
        <f aca="false">Sens!E7261/Sens!D7261-1</f>
        <v>-0.0131677736066995</v>
      </c>
      <c r="F7262" s="7" t="n">
        <f aca="false">Sens!$E$7262+(glt_win-Sens!$E$7262)*MIN(1,1/n_conv)</f>
        <v>-0.00763981133891627</v>
      </c>
      <c r="G7262" s="7" t="n">
        <f aca="false">Sens!$E$7262+(glt_win-Sens!$E$7262)*MIN(1,2/n_conv)</f>
        <v>-0.00211184907113301</v>
      </c>
      <c r="H7262" s="7" t="n">
        <f aca="false">Sens!$E$7262+(glt_win-Sens!$E$7262)*MIN(1,3/n_conv)</f>
        <v>0.00341611319665024</v>
      </c>
      <c r="I7262" s="7" t="n">
        <f aca="false">Sens!$E$7262+(glt_win-Sens!$E$7262)*MIN(1,4/n_conv)</f>
        <v>0.00894407546443349</v>
      </c>
      <c r="J7262" s="7" t="n">
        <f aca="false">Sens!$E$7262+(glt_win-Sens!$E$7262)*MIN(1,5/n_conv)</f>
        <v>0.0144720377322168</v>
      </c>
      <c r="K7262" s="7" t="n">
        <f aca="false">Sens!$E$7262+(glt_win-Sens!$E$7262)*MIN(1,6/n_conv)</f>
        <v>0.02</v>
      </c>
    </row>
    <row r="7263" customFormat="false" ht="15" hidden="false" customHeight="false" outlineLevel="0" collapsed="false">
      <c r="A7263" s="0" t="s">
        <v>640</v>
      </c>
      <c r="B7263" s="0" t="s">
        <v>95</v>
      </c>
      <c r="D7263" s="6" t="n">
        <f aca="false">Sens!D7257+Sens!D7259+Sens!D7261</f>
        <v>62.941</v>
      </c>
      <c r="E7263" s="6" t="n">
        <f aca="false">Sens!E7257+Sens!E7259+Sens!E7261</f>
        <v>63.712</v>
      </c>
      <c r="F7263" s="6" t="n">
        <f aca="false">Sens!F7257+Sens!F7259+Sens!F7261</f>
        <v>65.1415764563129</v>
      </c>
      <c r="G7263" s="6" t="n">
        <f aca="false">Sens!G7257+Sens!G7259+Sens!G7261</f>
        <v>67.1253610780702</v>
      </c>
      <c r="H7263" s="6" t="n">
        <f aca="false">Sens!H7257+Sens!H7259+Sens!H7261</f>
        <v>69.5768050148776</v>
      </c>
      <c r="I7263" s="6" t="n">
        <f aca="false">Sens!I7257+Sens!I7259+Sens!I7261</f>
        <v>72.4233188088189</v>
      </c>
      <c r="J7263" s="6" t="n">
        <f aca="false">Sens!J7257+Sens!J7259+Sens!J7261</f>
        <v>75.6044096678567</v>
      </c>
      <c r="K7263" s="6" t="n">
        <f aca="false">Sens!K7257+Sens!K7259+Sens!K7261</f>
        <v>79.0714397009747</v>
      </c>
    </row>
    <row r="7264" customFormat="false" ht="15" hidden="false" customHeight="false" outlineLevel="0" collapsed="false">
      <c r="A7264" s="1" t="s">
        <v>795</v>
      </c>
      <c r="B7264" s="0" t="s">
        <v>95</v>
      </c>
      <c r="D7264" s="6" t="n">
        <f aca="false">Sens!D7256+Sens!D7263</f>
        <v>281.724</v>
      </c>
      <c r="E7264" s="6" t="n">
        <f aca="false">Sens!E7256+Sens!E7263</f>
        <v>331.839</v>
      </c>
      <c r="F7264" s="6" t="n">
        <f aca="false">Sens!F7256+Sens!F7263</f>
        <v>393.999199478061</v>
      </c>
      <c r="G7264" s="6" t="n">
        <f aca="false">Sens!G7256+Sens!G7263</f>
        <v>458.190053376556</v>
      </c>
      <c r="H7264" s="6" t="n">
        <f aca="false">Sens!H7256+Sens!H7263</f>
        <v>519.593585550132</v>
      </c>
      <c r="I7264" s="6" t="n">
        <f aca="false">Sens!I7256+Sens!I7263</f>
        <v>588.596255037394</v>
      </c>
      <c r="J7264" s="6" t="n">
        <f aca="false">Sens!J7256+Sens!J7263</f>
        <v>656.937294632529</v>
      </c>
      <c r="K7264" s="6" t="n">
        <f aca="false">Sens!K7256+Sens!K7263</f>
        <v>724.150112470291</v>
      </c>
    </row>
    <row r="7265" customFormat="false" ht="15" hidden="false" customHeight="false" outlineLevel="0" collapsed="false">
      <c r="A7265" s="22" t="s">
        <v>796</v>
      </c>
      <c r="B7265" s="28" t="s">
        <v>95</v>
      </c>
      <c r="C7265" s="28"/>
      <c r="D7265" s="23" t="n">
        <f aca="false">(Sens!D7244+Sens!D7249+Sens!D7250+Sens!D7252+Sens!D7254-Sens!D7256)+(Sens!D7257+Sens!D7259+Sens!D7261-Sens!D7263)+(Sens!D7256-Q!L5)+(Sens!D7263-Q!L12)+(Sens!D7244-Q!L6)+(Sens!D7249-Q!L7)</f>
        <v>0</v>
      </c>
      <c r="E7265" s="23" t="n">
        <f aca="false">(Sens!E7244+Sens!E7249+Sens!E7250+Sens!E7252+Sens!E7254-Sens!E7256)+(Sens!E7257+Sens!E7259+Sens!E7261-Sens!E7263)+(Sens!E7256-Q!M5)+(Sens!E7263-Q!M12)+(Sens!E7244-Q!M6)+(Sens!E7249-Q!M7)</f>
        <v>0</v>
      </c>
      <c r="F7265" s="23" t="n">
        <f aca="false">(Sens!F7244+Sens!F7249+Sens!F7250+Sens!F7252+Sens!F7254-Sens!F7256)+(Sens!F7257+Sens!F7259+Sens!F7261-Sens!F7263)</f>
        <v>0</v>
      </c>
      <c r="G7265" s="23" t="n">
        <f aca="false">(Sens!G7244+Sens!G7249+Sens!G7250+Sens!G7252+Sens!G7254-Sens!G7256)+(Sens!G7257+Sens!G7259+Sens!G7261-Sens!G7263)</f>
        <v>0</v>
      </c>
      <c r="H7265" s="23" t="n">
        <f aca="false">(Sens!H7244+Sens!H7249+Sens!H7250+Sens!H7252+Sens!H7254-Sens!H7256)+(Sens!H7257+Sens!H7259+Sens!H7261-Sens!H7263)</f>
        <v>0</v>
      </c>
      <c r="I7265" s="23" t="n">
        <f aca="false">(Sens!I7244+Sens!I7249+Sens!I7250+Sens!I7252+Sens!I7254-Sens!I7256)+(Sens!I7257+Sens!I7259+Sens!I7261-Sens!I7263)</f>
        <v>0</v>
      </c>
      <c r="J7265" s="23" t="n">
        <f aca="false">(Sens!J7244+Sens!J7249+Sens!J7250+Sens!J7252+Sens!J7254-Sens!J7256)+(Sens!J7257+Sens!J7259+Sens!J7261-Sens!J7263)</f>
        <v>0</v>
      </c>
      <c r="K7265" s="23" t="n">
        <f aca="false">(Sens!K7244+Sens!K7249+Sens!K7250+Sens!K7252+Sens!K7254-Sens!K7256)+(Sens!K7257+Sens!K7259+Sens!K7261-Sens!K7263)</f>
        <v>0</v>
      </c>
    </row>
    <row r="7266" customFormat="false" ht="17.15" hidden="false" customHeight="false" outlineLevel="0" collapsed="false">
      <c r="A7266" s="3" t="s">
        <v>1321</v>
      </c>
    </row>
    <row r="7267" customFormat="false" ht="15" hidden="false" customHeight="false" outlineLevel="0" collapsed="false">
      <c r="A7267" s="4" t="s">
        <v>43</v>
      </c>
      <c r="B7267" s="4" t="s">
        <v>63</v>
      </c>
      <c r="C7267" s="19" t="s">
        <v>710</v>
      </c>
      <c r="D7267" s="19" t="s">
        <v>711</v>
      </c>
      <c r="E7267" s="19" t="s">
        <v>712</v>
      </c>
      <c r="F7267" s="19" t="s">
        <v>713</v>
      </c>
      <c r="G7267" s="19" t="s">
        <v>714</v>
      </c>
      <c r="H7267" s="19" t="s">
        <v>715</v>
      </c>
      <c r="I7267" s="19" t="s">
        <v>716</v>
      </c>
      <c r="J7267" s="19" t="s">
        <v>717</v>
      </c>
      <c r="K7267" s="19" t="s">
        <v>718</v>
      </c>
      <c r="L7267" s="4" t="s">
        <v>47</v>
      </c>
    </row>
    <row r="7268" customFormat="false" ht="15" hidden="false" customHeight="false" outlineLevel="0" collapsed="false">
      <c r="A7268" s="0" t="s">
        <v>783</v>
      </c>
      <c r="B7268" s="0" t="s">
        <v>95</v>
      </c>
      <c r="D7268" s="6" t="n">
        <f aca="false">Sens!D7244</f>
        <v>72.61</v>
      </c>
      <c r="E7268" s="6" t="n">
        <f aca="false">Sens!E7244</f>
        <v>101.938</v>
      </c>
      <c r="F7268" s="6" t="n">
        <f aca="false">Sens!F7244</f>
        <v>141.236051082565</v>
      </c>
      <c r="G7268" s="6" t="n">
        <f aca="false">Sens!G7244</f>
        <v>183.971535761056</v>
      </c>
      <c r="H7268" s="6" t="n">
        <f aca="false">Sens!H7244</f>
        <v>223.428097853739</v>
      </c>
      <c r="I7268" s="6" t="n">
        <f aca="false">Sens!I7244</f>
        <v>271.11158124909</v>
      </c>
      <c r="J7268" s="6" t="n">
        <f aca="false">Sens!J7244</f>
        <v>319.141987860504</v>
      </c>
      <c r="K7268" s="6" t="n">
        <f aca="false">Sens!K7244</f>
        <v>366.68460342914</v>
      </c>
    </row>
    <row r="7269" customFormat="false" ht="17.15" hidden="false" customHeight="false" outlineLevel="0" collapsed="false">
      <c r="A7269" s="0" t="s">
        <v>780</v>
      </c>
      <c r="B7269" s="0" t="s">
        <v>95</v>
      </c>
      <c r="D7269" s="6" t="n">
        <f aca="false">Sens!D7241</f>
        <v>12.9359794422418</v>
      </c>
      <c r="E7269" s="6" t="n">
        <f aca="false">Sens!E7241</f>
        <v>27.8095064661409</v>
      </c>
      <c r="F7269" s="6" t="n">
        <f aca="false">Sens!F7241</f>
        <v>50.6619113883066</v>
      </c>
      <c r="G7269" s="6" t="n">
        <f aca="false">Sens!G7241</f>
        <v>75.1482839325348</v>
      </c>
      <c r="H7269" s="6" t="n">
        <f aca="false">Sens!H7241</f>
        <v>94.895655604042</v>
      </c>
      <c r="I7269" s="6" t="n">
        <f aca="false">Sens!I7241</f>
        <v>121.918667866643</v>
      </c>
      <c r="J7269" s="6" t="n">
        <f aca="false">Sens!J7241</f>
        <v>149.006768672892</v>
      </c>
      <c r="K7269" s="6" t="n">
        <f aca="false">Sens!K7241</f>
        <v>176.133157939015</v>
      </c>
    </row>
    <row r="7270" customFormat="false" ht="17.15" hidden="false" customHeight="false" outlineLevel="0" collapsed="false">
      <c r="A7270" s="0" t="s">
        <v>807</v>
      </c>
      <c r="B7270" s="0" t="s">
        <v>95</v>
      </c>
      <c r="D7270" s="6" t="n">
        <f aca="false">Sens!D7242</f>
        <v>59.6740205577583</v>
      </c>
      <c r="E7270" s="6" t="n">
        <f aca="false">Sens!E7242</f>
        <v>74.1284935338591</v>
      </c>
      <c r="F7270" s="6" t="n">
        <f aca="false">Sens!F7242</f>
        <v>90.5741396942587</v>
      </c>
      <c r="G7270" s="6" t="n">
        <f aca="false">Sens!G7242</f>
        <v>108.823251828521</v>
      </c>
      <c r="H7270" s="6" t="n">
        <f aca="false">Sens!H7242</f>
        <v>128.532442249697</v>
      </c>
      <c r="I7270" s="6" t="n">
        <f aca="false">Sens!I7242</f>
        <v>149.192913382446</v>
      </c>
      <c r="J7270" s="6" t="n">
        <f aca="false">Sens!J7242</f>
        <v>170.135219187612</v>
      </c>
      <c r="K7270" s="6" t="n">
        <f aca="false">Sens!K7242</f>
        <v>190.551445490125</v>
      </c>
    </row>
    <row r="7271" customFormat="false" ht="15" hidden="false" customHeight="false" outlineLevel="0" collapsed="false">
      <c r="A7271" s="0" t="s">
        <v>788</v>
      </c>
      <c r="B7271" s="0" t="s">
        <v>95</v>
      </c>
      <c r="D7271" s="6" t="n">
        <f aca="false">Sens!D7249</f>
        <v>84.605</v>
      </c>
      <c r="E7271" s="6" t="n">
        <f aca="false">Sens!E7249</f>
        <v>100.299</v>
      </c>
      <c r="F7271" s="6" t="n">
        <f aca="false">Sens!F7249</f>
        <v>117.39238776686</v>
      </c>
      <c r="G7271" s="6" t="n">
        <f aca="false">Sens!G7249</f>
        <v>132.544168448684</v>
      </c>
      <c r="H7271" s="6" t="n">
        <f aca="false">Sens!H7249</f>
        <v>147.777359388781</v>
      </c>
      <c r="I7271" s="6" t="n">
        <f aca="false">Sens!I7249</f>
        <v>162.084028071957</v>
      </c>
      <c r="J7271" s="6" t="n">
        <f aca="false">Sens!J7249</f>
        <v>175.182702785465</v>
      </c>
      <c r="K7271" s="6" t="n">
        <f aca="false">Sens!K7249</f>
        <v>187.527991980448</v>
      </c>
    </row>
    <row r="7272" customFormat="false" ht="17.15" hidden="false" customHeight="false" outlineLevel="0" collapsed="false">
      <c r="A7272" s="0" t="s">
        <v>808</v>
      </c>
      <c r="B7272" s="0" t="s">
        <v>95</v>
      </c>
      <c r="D7272" s="6" t="n">
        <f aca="false">Sens!D7247</f>
        <v>83.705</v>
      </c>
      <c r="E7272" s="6" t="n">
        <f aca="false">Sens!E7247</f>
        <v>95.049</v>
      </c>
      <c r="F7272" s="6" t="n">
        <f aca="false">Sens!F7247</f>
        <v>106.89238776686</v>
      </c>
      <c r="G7272" s="6" t="n">
        <f aca="false">Sens!G7247</f>
        <v>119.044168448684</v>
      </c>
      <c r="H7272" s="6" t="n">
        <f aca="false">Sens!H7247</f>
        <v>131.277359388781</v>
      </c>
      <c r="I7272" s="6" t="n">
        <f aca="false">Sens!I7247</f>
        <v>143.334028071957</v>
      </c>
      <c r="J7272" s="6" t="n">
        <f aca="false">Sens!J7247</f>
        <v>154.932702785465</v>
      </c>
      <c r="K7272" s="6" t="n">
        <f aca="false">Sens!K7247</f>
        <v>165.777991980448</v>
      </c>
    </row>
    <row r="7273" customFormat="false" ht="17.15" hidden="false" customHeight="false" outlineLevel="0" collapsed="false">
      <c r="A7273" s="0" t="s">
        <v>809</v>
      </c>
      <c r="B7273" s="0" t="s">
        <v>95</v>
      </c>
      <c r="D7273" s="6" t="n">
        <f aca="false">Sens!D7246</f>
        <v>0.9</v>
      </c>
      <c r="E7273" s="6" t="n">
        <f aca="false">Sens!E7246</f>
        <v>5.25</v>
      </c>
      <c r="F7273" s="6" t="n">
        <f aca="false">Sens!F7246</f>
        <v>10.5</v>
      </c>
      <c r="G7273" s="6" t="n">
        <f aca="false">Sens!G7246</f>
        <v>13.5</v>
      </c>
      <c r="H7273" s="6" t="n">
        <f aca="false">Sens!H7246</f>
        <v>16.5</v>
      </c>
      <c r="I7273" s="6" t="n">
        <f aca="false">Sens!I7246</f>
        <v>18.75</v>
      </c>
      <c r="J7273" s="6" t="n">
        <f aca="false">Sens!J7246</f>
        <v>20.25</v>
      </c>
      <c r="K7273" s="6" t="n">
        <f aca="false">Sens!K7246</f>
        <v>21.75</v>
      </c>
    </row>
    <row r="7274" customFormat="false" ht="15" hidden="false" customHeight="false" outlineLevel="0" collapsed="false">
      <c r="A7274" s="0" t="s">
        <v>789</v>
      </c>
      <c r="B7274" s="0" t="s">
        <v>95</v>
      </c>
      <c r="D7274" s="6" t="n">
        <f aca="false">Sens!D7250</f>
        <v>35.391</v>
      </c>
      <c r="E7274" s="6" t="n">
        <f aca="false">Sens!E7250</f>
        <v>37.285</v>
      </c>
      <c r="F7274" s="6" t="n">
        <f aca="false">Sens!F7250</f>
        <v>39.0720834331704</v>
      </c>
      <c r="G7274" s="6" t="n">
        <f aca="false">Sens!G7250</f>
        <v>40.726562953769</v>
      </c>
      <c r="H7274" s="6" t="n">
        <f aca="false">Sens!H7250</f>
        <v>42.2235987259198</v>
      </c>
      <c r="I7274" s="6" t="n">
        <f aca="false">Sens!I7250</f>
        <v>43.5397988077414</v>
      </c>
      <c r="J7274" s="6" t="n">
        <f aca="false">Sens!J7250</f>
        <v>44.653811225693</v>
      </c>
      <c r="K7274" s="6" t="n">
        <f aca="false">Sens!K7250</f>
        <v>45.5468874502068</v>
      </c>
    </row>
    <row r="7275" customFormat="false" ht="15" hidden="false" customHeight="false" outlineLevel="0" collapsed="false">
      <c r="A7275" s="0" t="s">
        <v>790</v>
      </c>
      <c r="B7275" s="0" t="s">
        <v>95</v>
      </c>
      <c r="D7275" s="6" t="n">
        <f aca="false">Sens!D7252</f>
        <v>18.417</v>
      </c>
      <c r="E7275" s="6" t="n">
        <f aca="false">Sens!E7252</f>
        <v>20.345</v>
      </c>
      <c r="F7275" s="6" t="n">
        <f aca="false">Sens!F7252</f>
        <v>22.3572203267814</v>
      </c>
      <c r="G7275" s="6" t="n">
        <f aca="false">Sens!G7252</f>
        <v>24.4392124437232</v>
      </c>
      <c r="H7275" s="6" t="n">
        <f aca="false">Sens!H7252</f>
        <v>26.5738052080665</v>
      </c>
      <c r="I7275" s="6" t="n">
        <f aca="false">Sens!I7252</f>
        <v>28.7412169166967</v>
      </c>
      <c r="J7275" s="6" t="n">
        <f aca="false">Sens!J7252</f>
        <v>30.9192545395413</v>
      </c>
      <c r="K7275" s="6" t="n">
        <f aca="false">Sens!K7252</f>
        <v>33.0836023573092</v>
      </c>
    </row>
    <row r="7276" customFormat="false" ht="15" hidden="false" customHeight="false" outlineLevel="0" collapsed="false">
      <c r="A7276" s="0" t="s">
        <v>791</v>
      </c>
      <c r="B7276" s="0" t="s">
        <v>95</v>
      </c>
      <c r="D7276" s="6" t="n">
        <f aca="false">Sens!D7254</f>
        <v>7.76</v>
      </c>
      <c r="E7276" s="6" t="n">
        <f aca="false">Sens!E7254</f>
        <v>8.26</v>
      </c>
      <c r="F7276" s="6" t="n">
        <f aca="false">Sens!F7254</f>
        <v>8.79988041237113</v>
      </c>
      <c r="G7276" s="6" t="n">
        <f aca="false">Sens!G7254</f>
        <v>9.38321269125306</v>
      </c>
      <c r="H7276" s="6" t="n">
        <f aca="false">Sens!H7254</f>
        <v>10.0139193587476</v>
      </c>
      <c r="I7276" s="6" t="n">
        <f aca="false">Sens!I7254</f>
        <v>10.6963111830911</v>
      </c>
      <c r="J7276" s="6" t="n">
        <f aca="false">Sens!J7254</f>
        <v>11.4351285534696</v>
      </c>
      <c r="K7276" s="6" t="n">
        <f aca="false">Sens!K7254</f>
        <v>12.2355875522124</v>
      </c>
    </row>
    <row r="7277" customFormat="false" ht="15" hidden="false" customHeight="false" outlineLevel="0" collapsed="false">
      <c r="A7277" s="0" t="s">
        <v>626</v>
      </c>
      <c r="B7277" s="0" t="s">
        <v>95</v>
      </c>
      <c r="D7277" s="6" t="n">
        <f aca="false">Sens!D7256</f>
        <v>218.783</v>
      </c>
      <c r="E7277" s="6" t="n">
        <f aca="false">Sens!E7256</f>
        <v>268.127</v>
      </c>
      <c r="F7277" s="6" t="n">
        <f aca="false">Sens!F7256</f>
        <v>328.857623021748</v>
      </c>
      <c r="G7277" s="6" t="n">
        <f aca="false">Sens!G7256</f>
        <v>391.064692298485</v>
      </c>
      <c r="H7277" s="6" t="n">
        <f aca="false">Sens!H7256</f>
        <v>450.016780535254</v>
      </c>
      <c r="I7277" s="6" t="n">
        <f aca="false">Sens!I7256</f>
        <v>516.172936228576</v>
      </c>
      <c r="J7277" s="6" t="n">
        <f aca="false">Sens!J7256</f>
        <v>581.332884964673</v>
      </c>
      <c r="K7277" s="6" t="n">
        <f aca="false">Sens!K7256</f>
        <v>645.078672769317</v>
      </c>
    </row>
    <row r="7278" customFormat="false" ht="15" hidden="false" customHeight="false" outlineLevel="0" collapsed="false">
      <c r="A7278" s="0" t="s">
        <v>792</v>
      </c>
      <c r="B7278" s="0" t="s">
        <v>95</v>
      </c>
      <c r="D7278" s="6" t="n">
        <f aca="false">Sens!D7257</f>
        <v>22.171</v>
      </c>
      <c r="E7278" s="6" t="n">
        <f aca="false">Sens!E7257</f>
        <v>24.835</v>
      </c>
      <c r="F7278" s="6" t="n">
        <f aca="false">Sens!F7257</f>
        <v>27.6114901218559</v>
      </c>
      <c r="G7278" s="6" t="n">
        <f aca="false">Sens!G7257</f>
        <v>30.4675667338515</v>
      </c>
      <c r="H7278" s="6" t="n">
        <f aca="false">Sens!H7257</f>
        <v>33.3643766955789</v>
      </c>
      <c r="I7278" s="6" t="n">
        <f aca="false">Sens!I7257</f>
        <v>36.2577016533691</v>
      </c>
      <c r="J7278" s="6" t="n">
        <f aca="false">Sens!J7257</f>
        <v>39.0988367952171</v>
      </c>
      <c r="K7278" s="6" t="n">
        <f aca="false">Sens!K7257</f>
        <v>41.8357553708823</v>
      </c>
    </row>
    <row r="7279" customFormat="false" ht="15" hidden="false" customHeight="false" outlineLevel="0" collapsed="false">
      <c r="A7279" s="0" t="s">
        <v>793</v>
      </c>
      <c r="B7279" s="0" t="s">
        <v>95</v>
      </c>
      <c r="D7279" s="6" t="n">
        <f aca="false">Sens!D7259</f>
        <v>23.455</v>
      </c>
      <c r="E7279" s="6" t="n">
        <f aca="false">Sens!E7259</f>
        <v>21.79</v>
      </c>
      <c r="F7279" s="6" t="n">
        <f aca="false">Sens!F7259</f>
        <v>20.5736277908051</v>
      </c>
      <c r="G7279" s="6" t="n">
        <f aca="false">Sens!G7259</f>
        <v>19.7371452817919</v>
      </c>
      <c r="H7279" s="6" t="n">
        <f aca="false">Sens!H7259</f>
        <v>19.2339764043138</v>
      </c>
      <c r="I7279" s="6" t="n">
        <f aca="false">Sens!I7259</f>
        <v>19.0353086852681</v>
      </c>
      <c r="J7279" s="6" t="n">
        <f aca="false">Sens!J7259</f>
        <v>19.1273539319129</v>
      </c>
      <c r="K7279" s="6" t="n">
        <f aca="false">Sens!K7259</f>
        <v>19.5099010105511</v>
      </c>
    </row>
    <row r="7280" customFormat="false" ht="15" hidden="false" customHeight="false" outlineLevel="0" collapsed="false">
      <c r="A7280" s="0" t="s">
        <v>794</v>
      </c>
      <c r="B7280" s="0" t="s">
        <v>95</v>
      </c>
      <c r="D7280" s="6" t="n">
        <f aca="false">Sens!D7261</f>
        <v>17.315</v>
      </c>
      <c r="E7280" s="6" t="n">
        <f aca="false">Sens!E7261</f>
        <v>17.087</v>
      </c>
      <c r="F7280" s="6" t="n">
        <f aca="false">Sens!F7261</f>
        <v>16.9564585436519</v>
      </c>
      <c r="G7280" s="6" t="n">
        <f aca="false">Sens!G7261</f>
        <v>16.9206490624268</v>
      </c>
      <c r="H7280" s="6" t="n">
        <f aca="false">Sens!H7261</f>
        <v>16.9784519149849</v>
      </c>
      <c r="I7280" s="6" t="n">
        <f aca="false">Sens!I7261</f>
        <v>17.1303084701817</v>
      </c>
      <c r="J7280" s="6" t="n">
        <f aca="false">Sens!J7261</f>
        <v>17.3782189407267</v>
      </c>
      <c r="K7280" s="6" t="n">
        <f aca="false">Sens!K7261</f>
        <v>17.7257833195413</v>
      </c>
    </row>
    <row r="7281" customFormat="false" ht="15" hidden="false" customHeight="false" outlineLevel="0" collapsed="false">
      <c r="A7281" s="0" t="s">
        <v>640</v>
      </c>
      <c r="B7281" s="0" t="s">
        <v>95</v>
      </c>
      <c r="D7281" s="6" t="n">
        <f aca="false">Sens!D7263</f>
        <v>62.941</v>
      </c>
      <c r="E7281" s="6" t="n">
        <f aca="false">Sens!E7263</f>
        <v>63.712</v>
      </c>
      <c r="F7281" s="6" t="n">
        <f aca="false">Sens!F7263</f>
        <v>65.1415764563129</v>
      </c>
      <c r="G7281" s="6" t="n">
        <f aca="false">Sens!G7263</f>
        <v>67.1253610780702</v>
      </c>
      <c r="H7281" s="6" t="n">
        <f aca="false">Sens!H7263</f>
        <v>69.5768050148776</v>
      </c>
      <c r="I7281" s="6" t="n">
        <f aca="false">Sens!I7263</f>
        <v>72.4233188088189</v>
      </c>
      <c r="J7281" s="6" t="n">
        <f aca="false">Sens!J7263</f>
        <v>75.6044096678567</v>
      </c>
      <c r="K7281" s="6" t="n">
        <f aca="false">Sens!K7263</f>
        <v>79.0714397009747</v>
      </c>
    </row>
    <row r="7282" customFormat="false" ht="15" hidden="false" customHeight="false" outlineLevel="0" collapsed="false">
      <c r="A7282" s="1" t="s">
        <v>810</v>
      </c>
      <c r="B7282" s="0" t="s">
        <v>95</v>
      </c>
      <c r="D7282" s="6" t="n">
        <f aca="false">Sens!D7264</f>
        <v>281.724</v>
      </c>
      <c r="E7282" s="6" t="n">
        <f aca="false">Sens!E7264</f>
        <v>331.839</v>
      </c>
      <c r="F7282" s="6" t="n">
        <f aca="false">Sens!F7264</f>
        <v>393.999199478061</v>
      </c>
      <c r="G7282" s="6" t="n">
        <f aca="false">Sens!G7264</f>
        <v>458.190053376556</v>
      </c>
      <c r="H7282" s="6" t="n">
        <f aca="false">Sens!H7264</f>
        <v>519.593585550132</v>
      </c>
      <c r="I7282" s="6" t="n">
        <f aca="false">Sens!I7264</f>
        <v>588.596255037394</v>
      </c>
      <c r="J7282" s="6" t="n">
        <f aca="false">Sens!J7264</f>
        <v>656.937294632529</v>
      </c>
      <c r="K7282" s="6" t="n">
        <f aca="false">Sens!K7264</f>
        <v>724.150112470291</v>
      </c>
    </row>
    <row r="7283" customFormat="false" ht="15" hidden="false" customHeight="false" outlineLevel="0" collapsed="false">
      <c r="A7283" s="1" t="s">
        <v>811</v>
      </c>
      <c r="B7283" s="0" t="s">
        <v>126</v>
      </c>
      <c r="E7283" s="7" t="n">
        <f aca="false">Sens!E7282/Sens!D7282-1</f>
        <v>0.177886867998467</v>
      </c>
      <c r="F7283" s="7" t="n">
        <f aca="false">Sens!F7282/Sens!E7282-1</f>
        <v>0.187320355588285</v>
      </c>
      <c r="G7283" s="7" t="n">
        <f aca="false">Sens!G7282/Sens!F7282-1</f>
        <v>0.162921280001405</v>
      </c>
      <c r="H7283" s="7" t="n">
        <f aca="false">Sens!H7282/Sens!G7282-1</f>
        <v>0.13401323691135</v>
      </c>
      <c r="I7283" s="7" t="n">
        <f aca="false">Sens!I7282/Sens!H7282-1</f>
        <v>0.132801234284299</v>
      </c>
      <c r="J7283" s="7" t="n">
        <f aca="false">Sens!J7282/Sens!I7282-1</f>
        <v>0.116108519227315</v>
      </c>
      <c r="K7283" s="7" t="n">
        <f aca="false">Sens!K7282/Sens!J7282-1</f>
        <v>0.102312379563348</v>
      </c>
    </row>
    <row r="7284" customFormat="false" ht="17.15" hidden="false" customHeight="false" outlineLevel="0" collapsed="false">
      <c r="A7284" s="22" t="s">
        <v>812</v>
      </c>
      <c r="B7284" s="28" t="s">
        <v>95</v>
      </c>
      <c r="C7284" s="28"/>
      <c r="D7284" s="23" t="n">
        <f aca="false">(Sens!D7277+Sens!D7281-Sens!D7282)+(Sens!D7269+Sens!D7270-Sens!D7268)+(Sens!D7272+Sens!D7273-Sens!D7271)+(Sens!D7282-Q!L18)</f>
        <v>0</v>
      </c>
      <c r="E7284" s="23" t="n">
        <f aca="false">(Sens!E7277+Sens!E7281-Sens!E7282)+(Sens!E7269+Sens!E7270-Sens!E7268)+(Sens!E7272+Sens!E7273-Sens!E7271)+(Sens!E7282-Q!M18)</f>
        <v>0</v>
      </c>
      <c r="F7284" s="23" t="n">
        <f aca="false">(Sens!F7277+Sens!F7281-Sens!F7282)+(Sens!F7269+Sens!F7270-Sens!F7268)+(Sens!F7272+Sens!F7273-Sens!F7271)</f>
        <v>0</v>
      </c>
      <c r="G7284" s="23" t="n">
        <f aca="false">(Sens!G7277+Sens!G7281-Sens!G7282)+(Sens!G7269+Sens!G7270-Sens!G7268)+(Sens!G7272+Sens!G7273-Sens!G7271)</f>
        <v>0</v>
      </c>
      <c r="H7284" s="23" t="n">
        <f aca="false">(Sens!H7277+Sens!H7281-Sens!H7282)+(Sens!H7269+Sens!H7270-Sens!H7268)+(Sens!H7272+Sens!H7273-Sens!H7271)</f>
        <v>0</v>
      </c>
      <c r="I7284" s="23" t="n">
        <f aca="false">(Sens!I7277+Sens!I7281-Sens!I7282)+(Sens!I7269+Sens!I7270-Sens!I7268)+(Sens!I7272+Sens!I7273-Sens!I7271)</f>
        <v>0</v>
      </c>
      <c r="J7284" s="23" t="n">
        <f aca="false">(Sens!J7277+Sens!J7281-Sens!J7282)+(Sens!J7269+Sens!J7270-Sens!J7268)+(Sens!J7272+Sens!J7273-Sens!J7271)</f>
        <v>0</v>
      </c>
      <c r="K7284" s="23" t="n">
        <f aca="false">(Sens!K7277+Sens!K7281-Sens!K7282)+(Sens!K7269+Sens!K7270-Sens!K7268)+(Sens!K7272+Sens!K7273-Sens!K7271)</f>
        <v>0</v>
      </c>
    </row>
    <row r="7285" customFormat="false" ht="17.15" hidden="false" customHeight="false" outlineLevel="0" collapsed="false">
      <c r="A7285" s="0" t="s">
        <v>813</v>
      </c>
      <c r="B7285" s="0" t="s">
        <v>126</v>
      </c>
      <c r="E7285" s="7" t="n">
        <f aca="false">(Q!M21+Sens!E7222+Sens!E7223+Sens!E7224+Sens!E7237-Sens!E7220)/(Q!M5-Sens!E7220)</f>
        <v>0.570957350878296</v>
      </c>
      <c r="F7285" s="7" t="n">
        <f aca="false">Sens!$E$7285+dm_seg</f>
        <v>0.570957350878296</v>
      </c>
      <c r="G7285" s="7" t="n">
        <f aca="false">Sens!$E$7285+dm_seg</f>
        <v>0.570957350878296</v>
      </c>
      <c r="H7285" s="7" t="n">
        <f aca="false">Sens!$E$7285+dm_seg</f>
        <v>0.570957350878296</v>
      </c>
      <c r="I7285" s="7" t="n">
        <f aca="false">Sens!$E$7285+dm_seg</f>
        <v>0.570957350878296</v>
      </c>
      <c r="J7285" s="7" t="n">
        <f aca="false">Sens!$E$7285+dm_seg</f>
        <v>0.570957350878296</v>
      </c>
      <c r="K7285" s="7" t="n">
        <f aca="false">Sens!$E$7285+dm_seg</f>
        <v>0.570957350878296</v>
      </c>
      <c r="L7285" s="11" t="s">
        <v>814</v>
      </c>
    </row>
    <row r="7286" customFormat="false" ht="17.15" hidden="false" customHeight="false" outlineLevel="0" collapsed="false">
      <c r="A7286" s="0" t="s">
        <v>654</v>
      </c>
      <c r="B7286" s="0" t="s">
        <v>95</v>
      </c>
      <c r="D7286" s="6" t="n">
        <f aca="false">Q!L21</f>
        <v>110.814</v>
      </c>
      <c r="E7286" s="6" t="n">
        <f aca="false">Q!M21</f>
        <v>136.365</v>
      </c>
      <c r="F7286" s="6" t="n">
        <f aca="false">Sens!F7285*(Sens!F7256-Sens!F7220)+Sens!F7220-(Sens!F7222+Sens!F7223+Sens!F7224)-Sens!F7237</f>
        <v>152.617502595376</v>
      </c>
      <c r="G7286" s="6" t="n">
        <f aca="false">Sens!G7285*(Sens!G7256-Sens!G7220)+Sens!G7220-(Sens!G7222+Sens!G7223+Sens!G7224)-Sens!G7237</f>
        <v>161.325401354955</v>
      </c>
      <c r="H7286" s="6" t="n">
        <f aca="false">Sens!H7285*(Sens!H7256-Sens!H7220)+Sens!H7220-(Sens!H7222+Sens!H7223+Sens!H7224)-Sens!H7237</f>
        <v>165.024413086086</v>
      </c>
      <c r="I7286" s="6" t="n">
        <f aca="false">Sens!I7285*(Sens!I7256-Sens!I7220)+Sens!I7220-(Sens!I7222+Sens!I7223+Sens!I7224)-Sens!I7237</f>
        <v>174.908099071947</v>
      </c>
      <c r="J7286" s="6" t="n">
        <f aca="false">Sens!J7285*(Sens!J7256-Sens!J7220)+Sens!J7220-(Sens!J7222+Sens!J7223+Sens!J7224)-Sens!J7237</f>
        <v>183.262578508187</v>
      </c>
      <c r="K7286" s="6" t="n">
        <f aca="false">Sens!K7285*(Sens!K7256-Sens!K7220)+Sens!K7220-(Sens!K7222+Sens!K7223+Sens!K7224)-Sens!K7237</f>
        <v>189.52903445815</v>
      </c>
      <c r="L7286" s="1" t="s">
        <v>815</v>
      </c>
    </row>
    <row r="7287" customFormat="false" ht="17.15" hidden="false" customHeight="false" outlineLevel="0" collapsed="false">
      <c r="A7287" s="0" t="s">
        <v>816</v>
      </c>
      <c r="B7287" s="0" t="s">
        <v>126</v>
      </c>
      <c r="E7287" s="7" t="n">
        <f aca="false">Q!M22/Q!M12</f>
        <v>0.296207935710698</v>
      </c>
      <c r="F7287" s="7" t="n">
        <f aca="false">Sens!$E$7287+dm_seg</f>
        <v>0.296207935710698</v>
      </c>
      <c r="G7287" s="7" t="n">
        <f aca="false">Sens!$E$7287+dm_seg</f>
        <v>0.296207935710698</v>
      </c>
      <c r="H7287" s="7" t="n">
        <f aca="false">Sens!$E$7287+dm_seg</f>
        <v>0.296207935710698</v>
      </c>
      <c r="I7287" s="7" t="n">
        <f aca="false">Sens!$E$7287+dm_seg</f>
        <v>0.296207935710698</v>
      </c>
      <c r="J7287" s="7" t="n">
        <f aca="false">Sens!$E$7287+dm_seg</f>
        <v>0.296207935710698</v>
      </c>
      <c r="K7287" s="7" t="n">
        <f aca="false">Sens!$E$7287+dm_seg</f>
        <v>0.296207935710698</v>
      </c>
      <c r="L7287" s="11" t="s">
        <v>817</v>
      </c>
    </row>
    <row r="7288" customFormat="false" ht="17.15" hidden="false" customHeight="false" outlineLevel="0" collapsed="false">
      <c r="A7288" s="0" t="s">
        <v>656</v>
      </c>
      <c r="B7288" s="0" t="s">
        <v>95</v>
      </c>
      <c r="D7288" s="6" t="n">
        <f aca="false">Q!L22</f>
        <v>17.714</v>
      </c>
      <c r="E7288" s="6" t="n">
        <f aca="false">Q!M22</f>
        <v>18.872</v>
      </c>
      <c r="F7288" s="6" t="n">
        <f aca="false">Sens!F7263*Sens!F7287</f>
        <v>19.2954518910651</v>
      </c>
      <c r="G7288" s="6" t="n">
        <f aca="false">Sens!G7263*Sens!G7287</f>
        <v>19.8830646387704</v>
      </c>
      <c r="H7288" s="6" t="n">
        <f aca="false">Sens!H7263*Sens!H7287</f>
        <v>20.6092017868026</v>
      </c>
      <c r="I7288" s="6" t="n">
        <f aca="false">Sens!I7263*Sens!I7287</f>
        <v>21.452361761678</v>
      </c>
      <c r="J7288" s="6" t="n">
        <f aca="false">Sens!J7263*Sens!J7287</f>
        <v>22.3946261183418</v>
      </c>
      <c r="K7288" s="6" t="n">
        <f aca="false">Sens!K7263*Sens!K7287</f>
        <v>23.4215879274986</v>
      </c>
    </row>
    <row r="7289" customFormat="false" ht="15" hidden="false" customHeight="false" outlineLevel="0" collapsed="false">
      <c r="A7289" s="1" t="s">
        <v>818</v>
      </c>
      <c r="B7289" s="0" t="s">
        <v>95</v>
      </c>
      <c r="D7289" s="6" t="n">
        <f aca="false">Sens!D7286+Sens!D7288</f>
        <v>128.528</v>
      </c>
      <c r="E7289" s="6" t="n">
        <f aca="false">Sens!E7286+Sens!E7288</f>
        <v>155.237</v>
      </c>
      <c r="F7289" s="6" t="n">
        <f aca="false">Sens!F7286+Sens!F7288</f>
        <v>171.912954486441</v>
      </c>
      <c r="G7289" s="6" t="n">
        <f aca="false">Sens!G7286+Sens!G7288</f>
        <v>181.208465993725</v>
      </c>
      <c r="H7289" s="6" t="n">
        <f aca="false">Sens!H7286+Sens!H7288</f>
        <v>185.633614872889</v>
      </c>
      <c r="I7289" s="6" t="n">
        <f aca="false">Sens!I7286+Sens!I7288</f>
        <v>196.360460833625</v>
      </c>
      <c r="J7289" s="6" t="n">
        <f aca="false">Sens!J7286+Sens!J7288</f>
        <v>205.657204626528</v>
      </c>
      <c r="K7289" s="6" t="n">
        <f aca="false">Sens!K7286+Sens!K7288</f>
        <v>212.950622385648</v>
      </c>
    </row>
    <row r="7290" customFormat="false" ht="15" hidden="false" customHeight="false" outlineLevel="0" collapsed="false">
      <c r="A7290" s="22" t="s">
        <v>819</v>
      </c>
      <c r="B7290" s="28" t="s">
        <v>95</v>
      </c>
      <c r="C7290" s="28"/>
      <c r="D7290" s="23" t="n">
        <f aca="false">Sens!D7289-Q!L23</f>
        <v>0</v>
      </c>
      <c r="E7290" s="23" t="n">
        <f aca="false">Sens!E7289-Q!M23</f>
        <v>0</v>
      </c>
      <c r="F7290" s="28"/>
      <c r="G7290" s="28"/>
      <c r="H7290" s="28"/>
      <c r="I7290" s="28"/>
      <c r="J7290" s="28"/>
      <c r="K7290" s="28"/>
    </row>
    <row r="7291" customFormat="false" ht="15" hidden="false" customHeight="false" outlineLevel="0" collapsed="false">
      <c r="A7291" s="1" t="s">
        <v>820</v>
      </c>
      <c r="B7291" s="0" t="s">
        <v>126</v>
      </c>
      <c r="D7291" s="7" t="n">
        <f aca="false">Sens!D7289/Sens!D7282</f>
        <v>0.456219562408598</v>
      </c>
      <c r="E7291" s="7" t="n">
        <f aca="false">Sens!E7289/Sens!E7282</f>
        <v>0.467808184089272</v>
      </c>
      <c r="F7291" s="7" t="n">
        <f aca="false">Sens!F7289/Sens!F7282</f>
        <v>0.436328182174425</v>
      </c>
      <c r="G7291" s="7" t="n">
        <f aca="false">Sens!G7289/Sens!G7282</f>
        <v>0.395487559492702</v>
      </c>
      <c r="H7291" s="7" t="n">
        <f aca="false">Sens!H7289/Sens!H7282</f>
        <v>0.357266948698654</v>
      </c>
      <c r="I7291" s="7" t="n">
        <f aca="false">Sens!I7289/Sens!I7282</f>
        <v>0.333608070308144</v>
      </c>
      <c r="J7291" s="7" t="n">
        <f aca="false">Sens!J7289/Sens!J7282</f>
        <v>0.31305454311521</v>
      </c>
      <c r="K7291" s="7" t="n">
        <f aca="false">Sens!K7289/Sens!K7282</f>
        <v>0.294069722172949</v>
      </c>
    </row>
    <row r="7292" customFormat="false" ht="17.15" hidden="false" customHeight="false" outlineLevel="0" collapsed="false">
      <c r="A7292" s="1" t="s">
        <v>821</v>
      </c>
      <c r="B7292" s="0" t="s">
        <v>95</v>
      </c>
      <c r="E7292" s="6" t="n">
        <f aca="false">Sens!E7237</f>
        <v>16.3054059770833</v>
      </c>
      <c r="F7292" s="6" t="n">
        <f aca="false">Sens!F7237</f>
        <v>34.7447989565883</v>
      </c>
      <c r="G7292" s="6" t="n">
        <f aca="false">Sens!G7237</f>
        <v>60.5152602617765</v>
      </c>
      <c r="H7292" s="6" t="n">
        <f aca="false">Sens!H7237</f>
        <v>87.7508429945765</v>
      </c>
      <c r="I7292" s="6" t="n">
        <f aca="false">Sens!I7237</f>
        <v>116.00570874256</v>
      </c>
      <c r="J7292" s="6" t="n">
        <f aca="false">Sens!J7237</f>
        <v>145.23280495971</v>
      </c>
      <c r="K7292" s="6" t="n">
        <f aca="false">Sens!K7237</f>
        <v>175.747449636027</v>
      </c>
    </row>
    <row r="7293" customFormat="false" ht="17.15" hidden="false" customHeight="false" outlineLevel="0" collapsed="false">
      <c r="A7293" s="1" t="s">
        <v>822</v>
      </c>
      <c r="B7293" s="0" t="s">
        <v>95</v>
      </c>
      <c r="E7293" s="6" t="n">
        <f aca="false">Sens!E7313</f>
        <v>22.2285940229167</v>
      </c>
      <c r="F7293" s="6" t="n">
        <f aca="false">Sens!F7313</f>
        <v>23.5585531427191</v>
      </c>
      <c r="G7293" s="6" t="n">
        <f aca="false">Sens!G7313</f>
        <v>25.3088837179903</v>
      </c>
      <c r="H7293" s="6" t="n">
        <f aca="false">Sens!H7313</f>
        <v>27.4693559038815</v>
      </c>
      <c r="I7293" s="6" t="n">
        <f aca="false">Sens!I7313</f>
        <v>30.0099445646696</v>
      </c>
      <c r="J7293" s="6" t="n">
        <f aca="false">Sens!J7313</f>
        <v>32.8868684707056</v>
      </c>
      <c r="K7293" s="6" t="n">
        <f aca="false">Sens!K7313</f>
        <v>36.0485732736474</v>
      </c>
    </row>
    <row r="7294" customFormat="false" ht="17.15" hidden="false" customHeight="false" outlineLevel="0" collapsed="false">
      <c r="A7294" s="1" t="s">
        <v>823</v>
      </c>
      <c r="B7294" s="0" t="s">
        <v>95</v>
      </c>
      <c r="D7294" s="6" t="n">
        <f aca="false">Q!L27</f>
        <v>-4.901</v>
      </c>
      <c r="E7294" s="6" t="n">
        <f aca="false">Q!M27</f>
        <v>10.697</v>
      </c>
      <c r="F7294" s="6" t="n">
        <f aca="false">oie_f</f>
        <v>-0.4</v>
      </c>
      <c r="G7294" s="6" t="n">
        <f aca="false">oie_f</f>
        <v>-0.4</v>
      </c>
      <c r="H7294" s="6" t="n">
        <f aca="false">oie_f</f>
        <v>-0.4</v>
      </c>
      <c r="I7294" s="6" t="n">
        <f aca="false">oie_f</f>
        <v>-0.4</v>
      </c>
      <c r="J7294" s="6" t="n">
        <f aca="false">oie_f</f>
        <v>-0.4</v>
      </c>
      <c r="K7294" s="6" t="n">
        <f aca="false">oie_f</f>
        <v>-0.4</v>
      </c>
      <c r="L7294" s="11" t="s">
        <v>824</v>
      </c>
    </row>
    <row r="7295" customFormat="false" ht="15" hidden="false" customHeight="false" outlineLevel="0" collapsed="false">
      <c r="A7295" s="1" t="s">
        <v>666</v>
      </c>
      <c r="B7295" s="0" t="s">
        <v>95</v>
      </c>
      <c r="D7295" s="6" t="n">
        <f aca="false">Sens!D7289+Sens!D7294</f>
        <v>123.627</v>
      </c>
      <c r="E7295" s="6" t="n">
        <f aca="false">Sens!E7289+Sens!E7294</f>
        <v>165.934</v>
      </c>
      <c r="F7295" s="6" t="n">
        <f aca="false">Sens!F7289+Sens!F7294</f>
        <v>171.512954486441</v>
      </c>
      <c r="G7295" s="6" t="n">
        <f aca="false">Sens!G7289+Sens!G7294</f>
        <v>180.808465993725</v>
      </c>
      <c r="H7295" s="6" t="n">
        <f aca="false">Sens!H7289+Sens!H7294</f>
        <v>185.233614872889</v>
      </c>
      <c r="I7295" s="6" t="n">
        <f aca="false">Sens!I7289+Sens!I7294</f>
        <v>195.960460833625</v>
      </c>
      <c r="J7295" s="6" t="n">
        <f aca="false">Sens!J7289+Sens!J7294</f>
        <v>205.257204626528</v>
      </c>
      <c r="K7295" s="6" t="n">
        <f aca="false">Sens!K7289+Sens!K7294</f>
        <v>212.550622385648</v>
      </c>
    </row>
    <row r="7296" customFormat="false" ht="15" hidden="false" customHeight="false" outlineLevel="0" collapsed="false">
      <c r="A7296" s="1" t="s">
        <v>668</v>
      </c>
      <c r="B7296" s="0" t="s">
        <v>95</v>
      </c>
      <c r="D7296" s="6" t="n">
        <f aca="false">Q!L29</f>
        <v>21.795</v>
      </c>
      <c r="E7296" s="6" t="n">
        <f aca="false">Q!M29</f>
        <v>32.185</v>
      </c>
      <c r="F7296" s="6" t="n">
        <f aca="false">Sens!F7295*tax_f</f>
        <v>34.3025908972882</v>
      </c>
      <c r="G7296" s="6" t="n">
        <f aca="false">Sens!G7295*tax_f</f>
        <v>36.161693198745</v>
      </c>
      <c r="H7296" s="6" t="n">
        <f aca="false">Sens!H7295*tax_f</f>
        <v>37.0467229745777</v>
      </c>
      <c r="I7296" s="6" t="n">
        <f aca="false">Sens!I7295*tax_f</f>
        <v>39.192092166725</v>
      </c>
      <c r="J7296" s="6" t="n">
        <f aca="false">Sens!J7295*tax_f</f>
        <v>41.0514409253057</v>
      </c>
      <c r="K7296" s="6" t="n">
        <f aca="false">Sens!K7295*tax_f</f>
        <v>42.5101244771297</v>
      </c>
    </row>
    <row r="7297" customFormat="false" ht="15" hidden="false" customHeight="false" outlineLevel="0" collapsed="false">
      <c r="A7297" s="1" t="s">
        <v>825</v>
      </c>
      <c r="B7297" s="0" t="s">
        <v>95</v>
      </c>
      <c r="D7297" s="6" t="n">
        <f aca="false">Sens!D7295-Sens!D7296</f>
        <v>101.832</v>
      </c>
      <c r="E7297" s="6" t="n">
        <f aca="false">Sens!E7295-Sens!E7296</f>
        <v>133.749</v>
      </c>
      <c r="F7297" s="6" t="n">
        <f aca="false">Sens!F7295-Sens!F7296</f>
        <v>137.210363589153</v>
      </c>
      <c r="G7297" s="6" t="n">
        <f aca="false">Sens!G7295-Sens!G7296</f>
        <v>144.64677279498</v>
      </c>
      <c r="H7297" s="6" t="n">
        <f aca="false">Sens!H7295-Sens!H7296</f>
        <v>148.186891898311</v>
      </c>
      <c r="I7297" s="6" t="n">
        <f aca="false">Sens!I7295-Sens!I7296</f>
        <v>156.7683686669</v>
      </c>
      <c r="J7297" s="6" t="n">
        <f aca="false">Sens!J7295-Sens!J7296</f>
        <v>164.205763701223</v>
      </c>
      <c r="K7297" s="6" t="n">
        <f aca="false">Sens!K7295-Sens!K7296</f>
        <v>170.040497908519</v>
      </c>
    </row>
    <row r="7298" customFormat="false" ht="17.15" hidden="false" customHeight="false" outlineLevel="0" collapsed="false">
      <c r="A7298" s="1" t="s">
        <v>826</v>
      </c>
      <c r="B7298" s="1" t="s">
        <v>79</v>
      </c>
      <c r="D7298" s="18" t="n">
        <f aca="false">Q!L31</f>
        <v>7.465</v>
      </c>
      <c r="E7298" s="18" t="n">
        <f aca="false">Q!M31</f>
        <v>7.453</v>
      </c>
      <c r="F7298" s="18" t="n">
        <f aca="false">Sens!F7335</f>
        <v>7.4735</v>
      </c>
      <c r="G7298" s="18" t="n">
        <f aca="false">Sens!G7335</f>
        <v>7.5185</v>
      </c>
      <c r="H7298" s="18" t="n">
        <f aca="false">Sens!H7335</f>
        <v>7.55728773674082</v>
      </c>
      <c r="I7298" s="18" t="n">
        <f aca="false">Sens!I7335</f>
        <v>7.58688555190345</v>
      </c>
      <c r="J7298" s="18" t="n">
        <f aca="false">Sens!J7335</f>
        <v>7.60790789528579</v>
      </c>
      <c r="K7298" s="18" t="n">
        <f aca="false">Sens!K7335</f>
        <v>7.62442781298754</v>
      </c>
    </row>
    <row r="7299" customFormat="false" ht="17.15" hidden="false" customHeight="false" outlineLevel="0" collapsed="false">
      <c r="A7299" s="0" t="s">
        <v>827</v>
      </c>
      <c r="B7299" s="0" t="s">
        <v>73</v>
      </c>
      <c r="D7299" s="8" t="n">
        <f aca="false">Sens!D7297/Sens!D7298</f>
        <v>13.641259209645</v>
      </c>
      <c r="E7299" s="8" t="n">
        <f aca="false">Sens!E7297/Sens!E7298</f>
        <v>17.9456594659869</v>
      </c>
      <c r="F7299" s="8" t="n">
        <f aca="false">Sens!F7297/Sens!F7298</f>
        <v>18.3595856812943</v>
      </c>
      <c r="G7299" s="8" t="n">
        <f aca="false">Sens!G7297/Sens!G7298</f>
        <v>19.2387807135705</v>
      </c>
      <c r="H7299" s="8" t="n">
        <f aca="false">Sens!H7297/Sens!H7298</f>
        <v>19.6084755616595</v>
      </c>
      <c r="I7299" s="8" t="n">
        <f aca="false">Sens!I7297/Sens!I7298</f>
        <v>20.6630728240746</v>
      </c>
      <c r="J7299" s="8" t="n">
        <f aca="false">Sens!J7297/Sens!J7298</f>
        <v>21.5835635711326</v>
      </c>
      <c r="K7299" s="8" t="n">
        <f aca="false">Sens!K7297/Sens!K7298</f>
        <v>22.3020667359287</v>
      </c>
      <c r="L7299" s="1" t="s">
        <v>828</v>
      </c>
    </row>
    <row r="7300" customFormat="false" ht="17.15" hidden="false" customHeight="false" outlineLevel="0" collapsed="false">
      <c r="A7300" s="0" t="s">
        <v>829</v>
      </c>
      <c r="B7300" s="0" t="s">
        <v>126</v>
      </c>
      <c r="E7300" s="7" t="n">
        <f aca="false">Sens!E7299/Sens!D7299-1</f>
        <v>0.315542736208578</v>
      </c>
      <c r="F7300" s="7" t="n">
        <f aca="false">Sens!F7299/Sens!E7299-1</f>
        <v>0.0230655338184682</v>
      </c>
      <c r="G7300" s="7" t="n">
        <f aca="false">Sens!G7299/Sens!F7299-1</f>
        <v>0.0478875203143614</v>
      </c>
      <c r="H7300" s="7" t="n">
        <f aca="false">Sens!H7299/Sens!G7299-1</f>
        <v>0.0192161267178514</v>
      </c>
      <c r="I7300" s="7" t="n">
        <f aca="false">Sens!I7299/Sens!H7299-1</f>
        <v>0.0537827256942485</v>
      </c>
      <c r="J7300" s="7" t="n">
        <f aca="false">Sens!J7299/Sens!I7299-1</f>
        <v>0.0445476214934304</v>
      </c>
      <c r="K7300" s="7" t="n">
        <f aca="false">Sens!K7299/Sens!J7299-1</f>
        <v>0.033289366810447</v>
      </c>
    </row>
    <row r="7301" customFormat="false" ht="17.15" hidden="false" customHeight="false" outlineLevel="0" collapsed="false">
      <c r="A7301" s="0" t="s">
        <v>763</v>
      </c>
      <c r="B7301" s="0" t="s">
        <v>95</v>
      </c>
      <c r="E7301" s="6" t="n">
        <f aca="false">Sens!E7246</f>
        <v>5.25</v>
      </c>
      <c r="F7301" s="6" t="n">
        <f aca="false">Sens!F7246</f>
        <v>10.5</v>
      </c>
      <c r="G7301" s="6" t="n">
        <f aca="false">Sens!G7246</f>
        <v>13.5</v>
      </c>
      <c r="H7301" s="6" t="n">
        <f aca="false">Sens!H7246</f>
        <v>16.5</v>
      </c>
      <c r="I7301" s="6" t="n">
        <f aca="false">Sens!I7246</f>
        <v>18.75</v>
      </c>
      <c r="J7301" s="6" t="n">
        <f aca="false">Sens!J7246</f>
        <v>20.25</v>
      </c>
      <c r="K7301" s="6" t="n">
        <f aca="false">Sens!K7246</f>
        <v>21.75</v>
      </c>
    </row>
    <row r="7302" customFormat="false" ht="17.15" hidden="false" customHeight="false" outlineLevel="0" collapsed="false">
      <c r="A7302" s="0" t="s">
        <v>764</v>
      </c>
      <c r="B7302" s="0" t="s">
        <v>95</v>
      </c>
      <c r="E7302" s="6" t="n">
        <f aca="false">Sens!E7226+Sens!E7301*Sens!E7285-Sens!E7227-Sens!E7237</f>
        <v>2.1514866143068</v>
      </c>
      <c r="F7302" s="6" t="n">
        <f aca="false">Sens!F7226+Sens!F7301*Sens!F7285-Sens!F7227-Sens!F7237</f>
        <v>-0.225331760333987</v>
      </c>
      <c r="G7302" s="6" t="n">
        <f aca="false">Sens!G7226+Sens!G7301*Sens!G7285-Sens!G7227-Sens!G7237</f>
        <v>-11.3414700277975</v>
      </c>
      <c r="H7302" s="6" t="n">
        <f aca="false">Sens!H7226+Sens!H7301*Sens!H7285-Sens!H7227-Sens!H7237</f>
        <v>-28.3138073560675</v>
      </c>
      <c r="I7302" s="6" t="n">
        <f aca="false">Sens!I7226+Sens!I7301*Sens!I7285-Sens!I7227-Sens!I7237</f>
        <v>-39.4888232354743</v>
      </c>
      <c r="J7302" s="6" t="n">
        <f aca="false">Sens!J7226+Sens!J7301*Sens!J7285-Sens!J7227-Sens!J7237</f>
        <v>-52.0153092099852</v>
      </c>
      <c r="K7302" s="6" t="n">
        <f aca="false">Sens!K7226+Sens!K7301*Sens!K7285-Sens!K7227-Sens!K7237</f>
        <v>-65.8005320140151</v>
      </c>
    </row>
    <row r="7303" customFormat="false" ht="17.15" hidden="false" customHeight="false" outlineLevel="0" collapsed="false">
      <c r="A7303" s="0" t="s">
        <v>765</v>
      </c>
      <c r="B7303" s="0" t="s">
        <v>95</v>
      </c>
      <c r="E7303" s="6" t="n">
        <f aca="false">Sens!E7209*(cxit_open+self_build*tk_cxfac)/1000*ai_net_open</f>
        <v>126.6980382</v>
      </c>
      <c r="F7303" s="6" t="n">
        <f aca="false">Sens!E7303+Sens!F7234-Sens!F7237</f>
        <v>260.625054022471</v>
      </c>
      <c r="G7303" s="6" t="n">
        <f aca="false">Sens!F7303+Sens!G7234-Sens!G7237</f>
        <v>383.683974243894</v>
      </c>
      <c r="H7303" s="6" t="n">
        <f aca="false">Sens!G7303+Sens!H7234-Sens!H7237</f>
        <v>484.013417159718</v>
      </c>
      <c r="I7303" s="6" t="n">
        <f aca="false">Sens!H7303+Sens!I7234-Sens!I7237</f>
        <v>586.346669674225</v>
      </c>
      <c r="J7303" s="6" t="n">
        <f aca="false">Sens!I7303+Sens!J7234-Sens!J7237</f>
        <v>674.890925638248</v>
      </c>
      <c r="K7303" s="6" t="n">
        <f aca="false">Sens!J7303+Sens!K7234-Sens!K7237</f>
        <v>777.999787952622</v>
      </c>
      <c r="L7303" s="1" t="s">
        <v>766</v>
      </c>
    </row>
    <row r="7304" customFormat="false" ht="17.15" hidden="false" customHeight="false" outlineLevel="0" collapsed="false">
      <c r="A7304" s="0" t="s">
        <v>767</v>
      </c>
      <c r="B7304" s="0" t="s">
        <v>126</v>
      </c>
      <c r="F7304" s="7" t="n">
        <f aca="false">Sens!F7302*(1-tax_f)/((Sens!E7303+Sens!F7303)/2)</f>
        <v>-0.000930827063435962</v>
      </c>
      <c r="G7304" s="7" t="n">
        <f aca="false">Sens!G7302*(1-tax_f)/((Sens!F7303+Sens!G7303)/2)</f>
        <v>-0.0281640505539745</v>
      </c>
      <c r="H7304" s="7" t="n">
        <f aca="false">Sens!H7302*(1-tax_f)/((Sens!G7303+Sens!H7303)/2)</f>
        <v>-0.0522095516461403</v>
      </c>
      <c r="I7304" s="7" t="n">
        <f aca="false">Sens!I7302*(1-tax_f)/((Sens!H7303+Sens!I7303)/2)</f>
        <v>-0.0590288426800813</v>
      </c>
      <c r="J7304" s="7" t="n">
        <f aca="false">Sens!J7302*(1-tax_f)/((Sens!I7303+Sens!J7303)/2)</f>
        <v>-0.0659863732616989</v>
      </c>
      <c r="K7304" s="7" t="n">
        <f aca="false">Sens!K7302*(1-tax_f)/((Sens!J7303+Sens!K7303)/2)</f>
        <v>-0.0724630216420194</v>
      </c>
    </row>
    <row r="7305" customFormat="false" ht="17.15" hidden="false" customHeight="false" outlineLevel="0" collapsed="false">
      <c r="A7305" s="1" t="s">
        <v>768</v>
      </c>
      <c r="B7305" s="0" t="s">
        <v>126</v>
      </c>
      <c r="F7305" s="7" t="n">
        <f aca="false">Sens!F7238*(1-tax_f)/(Sens!F7225*(Sens!E7303+Sens!F7303)/2)</f>
        <v>0.0978371216791227</v>
      </c>
      <c r="G7305" s="7" t="n">
        <f aca="false">Sens!G7238*(1-tax_f)/(Sens!G7225*(Sens!F7303+Sens!G7303)/2)</f>
        <v>0.065978033582692</v>
      </c>
      <c r="H7305" s="7" t="n">
        <f aca="false">Sens!H7238*(1-tax_f)/(Sens!H7225*(Sens!G7303+Sens!H7303)/2)</f>
        <v>0.0388128063367095</v>
      </c>
      <c r="I7305" s="7" t="n">
        <f aca="false">Sens!I7238*(1-tax_f)/(Sens!I7225*(Sens!H7303+Sens!I7303)/2)</f>
        <v>0.039768715106479</v>
      </c>
      <c r="J7305" s="7" t="n">
        <f aca="false">Sens!J7238*(1-tax_f)/(Sens!J7225*(Sens!I7303+Sens!J7303)/2)</f>
        <v>0.0396817733095342</v>
      </c>
      <c r="K7305" s="7" t="n">
        <f aca="false">Sens!K7238*(1-tax_f)/(Sens!K7225*(Sens!J7303+Sens!K7303)/2)</f>
        <v>0.0382384613760691</v>
      </c>
    </row>
    <row r="7306" customFormat="false" ht="17.15" hidden="false" customHeight="false" outlineLevel="0" collapsed="false">
      <c r="A7306" s="0" t="s">
        <v>769</v>
      </c>
      <c r="B7306" s="0" t="s">
        <v>208</v>
      </c>
      <c r="F7306" s="7" t="n">
        <f aca="false">Sens!F7304-wacc</f>
        <v>-0.10989404821369</v>
      </c>
      <c r="G7306" s="7" t="n">
        <f aca="false">Sens!G7304-wacc</f>
        <v>-0.137127271704228</v>
      </c>
      <c r="H7306" s="7" t="n">
        <f aca="false">Sens!H7304-wacc</f>
        <v>-0.161172772796394</v>
      </c>
      <c r="I7306" s="7" t="n">
        <f aca="false">Sens!I7304-wacc</f>
        <v>-0.167992063830335</v>
      </c>
      <c r="J7306" s="7" t="n">
        <f aca="false">Sens!J7304-wacc</f>
        <v>-0.174949594411953</v>
      </c>
      <c r="K7306" s="7" t="n">
        <f aca="false">Sens!K7304-wacc</f>
        <v>-0.181426242792273</v>
      </c>
    </row>
    <row r="7307" customFormat="false" ht="17.15" hidden="false" customHeight="false" outlineLevel="0" collapsed="false">
      <c r="A7307" s="0" t="s">
        <v>770</v>
      </c>
      <c r="B7307" s="0" t="s">
        <v>95</v>
      </c>
      <c r="F7307" s="6" t="n">
        <f aca="false">Sens!F7302*(1-tax_f)-wacc*(Sens!E7303+Sens!F7303)/2</f>
        <v>-21.2822512854858</v>
      </c>
      <c r="G7307" s="6" t="n">
        <f aca="false">Sens!G7302*(1-tax_f)-wacc*(Sens!F7303+Sens!G7303)/2</f>
        <v>-44.1761695902846</v>
      </c>
      <c r="H7307" s="6" t="n">
        <f aca="false">Sens!H7302*(1-tax_f)-wacc*(Sens!G7303+Sens!H7303)/2</f>
        <v>-69.9245972603592</v>
      </c>
      <c r="I7307" s="6" t="n">
        <f aca="false">Sens!I7302*(1-tax_f)-wacc*(Sens!H7303+Sens!I7303)/2</f>
        <v>-89.9060000144254</v>
      </c>
      <c r="J7307" s="6" t="n">
        <f aca="false">Sens!J7302*(1-tax_f)-wacc*(Sens!I7303+Sens!J7303)/2</f>
        <v>-110.326502878512</v>
      </c>
      <c r="K7307" s="6" t="n">
        <f aca="false">Sens!K7302*(1-tax_f)-wacc*(Sens!J7303+Sens!K7303)/2</f>
        <v>-131.796251677288</v>
      </c>
    </row>
    <row r="7308" customFormat="false" ht="17.15" hidden="false" customHeight="false" outlineLevel="0" collapsed="false">
      <c r="A7308" s="1" t="s">
        <v>771</v>
      </c>
      <c r="B7308" s="0" t="s">
        <v>95</v>
      </c>
      <c r="F7308" s="6" t="n">
        <f aca="false">(Sens!E7210+Sens!F7210)/2*Sens!F7217/1000</f>
        <v>26.7873066765967</v>
      </c>
      <c r="G7308" s="6" t="n">
        <f aca="false">(Sens!F7210+Sens!G7210)/2*Sens!G7217/1000</f>
        <v>45.4131817597218</v>
      </c>
      <c r="H7308" s="6" t="n">
        <f aca="false">(Sens!G7210+Sens!H7210)/2*Sens!H7217/1000</f>
        <v>65.3915129357971</v>
      </c>
      <c r="I7308" s="6" t="n">
        <f aca="false">(Sens!H7210+Sens!I7210)/2*Sens!I7217/1000</f>
        <v>85.5187419289299</v>
      </c>
      <c r="J7308" s="6" t="n">
        <f aca="false">(Sens!I7210+Sens!J7210)/2*Sens!J7217/1000</f>
        <v>105.723807195006</v>
      </c>
      <c r="K7308" s="6" t="n">
        <f aca="false">(Sens!J7210+Sens!K7210)/2*Sens!K7217/1000</f>
        <v>125.974659797015</v>
      </c>
      <c r="L7308" s="1" t="s">
        <v>772</v>
      </c>
    </row>
    <row r="7309" customFormat="false" ht="17.15" hidden="false" customHeight="false" outlineLevel="0" collapsed="false">
      <c r="A7309" s="1" t="s">
        <v>773</v>
      </c>
      <c r="B7309" s="0" t="s">
        <v>126</v>
      </c>
      <c r="F7309" s="7" t="n">
        <f aca="false">(Sens!F7226+Sens!F7308-Sens!F7227-Sens!F7237)*(1-tax_f)/((Sens!E7303+Sens!F7303)/2)</f>
        <v>0.0849602748507538</v>
      </c>
      <c r="G7309" s="7" t="n">
        <f aca="false">(Sens!G7226+Sens!G7308-Sens!G7227-Sens!G7237)*(1-tax_f)/((Sens!F7303+Sens!G7303)/2)</f>
        <v>0.0654686775158286</v>
      </c>
      <c r="H7309" s="7" t="n">
        <f aca="false">(Sens!H7226+Sens!H7308-Sens!H7227-Sens!H7237)*(1-tax_f)/((Sens!G7303+Sens!H7303)/2)</f>
        <v>0.0509982573449927</v>
      </c>
      <c r="I7309" s="7" t="n">
        <f aca="false">(Sens!I7226+Sens!I7308-Sens!I7227-Sens!I7237)*(1-tax_f)/((Sens!H7303+Sens!I7303)/2)</f>
        <v>0.0528038648660379</v>
      </c>
      <c r="J7309" s="7" t="n">
        <f aca="false">(Sens!J7226+Sens!J7308-Sens!J7227-Sens!J7237)*(1-tax_f)/((Sens!I7303+Sens!J7303)/2)</f>
        <v>0.0534669905640334</v>
      </c>
      <c r="K7309" s="7" t="n">
        <f aca="false">(Sens!K7226+Sens!K7308-Sens!K7227-Sens!K7237)*(1-tax_f)/((Sens!J7303+Sens!K7303)/2)</f>
        <v>0.0525912155177776</v>
      </c>
      <c r="L7309" s="1" t="s">
        <v>774</v>
      </c>
    </row>
    <row r="7310" customFormat="false" ht="17.15" hidden="false" customHeight="false" outlineLevel="0" collapsed="false">
      <c r="A7310" s="3" t="s">
        <v>1322</v>
      </c>
    </row>
    <row r="7311" customFormat="false" ht="15" hidden="false" customHeight="false" outlineLevel="0" collapsed="false">
      <c r="A7311" s="4" t="s">
        <v>43</v>
      </c>
      <c r="B7311" s="4" t="s">
        <v>63</v>
      </c>
      <c r="C7311" s="19" t="s">
        <v>710</v>
      </c>
      <c r="D7311" s="19" t="s">
        <v>711</v>
      </c>
      <c r="E7311" s="19" t="s">
        <v>712</v>
      </c>
      <c r="F7311" s="19" t="s">
        <v>713</v>
      </c>
      <c r="G7311" s="19" t="s">
        <v>714</v>
      </c>
      <c r="H7311" s="19" t="s">
        <v>715</v>
      </c>
      <c r="I7311" s="19" t="s">
        <v>716</v>
      </c>
      <c r="J7311" s="19" t="s">
        <v>717</v>
      </c>
      <c r="K7311" s="19" t="s">
        <v>718</v>
      </c>
      <c r="L7311" s="4" t="s">
        <v>47</v>
      </c>
    </row>
    <row r="7312" customFormat="false" ht="15" hidden="false" customHeight="false" outlineLevel="0" collapsed="false">
      <c r="A7312" s="1" t="s">
        <v>825</v>
      </c>
      <c r="B7312" s="0" t="s">
        <v>95</v>
      </c>
      <c r="F7312" s="6" t="n">
        <f aca="false">Sens!F7297</f>
        <v>137.210363589153</v>
      </c>
      <c r="G7312" s="6" t="n">
        <f aca="false">Sens!G7297</f>
        <v>144.64677279498</v>
      </c>
      <c r="H7312" s="6" t="n">
        <f aca="false">Sens!H7297</f>
        <v>148.186891898311</v>
      </c>
      <c r="I7312" s="6" t="n">
        <f aca="false">Sens!I7297</f>
        <v>156.7683686669</v>
      </c>
      <c r="J7312" s="6" t="n">
        <f aca="false">Sens!J7297</f>
        <v>164.205763701223</v>
      </c>
      <c r="K7312" s="6" t="n">
        <f aca="false">Sens!K7297</f>
        <v>170.040497908519</v>
      </c>
    </row>
    <row r="7313" customFormat="false" ht="17.15" hidden="false" customHeight="false" outlineLevel="0" collapsed="false">
      <c r="A7313" s="1" t="s">
        <v>843</v>
      </c>
      <c r="B7313" s="0" t="s">
        <v>95</v>
      </c>
      <c r="E7313" s="6" t="n">
        <f aca="false">Q!M38-Sens!E7237</f>
        <v>22.2285940229167</v>
      </c>
      <c r="F7313" s="6" t="n">
        <f aca="false">Sens!E7313*(1-1/life_nonai)+Sens!F7319/life_nonai</f>
        <v>23.5585531427191</v>
      </c>
      <c r="G7313" s="6" t="n">
        <f aca="false">Sens!F7313*(1-1/life_nonai)+Sens!G7319/life_nonai</f>
        <v>25.3088837179903</v>
      </c>
      <c r="H7313" s="6" t="n">
        <f aca="false">Sens!G7313*(1-1/life_nonai)+Sens!H7319/life_nonai</f>
        <v>27.4693559038815</v>
      </c>
      <c r="I7313" s="6" t="n">
        <f aca="false">Sens!H7313*(1-1/life_nonai)+Sens!I7319/life_nonai</f>
        <v>30.0099445646696</v>
      </c>
      <c r="J7313" s="6" t="n">
        <f aca="false">Sens!I7313*(1-1/life_nonai)+Sens!J7319/life_nonai</f>
        <v>32.8868684707056</v>
      </c>
      <c r="K7313" s="6" t="n">
        <f aca="false">Sens!J7313*(1-1/life_nonai)+Sens!K7319/life_nonai</f>
        <v>36.0485732736474</v>
      </c>
      <c r="L7313" s="11" t="s">
        <v>844</v>
      </c>
    </row>
    <row r="7314" customFormat="false" ht="17.15" hidden="false" customHeight="false" outlineLevel="0" collapsed="false">
      <c r="A7314" s="1" t="s">
        <v>845</v>
      </c>
      <c r="B7314" s="0" t="s">
        <v>95</v>
      </c>
      <c r="E7314" s="6" t="n">
        <f aca="false">Sens!E7237+Sens!E7313</f>
        <v>38.534</v>
      </c>
      <c r="F7314" s="6" t="n">
        <f aca="false">Sens!F7237+Sens!F7313</f>
        <v>58.3033520993074</v>
      </c>
      <c r="G7314" s="6" t="n">
        <f aca="false">Sens!G7237+Sens!G7313</f>
        <v>85.8241439797669</v>
      </c>
      <c r="H7314" s="6" t="n">
        <f aca="false">Sens!H7237+Sens!H7313</f>
        <v>115.220198898458</v>
      </c>
      <c r="I7314" s="6" t="n">
        <f aca="false">Sens!I7237+Sens!I7313</f>
        <v>146.015653307229</v>
      </c>
      <c r="J7314" s="6" t="n">
        <f aca="false">Sens!J7237+Sens!J7313</f>
        <v>178.119673430415</v>
      </c>
      <c r="K7314" s="6" t="n">
        <f aca="false">Sens!K7237+Sens!K7313</f>
        <v>211.796022909674</v>
      </c>
    </row>
    <row r="7315" customFormat="false" ht="15" hidden="false" customHeight="false" outlineLevel="0" collapsed="false">
      <c r="A7315" s="1" t="s">
        <v>685</v>
      </c>
      <c r="B7315" s="0" t="s">
        <v>95</v>
      </c>
      <c r="F7315" s="6" t="n">
        <f aca="false">Sens!F7264*sbc_r</f>
        <v>14.7287090110727</v>
      </c>
      <c r="G7315" s="6" t="n">
        <f aca="false">Sens!G7264*sbc_r</f>
        <v>17.1283291359249</v>
      </c>
      <c r="H7315" s="6" t="n">
        <f aca="false">Sens!H7264*sbc_r</f>
        <v>19.4237519663131</v>
      </c>
      <c r="I7315" s="6" t="n">
        <f aca="false">Sens!I7264*sbc_r</f>
        <v>22.0032502018716</v>
      </c>
      <c r="J7315" s="6" t="n">
        <f aca="false">Sens!J7264*sbc_r</f>
        <v>24.5580150009991</v>
      </c>
      <c r="K7315" s="6" t="n">
        <f aca="false">Sens!K7264*sbc_r</f>
        <v>27.0706039531037</v>
      </c>
    </row>
    <row r="7316" customFormat="false" ht="17.15" hidden="false" customHeight="false" outlineLevel="0" collapsed="false">
      <c r="A7316" s="1" t="s">
        <v>846</v>
      </c>
      <c r="B7316" s="0" t="s">
        <v>95</v>
      </c>
      <c r="F7316" s="6" t="n">
        <f aca="false">wc27</f>
        <v>-4.895</v>
      </c>
      <c r="G7316" s="6" t="n">
        <f aca="false">0</f>
        <v>0</v>
      </c>
      <c r="H7316" s="6" t="n">
        <f aca="false">0</f>
        <v>0</v>
      </c>
      <c r="I7316" s="6" t="n">
        <f aca="false">0</f>
        <v>0</v>
      </c>
      <c r="J7316" s="6" t="n">
        <f aca="false">0</f>
        <v>0</v>
      </c>
      <c r="K7316" s="6" t="n">
        <f aca="false">0</f>
        <v>0</v>
      </c>
      <c r="L7316" s="11" t="s">
        <v>847</v>
      </c>
    </row>
    <row r="7317" customFormat="false" ht="15" hidden="false" customHeight="false" outlineLevel="0" collapsed="false">
      <c r="A7317" s="1" t="s">
        <v>678</v>
      </c>
      <c r="B7317" s="0" t="s">
        <v>95</v>
      </c>
      <c r="E7317" s="6" t="n">
        <f aca="false">Q!M35</f>
        <v>182.935</v>
      </c>
      <c r="F7317" s="6" t="n">
        <f aca="false">Sens!F7312+Sens!F7314+Sens!F7315+Sens!F7316</f>
        <v>205.347424699533</v>
      </c>
      <c r="G7317" s="6" t="n">
        <f aca="false">Sens!G7312+Sens!G7314+Sens!G7315+Sens!G7316</f>
        <v>247.599245910672</v>
      </c>
      <c r="H7317" s="6" t="n">
        <f aca="false">Sens!H7312+Sens!H7314+Sens!H7315+Sens!H7316</f>
        <v>282.830842763082</v>
      </c>
      <c r="I7317" s="6" t="n">
        <f aca="false">Sens!I7312+Sens!I7314+Sens!I7315+Sens!I7316</f>
        <v>324.787272176001</v>
      </c>
      <c r="J7317" s="6" t="n">
        <f aca="false">Sens!J7312+Sens!J7314+Sens!J7315+Sens!J7316</f>
        <v>366.883452132637</v>
      </c>
      <c r="K7317" s="6" t="n">
        <f aca="false">Sens!K7312+Sens!K7314+Sens!K7315+Sens!K7316</f>
        <v>408.907124771296</v>
      </c>
    </row>
    <row r="7318" customFormat="false" ht="17.15" hidden="false" customHeight="false" outlineLevel="0" collapsed="false">
      <c r="A7318" s="0" t="s">
        <v>848</v>
      </c>
      <c r="B7318" s="0" t="s">
        <v>95</v>
      </c>
      <c r="F7318" s="6" t="n">
        <f aca="false">Sens!F7234</f>
        <v>168.671814779059</v>
      </c>
      <c r="G7318" s="6" t="n">
        <f aca="false">Sens!G7234</f>
        <v>183.5741804832</v>
      </c>
      <c r="H7318" s="6" t="n">
        <f aca="false">Sens!H7234</f>
        <v>188.0802859104</v>
      </c>
      <c r="I7318" s="6" t="n">
        <f aca="false">Sens!I7234</f>
        <v>218.338961257067</v>
      </c>
      <c r="J7318" s="6" t="n">
        <f aca="false">Sens!J7234</f>
        <v>233.777060923733</v>
      </c>
      <c r="K7318" s="6" t="n">
        <f aca="false">Sens!K7234</f>
        <v>278.8563119504</v>
      </c>
    </row>
    <row r="7319" customFormat="false" ht="17.15" hidden="false" customHeight="false" outlineLevel="0" collapsed="false">
      <c r="A7319" s="1" t="s">
        <v>849</v>
      </c>
      <c r="B7319" s="0" t="s">
        <v>95</v>
      </c>
      <c r="E7319" s="6" t="n">
        <f aca="false">Sens!E7242*cx_azo+Sens!E7249*cx_m365+Sens!E7250*cx_lic+(Sens!E7252+Sens!E7254)*cx_ind+Sens!E7257*cx_srch+(Sens!E7259+Sens!E7261)*cx_dev</f>
        <v>30.1846587067718</v>
      </c>
      <c r="F7319" s="6" t="n">
        <f aca="false">Sens!F7242*cx_azo+Sens!F7249*cx_m365+Sens!F7250*cx_lic+(Sens!F7252+Sens!F7254)*cx_ind+Sens!F7257*cx_srch+(Sens!F7259+Sens!F7261)*cx_dev</f>
        <v>35.5281852209409</v>
      </c>
      <c r="G7319" s="6" t="n">
        <f aca="false">Sens!G7242*cx_azo+Sens!G7249*cx_m365+Sens!G7250*cx_lic+(Sens!G7252+Sens!G7254)*cx_ind+Sens!G7257*cx_srch+(Sens!G7259+Sens!G7261)*cx_dev</f>
        <v>41.0618588954315</v>
      </c>
      <c r="H7319" s="6" t="n">
        <f aca="false">Sens!H7242*cx_azo+Sens!H7249*cx_m365+Sens!H7250*cx_lic+(Sens!H7252+Sens!H7254)*cx_ind+Sens!H7257*cx_srch+(Sens!H7259+Sens!H7261)*cx_dev</f>
        <v>46.913605576902</v>
      </c>
      <c r="I7319" s="6" t="n">
        <f aca="false">Sens!I7242*cx_azo+Sens!I7249*cx_m365+Sens!I7250*cx_lic+(Sens!I7252+Sens!I7254)*cx_ind+Sens!I7257*cx_srch+(Sens!I7259+Sens!I7261)*cx_dev</f>
        <v>52.8752425117621</v>
      </c>
      <c r="J7319" s="6" t="n">
        <f aca="false">Sens!J7242*cx_azo+Sens!J7249*cx_m365+Sens!J7250*cx_lic+(Sens!J7252+Sens!J7254)*cx_ind+Sens!J7257*cx_srch+(Sens!J7259+Sens!J7261)*cx_dev</f>
        <v>58.7791836250298</v>
      </c>
      <c r="K7319" s="6" t="n">
        <f aca="false">Sens!K7242*cx_azo+Sens!K7249*cx_m365+Sens!K7250*cx_lic+(Sens!K7252+Sens!K7254)*cx_ind+Sens!K7257*cx_srch+(Sens!K7259+Sens!K7261)*cx_dev</f>
        <v>64.5039165001234</v>
      </c>
    </row>
    <row r="7320" customFormat="false" ht="17.15" hidden="false" customHeight="false" outlineLevel="0" collapsed="false">
      <c r="A7320" s="1" t="s">
        <v>850</v>
      </c>
      <c r="B7320" s="0" t="s">
        <v>95</v>
      </c>
      <c r="E7320" s="6" t="n">
        <f aca="false">Q!M42</f>
        <v>145.3</v>
      </c>
      <c r="F7320" s="6" t="n">
        <f aca="false">Sens!F7318+Sens!F7319</f>
        <v>204.2</v>
      </c>
      <c r="G7320" s="6" t="n">
        <f aca="false">Sens!G7318+Sens!G7319</f>
        <v>224.636039378632</v>
      </c>
      <c r="H7320" s="6" t="n">
        <f aca="false">Sens!H7318+Sens!H7319</f>
        <v>234.993891487302</v>
      </c>
      <c r="I7320" s="6" t="n">
        <f aca="false">Sens!I7318+Sens!I7319</f>
        <v>271.214203768829</v>
      </c>
      <c r="J7320" s="6" t="n">
        <f aca="false">Sens!J7318+Sens!J7319</f>
        <v>292.556244548763</v>
      </c>
      <c r="K7320" s="6" t="n">
        <f aca="false">Sens!K7318+Sens!K7319</f>
        <v>343.360228450523</v>
      </c>
      <c r="L7320" s="1" t="s">
        <v>851</v>
      </c>
    </row>
    <row r="7321" customFormat="false" ht="15" hidden="false" customHeight="false" outlineLevel="0" collapsed="false">
      <c r="A7321" s="1" t="s">
        <v>852</v>
      </c>
      <c r="B7321" s="0" t="s">
        <v>95</v>
      </c>
      <c r="E7321" s="6" t="n">
        <f aca="false">fl_liab</f>
        <v>66.594</v>
      </c>
      <c r="F7321" s="6" t="n">
        <f aca="false">Sens!E7321-Sens!F7322</f>
        <v>62.46973</v>
      </c>
      <c r="G7321" s="6" t="n">
        <f aca="false">Sens!F7321-Sens!G7322</f>
        <v>57.98686785</v>
      </c>
      <c r="H7321" s="6" t="n">
        <f aca="false">Sens!G7321-Sens!H7322</f>
        <v>53.92827690325</v>
      </c>
      <c r="I7321" s="6" t="n">
        <f aca="false">Sens!H7321-Sens!I7322</f>
        <v>49.7850493638962</v>
      </c>
      <c r="J7321" s="6" t="n">
        <f aca="false">Sens!I7321-Sens!J7322</f>
        <v>45.4823765852716</v>
      </c>
      <c r="K7321" s="6" t="n">
        <f aca="false">Sens!J7321-Sens!K7322</f>
        <v>40.9860835316088</v>
      </c>
    </row>
    <row r="7322" customFormat="false" ht="15" hidden="false" customHeight="false" outlineLevel="0" collapsed="false">
      <c r="A7322" s="1" t="s">
        <v>853</v>
      </c>
      <c r="B7322" s="0" t="s">
        <v>95</v>
      </c>
      <c r="F7322" s="6" t="n">
        <f aca="false">fl_pay_27-Sens!E7321*fl_rate</f>
        <v>4.12427</v>
      </c>
      <c r="G7322" s="6" t="n">
        <f aca="false">fl_pay_28-Sens!F7321*fl_rate</f>
        <v>4.48286215</v>
      </c>
      <c r="H7322" s="6" t="n">
        <f aca="false">fl_pay_29-Sens!G7321*fl_rate</f>
        <v>4.05859094675</v>
      </c>
      <c r="I7322" s="6" t="n">
        <f aca="false">fl_pay_30-Sens!H7321*fl_rate</f>
        <v>4.14322753935375</v>
      </c>
      <c r="J7322" s="6" t="n">
        <f aca="false">fl_pay_31-Sens!I7321*fl_rate</f>
        <v>4.30267277862467</v>
      </c>
      <c r="K7322" s="6" t="n">
        <f aca="false">fl_pay_32-Sens!J7321*fl_rate</f>
        <v>4.49629305366278</v>
      </c>
    </row>
    <row r="7323" customFormat="false" ht="17.15" hidden="false" customHeight="false" outlineLevel="0" collapsed="false">
      <c r="A7323" s="1" t="s">
        <v>854</v>
      </c>
      <c r="B7323" s="0" t="s">
        <v>95</v>
      </c>
      <c r="E7323" s="6" t="n">
        <f aca="false">Q!M35-Q!M36-Q!M43</f>
        <v>63.886</v>
      </c>
      <c r="F7323" s="6" t="n">
        <f aca="false">Sens!F7317-Sens!F7320-Sens!F7322</f>
        <v>-2.97684530046712</v>
      </c>
      <c r="G7323" s="6" t="n">
        <f aca="false">Sens!G7317-Sens!G7320-Sens!G7322</f>
        <v>18.4803443820402</v>
      </c>
      <c r="H7323" s="6" t="n">
        <f aca="false">Sens!H7317-Sens!H7320-Sens!H7322</f>
        <v>43.7783603290302</v>
      </c>
      <c r="I7323" s="6" t="n">
        <f aca="false">Sens!I7317-Sens!I7320-Sens!I7322</f>
        <v>49.4298408678184</v>
      </c>
      <c r="J7323" s="6" t="n">
        <f aca="false">Sens!J7317-Sens!J7320-Sens!J7322</f>
        <v>70.0245348052493</v>
      </c>
      <c r="K7323" s="6" t="n">
        <f aca="false">Sens!K7317-Sens!K7320-Sens!K7322</f>
        <v>61.0506032671099</v>
      </c>
      <c r="L7323" s="11" t="s">
        <v>855</v>
      </c>
    </row>
    <row r="7324" customFormat="false" ht="15" hidden="false" customHeight="false" outlineLevel="0" collapsed="false">
      <c r="A7324" s="1" t="s">
        <v>856</v>
      </c>
      <c r="B7324" s="0" t="s">
        <v>73</v>
      </c>
      <c r="F7324" s="8" t="n">
        <f aca="false">dps_27</f>
        <v>3.85</v>
      </c>
      <c r="G7324" s="8" t="n">
        <f aca="false">Sens!F7324*(1+dps_g)</f>
        <v>4.158</v>
      </c>
      <c r="H7324" s="8" t="n">
        <f aca="false">Sens!G7324*(1+dps_g)</f>
        <v>4.49064</v>
      </c>
      <c r="I7324" s="8" t="n">
        <f aca="false">Sens!H7324*(1+dps_g)</f>
        <v>4.8498912</v>
      </c>
      <c r="J7324" s="8" t="n">
        <f aca="false">Sens!I7324*(1+dps_g)</f>
        <v>5.237882496</v>
      </c>
      <c r="K7324" s="8" t="n">
        <f aca="false">Sens!J7324*(1+dps_g)</f>
        <v>5.65691309568</v>
      </c>
    </row>
    <row r="7325" customFormat="false" ht="17.15" hidden="false" customHeight="false" outlineLevel="0" collapsed="false">
      <c r="A7325" s="1" t="s">
        <v>857</v>
      </c>
      <c r="B7325" s="0" t="s">
        <v>95</v>
      </c>
      <c r="E7325" s="6" t="n">
        <f aca="false">Q!M41</f>
        <v>26.445</v>
      </c>
      <c r="F7325" s="6" t="n">
        <f aca="false">Sens!F7324*Sens!E7334</f>
        <v>28.59395</v>
      </c>
      <c r="G7325" s="6" t="n">
        <f aca="false">Sens!G7324*Sens!F7334</f>
        <v>31.068576</v>
      </c>
      <c r="H7325" s="6" t="n">
        <f aca="false">Sens!H7324*Sens!G7334</f>
        <v>33.75614088</v>
      </c>
      <c r="I7325" s="6" t="n">
        <f aca="false">Sens!I7324*Sens!H7334</f>
        <v>36.6146196525744</v>
      </c>
      <c r="J7325" s="6" t="n">
        <f aca="false">Sens!J7324*Sens!I7334</f>
        <v>39.6832224783524</v>
      </c>
      <c r="K7325" s="6" t="n">
        <f aca="false">Sens!K7324*Sens!J7334</f>
        <v>42.9451355019257</v>
      </c>
      <c r="L7325" s="1" t="s">
        <v>858</v>
      </c>
    </row>
    <row r="7326" customFormat="false" ht="15" hidden="false" customHeight="false" outlineLevel="0" collapsed="false">
      <c r="A7326" s="1" t="s">
        <v>859</v>
      </c>
      <c r="B7326" s="0" t="s">
        <v>95</v>
      </c>
      <c r="E7326" s="6" t="n">
        <f aca="false">Sens!E7323-Sens!E7325</f>
        <v>37.441</v>
      </c>
      <c r="F7326" s="6" t="n">
        <f aca="false">Sens!F7323-Sens!F7325</f>
        <v>-31.5707953004671</v>
      </c>
      <c r="G7326" s="6" t="n">
        <f aca="false">Sens!G7323-Sens!G7325</f>
        <v>-12.5882316179598</v>
      </c>
      <c r="H7326" s="6" t="n">
        <f aca="false">Sens!H7323-Sens!H7325</f>
        <v>10.0222194490302</v>
      </c>
      <c r="I7326" s="6" t="n">
        <f aca="false">Sens!I7323-Sens!I7325</f>
        <v>12.815221215244</v>
      </c>
      <c r="J7326" s="6" t="n">
        <f aca="false">Sens!J7323-Sens!J7325</f>
        <v>30.3413123268969</v>
      </c>
      <c r="K7326" s="6" t="n">
        <f aca="false">Sens!K7323-Sens!K7325</f>
        <v>18.1054677651842</v>
      </c>
    </row>
    <row r="7327" customFormat="false" ht="15" hidden="false" customHeight="false" outlineLevel="0" collapsed="false">
      <c r="A7327" s="1" t="s">
        <v>860</v>
      </c>
      <c r="B7327" s="0" t="s">
        <v>95</v>
      </c>
      <c r="F7327" s="6" t="n">
        <f aca="false">debt_mat_27</f>
        <v>9.25</v>
      </c>
      <c r="G7327" s="6" t="n">
        <f aca="false">debt_mat_28</f>
        <v>0</v>
      </c>
      <c r="H7327" s="6" t="n">
        <f aca="false">debt_mat_29</f>
        <v>2.001</v>
      </c>
      <c r="I7327" s="6" t="n">
        <f aca="false">debt_mat_30</f>
        <v>0</v>
      </c>
      <c r="J7327" s="6" t="n">
        <f aca="false">debt_mat_31</f>
        <v>0.5</v>
      </c>
      <c r="K7327" s="6" t="n">
        <f aca="false">debt_mat_32</f>
        <v>0</v>
      </c>
    </row>
    <row r="7328" customFormat="false" ht="15" hidden="false" customHeight="false" outlineLevel="0" collapsed="false">
      <c r="A7328" s="1" t="s">
        <v>861</v>
      </c>
      <c r="B7328" s="0" t="s">
        <v>95</v>
      </c>
      <c r="E7328" s="6" t="n">
        <f aca="false">Q!M40</f>
        <v>22.271</v>
      </c>
      <c r="F7328" s="6" t="n">
        <f aca="false">MAX(0,MIN(bb_target,Sens!E7330+Sens!F7326-Sens!F7327-min_cash))</f>
        <v>0</v>
      </c>
      <c r="G7328" s="6" t="n">
        <f aca="false">MAX(0,MIN(bb_target,Sens!F7330+Sens!G7326-Sens!G7327-min_cash))</f>
        <v>0</v>
      </c>
      <c r="H7328" s="6" t="n">
        <f aca="false">MAX(0,MIN(bb_target,Sens!G7330+Sens!H7326-Sens!H7327-min_cash))</f>
        <v>8.02121944903022</v>
      </c>
      <c r="I7328" s="6" t="n">
        <f aca="false">MAX(0,MIN(bb_target,Sens!H7330+Sens!I7326-Sens!I7327-min_cash))</f>
        <v>12.815221215244</v>
      </c>
      <c r="J7328" s="6" t="n">
        <f aca="false">MAX(0,MIN(bb_target,Sens!I7330+Sens!J7326-Sens!J7327-min_cash))</f>
        <v>22.271</v>
      </c>
      <c r="K7328" s="6" t="n">
        <f aca="false">MAX(0,MIN(bb_target,Sens!J7330+Sens!K7326-Sens!K7327-min_cash))</f>
        <v>22.271</v>
      </c>
    </row>
    <row r="7329" customFormat="false" ht="15" hidden="false" customHeight="false" outlineLevel="0" collapsed="false">
      <c r="A7329" s="1" t="s">
        <v>862</v>
      </c>
      <c r="B7329" s="0" t="s">
        <v>95</v>
      </c>
      <c r="F7329" s="6" t="n">
        <f aca="false">MAX(0,min_cash-(Sens!E7330+Sens!F7326-Sens!F7327-Sens!F7328))</f>
        <v>13.9777953004671</v>
      </c>
      <c r="G7329" s="6" t="n">
        <f aca="false">MAX(0,min_cash-(Sens!F7330+Sens!G7326-Sens!G7327-Sens!G7328))</f>
        <v>12.5882316179598</v>
      </c>
      <c r="H7329" s="6" t="n">
        <f aca="false">MAX(0,min_cash-(Sens!G7330+Sens!H7326-Sens!H7327-Sens!H7328))</f>
        <v>0</v>
      </c>
      <c r="I7329" s="6" t="n">
        <f aca="false">MAX(0,min_cash-(Sens!H7330+Sens!I7326-Sens!I7327-Sens!I7328))</f>
        <v>0</v>
      </c>
      <c r="J7329" s="6" t="n">
        <f aca="false">MAX(0,min_cash-(Sens!I7330+Sens!J7326-Sens!J7327-Sens!J7328))</f>
        <v>0</v>
      </c>
      <c r="K7329" s="6" t="n">
        <f aca="false">MAX(0,min_cash-(Sens!J7330+Sens!K7326-Sens!K7327-Sens!K7328))</f>
        <v>0</v>
      </c>
    </row>
    <row r="7330" customFormat="false" ht="15" hidden="false" customHeight="false" outlineLevel="0" collapsed="false">
      <c r="A7330" s="1" t="s">
        <v>863</v>
      </c>
      <c r="B7330" s="0" t="s">
        <v>95</v>
      </c>
      <c r="E7330" s="6" t="n">
        <f aca="false">cash_open</f>
        <v>76.843</v>
      </c>
      <c r="F7330" s="6" t="n">
        <f aca="false">Sens!E7330+Sens!F7326-Sens!F7327-Sens!F7328+Sens!F7329</f>
        <v>50</v>
      </c>
      <c r="G7330" s="6" t="n">
        <f aca="false">Sens!F7330+Sens!G7326-Sens!G7327-Sens!G7328+Sens!G7329</f>
        <v>50</v>
      </c>
      <c r="H7330" s="6" t="n">
        <f aca="false">Sens!G7330+Sens!H7326-Sens!H7327-Sens!H7328+Sens!H7329</f>
        <v>50</v>
      </c>
      <c r="I7330" s="6" t="n">
        <f aca="false">Sens!H7330+Sens!I7326-Sens!I7327-Sens!I7328+Sens!I7329</f>
        <v>50</v>
      </c>
      <c r="J7330" s="6" t="n">
        <f aca="false">Sens!I7330+Sens!J7326-Sens!J7327-Sens!J7328+Sens!J7329</f>
        <v>57.5703123268969</v>
      </c>
      <c r="K7330" s="6" t="n">
        <f aca="false">Sens!J7330+Sens!K7326-Sens!K7327-Sens!K7328+Sens!K7329</f>
        <v>53.4047800920811</v>
      </c>
    </row>
    <row r="7331" customFormat="false" ht="15" hidden="false" customHeight="false" outlineLevel="0" collapsed="false">
      <c r="A7331" s="1" t="s">
        <v>864</v>
      </c>
      <c r="B7331" s="0" t="s">
        <v>95</v>
      </c>
      <c r="E7331" s="6" t="n">
        <f aca="false">debt_face</f>
        <v>46.136</v>
      </c>
      <c r="F7331" s="6" t="n">
        <f aca="false">Sens!E7331-Sens!F7327+Sens!F7329</f>
        <v>50.8637953004671</v>
      </c>
      <c r="G7331" s="6" t="n">
        <f aca="false">Sens!F7331-Sens!G7327+Sens!G7329</f>
        <v>63.4520269184269</v>
      </c>
      <c r="H7331" s="6" t="n">
        <f aca="false">Sens!G7331-Sens!H7327+Sens!H7329</f>
        <v>61.451026918427</v>
      </c>
      <c r="I7331" s="6" t="n">
        <f aca="false">Sens!H7331-Sens!I7327+Sens!I7329</f>
        <v>61.451026918427</v>
      </c>
      <c r="J7331" s="6" t="n">
        <f aca="false">Sens!I7331-Sens!J7327+Sens!J7329</f>
        <v>60.951026918427</v>
      </c>
      <c r="K7331" s="6" t="n">
        <f aca="false">Sens!J7331-Sens!K7327+Sens!K7329</f>
        <v>60.951026918427</v>
      </c>
    </row>
    <row r="7332" customFormat="false" ht="15" hidden="false" customHeight="false" outlineLevel="0" collapsed="false">
      <c r="A7332" s="1" t="s">
        <v>865</v>
      </c>
      <c r="B7332" s="0" t="s">
        <v>95</v>
      </c>
      <c r="E7332" s="6" t="n">
        <f aca="false">Sens!E7330-Sens!E7331</f>
        <v>30.707</v>
      </c>
      <c r="F7332" s="6" t="n">
        <f aca="false">Sens!F7330-Sens!F7331</f>
        <v>-0.863795300467125</v>
      </c>
      <c r="G7332" s="6" t="n">
        <f aca="false">Sens!G7330-Sens!G7331</f>
        <v>-13.4520269184269</v>
      </c>
      <c r="H7332" s="6" t="n">
        <f aca="false">Sens!H7330-Sens!H7331</f>
        <v>-11.4510269184269</v>
      </c>
      <c r="I7332" s="6" t="n">
        <f aca="false">Sens!I7330-Sens!I7331</f>
        <v>-11.4510269184269</v>
      </c>
      <c r="J7332" s="6" t="n">
        <f aca="false">Sens!J7330-Sens!J7331</f>
        <v>-3.38071459153007</v>
      </c>
      <c r="K7332" s="6" t="n">
        <f aca="false">Sens!K7330-Sens!K7331</f>
        <v>-7.54624682634582</v>
      </c>
    </row>
    <row r="7333" customFormat="false" ht="15" hidden="false" customHeight="false" outlineLevel="0" collapsed="false">
      <c r="A7333" s="1" t="s">
        <v>866</v>
      </c>
      <c r="B7333" s="0" t="s">
        <v>73</v>
      </c>
      <c r="F7333" s="27" t="n">
        <f aca="false">px*(1+bb_g)^(1-0.5)</f>
        <v>553.494156066711</v>
      </c>
      <c r="G7333" s="27" t="n">
        <f aca="false">px*(1+bb_g)^(2-0.5)</f>
        <v>597.773688552047</v>
      </c>
      <c r="H7333" s="27" t="n">
        <f aca="false">px*(1+bb_g)^(3-0.5)</f>
        <v>645.595583636211</v>
      </c>
      <c r="I7333" s="27" t="n">
        <f aca="false">px*(1+bb_g)^(4-0.5)</f>
        <v>697.243230327108</v>
      </c>
      <c r="J7333" s="27" t="n">
        <f aca="false">px*(1+bb_g)^(5-0.5)</f>
        <v>753.022688753277</v>
      </c>
      <c r="K7333" s="27" t="n">
        <f aca="false">px*(1+bb_g)^(6-0.5)</f>
        <v>813.264503853539</v>
      </c>
    </row>
    <row r="7334" customFormat="false" ht="15" hidden="false" customHeight="false" outlineLevel="0" collapsed="false">
      <c r="A7334" s="1" t="s">
        <v>867</v>
      </c>
      <c r="B7334" s="1" t="s">
        <v>79</v>
      </c>
      <c r="E7334" s="18" t="n">
        <f aca="false">sh_out26</f>
        <v>7.427</v>
      </c>
      <c r="F7334" s="18" t="n">
        <f aca="false">Sens!E7334+sh_iss-Sens!F7328/Sens!F7333</f>
        <v>7.472</v>
      </c>
      <c r="G7334" s="18" t="n">
        <f aca="false">Sens!F7334+sh_iss-Sens!G7328/Sens!G7333</f>
        <v>7.517</v>
      </c>
      <c r="H7334" s="18" t="n">
        <f aca="false">Sens!G7334+sh_iss-Sens!H7328/Sens!H7333</f>
        <v>7.54957547348163</v>
      </c>
      <c r="I7334" s="18" t="n">
        <f aca="false">Sens!H7334+sh_iss-Sens!I7328/Sens!I7333</f>
        <v>7.57619563032527</v>
      </c>
      <c r="J7334" s="18" t="n">
        <f aca="false">Sens!I7334+sh_iss-Sens!J7328/Sens!J7333</f>
        <v>7.59162016024631</v>
      </c>
      <c r="K7334" s="18" t="n">
        <f aca="false">Sens!J7334+sh_iss-Sens!K7328/Sens!K7333</f>
        <v>7.60923546572876</v>
      </c>
    </row>
    <row r="7335" customFormat="false" ht="15" hidden="false" customHeight="false" outlineLevel="0" collapsed="false">
      <c r="A7335" s="1" t="s">
        <v>868</v>
      </c>
      <c r="B7335" s="1" t="s">
        <v>79</v>
      </c>
      <c r="E7335" s="18" t="n">
        <f aca="false">sh_dil26</f>
        <v>7.453</v>
      </c>
      <c r="F7335" s="18" t="n">
        <f aca="false">(Sens!E7334+Sens!F7334)/2+dil_gap</f>
        <v>7.4735</v>
      </c>
      <c r="G7335" s="18" t="n">
        <f aca="false">(Sens!F7334+Sens!G7334)/2+dil_gap</f>
        <v>7.5185</v>
      </c>
      <c r="H7335" s="18" t="n">
        <f aca="false">(Sens!G7334+Sens!H7334)/2+dil_gap</f>
        <v>7.55728773674082</v>
      </c>
      <c r="I7335" s="18" t="n">
        <f aca="false">(Sens!H7334+Sens!I7334)/2+dil_gap</f>
        <v>7.58688555190345</v>
      </c>
      <c r="J7335" s="18" t="n">
        <f aca="false">(Sens!I7334+Sens!J7334)/2+dil_gap</f>
        <v>7.60790789528579</v>
      </c>
      <c r="K7335" s="18" t="n">
        <f aca="false">(Sens!J7334+Sens!K7334)/2+dil_gap</f>
        <v>7.62442781298754</v>
      </c>
    </row>
    <row r="7336" customFormat="false" ht="17.15" hidden="false" customHeight="false" outlineLevel="0" collapsed="false">
      <c r="A7336" s="1" t="s">
        <v>869</v>
      </c>
      <c r="B7336" s="0" t="s">
        <v>95</v>
      </c>
      <c r="C7336" s="6" t="n">
        <f aca="false">SUM(Sens!F7326:J7326)</f>
        <v>9.01972607274417</v>
      </c>
    </row>
    <row r="7337" customFormat="false" ht="17.15" hidden="false" customHeight="false" outlineLevel="0" collapsed="false">
      <c r="A7337" s="1" t="s">
        <v>836</v>
      </c>
      <c r="B7337" s="1" t="s">
        <v>870</v>
      </c>
      <c r="C7337" s="30" t="str">
        <f aca="false">IF(SUM(Sens!F7329:J7329)&gt;0.05,"需要舉債 "&amp;TEXT(SUM(Sens!F7329:J7329),"0.0")&amp;" 十億美元","不需舉債")&amp;"；"&amp;IF(SUM(Sens!F7328:J7328)&lt;5*bb_target-0.05,"回購較每年 "&amp;TEXT(bb_target,"0.0")&amp;" 的目標少 "&amp;TEXT(5*bb_target-SUM(Sens!F7328:J7328),"0.0")&amp;" 十億美元（"&amp;TEXT(COUNTIF(Sens!F7328:J7328,"&lt;"&amp;(bb_target-0.05)),"0")&amp;" 年減少）","回購不減")</f>
        <v>需要舉債 26.6 十億美元；回購較每年 22.3 的目標少 68.2 十億美元（4 年減少）</v>
      </c>
    </row>
    <row r="7338" customFormat="false" ht="17.15" hidden="false" customHeight="false" outlineLevel="0" collapsed="false">
      <c r="A7338" s="3" t="s">
        <v>1323</v>
      </c>
    </row>
    <row r="7339" customFormat="false" ht="15" hidden="false" customHeight="false" outlineLevel="0" collapsed="false">
      <c r="A7339" s="4" t="s">
        <v>43</v>
      </c>
      <c r="B7339" s="4" t="s">
        <v>63</v>
      </c>
      <c r="C7339" s="19" t="s">
        <v>710</v>
      </c>
      <c r="D7339" s="19" t="s">
        <v>711</v>
      </c>
      <c r="E7339" s="19" t="s">
        <v>712</v>
      </c>
      <c r="F7339" s="19" t="s">
        <v>713</v>
      </c>
      <c r="G7339" s="19" t="s">
        <v>714</v>
      </c>
      <c r="H7339" s="19" t="s">
        <v>715</v>
      </c>
      <c r="I7339" s="19" t="s">
        <v>716</v>
      </c>
      <c r="J7339" s="19" t="s">
        <v>717</v>
      </c>
      <c r="K7339" s="19" t="s">
        <v>718</v>
      </c>
      <c r="L7339" s="4" t="s">
        <v>47</v>
      </c>
    </row>
    <row r="7340" customFormat="false" ht="17.15" hidden="false" customHeight="false" outlineLevel="0" collapsed="false">
      <c r="A7340" s="1" t="s">
        <v>938</v>
      </c>
      <c r="B7340" s="1" t="s">
        <v>213</v>
      </c>
      <c r="F7340" s="34" t="n">
        <f aca="false">1-0.5</f>
        <v>0.5</v>
      </c>
      <c r="G7340" s="34" t="n">
        <f aca="false">2-0.5</f>
        <v>1.5</v>
      </c>
      <c r="H7340" s="34" t="n">
        <f aca="false">3-0.5</f>
        <v>2.5</v>
      </c>
      <c r="I7340" s="34" t="n">
        <f aca="false">4-0.5</f>
        <v>3.5</v>
      </c>
      <c r="J7340" s="34" t="n">
        <f aca="false">5-0.5</f>
        <v>4.5</v>
      </c>
      <c r="K7340" s="34" t="n">
        <f aca="false">6-0.5</f>
        <v>5.5</v>
      </c>
    </row>
    <row r="7341" customFormat="false" ht="15" hidden="false" customHeight="false" outlineLevel="0" collapsed="false">
      <c r="A7341" s="1" t="s">
        <v>939</v>
      </c>
      <c r="B7341" s="0" t="s">
        <v>182</v>
      </c>
      <c r="F7341" s="18" t="n">
        <f aca="false">1/(1+wacc)^Sens!F7340</f>
        <v>0.949601579913219</v>
      </c>
      <c r="G7341" s="18" t="n">
        <f aca="false">1/(1+wacc)^Sens!G7340</f>
        <v>0.856296729956707</v>
      </c>
      <c r="H7341" s="18" t="n">
        <f aca="false">1/(1+wacc)^Sens!H7340</f>
        <v>0.772159719660069</v>
      </c>
      <c r="I7341" s="18" t="n">
        <f aca="false">1/(1+wacc)^Sens!I7340</f>
        <v>0.696289746073958</v>
      </c>
      <c r="J7341" s="18" t="n">
        <f aca="false">1/(1+wacc)^Sens!J7340</f>
        <v>0.627874516299776</v>
      </c>
      <c r="K7341" s="18" t="n">
        <f aca="false">1/(1+wacc)^Sens!K7340</f>
        <v>0.566181550771831</v>
      </c>
    </row>
    <row r="7342" customFormat="false" ht="15" hidden="false" customHeight="false" outlineLevel="0" collapsed="false">
      <c r="A7342" s="1" t="s">
        <v>940</v>
      </c>
      <c r="B7342" s="0" t="s">
        <v>95</v>
      </c>
      <c r="F7342" s="6" t="n">
        <f aca="false">Sens!F7323*Sens!F7341</f>
        <v>-2.82681700048082</v>
      </c>
      <c r="G7342" s="6" t="n">
        <f aca="false">Sens!G7323*Sens!G7341</f>
        <v>15.8246584628148</v>
      </c>
      <c r="H7342" s="6" t="n">
        <f aca="false">Sens!H7323*Sens!H7341</f>
        <v>33.8038864388414</v>
      </c>
      <c r="I7342" s="6" t="n">
        <f aca="false">Sens!I7323*Sens!I7341</f>
        <v>34.4174913463294</v>
      </c>
      <c r="J7342" s="6" t="n">
        <f aca="false">Sens!J7323*Sens!J7341</f>
        <v>43.9666209199628</v>
      </c>
      <c r="K7342" s="6" t="n">
        <f aca="false">Sens!K7323*Sens!K7341</f>
        <v>34.5657252333281</v>
      </c>
    </row>
    <row r="7343" customFormat="false" ht="17.15" hidden="false" customHeight="false" outlineLevel="0" collapsed="false">
      <c r="A7343" s="1" t="s">
        <v>941</v>
      </c>
      <c r="B7343" s="0" t="s">
        <v>95</v>
      </c>
      <c r="C7343" s="6" t="n">
        <f aca="false">SUM(Sens!F7342:K7342)</f>
        <v>159.751565400796</v>
      </c>
    </row>
    <row r="7344" customFormat="false" ht="17.15" hidden="false" customHeight="false" outlineLevel="0" collapsed="false">
      <c r="A7344" s="1" t="s">
        <v>942</v>
      </c>
      <c r="B7344" s="0" t="s">
        <v>95</v>
      </c>
      <c r="C7344" s="6" t="n">
        <f aca="false">Sens!K7289*(1+g_tv)*(1-tax_f)</f>
        <v>175.471312845774</v>
      </c>
    </row>
    <row r="7345" customFormat="false" ht="17.15" hidden="false" customHeight="false" outlineLevel="0" collapsed="false">
      <c r="A7345" s="1" t="s">
        <v>943</v>
      </c>
      <c r="B7345" s="0" t="s">
        <v>95</v>
      </c>
      <c r="C7345" s="6" t="n">
        <f aca="false">Sens!$C$7344*(1-g_tv/(wacc+ronic_prem))</f>
        <v>127.16015491741</v>
      </c>
    </row>
    <row r="7346" customFormat="false" ht="17.15" hidden="false" customHeight="false" outlineLevel="0" collapsed="false">
      <c r="A7346" s="1" t="s">
        <v>944</v>
      </c>
      <c r="B7346" s="0" t="s">
        <v>95</v>
      </c>
      <c r="C7346" s="6" t="n">
        <f aca="false">Sens!$C$7345/(wacc-g_tv)</f>
        <v>1610.37193094548</v>
      </c>
    </row>
    <row r="7347" customFormat="false" ht="15" hidden="false" customHeight="false" outlineLevel="0" collapsed="false">
      <c r="A7347" s="1" t="s">
        <v>945</v>
      </c>
      <c r="B7347" s="0" t="s">
        <v>95</v>
      </c>
      <c r="C7347" s="6" t="n">
        <f aca="false">Sens!$C$7346/(1+wacc)^6</f>
        <v>865.811468678384</v>
      </c>
    </row>
    <row r="7348" customFormat="false" ht="17.15" hidden="false" customHeight="false" outlineLevel="0" collapsed="false">
      <c r="A7348" s="0" t="s">
        <v>877</v>
      </c>
      <c r="B7348" s="0" t="s">
        <v>95</v>
      </c>
      <c r="C7348" s="6" t="n">
        <f aca="false">Sens!$C$7343+Sens!$C$7347</f>
        <v>1025.56303407918</v>
      </c>
    </row>
    <row r="7349" customFormat="false" ht="15" hidden="false" customHeight="false" outlineLevel="0" collapsed="false">
      <c r="A7349" s="1" t="s">
        <v>878</v>
      </c>
      <c r="B7349" s="0" t="s">
        <v>126</v>
      </c>
      <c r="C7349" s="7" t="n">
        <f aca="false">Sens!$C$7347/Sens!$C$7348</f>
        <v>0.844230378736075</v>
      </c>
    </row>
    <row r="7350" customFormat="false" ht="17.15" hidden="false" customHeight="false" outlineLevel="0" collapsed="false">
      <c r="A7350" s="1" t="s">
        <v>946</v>
      </c>
      <c r="B7350" s="0" t="s">
        <v>95</v>
      </c>
      <c r="C7350" s="6" t="n">
        <f aca="false">Sens!$C$7348+Sens!E7332+oai_v</f>
        <v>1226.67003407918</v>
      </c>
    </row>
    <row r="7351" customFormat="false" ht="17.15" hidden="false" customHeight="false" outlineLevel="0" collapsed="false">
      <c r="A7351" s="0" t="s">
        <v>883</v>
      </c>
      <c r="B7351" s="0" t="s">
        <v>73</v>
      </c>
      <c r="C7351" s="5" t="n">
        <f aca="false">Sens!$C$7350/sh_dil26</f>
        <v>164.58741903652</v>
      </c>
    </row>
    <row r="7352" customFormat="false" ht="17.15" hidden="false" customHeight="false" outlineLevel="0" collapsed="false">
      <c r="A7352" s="0" t="s">
        <v>947</v>
      </c>
      <c r="B7352" s="0" t="s">
        <v>73</v>
      </c>
      <c r="C7352" s="5" t="n">
        <f aca="false">Sens!$C$7351*(1+wacc)^t_roll</f>
        <v>188.780876050533</v>
      </c>
    </row>
    <row r="7353" customFormat="false" ht="17.15" hidden="false" customHeight="false" outlineLevel="0" collapsed="false">
      <c r="A7353" s="1" t="s">
        <v>948</v>
      </c>
      <c r="B7353" s="0" t="s">
        <v>126</v>
      </c>
      <c r="F7353" s="7" t="n">
        <f aca="false">Sens!F7313/(Sens!F7264-Sens!F7220)</f>
        <v>0.0686163547041255</v>
      </c>
      <c r="G7353" s="7" t="n">
        <f aca="false">Sens!G7313/(Sens!G7264-Sens!G7220)</f>
        <v>0.0660734304635387</v>
      </c>
      <c r="H7353" s="7" t="n">
        <f aca="false">Sens!H7313/(Sens!H7264-Sens!H7220)</f>
        <v>0.0646797499280686</v>
      </c>
      <c r="I7353" s="7" t="n">
        <f aca="false">Sens!I7313/(Sens!I7264-Sens!I7220)</f>
        <v>0.0643055192485371</v>
      </c>
      <c r="J7353" s="7" t="n">
        <f aca="false">Sens!J7313/(Sens!J7264-Sens!J7220)</f>
        <v>0.0647467848256849</v>
      </c>
      <c r="K7353" s="7" t="n">
        <f aca="false">Sens!K7313/(Sens!K7264-Sens!K7220)</f>
        <v>0.0657800328540566</v>
      </c>
    </row>
    <row r="7354" customFormat="false" ht="17.15" hidden="false" customHeight="false" outlineLevel="0" collapsed="false">
      <c r="A7354" s="0" t="s">
        <v>949</v>
      </c>
      <c r="B7354" s="0" t="s">
        <v>95</v>
      </c>
      <c r="F7354" s="6" t="n">
        <f aca="false">Sens!F7249*(al_m365+Sens!F7353)</f>
        <v>78.490470378691</v>
      </c>
      <c r="G7354" s="6" t="n">
        <f aca="false">Sens!G7249*(al_m365+Sens!G7353)</f>
        <v>88.284148966552</v>
      </c>
      <c r="H7354" s="6" t="n">
        <f aca="false">Sens!H7249*(al_m365+Sens!H7353)</f>
        <v>98.2246182835654</v>
      </c>
      <c r="I7354" s="6" t="n">
        <f aca="false">Sens!I7249*(al_m365+Sens!I7353)</f>
        <v>107.673314430236</v>
      </c>
      <c r="J7354" s="6" t="n">
        <f aca="false">Sens!J7249*(al_m365+Sens!J7353)</f>
        <v>116.452138433712</v>
      </c>
      <c r="K7354" s="6" t="n">
        <f aca="false">Sens!K7249*(al_m365+Sens!K7353)</f>
        <v>124.852392661798</v>
      </c>
    </row>
    <row r="7355" customFormat="false" ht="17.15" hidden="false" customHeight="false" outlineLevel="0" collapsed="false">
      <c r="A7355" s="0" t="s">
        <v>950</v>
      </c>
      <c r="B7355" s="0" t="s">
        <v>95</v>
      </c>
      <c r="F7355" s="6" t="n">
        <f aca="false">Sens!F7250*(al_lic+Sens!F7353)</f>
        <v>31.9850465107574</v>
      </c>
      <c r="G7355" s="6" t="n">
        <f aca="false">Sens!G7250*(al_lic+Sens!G7353)</f>
        <v>33.2358659406715</v>
      </c>
      <c r="H7355" s="6" t="n">
        <f aca="false">Sens!H7250*(al_lic+Sens!H7353)</f>
        <v>34.3987108510954</v>
      </c>
      <c r="I7355" s="6" t="n">
        <f aca="false">Sens!I7250*(al_lic+Sens!I7353)</f>
        <v>35.4546984761147</v>
      </c>
      <c r="J7355" s="6" t="n">
        <f aca="false">Sens!J7250*(al_lic+Sens!J7353)</f>
        <v>36.3815491263464</v>
      </c>
      <c r="K7355" s="6" t="n">
        <f aca="false">Sens!K7250*(al_lic+Sens!K7353)</f>
        <v>37.1562413405298</v>
      </c>
    </row>
    <row r="7356" customFormat="false" ht="17.15" hidden="false" customHeight="false" outlineLevel="0" collapsed="false">
      <c r="A7356" s="0" t="s">
        <v>951</v>
      </c>
      <c r="B7356" s="0" t="s">
        <v>95</v>
      </c>
      <c r="F7356" s="6" t="n">
        <f aca="false">Sens!F7252*(al_ind+Sens!F7353)</f>
        <v>8.24123705817514</v>
      </c>
      <c r="G7356" s="6" t="n">
        <f aca="false">Sens!G7252*(al_ind+Sens!G7353)</f>
        <v>8.94654633710097</v>
      </c>
      <c r="H7356" s="6" t="n">
        <f aca="false">Sens!H7252*(al_ind+Sens!H7353)</f>
        <v>9.69092863791492</v>
      </c>
      <c r="I7356" s="6" t="n">
        <f aca="false">Sens!I7252*(al_ind+Sens!I7353)</f>
        <v>10.470583952672</v>
      </c>
      <c r="J7356" s="6" t="n">
        <f aca="false">Sens!J7252*(al_ind+Sens!J7353)</f>
        <v>11.2776986825047</v>
      </c>
      <c r="K7356" s="6" t="n">
        <f aca="false">Sens!K7252*(al_ind+Sens!K7353)</f>
        <v>12.1013211571871</v>
      </c>
    </row>
    <row r="7357" customFormat="false" ht="17.15" hidden="false" customHeight="false" outlineLevel="0" collapsed="false">
      <c r="A7357" s="0" t="s">
        <v>952</v>
      </c>
      <c r="B7357" s="0" t="s">
        <v>95</v>
      </c>
      <c r="F7357" s="6" t="n">
        <f aca="false">Sens!F7254*(al_fro+Sens!F7353)</f>
        <v>3.24377983944048</v>
      </c>
      <c r="G7357" s="6" t="n">
        <f aca="false">Sens!G7254*(al_fro+Sens!G7353)</f>
        <v>3.43494485865602</v>
      </c>
      <c r="H7357" s="6" t="n">
        <f aca="false">Sens!H7254*(al_fro+Sens!H7353)</f>
        <v>3.65187360754792</v>
      </c>
      <c r="I7357" s="6" t="n">
        <f aca="false">Sens!I7254*(al_fro+Sens!I7353)</f>
        <v>3.89672519959994</v>
      </c>
      <c r="J7357" s="6" t="n">
        <f aca="false">Sens!J7254*(al_fro+Sens!J7353)</f>
        <v>4.17092637394641</v>
      </c>
      <c r="K7357" s="6" t="n">
        <f aca="false">Sens!K7254*(al_fro+Sens!K7353)</f>
        <v>4.47553361683695</v>
      </c>
    </row>
    <row r="7358" customFormat="false" ht="17.15" hidden="false" customHeight="false" outlineLevel="0" collapsed="false">
      <c r="A7358" s="0" t="s">
        <v>953</v>
      </c>
      <c r="B7358" s="0" t="s">
        <v>95</v>
      </c>
      <c r="F7358" s="6" t="n">
        <f aca="false">Sens!F7257*(al_srch+Sens!F7353)</f>
        <v>10.1780468366675</v>
      </c>
      <c r="G7358" s="6" t="n">
        <f aca="false">Sens!G7257*(al_srch+Sens!G7353)</f>
        <v>11.1533666721378</v>
      </c>
      <c r="H7358" s="6" t="n">
        <f aca="false">Sens!H7257*(al_srch+Sens!H7353)</f>
        <v>12.1673125498496</v>
      </c>
      <c r="I7358" s="6" t="n">
        <f aca="false">Sens!I7257*(al_srch+Sens!I7353)</f>
        <v>13.2088808275892</v>
      </c>
      <c r="J7358" s="6" t="n">
        <f aca="false">Sens!J7257*(al_srch+Sens!J7353)</f>
        <v>14.2611750114796</v>
      </c>
      <c r="K7358" s="6" t="n">
        <f aca="false">Sens!K7257*(al_srch+Sens!K7353)</f>
        <v>15.3026839740356</v>
      </c>
    </row>
    <row r="7359" customFormat="false" ht="17.15" hidden="false" customHeight="false" outlineLevel="0" collapsed="false">
      <c r="A7359" s="0" t="s">
        <v>954</v>
      </c>
      <c r="B7359" s="0" t="s">
        <v>95</v>
      </c>
      <c r="F7359" s="6" t="n">
        <f aca="false">Sens!F7226</f>
        <v>35.0573455625419</v>
      </c>
      <c r="G7359" s="6" t="n">
        <f aca="false">Sens!G7226</f>
        <v>52.2504971712871</v>
      </c>
      <c r="H7359" s="6" t="n">
        <f aca="false">Sens!H7226</f>
        <v>65.2796698510271</v>
      </c>
      <c r="I7359" s="6" t="n">
        <f aca="false">Sens!I7226</f>
        <v>85.5659922535278</v>
      </c>
      <c r="J7359" s="6" t="n">
        <f aca="false">Sens!J7226</f>
        <v>105.90773710582</v>
      </c>
      <c r="K7359" s="6" t="n">
        <f aca="false">Sens!K7226</f>
        <v>126.282084319851</v>
      </c>
    </row>
    <row r="7360" customFormat="false" ht="17.15" hidden="false" customHeight="false" outlineLevel="0" collapsed="false">
      <c r="A7360" s="0" t="s">
        <v>955</v>
      </c>
      <c r="B7360" s="0" t="s">
        <v>95</v>
      </c>
      <c r="F7360" s="6" t="n">
        <f aca="false">Sens!F7286+Sens!F7237+Sens!F7353*(Sens!F7256-Sens!F7220)</f>
        <v>206.451077178571</v>
      </c>
      <c r="G7360" s="6" t="n">
        <f aca="false">Sens!G7286+Sens!G7237+Sens!G7353*(Sens!G7256-Sens!G7220)</f>
        <v>242.71434245719</v>
      </c>
      <c r="H7360" s="6" t="n">
        <f aca="false">Sens!H7286+Sens!H7237+Sens!H7353*(Sens!H7256-Sens!H7220)</f>
        <v>275.744401635388</v>
      </c>
      <c r="I7360" s="6" t="n">
        <f aca="false">Sens!I7286+Sens!I7237+Sens!I7353*(Sens!I7256-Sens!I7220)</f>
        <v>316.266533257473</v>
      </c>
      <c r="J7360" s="6" t="n">
        <f aca="false">Sens!J7286+Sens!J7237+Sens!J7353*(Sens!J7256-Sens!J7220)</f>
        <v>356.487109493964</v>
      </c>
      <c r="K7360" s="6" t="n">
        <f aca="false">Sens!K7286+Sens!K7237+Sens!K7353*(Sens!K7256-Sens!K7220)</f>
        <v>396.123735466476</v>
      </c>
    </row>
    <row r="7361" customFormat="false" ht="17.15" hidden="false" customHeight="false" outlineLevel="0" collapsed="false">
      <c r="A7361" s="0" t="s">
        <v>956</v>
      </c>
      <c r="B7361" s="0" t="s">
        <v>95</v>
      </c>
      <c r="F7361" s="6" t="n">
        <f aca="false">Sens!F7360-Sens!F7354-Sens!F7355-Sens!F7356-Sens!F7357-Sens!F7359</f>
        <v>49.4331978289652</v>
      </c>
      <c r="G7361" s="6" t="n">
        <f aca="false">Sens!G7360-Sens!G7354-Sens!G7355-Sens!G7356-Sens!G7357-Sens!G7359</f>
        <v>56.562339182922</v>
      </c>
      <c r="H7361" s="6" t="n">
        <f aca="false">Sens!H7360-Sens!H7354-Sens!H7355-Sens!H7356-Sens!H7357-Sens!H7359</f>
        <v>64.4986004042371</v>
      </c>
      <c r="I7361" s="6" t="n">
        <f aca="false">Sens!I7360-Sens!I7354-Sens!I7355-Sens!I7356-Sens!I7357-Sens!I7359</f>
        <v>73.2052189453229</v>
      </c>
      <c r="J7361" s="6" t="n">
        <f aca="false">Sens!J7360-Sens!J7354-Sens!J7355-Sens!J7356-Sens!J7357-Sens!J7359</f>
        <v>82.2970597716352</v>
      </c>
      <c r="K7361" s="6" t="n">
        <f aca="false">Sens!K7360-Sens!K7354-Sens!K7355-Sens!K7356-Sens!K7357-Sens!K7359</f>
        <v>91.2561623702731</v>
      </c>
    </row>
    <row r="7362" customFormat="false" ht="17.15" hidden="false" customHeight="false" outlineLevel="0" collapsed="false">
      <c r="A7362" s="0" t="s">
        <v>957</v>
      </c>
      <c r="B7362" s="0" t="s">
        <v>95</v>
      </c>
      <c r="F7362" s="6" t="n">
        <f aca="false">Sens!F7288+Sens!F7353*Sens!F7263</f>
        <v>23.7652294071773</v>
      </c>
      <c r="G7362" s="6" t="n">
        <f aca="false">Sens!G7288+Sens!G7353*Sens!G7263</f>
        <v>24.3182675163022</v>
      </c>
      <c r="H7362" s="6" t="n">
        <f aca="false">Sens!H7288+Sens!H7353*Sens!H7263</f>
        <v>25.1094121359589</v>
      </c>
      <c r="I7362" s="6" t="n">
        <f aca="false">Sens!I7288+Sens!I7353*Sens!I7263</f>
        <v>26.1095808833815</v>
      </c>
      <c r="J7362" s="6" t="n">
        <f aca="false">Sens!J7288+Sens!J7353*Sens!J7263</f>
        <v>27.2897685629794</v>
      </c>
      <c r="K7362" s="6" t="n">
        <f aca="false">Sens!K7288+Sens!K7353*Sens!K7263</f>
        <v>28.6229098288463</v>
      </c>
    </row>
    <row r="7363" customFormat="false" ht="17.15" hidden="false" customHeight="false" outlineLevel="0" collapsed="false">
      <c r="A7363" s="0" t="s">
        <v>958</v>
      </c>
      <c r="B7363" s="0" t="s">
        <v>95</v>
      </c>
      <c r="F7363" s="6" t="n">
        <f aca="false">(Sens!F7362-Sens!F7358)*Sens!F7259/(Sens!F7259+Sens!F7261)</f>
        <v>7.44836114791283</v>
      </c>
      <c r="G7363" s="6" t="n">
        <f aca="false">(Sens!G7362-Sens!G7358)*Sens!G7259/(Sens!G7259+Sens!G7261)</f>
        <v>7.08819407250116</v>
      </c>
      <c r="H7363" s="6" t="n">
        <f aca="false">(Sens!H7362-Sens!H7358)*Sens!H7259/(Sens!H7259+Sens!H7261)</f>
        <v>6.87410509636675</v>
      </c>
      <c r="I7363" s="6" t="n">
        <f aca="false">(Sens!I7362-Sens!I7358)*Sens!I7259/(Sens!I7259+Sens!I7261)</f>
        <v>6.79011799418599</v>
      </c>
      <c r="J7363" s="6" t="n">
        <f aca="false">(Sens!J7362-Sens!J7358)*Sens!J7259/(Sens!J7259+Sens!J7261)</f>
        <v>6.82642403569425</v>
      </c>
      <c r="K7363" s="6" t="n">
        <f aca="false">(Sens!K7362-Sens!K7358)*Sens!K7259/(Sens!K7259+Sens!K7261)</f>
        <v>6.97922685029102</v>
      </c>
    </row>
    <row r="7364" customFormat="false" ht="17.15" hidden="false" customHeight="false" outlineLevel="0" collapsed="false">
      <c r="A7364" s="0" t="s">
        <v>959</v>
      </c>
      <c r="B7364" s="0" t="s">
        <v>95</v>
      </c>
      <c r="F7364" s="6" t="n">
        <f aca="false">Sens!F7362-Sens!F7358-Sens!F7363</f>
        <v>6.13882142259702</v>
      </c>
      <c r="G7364" s="6" t="n">
        <f aca="false">Sens!G7362-Sens!G7358-Sens!G7363</f>
        <v>6.07670677166325</v>
      </c>
      <c r="H7364" s="6" t="n">
        <f aca="false">Sens!H7362-Sens!H7358-Sens!H7363</f>
        <v>6.06799448974258</v>
      </c>
      <c r="I7364" s="6" t="n">
        <f aca="false">Sens!I7362-Sens!I7358-Sens!I7363</f>
        <v>6.1105820616063</v>
      </c>
      <c r="J7364" s="6" t="n">
        <f aca="false">Sens!J7362-Sens!J7358-Sens!J7363</f>
        <v>6.20216951580557</v>
      </c>
      <c r="K7364" s="6" t="n">
        <f aca="false">Sens!K7362-Sens!K7358-Sens!K7363</f>
        <v>6.34099900451971</v>
      </c>
    </row>
    <row r="7365" customFormat="false" ht="17.15" hidden="false" customHeight="false" outlineLevel="0" collapsed="false">
      <c r="A7365" s="1" t="s">
        <v>960</v>
      </c>
      <c r="B7365" s="0" t="s">
        <v>95</v>
      </c>
      <c r="C7365" s="6" t="n">
        <f aca="false">(w_ntm28*Sens!G7359+(1-w_ntm28)*Sens!H7359)*m_ai*1</f>
        <v>338.776008390068</v>
      </c>
    </row>
    <row r="7366" customFormat="false" ht="17.15" hidden="false" customHeight="false" outlineLevel="0" collapsed="false">
      <c r="A7366" s="1" t="s">
        <v>961</v>
      </c>
      <c r="B7366" s="0" t="s">
        <v>95</v>
      </c>
      <c r="C7366" s="6" t="n">
        <f aca="false">(w_ntm28*Sens!G7361+(1-w_ntm28)*Sens!H7361)*m_cloud*1</f>
        <v>817.149438053932</v>
      </c>
    </row>
    <row r="7367" customFormat="false" ht="17.15" hidden="false" customHeight="false" outlineLevel="0" collapsed="false">
      <c r="A7367" s="1" t="s">
        <v>962</v>
      </c>
      <c r="B7367" s="0" t="s">
        <v>95</v>
      </c>
      <c r="C7367" s="6" t="n">
        <f aca="false">(w_ntm28*Sens!G7354+(1-w_ntm28)*Sens!H7354)*m_sw*1</f>
        <v>988.17602554452</v>
      </c>
    </row>
    <row r="7368" customFormat="false" ht="17.15" hidden="false" customHeight="false" outlineLevel="0" collapsed="false">
      <c r="A7368" s="1" t="s">
        <v>963</v>
      </c>
      <c r="B7368" s="0" t="s">
        <v>95</v>
      </c>
      <c r="C7368" s="6" t="n">
        <f aca="false">(w_ntm28*Sens!G7355+(1-w_ntm28)*Sens!H7355)*m_sw*1</f>
        <v>363.007433128689</v>
      </c>
    </row>
    <row r="7369" customFormat="false" ht="17.15" hidden="false" customHeight="false" outlineLevel="0" collapsed="false">
      <c r="A7369" s="1" t="s">
        <v>964</v>
      </c>
      <c r="B7369" s="0" t="s">
        <v>95</v>
      </c>
      <c r="C7369" s="6" t="n">
        <f aca="false">(w_ntm28*Sens!G7356+(1-w_ntm28)*Sens!H7356)*m_sw*1</f>
        <v>99.2217163424913</v>
      </c>
    </row>
    <row r="7370" customFormat="false" ht="17.15" hidden="false" customHeight="false" outlineLevel="0" collapsed="false">
      <c r="A7370" s="1" t="s">
        <v>965</v>
      </c>
      <c r="B7370" s="0" t="s">
        <v>95</v>
      </c>
      <c r="C7370" s="6" t="n">
        <f aca="false">(w_ntm28*Sens!G7357+(1-w_ntm28)*Sens!H7357)*m_sw*1</f>
        <v>37.8548126860544</v>
      </c>
    </row>
    <row r="7371" customFormat="false" ht="17.15" hidden="false" customHeight="false" outlineLevel="0" collapsed="false">
      <c r="A7371" s="1" t="s">
        <v>966</v>
      </c>
      <c r="B7371" s="0" t="s">
        <v>95</v>
      </c>
      <c r="C7371" s="6" t="n">
        <f aca="false">(w_ntm28*Sens!G7358+(1-w_ntm28)*Sens!H7358)*m_ads*1</f>
        <v>104.593393779402</v>
      </c>
    </row>
    <row r="7372" customFormat="false" ht="17.15" hidden="false" customHeight="false" outlineLevel="0" collapsed="false">
      <c r="A7372" s="1" t="s">
        <v>967</v>
      </c>
      <c r="B7372" s="0" t="s">
        <v>95</v>
      </c>
      <c r="C7372" s="6" t="n">
        <f aca="false">(w_ntm28*Sens!G7363+(1-w_ntm28)*Sens!H7363)*m_game*1</f>
        <v>88.6497394516015</v>
      </c>
    </row>
    <row r="7373" customFormat="false" ht="17.15" hidden="false" customHeight="false" outlineLevel="0" collapsed="false">
      <c r="A7373" s="1" t="s">
        <v>968</v>
      </c>
      <c r="B7373" s="0" t="s">
        <v>95</v>
      </c>
      <c r="C7373" s="6" t="n">
        <f aca="false">(w_ntm28*Sens!G7364+(1-w_ntm28)*Sens!H7364)*m_pc*1</f>
        <v>87.8891911698349</v>
      </c>
    </row>
    <row r="7374" customFormat="false" ht="17.15" hidden="false" customHeight="false" outlineLevel="0" collapsed="false">
      <c r="A7374" s="1" t="s">
        <v>969</v>
      </c>
      <c r="B7374" s="0" t="s">
        <v>95</v>
      </c>
      <c r="C7374" s="6" t="n">
        <f aca="false">Sens!$C$7365+Sens!$C$7366+Sens!$C$7367+Sens!$C$7368+Sens!$C$7369+Sens!$C$7370+Sens!$C$7371+Sens!$C$7372+Sens!$C$7373</f>
        <v>2925.31775854659</v>
      </c>
    </row>
    <row r="7375" customFormat="false" ht="17.15" hidden="false" customHeight="false" outlineLevel="0" collapsed="false">
      <c r="A7375" s="1" t="s">
        <v>903</v>
      </c>
      <c r="B7375" s="0" t="s">
        <v>95</v>
      </c>
      <c r="C7375" s="6" t="n">
        <f aca="false">Sens!F7332+oai_v-Sens!F7321</f>
        <v>107.066474699533</v>
      </c>
      <c r="L7375" s="1" t="s">
        <v>970</v>
      </c>
    </row>
    <row r="7376" customFormat="false" ht="15" hidden="false" customHeight="false" outlineLevel="0" collapsed="false">
      <c r="A7376" s="1" t="s">
        <v>904</v>
      </c>
      <c r="B7376" s="0" t="s">
        <v>73</v>
      </c>
      <c r="C7376" s="5" t="n">
        <f aca="false">(Sens!$C$7374+Sens!$C$7375)/Sens!F7334</f>
        <v>405.833007661419</v>
      </c>
    </row>
    <row r="7377" customFormat="false" ht="17.15" hidden="false" customHeight="false" outlineLevel="0" collapsed="false">
      <c r="A7377" s="1" t="s">
        <v>971</v>
      </c>
      <c r="B7377" s="0" t="s">
        <v>73</v>
      </c>
      <c r="C7377" s="5" t="n">
        <f aca="false">w_dcf*Sens!$C$7352+(1-w_dcf)*Sens!$C$7376</f>
        <v>297.306941855976</v>
      </c>
    </row>
    <row r="7378" customFormat="false" ht="17.15" hidden="false" customHeight="false" outlineLevel="0" collapsed="false">
      <c r="A7378" s="3" t="s">
        <v>1324</v>
      </c>
    </row>
    <row r="7379" customFormat="false" ht="15" hidden="false" customHeight="false" outlineLevel="0" collapsed="false">
      <c r="A7379" s="4" t="s">
        <v>43</v>
      </c>
      <c r="B7379" s="4" t="s">
        <v>63</v>
      </c>
      <c r="C7379" s="19" t="s">
        <v>710</v>
      </c>
      <c r="D7379" s="19" t="s">
        <v>711</v>
      </c>
      <c r="E7379" s="19" t="s">
        <v>712</v>
      </c>
      <c r="F7379" s="19" t="s">
        <v>713</v>
      </c>
      <c r="G7379" s="19" t="s">
        <v>714</v>
      </c>
      <c r="H7379" s="19" t="s">
        <v>715</v>
      </c>
      <c r="I7379" s="19" t="s">
        <v>716</v>
      </c>
      <c r="J7379" s="19" t="s">
        <v>717</v>
      </c>
      <c r="K7379" s="19" t="s">
        <v>718</v>
      </c>
      <c r="L7379" s="4" t="s">
        <v>47</v>
      </c>
    </row>
    <row r="7380" customFormat="false" ht="17.15" hidden="false" customHeight="false" outlineLevel="0" collapsed="false">
      <c r="A7380" s="1" t="s">
        <v>719</v>
      </c>
      <c r="B7380" s="0" t="s">
        <v>340</v>
      </c>
      <c r="C7380" s="27" t="n">
        <f aca="false">mw_ext_24</f>
        <v>640</v>
      </c>
      <c r="D7380" s="27" t="n">
        <f aca="false">mw_ext_25</f>
        <v>1630</v>
      </c>
      <c r="E7380" s="27" t="n">
        <f aca="false">mw_ext_26</f>
        <v>3250</v>
      </c>
      <c r="F7380" s="27" t="n">
        <f aca="false">MIN(1000000000,Sens!E7380+pace)</f>
        <v>5777.2</v>
      </c>
      <c r="G7380" s="27" t="n">
        <f aca="false">MIN(1000000000,Sens!F7380+pace)</f>
        <v>8304.4</v>
      </c>
      <c r="H7380" s="27" t="n">
        <f aca="false">MIN(1000000000,Sens!G7380+pace)</f>
        <v>10831.6</v>
      </c>
      <c r="I7380" s="27" t="n">
        <f aca="false">MIN(1000000000,Sens!H7380+pace)</f>
        <v>13358.8</v>
      </c>
      <c r="J7380" s="27" t="n">
        <f aca="false">MIN(1000000000,Sens!I7380+pace)</f>
        <v>15886</v>
      </c>
      <c r="K7380" s="27" t="n">
        <f aca="false">MIN(1000000000,Sens!J7380+pace)</f>
        <v>18413.2</v>
      </c>
      <c r="L7380" s="11" t="s">
        <v>720</v>
      </c>
    </row>
    <row r="7381" customFormat="false" ht="17.15" hidden="false" customHeight="false" outlineLevel="0" collapsed="false">
      <c r="A7381" s="1" t="s">
        <v>721</v>
      </c>
      <c r="B7381" s="0" t="s">
        <v>340</v>
      </c>
      <c r="C7381" s="27" t="n">
        <f aca="false">rent_ext_24</f>
        <v>150</v>
      </c>
      <c r="D7381" s="27" t="n">
        <f aca="false">rent_ext_25</f>
        <v>400</v>
      </c>
      <c r="E7381" s="27" t="n">
        <f aca="false">rent_ext_26</f>
        <v>550</v>
      </c>
      <c r="F7381" s="27" t="n">
        <f aca="false">rent_ext_f</f>
        <v>756</v>
      </c>
      <c r="G7381" s="27" t="n">
        <f aca="false">rent_ext_f</f>
        <v>756</v>
      </c>
      <c r="H7381" s="27" t="n">
        <f aca="false">rent_ext_f</f>
        <v>756</v>
      </c>
      <c r="I7381" s="27" t="n">
        <f aca="false">rent_ext_f</f>
        <v>756</v>
      </c>
      <c r="J7381" s="27" t="n">
        <f aca="false">rent_ext_f</f>
        <v>756</v>
      </c>
      <c r="K7381" s="27" t="n">
        <f aca="false">rent_ext_f</f>
        <v>756</v>
      </c>
      <c r="L7381" s="1" t="s">
        <v>722</v>
      </c>
    </row>
    <row r="7382" customFormat="false" ht="17.15" hidden="false" customHeight="false" outlineLevel="0" collapsed="false">
      <c r="A7382" s="1" t="s">
        <v>723</v>
      </c>
      <c r="B7382" s="0" t="s">
        <v>340</v>
      </c>
      <c r="C7382" s="27" t="n">
        <f aca="false">Sens!C7380-Sens!C7381</f>
        <v>490</v>
      </c>
      <c r="D7382" s="27" t="n">
        <f aca="false">Sens!D7380-Sens!D7381</f>
        <v>1230</v>
      </c>
      <c r="E7382" s="27" t="n">
        <f aca="false">Sens!E7380-Sens!E7381</f>
        <v>2700</v>
      </c>
      <c r="F7382" s="27" t="n">
        <f aca="false">Sens!F7380-Sens!F7381</f>
        <v>5021.2</v>
      </c>
      <c r="G7382" s="27" t="n">
        <f aca="false">Sens!G7380-Sens!G7381</f>
        <v>7548.4</v>
      </c>
      <c r="H7382" s="27" t="n">
        <f aca="false">Sens!H7380-Sens!H7381</f>
        <v>10075.6</v>
      </c>
      <c r="I7382" s="27" t="n">
        <f aca="false">Sens!I7380-Sens!I7381</f>
        <v>12602.8</v>
      </c>
      <c r="J7382" s="27" t="n">
        <f aca="false">Sens!J7380-Sens!J7381</f>
        <v>15130</v>
      </c>
      <c r="K7382" s="27" t="n">
        <f aca="false">Sens!K7380-Sens!K7381</f>
        <v>17657.2</v>
      </c>
    </row>
    <row r="7383" customFormat="false" ht="17.15" hidden="false" customHeight="false" outlineLevel="0" collapsed="false">
      <c r="A7383" s="1" t="s">
        <v>724</v>
      </c>
      <c r="B7383" s="0" t="s">
        <v>340</v>
      </c>
      <c r="C7383" s="27" t="n">
        <f aca="false">Sens!C7382/ext_sh</f>
        <v>816.666666666667</v>
      </c>
      <c r="D7383" s="27" t="n">
        <f aca="false">Sens!D7382/ext_sh</f>
        <v>2050</v>
      </c>
      <c r="E7383" s="27" t="n">
        <f aca="false">Sens!E7382/ext_sh</f>
        <v>4500</v>
      </c>
      <c r="F7383" s="27" t="n">
        <f aca="false">Sens!F7382/ext_sh</f>
        <v>8368.66666666667</v>
      </c>
      <c r="G7383" s="27" t="n">
        <f aca="false">Sens!G7382/ext_sh</f>
        <v>12580.6666666667</v>
      </c>
      <c r="H7383" s="27" t="n">
        <f aca="false">Sens!H7382/ext_sh</f>
        <v>16792.6666666667</v>
      </c>
      <c r="I7383" s="27" t="n">
        <f aca="false">Sens!I7382/ext_sh</f>
        <v>21004.6666666667</v>
      </c>
      <c r="J7383" s="27" t="n">
        <f aca="false">Sens!J7382/ext_sh</f>
        <v>25216.6666666667</v>
      </c>
      <c r="K7383" s="27" t="n">
        <f aca="false">Sens!K7382/ext_sh</f>
        <v>29428.6666666667</v>
      </c>
      <c r="L7383" s="1" t="s">
        <v>725</v>
      </c>
    </row>
    <row r="7384" customFormat="false" ht="17.15" hidden="false" customHeight="false" outlineLevel="0" collapsed="false">
      <c r="A7384" s="1" t="s">
        <v>726</v>
      </c>
      <c r="B7384" s="0" t="s">
        <v>340</v>
      </c>
      <c r="C7384" s="27" t="n">
        <f aca="false">Sens!C7383-Sens!C7382</f>
        <v>326.666666666667</v>
      </c>
      <c r="D7384" s="27" t="n">
        <f aca="false">Sens!D7383-Sens!D7382</f>
        <v>820</v>
      </c>
      <c r="E7384" s="27" t="n">
        <f aca="false">Sens!E7383-Sens!E7382</f>
        <v>1800</v>
      </c>
      <c r="F7384" s="27" t="n">
        <f aca="false">Sens!F7383-Sens!F7382</f>
        <v>3347.46666666667</v>
      </c>
      <c r="G7384" s="27" t="n">
        <f aca="false">Sens!G7383-Sens!G7382</f>
        <v>5032.26666666667</v>
      </c>
      <c r="H7384" s="27" t="n">
        <f aca="false">Sens!H7383-Sens!H7382</f>
        <v>6717.06666666667</v>
      </c>
      <c r="I7384" s="27" t="n">
        <f aca="false">Sens!I7383-Sens!I7382</f>
        <v>8401.86666666667</v>
      </c>
      <c r="J7384" s="27" t="n">
        <f aca="false">Sens!J7383-Sens!J7382</f>
        <v>10086.6666666667</v>
      </c>
      <c r="K7384" s="27" t="n">
        <f aca="false">Sens!K7383-Sens!K7382</f>
        <v>11771.4666666667</v>
      </c>
    </row>
    <row r="7385" customFormat="false" ht="17.15" hidden="false" customHeight="false" outlineLevel="0" collapsed="false">
      <c r="A7385" s="1" t="s">
        <v>727</v>
      </c>
      <c r="B7385" s="0" t="s">
        <v>340</v>
      </c>
      <c r="C7385" s="27" t="n">
        <f aca="false">Sens!C7383</f>
        <v>816.666666666667</v>
      </c>
      <c r="D7385" s="27" t="n">
        <f aca="false">Sens!D7383-Sens!C7383</f>
        <v>1233.33333333333</v>
      </c>
      <c r="E7385" s="27" t="n">
        <f aca="false">Sens!E7383-Sens!D7383</f>
        <v>2450</v>
      </c>
      <c r="F7385" s="27" t="n">
        <f aca="false">Sens!F7383-Sens!E7383</f>
        <v>3868.66666666667</v>
      </c>
      <c r="G7385" s="27" t="n">
        <f aca="false">Sens!G7383-Sens!F7383</f>
        <v>4212</v>
      </c>
      <c r="H7385" s="27" t="n">
        <f aca="false">Sens!H7383-Sens!G7383</f>
        <v>4212</v>
      </c>
      <c r="I7385" s="27" t="n">
        <f aca="false">Sens!I7383-Sens!H7383</f>
        <v>4212</v>
      </c>
      <c r="J7385" s="27" t="n">
        <f aca="false">Sens!J7383-Sens!I7383</f>
        <v>4212</v>
      </c>
      <c r="K7385" s="27" t="n">
        <f aca="false">Sens!K7383-Sens!J7383</f>
        <v>4212</v>
      </c>
    </row>
    <row r="7386" customFormat="false" ht="17.15" hidden="false" customHeight="false" outlineLevel="0" collapsed="false">
      <c r="A7386" s="1" t="s">
        <v>728</v>
      </c>
      <c r="B7386" s="0" t="s">
        <v>340</v>
      </c>
      <c r="D7386" s="27" t="n">
        <f aca="false">Sens!D7380-Sens!C7380</f>
        <v>990</v>
      </c>
      <c r="E7386" s="27" t="n">
        <f aca="false">Sens!E7380-Sens!D7380</f>
        <v>1620</v>
      </c>
      <c r="F7386" s="27" t="n">
        <f aca="false">Sens!F7380-Sens!E7380</f>
        <v>2527.2</v>
      </c>
      <c r="G7386" s="27" t="n">
        <f aca="false">Sens!G7380-Sens!F7380</f>
        <v>2527.2</v>
      </c>
      <c r="H7386" s="27" t="n">
        <f aca="false">Sens!H7380-Sens!G7380</f>
        <v>2527.2</v>
      </c>
      <c r="I7386" s="27" t="n">
        <f aca="false">Sens!I7380-Sens!H7380</f>
        <v>2527.2</v>
      </c>
      <c r="J7386" s="27" t="n">
        <f aca="false">Sens!J7380-Sens!I7380</f>
        <v>2527.2</v>
      </c>
      <c r="K7386" s="27" t="n">
        <f aca="false">Sens!K7380-Sens!J7380</f>
        <v>2527.2</v>
      </c>
    </row>
    <row r="7387" customFormat="false" ht="17.15" hidden="false" customHeight="false" outlineLevel="0" collapsed="false">
      <c r="A7387" s="1" t="s">
        <v>729</v>
      </c>
      <c r="B7387" s="0" t="s">
        <v>340</v>
      </c>
      <c r="C7387" s="27" t="n">
        <f aca="false">mix_h*Sens!C7380</f>
        <v>128</v>
      </c>
      <c r="D7387" s="27" t="n">
        <f aca="false">mix_h*Sens!D7380</f>
        <v>326</v>
      </c>
      <c r="E7387" s="27" t="n">
        <f aca="false">mix_h*Sens!E7380</f>
        <v>650</v>
      </c>
      <c r="F7387" s="27" t="n">
        <f aca="false">Sens!E7387</f>
        <v>650</v>
      </c>
      <c r="G7387" s="27" t="n">
        <f aca="false">Sens!F7387</f>
        <v>650</v>
      </c>
      <c r="H7387" s="27" t="n">
        <f aca="false">Sens!G7387</f>
        <v>650</v>
      </c>
      <c r="I7387" s="27" t="n">
        <f aca="false">Sens!H7387</f>
        <v>650</v>
      </c>
      <c r="J7387" s="27" t="n">
        <f aca="false">Sens!I7387</f>
        <v>650</v>
      </c>
      <c r="K7387" s="27" t="n">
        <f aca="false">Sens!J7387</f>
        <v>650</v>
      </c>
    </row>
    <row r="7388" customFormat="false" ht="17.15" hidden="false" customHeight="false" outlineLevel="0" collapsed="false">
      <c r="A7388" s="1" t="s">
        <v>730</v>
      </c>
      <c r="B7388" s="0" t="s">
        <v>340</v>
      </c>
      <c r="C7388" s="27" t="n">
        <f aca="false">mix_g2*Sens!C7380</f>
        <v>288</v>
      </c>
      <c r="D7388" s="27" t="n">
        <f aca="false">mix_g2*Sens!D7380</f>
        <v>733.5</v>
      </c>
      <c r="E7388" s="27" t="n">
        <f aca="false">mix_g2*Sens!E7380</f>
        <v>1462.5</v>
      </c>
      <c r="F7388" s="27" t="n">
        <f aca="false">Sens!E7388</f>
        <v>1462.5</v>
      </c>
      <c r="G7388" s="27" t="n">
        <f aca="false">Sens!F7388</f>
        <v>1462.5</v>
      </c>
      <c r="H7388" s="27" t="n">
        <f aca="false">Sens!G7388</f>
        <v>1462.5</v>
      </c>
      <c r="I7388" s="27" t="n">
        <f aca="false">Sens!H7388</f>
        <v>1462.5</v>
      </c>
      <c r="J7388" s="27" t="n">
        <f aca="false">Sens!I7388</f>
        <v>1462.5</v>
      </c>
      <c r="K7388" s="27" t="n">
        <f aca="false">Sens!J7388</f>
        <v>1462.5</v>
      </c>
    </row>
    <row r="7389" customFormat="false" ht="17.15" hidden="false" customHeight="false" outlineLevel="0" collapsed="false">
      <c r="A7389" s="1" t="s">
        <v>731</v>
      </c>
      <c r="B7389" s="0" t="s">
        <v>340</v>
      </c>
      <c r="C7389" s="27" t="n">
        <f aca="false">mix_g3*Sens!C7380</f>
        <v>224</v>
      </c>
      <c r="D7389" s="27" t="n">
        <f aca="false">mix_g3*Sens!D7380</f>
        <v>570.5</v>
      </c>
      <c r="E7389" s="27" t="n">
        <f aca="false">mix_g3*Sens!E7380</f>
        <v>1137.5</v>
      </c>
      <c r="F7389" s="27" t="n">
        <f aca="false">Sens!E7389+Sens!F7386*a_g3_27</f>
        <v>2906.54</v>
      </c>
      <c r="G7389" s="27" t="n">
        <f aca="false">Sens!F7389+Sens!G7386*a_g3_28</f>
        <v>3664.7</v>
      </c>
      <c r="H7389" s="27" t="n">
        <f aca="false">Sens!G7389+Sens!H7386*a_g3_29</f>
        <v>3917.42</v>
      </c>
      <c r="I7389" s="27" t="n">
        <f aca="false">Sens!H7389+Sens!I7386*a_g3_29</f>
        <v>4170.14</v>
      </c>
      <c r="J7389" s="27" t="n">
        <f aca="false">Sens!I7389+Sens!J7386*a_g3_29</f>
        <v>4422.86</v>
      </c>
      <c r="K7389" s="27" t="n">
        <f aca="false">Sens!J7389+Sens!K7386*a_g3_29</f>
        <v>4675.58</v>
      </c>
    </row>
    <row r="7390" customFormat="false" ht="17.15" hidden="false" customHeight="false" outlineLevel="0" collapsed="false">
      <c r="A7390" s="1" t="s">
        <v>732</v>
      </c>
      <c r="B7390" s="0" t="s">
        <v>340</v>
      </c>
      <c r="C7390" s="27" t="n">
        <f aca="false">0</f>
        <v>0</v>
      </c>
      <c r="D7390" s="27" t="n">
        <f aca="false">0</f>
        <v>0</v>
      </c>
      <c r="E7390" s="27" t="n">
        <f aca="false">0</f>
        <v>0</v>
      </c>
      <c r="F7390" s="27" t="n">
        <f aca="false">Sens!E7390+Sens!F7386*(1-a_g3_27)</f>
        <v>758.16</v>
      </c>
      <c r="G7390" s="27" t="n">
        <f aca="false">Sens!F7390+Sens!G7386*(1-a_g3_28)</f>
        <v>2527.2</v>
      </c>
      <c r="H7390" s="27" t="n">
        <f aca="false">Sens!G7390+Sens!H7386*(1-a_g3_29)</f>
        <v>4801.68</v>
      </c>
      <c r="I7390" s="27" t="n">
        <f aca="false">Sens!H7390+Sens!I7386*(1-a_g3_29)</f>
        <v>7076.16</v>
      </c>
      <c r="J7390" s="27" t="n">
        <f aca="false">Sens!I7390+Sens!J7386*(1-a_g3_29)</f>
        <v>9350.64</v>
      </c>
      <c r="K7390" s="27" t="n">
        <f aca="false">Sens!J7390+Sens!K7386*(1-a_g3_29)</f>
        <v>11625.12</v>
      </c>
    </row>
    <row r="7391" customFormat="false" ht="17.15" hidden="false" customHeight="false" outlineLevel="0" collapsed="false">
      <c r="A7391" s="1" t="s">
        <v>733</v>
      </c>
      <c r="B7391" s="0" t="s">
        <v>291</v>
      </c>
      <c r="C7391" s="18" t="n">
        <f aca="false">(Sens!C7387*tk_hold_h100+Sens!C7388*tk_hold_gb200+Sens!C7389*tk_hold_gb300+Sens!C7390*tk_hold_vr200)/Sens!C7380</f>
        <v>9.7235358126469</v>
      </c>
      <c r="D7391" s="18" t="n">
        <f aca="false">(Sens!D7387*tk_hold_h100+Sens!D7388*tk_hold_gb200+Sens!D7389*tk_hold_gb300+Sens!D7390*tk_hold_vr200)/Sens!D7380</f>
        <v>9.7235358126469</v>
      </c>
      <c r="E7391" s="18" t="n">
        <f aca="false">(Sens!E7387*tk_hold_h100+Sens!E7388*tk_hold_gb200+Sens!E7389*tk_hold_gb300+Sens!E7390*tk_hold_vr200)/Sens!E7380</f>
        <v>9.7235358126469</v>
      </c>
      <c r="F7391" s="18" t="n">
        <f aca="false">(Sens!F7387*tk_hold_h100+Sens!F7388*tk_hold_gb200+Sens!F7389*tk_hold_gb300+Sens!F7390*tk_hold_vr200)/Sens!F7380</f>
        <v>10.4079573161931</v>
      </c>
      <c r="G7391" s="18" t="n">
        <f aca="false">(Sens!G7387*tk_hold_h100+Sens!G7388*tk_hold_gb200+Sens!G7389*tk_hold_gb300+Sens!G7390*tk_hold_vr200)/Sens!G7380</f>
        <v>10.8388131109316</v>
      </c>
      <c r="H7391" s="18" t="n">
        <f aca="false">(Sens!H7387*tk_hold_h100+Sens!H7388*tk_hold_gb200+Sens!H7389*tk_hold_gb300+Sens!H7390*tk_hold_vr200)/Sens!H7380</f>
        <v>11.1311018388216</v>
      </c>
      <c r="I7391" s="18" t="n">
        <f aca="false">(Sens!I7387*tk_hold_h100+Sens!I7388*tk_hold_gb200+Sens!I7389*tk_hold_gb300+Sens!I7390*tk_hold_vr200)/Sens!I7380</f>
        <v>11.3128009818501</v>
      </c>
      <c r="J7391" s="18" t="n">
        <f aca="false">(Sens!J7387*tk_hold_h100+Sens!J7388*tk_hold_gb200+Sens!J7389*tk_hold_gb300+Sens!J7390*tk_hold_vr200)/Sens!J7380</f>
        <v>11.4366894646418</v>
      </c>
      <c r="K7391" s="18" t="n">
        <f aca="false">(Sens!K7387*tk_hold_h100+Sens!K7388*tk_hold_gb200+Sens!K7389*tk_hold_gb300+Sens!K7390*tk_hold_vr200)/Sens!K7380</f>
        <v>11.526570716348</v>
      </c>
    </row>
    <row r="7392" customFormat="false" ht="17.15" hidden="false" customHeight="false" outlineLevel="0" collapsed="false">
      <c r="A7392" s="0" t="s">
        <v>734</v>
      </c>
      <c r="B7392" s="0" t="s">
        <v>182</v>
      </c>
      <c r="C7392" s="18" t="n">
        <f aca="false">k_B</f>
        <v>1.17213932619116</v>
      </c>
      <c r="D7392" s="18" t="n">
        <f aca="false">k_B</f>
        <v>1.17213932619116</v>
      </c>
      <c r="E7392" s="18" t="n">
        <f aca="false">k_B</f>
        <v>1.17213932619116</v>
      </c>
      <c r="F7392" s="18" t="n">
        <f aca="false">(k_B+((ls_A*k_long+(1-ls_A)*k_spot)-k_B)*MIN(1,1/3))*1</f>
        <v>1.25022828131298</v>
      </c>
      <c r="G7392" s="18" t="n">
        <f aca="false">(k_B+((ls_A*k_long+(1-ls_A)*k_spot)-k_B)*MIN(1,2/3))*1</f>
        <v>1.3283172364348</v>
      </c>
      <c r="H7392" s="18" t="n">
        <f aca="false">(k_B+((ls_A*k_long+(1-ls_A)*k_spot)-k_B)*MIN(1,3/3))*1</f>
        <v>1.40640619155662</v>
      </c>
      <c r="I7392" s="18" t="n">
        <f aca="false">(k_B+((ls_A*k_long+(1-ls_A)*k_spot)-k_B)*MIN(1,4/3))*1</f>
        <v>1.40640619155662</v>
      </c>
      <c r="J7392" s="18" t="n">
        <f aca="false">(k_B+((ls_A*k_long+(1-ls_A)*k_spot)-k_B)*MIN(1,5/3))*1</f>
        <v>1.40640619155662</v>
      </c>
      <c r="K7392" s="18" t="n">
        <f aca="false">(k_B+((ls_A*k_long+(1-ls_A)*k_spot)-k_B)*MIN(1,6/3))*1</f>
        <v>1.40640619155662</v>
      </c>
      <c r="L7392" s="1" t="s">
        <v>735</v>
      </c>
    </row>
    <row r="7393" customFormat="false" ht="17.15" hidden="false" customHeight="false" outlineLevel="0" collapsed="false">
      <c r="A7393" s="1" t="s">
        <v>736</v>
      </c>
      <c r="B7393" s="0" t="s">
        <v>291</v>
      </c>
      <c r="C7393" s="18" t="n">
        <f aca="false">Sens!C7391*Sens!C7392*chip_f</f>
        <v>11.3973387156315</v>
      </c>
      <c r="D7393" s="18" t="n">
        <f aca="false">Sens!D7391*Sens!D7392*chip_f</f>
        <v>11.3973387156315</v>
      </c>
      <c r="E7393" s="18" t="n">
        <f aca="false">Sens!E7391*Sens!E7392*chip_f</f>
        <v>11.3973387156315</v>
      </c>
      <c r="F7393" s="18" t="n">
        <f aca="false">Sens!F7391*Sens!F7392*chip_f</f>
        <v>13.0123225874029</v>
      </c>
      <c r="G7393" s="18" t="n">
        <f aca="false">Sens!G7391*Sens!G7392*chip_f</f>
        <v>14.3973822777458</v>
      </c>
      <c r="H7393" s="18" t="n">
        <f aca="false">Sens!H7391*Sens!H7392*chip_f</f>
        <v>15.6548505449659</v>
      </c>
      <c r="I7393" s="18" t="n">
        <f aca="false">Sens!I7391*Sens!I7392*chip_f</f>
        <v>15.9103933447218</v>
      </c>
      <c r="J7393" s="18" t="n">
        <f aca="false">Sens!J7391*Sens!J7392*chip_f</f>
        <v>16.0846308739825</v>
      </c>
      <c r="K7393" s="18" t="n">
        <f aca="false">Sens!K7391*Sens!K7392*chip_f</f>
        <v>16.211040422887</v>
      </c>
      <c r="L7393" s="1" t="s">
        <v>737</v>
      </c>
    </row>
    <row r="7394" customFormat="false" ht="17.15" hidden="false" customHeight="false" outlineLevel="0" collapsed="false">
      <c r="A7394" s="0" t="s">
        <v>738</v>
      </c>
      <c r="B7394" s="0" t="s">
        <v>95</v>
      </c>
      <c r="D7394" s="6" t="n">
        <f aca="false">(Sens!C7380+Sens!D7380)/2*Sens!D7393/1000</f>
        <v>12.9359794422418</v>
      </c>
      <c r="E7394" s="6" t="n">
        <f aca="false">(Sens!D7380+Sens!E7380)/2*Sens!E7393/1000</f>
        <v>27.8095064661409</v>
      </c>
      <c r="F7394" s="6" t="n">
        <f aca="false">(Sens!E7380+Sens!F7380)/2*Sens!F7393/1000</f>
        <v>58.7324192305018</v>
      </c>
      <c r="G7394" s="6" t="n">
        <f aca="false">(Sens!F7380+Sens!G7380)/2*Sens!G7393/1000</f>
        <v>101.369089141153</v>
      </c>
      <c r="H7394" s="6" t="n">
        <f aca="false">(Sens!G7380+Sens!H7380)/2*Sens!H7393/1000</f>
        <v>149.785610014234</v>
      </c>
      <c r="I7394" s="6" t="n">
        <f aca="false">(Sens!H7380+Sens!I7380)/2*Sens!I7393/1000</f>
        <v>192.439389583079</v>
      </c>
      <c r="J7394" s="6" t="n">
        <f aca="false">(Sens!I7380+Sens!J7380)/2*Sens!J7393/1000</f>
        <v>235.195906491722</v>
      </c>
      <c r="K7394" s="6" t="n">
        <f aca="false">(Sens!J7380+Sens!K7380)/2*Sens!K7393/1000</f>
        <v>278.012858836343</v>
      </c>
      <c r="L7394" s="11" t="s">
        <v>739</v>
      </c>
    </row>
    <row r="7395" customFormat="false" ht="17.15" hidden="false" customHeight="false" outlineLevel="0" collapsed="false">
      <c r="A7395" s="1" t="s">
        <v>740</v>
      </c>
      <c r="B7395" s="0" t="s">
        <v>291</v>
      </c>
      <c r="C7395" s="18" t="n">
        <f aca="false">(Sens!C7387*tk_opex_h100+Sens!C7388*tk_opex_gb200+Sens!C7389*tk_opex_gb300+Sens!C7390*tk_opex_vr200)/Sens!C7380</f>
        <v>1.88636041306092</v>
      </c>
      <c r="D7395" s="18" t="n">
        <f aca="false">(Sens!D7387*tk_opex_h100+Sens!D7388*tk_opex_gb200+Sens!D7389*tk_opex_gb300+Sens!D7390*tk_opex_vr200)/Sens!D7380</f>
        <v>1.88636041306092</v>
      </c>
      <c r="E7395" s="18" t="n">
        <f aca="false">(Sens!E7387*tk_opex_h100+Sens!E7388*tk_opex_gb200+Sens!E7389*tk_opex_gb300+Sens!E7390*tk_opex_vr200)/Sens!E7380</f>
        <v>1.88636041306092</v>
      </c>
      <c r="F7395" s="18" t="n">
        <f aca="false">(Sens!F7387*tk_opex_h100+Sens!F7388*tk_opex_gb200+Sens!F7389*tk_opex_gb300+Sens!F7390*tk_opex_vr200)/Sens!F7380</f>
        <v>1.9430236476499</v>
      </c>
      <c r="G7395" s="18" t="n">
        <f aca="false">(Sens!G7387*tk_opex_h100+Sens!G7388*tk_opex_gb200+Sens!G7389*tk_opex_gb300+Sens!G7390*tk_opex_vr200)/Sens!G7380</f>
        <v>1.9786941852423</v>
      </c>
      <c r="H7395" s="18" t="n">
        <f aca="false">(Sens!H7387*tk_opex_h100+Sens!H7388*tk_opex_gb200+Sens!H7389*tk_opex_gb300+Sens!H7390*tk_opex_vr200)/Sens!H7380</f>
        <v>2.00289275976156</v>
      </c>
      <c r="I7395" s="18" t="n">
        <f aca="false">(Sens!I7387*tk_opex_h100+Sens!I7388*tk_opex_gb200+Sens!I7389*tk_opex_gb300+Sens!I7390*tk_opex_vr200)/Sens!I7380</f>
        <v>2.01793562605478</v>
      </c>
      <c r="J7395" s="18" t="n">
        <f aca="false">(Sens!J7387*tk_opex_h100+Sens!J7388*tk_opex_gb200+Sens!J7389*tk_opex_gb300+Sens!J7390*tk_opex_vr200)/Sens!J7380</f>
        <v>2.02819234961902</v>
      </c>
      <c r="K7395" s="18" t="n">
        <f aca="false">(Sens!K7387*tk_opex_h100+Sens!K7388*tk_opex_gb200+Sens!K7389*tk_opex_gb300+Sens!K7390*tk_opex_vr200)/Sens!K7380</f>
        <v>2.0356336155994</v>
      </c>
    </row>
    <row r="7396" customFormat="false" ht="17.15" hidden="false" customHeight="false" outlineLevel="0" collapsed="false">
      <c r="A7396" s="0" t="s">
        <v>741</v>
      </c>
      <c r="B7396" s="0" t="s">
        <v>95</v>
      </c>
      <c r="D7396" s="6" t="n">
        <f aca="false">(Sens!C7383+Sens!D7383)/2*Sens!D7395/1000</f>
        <v>2.70378325872065</v>
      </c>
      <c r="E7396" s="6" t="n">
        <f aca="false">(Sens!D7383+Sens!E7383)/2*Sens!E7395/1000</f>
        <v>6.17783035277451</v>
      </c>
      <c r="F7396" s="6" t="n">
        <f aca="false">(Sens!E7383+Sens!F7383)/2*Sens!F7395/1000</f>
        <v>12.5020618235287</v>
      </c>
      <c r="G7396" s="6" t="n">
        <f aca="false">(Sens!F7383+Sens!G7383)/2*Sens!G7395/1000</f>
        <v>20.7261620256847</v>
      </c>
      <c r="H7396" s="6" t="n">
        <f aca="false">(Sens!G7383+Sens!H7383)/2*Sens!H7395/1000</f>
        <v>29.4158183316982</v>
      </c>
      <c r="I7396" s="6" t="n">
        <f aca="false">(Sens!H7383+Sens!I7383)/2*Sens!I7395/1000</f>
        <v>38.1362927516005</v>
      </c>
      <c r="J7396" s="6" t="n">
        <f aca="false">(Sens!I7383+Sens!J7383)/2*Sens!J7395/1000</f>
        <v>46.8728773279286</v>
      </c>
      <c r="K7396" s="6" t="n">
        <f aca="false">(Sens!J7383+Sens!K7383)/2*Sens!K7395/1000</f>
        <v>55.618938734484</v>
      </c>
    </row>
    <row r="7397" customFormat="false" ht="17.15" hidden="false" customHeight="false" outlineLevel="0" collapsed="false">
      <c r="A7397" s="0" t="s">
        <v>742</v>
      </c>
      <c r="B7397" s="0" t="s">
        <v>95</v>
      </c>
      <c r="D7397" s="6" t="n">
        <f aca="false">(Sens!C7381+Sens!D7381)/2*rent_mw/1000</f>
        <v>2.44475</v>
      </c>
      <c r="E7397" s="6" t="n">
        <f aca="false">(Sens!D7381+Sens!E7381)/2*rent_mw/1000</f>
        <v>4.22275</v>
      </c>
      <c r="F7397" s="6" t="n">
        <f aca="false">(Sens!E7381+Sens!F7381)/2*rent_mw/1000</f>
        <v>5.80517</v>
      </c>
      <c r="G7397" s="6" t="n">
        <f aca="false">(Sens!F7381+Sens!G7381)/2*rent_mw/1000</f>
        <v>6.72084</v>
      </c>
      <c r="H7397" s="6" t="n">
        <f aca="false">(Sens!G7381+Sens!H7381)/2*rent_mw/1000</f>
        <v>6.72084</v>
      </c>
      <c r="I7397" s="6" t="n">
        <f aca="false">(Sens!H7381+Sens!I7381)/2*rent_mw/1000</f>
        <v>6.72084</v>
      </c>
      <c r="J7397" s="6" t="n">
        <f aca="false">(Sens!I7381+Sens!J7381)/2*rent_mw/1000</f>
        <v>6.72084</v>
      </c>
      <c r="K7397" s="6" t="n">
        <f aca="false">(Sens!J7381+Sens!K7381)/2*rent_mw/1000</f>
        <v>6.72084</v>
      </c>
    </row>
    <row r="7398" customFormat="false" ht="17.15" hidden="false" customHeight="false" outlineLevel="0" collapsed="false">
      <c r="A7398" s="0" t="s">
        <v>743</v>
      </c>
      <c r="B7398" s="0" t="s">
        <v>95</v>
      </c>
      <c r="D7398" s="6" t="n">
        <f aca="false">(Sens!C7383+Sens!D7383)/2*(1-self_build)*fac_rent/1000</f>
        <v>0.853242375631075</v>
      </c>
      <c r="E7398" s="6" t="n">
        <f aca="false">(Sens!D7383+Sens!E7383)/2*(1-self_build)*fac_rent/1000</f>
        <v>1.94955961408728</v>
      </c>
      <c r="F7398" s="6" t="n">
        <f aca="false">(Sens!E7383+Sens!F7383)/2*(1-self_build)*fac_rent/1000</f>
        <v>3.83026455274573</v>
      </c>
      <c r="G7398" s="6" t="n">
        <f aca="false">(Sens!F7383+Sens!G7383)/2*(1-self_build)*fac_rent/1000</f>
        <v>6.23541590972812</v>
      </c>
      <c r="H7398" s="6" t="n">
        <f aca="false">(Sens!G7383+Sens!H7383)/2*(1-self_build)*fac_rent/1000</f>
        <v>8.74275792332679</v>
      </c>
      <c r="I7398" s="6" t="n">
        <f aca="false">(Sens!H7383+Sens!I7383)/2*(1-self_build)*fac_rent/1000</f>
        <v>11.2500999369255</v>
      </c>
      <c r="J7398" s="6" t="n">
        <f aca="false">(Sens!I7383+Sens!J7383)/2*(1-self_build)*fac_rent/1000</f>
        <v>13.7574419505241</v>
      </c>
      <c r="K7398" s="6" t="n">
        <f aca="false">(Sens!J7383+Sens!K7383)/2*(1-self_build)*fac_rent/1000</f>
        <v>16.2647839641228</v>
      </c>
      <c r="L7398" s="11" t="s">
        <v>744</v>
      </c>
    </row>
    <row r="7399" customFormat="false" ht="17.15" hidden="false" customHeight="false" outlineLevel="0" collapsed="false">
      <c r="A7399" s="1" t="s">
        <v>745</v>
      </c>
      <c r="B7399" s="0" t="s">
        <v>126</v>
      </c>
      <c r="D7399" s="7" t="n">
        <f aca="false">(Sens!C7382+Sens!D7382)/(Sens!C7383+Sens!D7383)</f>
        <v>0.6</v>
      </c>
      <c r="E7399" s="7" t="n">
        <f aca="false">(Sens!D7382+Sens!E7382)/(Sens!D7383+Sens!E7383)</f>
        <v>0.6</v>
      </c>
      <c r="F7399" s="7" t="n">
        <f aca="false">(Sens!E7382+Sens!F7382)/(Sens!E7383+Sens!F7383)</f>
        <v>0.6</v>
      </c>
      <c r="G7399" s="7" t="n">
        <f aca="false">(Sens!F7382+Sens!G7382)/(Sens!F7383+Sens!G7383)</f>
        <v>0.6</v>
      </c>
      <c r="H7399" s="7" t="n">
        <f aca="false">(Sens!G7382+Sens!H7382)/(Sens!G7383+Sens!H7383)</f>
        <v>0.6</v>
      </c>
      <c r="I7399" s="7" t="n">
        <f aca="false">(Sens!H7382+Sens!I7382)/(Sens!H7383+Sens!I7383)</f>
        <v>0.6</v>
      </c>
      <c r="J7399" s="7" t="n">
        <f aca="false">(Sens!I7382+Sens!J7382)/(Sens!I7383+Sens!J7383)</f>
        <v>0.6</v>
      </c>
      <c r="K7399" s="7" t="n">
        <f aca="false">(Sens!J7382+Sens!K7382)/(Sens!J7383+Sens!K7383)</f>
        <v>0.6</v>
      </c>
    </row>
    <row r="7400" customFormat="false" ht="17.15" hidden="false" customHeight="false" outlineLevel="0" collapsed="false">
      <c r="A7400" s="0" t="s">
        <v>746</v>
      </c>
      <c r="B7400" s="0" t="s">
        <v>95</v>
      </c>
      <c r="D7400" s="6" t="n">
        <f aca="false">Sens!D7394-Sens!D7399*(Sens!D7396+Sens!D7398)-Sens!D7397</f>
        <v>8.35701406163072</v>
      </c>
      <c r="E7400" s="6" t="n">
        <f aca="false">Sens!E7394-Sens!E7399*(Sens!E7396+Sens!E7398)-Sens!E7397</f>
        <v>18.7103224860238</v>
      </c>
      <c r="F7400" s="6" t="n">
        <f aca="false">Sens!F7394-Sens!F7399*(Sens!F7396+Sens!F7398)-Sens!F7397</f>
        <v>43.1278534047371</v>
      </c>
      <c r="G7400" s="6" t="n">
        <f aca="false">Sens!G7394-Sens!G7399*(Sens!G7396+Sens!G7398)-Sens!G7397</f>
        <v>78.4713023799053</v>
      </c>
      <c r="H7400" s="6" t="n">
        <f aca="false">Sens!H7394-Sens!H7399*(Sens!H7396+Sens!H7398)-Sens!H7397</f>
        <v>120.169624261219</v>
      </c>
      <c r="I7400" s="6" t="n">
        <f aca="false">Sens!I7394-Sens!I7399*(Sens!I7396+Sens!I7398)-Sens!I7397</f>
        <v>156.086713969963</v>
      </c>
      <c r="J7400" s="6" t="n">
        <f aca="false">Sens!J7394-Sens!J7399*(Sens!J7396+Sens!J7398)-Sens!J7397</f>
        <v>192.09687492465</v>
      </c>
      <c r="K7400" s="6" t="n">
        <f aca="false">Sens!K7394-Sens!K7399*(Sens!K7396+Sens!K7398)-Sens!K7397</f>
        <v>228.161785217179</v>
      </c>
    </row>
    <row r="7401" customFormat="false" ht="17.15" hidden="false" customHeight="false" outlineLevel="0" collapsed="false">
      <c r="A7401" s="1" t="s">
        <v>747</v>
      </c>
      <c r="B7401" s="0" t="s">
        <v>95</v>
      </c>
      <c r="D7401" s="6" t="n">
        <f aca="false">(1-Sens!D7399)*(Sens!D7396+Sens!D7398)</f>
        <v>1.42281025374069</v>
      </c>
      <c r="E7401" s="6" t="n">
        <f aca="false">(1-Sens!E7399)*(Sens!E7396+Sens!E7398)</f>
        <v>3.25095598674472</v>
      </c>
      <c r="F7401" s="6" t="n">
        <f aca="false">(1-Sens!F7399)*(Sens!F7396+Sens!F7398)</f>
        <v>6.53293055050977</v>
      </c>
      <c r="G7401" s="6" t="n">
        <f aca="false">(1-Sens!G7399)*(Sens!G7396+Sens!G7398)</f>
        <v>10.7846311741651</v>
      </c>
      <c r="H7401" s="6" t="n">
        <f aca="false">(1-Sens!H7399)*(Sens!H7396+Sens!H7398)</f>
        <v>15.26343050201</v>
      </c>
      <c r="I7401" s="6" t="n">
        <f aca="false">(1-Sens!I7399)*(Sens!I7396+Sens!I7398)</f>
        <v>19.7545570754104</v>
      </c>
      <c r="J7401" s="6" t="n">
        <f aca="false">(1-Sens!J7399)*(Sens!J7396+Sens!J7398)</f>
        <v>24.2521277113811</v>
      </c>
      <c r="K7401" s="6" t="n">
        <f aca="false">(1-Sens!K7399)*(Sens!K7396+Sens!K7398)</f>
        <v>28.7534890794427</v>
      </c>
    </row>
    <row r="7402" customFormat="false" ht="17.15" hidden="false" customHeight="false" outlineLevel="0" collapsed="false">
      <c r="A7402" s="1" t="s">
        <v>748</v>
      </c>
      <c r="B7402" s="0" t="s">
        <v>302</v>
      </c>
      <c r="C7402" s="8" t="n">
        <f aca="false">cxit_open</f>
        <v>27.5918995</v>
      </c>
      <c r="D7402" s="8" t="n">
        <f aca="false">cxit_open</f>
        <v>27.5918995</v>
      </c>
      <c r="E7402" s="8" t="n">
        <f aca="false">cxit_open</f>
        <v>27.5918995</v>
      </c>
      <c r="F7402" s="8" t="n">
        <f aca="false">(a_g3_27*tk_cxit_gb300+(1-a_g3_27)*tk_cxit_vr200)</f>
        <v>33.8419624</v>
      </c>
      <c r="G7402" s="8" t="n">
        <f aca="false">(a_g3_28*tk_cxit_gb300+(1-a_g3_28)*tk_cxit_vr200)</f>
        <v>35.9816136</v>
      </c>
      <c r="H7402" s="8" t="n">
        <f aca="false">(a_g3_29*tk_cxit_gb300+(1-a_g3_29)*tk_cxit_vr200)</f>
        <v>37.0514392</v>
      </c>
      <c r="I7402" s="8" t="n">
        <f aca="false">(a_g3_29*tk_cxit_gb300+(1-a_g3_29)*tk_cxit_vr200)</f>
        <v>37.0514392</v>
      </c>
      <c r="J7402" s="8" t="n">
        <f aca="false">(a_g3_29*tk_cxit_gb300+(1-a_g3_29)*tk_cxit_vr200)</f>
        <v>37.0514392</v>
      </c>
      <c r="K7402" s="8" t="n">
        <f aca="false">(a_g3_29*tk_cxit_gb300+(1-a_g3_29)*tk_cxit_vr200)</f>
        <v>37.0514392</v>
      </c>
      <c r="L7402" s="11" t="s">
        <v>749</v>
      </c>
    </row>
    <row r="7403" customFormat="false" ht="17.15" hidden="false" customHeight="false" outlineLevel="0" collapsed="false">
      <c r="A7403" s="0" t="s">
        <v>750</v>
      </c>
      <c r="B7403" s="0" t="s">
        <v>340</v>
      </c>
      <c r="F7403" s="27" t="n">
        <f aca="false">Sens!C7385*IF(3=life_it,1,0)+Sens!D7385*IF(2=life_it,1,0)+Sens!E7385*IF(1=life_it,1,0)</f>
        <v>0</v>
      </c>
      <c r="G7403" s="27" t="n">
        <f aca="false">Sens!C7385*IF(4=life_it,1,0)+Sens!D7385*IF(3=life_it,1,0)+Sens!E7385*IF(2=life_it,1,0)+Sens!F7385*IF(1=life_it,1,0)</f>
        <v>0</v>
      </c>
      <c r="H7403" s="27" t="n">
        <f aca="false">Sens!C7385*IF(5=life_it,1,0)+Sens!D7385*IF(4=life_it,1,0)+Sens!E7385*IF(3=life_it,1,0)+Sens!F7385*IF(2=life_it,1,0)+Sens!G7385*IF(1=life_it,1,0)</f>
        <v>0</v>
      </c>
      <c r="I7403" s="27" t="n">
        <f aca="false">Sens!C7385*IF(6=life_it,1,0)+Sens!D7385*IF(5=life_it,1,0)+Sens!E7385*IF(4=life_it,1,0)+Sens!F7385*IF(3=life_it,1,0)+Sens!G7385*IF(2=life_it,1,0)+Sens!H7385*IF(1=life_it,1,0)</f>
        <v>816.666666666667</v>
      </c>
      <c r="J7403" s="27" t="n">
        <f aca="false">Sens!C7385*IF(7=life_it,1,0)+Sens!D7385*IF(6=life_it,1,0)+Sens!E7385*IF(5=life_it,1,0)+Sens!F7385*IF(4=life_it,1,0)+Sens!G7385*IF(3=life_it,1,0)+Sens!H7385*IF(2=life_it,1,0)+Sens!I7385*IF(1=life_it,1,0)</f>
        <v>1233.33333333333</v>
      </c>
      <c r="K7403" s="27" t="n">
        <f aca="false">Sens!C7385*IF(8=life_it,1,0)+Sens!D7385*IF(7=life_it,1,0)+Sens!E7385*IF(6=life_it,1,0)+Sens!F7385*IF(5=life_it,1,0)+Sens!G7385*IF(4=life_it,1,0)+Sens!H7385*IF(3=life_it,1,0)+Sens!I7385*IF(2=life_it,1,0)+Sens!J7385*IF(1=life_it,1,0)</f>
        <v>2450</v>
      </c>
      <c r="L7403" s="1" t="s">
        <v>751</v>
      </c>
    </row>
    <row r="7404" customFormat="false" ht="17.15" hidden="false" customHeight="false" outlineLevel="0" collapsed="false">
      <c r="A7404" s="0" t="s">
        <v>752</v>
      </c>
      <c r="B7404" s="0" t="s">
        <v>95</v>
      </c>
      <c r="C7404" s="6" t="n">
        <f aca="false">Sens!C7385*Sens!C7402/1000</f>
        <v>22.5333845916667</v>
      </c>
      <c r="D7404" s="6" t="n">
        <f aca="false">Sens!D7385*Sens!D7402/1000</f>
        <v>34.0300093833333</v>
      </c>
      <c r="E7404" s="6" t="n">
        <f aca="false">Sens!E7385*Sens!E7402/1000</f>
        <v>67.600153775</v>
      </c>
      <c r="F7404" s="6" t="n">
        <f aca="false">(Sens!F7385+Sens!F7403)*Sens!F7402/1000</f>
        <v>130.923271871467</v>
      </c>
      <c r="G7404" s="6" t="n">
        <f aca="false">(Sens!G7385+Sens!G7403)*Sens!G7402/1000</f>
        <v>151.5545564832</v>
      </c>
      <c r="H7404" s="6" t="n">
        <f aca="false">(Sens!H7385+Sens!H7403)*Sens!H7402/1000</f>
        <v>156.0606619104</v>
      </c>
      <c r="I7404" s="6" t="n">
        <f aca="false">(Sens!I7385+Sens!I7403)*Sens!I7402/1000</f>
        <v>186.319337257067</v>
      </c>
      <c r="J7404" s="6" t="n">
        <f aca="false">(Sens!J7385+Sens!J7403)*Sens!J7402/1000</f>
        <v>201.757436923733</v>
      </c>
      <c r="K7404" s="6" t="n">
        <f aca="false">(Sens!K7385+Sens!K7403)*Sens!K7402/1000</f>
        <v>246.8366879504</v>
      </c>
    </row>
    <row r="7405" customFormat="false" ht="17.15" hidden="false" customHeight="false" outlineLevel="0" collapsed="false">
      <c r="A7405" s="0" t="s">
        <v>753</v>
      </c>
      <c r="B7405" s="0" t="s">
        <v>95</v>
      </c>
      <c r="C7405" s="6" t="n">
        <f aca="false">Sens!C7385*self_build*tk_cxfac/1000</f>
        <v>6.2083</v>
      </c>
      <c r="D7405" s="6" t="n">
        <f aca="false">Sens!D7385*self_build*tk_cxfac/1000</f>
        <v>9.3758</v>
      </c>
      <c r="E7405" s="6" t="n">
        <f aca="false">Sens!E7385*self_build*tk_cxfac/1000</f>
        <v>18.6249</v>
      </c>
      <c r="F7405" s="6" t="n">
        <f aca="false">Sens!F7385*self_build*tk_cxfac/1000</f>
        <v>29.409604</v>
      </c>
      <c r="G7405" s="6" t="n">
        <f aca="false">Sens!G7385*self_build*tk_cxfac/1000</f>
        <v>32.019624</v>
      </c>
      <c r="H7405" s="6" t="n">
        <f aca="false">Sens!H7385*self_build*tk_cxfac/1000</f>
        <v>32.019624</v>
      </c>
      <c r="I7405" s="6" t="n">
        <f aca="false">Sens!I7385*self_build*tk_cxfac/1000</f>
        <v>32.019624</v>
      </c>
      <c r="J7405" s="6" t="n">
        <f aca="false">Sens!J7385*self_build*tk_cxfac/1000</f>
        <v>32.019624</v>
      </c>
      <c r="K7405" s="6" t="n">
        <f aca="false">Sens!K7385*self_build*tk_cxfac/1000</f>
        <v>32.019624</v>
      </c>
    </row>
    <row r="7406" customFormat="false" ht="17.15" hidden="false" customHeight="false" outlineLevel="0" collapsed="false">
      <c r="A7406" s="0" t="s">
        <v>754</v>
      </c>
      <c r="B7406" s="0" t="s">
        <v>95</v>
      </c>
      <c r="F7406" s="6" t="n">
        <f aca="false">MAX(0,capex_floor27-Sens!F7404-Sens!F7405-Sens!F7493)</f>
        <v>8.14771089897089</v>
      </c>
      <c r="G7406" s="6" t="n">
        <f aca="false">0</f>
        <v>0</v>
      </c>
      <c r="H7406" s="6" t="n">
        <f aca="false">0</f>
        <v>0</v>
      </c>
      <c r="I7406" s="6" t="n">
        <f aca="false">0</f>
        <v>0</v>
      </c>
      <c r="J7406" s="6" t="n">
        <f aca="false">0</f>
        <v>0</v>
      </c>
      <c r="K7406" s="6" t="n">
        <f aca="false">0</f>
        <v>0</v>
      </c>
      <c r="L7406" s="1" t="s">
        <v>755</v>
      </c>
    </row>
    <row r="7407" customFormat="false" ht="17.15" hidden="false" customHeight="false" outlineLevel="0" collapsed="false">
      <c r="A7407" s="0" t="s">
        <v>756</v>
      </c>
      <c r="B7407" s="0" t="s">
        <v>95</v>
      </c>
      <c r="C7407" s="6" t="n">
        <f aca="false">Sens!C7404</f>
        <v>22.5333845916667</v>
      </c>
      <c r="D7407" s="6" t="n">
        <f aca="false">Sens!D7404</f>
        <v>34.0300093833333</v>
      </c>
      <c r="E7407" s="6" t="n">
        <f aca="false">Sens!E7404</f>
        <v>67.600153775</v>
      </c>
      <c r="F7407" s="6" t="n">
        <f aca="false">Sens!F7404+Sens!F7406</f>
        <v>139.070982770438</v>
      </c>
      <c r="G7407" s="6" t="n">
        <f aca="false">Sens!G7404+Sens!G7406</f>
        <v>151.5545564832</v>
      </c>
      <c r="H7407" s="6" t="n">
        <f aca="false">Sens!H7404+Sens!H7406</f>
        <v>156.0606619104</v>
      </c>
      <c r="I7407" s="6" t="n">
        <f aca="false">Sens!I7404+Sens!I7406</f>
        <v>186.319337257067</v>
      </c>
      <c r="J7407" s="6" t="n">
        <f aca="false">Sens!J7404+Sens!J7406</f>
        <v>201.757436923733</v>
      </c>
      <c r="K7407" s="6" t="n">
        <f aca="false">Sens!K7404+Sens!K7406</f>
        <v>246.8366879504</v>
      </c>
    </row>
    <row r="7408" customFormat="false" ht="17.15" hidden="false" customHeight="false" outlineLevel="0" collapsed="false">
      <c r="A7408" s="0" t="s">
        <v>757</v>
      </c>
      <c r="B7408" s="0" t="s">
        <v>95</v>
      </c>
      <c r="C7408" s="6" t="n">
        <f aca="false">Sens!C7407+Sens!C7405</f>
        <v>28.7416845916667</v>
      </c>
      <c r="D7408" s="6" t="n">
        <f aca="false">Sens!D7407+Sens!D7405</f>
        <v>43.4058093833333</v>
      </c>
      <c r="E7408" s="6" t="n">
        <f aca="false">Sens!E7407+Sens!E7405</f>
        <v>86.225053775</v>
      </c>
      <c r="F7408" s="6" t="n">
        <f aca="false">Sens!F7407+Sens!F7405</f>
        <v>168.480586770438</v>
      </c>
      <c r="G7408" s="6" t="n">
        <f aca="false">Sens!G7407+Sens!G7405</f>
        <v>183.5741804832</v>
      </c>
      <c r="H7408" s="6" t="n">
        <f aca="false">Sens!H7407+Sens!H7405</f>
        <v>188.0802859104</v>
      </c>
      <c r="I7408" s="6" t="n">
        <f aca="false">Sens!I7407+Sens!I7405</f>
        <v>218.338961257067</v>
      </c>
      <c r="J7408" s="6" t="n">
        <f aca="false">Sens!J7407+Sens!J7405</f>
        <v>233.777060923733</v>
      </c>
      <c r="K7408" s="6" t="n">
        <f aca="false">Sens!K7407+Sens!K7405</f>
        <v>278.8563119504</v>
      </c>
      <c r="L7408" s="11" t="s">
        <v>758</v>
      </c>
    </row>
    <row r="7409" customFormat="false" ht="17.15" hidden="false" customHeight="false" outlineLevel="0" collapsed="false">
      <c r="A7409" s="0" t="s">
        <v>759</v>
      </c>
      <c r="B7409" s="0" t="s">
        <v>95</v>
      </c>
      <c r="E7409" s="6" t="n">
        <f aca="false">(Sens!C7407*IF(2&lt;life_it,1,IF(2=life_it,0.5,0))+Sens!D7407*IF(1&lt;life_it,1,IF(1=life_it,0.5,0))+Sens!E7407*0.5)/life_it</f>
        <v>15.0605784770833</v>
      </c>
      <c r="F7409" s="6" t="n">
        <f aca="false">(Sens!C7407*IF(3&lt;life_it,1,IF(3=life_it,0.5,0))+Sens!D7407*IF(2&lt;life_it,1,IF(2=life_it,0.5,0))+Sens!E7407*IF(1&lt;life_it,1,IF(1=life_it,0.5,0))+Sens!F7407*0.5)/life_it</f>
        <v>32.2831731892031</v>
      </c>
      <c r="G7409" s="6" t="n">
        <f aca="false">(Sens!C7407*IF(4&lt;life_it,1,IF(4=life_it,0.5,0))+Sens!D7407*IF(3&lt;life_it,1,IF(3=life_it,0.5,0))+Sens!E7407*IF(2&lt;life_it,1,IF(2=life_it,0.5,0))+Sens!F7407*IF(1&lt;life_it,1,IF(1=life_it,0.5,0))+Sens!G7407*0.5)/life_it</f>
        <v>56.5019681270063</v>
      </c>
      <c r="H7409" s="6" t="n">
        <f aca="false">(Sens!C7407*IF(5&lt;life_it,1,IF(5=life_it,0.5,0))+Sens!D7407*IF(4&lt;life_it,1,IF(4=life_it,0.5,0))+Sens!E7407*IF(3&lt;life_it,1,IF(3=life_it,0.5,0))+Sens!F7407*IF(2&lt;life_it,1,IF(2=life_it,0.5,0))+Sens!G7407*IF(1&lt;life_it,1,IF(1=life_it,0.5,0))+Sens!H7407*0.5)/life_it</f>
        <v>82.1365696598062</v>
      </c>
      <c r="I7409" s="6" t="n">
        <f aca="false">(Sens!C7407*IF(6&lt;life_it,1,IF(6=life_it,0.5,0))+Sens!D7407*IF(5&lt;life_it,1,IF(5=life_it,0.5,0))+Sens!E7407*IF(4&lt;life_it,1,IF(4=life_it,0.5,0))+Sens!F7407*IF(3&lt;life_it,1,IF(3=life_it,0.5,0))+Sens!G7407*IF(2&lt;life_it,1,IF(2=life_it,0.5,0))+Sens!H7407*IF(1&lt;life_it,1,IF(1=life_it,0.5,0))+Sens!I7407*0.5)/life_it</f>
        <v>108.79045420779</v>
      </c>
      <c r="J7409" s="6" t="n">
        <f aca="false">(Sens!C7407*IF(7&lt;life_it,1,IF(7=life_it,0.5,0))+Sens!D7407*IF(6&lt;life_it,1,IF(6=life_it,0.5,0))+Sens!E7407*IF(5&lt;life_it,1,IF(5=life_it,0.5,0))+Sens!F7407*IF(4&lt;life_it,1,IF(4=life_it,0.5,0))+Sens!G7407*IF(3&lt;life_it,1,IF(3=life_it,0.5,0))+Sens!H7407*IF(2&lt;life_it,1,IF(2=life_it,0.5,0))+Sens!I7407*IF(1&lt;life_it,1,IF(1=life_it,0.5,0))+Sens!J7407*0.5)/life_it</f>
        <v>136.41656922494</v>
      </c>
      <c r="K7409" s="6" t="n">
        <f aca="false">(Sens!C7407*IF(8&lt;life_it,1,IF(8=life_it,0.5,0))+Sens!D7407*IF(7&lt;life_it,1,IF(7=life_it,0.5,0))+Sens!E7407*IF(6&lt;life_it,1,IF(6=life_it,0.5,0))+Sens!F7407*IF(5&lt;life_it,1,IF(5=life_it,0.5,0))+Sens!G7407*IF(4&lt;life_it,1,IF(4=life_it,0.5,0))+Sens!H7407*IF(3&lt;life_it,1,IF(3=life_it,0.5,0))+Sens!I7407*IF(2&lt;life_it,1,IF(2=life_it,0.5,0))+Sens!J7407*IF(1&lt;life_it,1,IF(1=life_it,0.5,0))+Sens!K7407*0.5)/life_it</f>
        <v>165.330232701256</v>
      </c>
    </row>
    <row r="7410" customFormat="false" ht="17.15" hidden="false" customHeight="false" outlineLevel="0" collapsed="false">
      <c r="A7410" s="0" t="s">
        <v>760</v>
      </c>
      <c r="B7410" s="0" t="s">
        <v>95</v>
      </c>
      <c r="E7410" s="6" t="n">
        <f aca="false">(Sens!C7405*IF(2&lt;life_fac,1,IF(2=life_fac,0.5,0))+Sens!D7405*IF(1&lt;life_fac,1,IF(1=life_fac,0.5,0))+Sens!E7405*0.5)/life_fac</f>
        <v>1.2448275</v>
      </c>
      <c r="F7410" s="6" t="n">
        <f aca="false">(Sens!C7405*IF(3&lt;life_fac,1,IF(3=life_fac,0.5,0))+Sens!D7405*IF(2&lt;life_fac,1,IF(2=life_fac,0.5,0))+Sens!E7405*IF(1&lt;life_fac,1,IF(1=life_fac,0.5,0))+Sens!F7405*0.5)/life_fac</f>
        <v>2.4456901</v>
      </c>
      <c r="G7410" s="6" t="n">
        <f aca="false">(Sens!C7405*IF(4&lt;life_fac,1,IF(4=life_fac,0.5,0))+Sens!D7405*IF(3&lt;life_fac,1,IF(3=life_fac,0.5,0))+Sens!E7405*IF(2&lt;life_fac,1,IF(2=life_fac,0.5,0))+Sens!F7405*IF(1&lt;life_fac,1,IF(1=life_fac,0.5,0))+Sens!G7405*0.5)/life_fac</f>
        <v>3.9814208</v>
      </c>
      <c r="H7410" s="6" t="n">
        <f aca="false">(Sens!C7405*IF(5&lt;life_fac,1,IF(5=life_fac,0.5,0))+Sens!D7405*IF(4&lt;life_fac,1,IF(4=life_fac,0.5,0))+Sens!E7405*IF(3&lt;life_fac,1,IF(3=life_fac,0.5,0))+Sens!F7405*IF(2&lt;life_fac,1,IF(2=life_fac,0.5,0))+Sens!G7405*IF(1&lt;life_fac,1,IF(1=life_fac,0.5,0))+Sens!H7405*0.5)/life_fac</f>
        <v>5.582402</v>
      </c>
      <c r="I7410" s="6" t="n">
        <f aca="false">(Sens!C7405*IF(6&lt;life_fac,1,IF(6=life_fac,0.5,0))+Sens!D7405*IF(5&lt;life_fac,1,IF(5=life_fac,0.5,0))+Sens!E7405*IF(4&lt;life_fac,1,IF(4=life_fac,0.5,0))+Sens!F7405*IF(3&lt;life_fac,1,IF(3=life_fac,0.5,0))+Sens!G7405*IF(2&lt;life_fac,1,IF(2=life_fac,0.5,0))+Sens!H7405*IF(1&lt;life_fac,1,IF(1=life_fac,0.5,0))+Sens!I7405*0.5)/life_fac</f>
        <v>7.1833832</v>
      </c>
      <c r="J7410" s="6" t="n">
        <f aca="false">(Sens!C7405*IF(7&lt;life_fac,1,IF(7=life_fac,0.5,0))+Sens!D7405*IF(6&lt;life_fac,1,IF(6=life_fac,0.5,0))+Sens!E7405*IF(5&lt;life_fac,1,IF(5=life_fac,0.5,0))+Sens!F7405*IF(4&lt;life_fac,1,IF(4=life_fac,0.5,0))+Sens!G7405*IF(3&lt;life_fac,1,IF(3=life_fac,0.5,0))+Sens!H7405*IF(2&lt;life_fac,1,IF(2=life_fac,0.5,0))+Sens!I7405*IF(1&lt;life_fac,1,IF(1=life_fac,0.5,0))+Sens!J7405*0.5)/life_fac</f>
        <v>8.7843644</v>
      </c>
      <c r="K7410" s="6" t="n">
        <f aca="false">(Sens!C7405*IF(8&lt;life_fac,1,IF(8=life_fac,0.5,0))+Sens!D7405*IF(7&lt;life_fac,1,IF(7=life_fac,0.5,0))+Sens!E7405*IF(6&lt;life_fac,1,IF(6=life_fac,0.5,0))+Sens!F7405*IF(5&lt;life_fac,1,IF(5=life_fac,0.5,0))+Sens!G7405*IF(4&lt;life_fac,1,IF(4=life_fac,0.5,0))+Sens!H7405*IF(3&lt;life_fac,1,IF(3=life_fac,0.5,0))+Sens!I7405*IF(2&lt;life_fac,1,IF(2=life_fac,0.5,0))+Sens!J7405*IF(1&lt;life_fac,1,IF(1=life_fac,0.5,0))+Sens!K7405*0.5)/life_fac</f>
        <v>10.3853456</v>
      </c>
    </row>
    <row r="7411" customFormat="false" ht="17.15" hidden="false" customHeight="false" outlineLevel="0" collapsed="false">
      <c r="A7411" s="0" t="s">
        <v>761</v>
      </c>
      <c r="B7411" s="0" t="s">
        <v>95</v>
      </c>
      <c r="E7411" s="6" t="n">
        <f aca="false">Sens!E7409+Sens!E7410</f>
        <v>16.3054059770833</v>
      </c>
      <c r="F7411" s="6" t="n">
        <f aca="false">Sens!F7409+Sens!F7410</f>
        <v>34.7288632892031</v>
      </c>
      <c r="G7411" s="6" t="n">
        <f aca="false">Sens!G7409+Sens!G7410</f>
        <v>60.4833889270063</v>
      </c>
      <c r="H7411" s="6" t="n">
        <f aca="false">Sens!H7409+Sens!H7410</f>
        <v>87.7189716598062</v>
      </c>
      <c r="I7411" s="6" t="n">
        <f aca="false">Sens!I7409+Sens!I7410</f>
        <v>115.97383740779</v>
      </c>
      <c r="J7411" s="6" t="n">
        <f aca="false">Sens!J7409+Sens!J7410</f>
        <v>145.20093362494</v>
      </c>
      <c r="K7411" s="6" t="n">
        <f aca="false">Sens!K7409+Sens!K7410</f>
        <v>175.715578301256</v>
      </c>
    </row>
    <row r="7412" customFormat="false" ht="17.15" hidden="false" customHeight="false" outlineLevel="0" collapsed="false">
      <c r="A7412" s="0" t="s">
        <v>762</v>
      </c>
      <c r="B7412" s="0" t="s">
        <v>95</v>
      </c>
      <c r="E7412" s="6" t="n">
        <f aca="false">Sens!E7400-Sens!E7399*Sens!E7411</f>
        <v>8.92707889977379</v>
      </c>
      <c r="F7412" s="6" t="n">
        <f aca="false">Sens!F7400-Sens!F7399*Sens!F7411</f>
        <v>22.2905354312152</v>
      </c>
      <c r="G7412" s="6" t="n">
        <f aca="false">Sens!G7400-Sens!G7399*Sens!G7411</f>
        <v>42.1812690237015</v>
      </c>
      <c r="H7412" s="6" t="n">
        <f aca="false">Sens!H7400-Sens!H7399*Sens!H7411</f>
        <v>67.5382412653351</v>
      </c>
      <c r="I7412" s="6" t="n">
        <f aca="false">Sens!I7400-Sens!I7399*Sens!I7411</f>
        <v>86.5024115252897</v>
      </c>
      <c r="J7412" s="6" t="n">
        <f aca="false">Sens!J7400-Sens!J7399*Sens!J7411</f>
        <v>104.976314749687</v>
      </c>
      <c r="K7412" s="6" t="n">
        <f aca="false">Sens!K7400-Sens!K7399*Sens!K7411</f>
        <v>122.732438236425</v>
      </c>
    </row>
    <row r="7413" customFormat="false" ht="17.15" hidden="false" customHeight="false" outlineLevel="0" collapsed="false">
      <c r="A7413" s="3" t="s">
        <v>1325</v>
      </c>
    </row>
    <row r="7414" customFormat="false" ht="15" hidden="false" customHeight="false" outlineLevel="0" collapsed="false">
      <c r="A7414" s="4" t="s">
        <v>43</v>
      </c>
      <c r="B7414" s="4" t="s">
        <v>63</v>
      </c>
      <c r="C7414" s="19" t="s">
        <v>710</v>
      </c>
      <c r="D7414" s="19" t="s">
        <v>711</v>
      </c>
      <c r="E7414" s="19" t="s">
        <v>712</v>
      </c>
      <c r="F7414" s="19" t="s">
        <v>713</v>
      </c>
      <c r="G7414" s="19" t="s">
        <v>714</v>
      </c>
      <c r="H7414" s="19" t="s">
        <v>715</v>
      </c>
      <c r="I7414" s="19" t="s">
        <v>716</v>
      </c>
      <c r="J7414" s="19" t="s">
        <v>717</v>
      </c>
      <c r="K7414" s="19" t="s">
        <v>718</v>
      </c>
      <c r="L7414" s="4" t="s">
        <v>47</v>
      </c>
    </row>
    <row r="7415" customFormat="false" ht="17.15" hidden="false" customHeight="false" outlineLevel="0" collapsed="false">
      <c r="A7415" s="0" t="s">
        <v>780</v>
      </c>
      <c r="B7415" s="0" t="s">
        <v>95</v>
      </c>
      <c r="D7415" s="6" t="n">
        <f aca="false">Sens!D7394</f>
        <v>12.9359794422418</v>
      </c>
      <c r="E7415" s="6" t="n">
        <f aca="false">Sens!E7394</f>
        <v>27.8095064661409</v>
      </c>
      <c r="F7415" s="6" t="n">
        <f aca="false">Sens!F7394</f>
        <v>58.7324192305018</v>
      </c>
      <c r="G7415" s="6" t="n">
        <f aca="false">Sens!G7394</f>
        <v>101.369089141153</v>
      </c>
      <c r="H7415" s="6" t="n">
        <f aca="false">Sens!H7394</f>
        <v>149.785610014234</v>
      </c>
      <c r="I7415" s="6" t="n">
        <f aca="false">Sens!I7394</f>
        <v>192.439389583079</v>
      </c>
      <c r="J7415" s="6" t="n">
        <f aca="false">Sens!J7394</f>
        <v>235.195906491722</v>
      </c>
      <c r="K7415" s="6" t="n">
        <f aca="false">Sens!K7394</f>
        <v>278.012858836343</v>
      </c>
    </row>
    <row r="7416" customFormat="false" ht="17.15" hidden="false" customHeight="false" outlineLevel="0" collapsed="false">
      <c r="A7416" s="0" t="s">
        <v>781</v>
      </c>
      <c r="B7416" s="0" t="s">
        <v>95</v>
      </c>
      <c r="D7416" s="6" t="n">
        <f aca="false">Q!L6-Sens!D7415</f>
        <v>59.6740205577583</v>
      </c>
      <c r="E7416" s="6" t="n">
        <f aca="false">Q!M6-Sens!E7415</f>
        <v>74.1284935338591</v>
      </c>
      <c r="F7416" s="6" t="n">
        <f aca="false">Sens!E7416*(1+Sens!F7417)</f>
        <v>90.0799497373663</v>
      </c>
      <c r="G7416" s="6" t="n">
        <f aca="false">Sens!F7416*(1+Sens!G7417)</f>
        <v>107.02842520331</v>
      </c>
      <c r="H7416" s="6" t="n">
        <f aca="false">Sens!G7416*(1+Sens!H7417)</f>
        <v>124.271982585636</v>
      </c>
      <c r="I7416" s="6" t="n">
        <f aca="false">Sens!H7416*(1+Sens!I7417)</f>
        <v>140.933702381855</v>
      </c>
      <c r="J7416" s="6" t="n">
        <f aca="false">Sens!I7416*(1+Sens!J7417)</f>
        <v>156.018867314332</v>
      </c>
      <c r="K7416" s="6" t="n">
        <f aca="false">Sens!J7416*(1+Sens!K7417)</f>
        <v>168.500376699478</v>
      </c>
    </row>
    <row r="7417" customFormat="false" ht="15" hidden="false" customHeight="false" outlineLevel="0" collapsed="false">
      <c r="A7417" s="1" t="s">
        <v>782</v>
      </c>
      <c r="B7417" s="0" t="s">
        <v>126</v>
      </c>
      <c r="E7417" s="7" t="n">
        <f aca="false">Sens!E7416/Sens!D7416-1</f>
        <v>0.242223883039864</v>
      </c>
      <c r="F7417" s="7" t="n">
        <f aca="false">Sens!$E$7417+(glt_azo-Sens!$E$7417)*MIN(1,1/n_conv)</f>
        <v>0.215186569199887</v>
      </c>
      <c r="G7417" s="7" t="n">
        <f aca="false">Sens!$E$7417+(glt_azo-Sens!$E$7417)*MIN(1,2/n_conv)</f>
        <v>0.18814925535991</v>
      </c>
      <c r="H7417" s="7" t="n">
        <f aca="false">Sens!$E$7417+(glt_azo-Sens!$E$7417)*MIN(1,3/n_conv)</f>
        <v>0.161111941519932</v>
      </c>
      <c r="I7417" s="7" t="n">
        <f aca="false">Sens!$E$7417+(glt_azo-Sens!$E$7417)*MIN(1,4/n_conv)</f>
        <v>0.134074627679955</v>
      </c>
      <c r="J7417" s="7" t="n">
        <f aca="false">Sens!$E$7417+(glt_azo-Sens!$E$7417)*MIN(1,5/n_conv)</f>
        <v>0.107037313839977</v>
      </c>
      <c r="K7417" s="7" t="n">
        <f aca="false">Sens!$E$7417+(glt_azo-Sens!$E$7417)*MIN(1,6/n_conv)</f>
        <v>0.08</v>
      </c>
    </row>
    <row r="7418" customFormat="false" ht="15" hidden="false" customHeight="false" outlineLevel="0" collapsed="false">
      <c r="A7418" s="0" t="s">
        <v>783</v>
      </c>
      <c r="B7418" s="0" t="s">
        <v>95</v>
      </c>
      <c r="D7418" s="6" t="n">
        <f aca="false">Sens!D7415+Sens!D7416</f>
        <v>72.61</v>
      </c>
      <c r="E7418" s="6" t="n">
        <f aca="false">Sens!E7415+Sens!E7416</f>
        <v>101.938</v>
      </c>
      <c r="F7418" s="6" t="n">
        <f aca="false">Sens!F7415+Sens!F7416</f>
        <v>148.812368967868</v>
      </c>
      <c r="G7418" s="6" t="n">
        <f aca="false">Sens!G7415+Sens!G7416</f>
        <v>208.397514344463</v>
      </c>
      <c r="H7418" s="6" t="n">
        <f aca="false">Sens!H7415+Sens!H7416</f>
        <v>274.05759259987</v>
      </c>
      <c r="I7418" s="6" t="n">
        <f aca="false">Sens!I7415+Sens!I7416</f>
        <v>333.373091964934</v>
      </c>
      <c r="J7418" s="6" t="n">
        <f aca="false">Sens!J7415+Sens!J7416</f>
        <v>391.214773806054</v>
      </c>
      <c r="K7418" s="6" t="n">
        <f aca="false">Sens!K7415+Sens!K7416</f>
        <v>446.513235535821</v>
      </c>
    </row>
    <row r="7419" customFormat="false" ht="17.15" hidden="false" customHeight="false" outlineLevel="0" collapsed="false">
      <c r="A7419" s="0" t="s">
        <v>784</v>
      </c>
      <c r="B7419" s="1" t="s">
        <v>451</v>
      </c>
      <c r="C7419" s="27" t="n">
        <f aca="false">cop_s24</f>
        <v>1</v>
      </c>
      <c r="D7419" s="27" t="n">
        <f aca="false">cop_s25</f>
        <v>5</v>
      </c>
      <c r="E7419" s="27" t="n">
        <f aca="false">cop_s26</f>
        <v>30</v>
      </c>
      <c r="F7419" s="27" t="n">
        <f aca="false">Sens!E7419+IF(2027&lt;=2029,cop_add_A,cop_add_A*cop_tail)</f>
        <v>60</v>
      </c>
      <c r="G7419" s="27" t="n">
        <f aca="false">Sens!F7419+IF(2028&lt;=2029,cop_add_A,cop_add_A*cop_tail)</f>
        <v>90</v>
      </c>
      <c r="H7419" s="27" t="n">
        <f aca="false">Sens!G7419+IF(2029&lt;=2029,cop_add_A,cop_add_A*cop_tail)</f>
        <v>120</v>
      </c>
      <c r="I7419" s="27" t="n">
        <f aca="false">Sens!H7419+IF(2030&lt;=2029,cop_add_A,cop_add_A*cop_tail)</f>
        <v>135</v>
      </c>
      <c r="J7419" s="27" t="n">
        <f aca="false">Sens!I7419+IF(2031&lt;=2029,cop_add_A,cop_add_A*cop_tail)</f>
        <v>150</v>
      </c>
      <c r="K7419" s="27" t="n">
        <f aca="false">Sens!J7419+IF(2032&lt;=2029,cop_add_A,cop_add_A*cop_tail)</f>
        <v>165</v>
      </c>
    </row>
    <row r="7420" customFormat="false" ht="17.15" hidden="false" customHeight="false" outlineLevel="0" collapsed="false">
      <c r="A7420" s="0" t="s">
        <v>785</v>
      </c>
      <c r="B7420" s="0" t="s">
        <v>95</v>
      </c>
      <c r="D7420" s="6" t="n">
        <f aca="false">(Sens!C7419+Sens!D7419)/2*cop_px*12/1000</f>
        <v>0.9</v>
      </c>
      <c r="E7420" s="6" t="n">
        <f aca="false">(Sens!D7419+Sens!E7419)/2*cop_px*12/1000</f>
        <v>5.25</v>
      </c>
      <c r="F7420" s="6" t="n">
        <f aca="false">(Sens!E7419+Sens!F7419)/2*cop_px*12/1000</f>
        <v>13.5</v>
      </c>
      <c r="G7420" s="6" t="n">
        <f aca="false">(Sens!F7419+Sens!G7419)/2*cop_px*12/1000</f>
        <v>22.5</v>
      </c>
      <c r="H7420" s="6" t="n">
        <f aca="false">(Sens!G7419+Sens!H7419)/2*cop_px*12/1000</f>
        <v>31.5</v>
      </c>
      <c r="I7420" s="6" t="n">
        <f aca="false">(Sens!H7419+Sens!I7419)/2*cop_px*12/1000</f>
        <v>38.25</v>
      </c>
      <c r="J7420" s="6" t="n">
        <f aca="false">(Sens!I7419+Sens!J7419)/2*cop_px*12/1000</f>
        <v>42.75</v>
      </c>
      <c r="K7420" s="6" t="n">
        <f aca="false">(Sens!J7419+Sens!K7419)/2*cop_px*12/1000</f>
        <v>47.25</v>
      </c>
      <c r="L7420" s="1" t="s">
        <v>786</v>
      </c>
    </row>
    <row r="7421" customFormat="false" ht="17.15" hidden="false" customHeight="false" outlineLevel="0" collapsed="false">
      <c r="A7421" s="0" t="s">
        <v>787</v>
      </c>
      <c r="B7421" s="0" t="s">
        <v>95</v>
      </c>
      <c r="D7421" s="6" t="n">
        <f aca="false">Q!L7-Sens!D7420</f>
        <v>83.705</v>
      </c>
      <c r="E7421" s="6" t="n">
        <f aca="false">Q!M7-Sens!E7420</f>
        <v>95.049</v>
      </c>
      <c r="F7421" s="6" t="n">
        <f aca="false">Sens!E7421*(1+Sens!F7422)</f>
        <v>106.89238776686</v>
      </c>
      <c r="G7421" s="6" t="n">
        <f aca="false">Sens!F7421*(1+Sens!G7422)</f>
        <v>119.044168448684</v>
      </c>
      <c r="H7421" s="6" t="n">
        <f aca="false">Sens!G7421*(1+Sens!H7422)</f>
        <v>131.277359388781</v>
      </c>
      <c r="I7421" s="6" t="n">
        <f aca="false">Sens!H7421*(1+Sens!I7422)</f>
        <v>143.334028071957</v>
      </c>
      <c r="J7421" s="6" t="n">
        <f aca="false">Sens!I7421*(1+Sens!J7422)</f>
        <v>154.932702785465</v>
      </c>
      <c r="K7421" s="6" t="n">
        <f aca="false">Sens!J7421*(1+Sens!K7422)</f>
        <v>165.777991980448</v>
      </c>
    </row>
    <row r="7422" customFormat="false" ht="15" hidden="false" customHeight="false" outlineLevel="0" collapsed="false">
      <c r="A7422" s="1" t="s">
        <v>782</v>
      </c>
      <c r="B7422" s="0" t="s">
        <v>126</v>
      </c>
      <c r="E7422" s="7" t="n">
        <f aca="false">Sens!E7421/Sens!D7421-1</f>
        <v>0.135523564900544</v>
      </c>
      <c r="F7422" s="7" t="n">
        <f aca="false">Sens!$E$7422+(glt_m365b-Sens!$E$7422)*MIN(1,1/n_conv)</f>
        <v>0.124602970750453</v>
      </c>
      <c r="G7422" s="7" t="n">
        <f aca="false">Sens!$E$7422+(glt_m365b-Sens!$E$7422)*MIN(1,2/n_conv)</f>
        <v>0.113682376600363</v>
      </c>
      <c r="H7422" s="7" t="n">
        <f aca="false">Sens!$E$7422+(glt_m365b-Sens!$E$7422)*MIN(1,3/n_conv)</f>
        <v>0.102761782450272</v>
      </c>
      <c r="I7422" s="7" t="n">
        <f aca="false">Sens!$E$7422+(glt_m365b-Sens!$E$7422)*MIN(1,4/n_conv)</f>
        <v>0.0918411883001813</v>
      </c>
      <c r="J7422" s="7" t="n">
        <f aca="false">Sens!$E$7422+(glt_m365b-Sens!$E$7422)*MIN(1,5/n_conv)</f>
        <v>0.0809205941500906</v>
      </c>
      <c r="K7422" s="7" t="n">
        <f aca="false">Sens!$E$7422+(glt_m365b-Sens!$E$7422)*MIN(1,6/n_conv)</f>
        <v>0.07</v>
      </c>
    </row>
    <row r="7423" customFormat="false" ht="15" hidden="false" customHeight="false" outlineLevel="0" collapsed="false">
      <c r="A7423" s="0" t="s">
        <v>788</v>
      </c>
      <c r="B7423" s="0" t="s">
        <v>95</v>
      </c>
      <c r="D7423" s="6" t="n">
        <f aca="false">Sens!D7421+Sens!D7420</f>
        <v>84.605</v>
      </c>
      <c r="E7423" s="6" t="n">
        <f aca="false">Sens!E7421+Sens!E7420</f>
        <v>100.299</v>
      </c>
      <c r="F7423" s="6" t="n">
        <f aca="false">Sens!F7421+Sens!F7420</f>
        <v>120.39238776686</v>
      </c>
      <c r="G7423" s="6" t="n">
        <f aca="false">Sens!G7421+Sens!G7420</f>
        <v>141.544168448684</v>
      </c>
      <c r="H7423" s="6" t="n">
        <f aca="false">Sens!H7421+Sens!H7420</f>
        <v>162.777359388781</v>
      </c>
      <c r="I7423" s="6" t="n">
        <f aca="false">Sens!I7421+Sens!I7420</f>
        <v>181.584028071957</v>
      </c>
      <c r="J7423" s="6" t="n">
        <f aca="false">Sens!J7421+Sens!J7420</f>
        <v>197.682702785465</v>
      </c>
      <c r="K7423" s="6" t="n">
        <f aca="false">Sens!K7421+Sens!K7420</f>
        <v>213.027991980448</v>
      </c>
    </row>
    <row r="7424" customFormat="false" ht="15" hidden="false" customHeight="false" outlineLevel="0" collapsed="false">
      <c r="A7424" s="0" t="s">
        <v>789</v>
      </c>
      <c r="B7424" s="0" t="s">
        <v>95</v>
      </c>
      <c r="D7424" s="6" t="n">
        <f aca="false">Q!L8</f>
        <v>35.391</v>
      </c>
      <c r="E7424" s="6" t="n">
        <f aca="false">Q!M8</f>
        <v>37.285</v>
      </c>
      <c r="F7424" s="6" t="n">
        <f aca="false">Sens!E7424*(1+Sens!F7425)</f>
        <v>39.0720834331704</v>
      </c>
      <c r="G7424" s="6" t="n">
        <f aca="false">Sens!F7424*(1+Sens!G7425)</f>
        <v>40.726562953769</v>
      </c>
      <c r="H7424" s="6" t="n">
        <f aca="false">Sens!G7424*(1+Sens!H7425)</f>
        <v>42.2235987259198</v>
      </c>
      <c r="I7424" s="6" t="n">
        <f aca="false">Sens!H7424*(1+Sens!I7425)</f>
        <v>43.5397988077414</v>
      </c>
      <c r="J7424" s="6" t="n">
        <f aca="false">Sens!I7424*(1+Sens!J7425)</f>
        <v>44.653811225693</v>
      </c>
      <c r="K7424" s="6" t="n">
        <f aca="false">Sens!J7424*(1+Sens!K7425)</f>
        <v>45.5468874502068</v>
      </c>
    </row>
    <row r="7425" customFormat="false" ht="15" hidden="false" customHeight="false" outlineLevel="0" collapsed="false">
      <c r="A7425" s="1" t="s">
        <v>782</v>
      </c>
      <c r="B7425" s="0" t="s">
        <v>126</v>
      </c>
      <c r="E7425" s="7" t="n">
        <f aca="false">Sens!E7424/Sens!D7424-1</f>
        <v>0.0535164307309768</v>
      </c>
      <c r="F7425" s="7" t="n">
        <f aca="false">Sens!$E$7425+(glt_lic-Sens!$E$7425)*MIN(1,1/n_conv)</f>
        <v>0.0479303589424807</v>
      </c>
      <c r="G7425" s="7" t="n">
        <f aca="false">Sens!$E$7425+(glt_lic-Sens!$E$7425)*MIN(1,2/n_conv)</f>
        <v>0.0423442871539845</v>
      </c>
      <c r="H7425" s="7" t="n">
        <f aca="false">Sens!$E$7425+(glt_lic-Sens!$E$7425)*MIN(1,3/n_conv)</f>
        <v>0.0367582153654884</v>
      </c>
      <c r="I7425" s="7" t="n">
        <f aca="false">Sens!$E$7425+(glt_lic-Sens!$E$7425)*MIN(1,4/n_conv)</f>
        <v>0.0311721435769923</v>
      </c>
      <c r="J7425" s="7" t="n">
        <f aca="false">Sens!$E$7425+(glt_lic-Sens!$E$7425)*MIN(1,5/n_conv)</f>
        <v>0.0255860717884961</v>
      </c>
      <c r="K7425" s="7" t="n">
        <f aca="false">Sens!$E$7425+(glt_lic-Sens!$E$7425)*MIN(1,6/n_conv)</f>
        <v>0.02</v>
      </c>
    </row>
    <row r="7426" customFormat="false" ht="15" hidden="false" customHeight="false" outlineLevel="0" collapsed="false">
      <c r="A7426" s="0" t="s">
        <v>790</v>
      </c>
      <c r="B7426" s="0" t="s">
        <v>95</v>
      </c>
      <c r="D7426" s="6" t="n">
        <f aca="false">Q!L9</f>
        <v>18.417</v>
      </c>
      <c r="E7426" s="6" t="n">
        <f aca="false">Q!M9</f>
        <v>20.345</v>
      </c>
      <c r="F7426" s="6" t="n">
        <f aca="false">Sens!E7426*(1+Sens!F7427)</f>
        <v>22.3572203267814</v>
      </c>
      <c r="G7426" s="6" t="n">
        <f aca="false">Sens!F7426*(1+Sens!G7427)</f>
        <v>24.4392124437232</v>
      </c>
      <c r="H7426" s="6" t="n">
        <f aca="false">Sens!G7426*(1+Sens!H7427)</f>
        <v>26.5738052080665</v>
      </c>
      <c r="I7426" s="6" t="n">
        <f aca="false">Sens!H7426*(1+Sens!I7427)</f>
        <v>28.7412169166967</v>
      </c>
      <c r="J7426" s="6" t="n">
        <f aca="false">Sens!I7426*(1+Sens!J7427)</f>
        <v>30.9192545395413</v>
      </c>
      <c r="K7426" s="6" t="n">
        <f aca="false">Sens!J7426*(1+Sens!K7427)</f>
        <v>33.0836023573092</v>
      </c>
    </row>
    <row r="7427" customFormat="false" ht="15" hidden="false" customHeight="false" outlineLevel="0" collapsed="false">
      <c r="A7427" s="1" t="s">
        <v>782</v>
      </c>
      <c r="B7427" s="0" t="s">
        <v>126</v>
      </c>
      <c r="E7427" s="7" t="n">
        <f aca="false">Sens!E7426/Sens!D7426-1</f>
        <v>0.104685888038225</v>
      </c>
      <c r="F7427" s="7" t="n">
        <f aca="false">Sens!$E$7427+(glt_ind-Sens!$E$7427)*MIN(1,1/n_conv)</f>
        <v>0.0989049066985211</v>
      </c>
      <c r="G7427" s="7" t="n">
        <f aca="false">Sens!$E$7427+(glt_ind-Sens!$E$7427)*MIN(1,2/n_conv)</f>
        <v>0.0931239253588169</v>
      </c>
      <c r="H7427" s="7" t="n">
        <f aca="false">Sens!$E$7427+(glt_ind-Sens!$E$7427)*MIN(1,3/n_conv)</f>
        <v>0.0873429440191127</v>
      </c>
      <c r="I7427" s="7" t="n">
        <f aca="false">Sens!$E$7427+(glt_ind-Sens!$E$7427)*MIN(1,4/n_conv)</f>
        <v>0.0815619626794085</v>
      </c>
      <c r="J7427" s="7" t="n">
        <f aca="false">Sens!$E$7427+(glt_ind-Sens!$E$7427)*MIN(1,5/n_conv)</f>
        <v>0.0757809813397042</v>
      </c>
      <c r="K7427" s="7" t="n">
        <f aca="false">Sens!$E$7427+(glt_ind-Sens!$E$7427)*MIN(1,6/n_conv)</f>
        <v>0.07</v>
      </c>
    </row>
    <row r="7428" customFormat="false" ht="15" hidden="false" customHeight="false" outlineLevel="0" collapsed="false">
      <c r="A7428" s="0" t="s">
        <v>791</v>
      </c>
      <c r="B7428" s="0" t="s">
        <v>95</v>
      </c>
      <c r="D7428" s="6" t="n">
        <f aca="false">Q!L10</f>
        <v>7.76</v>
      </c>
      <c r="E7428" s="6" t="n">
        <f aca="false">Q!M10</f>
        <v>8.26</v>
      </c>
      <c r="F7428" s="6" t="n">
        <f aca="false">Sens!E7428*(1+Sens!F7429)</f>
        <v>8.79988041237113</v>
      </c>
      <c r="G7428" s="6" t="n">
        <f aca="false">Sens!F7428*(1+Sens!G7429)</f>
        <v>9.38321269125306</v>
      </c>
      <c r="H7428" s="6" t="n">
        <f aca="false">Sens!G7428*(1+Sens!H7429)</f>
        <v>10.0139193587476</v>
      </c>
      <c r="I7428" s="6" t="n">
        <f aca="false">Sens!H7428*(1+Sens!I7429)</f>
        <v>10.6963111830911</v>
      </c>
      <c r="J7428" s="6" t="n">
        <f aca="false">Sens!I7428*(1+Sens!J7429)</f>
        <v>11.4351285534696</v>
      </c>
      <c r="K7428" s="6" t="n">
        <f aca="false">Sens!J7428*(1+Sens!K7429)</f>
        <v>12.2355875522124</v>
      </c>
    </row>
    <row r="7429" customFormat="false" ht="15" hidden="false" customHeight="false" outlineLevel="0" collapsed="false">
      <c r="A7429" s="1" t="s">
        <v>782</v>
      </c>
      <c r="B7429" s="0" t="s">
        <v>126</v>
      </c>
      <c r="E7429" s="7" t="n">
        <f aca="false">Sens!E7428/Sens!D7428-1</f>
        <v>0.0644329896907216</v>
      </c>
      <c r="F7429" s="7" t="n">
        <f aca="false">Sens!$E$7429+(glt_fro-Sens!$E$7429)*MIN(1,1/n_conv)</f>
        <v>0.065360824742268</v>
      </c>
      <c r="G7429" s="7" t="n">
        <f aca="false">Sens!$E$7429+(glt_fro-Sens!$E$7429)*MIN(1,2/n_conv)</f>
        <v>0.0662886597938144</v>
      </c>
      <c r="H7429" s="7" t="n">
        <f aca="false">Sens!$E$7429+(glt_fro-Sens!$E$7429)*MIN(1,3/n_conv)</f>
        <v>0.0672164948453608</v>
      </c>
      <c r="I7429" s="7" t="n">
        <f aca="false">Sens!$E$7429+(glt_fro-Sens!$E$7429)*MIN(1,4/n_conv)</f>
        <v>0.0681443298969072</v>
      </c>
      <c r="J7429" s="7" t="n">
        <f aca="false">Sens!$E$7429+(glt_fro-Sens!$E$7429)*MIN(1,5/n_conv)</f>
        <v>0.0690721649484536</v>
      </c>
      <c r="K7429" s="7" t="n">
        <f aca="false">Sens!$E$7429+(glt_fro-Sens!$E$7429)*MIN(1,6/n_conv)</f>
        <v>0.07</v>
      </c>
    </row>
    <row r="7430" customFormat="false" ht="15" hidden="false" customHeight="false" outlineLevel="0" collapsed="false">
      <c r="A7430" s="0" t="s">
        <v>626</v>
      </c>
      <c r="B7430" s="0" t="s">
        <v>95</v>
      </c>
      <c r="D7430" s="6" t="n">
        <f aca="false">Sens!D7418+Sens!D7423+Sens!D7424+Sens!D7426+Sens!D7428</f>
        <v>218.783</v>
      </c>
      <c r="E7430" s="6" t="n">
        <f aca="false">Sens!E7418+Sens!E7423+Sens!E7424+Sens!E7426+Sens!E7428</f>
        <v>268.127</v>
      </c>
      <c r="F7430" s="6" t="n">
        <f aca="false">Sens!F7418+Sens!F7423+Sens!F7424+Sens!F7426+Sens!F7428</f>
        <v>339.433940907051</v>
      </c>
      <c r="G7430" s="6" t="n">
        <f aca="false">Sens!G7418+Sens!G7423+Sens!G7424+Sens!G7426+Sens!G7428</f>
        <v>424.490670881892</v>
      </c>
      <c r="H7430" s="6" t="n">
        <f aca="false">Sens!H7418+Sens!H7423+Sens!H7424+Sens!H7426+Sens!H7428</f>
        <v>515.646275281385</v>
      </c>
      <c r="I7430" s="6" t="n">
        <f aca="false">Sens!I7418+Sens!I7423+Sens!I7424+Sens!I7426+Sens!I7428</f>
        <v>597.93444694442</v>
      </c>
      <c r="J7430" s="6" t="n">
        <f aca="false">Sens!J7418+Sens!J7423+Sens!J7424+Sens!J7426+Sens!J7428</f>
        <v>675.905670910223</v>
      </c>
      <c r="K7430" s="6" t="n">
        <f aca="false">Sens!K7418+Sens!K7423+Sens!K7424+Sens!K7426+Sens!K7428</f>
        <v>750.407304875998</v>
      </c>
    </row>
    <row r="7431" customFormat="false" ht="15" hidden="false" customHeight="false" outlineLevel="0" collapsed="false">
      <c r="A7431" s="0" t="s">
        <v>792</v>
      </c>
      <c r="B7431" s="0" t="s">
        <v>95</v>
      </c>
      <c r="D7431" s="6" t="n">
        <f aca="false">Q!L13</f>
        <v>22.171</v>
      </c>
      <c r="E7431" s="6" t="n">
        <f aca="false">Q!M13</f>
        <v>24.835</v>
      </c>
      <c r="F7431" s="6" t="n">
        <f aca="false">Sens!E7431*(1+Sens!F7432)</f>
        <v>27.4873151218559</v>
      </c>
      <c r="G7431" s="6" t="n">
        <f aca="false">Sens!F7431*(1+Sens!G7432)</f>
        <v>30.0556741721455</v>
      </c>
      <c r="H7431" s="6" t="n">
        <f aca="false">Sens!G7431*(1+Sens!H7432)</f>
        <v>32.4624869022303</v>
      </c>
      <c r="I7431" s="6" t="n">
        <f aca="false">Sens!H7431*(1+Sens!I7432)</f>
        <v>34.6283511524715</v>
      </c>
      <c r="J7431" s="6" t="n">
        <f aca="false">Sens!I7431*(1+Sens!J7432)</f>
        <v>36.476102435307</v>
      </c>
      <c r="K7431" s="6" t="n">
        <f aca="false">Sens!J7431*(1+Sens!K7432)</f>
        <v>37.9351465327193</v>
      </c>
    </row>
    <row r="7432" customFormat="false" ht="15" hidden="false" customHeight="false" outlineLevel="0" collapsed="false">
      <c r="A7432" s="1" t="s">
        <v>782</v>
      </c>
      <c r="B7432" s="0" t="s">
        <v>126</v>
      </c>
      <c r="E7432" s="7" t="n">
        <f aca="false">Sens!E7431/Sens!D7431-1</f>
        <v>0.120156961796942</v>
      </c>
      <c r="F7432" s="7" t="n">
        <f aca="false">Sens!$E$7432+(glt_srch_lo-Sens!$E$7432)*MIN(1,1/n_conv)</f>
        <v>0.106797468164118</v>
      </c>
      <c r="G7432" s="7" t="n">
        <f aca="false">Sens!$E$7432+(glt_srch_lo-Sens!$E$7432)*MIN(1,2/n_conv)</f>
        <v>0.0934379745312947</v>
      </c>
      <c r="H7432" s="7" t="n">
        <f aca="false">Sens!$E$7432+(glt_srch_lo-Sens!$E$7432)*MIN(1,3/n_conv)</f>
        <v>0.080078480898471</v>
      </c>
      <c r="I7432" s="7" t="n">
        <f aca="false">Sens!$E$7432+(glt_srch_lo-Sens!$E$7432)*MIN(1,4/n_conv)</f>
        <v>0.0667189872656473</v>
      </c>
      <c r="J7432" s="7" t="n">
        <f aca="false">Sens!$E$7432+(glt_srch_lo-Sens!$E$7432)*MIN(1,5/n_conv)</f>
        <v>0.0533594936328237</v>
      </c>
      <c r="K7432" s="7" t="n">
        <f aca="false">Sens!$E$7432+(glt_srch_lo-Sens!$E$7432)*MIN(1,6/n_conv)</f>
        <v>0.04</v>
      </c>
    </row>
    <row r="7433" customFormat="false" ht="15" hidden="false" customHeight="false" outlineLevel="0" collapsed="false">
      <c r="A7433" s="0" t="s">
        <v>793</v>
      </c>
      <c r="B7433" s="0" t="s">
        <v>95</v>
      </c>
      <c r="D7433" s="6" t="n">
        <f aca="false">Q!L14</f>
        <v>23.455</v>
      </c>
      <c r="E7433" s="6" t="n">
        <f aca="false">Q!M14</f>
        <v>21.79</v>
      </c>
      <c r="F7433" s="6" t="n">
        <f aca="false">Sens!E7433*(1+Sens!F7434)</f>
        <v>20.5736277908051</v>
      </c>
      <c r="G7433" s="6" t="n">
        <f aca="false">Sens!F7433*(1+Sens!G7434)</f>
        <v>19.7371452817919</v>
      </c>
      <c r="H7433" s="6" t="n">
        <f aca="false">Sens!G7433*(1+Sens!H7434)</f>
        <v>19.2339764043138</v>
      </c>
      <c r="I7433" s="6" t="n">
        <f aca="false">Sens!H7433*(1+Sens!I7434)</f>
        <v>19.0353086852681</v>
      </c>
      <c r="J7433" s="6" t="n">
        <f aca="false">Sens!I7433*(1+Sens!J7434)</f>
        <v>19.1273539319129</v>
      </c>
      <c r="K7433" s="6" t="n">
        <f aca="false">Sens!J7433*(1+Sens!K7434)</f>
        <v>19.5099010105511</v>
      </c>
    </row>
    <row r="7434" customFormat="false" ht="15" hidden="false" customHeight="false" outlineLevel="0" collapsed="false">
      <c r="A7434" s="1" t="s">
        <v>782</v>
      </c>
      <c r="B7434" s="0" t="s">
        <v>126</v>
      </c>
      <c r="E7434" s="7" t="n">
        <f aca="false">Sens!E7433/Sens!D7433-1</f>
        <v>-0.0709869963760392</v>
      </c>
      <c r="F7434" s="7" t="n">
        <f aca="false">Sens!$E$7434+(glt_xbox-Sens!$E$7434)*MIN(1,1/n_conv)</f>
        <v>-0.0558224969800327</v>
      </c>
      <c r="G7434" s="7" t="n">
        <f aca="false">Sens!$E$7434+(glt_xbox-Sens!$E$7434)*MIN(1,2/n_conv)</f>
        <v>-0.0406579975840262</v>
      </c>
      <c r="H7434" s="7" t="n">
        <f aca="false">Sens!$E$7434+(glt_xbox-Sens!$E$7434)*MIN(1,3/n_conv)</f>
        <v>-0.0254934981880196</v>
      </c>
      <c r="I7434" s="7" t="n">
        <f aca="false">Sens!$E$7434+(glt_xbox-Sens!$E$7434)*MIN(1,4/n_conv)</f>
        <v>-0.0103289987920131</v>
      </c>
      <c r="J7434" s="7" t="n">
        <f aca="false">Sens!$E$7434+(glt_xbox-Sens!$E$7434)*MIN(1,5/n_conv)</f>
        <v>0.00483550060399347</v>
      </c>
      <c r="K7434" s="7" t="n">
        <f aca="false">Sens!$E$7434+(glt_xbox-Sens!$E$7434)*MIN(1,6/n_conv)</f>
        <v>0.02</v>
      </c>
    </row>
    <row r="7435" customFormat="false" ht="15" hidden="false" customHeight="false" outlineLevel="0" collapsed="false">
      <c r="A7435" s="0" t="s">
        <v>794</v>
      </c>
      <c r="B7435" s="0" t="s">
        <v>95</v>
      </c>
      <c r="D7435" s="6" t="n">
        <f aca="false">Q!L15</f>
        <v>17.315</v>
      </c>
      <c r="E7435" s="6" t="n">
        <f aca="false">Q!M15</f>
        <v>17.087</v>
      </c>
      <c r="F7435" s="6" t="n">
        <f aca="false">Sens!E7435*(1+Sens!F7436)</f>
        <v>16.9564585436519</v>
      </c>
      <c r="G7435" s="6" t="n">
        <f aca="false">Sens!F7435*(1+Sens!G7436)</f>
        <v>16.9206490624268</v>
      </c>
      <c r="H7435" s="6" t="n">
        <f aca="false">Sens!G7435*(1+Sens!H7436)</f>
        <v>16.9784519149849</v>
      </c>
      <c r="I7435" s="6" t="n">
        <f aca="false">Sens!H7435*(1+Sens!I7436)</f>
        <v>17.1303084701817</v>
      </c>
      <c r="J7435" s="6" t="n">
        <f aca="false">Sens!I7435*(1+Sens!J7436)</f>
        <v>17.3782189407267</v>
      </c>
      <c r="K7435" s="6" t="n">
        <f aca="false">Sens!J7435*(1+Sens!K7436)</f>
        <v>17.7257833195413</v>
      </c>
    </row>
    <row r="7436" customFormat="false" ht="15" hidden="false" customHeight="false" outlineLevel="0" collapsed="false">
      <c r="A7436" s="1" t="s">
        <v>782</v>
      </c>
      <c r="B7436" s="0" t="s">
        <v>126</v>
      </c>
      <c r="E7436" s="7" t="n">
        <f aca="false">Sens!E7435/Sens!D7435-1</f>
        <v>-0.0131677736066995</v>
      </c>
      <c r="F7436" s="7" t="n">
        <f aca="false">Sens!$E$7436+(glt_win-Sens!$E$7436)*MIN(1,1/n_conv)</f>
        <v>-0.00763981133891627</v>
      </c>
      <c r="G7436" s="7" t="n">
        <f aca="false">Sens!$E$7436+(glt_win-Sens!$E$7436)*MIN(1,2/n_conv)</f>
        <v>-0.00211184907113301</v>
      </c>
      <c r="H7436" s="7" t="n">
        <f aca="false">Sens!$E$7436+(glt_win-Sens!$E$7436)*MIN(1,3/n_conv)</f>
        <v>0.00341611319665024</v>
      </c>
      <c r="I7436" s="7" t="n">
        <f aca="false">Sens!$E$7436+(glt_win-Sens!$E$7436)*MIN(1,4/n_conv)</f>
        <v>0.00894407546443349</v>
      </c>
      <c r="J7436" s="7" t="n">
        <f aca="false">Sens!$E$7436+(glt_win-Sens!$E$7436)*MIN(1,5/n_conv)</f>
        <v>0.0144720377322168</v>
      </c>
      <c r="K7436" s="7" t="n">
        <f aca="false">Sens!$E$7436+(glt_win-Sens!$E$7436)*MIN(1,6/n_conv)</f>
        <v>0.02</v>
      </c>
    </row>
    <row r="7437" customFormat="false" ht="15" hidden="false" customHeight="false" outlineLevel="0" collapsed="false">
      <c r="A7437" s="0" t="s">
        <v>640</v>
      </c>
      <c r="B7437" s="0" t="s">
        <v>95</v>
      </c>
      <c r="D7437" s="6" t="n">
        <f aca="false">Sens!D7431+Sens!D7433+Sens!D7435</f>
        <v>62.941</v>
      </c>
      <c r="E7437" s="6" t="n">
        <f aca="false">Sens!E7431+Sens!E7433+Sens!E7435</f>
        <v>63.712</v>
      </c>
      <c r="F7437" s="6" t="n">
        <f aca="false">Sens!F7431+Sens!F7433+Sens!F7435</f>
        <v>65.0174014563129</v>
      </c>
      <c r="G7437" s="6" t="n">
        <f aca="false">Sens!G7431+Sens!G7433+Sens!G7435</f>
        <v>66.7134685163642</v>
      </c>
      <c r="H7437" s="6" t="n">
        <f aca="false">Sens!H7431+Sens!H7433+Sens!H7435</f>
        <v>68.6749152215291</v>
      </c>
      <c r="I7437" s="6" t="n">
        <f aca="false">Sens!I7431+Sens!I7433+Sens!I7435</f>
        <v>70.7939683079213</v>
      </c>
      <c r="J7437" s="6" t="n">
        <f aca="false">Sens!J7431+Sens!J7433+Sens!J7435</f>
        <v>72.9816753079466</v>
      </c>
      <c r="K7437" s="6" t="n">
        <f aca="false">Sens!K7431+Sens!K7433+Sens!K7435</f>
        <v>75.1708308628117</v>
      </c>
    </row>
    <row r="7438" customFormat="false" ht="15" hidden="false" customHeight="false" outlineLevel="0" collapsed="false">
      <c r="A7438" s="1" t="s">
        <v>795</v>
      </c>
      <c r="B7438" s="0" t="s">
        <v>95</v>
      </c>
      <c r="D7438" s="6" t="n">
        <f aca="false">Sens!D7430+Sens!D7437</f>
        <v>281.724</v>
      </c>
      <c r="E7438" s="6" t="n">
        <f aca="false">Sens!E7430+Sens!E7437</f>
        <v>331.839</v>
      </c>
      <c r="F7438" s="6" t="n">
        <f aca="false">Sens!F7430+Sens!F7437</f>
        <v>404.451342363364</v>
      </c>
      <c r="G7438" s="6" t="n">
        <f aca="false">Sens!G7430+Sens!G7437</f>
        <v>491.204139398256</v>
      </c>
      <c r="H7438" s="6" t="n">
        <f aca="false">Sens!H7430+Sens!H7437</f>
        <v>584.321190502914</v>
      </c>
      <c r="I7438" s="6" t="n">
        <f aca="false">Sens!I7430+Sens!I7437</f>
        <v>668.728415252341</v>
      </c>
      <c r="J7438" s="6" t="n">
        <f aca="false">Sens!J7430+Sens!J7437</f>
        <v>748.887346218169</v>
      </c>
      <c r="K7438" s="6" t="n">
        <f aca="false">Sens!K7430+Sens!K7437</f>
        <v>825.578135738809</v>
      </c>
    </row>
    <row r="7439" customFormat="false" ht="15" hidden="false" customHeight="false" outlineLevel="0" collapsed="false">
      <c r="A7439" s="22" t="s">
        <v>796</v>
      </c>
      <c r="B7439" s="28" t="s">
        <v>95</v>
      </c>
      <c r="C7439" s="28"/>
      <c r="D7439" s="23" t="n">
        <f aca="false">(Sens!D7418+Sens!D7423+Sens!D7424+Sens!D7426+Sens!D7428-Sens!D7430)+(Sens!D7431+Sens!D7433+Sens!D7435-Sens!D7437)+(Sens!D7430-Q!L5)+(Sens!D7437-Q!L12)+(Sens!D7418-Q!L6)+(Sens!D7423-Q!L7)</f>
        <v>0</v>
      </c>
      <c r="E7439" s="23" t="n">
        <f aca="false">(Sens!E7418+Sens!E7423+Sens!E7424+Sens!E7426+Sens!E7428-Sens!E7430)+(Sens!E7431+Sens!E7433+Sens!E7435-Sens!E7437)+(Sens!E7430-Q!M5)+(Sens!E7437-Q!M12)+(Sens!E7418-Q!M6)+(Sens!E7423-Q!M7)</f>
        <v>0</v>
      </c>
      <c r="F7439" s="23" t="n">
        <f aca="false">(Sens!F7418+Sens!F7423+Sens!F7424+Sens!F7426+Sens!F7428-Sens!F7430)+(Sens!F7431+Sens!F7433+Sens!F7435-Sens!F7437)</f>
        <v>0</v>
      </c>
      <c r="G7439" s="23" t="n">
        <f aca="false">(Sens!G7418+Sens!G7423+Sens!G7424+Sens!G7426+Sens!G7428-Sens!G7430)+(Sens!G7431+Sens!G7433+Sens!G7435-Sens!G7437)</f>
        <v>0</v>
      </c>
      <c r="H7439" s="23" t="n">
        <f aca="false">(Sens!H7418+Sens!H7423+Sens!H7424+Sens!H7426+Sens!H7428-Sens!H7430)+(Sens!H7431+Sens!H7433+Sens!H7435-Sens!H7437)</f>
        <v>0</v>
      </c>
      <c r="I7439" s="23" t="n">
        <f aca="false">(Sens!I7418+Sens!I7423+Sens!I7424+Sens!I7426+Sens!I7428-Sens!I7430)+(Sens!I7431+Sens!I7433+Sens!I7435-Sens!I7437)</f>
        <v>0</v>
      </c>
      <c r="J7439" s="23" t="n">
        <f aca="false">(Sens!J7418+Sens!J7423+Sens!J7424+Sens!J7426+Sens!J7428-Sens!J7430)+(Sens!J7431+Sens!J7433+Sens!J7435-Sens!J7437)</f>
        <v>0</v>
      </c>
      <c r="K7439" s="23" t="n">
        <f aca="false">(Sens!K7418+Sens!K7423+Sens!K7424+Sens!K7426+Sens!K7428-Sens!K7430)+(Sens!K7431+Sens!K7433+Sens!K7435-Sens!K7437)</f>
        <v>0</v>
      </c>
    </row>
    <row r="7440" customFormat="false" ht="17.15" hidden="false" customHeight="false" outlineLevel="0" collapsed="false">
      <c r="A7440" s="3" t="s">
        <v>1326</v>
      </c>
    </row>
    <row r="7441" customFormat="false" ht="15" hidden="false" customHeight="false" outlineLevel="0" collapsed="false">
      <c r="A7441" s="4" t="s">
        <v>43</v>
      </c>
      <c r="B7441" s="4" t="s">
        <v>63</v>
      </c>
      <c r="C7441" s="19" t="s">
        <v>710</v>
      </c>
      <c r="D7441" s="19" t="s">
        <v>711</v>
      </c>
      <c r="E7441" s="19" t="s">
        <v>712</v>
      </c>
      <c r="F7441" s="19" t="s">
        <v>713</v>
      </c>
      <c r="G7441" s="19" t="s">
        <v>714</v>
      </c>
      <c r="H7441" s="19" t="s">
        <v>715</v>
      </c>
      <c r="I7441" s="19" t="s">
        <v>716</v>
      </c>
      <c r="J7441" s="19" t="s">
        <v>717</v>
      </c>
      <c r="K7441" s="19" t="s">
        <v>718</v>
      </c>
      <c r="L7441" s="4" t="s">
        <v>47</v>
      </c>
    </row>
    <row r="7442" customFormat="false" ht="15" hidden="false" customHeight="false" outlineLevel="0" collapsed="false">
      <c r="A7442" s="0" t="s">
        <v>783</v>
      </c>
      <c r="B7442" s="0" t="s">
        <v>95</v>
      </c>
      <c r="D7442" s="6" t="n">
        <f aca="false">Sens!D7418</f>
        <v>72.61</v>
      </c>
      <c r="E7442" s="6" t="n">
        <f aca="false">Sens!E7418</f>
        <v>101.938</v>
      </c>
      <c r="F7442" s="6" t="n">
        <f aca="false">Sens!F7418</f>
        <v>148.812368967868</v>
      </c>
      <c r="G7442" s="6" t="n">
        <f aca="false">Sens!G7418</f>
        <v>208.397514344463</v>
      </c>
      <c r="H7442" s="6" t="n">
        <f aca="false">Sens!H7418</f>
        <v>274.05759259987</v>
      </c>
      <c r="I7442" s="6" t="n">
        <f aca="false">Sens!I7418</f>
        <v>333.373091964934</v>
      </c>
      <c r="J7442" s="6" t="n">
        <f aca="false">Sens!J7418</f>
        <v>391.214773806054</v>
      </c>
      <c r="K7442" s="6" t="n">
        <f aca="false">Sens!K7418</f>
        <v>446.513235535821</v>
      </c>
    </row>
    <row r="7443" customFormat="false" ht="17.15" hidden="false" customHeight="false" outlineLevel="0" collapsed="false">
      <c r="A7443" s="0" t="s">
        <v>780</v>
      </c>
      <c r="B7443" s="0" t="s">
        <v>95</v>
      </c>
      <c r="D7443" s="6" t="n">
        <f aca="false">Sens!D7415</f>
        <v>12.9359794422418</v>
      </c>
      <c r="E7443" s="6" t="n">
        <f aca="false">Sens!E7415</f>
        <v>27.8095064661409</v>
      </c>
      <c r="F7443" s="6" t="n">
        <f aca="false">Sens!F7415</f>
        <v>58.7324192305018</v>
      </c>
      <c r="G7443" s="6" t="n">
        <f aca="false">Sens!G7415</f>
        <v>101.369089141153</v>
      </c>
      <c r="H7443" s="6" t="n">
        <f aca="false">Sens!H7415</f>
        <v>149.785610014234</v>
      </c>
      <c r="I7443" s="6" t="n">
        <f aca="false">Sens!I7415</f>
        <v>192.439389583079</v>
      </c>
      <c r="J7443" s="6" t="n">
        <f aca="false">Sens!J7415</f>
        <v>235.195906491722</v>
      </c>
      <c r="K7443" s="6" t="n">
        <f aca="false">Sens!K7415</f>
        <v>278.012858836343</v>
      </c>
    </row>
    <row r="7444" customFormat="false" ht="17.15" hidden="false" customHeight="false" outlineLevel="0" collapsed="false">
      <c r="A7444" s="0" t="s">
        <v>807</v>
      </c>
      <c r="B7444" s="0" t="s">
        <v>95</v>
      </c>
      <c r="D7444" s="6" t="n">
        <f aca="false">Sens!D7416</f>
        <v>59.6740205577583</v>
      </c>
      <c r="E7444" s="6" t="n">
        <f aca="false">Sens!E7416</f>
        <v>74.1284935338591</v>
      </c>
      <c r="F7444" s="6" t="n">
        <f aca="false">Sens!F7416</f>
        <v>90.0799497373663</v>
      </c>
      <c r="G7444" s="6" t="n">
        <f aca="false">Sens!G7416</f>
        <v>107.02842520331</v>
      </c>
      <c r="H7444" s="6" t="n">
        <f aca="false">Sens!H7416</f>
        <v>124.271982585636</v>
      </c>
      <c r="I7444" s="6" t="n">
        <f aca="false">Sens!I7416</f>
        <v>140.933702381855</v>
      </c>
      <c r="J7444" s="6" t="n">
        <f aca="false">Sens!J7416</f>
        <v>156.018867314332</v>
      </c>
      <c r="K7444" s="6" t="n">
        <f aca="false">Sens!K7416</f>
        <v>168.500376699478</v>
      </c>
    </row>
    <row r="7445" customFormat="false" ht="15" hidden="false" customHeight="false" outlineLevel="0" collapsed="false">
      <c r="A7445" s="0" t="s">
        <v>788</v>
      </c>
      <c r="B7445" s="0" t="s">
        <v>95</v>
      </c>
      <c r="D7445" s="6" t="n">
        <f aca="false">Sens!D7423</f>
        <v>84.605</v>
      </c>
      <c r="E7445" s="6" t="n">
        <f aca="false">Sens!E7423</f>
        <v>100.299</v>
      </c>
      <c r="F7445" s="6" t="n">
        <f aca="false">Sens!F7423</f>
        <v>120.39238776686</v>
      </c>
      <c r="G7445" s="6" t="n">
        <f aca="false">Sens!G7423</f>
        <v>141.544168448684</v>
      </c>
      <c r="H7445" s="6" t="n">
        <f aca="false">Sens!H7423</f>
        <v>162.777359388781</v>
      </c>
      <c r="I7445" s="6" t="n">
        <f aca="false">Sens!I7423</f>
        <v>181.584028071957</v>
      </c>
      <c r="J7445" s="6" t="n">
        <f aca="false">Sens!J7423</f>
        <v>197.682702785465</v>
      </c>
      <c r="K7445" s="6" t="n">
        <f aca="false">Sens!K7423</f>
        <v>213.027991980448</v>
      </c>
    </row>
    <row r="7446" customFormat="false" ht="17.15" hidden="false" customHeight="false" outlineLevel="0" collapsed="false">
      <c r="A7446" s="0" t="s">
        <v>808</v>
      </c>
      <c r="B7446" s="0" t="s">
        <v>95</v>
      </c>
      <c r="D7446" s="6" t="n">
        <f aca="false">Sens!D7421</f>
        <v>83.705</v>
      </c>
      <c r="E7446" s="6" t="n">
        <f aca="false">Sens!E7421</f>
        <v>95.049</v>
      </c>
      <c r="F7446" s="6" t="n">
        <f aca="false">Sens!F7421</f>
        <v>106.89238776686</v>
      </c>
      <c r="G7446" s="6" t="n">
        <f aca="false">Sens!G7421</f>
        <v>119.044168448684</v>
      </c>
      <c r="H7446" s="6" t="n">
        <f aca="false">Sens!H7421</f>
        <v>131.277359388781</v>
      </c>
      <c r="I7446" s="6" t="n">
        <f aca="false">Sens!I7421</f>
        <v>143.334028071957</v>
      </c>
      <c r="J7446" s="6" t="n">
        <f aca="false">Sens!J7421</f>
        <v>154.932702785465</v>
      </c>
      <c r="K7446" s="6" t="n">
        <f aca="false">Sens!K7421</f>
        <v>165.777991980448</v>
      </c>
    </row>
    <row r="7447" customFormat="false" ht="17.15" hidden="false" customHeight="false" outlineLevel="0" collapsed="false">
      <c r="A7447" s="0" t="s">
        <v>809</v>
      </c>
      <c r="B7447" s="0" t="s">
        <v>95</v>
      </c>
      <c r="D7447" s="6" t="n">
        <f aca="false">Sens!D7420</f>
        <v>0.9</v>
      </c>
      <c r="E7447" s="6" t="n">
        <f aca="false">Sens!E7420</f>
        <v>5.25</v>
      </c>
      <c r="F7447" s="6" t="n">
        <f aca="false">Sens!F7420</f>
        <v>13.5</v>
      </c>
      <c r="G7447" s="6" t="n">
        <f aca="false">Sens!G7420</f>
        <v>22.5</v>
      </c>
      <c r="H7447" s="6" t="n">
        <f aca="false">Sens!H7420</f>
        <v>31.5</v>
      </c>
      <c r="I7447" s="6" t="n">
        <f aca="false">Sens!I7420</f>
        <v>38.25</v>
      </c>
      <c r="J7447" s="6" t="n">
        <f aca="false">Sens!J7420</f>
        <v>42.75</v>
      </c>
      <c r="K7447" s="6" t="n">
        <f aca="false">Sens!K7420</f>
        <v>47.25</v>
      </c>
    </row>
    <row r="7448" customFormat="false" ht="15" hidden="false" customHeight="false" outlineLevel="0" collapsed="false">
      <c r="A7448" s="0" t="s">
        <v>789</v>
      </c>
      <c r="B7448" s="0" t="s">
        <v>95</v>
      </c>
      <c r="D7448" s="6" t="n">
        <f aca="false">Sens!D7424</f>
        <v>35.391</v>
      </c>
      <c r="E7448" s="6" t="n">
        <f aca="false">Sens!E7424</f>
        <v>37.285</v>
      </c>
      <c r="F7448" s="6" t="n">
        <f aca="false">Sens!F7424</f>
        <v>39.0720834331704</v>
      </c>
      <c r="G7448" s="6" t="n">
        <f aca="false">Sens!G7424</f>
        <v>40.726562953769</v>
      </c>
      <c r="H7448" s="6" t="n">
        <f aca="false">Sens!H7424</f>
        <v>42.2235987259198</v>
      </c>
      <c r="I7448" s="6" t="n">
        <f aca="false">Sens!I7424</f>
        <v>43.5397988077414</v>
      </c>
      <c r="J7448" s="6" t="n">
        <f aca="false">Sens!J7424</f>
        <v>44.653811225693</v>
      </c>
      <c r="K7448" s="6" t="n">
        <f aca="false">Sens!K7424</f>
        <v>45.5468874502068</v>
      </c>
    </row>
    <row r="7449" customFormat="false" ht="15" hidden="false" customHeight="false" outlineLevel="0" collapsed="false">
      <c r="A7449" s="0" t="s">
        <v>790</v>
      </c>
      <c r="B7449" s="0" t="s">
        <v>95</v>
      </c>
      <c r="D7449" s="6" t="n">
        <f aca="false">Sens!D7426</f>
        <v>18.417</v>
      </c>
      <c r="E7449" s="6" t="n">
        <f aca="false">Sens!E7426</f>
        <v>20.345</v>
      </c>
      <c r="F7449" s="6" t="n">
        <f aca="false">Sens!F7426</f>
        <v>22.3572203267814</v>
      </c>
      <c r="G7449" s="6" t="n">
        <f aca="false">Sens!G7426</f>
        <v>24.4392124437232</v>
      </c>
      <c r="H7449" s="6" t="n">
        <f aca="false">Sens!H7426</f>
        <v>26.5738052080665</v>
      </c>
      <c r="I7449" s="6" t="n">
        <f aca="false">Sens!I7426</f>
        <v>28.7412169166967</v>
      </c>
      <c r="J7449" s="6" t="n">
        <f aca="false">Sens!J7426</f>
        <v>30.9192545395413</v>
      </c>
      <c r="K7449" s="6" t="n">
        <f aca="false">Sens!K7426</f>
        <v>33.0836023573092</v>
      </c>
    </row>
    <row r="7450" customFormat="false" ht="15" hidden="false" customHeight="false" outlineLevel="0" collapsed="false">
      <c r="A7450" s="0" t="s">
        <v>791</v>
      </c>
      <c r="B7450" s="0" t="s">
        <v>95</v>
      </c>
      <c r="D7450" s="6" t="n">
        <f aca="false">Sens!D7428</f>
        <v>7.76</v>
      </c>
      <c r="E7450" s="6" t="n">
        <f aca="false">Sens!E7428</f>
        <v>8.26</v>
      </c>
      <c r="F7450" s="6" t="n">
        <f aca="false">Sens!F7428</f>
        <v>8.79988041237113</v>
      </c>
      <c r="G7450" s="6" t="n">
        <f aca="false">Sens!G7428</f>
        <v>9.38321269125306</v>
      </c>
      <c r="H7450" s="6" t="n">
        <f aca="false">Sens!H7428</f>
        <v>10.0139193587476</v>
      </c>
      <c r="I7450" s="6" t="n">
        <f aca="false">Sens!I7428</f>
        <v>10.6963111830911</v>
      </c>
      <c r="J7450" s="6" t="n">
        <f aca="false">Sens!J7428</f>
        <v>11.4351285534696</v>
      </c>
      <c r="K7450" s="6" t="n">
        <f aca="false">Sens!K7428</f>
        <v>12.2355875522124</v>
      </c>
    </row>
    <row r="7451" customFormat="false" ht="15" hidden="false" customHeight="false" outlineLevel="0" collapsed="false">
      <c r="A7451" s="0" t="s">
        <v>626</v>
      </c>
      <c r="B7451" s="0" t="s">
        <v>95</v>
      </c>
      <c r="D7451" s="6" t="n">
        <f aca="false">Sens!D7430</f>
        <v>218.783</v>
      </c>
      <c r="E7451" s="6" t="n">
        <f aca="false">Sens!E7430</f>
        <v>268.127</v>
      </c>
      <c r="F7451" s="6" t="n">
        <f aca="false">Sens!F7430</f>
        <v>339.433940907051</v>
      </c>
      <c r="G7451" s="6" t="n">
        <f aca="false">Sens!G7430</f>
        <v>424.490670881892</v>
      </c>
      <c r="H7451" s="6" t="n">
        <f aca="false">Sens!H7430</f>
        <v>515.646275281385</v>
      </c>
      <c r="I7451" s="6" t="n">
        <f aca="false">Sens!I7430</f>
        <v>597.93444694442</v>
      </c>
      <c r="J7451" s="6" t="n">
        <f aca="false">Sens!J7430</f>
        <v>675.905670910223</v>
      </c>
      <c r="K7451" s="6" t="n">
        <f aca="false">Sens!K7430</f>
        <v>750.407304875998</v>
      </c>
    </row>
    <row r="7452" customFormat="false" ht="15" hidden="false" customHeight="false" outlineLevel="0" collapsed="false">
      <c r="A7452" s="0" t="s">
        <v>792</v>
      </c>
      <c r="B7452" s="0" t="s">
        <v>95</v>
      </c>
      <c r="D7452" s="6" t="n">
        <f aca="false">Sens!D7431</f>
        <v>22.171</v>
      </c>
      <c r="E7452" s="6" t="n">
        <f aca="false">Sens!E7431</f>
        <v>24.835</v>
      </c>
      <c r="F7452" s="6" t="n">
        <f aca="false">Sens!F7431</f>
        <v>27.4873151218559</v>
      </c>
      <c r="G7452" s="6" t="n">
        <f aca="false">Sens!G7431</f>
        <v>30.0556741721455</v>
      </c>
      <c r="H7452" s="6" t="n">
        <f aca="false">Sens!H7431</f>
        <v>32.4624869022303</v>
      </c>
      <c r="I7452" s="6" t="n">
        <f aca="false">Sens!I7431</f>
        <v>34.6283511524715</v>
      </c>
      <c r="J7452" s="6" t="n">
        <f aca="false">Sens!J7431</f>
        <v>36.476102435307</v>
      </c>
      <c r="K7452" s="6" t="n">
        <f aca="false">Sens!K7431</f>
        <v>37.9351465327193</v>
      </c>
    </row>
    <row r="7453" customFormat="false" ht="15" hidden="false" customHeight="false" outlineLevel="0" collapsed="false">
      <c r="A7453" s="0" t="s">
        <v>793</v>
      </c>
      <c r="B7453" s="0" t="s">
        <v>95</v>
      </c>
      <c r="D7453" s="6" t="n">
        <f aca="false">Sens!D7433</f>
        <v>23.455</v>
      </c>
      <c r="E7453" s="6" t="n">
        <f aca="false">Sens!E7433</f>
        <v>21.79</v>
      </c>
      <c r="F7453" s="6" t="n">
        <f aca="false">Sens!F7433</f>
        <v>20.5736277908051</v>
      </c>
      <c r="G7453" s="6" t="n">
        <f aca="false">Sens!G7433</f>
        <v>19.7371452817919</v>
      </c>
      <c r="H7453" s="6" t="n">
        <f aca="false">Sens!H7433</f>
        <v>19.2339764043138</v>
      </c>
      <c r="I7453" s="6" t="n">
        <f aca="false">Sens!I7433</f>
        <v>19.0353086852681</v>
      </c>
      <c r="J7453" s="6" t="n">
        <f aca="false">Sens!J7433</f>
        <v>19.1273539319129</v>
      </c>
      <c r="K7453" s="6" t="n">
        <f aca="false">Sens!K7433</f>
        <v>19.5099010105511</v>
      </c>
    </row>
    <row r="7454" customFormat="false" ht="15" hidden="false" customHeight="false" outlineLevel="0" collapsed="false">
      <c r="A7454" s="0" t="s">
        <v>794</v>
      </c>
      <c r="B7454" s="0" t="s">
        <v>95</v>
      </c>
      <c r="D7454" s="6" t="n">
        <f aca="false">Sens!D7435</f>
        <v>17.315</v>
      </c>
      <c r="E7454" s="6" t="n">
        <f aca="false">Sens!E7435</f>
        <v>17.087</v>
      </c>
      <c r="F7454" s="6" t="n">
        <f aca="false">Sens!F7435</f>
        <v>16.9564585436519</v>
      </c>
      <c r="G7454" s="6" t="n">
        <f aca="false">Sens!G7435</f>
        <v>16.9206490624268</v>
      </c>
      <c r="H7454" s="6" t="n">
        <f aca="false">Sens!H7435</f>
        <v>16.9784519149849</v>
      </c>
      <c r="I7454" s="6" t="n">
        <f aca="false">Sens!I7435</f>
        <v>17.1303084701817</v>
      </c>
      <c r="J7454" s="6" t="n">
        <f aca="false">Sens!J7435</f>
        <v>17.3782189407267</v>
      </c>
      <c r="K7454" s="6" t="n">
        <f aca="false">Sens!K7435</f>
        <v>17.7257833195413</v>
      </c>
    </row>
    <row r="7455" customFormat="false" ht="15" hidden="false" customHeight="false" outlineLevel="0" collapsed="false">
      <c r="A7455" s="0" t="s">
        <v>640</v>
      </c>
      <c r="B7455" s="0" t="s">
        <v>95</v>
      </c>
      <c r="D7455" s="6" t="n">
        <f aca="false">Sens!D7437</f>
        <v>62.941</v>
      </c>
      <c r="E7455" s="6" t="n">
        <f aca="false">Sens!E7437</f>
        <v>63.712</v>
      </c>
      <c r="F7455" s="6" t="n">
        <f aca="false">Sens!F7437</f>
        <v>65.0174014563129</v>
      </c>
      <c r="G7455" s="6" t="n">
        <f aca="false">Sens!G7437</f>
        <v>66.7134685163642</v>
      </c>
      <c r="H7455" s="6" t="n">
        <f aca="false">Sens!H7437</f>
        <v>68.6749152215291</v>
      </c>
      <c r="I7455" s="6" t="n">
        <f aca="false">Sens!I7437</f>
        <v>70.7939683079213</v>
      </c>
      <c r="J7455" s="6" t="n">
        <f aca="false">Sens!J7437</f>
        <v>72.9816753079466</v>
      </c>
      <c r="K7455" s="6" t="n">
        <f aca="false">Sens!K7437</f>
        <v>75.1708308628117</v>
      </c>
    </row>
    <row r="7456" customFormat="false" ht="15" hidden="false" customHeight="false" outlineLevel="0" collapsed="false">
      <c r="A7456" s="1" t="s">
        <v>810</v>
      </c>
      <c r="B7456" s="0" t="s">
        <v>95</v>
      </c>
      <c r="D7456" s="6" t="n">
        <f aca="false">Sens!D7438</f>
        <v>281.724</v>
      </c>
      <c r="E7456" s="6" t="n">
        <f aca="false">Sens!E7438</f>
        <v>331.839</v>
      </c>
      <c r="F7456" s="6" t="n">
        <f aca="false">Sens!F7438</f>
        <v>404.451342363364</v>
      </c>
      <c r="G7456" s="6" t="n">
        <f aca="false">Sens!G7438</f>
        <v>491.204139398256</v>
      </c>
      <c r="H7456" s="6" t="n">
        <f aca="false">Sens!H7438</f>
        <v>584.321190502914</v>
      </c>
      <c r="I7456" s="6" t="n">
        <f aca="false">Sens!I7438</f>
        <v>668.728415252341</v>
      </c>
      <c r="J7456" s="6" t="n">
        <f aca="false">Sens!J7438</f>
        <v>748.887346218169</v>
      </c>
      <c r="K7456" s="6" t="n">
        <f aca="false">Sens!K7438</f>
        <v>825.578135738809</v>
      </c>
    </row>
    <row r="7457" customFormat="false" ht="15" hidden="false" customHeight="false" outlineLevel="0" collapsed="false">
      <c r="A7457" s="1" t="s">
        <v>811</v>
      </c>
      <c r="B7457" s="0" t="s">
        <v>126</v>
      </c>
      <c r="E7457" s="7" t="n">
        <f aca="false">Sens!E7456/Sens!D7456-1</f>
        <v>0.177886867998467</v>
      </c>
      <c r="F7457" s="7" t="n">
        <f aca="false">Sens!F7456/Sens!E7456-1</f>
        <v>0.218817988130882</v>
      </c>
      <c r="G7457" s="7" t="n">
        <f aca="false">Sens!G7456/Sens!F7456-1</f>
        <v>0.21449501571181</v>
      </c>
      <c r="H7457" s="7" t="n">
        <f aca="false">Sens!H7456/Sens!G7456-1</f>
        <v>0.189568946260774</v>
      </c>
      <c r="I7457" s="7" t="n">
        <f aca="false">Sens!I7456/Sens!H7456-1</f>
        <v>0.14445347203099</v>
      </c>
      <c r="J7457" s="7" t="n">
        <f aca="false">Sens!J7456/Sens!I7456-1</f>
        <v>0.119867690885515</v>
      </c>
      <c r="K7457" s="7" t="n">
        <f aca="false">Sens!K7456/Sens!J7456-1</f>
        <v>0.102406309717908</v>
      </c>
    </row>
    <row r="7458" customFormat="false" ht="17.15" hidden="false" customHeight="false" outlineLevel="0" collapsed="false">
      <c r="A7458" s="22" t="s">
        <v>812</v>
      </c>
      <c r="B7458" s="28" t="s">
        <v>95</v>
      </c>
      <c r="C7458" s="28"/>
      <c r="D7458" s="23" t="n">
        <f aca="false">(Sens!D7451+Sens!D7455-Sens!D7456)+(Sens!D7443+Sens!D7444-Sens!D7442)+(Sens!D7446+Sens!D7447-Sens!D7445)+(Sens!D7456-Q!L18)</f>
        <v>0</v>
      </c>
      <c r="E7458" s="23" t="n">
        <f aca="false">(Sens!E7451+Sens!E7455-Sens!E7456)+(Sens!E7443+Sens!E7444-Sens!E7442)+(Sens!E7446+Sens!E7447-Sens!E7445)+(Sens!E7456-Q!M18)</f>
        <v>0</v>
      </c>
      <c r="F7458" s="23" t="n">
        <f aca="false">(Sens!F7451+Sens!F7455-Sens!F7456)+(Sens!F7443+Sens!F7444-Sens!F7442)+(Sens!F7446+Sens!F7447-Sens!F7445)</f>
        <v>0</v>
      </c>
      <c r="G7458" s="23" t="n">
        <f aca="false">(Sens!G7451+Sens!G7455-Sens!G7456)+(Sens!G7443+Sens!G7444-Sens!G7442)+(Sens!G7446+Sens!G7447-Sens!G7445)</f>
        <v>0</v>
      </c>
      <c r="H7458" s="23" t="n">
        <f aca="false">(Sens!H7451+Sens!H7455-Sens!H7456)+(Sens!H7443+Sens!H7444-Sens!H7442)+(Sens!H7446+Sens!H7447-Sens!H7445)</f>
        <v>0</v>
      </c>
      <c r="I7458" s="23" t="n">
        <f aca="false">(Sens!I7451+Sens!I7455-Sens!I7456)+(Sens!I7443+Sens!I7444-Sens!I7442)+(Sens!I7446+Sens!I7447-Sens!I7445)</f>
        <v>0</v>
      </c>
      <c r="J7458" s="23" t="n">
        <f aca="false">(Sens!J7451+Sens!J7455-Sens!J7456)+(Sens!J7443+Sens!J7444-Sens!J7442)+(Sens!J7446+Sens!J7447-Sens!J7445)</f>
        <v>0</v>
      </c>
      <c r="K7458" s="23" t="n">
        <f aca="false">(Sens!K7451+Sens!K7455-Sens!K7456)+(Sens!K7443+Sens!K7444-Sens!K7442)+(Sens!K7446+Sens!K7447-Sens!K7445)</f>
        <v>0</v>
      </c>
    </row>
    <row r="7459" customFormat="false" ht="17.15" hidden="false" customHeight="false" outlineLevel="0" collapsed="false">
      <c r="A7459" s="0" t="s">
        <v>813</v>
      </c>
      <c r="B7459" s="0" t="s">
        <v>126</v>
      </c>
      <c r="E7459" s="7" t="n">
        <f aca="false">(Q!M21+Sens!E7396+Sens!E7397+Sens!E7398+Sens!E7411-Sens!E7394)/(Q!M5-Sens!E7394)</f>
        <v>0.570957350878296</v>
      </c>
      <c r="F7459" s="7" t="n">
        <f aca="false">Sens!$E$7459+dm_seg</f>
        <v>0.570957350878296</v>
      </c>
      <c r="G7459" s="7" t="n">
        <f aca="false">Sens!$E$7459+dm_seg</f>
        <v>0.570957350878296</v>
      </c>
      <c r="H7459" s="7" t="n">
        <f aca="false">Sens!$E$7459+dm_seg</f>
        <v>0.570957350878296</v>
      </c>
      <c r="I7459" s="7" t="n">
        <f aca="false">Sens!$E$7459+dm_seg</f>
        <v>0.570957350878296</v>
      </c>
      <c r="J7459" s="7" t="n">
        <f aca="false">Sens!$E$7459+dm_seg</f>
        <v>0.570957350878296</v>
      </c>
      <c r="K7459" s="7" t="n">
        <f aca="false">Sens!$E$7459+dm_seg</f>
        <v>0.570957350878296</v>
      </c>
      <c r="L7459" s="11" t="s">
        <v>814</v>
      </c>
    </row>
    <row r="7460" customFormat="false" ht="17.15" hidden="false" customHeight="false" outlineLevel="0" collapsed="false">
      <c r="A7460" s="0" t="s">
        <v>654</v>
      </c>
      <c r="B7460" s="0" t="s">
        <v>95</v>
      </c>
      <c r="D7460" s="6" t="n">
        <f aca="false">Q!L21</f>
        <v>110.814</v>
      </c>
      <c r="E7460" s="6" t="n">
        <f aca="false">Q!M21</f>
        <v>136.365</v>
      </c>
      <c r="F7460" s="6" t="n">
        <f aca="false">Sens!F7459*(Sens!F7430-Sens!F7394)+Sens!F7394-(Sens!F7396+Sens!F7397+Sens!F7398)-Sens!F7411</f>
        <v>162.134656768973</v>
      </c>
      <c r="G7460" s="6" t="n">
        <f aca="false">Sens!G7459*(Sens!G7430-Sens!G7394)+Sens!G7394-(Sens!G7396+Sens!G7397+Sens!G7398)-Sens!G7411</f>
        <v>191.691924601031</v>
      </c>
      <c r="H7460" s="6" t="n">
        <f aca="false">Sens!H7459*(Sens!H7430-Sens!H7394)+Sens!H7394-(Sens!H7396+Sens!H7397+Sens!H7398)-Sens!H7411</f>
        <v>226.078058330906</v>
      </c>
      <c r="I7460" s="6" t="n">
        <f aca="false">Sens!I7459*(Sens!I7430-Sens!I7394)+Sens!I7394-(Sens!I7396+Sens!I7397+Sens!I7398)-Sens!I7411</f>
        <v>251.878703232037</v>
      </c>
      <c r="J7460" s="6" t="n">
        <f aca="false">Sens!J7459*(Sens!J7430-Sens!J7394)+Sens!J7394-(Sens!J7396+Sens!J7397+Sens!J7398)-Sens!J7411</f>
        <v>274.270293186915</v>
      </c>
      <c r="K7460" s="6" t="n">
        <f aca="false">Sens!K7459*(Sens!K7430-Sens!K7394)+Sens!K7394-(Sens!K7396+Sens!K7397+Sens!K7398)-Sens!K7411</f>
        <v>293.409799316901</v>
      </c>
      <c r="L7460" s="1" t="s">
        <v>815</v>
      </c>
    </row>
    <row r="7461" customFormat="false" ht="17.15" hidden="false" customHeight="false" outlineLevel="0" collapsed="false">
      <c r="A7461" s="0" t="s">
        <v>816</v>
      </c>
      <c r="B7461" s="0" t="s">
        <v>126</v>
      </c>
      <c r="E7461" s="7" t="n">
        <f aca="false">Q!M22/Q!M12</f>
        <v>0.296207935710698</v>
      </c>
      <c r="F7461" s="7" t="n">
        <f aca="false">Sens!$E$7461+dm_seg</f>
        <v>0.296207935710698</v>
      </c>
      <c r="G7461" s="7" t="n">
        <f aca="false">Sens!$E$7461+dm_seg</f>
        <v>0.296207935710698</v>
      </c>
      <c r="H7461" s="7" t="n">
        <f aca="false">Sens!$E$7461+dm_seg</f>
        <v>0.296207935710698</v>
      </c>
      <c r="I7461" s="7" t="n">
        <f aca="false">Sens!$E$7461+dm_seg</f>
        <v>0.296207935710698</v>
      </c>
      <c r="J7461" s="7" t="n">
        <f aca="false">Sens!$E$7461+dm_seg</f>
        <v>0.296207935710698</v>
      </c>
      <c r="K7461" s="7" t="n">
        <f aca="false">Sens!$E$7461+dm_seg</f>
        <v>0.296207935710698</v>
      </c>
      <c r="L7461" s="11" t="s">
        <v>817</v>
      </c>
    </row>
    <row r="7462" customFormat="false" ht="17.15" hidden="false" customHeight="false" outlineLevel="0" collapsed="false">
      <c r="A7462" s="0" t="s">
        <v>656</v>
      </c>
      <c r="B7462" s="0" t="s">
        <v>95</v>
      </c>
      <c r="D7462" s="6" t="n">
        <f aca="false">Q!L22</f>
        <v>17.714</v>
      </c>
      <c r="E7462" s="6" t="n">
        <f aca="false">Q!M22</f>
        <v>18.872</v>
      </c>
      <c r="F7462" s="6" t="n">
        <f aca="false">Sens!F7437*Sens!F7461</f>
        <v>19.2586702706482</v>
      </c>
      <c r="G7462" s="6" t="n">
        <f aca="false">Sens!G7437*Sens!G7461</f>
        <v>19.7610587933329</v>
      </c>
      <c r="H7462" s="6" t="n">
        <f aca="false">Sens!H7437*Sens!H7461</f>
        <v>20.3420548728763</v>
      </c>
      <c r="I7462" s="6" t="n">
        <f aca="false">Sens!I7437*Sens!I7461</f>
        <v>20.969735213258</v>
      </c>
      <c r="J7462" s="6" t="n">
        <f aca="false">Sens!J7437*Sens!J7461</f>
        <v>21.6177513876753</v>
      </c>
      <c r="K7462" s="6" t="n">
        <f aca="false">Sens!K7437*Sens!K7461</f>
        <v>22.2661966355315</v>
      </c>
    </row>
    <row r="7463" customFormat="false" ht="15" hidden="false" customHeight="false" outlineLevel="0" collapsed="false">
      <c r="A7463" s="1" t="s">
        <v>818</v>
      </c>
      <c r="B7463" s="0" t="s">
        <v>95</v>
      </c>
      <c r="D7463" s="6" t="n">
        <f aca="false">Sens!D7460+Sens!D7462</f>
        <v>128.528</v>
      </c>
      <c r="E7463" s="6" t="n">
        <f aca="false">Sens!E7460+Sens!E7462</f>
        <v>155.237</v>
      </c>
      <c r="F7463" s="6" t="n">
        <f aca="false">Sens!F7460+Sens!F7462</f>
        <v>181.393327039621</v>
      </c>
      <c r="G7463" s="6" t="n">
        <f aca="false">Sens!G7460+Sens!G7462</f>
        <v>211.452983394364</v>
      </c>
      <c r="H7463" s="6" t="n">
        <f aca="false">Sens!H7460+Sens!H7462</f>
        <v>246.420113203783</v>
      </c>
      <c r="I7463" s="6" t="n">
        <f aca="false">Sens!I7460+Sens!I7462</f>
        <v>272.848438445295</v>
      </c>
      <c r="J7463" s="6" t="n">
        <f aca="false">Sens!J7460+Sens!J7462</f>
        <v>295.88804457459</v>
      </c>
      <c r="K7463" s="6" t="n">
        <f aca="false">Sens!K7460+Sens!K7462</f>
        <v>315.675995952433</v>
      </c>
    </row>
    <row r="7464" customFormat="false" ht="15" hidden="false" customHeight="false" outlineLevel="0" collapsed="false">
      <c r="A7464" s="22" t="s">
        <v>819</v>
      </c>
      <c r="B7464" s="28" t="s">
        <v>95</v>
      </c>
      <c r="C7464" s="28"/>
      <c r="D7464" s="23" t="n">
        <f aca="false">Sens!D7463-Q!L23</f>
        <v>0</v>
      </c>
      <c r="E7464" s="23" t="n">
        <f aca="false">Sens!E7463-Q!M23</f>
        <v>0</v>
      </c>
      <c r="F7464" s="28"/>
      <c r="G7464" s="28"/>
      <c r="H7464" s="28"/>
      <c r="I7464" s="28"/>
      <c r="J7464" s="28"/>
      <c r="K7464" s="28"/>
    </row>
    <row r="7465" customFormat="false" ht="15" hidden="false" customHeight="false" outlineLevel="0" collapsed="false">
      <c r="A7465" s="1" t="s">
        <v>820</v>
      </c>
      <c r="B7465" s="0" t="s">
        <v>126</v>
      </c>
      <c r="D7465" s="7" t="n">
        <f aca="false">Sens!D7463/Sens!D7456</f>
        <v>0.456219562408598</v>
      </c>
      <c r="E7465" s="7" t="n">
        <f aca="false">Sens!E7463/Sens!E7456</f>
        <v>0.467808184089272</v>
      </c>
      <c r="F7465" s="7" t="n">
        <f aca="false">Sens!F7463/Sens!F7456</f>
        <v>0.448492335269976</v>
      </c>
      <c r="G7465" s="7" t="n">
        <f aca="false">Sens!G7463/Sens!G7456</f>
        <v>0.43047883035636</v>
      </c>
      <c r="H7465" s="7" t="n">
        <f aca="false">Sens!H7463/Sens!H7456</f>
        <v>0.421720309324557</v>
      </c>
      <c r="I7465" s="7" t="n">
        <f aca="false">Sens!I7463/Sens!I7456</f>
        <v>0.408010834027947</v>
      </c>
      <c r="J7465" s="7" t="n">
        <f aca="false">Sens!J7463/Sens!J7456</f>
        <v>0.395103544036102</v>
      </c>
      <c r="K7465" s="7" t="n">
        <f aca="false">Sens!K7463/Sens!K7456</f>
        <v>0.382369617468048</v>
      </c>
    </row>
    <row r="7466" customFormat="false" ht="17.15" hidden="false" customHeight="false" outlineLevel="0" collapsed="false">
      <c r="A7466" s="1" t="s">
        <v>821</v>
      </c>
      <c r="B7466" s="0" t="s">
        <v>95</v>
      </c>
      <c r="E7466" s="6" t="n">
        <f aca="false">Sens!E7411</f>
        <v>16.3054059770833</v>
      </c>
      <c r="F7466" s="6" t="n">
        <f aca="false">Sens!F7411</f>
        <v>34.7288632892031</v>
      </c>
      <c r="G7466" s="6" t="n">
        <f aca="false">Sens!G7411</f>
        <v>60.4833889270063</v>
      </c>
      <c r="H7466" s="6" t="n">
        <f aca="false">Sens!H7411</f>
        <v>87.7189716598062</v>
      </c>
      <c r="I7466" s="6" t="n">
        <f aca="false">Sens!I7411</f>
        <v>115.97383740779</v>
      </c>
      <c r="J7466" s="6" t="n">
        <f aca="false">Sens!J7411</f>
        <v>145.20093362494</v>
      </c>
      <c r="K7466" s="6" t="n">
        <f aca="false">Sens!K7411</f>
        <v>175.715578301256</v>
      </c>
    </row>
    <row r="7467" customFormat="false" ht="17.15" hidden="false" customHeight="false" outlineLevel="0" collapsed="false">
      <c r="A7467" s="1" t="s">
        <v>822</v>
      </c>
      <c r="B7467" s="0" t="s">
        <v>95</v>
      </c>
      <c r="E7467" s="6" t="n">
        <f aca="false">Sens!E7487</f>
        <v>22.2285940229167</v>
      </c>
      <c r="F7467" s="6" t="n">
        <f aca="false">Sens!F7487</f>
        <v>23.5776759435812</v>
      </c>
      <c r="G7467" s="6" t="n">
        <f aca="false">Sens!G7487</f>
        <v>25.3769025657684</v>
      </c>
      <c r="H7467" s="6" t="n">
        <f aca="false">Sens!H7487</f>
        <v>27.5881485552537</v>
      </c>
      <c r="I7467" s="6" t="n">
        <f aca="false">Sens!I7487</f>
        <v>30.1336389268856</v>
      </c>
      <c r="J7467" s="6" t="n">
        <f aca="false">Sens!J7487</f>
        <v>32.9198844843551</v>
      </c>
      <c r="K7467" s="6" t="n">
        <f aca="false">Sens!K7487</f>
        <v>35.8610614394137</v>
      </c>
    </row>
    <row r="7468" customFormat="false" ht="17.15" hidden="false" customHeight="false" outlineLevel="0" collapsed="false">
      <c r="A7468" s="1" t="s">
        <v>823</v>
      </c>
      <c r="B7468" s="0" t="s">
        <v>95</v>
      </c>
      <c r="D7468" s="6" t="n">
        <f aca="false">Q!L27</f>
        <v>-4.901</v>
      </c>
      <c r="E7468" s="6" t="n">
        <f aca="false">Q!M27</f>
        <v>10.697</v>
      </c>
      <c r="F7468" s="6" t="n">
        <f aca="false">oie_f</f>
        <v>-0.4</v>
      </c>
      <c r="G7468" s="6" t="n">
        <f aca="false">oie_f</f>
        <v>-0.4</v>
      </c>
      <c r="H7468" s="6" t="n">
        <f aca="false">oie_f</f>
        <v>-0.4</v>
      </c>
      <c r="I7468" s="6" t="n">
        <f aca="false">oie_f</f>
        <v>-0.4</v>
      </c>
      <c r="J7468" s="6" t="n">
        <f aca="false">oie_f</f>
        <v>-0.4</v>
      </c>
      <c r="K7468" s="6" t="n">
        <f aca="false">oie_f</f>
        <v>-0.4</v>
      </c>
      <c r="L7468" s="11" t="s">
        <v>824</v>
      </c>
    </row>
    <row r="7469" customFormat="false" ht="15" hidden="false" customHeight="false" outlineLevel="0" collapsed="false">
      <c r="A7469" s="1" t="s">
        <v>666</v>
      </c>
      <c r="B7469" s="0" t="s">
        <v>95</v>
      </c>
      <c r="D7469" s="6" t="n">
        <f aca="false">Sens!D7463+Sens!D7468</f>
        <v>123.627</v>
      </c>
      <c r="E7469" s="6" t="n">
        <f aca="false">Sens!E7463+Sens!E7468</f>
        <v>165.934</v>
      </c>
      <c r="F7469" s="6" t="n">
        <f aca="false">Sens!F7463+Sens!F7468</f>
        <v>180.993327039621</v>
      </c>
      <c r="G7469" s="6" t="n">
        <f aca="false">Sens!G7463+Sens!G7468</f>
        <v>211.052983394364</v>
      </c>
      <c r="H7469" s="6" t="n">
        <f aca="false">Sens!H7463+Sens!H7468</f>
        <v>246.020113203783</v>
      </c>
      <c r="I7469" s="6" t="n">
        <f aca="false">Sens!I7463+Sens!I7468</f>
        <v>272.448438445295</v>
      </c>
      <c r="J7469" s="6" t="n">
        <f aca="false">Sens!J7463+Sens!J7468</f>
        <v>295.48804457459</v>
      </c>
      <c r="K7469" s="6" t="n">
        <f aca="false">Sens!K7463+Sens!K7468</f>
        <v>315.275995952433</v>
      </c>
    </row>
    <row r="7470" customFormat="false" ht="15" hidden="false" customHeight="false" outlineLevel="0" collapsed="false">
      <c r="A7470" s="1" t="s">
        <v>668</v>
      </c>
      <c r="B7470" s="0" t="s">
        <v>95</v>
      </c>
      <c r="D7470" s="6" t="n">
        <f aca="false">Q!L29</f>
        <v>21.795</v>
      </c>
      <c r="E7470" s="6" t="n">
        <f aca="false">Q!M29</f>
        <v>32.185</v>
      </c>
      <c r="F7470" s="6" t="n">
        <f aca="false">Sens!F7469*tax_f</f>
        <v>36.1986654079243</v>
      </c>
      <c r="G7470" s="6" t="n">
        <f aca="false">Sens!G7469*tax_f</f>
        <v>42.2105966788728</v>
      </c>
      <c r="H7470" s="6" t="n">
        <f aca="false">Sens!H7469*tax_f</f>
        <v>49.2040226407565</v>
      </c>
      <c r="I7470" s="6" t="n">
        <f aca="false">Sens!I7469*tax_f</f>
        <v>54.4896876890591</v>
      </c>
      <c r="J7470" s="6" t="n">
        <f aca="false">Sens!J7469*tax_f</f>
        <v>59.097608914918</v>
      </c>
      <c r="K7470" s="6" t="n">
        <f aca="false">Sens!K7469*tax_f</f>
        <v>63.0551991904866</v>
      </c>
    </row>
    <row r="7471" customFormat="false" ht="15" hidden="false" customHeight="false" outlineLevel="0" collapsed="false">
      <c r="A7471" s="1" t="s">
        <v>825</v>
      </c>
      <c r="B7471" s="0" t="s">
        <v>95</v>
      </c>
      <c r="D7471" s="6" t="n">
        <f aca="false">Sens!D7469-Sens!D7470</f>
        <v>101.832</v>
      </c>
      <c r="E7471" s="6" t="n">
        <f aca="false">Sens!E7469-Sens!E7470</f>
        <v>133.749</v>
      </c>
      <c r="F7471" s="6" t="n">
        <f aca="false">Sens!F7469-Sens!F7470</f>
        <v>144.794661631697</v>
      </c>
      <c r="G7471" s="6" t="n">
        <f aca="false">Sens!G7469-Sens!G7470</f>
        <v>168.842386715491</v>
      </c>
      <c r="H7471" s="6" t="n">
        <f aca="false">Sens!H7469-Sens!H7470</f>
        <v>196.816090563026</v>
      </c>
      <c r="I7471" s="6" t="n">
        <f aca="false">Sens!I7469-Sens!I7470</f>
        <v>217.958750756236</v>
      </c>
      <c r="J7471" s="6" t="n">
        <f aca="false">Sens!J7469-Sens!J7470</f>
        <v>236.390435659672</v>
      </c>
      <c r="K7471" s="6" t="n">
        <f aca="false">Sens!K7469-Sens!K7470</f>
        <v>252.220796761946</v>
      </c>
    </row>
    <row r="7472" customFormat="false" ht="17.15" hidden="false" customHeight="false" outlineLevel="0" collapsed="false">
      <c r="A7472" s="1" t="s">
        <v>826</v>
      </c>
      <c r="B7472" s="1" t="s">
        <v>79</v>
      </c>
      <c r="D7472" s="18" t="n">
        <f aca="false">Q!L31</f>
        <v>7.465</v>
      </c>
      <c r="E7472" s="18" t="n">
        <f aca="false">Q!M31</f>
        <v>7.453</v>
      </c>
      <c r="F7472" s="18" t="n">
        <f aca="false">Sens!F7509</f>
        <v>7.4735</v>
      </c>
      <c r="G7472" s="18" t="n">
        <f aca="false">Sens!G7509</f>
        <v>7.50815361080894</v>
      </c>
      <c r="H7472" s="18" t="n">
        <f aca="false">Sens!H7509</f>
        <v>7.52555880746784</v>
      </c>
      <c r="I7472" s="18" t="n">
        <f aca="false">Sens!I7509</f>
        <v>7.53733963947515</v>
      </c>
      <c r="J7472" s="18" t="n">
        <f aca="false">Sens!J7509</f>
        <v>7.55158115059303</v>
      </c>
      <c r="K7472" s="18" t="n">
        <f aca="false">Sens!K7509</f>
        <v>7.56810106829477</v>
      </c>
    </row>
    <row r="7473" customFormat="false" ht="17.15" hidden="false" customHeight="false" outlineLevel="0" collapsed="false">
      <c r="A7473" s="0" t="s">
        <v>827</v>
      </c>
      <c r="B7473" s="0" t="s">
        <v>73</v>
      </c>
      <c r="D7473" s="8" t="n">
        <f aca="false">Sens!D7471/Sens!D7472</f>
        <v>13.641259209645</v>
      </c>
      <c r="E7473" s="8" t="n">
        <f aca="false">Sens!E7471/Sens!E7472</f>
        <v>17.9456594659869</v>
      </c>
      <c r="F7473" s="8" t="n">
        <f aca="false">Sens!F7471/Sens!F7472</f>
        <v>19.37441113691</v>
      </c>
      <c r="G7473" s="8" t="n">
        <f aca="false">Sens!G7471/Sens!G7472</f>
        <v>22.4878705827783</v>
      </c>
      <c r="H7473" s="8" t="n">
        <f aca="false">Sens!H7471/Sens!H7472</f>
        <v>26.1530200744322</v>
      </c>
      <c r="I7473" s="8" t="n">
        <f aca="false">Sens!I7471/Sens!I7472</f>
        <v>28.9171990624816</v>
      </c>
      <c r="J7473" s="8" t="n">
        <f aca="false">Sens!J7471/Sens!J7472</f>
        <v>31.303435789882</v>
      </c>
      <c r="K7473" s="8" t="n">
        <f aca="false">Sens!K7471/Sens!K7472</f>
        <v>33.3268272299614</v>
      </c>
      <c r="L7473" s="1" t="s">
        <v>828</v>
      </c>
    </row>
    <row r="7474" customFormat="false" ht="17.15" hidden="false" customHeight="false" outlineLevel="0" collapsed="false">
      <c r="A7474" s="0" t="s">
        <v>829</v>
      </c>
      <c r="B7474" s="0" t="s">
        <v>126</v>
      </c>
      <c r="E7474" s="7" t="n">
        <f aca="false">Sens!E7473/Sens!D7473-1</f>
        <v>0.315542736208578</v>
      </c>
      <c r="F7474" s="7" t="n">
        <f aca="false">Sens!F7473/Sens!E7473-1</f>
        <v>0.0796154453744737</v>
      </c>
      <c r="G7474" s="7" t="n">
        <f aca="false">Sens!G7473/Sens!F7473-1</f>
        <v>0.160699565208299</v>
      </c>
      <c r="H7474" s="7" t="n">
        <f aca="false">Sens!H7473/Sens!G7473-1</f>
        <v>0.162983394900035</v>
      </c>
      <c r="I7474" s="7" t="n">
        <f aca="false">Sens!I7473/Sens!H7473-1</f>
        <v>0.10569253494176</v>
      </c>
      <c r="J7474" s="7" t="n">
        <f aca="false">Sens!J7473/Sens!I7473-1</f>
        <v>0.0825196355374671</v>
      </c>
      <c r="K7474" s="7" t="n">
        <f aca="false">Sens!K7473/Sens!J7473-1</f>
        <v>0.0646379986420991</v>
      </c>
    </row>
    <row r="7475" customFormat="false" ht="17.15" hidden="false" customHeight="false" outlineLevel="0" collapsed="false">
      <c r="A7475" s="0" t="s">
        <v>763</v>
      </c>
      <c r="B7475" s="0" t="s">
        <v>95</v>
      </c>
      <c r="E7475" s="6" t="n">
        <f aca="false">Sens!E7420</f>
        <v>5.25</v>
      </c>
      <c r="F7475" s="6" t="n">
        <f aca="false">Sens!F7420</f>
        <v>13.5</v>
      </c>
      <c r="G7475" s="6" t="n">
        <f aca="false">Sens!G7420</f>
        <v>22.5</v>
      </c>
      <c r="H7475" s="6" t="n">
        <f aca="false">Sens!H7420</f>
        <v>31.5</v>
      </c>
      <c r="I7475" s="6" t="n">
        <f aca="false">Sens!I7420</f>
        <v>38.25</v>
      </c>
      <c r="J7475" s="6" t="n">
        <f aca="false">Sens!J7420</f>
        <v>42.75</v>
      </c>
      <c r="K7475" s="6" t="n">
        <f aca="false">Sens!K7420</f>
        <v>47.25</v>
      </c>
    </row>
    <row r="7476" customFormat="false" ht="17.15" hidden="false" customHeight="false" outlineLevel="0" collapsed="false">
      <c r="A7476" s="0" t="s">
        <v>764</v>
      </c>
      <c r="B7476" s="0" t="s">
        <v>95</v>
      </c>
      <c r="E7476" s="6" t="n">
        <f aca="false">Sens!E7400+Sens!E7475*Sens!E7459-Sens!E7401-Sens!E7411</f>
        <v>2.1514866143068</v>
      </c>
      <c r="F7476" s="6" t="n">
        <f aca="false">Sens!F7400+Sens!F7475*Sens!F7459-Sens!F7401-Sens!F7411</f>
        <v>9.57398380188121</v>
      </c>
      <c r="G7476" s="6" t="n">
        <f aca="false">Sens!G7400+Sens!G7475*Sens!G7459-Sens!G7401-Sens!G7411</f>
        <v>20.0498226734955</v>
      </c>
      <c r="H7476" s="6" t="n">
        <f aca="false">Sens!H7400+Sens!H7475*Sens!H7459-Sens!H7401-Sens!H7411</f>
        <v>35.172378652069</v>
      </c>
      <c r="I7476" s="6" t="n">
        <f aca="false">Sens!I7400+Sens!I7475*Sens!I7459-Sens!I7401-Sens!I7411</f>
        <v>42.1974381578583</v>
      </c>
      <c r="J7476" s="6" t="n">
        <f aca="false">Sens!J7400+Sens!J7475*Sens!J7459-Sens!J7401-Sens!J7411</f>
        <v>47.0522403383769</v>
      </c>
      <c r="K7476" s="6" t="n">
        <f aca="false">Sens!K7400+Sens!K7475*Sens!K7459-Sens!K7401-Sens!K7411</f>
        <v>50.6704526654797</v>
      </c>
    </row>
    <row r="7477" customFormat="false" ht="17.15" hidden="false" customHeight="false" outlineLevel="0" collapsed="false">
      <c r="A7477" s="0" t="s">
        <v>765</v>
      </c>
      <c r="B7477" s="0" t="s">
        <v>95</v>
      </c>
      <c r="E7477" s="6" t="n">
        <f aca="false">Sens!E7383*(cxit_open+self_build*tk_cxfac)/1000*ai_net_open</f>
        <v>126.6980382</v>
      </c>
      <c r="F7477" s="6" t="n">
        <f aca="false">Sens!E7477+Sens!F7408-Sens!F7411</f>
        <v>260.449761681234</v>
      </c>
      <c r="G7477" s="6" t="n">
        <f aca="false">Sens!F7477+Sens!G7408-Sens!G7411</f>
        <v>383.540553237428</v>
      </c>
      <c r="H7477" s="6" t="n">
        <f aca="false">Sens!G7477+Sens!H7408-Sens!H7411</f>
        <v>483.901867488022</v>
      </c>
      <c r="I7477" s="6" t="n">
        <f aca="false">Sens!H7477+Sens!I7408-Sens!I7411</f>
        <v>586.266991337299</v>
      </c>
      <c r="J7477" s="6" t="n">
        <f aca="false">Sens!I7477+Sens!J7408-Sens!J7411</f>
        <v>674.843118636093</v>
      </c>
      <c r="K7477" s="6" t="n">
        <f aca="false">Sens!J7477+Sens!K7408-Sens!K7411</f>
        <v>777.983852285237</v>
      </c>
      <c r="L7477" s="1" t="s">
        <v>766</v>
      </c>
    </row>
    <row r="7478" customFormat="false" ht="17.15" hidden="false" customHeight="false" outlineLevel="0" collapsed="false">
      <c r="A7478" s="0" t="s">
        <v>767</v>
      </c>
      <c r="B7478" s="0" t="s">
        <v>126</v>
      </c>
      <c r="F7478" s="7" t="n">
        <f aca="false">Sens!F7476*(1-tax_f)/((Sens!E7477+Sens!F7477)/2)</f>
        <v>0.039567250770143</v>
      </c>
      <c r="G7478" s="7" t="n">
        <f aca="false">Sens!G7476*(1-tax_f)/((Sens!F7477+Sens!G7477)/2)</f>
        <v>0.0498139731831908</v>
      </c>
      <c r="H7478" s="7" t="n">
        <f aca="false">Sens!H7476*(1-tax_f)/((Sens!G7477+Sens!H7477)/2)</f>
        <v>0.0648755519660272</v>
      </c>
      <c r="I7478" s="7" t="n">
        <f aca="false">Sens!I7476*(1-tax_f)/((Sens!H7477+Sens!I7477)/2)</f>
        <v>0.0630890167432854</v>
      </c>
      <c r="J7478" s="7" t="n">
        <f aca="false">Sens!J7476*(1-tax_f)/((Sens!I7477+Sens!J7477)/2)</f>
        <v>0.0596962818282311</v>
      </c>
      <c r="K7478" s="7" t="n">
        <f aca="false">Sens!K7476*(1-tax_f)/((Sens!J7477+Sens!K7477)/2)</f>
        <v>0.0558034273092784</v>
      </c>
    </row>
    <row r="7479" customFormat="false" ht="17.15" hidden="false" customHeight="false" outlineLevel="0" collapsed="false">
      <c r="A7479" s="1" t="s">
        <v>768</v>
      </c>
      <c r="B7479" s="0" t="s">
        <v>126</v>
      </c>
      <c r="F7479" s="7" t="n">
        <f aca="false">Sens!F7412*(1-tax_f)/(Sens!F7399*(Sens!E7477+Sens!F7477)/2)</f>
        <v>0.153536783199617</v>
      </c>
      <c r="G7479" s="7" t="n">
        <f aca="false">Sens!G7412*(1-tax_f)/(Sens!G7399*(Sens!F7477+Sens!G7477)/2)</f>
        <v>0.174666266646279</v>
      </c>
      <c r="H7479" s="7" t="n">
        <f aca="false">Sens!H7412*(1-tax_f)/(Sens!H7399*(Sens!G7477+Sens!H7477)/2)</f>
        <v>0.207624128592811</v>
      </c>
      <c r="I7479" s="7" t="n">
        <f aca="false">Sens!I7412*(1-tax_f)/(Sens!I7399*(Sens!H7477+Sens!I7477)/2)</f>
        <v>0.215548317911225</v>
      </c>
      <c r="J7479" s="7" t="n">
        <f aca="false">Sens!J7412*(1-tax_f)/(Sens!J7399*(Sens!I7477+Sens!J7477)/2)</f>
        <v>0.221976524586267</v>
      </c>
      <c r="K7479" s="7" t="n">
        <f aca="false">Sens!K7412*(1-tax_f)/(Sens!K7399*(Sens!J7477+Sens!K7477)/2)</f>
        <v>0.225275623673374</v>
      </c>
    </row>
    <row r="7480" customFormat="false" ht="17.15" hidden="false" customHeight="false" outlineLevel="0" collapsed="false">
      <c r="A7480" s="0" t="s">
        <v>769</v>
      </c>
      <c r="B7480" s="0" t="s">
        <v>208</v>
      </c>
      <c r="F7480" s="7" t="n">
        <f aca="false">Sens!F7478-wacc</f>
        <v>-0.069395970380111</v>
      </c>
      <c r="G7480" s="7" t="n">
        <f aca="false">Sens!G7478-wacc</f>
        <v>-0.0591492479670631</v>
      </c>
      <c r="H7480" s="7" t="n">
        <f aca="false">Sens!H7478-wacc</f>
        <v>-0.0440876691842267</v>
      </c>
      <c r="I7480" s="7" t="n">
        <f aca="false">Sens!I7478-wacc</f>
        <v>-0.0458742044069685</v>
      </c>
      <c r="J7480" s="7" t="n">
        <f aca="false">Sens!J7478-wacc</f>
        <v>-0.0492669393220229</v>
      </c>
      <c r="K7480" s="7" t="n">
        <f aca="false">Sens!K7478-wacc</f>
        <v>-0.0531597938409756</v>
      </c>
    </row>
    <row r="7481" customFormat="false" ht="17.15" hidden="false" customHeight="false" outlineLevel="0" collapsed="false">
      <c r="A7481" s="0" t="s">
        <v>770</v>
      </c>
      <c r="B7481" s="0" t="s">
        <v>95</v>
      </c>
      <c r="F7481" s="6" t="n">
        <f aca="false">Sens!F7476*(1-tax_f)-wacc*(Sens!E7477+Sens!F7477)/2</f>
        <v>-13.4332486266416</v>
      </c>
      <c r="G7481" s="6" t="n">
        <f aca="false">Sens!G7476*(1-tax_f)-wacc*(Sens!F7477+Sens!G7477)/2</f>
        <v>-19.0457714127555</v>
      </c>
      <c r="H7481" s="6" t="n">
        <f aca="false">Sens!H7476*(1-tax_f)-wacc*(Sens!G7477+Sens!H7477)/2</f>
        <v>-19.1217572406542</v>
      </c>
      <c r="I7481" s="6" t="n">
        <f aca="false">Sens!I7476*(1-tax_f)-wacc*(Sens!H7477+Sens!I7477)/2</f>
        <v>-24.5465724898625</v>
      </c>
      <c r="J7481" s="6" t="n">
        <f aca="false">Sens!J7476*(1-tax_f)-wacc*(Sens!I7477+Sens!J7477)/2</f>
        <v>-31.0655176332244</v>
      </c>
      <c r="K7481" s="6" t="n">
        <f aca="false">Sens!K7476*(1-tax_f)-wacc*(Sens!J7477+Sens!K7477)/2</f>
        <v>-38.6159911303935</v>
      </c>
    </row>
    <row r="7482" customFormat="false" ht="17.15" hidden="false" customHeight="false" outlineLevel="0" collapsed="false">
      <c r="A7482" s="1" t="s">
        <v>771</v>
      </c>
      <c r="B7482" s="0" t="s">
        <v>95</v>
      </c>
      <c r="F7482" s="6" t="n">
        <f aca="false">(Sens!E7384+Sens!F7384)/2*Sens!F7391/1000</f>
        <v>26.7873066765967</v>
      </c>
      <c r="G7482" s="6" t="n">
        <f aca="false">(Sens!F7384+Sens!G7384)/2*Sens!G7391/1000</f>
        <v>45.4131817597218</v>
      </c>
      <c r="H7482" s="6" t="n">
        <f aca="false">(Sens!G7384+Sens!H7384)/2*Sens!H7391/1000</f>
        <v>65.3915129357971</v>
      </c>
      <c r="I7482" s="6" t="n">
        <f aca="false">(Sens!H7384+Sens!I7384)/2*Sens!I7391/1000</f>
        <v>85.5187419289299</v>
      </c>
      <c r="J7482" s="6" t="n">
        <f aca="false">(Sens!I7384+Sens!J7384)/2*Sens!J7391/1000</f>
        <v>105.723807195006</v>
      </c>
      <c r="K7482" s="6" t="n">
        <f aca="false">(Sens!J7384+Sens!K7384)/2*Sens!K7391/1000</f>
        <v>125.974659797015</v>
      </c>
      <c r="L7482" s="1" t="s">
        <v>772</v>
      </c>
    </row>
    <row r="7483" customFormat="false" ht="17.15" hidden="false" customHeight="false" outlineLevel="0" collapsed="false">
      <c r="A7483" s="1" t="s">
        <v>773</v>
      </c>
      <c r="B7483" s="0" t="s">
        <v>126</v>
      </c>
      <c r="F7483" s="7" t="n">
        <f aca="false">(Sens!F7400+Sens!F7482-Sens!F7401-Sens!F7411)*(1-tax_f)/((Sens!E7477+Sens!F7477)/2)</f>
        <v>0.118418304328883</v>
      </c>
      <c r="G7483" s="7" t="n">
        <f aca="false">(Sens!G7400+Sens!G7482-Sens!G7401-Sens!G7411)*(1-tax_f)/((Sens!F7477+Sens!G7477)/2)</f>
        <v>0.130726100239818</v>
      </c>
      <c r="H7483" s="7" t="n">
        <f aca="false">(Sens!H7400+Sens!H7482-Sens!H7401-Sens!H7411)*(1-tax_f)/((Sens!G7477+Sens!H7477)/2)</f>
        <v>0.152316710480704</v>
      </c>
      <c r="I7483" s="7" t="n">
        <f aca="false">(Sens!I7400+Sens!I7482-Sens!I7401-Sens!I7411)*(1-tax_f)/((Sens!H7477+Sens!I7477)/2)</f>
        <v>0.15829585851625</v>
      </c>
      <c r="J7483" s="7" t="n">
        <f aca="false">(Sens!J7400+Sens!J7482-Sens!J7401-Sens!J7411)*(1-tax_f)/((Sens!I7477+Sens!J7477)/2)</f>
        <v>0.16286301380747</v>
      </c>
      <c r="K7483" s="7" t="n">
        <f aca="false">(Sens!K7400+Sens!K7482-Sens!K7401-Sens!K7411)*(1-tax_f)/((Sens!J7477+Sens!K7477)/2)</f>
        <v>0.164828853680856</v>
      </c>
      <c r="L7483" s="1" t="s">
        <v>774</v>
      </c>
    </row>
    <row r="7484" customFormat="false" ht="17.15" hidden="false" customHeight="false" outlineLevel="0" collapsed="false">
      <c r="A7484" s="3" t="s">
        <v>1327</v>
      </c>
    </row>
    <row r="7485" customFormat="false" ht="15" hidden="false" customHeight="false" outlineLevel="0" collapsed="false">
      <c r="A7485" s="4" t="s">
        <v>43</v>
      </c>
      <c r="B7485" s="4" t="s">
        <v>63</v>
      </c>
      <c r="C7485" s="19" t="s">
        <v>710</v>
      </c>
      <c r="D7485" s="19" t="s">
        <v>711</v>
      </c>
      <c r="E7485" s="19" t="s">
        <v>712</v>
      </c>
      <c r="F7485" s="19" t="s">
        <v>713</v>
      </c>
      <c r="G7485" s="19" t="s">
        <v>714</v>
      </c>
      <c r="H7485" s="19" t="s">
        <v>715</v>
      </c>
      <c r="I7485" s="19" t="s">
        <v>716</v>
      </c>
      <c r="J7485" s="19" t="s">
        <v>717</v>
      </c>
      <c r="K7485" s="19" t="s">
        <v>718</v>
      </c>
      <c r="L7485" s="4" t="s">
        <v>47</v>
      </c>
    </row>
    <row r="7486" customFormat="false" ht="15" hidden="false" customHeight="false" outlineLevel="0" collapsed="false">
      <c r="A7486" s="1" t="s">
        <v>825</v>
      </c>
      <c r="B7486" s="0" t="s">
        <v>95</v>
      </c>
      <c r="F7486" s="6" t="n">
        <f aca="false">Sens!F7471</f>
        <v>144.794661631697</v>
      </c>
      <c r="G7486" s="6" t="n">
        <f aca="false">Sens!G7471</f>
        <v>168.842386715491</v>
      </c>
      <c r="H7486" s="6" t="n">
        <f aca="false">Sens!H7471</f>
        <v>196.816090563026</v>
      </c>
      <c r="I7486" s="6" t="n">
        <f aca="false">Sens!I7471</f>
        <v>217.958750756236</v>
      </c>
      <c r="J7486" s="6" t="n">
        <f aca="false">Sens!J7471</f>
        <v>236.390435659672</v>
      </c>
      <c r="K7486" s="6" t="n">
        <f aca="false">Sens!K7471</f>
        <v>252.220796761946</v>
      </c>
    </row>
    <row r="7487" customFormat="false" ht="17.15" hidden="false" customHeight="false" outlineLevel="0" collapsed="false">
      <c r="A7487" s="1" t="s">
        <v>843</v>
      </c>
      <c r="B7487" s="0" t="s">
        <v>95</v>
      </c>
      <c r="E7487" s="6" t="n">
        <f aca="false">Q!M38-Sens!E7411</f>
        <v>22.2285940229167</v>
      </c>
      <c r="F7487" s="6" t="n">
        <f aca="false">Sens!E7487*(1-1/life_nonai)+Sens!F7493/life_nonai</f>
        <v>23.5776759435812</v>
      </c>
      <c r="G7487" s="6" t="n">
        <f aca="false">Sens!F7487*(1-1/life_nonai)+Sens!G7493/life_nonai</f>
        <v>25.3769025657684</v>
      </c>
      <c r="H7487" s="6" t="n">
        <f aca="false">Sens!G7487*(1-1/life_nonai)+Sens!H7493/life_nonai</f>
        <v>27.5881485552537</v>
      </c>
      <c r="I7487" s="6" t="n">
        <f aca="false">Sens!H7487*(1-1/life_nonai)+Sens!I7493/life_nonai</f>
        <v>30.1336389268856</v>
      </c>
      <c r="J7487" s="6" t="n">
        <f aca="false">Sens!I7487*(1-1/life_nonai)+Sens!J7493/life_nonai</f>
        <v>32.9198844843551</v>
      </c>
      <c r="K7487" s="6" t="n">
        <f aca="false">Sens!J7487*(1-1/life_nonai)+Sens!K7493/life_nonai</f>
        <v>35.8610614394137</v>
      </c>
      <c r="L7487" s="11" t="s">
        <v>844</v>
      </c>
    </row>
    <row r="7488" customFormat="false" ht="17.15" hidden="false" customHeight="false" outlineLevel="0" collapsed="false">
      <c r="A7488" s="1" t="s">
        <v>845</v>
      </c>
      <c r="B7488" s="0" t="s">
        <v>95</v>
      </c>
      <c r="E7488" s="6" t="n">
        <f aca="false">Sens!E7411+Sens!E7487</f>
        <v>38.534</v>
      </c>
      <c r="F7488" s="6" t="n">
        <f aca="false">Sens!F7411+Sens!F7487</f>
        <v>58.3065392327844</v>
      </c>
      <c r="G7488" s="6" t="n">
        <f aca="false">Sens!G7411+Sens!G7487</f>
        <v>85.8602914927747</v>
      </c>
      <c r="H7488" s="6" t="n">
        <f aca="false">Sens!H7411+Sens!H7487</f>
        <v>115.30712021506</v>
      </c>
      <c r="I7488" s="6" t="n">
        <f aca="false">Sens!I7411+Sens!I7487</f>
        <v>146.107476334675</v>
      </c>
      <c r="J7488" s="6" t="n">
        <f aca="false">Sens!J7411+Sens!J7487</f>
        <v>178.120818109295</v>
      </c>
      <c r="K7488" s="6" t="n">
        <f aca="false">Sens!K7411+Sens!K7487</f>
        <v>211.57663974067</v>
      </c>
    </row>
    <row r="7489" customFormat="false" ht="15" hidden="false" customHeight="false" outlineLevel="0" collapsed="false">
      <c r="A7489" s="1" t="s">
        <v>685</v>
      </c>
      <c r="B7489" s="0" t="s">
        <v>95</v>
      </c>
      <c r="F7489" s="6" t="n">
        <f aca="false">Sens!F7438*sbc_r</f>
        <v>15.1194371427636</v>
      </c>
      <c r="G7489" s="6" t="n">
        <f aca="false">Sens!G7438*sbc_r</f>
        <v>18.3624810502544</v>
      </c>
      <c r="H7489" s="6" t="n">
        <f aca="false">Sens!H7438*sbc_r</f>
        <v>21.8434372336845</v>
      </c>
      <c r="I7489" s="6" t="n">
        <f aca="false">Sens!I7438*sbc_r</f>
        <v>24.9987975831813</v>
      </c>
      <c r="J7489" s="6" t="n">
        <f aca="false">Sens!J7438*sbc_r</f>
        <v>27.9953457243916</v>
      </c>
      <c r="K7489" s="6" t="n">
        <f aca="false">Sens!K7438*sbc_r</f>
        <v>30.8622457693036</v>
      </c>
    </row>
    <row r="7490" customFormat="false" ht="17.15" hidden="false" customHeight="false" outlineLevel="0" collapsed="false">
      <c r="A7490" s="1" t="s">
        <v>846</v>
      </c>
      <c r="B7490" s="0" t="s">
        <v>95</v>
      </c>
      <c r="F7490" s="6" t="n">
        <f aca="false">wc27</f>
        <v>-4.895</v>
      </c>
      <c r="G7490" s="6" t="n">
        <f aca="false">0</f>
        <v>0</v>
      </c>
      <c r="H7490" s="6" t="n">
        <f aca="false">0</f>
        <v>0</v>
      </c>
      <c r="I7490" s="6" t="n">
        <f aca="false">0</f>
        <v>0</v>
      </c>
      <c r="J7490" s="6" t="n">
        <f aca="false">0</f>
        <v>0</v>
      </c>
      <c r="K7490" s="6" t="n">
        <f aca="false">0</f>
        <v>0</v>
      </c>
      <c r="L7490" s="11" t="s">
        <v>847</v>
      </c>
    </row>
    <row r="7491" customFormat="false" ht="15" hidden="false" customHeight="false" outlineLevel="0" collapsed="false">
      <c r="A7491" s="1" t="s">
        <v>678</v>
      </c>
      <c r="B7491" s="0" t="s">
        <v>95</v>
      </c>
      <c r="E7491" s="6" t="n">
        <f aca="false">Q!M35</f>
        <v>182.935</v>
      </c>
      <c r="F7491" s="6" t="n">
        <f aca="false">Sens!F7486+Sens!F7488+Sens!F7489+Sens!F7490</f>
        <v>213.325638007245</v>
      </c>
      <c r="G7491" s="6" t="n">
        <f aca="false">Sens!G7486+Sens!G7488+Sens!G7489+Sens!G7490</f>
        <v>273.06515925852</v>
      </c>
      <c r="H7491" s="6" t="n">
        <f aca="false">Sens!H7486+Sens!H7488+Sens!H7489+Sens!H7490</f>
        <v>333.966648011771</v>
      </c>
      <c r="I7491" s="6" t="n">
        <f aca="false">Sens!I7486+Sens!I7488+Sens!I7489+Sens!I7490</f>
        <v>389.065024674093</v>
      </c>
      <c r="J7491" s="6" t="n">
        <f aca="false">Sens!J7486+Sens!J7488+Sens!J7489+Sens!J7490</f>
        <v>442.506599493358</v>
      </c>
      <c r="K7491" s="6" t="n">
        <f aca="false">Sens!K7486+Sens!K7488+Sens!K7489+Sens!K7490</f>
        <v>494.65968227192</v>
      </c>
    </row>
    <row r="7492" customFormat="false" ht="17.15" hidden="false" customHeight="false" outlineLevel="0" collapsed="false">
      <c r="A7492" s="0" t="s">
        <v>848</v>
      </c>
      <c r="B7492" s="0" t="s">
        <v>95</v>
      </c>
      <c r="F7492" s="6" t="n">
        <f aca="false">Sens!F7408</f>
        <v>168.480586770438</v>
      </c>
      <c r="G7492" s="6" t="n">
        <f aca="false">Sens!G7408</f>
        <v>183.5741804832</v>
      </c>
      <c r="H7492" s="6" t="n">
        <f aca="false">Sens!H7408</f>
        <v>188.0802859104</v>
      </c>
      <c r="I7492" s="6" t="n">
        <f aca="false">Sens!I7408</f>
        <v>218.338961257067</v>
      </c>
      <c r="J7492" s="6" t="n">
        <f aca="false">Sens!J7408</f>
        <v>233.777060923733</v>
      </c>
      <c r="K7492" s="6" t="n">
        <f aca="false">Sens!K7408</f>
        <v>278.8563119504</v>
      </c>
    </row>
    <row r="7493" customFormat="false" ht="17.15" hidden="false" customHeight="false" outlineLevel="0" collapsed="false">
      <c r="A7493" s="1" t="s">
        <v>849</v>
      </c>
      <c r="B7493" s="0" t="s">
        <v>95</v>
      </c>
      <c r="E7493" s="6" t="n">
        <f aca="false">Sens!E7416*cx_azo+Sens!E7423*cx_m365+Sens!E7424*cx_lic+(Sens!E7426+Sens!E7428)*cx_ind+Sens!E7431*cx_srch+(Sens!E7433+Sens!E7435)*cx_dev</f>
        <v>30.1846587067718</v>
      </c>
      <c r="F7493" s="6" t="n">
        <f aca="false">Sens!F7416*cx_azo+Sens!F7423*cx_m365+Sens!F7424*cx_lic+(Sens!F7426+Sens!F7428)*cx_ind+Sens!F7431*cx_srch+(Sens!F7433+Sens!F7435)*cx_dev</f>
        <v>35.7194132295625</v>
      </c>
      <c r="G7493" s="6" t="n">
        <f aca="false">Sens!G7416*cx_azo+Sens!G7423*cx_m365+Sens!G7424*cx_lic+(Sens!G7426+Sens!G7428)*cx_ind+Sens!G7431*cx_srch+(Sens!G7433+Sens!G7435)*cx_dev</f>
        <v>41.5699421654528</v>
      </c>
      <c r="H7493" s="6" t="n">
        <f aca="false">Sens!H7416*cx_azo+Sens!H7423*cx_m365+Sens!H7424*cx_lic+(Sens!H7426+Sens!H7428)*cx_ind+Sens!H7431*cx_srch+(Sens!H7433+Sens!H7435)*cx_dev</f>
        <v>47.4893624606218</v>
      </c>
      <c r="I7493" s="6" t="n">
        <f aca="false">Sens!I7416*cx_azo+Sens!I7423*cx_m365+Sens!I7424*cx_lic+(Sens!I7426+Sens!I7428)*cx_ind+Sens!I7431*cx_srch+(Sens!I7433+Sens!I7435)*cx_dev</f>
        <v>53.0430522715721</v>
      </c>
      <c r="J7493" s="6" t="n">
        <f aca="false">Sens!J7416*cx_azo+Sens!J7423*cx_m365+Sens!J7424*cx_lic+(Sens!J7426+Sens!J7428)*cx_ind+Sens!J7431*cx_srch+(Sens!J7433+Sens!J7435)*cx_dev</f>
        <v>57.996094501581</v>
      </c>
      <c r="K7493" s="6" t="n">
        <f aca="false">Sens!K7416*cx_azo+Sens!K7423*cx_m365+Sens!K7424*cx_lic+(Sens!K7426+Sens!K7428)*cx_ind+Sens!K7431*cx_srch+(Sens!K7433+Sens!K7435)*cx_dev</f>
        <v>62.3316540349409</v>
      </c>
    </row>
    <row r="7494" customFormat="false" ht="17.15" hidden="false" customHeight="false" outlineLevel="0" collapsed="false">
      <c r="A7494" s="1" t="s">
        <v>850</v>
      </c>
      <c r="B7494" s="0" t="s">
        <v>95</v>
      </c>
      <c r="E7494" s="6" t="n">
        <f aca="false">Q!M42</f>
        <v>145.3</v>
      </c>
      <c r="F7494" s="6" t="n">
        <f aca="false">Sens!F7492+Sens!F7493</f>
        <v>204.2</v>
      </c>
      <c r="G7494" s="6" t="n">
        <f aca="false">Sens!G7492+Sens!G7493</f>
        <v>225.144122648653</v>
      </c>
      <c r="H7494" s="6" t="n">
        <f aca="false">Sens!H7492+Sens!H7493</f>
        <v>235.569648371022</v>
      </c>
      <c r="I7494" s="6" t="n">
        <f aca="false">Sens!I7492+Sens!I7493</f>
        <v>271.382013528639</v>
      </c>
      <c r="J7494" s="6" t="n">
        <f aca="false">Sens!J7492+Sens!J7493</f>
        <v>291.773155425314</v>
      </c>
      <c r="K7494" s="6" t="n">
        <f aca="false">Sens!K7492+Sens!K7493</f>
        <v>341.187965985341</v>
      </c>
      <c r="L7494" s="1" t="s">
        <v>851</v>
      </c>
    </row>
    <row r="7495" customFormat="false" ht="15" hidden="false" customHeight="false" outlineLevel="0" collapsed="false">
      <c r="A7495" s="1" t="s">
        <v>852</v>
      </c>
      <c r="B7495" s="0" t="s">
        <v>95</v>
      </c>
      <c r="E7495" s="6" t="n">
        <f aca="false">fl_liab</f>
        <v>66.594</v>
      </c>
      <c r="F7495" s="6" t="n">
        <f aca="false">Sens!E7495-Sens!F7496</f>
        <v>62.46973</v>
      </c>
      <c r="G7495" s="6" t="n">
        <f aca="false">Sens!F7495-Sens!G7496</f>
        <v>57.98686785</v>
      </c>
      <c r="H7495" s="6" t="n">
        <f aca="false">Sens!G7495-Sens!H7496</f>
        <v>53.92827690325</v>
      </c>
      <c r="I7495" s="6" t="n">
        <f aca="false">Sens!H7495-Sens!I7496</f>
        <v>49.7850493638962</v>
      </c>
      <c r="J7495" s="6" t="n">
        <f aca="false">Sens!I7495-Sens!J7496</f>
        <v>45.4823765852716</v>
      </c>
      <c r="K7495" s="6" t="n">
        <f aca="false">Sens!J7495-Sens!K7496</f>
        <v>40.9860835316088</v>
      </c>
    </row>
    <row r="7496" customFormat="false" ht="15" hidden="false" customHeight="false" outlineLevel="0" collapsed="false">
      <c r="A7496" s="1" t="s">
        <v>853</v>
      </c>
      <c r="B7496" s="0" t="s">
        <v>95</v>
      </c>
      <c r="F7496" s="6" t="n">
        <f aca="false">fl_pay_27-Sens!E7495*fl_rate</f>
        <v>4.12427</v>
      </c>
      <c r="G7496" s="6" t="n">
        <f aca="false">fl_pay_28-Sens!F7495*fl_rate</f>
        <v>4.48286215</v>
      </c>
      <c r="H7496" s="6" t="n">
        <f aca="false">fl_pay_29-Sens!G7495*fl_rate</f>
        <v>4.05859094675</v>
      </c>
      <c r="I7496" s="6" t="n">
        <f aca="false">fl_pay_30-Sens!H7495*fl_rate</f>
        <v>4.14322753935375</v>
      </c>
      <c r="J7496" s="6" t="n">
        <f aca="false">fl_pay_31-Sens!I7495*fl_rate</f>
        <v>4.30267277862467</v>
      </c>
      <c r="K7496" s="6" t="n">
        <f aca="false">fl_pay_32-Sens!J7495*fl_rate</f>
        <v>4.49629305366278</v>
      </c>
    </row>
    <row r="7497" customFormat="false" ht="17.15" hidden="false" customHeight="false" outlineLevel="0" collapsed="false">
      <c r="A7497" s="1" t="s">
        <v>854</v>
      </c>
      <c r="B7497" s="0" t="s">
        <v>95</v>
      </c>
      <c r="E7497" s="6" t="n">
        <f aca="false">Q!M35-Q!M36-Q!M43</f>
        <v>63.886</v>
      </c>
      <c r="F7497" s="6" t="n">
        <f aca="false">Sens!F7491-Sens!F7494-Sens!F7496</f>
        <v>5.00136800724513</v>
      </c>
      <c r="G7497" s="6" t="n">
        <f aca="false">Sens!G7491-Sens!G7494-Sens!G7496</f>
        <v>43.4381744598675</v>
      </c>
      <c r="H7497" s="6" t="n">
        <f aca="false">Sens!H7491-Sens!H7494-Sens!H7496</f>
        <v>94.3384086939988</v>
      </c>
      <c r="I7497" s="6" t="n">
        <f aca="false">Sens!I7491-Sens!I7494-Sens!I7496</f>
        <v>113.5397836061</v>
      </c>
      <c r="J7497" s="6" t="n">
        <f aca="false">Sens!J7491-Sens!J7494-Sens!J7496</f>
        <v>146.430771289419</v>
      </c>
      <c r="K7497" s="6" t="n">
        <f aca="false">Sens!K7491-Sens!K7494-Sens!K7496</f>
        <v>148.975423232916</v>
      </c>
      <c r="L7497" s="11" t="s">
        <v>855</v>
      </c>
    </row>
    <row r="7498" customFormat="false" ht="15" hidden="false" customHeight="false" outlineLevel="0" collapsed="false">
      <c r="A7498" s="1" t="s">
        <v>856</v>
      </c>
      <c r="B7498" s="0" t="s">
        <v>73</v>
      </c>
      <c r="F7498" s="8" t="n">
        <f aca="false">dps_27</f>
        <v>3.85</v>
      </c>
      <c r="G7498" s="8" t="n">
        <f aca="false">Sens!F7498*(1+dps_g)</f>
        <v>4.158</v>
      </c>
      <c r="H7498" s="8" t="n">
        <f aca="false">Sens!G7498*(1+dps_g)</f>
        <v>4.49064</v>
      </c>
      <c r="I7498" s="8" t="n">
        <f aca="false">Sens!H7498*(1+dps_g)</f>
        <v>4.8498912</v>
      </c>
      <c r="J7498" s="8" t="n">
        <f aca="false">Sens!I7498*(1+dps_g)</f>
        <v>5.237882496</v>
      </c>
      <c r="K7498" s="8" t="n">
        <f aca="false">Sens!J7498*(1+dps_g)</f>
        <v>5.65691309568</v>
      </c>
    </row>
    <row r="7499" customFormat="false" ht="17.15" hidden="false" customHeight="false" outlineLevel="0" collapsed="false">
      <c r="A7499" s="1" t="s">
        <v>857</v>
      </c>
      <c r="B7499" s="0" t="s">
        <v>95</v>
      </c>
      <c r="E7499" s="6" t="n">
        <f aca="false">Q!M41</f>
        <v>26.445</v>
      </c>
      <c r="F7499" s="6" t="n">
        <f aca="false">Sens!F7498*Sens!E7508</f>
        <v>28.59395</v>
      </c>
      <c r="G7499" s="6" t="n">
        <f aca="false">Sens!G7498*Sens!F7508</f>
        <v>31.068576</v>
      </c>
      <c r="H7499" s="6" t="n">
        <f aca="false">Sens!H7498*Sens!G7508</f>
        <v>33.6632170616861</v>
      </c>
      <c r="I7499" s="6" t="n">
        <f aca="false">Sens!I7498*Sens!H7508</f>
        <v>36.4072136666205</v>
      </c>
      <c r="J7499" s="6" t="n">
        <f aca="false">Sens!J7498*Sens!I7508</f>
        <v>39.3881896082696</v>
      </c>
      <c r="K7499" s="6" t="n">
        <f aca="false">Sens!K7498*Sens!J7508</f>
        <v>42.6265000022362</v>
      </c>
      <c r="L7499" s="1" t="s">
        <v>858</v>
      </c>
    </row>
    <row r="7500" customFormat="false" ht="15" hidden="false" customHeight="false" outlineLevel="0" collapsed="false">
      <c r="A7500" s="1" t="s">
        <v>859</v>
      </c>
      <c r="B7500" s="0" t="s">
        <v>95</v>
      </c>
      <c r="E7500" s="6" t="n">
        <f aca="false">Sens!E7497-Sens!E7499</f>
        <v>37.441</v>
      </c>
      <c r="F7500" s="6" t="n">
        <f aca="false">Sens!F7497-Sens!F7499</f>
        <v>-23.5925819927549</v>
      </c>
      <c r="G7500" s="6" t="n">
        <f aca="false">Sens!G7497-Sens!G7499</f>
        <v>12.3695984598675</v>
      </c>
      <c r="H7500" s="6" t="n">
        <f aca="false">Sens!H7497-Sens!H7499</f>
        <v>60.6751916323127</v>
      </c>
      <c r="I7500" s="6" t="n">
        <f aca="false">Sens!I7497-Sens!I7499</f>
        <v>77.1325699394796</v>
      </c>
      <c r="J7500" s="6" t="n">
        <f aca="false">Sens!J7497-Sens!J7499</f>
        <v>107.04258168115</v>
      </c>
      <c r="K7500" s="6" t="n">
        <f aca="false">Sens!K7497-Sens!K7499</f>
        <v>106.34892323068</v>
      </c>
    </row>
    <row r="7501" customFormat="false" ht="15" hidden="false" customHeight="false" outlineLevel="0" collapsed="false">
      <c r="A7501" s="1" t="s">
        <v>860</v>
      </c>
      <c r="B7501" s="0" t="s">
        <v>95</v>
      </c>
      <c r="F7501" s="6" t="n">
        <f aca="false">debt_mat_27</f>
        <v>9.25</v>
      </c>
      <c r="G7501" s="6" t="n">
        <f aca="false">debt_mat_28</f>
        <v>0</v>
      </c>
      <c r="H7501" s="6" t="n">
        <f aca="false">debt_mat_29</f>
        <v>2.001</v>
      </c>
      <c r="I7501" s="6" t="n">
        <f aca="false">debt_mat_30</f>
        <v>0</v>
      </c>
      <c r="J7501" s="6" t="n">
        <f aca="false">debt_mat_31</f>
        <v>0.5</v>
      </c>
      <c r="K7501" s="6" t="n">
        <f aca="false">debt_mat_32</f>
        <v>0</v>
      </c>
    </row>
    <row r="7502" customFormat="false" ht="15" hidden="false" customHeight="false" outlineLevel="0" collapsed="false">
      <c r="A7502" s="1" t="s">
        <v>861</v>
      </c>
      <c r="B7502" s="0" t="s">
        <v>95</v>
      </c>
      <c r="E7502" s="6" t="n">
        <f aca="false">Q!M40</f>
        <v>22.271</v>
      </c>
      <c r="F7502" s="6" t="n">
        <f aca="false">MAX(0,MIN(bb_target,Sens!E7504+Sens!F7500-Sens!F7501-min_cash))</f>
        <v>0</v>
      </c>
      <c r="G7502" s="6" t="n">
        <f aca="false">MAX(0,MIN(bb_target,Sens!F7504+Sens!G7500-Sens!G7501-min_cash))</f>
        <v>12.3695984598675</v>
      </c>
      <c r="H7502" s="6" t="n">
        <f aca="false">MAX(0,MIN(bb_target,Sens!G7504+Sens!H7500-Sens!H7501-min_cash))</f>
        <v>22.271</v>
      </c>
      <c r="I7502" s="6" t="n">
        <f aca="false">MAX(0,MIN(bb_target,Sens!H7504+Sens!I7500-Sens!I7501-min_cash))</f>
        <v>22.271</v>
      </c>
      <c r="J7502" s="6" t="n">
        <f aca="false">MAX(0,MIN(bb_target,Sens!I7504+Sens!J7500-Sens!J7501-min_cash))</f>
        <v>22.271</v>
      </c>
      <c r="K7502" s="6" t="n">
        <f aca="false">MAX(0,MIN(bb_target,Sens!J7504+Sens!K7500-Sens!K7501-min_cash))</f>
        <v>22.271</v>
      </c>
    </row>
    <row r="7503" customFormat="false" ht="15" hidden="false" customHeight="false" outlineLevel="0" collapsed="false">
      <c r="A7503" s="1" t="s">
        <v>862</v>
      </c>
      <c r="B7503" s="0" t="s">
        <v>95</v>
      </c>
      <c r="F7503" s="6" t="n">
        <f aca="false">MAX(0,min_cash-(Sens!E7504+Sens!F7500-Sens!F7501-Sens!F7502))</f>
        <v>5.99958199275487</v>
      </c>
      <c r="G7503" s="6" t="n">
        <f aca="false">MAX(0,min_cash-(Sens!F7504+Sens!G7500-Sens!G7501-Sens!G7502))</f>
        <v>0</v>
      </c>
      <c r="H7503" s="6" t="n">
        <f aca="false">MAX(0,min_cash-(Sens!G7504+Sens!H7500-Sens!H7501-Sens!H7502))</f>
        <v>0</v>
      </c>
      <c r="I7503" s="6" t="n">
        <f aca="false">MAX(0,min_cash-(Sens!H7504+Sens!I7500-Sens!I7501-Sens!I7502))</f>
        <v>0</v>
      </c>
      <c r="J7503" s="6" t="n">
        <f aca="false">MAX(0,min_cash-(Sens!I7504+Sens!J7500-Sens!J7501-Sens!J7502))</f>
        <v>0</v>
      </c>
      <c r="K7503" s="6" t="n">
        <f aca="false">MAX(0,min_cash-(Sens!J7504+Sens!K7500-Sens!K7501-Sens!K7502))</f>
        <v>0</v>
      </c>
    </row>
    <row r="7504" customFormat="false" ht="15" hidden="false" customHeight="false" outlineLevel="0" collapsed="false">
      <c r="A7504" s="1" t="s">
        <v>863</v>
      </c>
      <c r="B7504" s="0" t="s">
        <v>95</v>
      </c>
      <c r="E7504" s="6" t="n">
        <f aca="false">cash_open</f>
        <v>76.843</v>
      </c>
      <c r="F7504" s="6" t="n">
        <f aca="false">Sens!E7504+Sens!F7500-Sens!F7501-Sens!F7502+Sens!F7503</f>
        <v>50</v>
      </c>
      <c r="G7504" s="6" t="n">
        <f aca="false">Sens!F7504+Sens!G7500-Sens!G7501-Sens!G7502+Sens!G7503</f>
        <v>50</v>
      </c>
      <c r="H7504" s="6" t="n">
        <f aca="false">Sens!G7504+Sens!H7500-Sens!H7501-Sens!H7502+Sens!H7503</f>
        <v>86.4031916323127</v>
      </c>
      <c r="I7504" s="6" t="n">
        <f aca="false">Sens!H7504+Sens!I7500-Sens!I7501-Sens!I7502+Sens!I7503</f>
        <v>141.264761571792</v>
      </c>
      <c r="J7504" s="6" t="n">
        <f aca="false">Sens!I7504+Sens!J7500-Sens!J7501-Sens!J7502+Sens!J7503</f>
        <v>225.536343252942</v>
      </c>
      <c r="K7504" s="6" t="n">
        <f aca="false">Sens!J7504+Sens!K7500-Sens!K7501-Sens!K7502+Sens!K7503</f>
        <v>309.614266483622</v>
      </c>
    </row>
    <row r="7505" customFormat="false" ht="15" hidden="false" customHeight="false" outlineLevel="0" collapsed="false">
      <c r="A7505" s="1" t="s">
        <v>864</v>
      </c>
      <c r="B7505" s="0" t="s">
        <v>95</v>
      </c>
      <c r="E7505" s="6" t="n">
        <f aca="false">debt_face</f>
        <v>46.136</v>
      </c>
      <c r="F7505" s="6" t="n">
        <f aca="false">Sens!E7505-Sens!F7501+Sens!F7503</f>
        <v>42.8855819927549</v>
      </c>
      <c r="G7505" s="6" t="n">
        <f aca="false">Sens!F7505-Sens!G7501+Sens!G7503</f>
        <v>42.8855819927549</v>
      </c>
      <c r="H7505" s="6" t="n">
        <f aca="false">Sens!G7505-Sens!H7501+Sens!H7503</f>
        <v>40.8845819927549</v>
      </c>
      <c r="I7505" s="6" t="n">
        <f aca="false">Sens!H7505-Sens!I7501+Sens!I7503</f>
        <v>40.8845819927549</v>
      </c>
      <c r="J7505" s="6" t="n">
        <f aca="false">Sens!I7505-Sens!J7501+Sens!J7503</f>
        <v>40.3845819927549</v>
      </c>
      <c r="K7505" s="6" t="n">
        <f aca="false">Sens!J7505-Sens!K7501+Sens!K7503</f>
        <v>40.3845819927549</v>
      </c>
    </row>
    <row r="7506" customFormat="false" ht="15" hidden="false" customHeight="false" outlineLevel="0" collapsed="false">
      <c r="A7506" s="1" t="s">
        <v>865</v>
      </c>
      <c r="B7506" s="0" t="s">
        <v>95</v>
      </c>
      <c r="E7506" s="6" t="n">
        <f aca="false">Sens!E7504-Sens!E7505</f>
        <v>30.707</v>
      </c>
      <c r="F7506" s="6" t="n">
        <f aca="false">Sens!F7504-Sens!F7505</f>
        <v>7.11441800724513</v>
      </c>
      <c r="G7506" s="6" t="n">
        <f aca="false">Sens!G7504-Sens!G7505</f>
        <v>7.11441800724513</v>
      </c>
      <c r="H7506" s="6" t="n">
        <f aca="false">Sens!H7504-Sens!H7505</f>
        <v>45.5186096395578</v>
      </c>
      <c r="I7506" s="6" t="n">
        <f aca="false">Sens!I7504-Sens!I7505</f>
        <v>100.380179579037</v>
      </c>
      <c r="J7506" s="6" t="n">
        <f aca="false">Sens!J7504-Sens!J7505</f>
        <v>185.151761260187</v>
      </c>
      <c r="K7506" s="6" t="n">
        <f aca="false">Sens!K7504-Sens!K7505</f>
        <v>269.229684490867</v>
      </c>
    </row>
    <row r="7507" customFormat="false" ht="15" hidden="false" customHeight="false" outlineLevel="0" collapsed="false">
      <c r="A7507" s="1" t="s">
        <v>866</v>
      </c>
      <c r="B7507" s="0" t="s">
        <v>73</v>
      </c>
      <c r="F7507" s="27" t="n">
        <f aca="false">px*(1+bb_g)^(1-0.5)</f>
        <v>553.494156066711</v>
      </c>
      <c r="G7507" s="27" t="n">
        <f aca="false">px*(1+bb_g)^(2-0.5)</f>
        <v>597.773688552047</v>
      </c>
      <c r="H7507" s="27" t="n">
        <f aca="false">px*(1+bb_g)^(3-0.5)</f>
        <v>645.595583636211</v>
      </c>
      <c r="I7507" s="27" t="n">
        <f aca="false">px*(1+bb_g)^(4-0.5)</f>
        <v>697.243230327108</v>
      </c>
      <c r="J7507" s="27" t="n">
        <f aca="false">px*(1+bb_g)^(5-0.5)</f>
        <v>753.022688753277</v>
      </c>
      <c r="K7507" s="27" t="n">
        <f aca="false">px*(1+bb_g)^(6-0.5)</f>
        <v>813.264503853539</v>
      </c>
    </row>
    <row r="7508" customFormat="false" ht="15" hidden="false" customHeight="false" outlineLevel="0" collapsed="false">
      <c r="A7508" s="1" t="s">
        <v>867</v>
      </c>
      <c r="B7508" s="1" t="s">
        <v>79</v>
      </c>
      <c r="E7508" s="18" t="n">
        <f aca="false">sh_out26</f>
        <v>7.427</v>
      </c>
      <c r="F7508" s="18" t="n">
        <f aca="false">Sens!E7508+sh_iss-Sens!F7502/Sens!F7507</f>
        <v>7.472</v>
      </c>
      <c r="G7508" s="18" t="n">
        <f aca="false">Sens!F7508+sh_iss-Sens!G7502/Sens!G7507</f>
        <v>7.49630722161788</v>
      </c>
      <c r="H7508" s="18" t="n">
        <f aca="false">Sens!G7508+sh_iss-Sens!H7502/Sens!H7507</f>
        <v>7.50681039331779</v>
      </c>
      <c r="I7508" s="18" t="n">
        <f aca="false">Sens!H7508+sh_iss-Sens!I7502/Sens!I7507</f>
        <v>7.51986888563251</v>
      </c>
      <c r="J7508" s="18" t="n">
        <f aca="false">Sens!I7508+sh_iss-Sens!J7502/Sens!J7507</f>
        <v>7.53529341555355</v>
      </c>
      <c r="K7508" s="18" t="n">
        <f aca="false">Sens!J7508+sh_iss-Sens!K7502/Sens!K7507</f>
        <v>7.552908721036</v>
      </c>
    </row>
    <row r="7509" customFormat="false" ht="15" hidden="false" customHeight="false" outlineLevel="0" collapsed="false">
      <c r="A7509" s="1" t="s">
        <v>868</v>
      </c>
      <c r="B7509" s="1" t="s">
        <v>79</v>
      </c>
      <c r="E7509" s="18" t="n">
        <f aca="false">sh_dil26</f>
        <v>7.453</v>
      </c>
      <c r="F7509" s="18" t="n">
        <f aca="false">(Sens!E7508+Sens!F7508)/2+dil_gap</f>
        <v>7.4735</v>
      </c>
      <c r="G7509" s="18" t="n">
        <f aca="false">(Sens!F7508+Sens!G7508)/2+dil_gap</f>
        <v>7.50815361080894</v>
      </c>
      <c r="H7509" s="18" t="n">
        <f aca="false">(Sens!G7508+Sens!H7508)/2+dil_gap</f>
        <v>7.52555880746784</v>
      </c>
      <c r="I7509" s="18" t="n">
        <f aca="false">(Sens!H7508+Sens!I7508)/2+dil_gap</f>
        <v>7.53733963947515</v>
      </c>
      <c r="J7509" s="18" t="n">
        <f aca="false">(Sens!I7508+Sens!J7508)/2+dil_gap</f>
        <v>7.55158115059303</v>
      </c>
      <c r="K7509" s="18" t="n">
        <f aca="false">(Sens!J7508+Sens!K7508)/2+dil_gap</f>
        <v>7.56810106829477</v>
      </c>
    </row>
    <row r="7510" customFormat="false" ht="17.15" hidden="false" customHeight="false" outlineLevel="0" collapsed="false">
      <c r="A7510" s="1" t="s">
        <v>869</v>
      </c>
      <c r="B7510" s="0" t="s">
        <v>95</v>
      </c>
      <c r="C7510" s="6" t="n">
        <f aca="false">SUM(Sens!F7500:J7500)</f>
        <v>233.627359720055</v>
      </c>
    </row>
    <row r="7511" customFormat="false" ht="17.15" hidden="false" customHeight="false" outlineLevel="0" collapsed="false">
      <c r="A7511" s="1" t="s">
        <v>836</v>
      </c>
      <c r="B7511" s="1" t="s">
        <v>870</v>
      </c>
      <c r="C7511" s="30" t="str">
        <f aca="false">IF(SUM(Sens!F7503:J7503)&gt;0.05,"需要舉債 "&amp;TEXT(SUM(Sens!F7503:J7503),"0.0")&amp;" 十億美元","不需舉債")&amp;"；"&amp;IF(SUM(Sens!F7502:J7502)&lt;5*bb_target-0.05,"回購較每年 "&amp;TEXT(bb_target,"0.0")&amp;" 的目標少 "&amp;TEXT(5*bb_target-SUM(Sens!F7502:J7502),"0.0")&amp;" 十億美元（"&amp;TEXT(COUNTIF(Sens!F7502:J7502,"&lt;"&amp;(bb_target-0.05)),"0")&amp;" 年減少）","回購不減")</f>
        <v>需要舉債 6.0 十億美元；回購較每年 22.3 的目標少 32.2 十億美元（2 年減少）</v>
      </c>
    </row>
    <row r="7512" customFormat="false" ht="17.15" hidden="false" customHeight="false" outlineLevel="0" collapsed="false">
      <c r="A7512" s="3" t="s">
        <v>1328</v>
      </c>
    </row>
    <row r="7513" customFormat="false" ht="15" hidden="false" customHeight="false" outlineLevel="0" collapsed="false">
      <c r="A7513" s="4" t="s">
        <v>43</v>
      </c>
      <c r="B7513" s="4" t="s">
        <v>63</v>
      </c>
      <c r="C7513" s="19" t="s">
        <v>710</v>
      </c>
      <c r="D7513" s="19" t="s">
        <v>711</v>
      </c>
      <c r="E7513" s="19" t="s">
        <v>712</v>
      </c>
      <c r="F7513" s="19" t="s">
        <v>713</v>
      </c>
      <c r="G7513" s="19" t="s">
        <v>714</v>
      </c>
      <c r="H7513" s="19" t="s">
        <v>715</v>
      </c>
      <c r="I7513" s="19" t="s">
        <v>716</v>
      </c>
      <c r="J7513" s="19" t="s">
        <v>717</v>
      </c>
      <c r="K7513" s="19" t="s">
        <v>718</v>
      </c>
      <c r="L7513" s="4" t="s">
        <v>47</v>
      </c>
    </row>
    <row r="7514" customFormat="false" ht="17.15" hidden="false" customHeight="false" outlineLevel="0" collapsed="false">
      <c r="A7514" s="1" t="s">
        <v>938</v>
      </c>
      <c r="B7514" s="1" t="s">
        <v>213</v>
      </c>
      <c r="F7514" s="34" t="n">
        <f aca="false">1-0.5</f>
        <v>0.5</v>
      </c>
      <c r="G7514" s="34" t="n">
        <f aca="false">2-0.5</f>
        <v>1.5</v>
      </c>
      <c r="H7514" s="34" t="n">
        <f aca="false">3-0.5</f>
        <v>2.5</v>
      </c>
      <c r="I7514" s="34" t="n">
        <f aca="false">4-0.5</f>
        <v>3.5</v>
      </c>
      <c r="J7514" s="34" t="n">
        <f aca="false">5-0.5</f>
        <v>4.5</v>
      </c>
      <c r="K7514" s="34" t="n">
        <f aca="false">6-0.5</f>
        <v>5.5</v>
      </c>
    </row>
    <row r="7515" customFormat="false" ht="15" hidden="false" customHeight="false" outlineLevel="0" collapsed="false">
      <c r="A7515" s="1" t="s">
        <v>939</v>
      </c>
      <c r="B7515" s="0" t="s">
        <v>182</v>
      </c>
      <c r="F7515" s="18" t="n">
        <f aca="false">1/(1+wacc)^Sens!F7514</f>
        <v>0.949601579913219</v>
      </c>
      <c r="G7515" s="18" t="n">
        <f aca="false">1/(1+wacc)^Sens!G7514</f>
        <v>0.856296729956707</v>
      </c>
      <c r="H7515" s="18" t="n">
        <f aca="false">1/(1+wacc)^Sens!H7514</f>
        <v>0.772159719660069</v>
      </c>
      <c r="I7515" s="18" t="n">
        <f aca="false">1/(1+wacc)^Sens!I7514</f>
        <v>0.696289746073958</v>
      </c>
      <c r="J7515" s="18" t="n">
        <f aca="false">1/(1+wacc)^Sens!J7514</f>
        <v>0.627874516299776</v>
      </c>
      <c r="K7515" s="18" t="n">
        <f aca="false">1/(1+wacc)^Sens!K7514</f>
        <v>0.566181550771831</v>
      </c>
    </row>
    <row r="7516" customFormat="false" ht="15" hidden="false" customHeight="false" outlineLevel="0" collapsed="false">
      <c r="A7516" s="1" t="s">
        <v>940</v>
      </c>
      <c r="B7516" s="0" t="s">
        <v>95</v>
      </c>
      <c r="F7516" s="6" t="n">
        <f aca="false">Sens!F7497*Sens!F7515</f>
        <v>4.7493069614074</v>
      </c>
      <c r="G7516" s="6" t="n">
        <f aca="false">Sens!G7497*Sens!G7515</f>
        <v>37.1959667452734</v>
      </c>
      <c r="H7516" s="6" t="n">
        <f aca="false">Sens!H7497*Sens!H7515</f>
        <v>72.8443192103351</v>
      </c>
      <c r="I7516" s="6" t="n">
        <f aca="false">Sens!I7497*Sens!I7515</f>
        <v>79.0565870963835</v>
      </c>
      <c r="J7516" s="6" t="n">
        <f aca="false">Sens!J7497*Sens!J7515</f>
        <v>91.9401496947474</v>
      </c>
      <c r="K7516" s="6" t="n">
        <f aca="false">Sens!K7497*Sens!K7515</f>
        <v>84.3471361529024</v>
      </c>
    </row>
    <row r="7517" customFormat="false" ht="17.15" hidden="false" customHeight="false" outlineLevel="0" collapsed="false">
      <c r="A7517" s="1" t="s">
        <v>941</v>
      </c>
      <c r="B7517" s="0" t="s">
        <v>95</v>
      </c>
      <c r="C7517" s="6" t="n">
        <f aca="false">SUM(Sens!F7516:K7516)</f>
        <v>370.133465861049</v>
      </c>
    </row>
    <row r="7518" customFormat="false" ht="17.15" hidden="false" customHeight="false" outlineLevel="0" collapsed="false">
      <c r="A7518" s="1" t="s">
        <v>942</v>
      </c>
      <c r="B7518" s="0" t="s">
        <v>95</v>
      </c>
      <c r="C7518" s="6" t="n">
        <f aca="false">Sens!K7463*(1+g_tv)*(1-tax_f)</f>
        <v>260.117020664805</v>
      </c>
    </row>
    <row r="7519" customFormat="false" ht="17.15" hidden="false" customHeight="false" outlineLevel="0" collapsed="false">
      <c r="A7519" s="1" t="s">
        <v>943</v>
      </c>
      <c r="B7519" s="0" t="s">
        <v>95</v>
      </c>
      <c r="C7519" s="6" t="n">
        <f aca="false">Sens!$C$7518*(1-g_tv/(wacc+ronic_prem))</f>
        <v>188.501015396536</v>
      </c>
    </row>
    <row r="7520" customFormat="false" ht="17.15" hidden="false" customHeight="false" outlineLevel="0" collapsed="false">
      <c r="A7520" s="1" t="s">
        <v>944</v>
      </c>
      <c r="B7520" s="0" t="s">
        <v>95</v>
      </c>
      <c r="C7520" s="6" t="n">
        <f aca="false">Sens!$C$7519/(wacc-g_tv)</f>
        <v>2387.20017560897</v>
      </c>
    </row>
    <row r="7521" customFormat="false" ht="15" hidden="false" customHeight="false" outlineLevel="0" collapsed="false">
      <c r="A7521" s="1" t="s">
        <v>945</v>
      </c>
      <c r="B7521" s="0" t="s">
        <v>95</v>
      </c>
      <c r="C7521" s="6" t="n">
        <f aca="false">Sens!$C$7520/(1+wacc)^6</f>
        <v>1283.4707624715</v>
      </c>
    </row>
    <row r="7522" customFormat="false" ht="17.15" hidden="false" customHeight="false" outlineLevel="0" collapsed="false">
      <c r="A7522" s="0" t="s">
        <v>877</v>
      </c>
      <c r="B7522" s="0" t="s">
        <v>95</v>
      </c>
      <c r="C7522" s="6" t="n">
        <f aca="false">Sens!$C$7517+Sens!$C$7521</f>
        <v>1653.60422833255</v>
      </c>
    </row>
    <row r="7523" customFormat="false" ht="15" hidden="false" customHeight="false" outlineLevel="0" collapsed="false">
      <c r="A7523" s="1" t="s">
        <v>878</v>
      </c>
      <c r="B7523" s="0" t="s">
        <v>126</v>
      </c>
      <c r="C7523" s="7" t="n">
        <f aca="false">Sens!$C$7521/Sens!$C$7522</f>
        <v>0.776165626865696</v>
      </c>
    </row>
    <row r="7524" customFormat="false" ht="17.15" hidden="false" customHeight="false" outlineLevel="0" collapsed="false">
      <c r="A7524" s="1" t="s">
        <v>946</v>
      </c>
      <c r="B7524" s="0" t="s">
        <v>95</v>
      </c>
      <c r="C7524" s="6" t="n">
        <f aca="false">Sens!$C$7522+Sens!E7506+oai_v</f>
        <v>1854.71122833255</v>
      </c>
    </row>
    <row r="7525" customFormat="false" ht="17.15" hidden="false" customHeight="false" outlineLevel="0" collapsed="false">
      <c r="A7525" s="0" t="s">
        <v>883</v>
      </c>
      <c r="B7525" s="0" t="s">
        <v>73</v>
      </c>
      <c r="C7525" s="5" t="n">
        <f aca="false">Sens!$C$7524/sh_dil26</f>
        <v>248.854317500677</v>
      </c>
    </row>
    <row r="7526" customFormat="false" ht="17.15" hidden="false" customHeight="false" outlineLevel="0" collapsed="false">
      <c r="A7526" s="0" t="s">
        <v>947</v>
      </c>
      <c r="B7526" s="0" t="s">
        <v>73</v>
      </c>
      <c r="C7526" s="5" t="n">
        <f aca="false">Sens!$C$7525*(1+wacc)^t_roll</f>
        <v>285.43455108383</v>
      </c>
    </row>
    <row r="7527" customFormat="false" ht="17.15" hidden="false" customHeight="false" outlineLevel="0" collapsed="false">
      <c r="A7527" s="1" t="s">
        <v>948</v>
      </c>
      <c r="B7527" s="0" t="s">
        <v>126</v>
      </c>
      <c r="F7527" s="7" t="n">
        <f aca="false">Sens!F7487/(Sens!F7438-Sens!F7394)</f>
        <v>0.0681989742705527</v>
      </c>
      <c r="G7527" s="7" t="n">
        <f aca="false">Sens!G7487/(Sens!G7438-Sens!G7394)</f>
        <v>0.0650965133818313</v>
      </c>
      <c r="H7527" s="7" t="n">
        <f aca="false">Sens!H7487/(Sens!H7438-Sens!H7394)</f>
        <v>0.0634888137911009</v>
      </c>
      <c r="I7527" s="7" t="n">
        <f aca="false">Sens!I7487/(Sens!I7438-Sens!I7394)</f>
        <v>0.0632675482802548</v>
      </c>
      <c r="J7527" s="7" t="n">
        <f aca="false">Sens!J7487/(Sens!J7438-Sens!J7394)</f>
        <v>0.0640849388144092</v>
      </c>
      <c r="K7527" s="7" t="n">
        <f aca="false">Sens!K7487/(Sens!K7438-Sens!K7394)</f>
        <v>0.0654918471862879</v>
      </c>
    </row>
    <row r="7528" customFormat="false" ht="17.15" hidden="false" customHeight="false" outlineLevel="0" collapsed="false">
      <c r="A7528" s="0" t="s">
        <v>949</v>
      </c>
      <c r="B7528" s="0" t="s">
        <v>95</v>
      </c>
      <c r="F7528" s="6" t="n">
        <f aca="false">Sens!F7423*(al_m365+Sens!F7527)</f>
        <v>80.4460700157984</v>
      </c>
      <c r="G7528" s="6" t="n">
        <f aca="false">Sens!G7423*(al_m365+Sens!G7527)</f>
        <v>94.1405329247503</v>
      </c>
      <c r="H7528" s="6" t="n">
        <f aca="false">Sens!H7423*(al_m365+Sens!H7527)</f>
        <v>108.00095709291</v>
      </c>
      <c r="I7528" s="6" t="n">
        <f aca="false">Sens!I7423*(al_m365+Sens!I7527)</f>
        <v>120.43879310614</v>
      </c>
      <c r="J7528" s="6" t="n">
        <f aca="false">Sens!J7423*(al_m365+Sens!J7527)</f>
        <v>131.278105583953</v>
      </c>
      <c r="K7528" s="6" t="n">
        <f aca="false">Sens!K7423*(al_m365+Sens!K7527)</f>
        <v>141.768391885454</v>
      </c>
    </row>
    <row r="7529" customFormat="false" ht="17.15" hidden="false" customHeight="false" outlineLevel="0" collapsed="false">
      <c r="A7529" s="0" t="s">
        <v>950</v>
      </c>
      <c r="B7529" s="0" t="s">
        <v>95</v>
      </c>
      <c r="F7529" s="6" t="n">
        <f aca="false">Sens!F7424*(al_lic+Sens!F7527)</f>
        <v>31.9687385876335</v>
      </c>
      <c r="G7529" s="6" t="n">
        <f aca="false">Sens!G7424*(al_lic+Sens!G7527)</f>
        <v>33.1960794656428</v>
      </c>
      <c r="H7529" s="6" t="n">
        <f aca="false">Sens!H7424*(al_lic+Sens!H7527)</f>
        <v>34.3484252415399</v>
      </c>
      <c r="I7529" s="6" t="n">
        <f aca="false">Sens!I7424*(al_lic+Sens!I7527)</f>
        <v>35.4095054289874</v>
      </c>
      <c r="J7529" s="6" t="n">
        <f aca="false">Sens!J7424*(al_lic+Sens!J7527)</f>
        <v>36.3519951794984</v>
      </c>
      <c r="K7529" s="6" t="n">
        <f aca="false">Sens!K7424*(al_lic+Sens!K7527)</f>
        <v>37.1431153803551</v>
      </c>
    </row>
    <row r="7530" customFormat="false" ht="17.15" hidden="false" customHeight="false" outlineLevel="0" collapsed="false">
      <c r="A7530" s="0" t="s">
        <v>951</v>
      </c>
      <c r="B7530" s="0" t="s">
        <v>95</v>
      </c>
      <c r="F7530" s="6" t="n">
        <f aca="false">Sens!F7426*(al_ind+Sens!F7527)</f>
        <v>8.23190559186167</v>
      </c>
      <c r="G7530" s="6" t="n">
        <f aca="false">Sens!G7426*(al_ind+Sens!G7527)</f>
        <v>8.92267125300121</v>
      </c>
      <c r="H7530" s="6" t="n">
        <f aca="false">Sens!H7426*(al_ind+Sens!H7527)</f>
        <v>9.65928093299589</v>
      </c>
      <c r="I7530" s="6" t="n">
        <f aca="false">Sens!I7426*(al_ind+Sens!I7527)</f>
        <v>10.4407514039194</v>
      </c>
      <c r="J7530" s="6" t="n">
        <f aca="false">Sens!J7426*(al_ind+Sens!J7527)</f>
        <v>11.257234897216</v>
      </c>
      <c r="K7530" s="6" t="n">
        <f aca="false">Sens!K7426*(al_ind+Sens!K7527)</f>
        <v>12.0917869371496</v>
      </c>
    </row>
    <row r="7531" customFormat="false" ht="17.15" hidden="false" customHeight="false" outlineLevel="0" collapsed="false">
      <c r="A7531" s="0" t="s">
        <v>952</v>
      </c>
      <c r="B7531" s="0" t="s">
        <v>95</v>
      </c>
      <c r="F7531" s="6" t="n">
        <f aca="false">Sens!F7428*(al_fro+Sens!F7527)</f>
        <v>3.24010694153858</v>
      </c>
      <c r="G7531" s="6" t="n">
        <f aca="false">Sens!G7428*(al_fro+Sens!G7527)</f>
        <v>3.42577823789664</v>
      </c>
      <c r="H7531" s="6" t="n">
        <f aca="false">Sens!H7428*(al_fro+Sens!H7527)</f>
        <v>3.6399476691109</v>
      </c>
      <c r="I7531" s="6" t="n">
        <f aca="false">Sens!I7428*(al_fro+Sens!I7527)</f>
        <v>3.88562273912418</v>
      </c>
      <c r="J7531" s="6" t="n">
        <f aca="false">Sens!J7428*(al_fro+Sens!J7527)</f>
        <v>4.16335807972487</v>
      </c>
      <c r="K7531" s="6" t="n">
        <f aca="false">Sens!K7428*(al_fro+Sens!K7527)</f>
        <v>4.47200749586768</v>
      </c>
    </row>
    <row r="7532" customFormat="false" ht="17.15" hidden="false" customHeight="false" outlineLevel="0" collapsed="false">
      <c r="A7532" s="0" t="s">
        <v>953</v>
      </c>
      <c r="B7532" s="0" t="s">
        <v>95</v>
      </c>
      <c r="F7532" s="6" t="n">
        <f aca="false">Sens!F7431*(al_srch+Sens!F7527)</f>
        <v>10.1208012333188</v>
      </c>
      <c r="G7532" s="6" t="n">
        <f aca="false">Sens!G7431*(al_srch+Sens!G7527)</f>
        <v>10.9732218475907</v>
      </c>
      <c r="H7532" s="6" t="n">
        <f aca="false">Sens!H7431*(al_srch+Sens!H7527)</f>
        <v>11.7997508568009</v>
      </c>
      <c r="I7532" s="6" t="n">
        <f aca="false">Sens!I7431*(al_srch+Sens!I7527)</f>
        <v>12.5793562241461</v>
      </c>
      <c r="J7532" s="6" t="n">
        <f aca="false">Sens!J7431*(al_srch+Sens!J7527)</f>
        <v>13.2803995233469</v>
      </c>
      <c r="K7532" s="6" t="n">
        <f aca="false">Sens!K7431*(al_srch+Sens!K7527)</f>
        <v>13.8649867795261</v>
      </c>
    </row>
    <row r="7533" customFormat="false" ht="17.15" hidden="false" customHeight="false" outlineLevel="0" collapsed="false">
      <c r="A7533" s="0" t="s">
        <v>954</v>
      </c>
      <c r="B7533" s="0" t="s">
        <v>95</v>
      </c>
      <c r="F7533" s="6" t="n">
        <f aca="false">Sens!F7400</f>
        <v>43.1278534047371</v>
      </c>
      <c r="G7533" s="6" t="n">
        <f aca="false">Sens!G7400</f>
        <v>78.4713023799053</v>
      </c>
      <c r="H7533" s="6" t="n">
        <f aca="false">Sens!H7400</f>
        <v>120.169624261219</v>
      </c>
      <c r="I7533" s="6" t="n">
        <f aca="false">Sens!I7400</f>
        <v>156.086713969963</v>
      </c>
      <c r="J7533" s="6" t="n">
        <f aca="false">Sens!J7400</f>
        <v>192.09687492465</v>
      </c>
      <c r="K7533" s="6" t="n">
        <f aca="false">Sens!K7400</f>
        <v>228.161785217179</v>
      </c>
    </row>
    <row r="7534" customFormat="false" ht="17.15" hidden="false" customHeight="false" outlineLevel="0" collapsed="false">
      <c r="A7534" s="0" t="s">
        <v>955</v>
      </c>
      <c r="B7534" s="0" t="s">
        <v>95</v>
      </c>
      <c r="F7534" s="6" t="n">
        <f aca="false">Sens!F7460+Sens!F7411+Sens!F7527*(Sens!F7430-Sens!F7394)</f>
        <v>216.0070759127</v>
      </c>
      <c r="G7534" s="6" t="n">
        <f aca="false">Sens!G7460+Sens!G7411+Sens!G7527*(Sens!G7430-Sens!G7394)</f>
        <v>273.209401897782</v>
      </c>
      <c r="H7534" s="6" t="n">
        <f aca="false">Sens!H7460+Sens!H7411+Sens!H7527*(Sens!H7430-Sens!H7394)</f>
        <v>337.025089641347</v>
      </c>
      <c r="I7534" s="6" t="n">
        <f aca="false">Sens!I7460+Sens!I7411+Sens!I7527*(Sens!I7430-Sens!I7394)</f>
        <v>393.50721875884</v>
      </c>
      <c r="J7534" s="6" t="n">
        <f aca="false">Sens!J7460+Sens!J7411+Sens!J7527*(Sens!J7430-Sens!J7394)</f>
        <v>447.714085099527</v>
      </c>
      <c r="K7534" s="6" t="n">
        <f aca="false">Sens!K7460+Sens!K7411+Sens!K7527*(Sens!K7430-Sens!K7394)</f>
        <v>500.063362489838</v>
      </c>
    </row>
    <row r="7535" customFormat="false" ht="17.15" hidden="false" customHeight="false" outlineLevel="0" collapsed="false">
      <c r="A7535" s="0" t="s">
        <v>956</v>
      </c>
      <c r="B7535" s="0" t="s">
        <v>95</v>
      </c>
      <c r="F7535" s="6" t="n">
        <f aca="false">Sens!F7534-Sens!F7528-Sens!F7529-Sens!F7530-Sens!F7531-Sens!F7533</f>
        <v>48.9924013711312</v>
      </c>
      <c r="G7535" s="6" t="n">
        <f aca="false">Sens!G7534-Sens!G7528-Sens!G7529-Sens!G7530-Sens!G7531-Sens!G7533</f>
        <v>55.0530376365856</v>
      </c>
      <c r="H7535" s="6" t="n">
        <f aca="false">Sens!H7534-Sens!H7528-Sens!H7529-Sens!H7530-Sens!H7531-Sens!H7533</f>
        <v>61.2068544435712</v>
      </c>
      <c r="I7535" s="6" t="n">
        <f aca="false">Sens!I7534-Sens!I7528-Sens!I7529-Sens!I7530-Sens!I7531-Sens!I7533</f>
        <v>67.2458321107061</v>
      </c>
      <c r="J7535" s="6" t="n">
        <f aca="false">Sens!J7534-Sens!J7528-Sens!J7529-Sens!J7530-Sens!J7531-Sens!J7533</f>
        <v>72.5665164344842</v>
      </c>
      <c r="K7535" s="6" t="n">
        <f aca="false">Sens!K7534-Sens!K7528-Sens!K7529-Sens!K7530-Sens!K7531-Sens!K7533</f>
        <v>76.4262755738324</v>
      </c>
    </row>
    <row r="7536" customFormat="false" ht="17.15" hidden="false" customHeight="false" outlineLevel="0" collapsed="false">
      <c r="A7536" s="0" t="s">
        <v>957</v>
      </c>
      <c r="B7536" s="0" t="s">
        <v>95</v>
      </c>
      <c r="F7536" s="6" t="n">
        <f aca="false">Sens!F7462+Sens!F7527*Sens!F7437</f>
        <v>23.6927903597055</v>
      </c>
      <c r="G7536" s="6" t="n">
        <f aca="false">Sens!G7462+Sens!G7527*Sens!G7437</f>
        <v>24.1038729893568</v>
      </c>
      <c r="H7536" s="6" t="n">
        <f aca="false">Sens!H7462+Sens!H7527*Sens!H7437</f>
        <v>24.7021437774956</v>
      </c>
      <c r="I7536" s="6" t="n">
        <f aca="false">Sens!I7462+Sens!I7527*Sens!I7437</f>
        <v>25.4486960211302</v>
      </c>
      <c r="J7536" s="6" t="n">
        <f aca="false">Sens!J7462+Sens!J7527*Sens!J7437</f>
        <v>26.2947775843581</v>
      </c>
      <c r="K7536" s="6" t="n">
        <f aca="false">Sens!K7462+Sens!K7527*Sens!K7437</f>
        <v>27.189273203265</v>
      </c>
    </row>
    <row r="7537" customFormat="false" ht="17.15" hidden="false" customHeight="false" outlineLevel="0" collapsed="false">
      <c r="A7537" s="0" t="s">
        <v>958</v>
      </c>
      <c r="B7537" s="0" t="s">
        <v>95</v>
      </c>
      <c r="F7537" s="6" t="n">
        <f aca="false">(Sens!F7536-Sens!F7532)*Sens!F7433/(Sens!F7433+Sens!F7435)</f>
        <v>7.44003224982651</v>
      </c>
      <c r="G7537" s="6" t="n">
        <f aca="false">(Sens!G7536-Sens!G7532)*Sens!G7433/(Sens!G7433+Sens!G7435)</f>
        <v>7.06975348260243</v>
      </c>
      <c r="H7537" s="6" t="n">
        <f aca="false">(Sens!H7536-Sens!H7532)*Sens!H7433/(Sens!H7433+Sens!H7435)</f>
        <v>6.85301518052505</v>
      </c>
      <c r="I7537" s="6" t="n">
        <f aca="false">(Sens!I7536-Sens!I7532)*Sens!I7433/(Sens!I7433+Sens!I7435)</f>
        <v>6.77361192422741</v>
      </c>
      <c r="J7537" s="6" t="n">
        <f aca="false">(Sens!J7536-Sens!J7532)*Sens!J7433/(Sens!J7433+Sens!J7435)</f>
        <v>6.81897572858676</v>
      </c>
      <c r="K7537" s="6" t="n">
        <f aca="false">(Sens!K7536-Sens!K7532)*Sens!K7433/(Sens!K7433+Sens!K7435)</f>
        <v>6.98135441419274</v>
      </c>
    </row>
    <row r="7538" customFormat="false" ht="17.15" hidden="false" customHeight="false" outlineLevel="0" collapsed="false">
      <c r="A7538" s="0" t="s">
        <v>959</v>
      </c>
      <c r="B7538" s="0" t="s">
        <v>95</v>
      </c>
      <c r="F7538" s="6" t="n">
        <f aca="false">Sens!F7536-Sens!F7532-Sens!F7537</f>
        <v>6.13195687656017</v>
      </c>
      <c r="G7538" s="6" t="n">
        <f aca="false">Sens!G7536-Sens!G7532-Sens!G7537</f>
        <v>6.06089765916366</v>
      </c>
      <c r="H7538" s="6" t="n">
        <f aca="false">Sens!H7536-Sens!H7532-Sens!H7537</f>
        <v>6.04937774016972</v>
      </c>
      <c r="I7538" s="6" t="n">
        <f aca="false">Sens!I7536-Sens!I7532-Sens!I7537</f>
        <v>6.09572787275673</v>
      </c>
      <c r="J7538" s="6" t="n">
        <f aca="false">Sens!J7536-Sens!J7532-Sens!J7537</f>
        <v>6.19540233242451</v>
      </c>
      <c r="K7538" s="6" t="n">
        <f aca="false">Sens!K7536-Sens!K7532-Sens!K7537</f>
        <v>6.34293200954623</v>
      </c>
    </row>
    <row r="7539" customFormat="false" ht="17.15" hidden="false" customHeight="false" outlineLevel="0" collapsed="false">
      <c r="A7539" s="1" t="s">
        <v>960</v>
      </c>
      <c r="B7539" s="0" t="s">
        <v>95</v>
      </c>
      <c r="C7539" s="6" t="n">
        <f aca="false">(w_ntm28*Sens!G7533+(1-w_ntm28)*Sens!H7533)*m_ai*1</f>
        <v>551.711134531404</v>
      </c>
    </row>
    <row r="7540" customFormat="false" ht="17.15" hidden="false" customHeight="false" outlineLevel="0" collapsed="false">
      <c r="A7540" s="1" t="s">
        <v>961</v>
      </c>
      <c r="B7540" s="0" t="s">
        <v>95</v>
      </c>
      <c r="C7540" s="6" t="n">
        <f aca="false">(w_ntm28*Sens!G7535+(1-w_ntm28)*Sens!H7535)*m_cloud*1</f>
        <v>788.3272220449</v>
      </c>
    </row>
    <row r="7541" customFormat="false" ht="17.15" hidden="false" customHeight="false" outlineLevel="0" collapsed="false">
      <c r="A7541" s="1" t="s">
        <v>962</v>
      </c>
      <c r="B7541" s="0" t="s">
        <v>95</v>
      </c>
      <c r="C7541" s="6" t="n">
        <f aca="false">(w_ntm28*Sens!G7528+(1-w_ntm28)*Sens!H7528)*m_sw*1</f>
        <v>1065.11152150485</v>
      </c>
    </row>
    <row r="7542" customFormat="false" ht="17.15" hidden="false" customHeight="false" outlineLevel="0" collapsed="false">
      <c r="A7542" s="1" t="s">
        <v>963</v>
      </c>
      <c r="B7542" s="0" t="s">
        <v>95</v>
      </c>
      <c r="C7542" s="6" t="n">
        <f aca="false">(w_ntm28*Sens!G7529+(1-w_ntm28)*Sens!H7529)*m_sw*1</f>
        <v>362.541081398266</v>
      </c>
    </row>
    <row r="7543" customFormat="false" ht="17.15" hidden="false" customHeight="false" outlineLevel="0" collapsed="false">
      <c r="A7543" s="1" t="s">
        <v>964</v>
      </c>
      <c r="B7543" s="0" t="s">
        <v>95</v>
      </c>
      <c r="C7543" s="6" t="n">
        <f aca="false">(w_ntm28*Sens!G7530+(1-w_ntm28)*Sens!H7530)*m_sw*1</f>
        <v>98.9367272753863</v>
      </c>
    </row>
    <row r="7544" customFormat="false" ht="17.15" hidden="false" customHeight="false" outlineLevel="0" collapsed="false">
      <c r="A7544" s="1" t="s">
        <v>965</v>
      </c>
      <c r="B7544" s="0" t="s">
        <v>95</v>
      </c>
      <c r="C7544" s="6" t="n">
        <f aca="false">(w_ntm28*Sens!G7531+(1-w_ntm28)*Sens!H7531)*m_sw*1</f>
        <v>37.7461790052822</v>
      </c>
    </row>
    <row r="7545" customFormat="false" ht="17.15" hidden="false" customHeight="false" outlineLevel="0" collapsed="false">
      <c r="A7545" s="1" t="s">
        <v>966</v>
      </c>
      <c r="B7545" s="0" t="s">
        <v>95</v>
      </c>
      <c r="C7545" s="6" t="n">
        <f aca="false">(w_ntm28*Sens!G7532+(1-w_ntm28)*Sens!H7532)*m_ads*1</f>
        <v>102.400303509142</v>
      </c>
    </row>
    <row r="7546" customFormat="false" ht="17.15" hidden="false" customHeight="false" outlineLevel="0" collapsed="false">
      <c r="A7546" s="1" t="s">
        <v>967</v>
      </c>
      <c r="B7546" s="0" t="s">
        <v>95</v>
      </c>
      <c r="C7546" s="6" t="n">
        <f aca="false">(w_ntm28*Sens!G7537+(1-w_ntm28)*Sens!H7537)*m_game*1</f>
        <v>88.4060172767262</v>
      </c>
    </row>
    <row r="7547" customFormat="false" ht="17.15" hidden="false" customHeight="false" outlineLevel="0" collapsed="false">
      <c r="A7547" s="1" t="s">
        <v>968</v>
      </c>
      <c r="B7547" s="0" t="s">
        <v>95</v>
      </c>
      <c r="C7547" s="6" t="n">
        <f aca="false">(w_ntm28*Sens!G7538+(1-w_ntm28)*Sens!H7538)*m_pc*1</f>
        <v>87.6472992626588</v>
      </c>
    </row>
    <row r="7548" customFormat="false" ht="17.15" hidden="false" customHeight="false" outlineLevel="0" collapsed="false">
      <c r="A7548" s="1" t="s">
        <v>969</v>
      </c>
      <c r="B7548" s="0" t="s">
        <v>95</v>
      </c>
      <c r="C7548" s="6" t="n">
        <f aca="false">Sens!$C$7539+Sens!$C$7540+Sens!$C$7541+Sens!$C$7542+Sens!$C$7543+Sens!$C$7544+Sens!$C$7545+Sens!$C$7546+Sens!$C$7547</f>
        <v>3182.82748580861</v>
      </c>
    </row>
    <row r="7549" customFormat="false" ht="17.15" hidden="false" customHeight="false" outlineLevel="0" collapsed="false">
      <c r="A7549" s="1" t="s">
        <v>903</v>
      </c>
      <c r="B7549" s="0" t="s">
        <v>95</v>
      </c>
      <c r="C7549" s="6" t="n">
        <f aca="false">Sens!F7506+oai_v-Sens!F7495</f>
        <v>115.044688007245</v>
      </c>
      <c r="L7549" s="1" t="s">
        <v>970</v>
      </c>
    </row>
    <row r="7550" customFormat="false" ht="15" hidden="false" customHeight="false" outlineLevel="0" collapsed="false">
      <c r="A7550" s="1" t="s">
        <v>904</v>
      </c>
      <c r="B7550" s="0" t="s">
        <v>73</v>
      </c>
      <c r="C7550" s="5" t="n">
        <f aca="false">(Sens!$C$7548+Sens!$C$7549)/Sens!F7508</f>
        <v>441.364048958225</v>
      </c>
    </row>
    <row r="7551" customFormat="false" ht="17.15" hidden="false" customHeight="false" outlineLevel="0" collapsed="false">
      <c r="A7551" s="1" t="s">
        <v>971</v>
      </c>
      <c r="B7551" s="0" t="s">
        <v>73</v>
      </c>
      <c r="C7551" s="5" t="n">
        <f aca="false">w_dcf*Sens!$C$7526+(1-w_dcf)*Sens!$C$7550</f>
        <v>363.399300021028</v>
      </c>
    </row>
    <row r="7552" customFormat="false" ht="17.15" hidden="false" customHeight="false" outlineLevel="0" collapsed="false">
      <c r="A7552" s="3" t="s">
        <v>1329</v>
      </c>
    </row>
    <row r="7553" customFormat="false" ht="15" hidden="false" customHeight="false" outlineLevel="0" collapsed="false">
      <c r="A7553" s="4" t="s">
        <v>43</v>
      </c>
      <c r="B7553" s="4" t="s">
        <v>63</v>
      </c>
      <c r="C7553" s="19" t="s">
        <v>710</v>
      </c>
      <c r="D7553" s="19" t="s">
        <v>711</v>
      </c>
      <c r="E7553" s="19" t="s">
        <v>712</v>
      </c>
      <c r="F7553" s="19" t="s">
        <v>713</v>
      </c>
      <c r="G7553" s="19" t="s">
        <v>714</v>
      </c>
      <c r="H7553" s="19" t="s">
        <v>715</v>
      </c>
      <c r="I7553" s="19" t="s">
        <v>716</v>
      </c>
      <c r="J7553" s="19" t="s">
        <v>717</v>
      </c>
      <c r="K7553" s="19" t="s">
        <v>718</v>
      </c>
      <c r="L7553" s="4" t="s">
        <v>47</v>
      </c>
    </row>
    <row r="7554" customFormat="false" ht="17.15" hidden="false" customHeight="false" outlineLevel="0" collapsed="false">
      <c r="A7554" s="1" t="s">
        <v>719</v>
      </c>
      <c r="B7554" s="0" t="s">
        <v>340</v>
      </c>
      <c r="C7554" s="27" t="n">
        <f aca="false">mw_ext_24</f>
        <v>640</v>
      </c>
      <c r="D7554" s="27" t="n">
        <f aca="false">mw_ext_25</f>
        <v>1630</v>
      </c>
      <c r="E7554" s="27" t="n">
        <f aca="false">mw_ext_26</f>
        <v>3250</v>
      </c>
      <c r="F7554" s="27" t="n">
        <f aca="false">MIN(1000000000,Sens!E7554+pace)</f>
        <v>5777.2</v>
      </c>
      <c r="G7554" s="27" t="n">
        <f aca="false">MIN(1000000000,Sens!F7554+pace)</f>
        <v>8304.4</v>
      </c>
      <c r="H7554" s="27" t="n">
        <f aca="false">MIN(1000000000,Sens!G7554+pace)</f>
        <v>10831.6</v>
      </c>
      <c r="I7554" s="27" t="n">
        <f aca="false">MIN(1000000000,Sens!H7554+pace)</f>
        <v>13358.8</v>
      </c>
      <c r="J7554" s="27" t="n">
        <f aca="false">MIN(1000000000,Sens!I7554+pace)</f>
        <v>15886</v>
      </c>
      <c r="K7554" s="27" t="n">
        <f aca="false">MIN(1000000000,Sens!J7554+pace)</f>
        <v>18413.2</v>
      </c>
      <c r="L7554" s="11" t="s">
        <v>720</v>
      </c>
    </row>
    <row r="7555" customFormat="false" ht="17.15" hidden="false" customHeight="false" outlineLevel="0" collapsed="false">
      <c r="A7555" s="1" t="s">
        <v>721</v>
      </c>
      <c r="B7555" s="0" t="s">
        <v>340</v>
      </c>
      <c r="C7555" s="27" t="n">
        <f aca="false">rent_ext_24</f>
        <v>150</v>
      </c>
      <c r="D7555" s="27" t="n">
        <f aca="false">rent_ext_25</f>
        <v>400</v>
      </c>
      <c r="E7555" s="27" t="n">
        <f aca="false">rent_ext_26</f>
        <v>550</v>
      </c>
      <c r="F7555" s="27" t="n">
        <f aca="false">rent_ext_f</f>
        <v>756</v>
      </c>
      <c r="G7555" s="27" t="n">
        <f aca="false">rent_ext_f</f>
        <v>756</v>
      </c>
      <c r="H7555" s="27" t="n">
        <f aca="false">rent_ext_f</f>
        <v>756</v>
      </c>
      <c r="I7555" s="27" t="n">
        <f aca="false">rent_ext_f</f>
        <v>756</v>
      </c>
      <c r="J7555" s="27" t="n">
        <f aca="false">rent_ext_f</f>
        <v>756</v>
      </c>
      <c r="K7555" s="27" t="n">
        <f aca="false">rent_ext_f</f>
        <v>756</v>
      </c>
      <c r="L7555" s="1" t="s">
        <v>722</v>
      </c>
    </row>
    <row r="7556" customFormat="false" ht="17.15" hidden="false" customHeight="false" outlineLevel="0" collapsed="false">
      <c r="A7556" s="1" t="s">
        <v>723</v>
      </c>
      <c r="B7556" s="0" t="s">
        <v>340</v>
      </c>
      <c r="C7556" s="27" t="n">
        <f aca="false">Sens!C7554-Sens!C7555</f>
        <v>490</v>
      </c>
      <c r="D7556" s="27" t="n">
        <f aca="false">Sens!D7554-Sens!D7555</f>
        <v>1230</v>
      </c>
      <c r="E7556" s="27" t="n">
        <f aca="false">Sens!E7554-Sens!E7555</f>
        <v>2700</v>
      </c>
      <c r="F7556" s="27" t="n">
        <f aca="false">Sens!F7554-Sens!F7555</f>
        <v>5021.2</v>
      </c>
      <c r="G7556" s="27" t="n">
        <f aca="false">Sens!G7554-Sens!G7555</f>
        <v>7548.4</v>
      </c>
      <c r="H7556" s="27" t="n">
        <f aca="false">Sens!H7554-Sens!H7555</f>
        <v>10075.6</v>
      </c>
      <c r="I7556" s="27" t="n">
        <f aca="false">Sens!I7554-Sens!I7555</f>
        <v>12602.8</v>
      </c>
      <c r="J7556" s="27" t="n">
        <f aca="false">Sens!J7554-Sens!J7555</f>
        <v>15130</v>
      </c>
      <c r="K7556" s="27" t="n">
        <f aca="false">Sens!K7554-Sens!K7555</f>
        <v>17657.2</v>
      </c>
    </row>
    <row r="7557" customFormat="false" ht="17.15" hidden="false" customHeight="false" outlineLevel="0" collapsed="false">
      <c r="A7557" s="1" t="s">
        <v>724</v>
      </c>
      <c r="B7557" s="0" t="s">
        <v>340</v>
      </c>
      <c r="C7557" s="27" t="n">
        <f aca="false">Sens!C7556/ext_sh</f>
        <v>816.666666666667</v>
      </c>
      <c r="D7557" s="27" t="n">
        <f aca="false">Sens!D7556/ext_sh</f>
        <v>2050</v>
      </c>
      <c r="E7557" s="27" t="n">
        <f aca="false">Sens!E7556/ext_sh</f>
        <v>4500</v>
      </c>
      <c r="F7557" s="27" t="n">
        <f aca="false">Sens!F7556/ext_sh</f>
        <v>8368.66666666667</v>
      </c>
      <c r="G7557" s="27" t="n">
        <f aca="false">Sens!G7556/ext_sh</f>
        <v>12580.6666666667</v>
      </c>
      <c r="H7557" s="27" t="n">
        <f aca="false">Sens!H7556/ext_sh</f>
        <v>16792.6666666667</v>
      </c>
      <c r="I7557" s="27" t="n">
        <f aca="false">Sens!I7556/ext_sh</f>
        <v>21004.6666666667</v>
      </c>
      <c r="J7557" s="27" t="n">
        <f aca="false">Sens!J7556/ext_sh</f>
        <v>25216.6666666667</v>
      </c>
      <c r="K7557" s="27" t="n">
        <f aca="false">Sens!K7556/ext_sh</f>
        <v>29428.6666666667</v>
      </c>
      <c r="L7557" s="1" t="s">
        <v>725</v>
      </c>
    </row>
    <row r="7558" customFormat="false" ht="17.15" hidden="false" customHeight="false" outlineLevel="0" collapsed="false">
      <c r="A7558" s="1" t="s">
        <v>726</v>
      </c>
      <c r="B7558" s="0" t="s">
        <v>340</v>
      </c>
      <c r="C7558" s="27" t="n">
        <f aca="false">Sens!C7557-Sens!C7556</f>
        <v>326.666666666667</v>
      </c>
      <c r="D7558" s="27" t="n">
        <f aca="false">Sens!D7557-Sens!D7556</f>
        <v>820</v>
      </c>
      <c r="E7558" s="27" t="n">
        <f aca="false">Sens!E7557-Sens!E7556</f>
        <v>1800</v>
      </c>
      <c r="F7558" s="27" t="n">
        <f aca="false">Sens!F7557-Sens!F7556</f>
        <v>3347.46666666667</v>
      </c>
      <c r="G7558" s="27" t="n">
        <f aca="false">Sens!G7557-Sens!G7556</f>
        <v>5032.26666666667</v>
      </c>
      <c r="H7558" s="27" t="n">
        <f aca="false">Sens!H7557-Sens!H7556</f>
        <v>6717.06666666667</v>
      </c>
      <c r="I7558" s="27" t="n">
        <f aca="false">Sens!I7557-Sens!I7556</f>
        <v>8401.86666666667</v>
      </c>
      <c r="J7558" s="27" t="n">
        <f aca="false">Sens!J7557-Sens!J7556</f>
        <v>10086.6666666667</v>
      </c>
      <c r="K7558" s="27" t="n">
        <f aca="false">Sens!K7557-Sens!K7556</f>
        <v>11771.4666666667</v>
      </c>
    </row>
    <row r="7559" customFormat="false" ht="17.15" hidden="false" customHeight="false" outlineLevel="0" collapsed="false">
      <c r="A7559" s="1" t="s">
        <v>727</v>
      </c>
      <c r="B7559" s="0" t="s">
        <v>340</v>
      </c>
      <c r="C7559" s="27" t="n">
        <f aca="false">Sens!C7557</f>
        <v>816.666666666667</v>
      </c>
      <c r="D7559" s="27" t="n">
        <f aca="false">Sens!D7557-Sens!C7557</f>
        <v>1233.33333333333</v>
      </c>
      <c r="E7559" s="27" t="n">
        <f aca="false">Sens!E7557-Sens!D7557</f>
        <v>2450</v>
      </c>
      <c r="F7559" s="27" t="n">
        <f aca="false">Sens!F7557-Sens!E7557</f>
        <v>3868.66666666667</v>
      </c>
      <c r="G7559" s="27" t="n">
        <f aca="false">Sens!G7557-Sens!F7557</f>
        <v>4212</v>
      </c>
      <c r="H7559" s="27" t="n">
        <f aca="false">Sens!H7557-Sens!G7557</f>
        <v>4212</v>
      </c>
      <c r="I7559" s="27" t="n">
        <f aca="false">Sens!I7557-Sens!H7557</f>
        <v>4212</v>
      </c>
      <c r="J7559" s="27" t="n">
        <f aca="false">Sens!J7557-Sens!I7557</f>
        <v>4212</v>
      </c>
      <c r="K7559" s="27" t="n">
        <f aca="false">Sens!K7557-Sens!J7557</f>
        <v>4212</v>
      </c>
    </row>
    <row r="7560" customFormat="false" ht="17.15" hidden="false" customHeight="false" outlineLevel="0" collapsed="false">
      <c r="A7560" s="1" t="s">
        <v>728</v>
      </c>
      <c r="B7560" s="0" t="s">
        <v>340</v>
      </c>
      <c r="D7560" s="27" t="n">
        <f aca="false">Sens!D7554-Sens!C7554</f>
        <v>990</v>
      </c>
      <c r="E7560" s="27" t="n">
        <f aca="false">Sens!E7554-Sens!D7554</f>
        <v>1620</v>
      </c>
      <c r="F7560" s="27" t="n">
        <f aca="false">Sens!F7554-Sens!E7554</f>
        <v>2527.2</v>
      </c>
      <c r="G7560" s="27" t="n">
        <f aca="false">Sens!G7554-Sens!F7554</f>
        <v>2527.2</v>
      </c>
      <c r="H7560" s="27" t="n">
        <f aca="false">Sens!H7554-Sens!G7554</f>
        <v>2527.2</v>
      </c>
      <c r="I7560" s="27" t="n">
        <f aca="false">Sens!I7554-Sens!H7554</f>
        <v>2527.2</v>
      </c>
      <c r="J7560" s="27" t="n">
        <f aca="false">Sens!J7554-Sens!I7554</f>
        <v>2527.2</v>
      </c>
      <c r="K7560" s="27" t="n">
        <f aca="false">Sens!K7554-Sens!J7554</f>
        <v>2527.2</v>
      </c>
    </row>
    <row r="7561" customFormat="false" ht="17.15" hidden="false" customHeight="false" outlineLevel="0" collapsed="false">
      <c r="A7561" s="1" t="s">
        <v>729</v>
      </c>
      <c r="B7561" s="0" t="s">
        <v>340</v>
      </c>
      <c r="C7561" s="27" t="n">
        <f aca="false">mix_h*Sens!C7554</f>
        <v>128</v>
      </c>
      <c r="D7561" s="27" t="n">
        <f aca="false">mix_h*Sens!D7554</f>
        <v>326</v>
      </c>
      <c r="E7561" s="27" t="n">
        <f aca="false">mix_h*Sens!E7554</f>
        <v>650</v>
      </c>
      <c r="F7561" s="27" t="n">
        <f aca="false">Sens!E7561</f>
        <v>650</v>
      </c>
      <c r="G7561" s="27" t="n">
        <f aca="false">Sens!F7561</f>
        <v>650</v>
      </c>
      <c r="H7561" s="27" t="n">
        <f aca="false">Sens!G7561</f>
        <v>650</v>
      </c>
      <c r="I7561" s="27" t="n">
        <f aca="false">Sens!H7561</f>
        <v>650</v>
      </c>
      <c r="J7561" s="27" t="n">
        <f aca="false">Sens!I7561</f>
        <v>650</v>
      </c>
      <c r="K7561" s="27" t="n">
        <f aca="false">Sens!J7561</f>
        <v>650</v>
      </c>
    </row>
    <row r="7562" customFormat="false" ht="17.15" hidden="false" customHeight="false" outlineLevel="0" collapsed="false">
      <c r="A7562" s="1" t="s">
        <v>730</v>
      </c>
      <c r="B7562" s="0" t="s">
        <v>340</v>
      </c>
      <c r="C7562" s="27" t="n">
        <f aca="false">mix_g2*Sens!C7554</f>
        <v>288</v>
      </c>
      <c r="D7562" s="27" t="n">
        <f aca="false">mix_g2*Sens!D7554</f>
        <v>733.5</v>
      </c>
      <c r="E7562" s="27" t="n">
        <f aca="false">mix_g2*Sens!E7554</f>
        <v>1462.5</v>
      </c>
      <c r="F7562" s="27" t="n">
        <f aca="false">Sens!E7562</f>
        <v>1462.5</v>
      </c>
      <c r="G7562" s="27" t="n">
        <f aca="false">Sens!F7562</f>
        <v>1462.5</v>
      </c>
      <c r="H7562" s="27" t="n">
        <f aca="false">Sens!G7562</f>
        <v>1462.5</v>
      </c>
      <c r="I7562" s="27" t="n">
        <f aca="false">Sens!H7562</f>
        <v>1462.5</v>
      </c>
      <c r="J7562" s="27" t="n">
        <f aca="false">Sens!I7562</f>
        <v>1462.5</v>
      </c>
      <c r="K7562" s="27" t="n">
        <f aca="false">Sens!J7562</f>
        <v>1462.5</v>
      </c>
    </row>
    <row r="7563" customFormat="false" ht="17.15" hidden="false" customHeight="false" outlineLevel="0" collapsed="false">
      <c r="A7563" s="1" t="s">
        <v>731</v>
      </c>
      <c r="B7563" s="0" t="s">
        <v>340</v>
      </c>
      <c r="C7563" s="27" t="n">
        <f aca="false">mix_g3*Sens!C7554</f>
        <v>224</v>
      </c>
      <c r="D7563" s="27" t="n">
        <f aca="false">mix_g3*Sens!D7554</f>
        <v>570.5</v>
      </c>
      <c r="E7563" s="27" t="n">
        <f aca="false">mix_g3*Sens!E7554</f>
        <v>1137.5</v>
      </c>
      <c r="F7563" s="27" t="n">
        <f aca="false">Sens!E7563+Sens!F7560*a_g3_27</f>
        <v>2906.54</v>
      </c>
      <c r="G7563" s="27" t="n">
        <f aca="false">Sens!F7563+Sens!G7560*a_g3_28</f>
        <v>3664.7</v>
      </c>
      <c r="H7563" s="27" t="n">
        <f aca="false">Sens!G7563+Sens!H7560*a_g3_29</f>
        <v>3917.42</v>
      </c>
      <c r="I7563" s="27" t="n">
        <f aca="false">Sens!H7563+Sens!I7560*a_g3_29</f>
        <v>4170.14</v>
      </c>
      <c r="J7563" s="27" t="n">
        <f aca="false">Sens!I7563+Sens!J7560*a_g3_29</f>
        <v>4422.86</v>
      </c>
      <c r="K7563" s="27" t="n">
        <f aca="false">Sens!J7563+Sens!K7560*a_g3_29</f>
        <v>4675.58</v>
      </c>
    </row>
    <row r="7564" customFormat="false" ht="17.15" hidden="false" customHeight="false" outlineLevel="0" collapsed="false">
      <c r="A7564" s="1" t="s">
        <v>732</v>
      </c>
      <c r="B7564" s="0" t="s">
        <v>340</v>
      </c>
      <c r="C7564" s="27" t="n">
        <f aca="false">0</f>
        <v>0</v>
      </c>
      <c r="D7564" s="27" t="n">
        <f aca="false">0</f>
        <v>0</v>
      </c>
      <c r="E7564" s="27" t="n">
        <f aca="false">0</f>
        <v>0</v>
      </c>
      <c r="F7564" s="27" t="n">
        <f aca="false">Sens!E7564+Sens!F7560*(1-a_g3_27)</f>
        <v>758.16</v>
      </c>
      <c r="G7564" s="27" t="n">
        <f aca="false">Sens!F7564+Sens!G7560*(1-a_g3_28)</f>
        <v>2527.2</v>
      </c>
      <c r="H7564" s="27" t="n">
        <f aca="false">Sens!G7564+Sens!H7560*(1-a_g3_29)</f>
        <v>4801.68</v>
      </c>
      <c r="I7564" s="27" t="n">
        <f aca="false">Sens!H7564+Sens!I7560*(1-a_g3_29)</f>
        <v>7076.16</v>
      </c>
      <c r="J7564" s="27" t="n">
        <f aca="false">Sens!I7564+Sens!J7560*(1-a_g3_29)</f>
        <v>9350.64</v>
      </c>
      <c r="K7564" s="27" t="n">
        <f aca="false">Sens!J7564+Sens!K7560*(1-a_g3_29)</f>
        <v>11625.12</v>
      </c>
    </row>
    <row r="7565" customFormat="false" ht="17.15" hidden="false" customHeight="false" outlineLevel="0" collapsed="false">
      <c r="A7565" s="1" t="s">
        <v>733</v>
      </c>
      <c r="B7565" s="0" t="s">
        <v>291</v>
      </c>
      <c r="C7565" s="18" t="n">
        <f aca="false">(Sens!C7561*tk_hold_h100+Sens!C7562*tk_hold_gb200+Sens!C7563*tk_hold_gb300+Sens!C7564*tk_hold_vr200)/Sens!C7554</f>
        <v>9.7235358126469</v>
      </c>
      <c r="D7565" s="18" t="n">
        <f aca="false">(Sens!D7561*tk_hold_h100+Sens!D7562*tk_hold_gb200+Sens!D7563*tk_hold_gb300+Sens!D7564*tk_hold_vr200)/Sens!D7554</f>
        <v>9.7235358126469</v>
      </c>
      <c r="E7565" s="18" t="n">
        <f aca="false">(Sens!E7561*tk_hold_h100+Sens!E7562*tk_hold_gb200+Sens!E7563*tk_hold_gb300+Sens!E7564*tk_hold_vr200)/Sens!E7554</f>
        <v>9.7235358126469</v>
      </c>
      <c r="F7565" s="18" t="n">
        <f aca="false">(Sens!F7561*tk_hold_h100+Sens!F7562*tk_hold_gb200+Sens!F7563*tk_hold_gb300+Sens!F7564*tk_hold_vr200)/Sens!F7554</f>
        <v>10.4079573161931</v>
      </c>
      <c r="G7565" s="18" t="n">
        <f aca="false">(Sens!G7561*tk_hold_h100+Sens!G7562*tk_hold_gb200+Sens!G7563*tk_hold_gb300+Sens!G7564*tk_hold_vr200)/Sens!G7554</f>
        <v>10.8388131109316</v>
      </c>
      <c r="H7565" s="18" t="n">
        <f aca="false">(Sens!H7561*tk_hold_h100+Sens!H7562*tk_hold_gb200+Sens!H7563*tk_hold_gb300+Sens!H7564*tk_hold_vr200)/Sens!H7554</f>
        <v>11.1311018388216</v>
      </c>
      <c r="I7565" s="18" t="n">
        <f aca="false">(Sens!I7561*tk_hold_h100+Sens!I7562*tk_hold_gb200+Sens!I7563*tk_hold_gb300+Sens!I7564*tk_hold_vr200)/Sens!I7554</f>
        <v>11.3128009818501</v>
      </c>
      <c r="J7565" s="18" t="n">
        <f aca="false">(Sens!J7561*tk_hold_h100+Sens!J7562*tk_hold_gb200+Sens!J7563*tk_hold_gb300+Sens!J7564*tk_hold_vr200)/Sens!J7554</f>
        <v>11.4366894646418</v>
      </c>
      <c r="K7565" s="18" t="n">
        <f aca="false">(Sens!K7561*tk_hold_h100+Sens!K7562*tk_hold_gb200+Sens!K7563*tk_hold_gb300+Sens!K7564*tk_hold_vr200)/Sens!K7554</f>
        <v>11.526570716348</v>
      </c>
    </row>
    <row r="7566" customFormat="false" ht="17.15" hidden="false" customHeight="false" outlineLevel="0" collapsed="false">
      <c r="A7566" s="0" t="s">
        <v>734</v>
      </c>
      <c r="B7566" s="0" t="s">
        <v>182</v>
      </c>
      <c r="C7566" s="18" t="n">
        <f aca="false">k_B</f>
        <v>1.17213932619116</v>
      </c>
      <c r="D7566" s="18" t="n">
        <f aca="false">k_B</f>
        <v>1.17213932619116</v>
      </c>
      <c r="E7566" s="18" t="n">
        <f aca="false">k_B</f>
        <v>1.17213932619116</v>
      </c>
      <c r="F7566" s="18" t="n">
        <f aca="false">(k_B+((ls_B*k_long+(1-ls_B)*k_spot)-k_B)*MIN(1,1/3))*1</f>
        <v>1.17213932619116</v>
      </c>
      <c r="G7566" s="18" t="n">
        <f aca="false">(k_B+((ls_B*k_long+(1-ls_B)*k_spot)-k_B)*MIN(1,2/3))*1</f>
        <v>1.17213932619116</v>
      </c>
      <c r="H7566" s="18" t="n">
        <f aca="false">(k_B+((ls_B*k_long+(1-ls_B)*k_spot)-k_B)*MIN(1,3/3))*1</f>
        <v>1.17213932619116</v>
      </c>
      <c r="I7566" s="18" t="n">
        <f aca="false">(k_B+((ls_B*k_long+(1-ls_B)*k_spot)-k_B)*MIN(1,4/3))*1</f>
        <v>1.17213932619116</v>
      </c>
      <c r="J7566" s="18" t="n">
        <f aca="false">(k_B+((ls_B*k_long+(1-ls_B)*k_spot)-k_B)*MIN(1,5/3))*1</f>
        <v>1.17213932619116</v>
      </c>
      <c r="K7566" s="18" t="n">
        <f aca="false">(k_B+((ls_B*k_long+(1-ls_B)*k_spot)-k_B)*MIN(1,6/3))*1</f>
        <v>1.17213932619116</v>
      </c>
      <c r="L7566" s="1" t="s">
        <v>735</v>
      </c>
    </row>
    <row r="7567" customFormat="false" ht="17.15" hidden="false" customHeight="false" outlineLevel="0" collapsed="false">
      <c r="A7567" s="1" t="s">
        <v>736</v>
      </c>
      <c r="B7567" s="0" t="s">
        <v>291</v>
      </c>
      <c r="C7567" s="18" t="n">
        <f aca="false">Sens!C7565*Sens!C7566*chip_f</f>
        <v>11.3973387156315</v>
      </c>
      <c r="D7567" s="18" t="n">
        <f aca="false">Sens!D7565*Sens!D7566*chip_f</f>
        <v>11.3973387156315</v>
      </c>
      <c r="E7567" s="18" t="n">
        <f aca="false">Sens!E7565*Sens!E7566*chip_f</f>
        <v>11.3973387156315</v>
      </c>
      <c r="F7567" s="18" t="n">
        <f aca="false">Sens!F7565*Sens!F7566*chip_f</f>
        <v>12.1995760756289</v>
      </c>
      <c r="G7567" s="18" t="n">
        <f aca="false">Sens!G7565*Sens!G7566*chip_f</f>
        <v>12.7045990965592</v>
      </c>
      <c r="H7567" s="18" t="n">
        <f aca="false">Sens!H7565*Sens!H7566*chip_f</f>
        <v>13.0472022091214</v>
      </c>
      <c r="I7567" s="18" t="n">
        <f aca="false">Sens!I7565*Sens!I7566*chip_f</f>
        <v>13.2601789202004</v>
      </c>
      <c r="J7567" s="18" t="n">
        <f aca="false">Sens!J7565*Sens!J7566*chip_f</f>
        <v>13.4053934829427</v>
      </c>
      <c r="K7567" s="18" t="n">
        <f aca="false">Sens!K7565*Sens!K7566*chip_f</f>
        <v>13.5107468327548</v>
      </c>
      <c r="L7567" s="1" t="s">
        <v>737</v>
      </c>
    </row>
    <row r="7568" customFormat="false" ht="17.15" hidden="false" customHeight="false" outlineLevel="0" collapsed="false">
      <c r="A7568" s="0" t="s">
        <v>738</v>
      </c>
      <c r="B7568" s="0" t="s">
        <v>95</v>
      </c>
      <c r="D7568" s="6" t="n">
        <f aca="false">(Sens!C7554+Sens!D7554)/2*Sens!D7567/1000</f>
        <v>12.9359794422418</v>
      </c>
      <c r="E7568" s="6" t="n">
        <f aca="false">(Sens!D7554+Sens!E7554)/2*Sens!E7567/1000</f>
        <v>27.8095064661409</v>
      </c>
      <c r="F7568" s="6" t="n">
        <f aca="false">(Sens!E7554+Sens!F7554)/2*Sens!F7567/1000</f>
        <v>55.0640065749585</v>
      </c>
      <c r="G7568" s="6" t="n">
        <f aca="false">(Sens!F7554+Sens!G7554)/2*Sens!G7567/1000</f>
        <v>89.4505413190538</v>
      </c>
      <c r="H7568" s="6" t="n">
        <f aca="false">(Sens!G7554+Sens!H7554)/2*Sens!H7567/1000</f>
        <v>124.835630736874</v>
      </c>
      <c r="I7568" s="6" t="n">
        <f aca="false">(Sens!H7554+Sens!I7554)/2*Sens!I7567/1000</f>
        <v>160.384516075608</v>
      </c>
      <c r="J7568" s="6" t="n">
        <f aca="false">(Sens!I7554+Sens!J7554)/2*Sens!J7567/1000</f>
        <v>196.019025664981</v>
      </c>
      <c r="K7568" s="6" t="n">
        <f aca="false">(Sens!J7554+Sens!K7554)/2*Sens!K7567/1000</f>
        <v>231.703903883012</v>
      </c>
      <c r="L7568" s="11" t="s">
        <v>739</v>
      </c>
    </row>
    <row r="7569" customFormat="false" ht="17.15" hidden="false" customHeight="false" outlineLevel="0" collapsed="false">
      <c r="A7569" s="1" t="s">
        <v>740</v>
      </c>
      <c r="B7569" s="0" t="s">
        <v>291</v>
      </c>
      <c r="C7569" s="18" t="n">
        <f aca="false">(Sens!C7561*tk_opex_h100+Sens!C7562*tk_opex_gb200+Sens!C7563*tk_opex_gb300+Sens!C7564*tk_opex_vr200)/Sens!C7554</f>
        <v>1.88636041306092</v>
      </c>
      <c r="D7569" s="18" t="n">
        <f aca="false">(Sens!D7561*tk_opex_h100+Sens!D7562*tk_opex_gb200+Sens!D7563*tk_opex_gb300+Sens!D7564*tk_opex_vr200)/Sens!D7554</f>
        <v>1.88636041306092</v>
      </c>
      <c r="E7569" s="18" t="n">
        <f aca="false">(Sens!E7561*tk_opex_h100+Sens!E7562*tk_opex_gb200+Sens!E7563*tk_opex_gb300+Sens!E7564*tk_opex_vr200)/Sens!E7554</f>
        <v>1.88636041306092</v>
      </c>
      <c r="F7569" s="18" t="n">
        <f aca="false">(Sens!F7561*tk_opex_h100+Sens!F7562*tk_opex_gb200+Sens!F7563*tk_opex_gb300+Sens!F7564*tk_opex_vr200)/Sens!F7554</f>
        <v>1.9430236476499</v>
      </c>
      <c r="G7569" s="18" t="n">
        <f aca="false">(Sens!G7561*tk_opex_h100+Sens!G7562*tk_opex_gb200+Sens!G7563*tk_opex_gb300+Sens!G7564*tk_opex_vr200)/Sens!G7554</f>
        <v>1.9786941852423</v>
      </c>
      <c r="H7569" s="18" t="n">
        <f aca="false">(Sens!H7561*tk_opex_h100+Sens!H7562*tk_opex_gb200+Sens!H7563*tk_opex_gb300+Sens!H7564*tk_opex_vr200)/Sens!H7554</f>
        <v>2.00289275976156</v>
      </c>
      <c r="I7569" s="18" t="n">
        <f aca="false">(Sens!I7561*tk_opex_h100+Sens!I7562*tk_opex_gb200+Sens!I7563*tk_opex_gb300+Sens!I7564*tk_opex_vr200)/Sens!I7554</f>
        <v>2.01793562605478</v>
      </c>
      <c r="J7569" s="18" t="n">
        <f aca="false">(Sens!J7561*tk_opex_h100+Sens!J7562*tk_opex_gb200+Sens!J7563*tk_opex_gb300+Sens!J7564*tk_opex_vr200)/Sens!J7554</f>
        <v>2.02819234961902</v>
      </c>
      <c r="K7569" s="18" t="n">
        <f aca="false">(Sens!K7561*tk_opex_h100+Sens!K7562*tk_opex_gb200+Sens!K7563*tk_opex_gb300+Sens!K7564*tk_opex_vr200)/Sens!K7554</f>
        <v>2.0356336155994</v>
      </c>
    </row>
    <row r="7570" customFormat="false" ht="17.15" hidden="false" customHeight="false" outlineLevel="0" collapsed="false">
      <c r="A7570" s="0" t="s">
        <v>741</v>
      </c>
      <c r="B7570" s="0" t="s">
        <v>95</v>
      </c>
      <c r="D7570" s="6" t="n">
        <f aca="false">(Sens!C7557+Sens!D7557)/2*Sens!D7569/1000</f>
        <v>2.70378325872065</v>
      </c>
      <c r="E7570" s="6" t="n">
        <f aca="false">(Sens!D7557+Sens!E7557)/2*Sens!E7569/1000</f>
        <v>6.17783035277451</v>
      </c>
      <c r="F7570" s="6" t="n">
        <f aca="false">(Sens!E7557+Sens!F7557)/2*Sens!F7569/1000</f>
        <v>12.5020618235287</v>
      </c>
      <c r="G7570" s="6" t="n">
        <f aca="false">(Sens!F7557+Sens!G7557)/2*Sens!G7569/1000</f>
        <v>20.7261620256847</v>
      </c>
      <c r="H7570" s="6" t="n">
        <f aca="false">(Sens!G7557+Sens!H7557)/2*Sens!H7569/1000</f>
        <v>29.4158183316982</v>
      </c>
      <c r="I7570" s="6" t="n">
        <f aca="false">(Sens!H7557+Sens!I7557)/2*Sens!I7569/1000</f>
        <v>38.1362927516005</v>
      </c>
      <c r="J7570" s="6" t="n">
        <f aca="false">(Sens!I7557+Sens!J7557)/2*Sens!J7569/1000</f>
        <v>46.8728773279286</v>
      </c>
      <c r="K7570" s="6" t="n">
        <f aca="false">(Sens!J7557+Sens!K7557)/2*Sens!K7569/1000</f>
        <v>55.618938734484</v>
      </c>
    </row>
    <row r="7571" customFormat="false" ht="17.15" hidden="false" customHeight="false" outlineLevel="0" collapsed="false">
      <c r="A7571" s="0" t="s">
        <v>742</v>
      </c>
      <c r="B7571" s="0" t="s">
        <v>95</v>
      </c>
      <c r="D7571" s="6" t="n">
        <f aca="false">(Sens!C7555+Sens!D7555)/2*rent_mw/1000</f>
        <v>2.44475</v>
      </c>
      <c r="E7571" s="6" t="n">
        <f aca="false">(Sens!D7555+Sens!E7555)/2*rent_mw/1000</f>
        <v>4.22275</v>
      </c>
      <c r="F7571" s="6" t="n">
        <f aca="false">(Sens!E7555+Sens!F7555)/2*rent_mw/1000</f>
        <v>5.80517</v>
      </c>
      <c r="G7571" s="6" t="n">
        <f aca="false">(Sens!F7555+Sens!G7555)/2*rent_mw/1000</f>
        <v>6.72084</v>
      </c>
      <c r="H7571" s="6" t="n">
        <f aca="false">(Sens!G7555+Sens!H7555)/2*rent_mw/1000</f>
        <v>6.72084</v>
      </c>
      <c r="I7571" s="6" t="n">
        <f aca="false">(Sens!H7555+Sens!I7555)/2*rent_mw/1000</f>
        <v>6.72084</v>
      </c>
      <c r="J7571" s="6" t="n">
        <f aca="false">(Sens!I7555+Sens!J7555)/2*rent_mw/1000</f>
        <v>6.72084</v>
      </c>
      <c r="K7571" s="6" t="n">
        <f aca="false">(Sens!J7555+Sens!K7555)/2*rent_mw/1000</f>
        <v>6.72084</v>
      </c>
    </row>
    <row r="7572" customFormat="false" ht="17.15" hidden="false" customHeight="false" outlineLevel="0" collapsed="false">
      <c r="A7572" s="0" t="s">
        <v>743</v>
      </c>
      <c r="B7572" s="0" t="s">
        <v>95</v>
      </c>
      <c r="D7572" s="6" t="n">
        <f aca="false">(Sens!C7557+Sens!D7557)/2*(1-self_build)*fac_rent/1000</f>
        <v>0.853242375631075</v>
      </c>
      <c r="E7572" s="6" t="n">
        <f aca="false">(Sens!D7557+Sens!E7557)/2*(1-self_build)*fac_rent/1000</f>
        <v>1.94955961408728</v>
      </c>
      <c r="F7572" s="6" t="n">
        <f aca="false">(Sens!E7557+Sens!F7557)/2*(1-self_build)*fac_rent/1000</f>
        <v>3.83026455274573</v>
      </c>
      <c r="G7572" s="6" t="n">
        <f aca="false">(Sens!F7557+Sens!G7557)/2*(1-self_build)*fac_rent/1000</f>
        <v>6.23541590972812</v>
      </c>
      <c r="H7572" s="6" t="n">
        <f aca="false">(Sens!G7557+Sens!H7557)/2*(1-self_build)*fac_rent/1000</f>
        <v>8.74275792332679</v>
      </c>
      <c r="I7572" s="6" t="n">
        <f aca="false">(Sens!H7557+Sens!I7557)/2*(1-self_build)*fac_rent/1000</f>
        <v>11.2500999369255</v>
      </c>
      <c r="J7572" s="6" t="n">
        <f aca="false">(Sens!I7557+Sens!J7557)/2*(1-self_build)*fac_rent/1000</f>
        <v>13.7574419505241</v>
      </c>
      <c r="K7572" s="6" t="n">
        <f aca="false">(Sens!J7557+Sens!K7557)/2*(1-self_build)*fac_rent/1000</f>
        <v>16.2647839641228</v>
      </c>
      <c r="L7572" s="11" t="s">
        <v>744</v>
      </c>
    </row>
    <row r="7573" customFormat="false" ht="17.15" hidden="false" customHeight="false" outlineLevel="0" collapsed="false">
      <c r="A7573" s="1" t="s">
        <v>745</v>
      </c>
      <c r="B7573" s="0" t="s">
        <v>126</v>
      </c>
      <c r="D7573" s="7" t="n">
        <f aca="false">(Sens!C7556+Sens!D7556)/(Sens!C7557+Sens!D7557)</f>
        <v>0.6</v>
      </c>
      <c r="E7573" s="7" t="n">
        <f aca="false">(Sens!D7556+Sens!E7556)/(Sens!D7557+Sens!E7557)</f>
        <v>0.6</v>
      </c>
      <c r="F7573" s="7" t="n">
        <f aca="false">(Sens!E7556+Sens!F7556)/(Sens!E7557+Sens!F7557)</f>
        <v>0.6</v>
      </c>
      <c r="G7573" s="7" t="n">
        <f aca="false">(Sens!F7556+Sens!G7556)/(Sens!F7557+Sens!G7557)</f>
        <v>0.6</v>
      </c>
      <c r="H7573" s="7" t="n">
        <f aca="false">(Sens!G7556+Sens!H7556)/(Sens!G7557+Sens!H7557)</f>
        <v>0.6</v>
      </c>
      <c r="I7573" s="7" t="n">
        <f aca="false">(Sens!H7556+Sens!I7556)/(Sens!H7557+Sens!I7557)</f>
        <v>0.6</v>
      </c>
      <c r="J7573" s="7" t="n">
        <f aca="false">(Sens!I7556+Sens!J7556)/(Sens!I7557+Sens!J7557)</f>
        <v>0.6</v>
      </c>
      <c r="K7573" s="7" t="n">
        <f aca="false">(Sens!J7556+Sens!K7556)/(Sens!J7557+Sens!K7557)</f>
        <v>0.6</v>
      </c>
    </row>
    <row r="7574" customFormat="false" ht="17.15" hidden="false" customHeight="false" outlineLevel="0" collapsed="false">
      <c r="A7574" s="0" t="s">
        <v>746</v>
      </c>
      <c r="B7574" s="0" t="s">
        <v>95</v>
      </c>
      <c r="D7574" s="6" t="n">
        <f aca="false">Sens!D7568-Sens!D7573*(Sens!D7570+Sens!D7572)-Sens!D7571</f>
        <v>8.35701406163072</v>
      </c>
      <c r="E7574" s="6" t="n">
        <f aca="false">Sens!E7568-Sens!E7573*(Sens!E7570+Sens!E7572)-Sens!E7571</f>
        <v>18.7103224860238</v>
      </c>
      <c r="F7574" s="6" t="n">
        <f aca="false">Sens!F7568-Sens!F7573*(Sens!F7570+Sens!F7572)-Sens!F7571</f>
        <v>39.4594407491938</v>
      </c>
      <c r="G7574" s="6" t="n">
        <f aca="false">Sens!G7568-Sens!G7573*(Sens!G7570+Sens!G7572)-Sens!G7571</f>
        <v>66.5527545578061</v>
      </c>
      <c r="H7574" s="6" t="n">
        <f aca="false">Sens!H7568-Sens!H7573*(Sens!H7570+Sens!H7572)-Sens!H7571</f>
        <v>95.219644983859</v>
      </c>
      <c r="I7574" s="6" t="n">
        <f aca="false">Sens!I7568-Sens!I7573*(Sens!I7570+Sens!I7572)-Sens!I7571</f>
        <v>124.031840462493</v>
      </c>
      <c r="J7574" s="6" t="n">
        <f aca="false">Sens!J7568-Sens!J7573*(Sens!J7570+Sens!J7572)-Sens!J7571</f>
        <v>152.919994097909</v>
      </c>
      <c r="K7574" s="6" t="n">
        <f aca="false">Sens!K7568-Sens!K7573*(Sens!K7570+Sens!K7572)-Sens!K7571</f>
        <v>181.852830263848</v>
      </c>
    </row>
    <row r="7575" customFormat="false" ht="17.15" hidden="false" customHeight="false" outlineLevel="0" collapsed="false">
      <c r="A7575" s="1" t="s">
        <v>747</v>
      </c>
      <c r="B7575" s="0" t="s">
        <v>95</v>
      </c>
      <c r="D7575" s="6" t="n">
        <f aca="false">(1-Sens!D7573)*(Sens!D7570+Sens!D7572)</f>
        <v>1.42281025374069</v>
      </c>
      <c r="E7575" s="6" t="n">
        <f aca="false">(1-Sens!E7573)*(Sens!E7570+Sens!E7572)</f>
        <v>3.25095598674472</v>
      </c>
      <c r="F7575" s="6" t="n">
        <f aca="false">(1-Sens!F7573)*(Sens!F7570+Sens!F7572)</f>
        <v>6.53293055050977</v>
      </c>
      <c r="G7575" s="6" t="n">
        <f aca="false">(1-Sens!G7573)*(Sens!G7570+Sens!G7572)</f>
        <v>10.7846311741651</v>
      </c>
      <c r="H7575" s="6" t="n">
        <f aca="false">(1-Sens!H7573)*(Sens!H7570+Sens!H7572)</f>
        <v>15.26343050201</v>
      </c>
      <c r="I7575" s="6" t="n">
        <f aca="false">(1-Sens!I7573)*(Sens!I7570+Sens!I7572)</f>
        <v>19.7545570754104</v>
      </c>
      <c r="J7575" s="6" t="n">
        <f aca="false">(1-Sens!J7573)*(Sens!J7570+Sens!J7572)</f>
        <v>24.2521277113811</v>
      </c>
      <c r="K7575" s="6" t="n">
        <f aca="false">(1-Sens!K7573)*(Sens!K7570+Sens!K7572)</f>
        <v>28.7534890794427</v>
      </c>
    </row>
    <row r="7576" customFormat="false" ht="17.15" hidden="false" customHeight="false" outlineLevel="0" collapsed="false">
      <c r="A7576" s="1" t="s">
        <v>748</v>
      </c>
      <c r="B7576" s="0" t="s">
        <v>302</v>
      </c>
      <c r="C7576" s="8" t="n">
        <f aca="false">cxit_open</f>
        <v>27.5918995</v>
      </c>
      <c r="D7576" s="8" t="n">
        <f aca="false">cxit_open</f>
        <v>27.5918995</v>
      </c>
      <c r="E7576" s="8" t="n">
        <f aca="false">cxit_open</f>
        <v>27.5918995</v>
      </c>
      <c r="F7576" s="8" t="n">
        <f aca="false">(a_g3_27*tk_cxit_gb300+(1-a_g3_27)*tk_cxit_vr200)</f>
        <v>33.8419624</v>
      </c>
      <c r="G7576" s="8" t="n">
        <f aca="false">(a_g3_28*tk_cxit_gb300+(1-a_g3_28)*tk_cxit_vr200)</f>
        <v>35.9816136</v>
      </c>
      <c r="H7576" s="8" t="n">
        <f aca="false">(a_g3_29*tk_cxit_gb300+(1-a_g3_29)*tk_cxit_vr200)</f>
        <v>37.0514392</v>
      </c>
      <c r="I7576" s="8" t="n">
        <f aca="false">(a_g3_29*tk_cxit_gb300+(1-a_g3_29)*tk_cxit_vr200)</f>
        <v>37.0514392</v>
      </c>
      <c r="J7576" s="8" t="n">
        <f aca="false">(a_g3_29*tk_cxit_gb300+(1-a_g3_29)*tk_cxit_vr200)</f>
        <v>37.0514392</v>
      </c>
      <c r="K7576" s="8" t="n">
        <f aca="false">(a_g3_29*tk_cxit_gb300+(1-a_g3_29)*tk_cxit_vr200)</f>
        <v>37.0514392</v>
      </c>
      <c r="L7576" s="11" t="s">
        <v>749</v>
      </c>
    </row>
    <row r="7577" customFormat="false" ht="17.15" hidden="false" customHeight="false" outlineLevel="0" collapsed="false">
      <c r="A7577" s="0" t="s">
        <v>750</v>
      </c>
      <c r="B7577" s="0" t="s">
        <v>340</v>
      </c>
      <c r="F7577" s="27" t="n">
        <f aca="false">Sens!C7559*IF(3=life_it,1,0)+Sens!D7559*IF(2=life_it,1,0)+Sens!E7559*IF(1=life_it,1,0)</f>
        <v>0</v>
      </c>
      <c r="G7577" s="27" t="n">
        <f aca="false">Sens!C7559*IF(4=life_it,1,0)+Sens!D7559*IF(3=life_it,1,0)+Sens!E7559*IF(2=life_it,1,0)+Sens!F7559*IF(1=life_it,1,0)</f>
        <v>0</v>
      </c>
      <c r="H7577" s="27" t="n">
        <f aca="false">Sens!C7559*IF(5=life_it,1,0)+Sens!D7559*IF(4=life_it,1,0)+Sens!E7559*IF(3=life_it,1,0)+Sens!F7559*IF(2=life_it,1,0)+Sens!G7559*IF(1=life_it,1,0)</f>
        <v>0</v>
      </c>
      <c r="I7577" s="27" t="n">
        <f aca="false">Sens!C7559*IF(6=life_it,1,0)+Sens!D7559*IF(5=life_it,1,0)+Sens!E7559*IF(4=life_it,1,0)+Sens!F7559*IF(3=life_it,1,0)+Sens!G7559*IF(2=life_it,1,0)+Sens!H7559*IF(1=life_it,1,0)</f>
        <v>816.666666666667</v>
      </c>
      <c r="J7577" s="27" t="n">
        <f aca="false">Sens!C7559*IF(7=life_it,1,0)+Sens!D7559*IF(6=life_it,1,0)+Sens!E7559*IF(5=life_it,1,0)+Sens!F7559*IF(4=life_it,1,0)+Sens!G7559*IF(3=life_it,1,0)+Sens!H7559*IF(2=life_it,1,0)+Sens!I7559*IF(1=life_it,1,0)</f>
        <v>1233.33333333333</v>
      </c>
      <c r="K7577" s="27" t="n">
        <f aca="false">Sens!C7559*IF(8=life_it,1,0)+Sens!D7559*IF(7=life_it,1,0)+Sens!E7559*IF(6=life_it,1,0)+Sens!F7559*IF(5=life_it,1,0)+Sens!G7559*IF(4=life_it,1,0)+Sens!H7559*IF(3=life_it,1,0)+Sens!I7559*IF(2=life_it,1,0)+Sens!J7559*IF(1=life_it,1,0)</f>
        <v>2450</v>
      </c>
      <c r="L7577" s="1" t="s">
        <v>751</v>
      </c>
    </row>
    <row r="7578" customFormat="false" ht="17.15" hidden="false" customHeight="false" outlineLevel="0" collapsed="false">
      <c r="A7578" s="0" t="s">
        <v>752</v>
      </c>
      <c r="B7578" s="0" t="s">
        <v>95</v>
      </c>
      <c r="C7578" s="6" t="n">
        <f aca="false">Sens!C7559*Sens!C7576/1000</f>
        <v>22.5333845916667</v>
      </c>
      <c r="D7578" s="6" t="n">
        <f aca="false">Sens!D7559*Sens!D7576/1000</f>
        <v>34.0300093833333</v>
      </c>
      <c r="E7578" s="6" t="n">
        <f aca="false">Sens!E7559*Sens!E7576/1000</f>
        <v>67.600153775</v>
      </c>
      <c r="F7578" s="6" t="n">
        <f aca="false">(Sens!F7559+Sens!F7577)*Sens!F7576/1000</f>
        <v>130.923271871467</v>
      </c>
      <c r="G7578" s="6" t="n">
        <f aca="false">(Sens!G7559+Sens!G7577)*Sens!G7576/1000</f>
        <v>151.5545564832</v>
      </c>
      <c r="H7578" s="6" t="n">
        <f aca="false">(Sens!H7559+Sens!H7577)*Sens!H7576/1000</f>
        <v>156.0606619104</v>
      </c>
      <c r="I7578" s="6" t="n">
        <f aca="false">(Sens!I7559+Sens!I7577)*Sens!I7576/1000</f>
        <v>186.319337257067</v>
      </c>
      <c r="J7578" s="6" t="n">
        <f aca="false">(Sens!J7559+Sens!J7577)*Sens!J7576/1000</f>
        <v>201.757436923733</v>
      </c>
      <c r="K7578" s="6" t="n">
        <f aca="false">(Sens!K7559+Sens!K7577)*Sens!K7576/1000</f>
        <v>246.8366879504</v>
      </c>
    </row>
    <row r="7579" customFormat="false" ht="17.15" hidden="false" customHeight="false" outlineLevel="0" collapsed="false">
      <c r="A7579" s="0" t="s">
        <v>753</v>
      </c>
      <c r="B7579" s="0" t="s">
        <v>95</v>
      </c>
      <c r="C7579" s="6" t="n">
        <f aca="false">Sens!C7559*self_build*tk_cxfac/1000</f>
        <v>6.2083</v>
      </c>
      <c r="D7579" s="6" t="n">
        <f aca="false">Sens!D7559*self_build*tk_cxfac/1000</f>
        <v>9.3758</v>
      </c>
      <c r="E7579" s="6" t="n">
        <f aca="false">Sens!E7559*self_build*tk_cxfac/1000</f>
        <v>18.6249</v>
      </c>
      <c r="F7579" s="6" t="n">
        <f aca="false">Sens!F7559*self_build*tk_cxfac/1000</f>
        <v>29.409604</v>
      </c>
      <c r="G7579" s="6" t="n">
        <f aca="false">Sens!G7559*self_build*tk_cxfac/1000</f>
        <v>32.019624</v>
      </c>
      <c r="H7579" s="6" t="n">
        <f aca="false">Sens!H7559*self_build*tk_cxfac/1000</f>
        <v>32.019624</v>
      </c>
      <c r="I7579" s="6" t="n">
        <f aca="false">Sens!I7559*self_build*tk_cxfac/1000</f>
        <v>32.019624</v>
      </c>
      <c r="J7579" s="6" t="n">
        <f aca="false">Sens!J7559*self_build*tk_cxfac/1000</f>
        <v>32.019624</v>
      </c>
      <c r="K7579" s="6" t="n">
        <f aca="false">Sens!K7559*self_build*tk_cxfac/1000</f>
        <v>32.019624</v>
      </c>
    </row>
    <row r="7580" customFormat="false" ht="17.15" hidden="false" customHeight="false" outlineLevel="0" collapsed="false">
      <c r="A7580" s="0" t="s">
        <v>754</v>
      </c>
      <c r="B7580" s="0" t="s">
        <v>95</v>
      </c>
      <c r="F7580" s="6" t="n">
        <f aca="false">MAX(0,capex_floor27-Sens!F7578-Sens!F7579-Sens!F7667)</f>
        <v>8.29771089897088</v>
      </c>
      <c r="G7580" s="6" t="n">
        <f aca="false">0</f>
        <v>0</v>
      </c>
      <c r="H7580" s="6" t="n">
        <f aca="false">0</f>
        <v>0</v>
      </c>
      <c r="I7580" s="6" t="n">
        <f aca="false">0</f>
        <v>0</v>
      </c>
      <c r="J7580" s="6" t="n">
        <f aca="false">0</f>
        <v>0</v>
      </c>
      <c r="K7580" s="6" t="n">
        <f aca="false">0</f>
        <v>0</v>
      </c>
      <c r="L7580" s="1" t="s">
        <v>755</v>
      </c>
    </row>
    <row r="7581" customFormat="false" ht="17.15" hidden="false" customHeight="false" outlineLevel="0" collapsed="false">
      <c r="A7581" s="0" t="s">
        <v>756</v>
      </c>
      <c r="B7581" s="0" t="s">
        <v>95</v>
      </c>
      <c r="C7581" s="6" t="n">
        <f aca="false">Sens!C7578</f>
        <v>22.5333845916667</v>
      </c>
      <c r="D7581" s="6" t="n">
        <f aca="false">Sens!D7578</f>
        <v>34.0300093833333</v>
      </c>
      <c r="E7581" s="6" t="n">
        <f aca="false">Sens!E7578</f>
        <v>67.600153775</v>
      </c>
      <c r="F7581" s="6" t="n">
        <f aca="false">Sens!F7578+Sens!F7580</f>
        <v>139.220982770438</v>
      </c>
      <c r="G7581" s="6" t="n">
        <f aca="false">Sens!G7578+Sens!G7580</f>
        <v>151.5545564832</v>
      </c>
      <c r="H7581" s="6" t="n">
        <f aca="false">Sens!H7578+Sens!H7580</f>
        <v>156.0606619104</v>
      </c>
      <c r="I7581" s="6" t="n">
        <f aca="false">Sens!I7578+Sens!I7580</f>
        <v>186.319337257067</v>
      </c>
      <c r="J7581" s="6" t="n">
        <f aca="false">Sens!J7578+Sens!J7580</f>
        <v>201.757436923733</v>
      </c>
      <c r="K7581" s="6" t="n">
        <f aca="false">Sens!K7578+Sens!K7580</f>
        <v>246.8366879504</v>
      </c>
    </row>
    <row r="7582" customFormat="false" ht="17.15" hidden="false" customHeight="false" outlineLevel="0" collapsed="false">
      <c r="A7582" s="0" t="s">
        <v>757</v>
      </c>
      <c r="B7582" s="0" t="s">
        <v>95</v>
      </c>
      <c r="C7582" s="6" t="n">
        <f aca="false">Sens!C7581+Sens!C7579</f>
        <v>28.7416845916667</v>
      </c>
      <c r="D7582" s="6" t="n">
        <f aca="false">Sens!D7581+Sens!D7579</f>
        <v>43.4058093833333</v>
      </c>
      <c r="E7582" s="6" t="n">
        <f aca="false">Sens!E7581+Sens!E7579</f>
        <v>86.225053775</v>
      </c>
      <c r="F7582" s="6" t="n">
        <f aca="false">Sens!F7581+Sens!F7579</f>
        <v>168.630586770438</v>
      </c>
      <c r="G7582" s="6" t="n">
        <f aca="false">Sens!G7581+Sens!G7579</f>
        <v>183.5741804832</v>
      </c>
      <c r="H7582" s="6" t="n">
        <f aca="false">Sens!H7581+Sens!H7579</f>
        <v>188.0802859104</v>
      </c>
      <c r="I7582" s="6" t="n">
        <f aca="false">Sens!I7581+Sens!I7579</f>
        <v>218.338961257067</v>
      </c>
      <c r="J7582" s="6" t="n">
        <f aca="false">Sens!J7581+Sens!J7579</f>
        <v>233.777060923733</v>
      </c>
      <c r="K7582" s="6" t="n">
        <f aca="false">Sens!K7581+Sens!K7579</f>
        <v>278.8563119504</v>
      </c>
      <c r="L7582" s="11" t="s">
        <v>758</v>
      </c>
    </row>
    <row r="7583" customFormat="false" ht="17.15" hidden="false" customHeight="false" outlineLevel="0" collapsed="false">
      <c r="A7583" s="0" t="s">
        <v>759</v>
      </c>
      <c r="B7583" s="0" t="s">
        <v>95</v>
      </c>
      <c r="E7583" s="6" t="n">
        <f aca="false">(Sens!C7581*IF(2&lt;life_it,1,IF(2=life_it,0.5,0))+Sens!D7581*IF(1&lt;life_it,1,IF(1=life_it,0.5,0))+Sens!E7581*0.5)/life_it</f>
        <v>15.0605784770833</v>
      </c>
      <c r="F7583" s="6" t="n">
        <f aca="false">(Sens!C7581*IF(3&lt;life_it,1,IF(3=life_it,0.5,0))+Sens!D7581*IF(2&lt;life_it,1,IF(2=life_it,0.5,0))+Sens!E7581*IF(1&lt;life_it,1,IF(1=life_it,0.5,0))+Sens!F7581*0.5)/life_it</f>
        <v>32.2956731892031</v>
      </c>
      <c r="G7583" s="6" t="n">
        <f aca="false">(Sens!C7581*IF(4&lt;life_it,1,IF(4=life_it,0.5,0))+Sens!D7581*IF(3&lt;life_it,1,IF(3=life_it,0.5,0))+Sens!E7581*IF(2&lt;life_it,1,IF(2=life_it,0.5,0))+Sens!F7581*IF(1&lt;life_it,1,IF(1=life_it,0.5,0))+Sens!G7581*0.5)/life_it</f>
        <v>56.5269681270063</v>
      </c>
      <c r="H7583" s="6" t="n">
        <f aca="false">(Sens!C7581*IF(5&lt;life_it,1,IF(5=life_it,0.5,0))+Sens!D7581*IF(4&lt;life_it,1,IF(4=life_it,0.5,0))+Sens!E7581*IF(3&lt;life_it,1,IF(3=life_it,0.5,0))+Sens!F7581*IF(2&lt;life_it,1,IF(2=life_it,0.5,0))+Sens!G7581*IF(1&lt;life_it,1,IF(1=life_it,0.5,0))+Sens!H7581*0.5)/life_it</f>
        <v>82.1615696598062</v>
      </c>
      <c r="I7583" s="6" t="n">
        <f aca="false">(Sens!C7581*IF(6&lt;life_it,1,IF(6=life_it,0.5,0))+Sens!D7581*IF(5&lt;life_it,1,IF(5=life_it,0.5,0))+Sens!E7581*IF(4&lt;life_it,1,IF(4=life_it,0.5,0))+Sens!F7581*IF(3&lt;life_it,1,IF(3=life_it,0.5,0))+Sens!G7581*IF(2&lt;life_it,1,IF(2=life_it,0.5,0))+Sens!H7581*IF(1&lt;life_it,1,IF(1=life_it,0.5,0))+Sens!I7581*0.5)/life_it</f>
        <v>108.81545420779</v>
      </c>
      <c r="J7583" s="6" t="n">
        <f aca="false">(Sens!C7581*IF(7&lt;life_it,1,IF(7=life_it,0.5,0))+Sens!D7581*IF(6&lt;life_it,1,IF(6=life_it,0.5,0))+Sens!E7581*IF(5&lt;life_it,1,IF(5=life_it,0.5,0))+Sens!F7581*IF(4&lt;life_it,1,IF(4=life_it,0.5,0))+Sens!G7581*IF(3&lt;life_it,1,IF(3=life_it,0.5,0))+Sens!H7581*IF(2&lt;life_it,1,IF(2=life_it,0.5,0))+Sens!I7581*IF(1&lt;life_it,1,IF(1=life_it,0.5,0))+Sens!J7581*0.5)/life_it</f>
        <v>136.44156922494</v>
      </c>
      <c r="K7583" s="6" t="n">
        <f aca="false">(Sens!C7581*IF(8&lt;life_it,1,IF(8=life_it,0.5,0))+Sens!D7581*IF(7&lt;life_it,1,IF(7=life_it,0.5,0))+Sens!E7581*IF(6&lt;life_it,1,IF(6=life_it,0.5,0))+Sens!F7581*IF(5&lt;life_it,1,IF(5=life_it,0.5,0))+Sens!G7581*IF(4&lt;life_it,1,IF(4=life_it,0.5,0))+Sens!H7581*IF(3&lt;life_it,1,IF(3=life_it,0.5,0))+Sens!I7581*IF(2&lt;life_it,1,IF(2=life_it,0.5,0))+Sens!J7581*IF(1&lt;life_it,1,IF(1=life_it,0.5,0))+Sens!K7581*0.5)/life_it</f>
        <v>165.355232701256</v>
      </c>
    </row>
    <row r="7584" customFormat="false" ht="17.15" hidden="false" customHeight="false" outlineLevel="0" collapsed="false">
      <c r="A7584" s="0" t="s">
        <v>760</v>
      </c>
      <c r="B7584" s="0" t="s">
        <v>95</v>
      </c>
      <c r="E7584" s="6" t="n">
        <f aca="false">(Sens!C7579*IF(2&lt;life_fac,1,IF(2=life_fac,0.5,0))+Sens!D7579*IF(1&lt;life_fac,1,IF(1=life_fac,0.5,0))+Sens!E7579*0.5)/life_fac</f>
        <v>1.2448275</v>
      </c>
      <c r="F7584" s="6" t="n">
        <f aca="false">(Sens!C7579*IF(3&lt;life_fac,1,IF(3=life_fac,0.5,0))+Sens!D7579*IF(2&lt;life_fac,1,IF(2=life_fac,0.5,0))+Sens!E7579*IF(1&lt;life_fac,1,IF(1=life_fac,0.5,0))+Sens!F7579*0.5)/life_fac</f>
        <v>2.4456901</v>
      </c>
      <c r="G7584" s="6" t="n">
        <f aca="false">(Sens!C7579*IF(4&lt;life_fac,1,IF(4=life_fac,0.5,0))+Sens!D7579*IF(3&lt;life_fac,1,IF(3=life_fac,0.5,0))+Sens!E7579*IF(2&lt;life_fac,1,IF(2=life_fac,0.5,0))+Sens!F7579*IF(1&lt;life_fac,1,IF(1=life_fac,0.5,0))+Sens!G7579*0.5)/life_fac</f>
        <v>3.9814208</v>
      </c>
      <c r="H7584" s="6" t="n">
        <f aca="false">(Sens!C7579*IF(5&lt;life_fac,1,IF(5=life_fac,0.5,0))+Sens!D7579*IF(4&lt;life_fac,1,IF(4=life_fac,0.5,0))+Sens!E7579*IF(3&lt;life_fac,1,IF(3=life_fac,0.5,0))+Sens!F7579*IF(2&lt;life_fac,1,IF(2=life_fac,0.5,0))+Sens!G7579*IF(1&lt;life_fac,1,IF(1=life_fac,0.5,0))+Sens!H7579*0.5)/life_fac</f>
        <v>5.582402</v>
      </c>
      <c r="I7584" s="6" t="n">
        <f aca="false">(Sens!C7579*IF(6&lt;life_fac,1,IF(6=life_fac,0.5,0))+Sens!D7579*IF(5&lt;life_fac,1,IF(5=life_fac,0.5,0))+Sens!E7579*IF(4&lt;life_fac,1,IF(4=life_fac,0.5,0))+Sens!F7579*IF(3&lt;life_fac,1,IF(3=life_fac,0.5,0))+Sens!G7579*IF(2&lt;life_fac,1,IF(2=life_fac,0.5,0))+Sens!H7579*IF(1&lt;life_fac,1,IF(1=life_fac,0.5,0))+Sens!I7579*0.5)/life_fac</f>
        <v>7.1833832</v>
      </c>
      <c r="J7584" s="6" t="n">
        <f aca="false">(Sens!C7579*IF(7&lt;life_fac,1,IF(7=life_fac,0.5,0))+Sens!D7579*IF(6&lt;life_fac,1,IF(6=life_fac,0.5,0))+Sens!E7579*IF(5&lt;life_fac,1,IF(5=life_fac,0.5,0))+Sens!F7579*IF(4&lt;life_fac,1,IF(4=life_fac,0.5,0))+Sens!G7579*IF(3&lt;life_fac,1,IF(3=life_fac,0.5,0))+Sens!H7579*IF(2&lt;life_fac,1,IF(2=life_fac,0.5,0))+Sens!I7579*IF(1&lt;life_fac,1,IF(1=life_fac,0.5,0))+Sens!J7579*0.5)/life_fac</f>
        <v>8.7843644</v>
      </c>
      <c r="K7584" s="6" t="n">
        <f aca="false">(Sens!C7579*IF(8&lt;life_fac,1,IF(8=life_fac,0.5,0))+Sens!D7579*IF(7&lt;life_fac,1,IF(7=life_fac,0.5,0))+Sens!E7579*IF(6&lt;life_fac,1,IF(6=life_fac,0.5,0))+Sens!F7579*IF(5&lt;life_fac,1,IF(5=life_fac,0.5,0))+Sens!G7579*IF(4&lt;life_fac,1,IF(4=life_fac,0.5,0))+Sens!H7579*IF(3&lt;life_fac,1,IF(3=life_fac,0.5,0))+Sens!I7579*IF(2&lt;life_fac,1,IF(2=life_fac,0.5,0))+Sens!J7579*IF(1&lt;life_fac,1,IF(1=life_fac,0.5,0))+Sens!K7579*0.5)/life_fac</f>
        <v>10.3853456</v>
      </c>
    </row>
    <row r="7585" customFormat="false" ht="17.15" hidden="false" customHeight="false" outlineLevel="0" collapsed="false">
      <c r="A7585" s="0" t="s">
        <v>761</v>
      </c>
      <c r="B7585" s="0" t="s">
        <v>95</v>
      </c>
      <c r="E7585" s="6" t="n">
        <f aca="false">Sens!E7583+Sens!E7584</f>
        <v>16.3054059770833</v>
      </c>
      <c r="F7585" s="6" t="n">
        <f aca="false">Sens!F7583+Sens!F7584</f>
        <v>34.7413632892031</v>
      </c>
      <c r="G7585" s="6" t="n">
        <f aca="false">Sens!G7583+Sens!G7584</f>
        <v>60.5083889270063</v>
      </c>
      <c r="H7585" s="6" t="n">
        <f aca="false">Sens!H7583+Sens!H7584</f>
        <v>87.7439716598062</v>
      </c>
      <c r="I7585" s="6" t="n">
        <f aca="false">Sens!I7583+Sens!I7584</f>
        <v>115.99883740779</v>
      </c>
      <c r="J7585" s="6" t="n">
        <f aca="false">Sens!J7583+Sens!J7584</f>
        <v>145.22593362494</v>
      </c>
      <c r="K7585" s="6" t="n">
        <f aca="false">Sens!K7583+Sens!K7584</f>
        <v>175.740578301256</v>
      </c>
    </row>
    <row r="7586" customFormat="false" ht="17.15" hidden="false" customHeight="false" outlineLevel="0" collapsed="false">
      <c r="A7586" s="0" t="s">
        <v>762</v>
      </c>
      <c r="B7586" s="0" t="s">
        <v>95</v>
      </c>
      <c r="E7586" s="6" t="n">
        <f aca="false">Sens!E7574-Sens!E7573*Sens!E7585</f>
        <v>8.92707889977379</v>
      </c>
      <c r="F7586" s="6" t="n">
        <f aca="false">Sens!F7574-Sens!F7573*Sens!F7585</f>
        <v>18.614622775672</v>
      </c>
      <c r="G7586" s="6" t="n">
        <f aca="false">Sens!G7574-Sens!G7573*Sens!G7585</f>
        <v>30.2477212016024</v>
      </c>
      <c r="H7586" s="6" t="n">
        <f aca="false">Sens!H7574-Sens!H7573*Sens!H7585</f>
        <v>42.5732619879752</v>
      </c>
      <c r="I7586" s="6" t="n">
        <f aca="false">Sens!I7574-Sens!I7573*Sens!I7585</f>
        <v>54.432538017819</v>
      </c>
      <c r="J7586" s="6" t="n">
        <f aca="false">Sens!J7574-Sens!J7573*Sens!J7585</f>
        <v>65.7844339229457</v>
      </c>
      <c r="K7586" s="6" t="n">
        <f aca="false">Sens!K7574-Sens!K7573*Sens!K7585</f>
        <v>76.4084832830945</v>
      </c>
    </row>
    <row r="7587" customFormat="false" ht="17.15" hidden="false" customHeight="false" outlineLevel="0" collapsed="false">
      <c r="A7587" s="3" t="s">
        <v>1330</v>
      </c>
    </row>
    <row r="7588" customFormat="false" ht="15" hidden="false" customHeight="false" outlineLevel="0" collapsed="false">
      <c r="A7588" s="4" t="s">
        <v>43</v>
      </c>
      <c r="B7588" s="4" t="s">
        <v>63</v>
      </c>
      <c r="C7588" s="19" t="s">
        <v>710</v>
      </c>
      <c r="D7588" s="19" t="s">
        <v>711</v>
      </c>
      <c r="E7588" s="19" t="s">
        <v>712</v>
      </c>
      <c r="F7588" s="19" t="s">
        <v>713</v>
      </c>
      <c r="G7588" s="19" t="s">
        <v>714</v>
      </c>
      <c r="H7588" s="19" t="s">
        <v>715</v>
      </c>
      <c r="I7588" s="19" t="s">
        <v>716</v>
      </c>
      <c r="J7588" s="19" t="s">
        <v>717</v>
      </c>
      <c r="K7588" s="19" t="s">
        <v>718</v>
      </c>
      <c r="L7588" s="4" t="s">
        <v>47</v>
      </c>
    </row>
    <row r="7589" customFormat="false" ht="17.15" hidden="false" customHeight="false" outlineLevel="0" collapsed="false">
      <c r="A7589" s="0" t="s">
        <v>780</v>
      </c>
      <c r="B7589" s="0" t="s">
        <v>95</v>
      </c>
      <c r="D7589" s="6" t="n">
        <f aca="false">Sens!D7568</f>
        <v>12.9359794422418</v>
      </c>
      <c r="E7589" s="6" t="n">
        <f aca="false">Sens!E7568</f>
        <v>27.8095064661409</v>
      </c>
      <c r="F7589" s="6" t="n">
        <f aca="false">Sens!F7568</f>
        <v>55.0640065749585</v>
      </c>
      <c r="G7589" s="6" t="n">
        <f aca="false">Sens!G7568</f>
        <v>89.4505413190538</v>
      </c>
      <c r="H7589" s="6" t="n">
        <f aca="false">Sens!H7568</f>
        <v>124.835630736874</v>
      </c>
      <c r="I7589" s="6" t="n">
        <f aca="false">Sens!I7568</f>
        <v>160.384516075608</v>
      </c>
      <c r="J7589" s="6" t="n">
        <f aca="false">Sens!J7568</f>
        <v>196.019025664981</v>
      </c>
      <c r="K7589" s="6" t="n">
        <f aca="false">Sens!K7568</f>
        <v>231.703903883012</v>
      </c>
    </row>
    <row r="7590" customFormat="false" ht="17.15" hidden="false" customHeight="false" outlineLevel="0" collapsed="false">
      <c r="A7590" s="0" t="s">
        <v>781</v>
      </c>
      <c r="B7590" s="0" t="s">
        <v>95</v>
      </c>
      <c r="D7590" s="6" t="n">
        <f aca="false">Q!L6-Sens!D7589</f>
        <v>59.6740205577583</v>
      </c>
      <c r="E7590" s="6" t="n">
        <f aca="false">Q!M6-Sens!E7589</f>
        <v>74.1284935338591</v>
      </c>
      <c r="F7590" s="6" t="n">
        <f aca="false">Sens!E7590*(1+Sens!F7591)</f>
        <v>90.0799497373663</v>
      </c>
      <c r="G7590" s="6" t="n">
        <f aca="false">Sens!F7590*(1+Sens!G7591)</f>
        <v>107.02842520331</v>
      </c>
      <c r="H7590" s="6" t="n">
        <f aca="false">Sens!G7590*(1+Sens!H7591)</f>
        <v>124.271982585636</v>
      </c>
      <c r="I7590" s="6" t="n">
        <f aca="false">Sens!H7590*(1+Sens!I7591)</f>
        <v>140.933702381855</v>
      </c>
      <c r="J7590" s="6" t="n">
        <f aca="false">Sens!I7590*(1+Sens!J7591)</f>
        <v>156.018867314332</v>
      </c>
      <c r="K7590" s="6" t="n">
        <f aca="false">Sens!J7590*(1+Sens!K7591)</f>
        <v>168.500376699478</v>
      </c>
    </row>
    <row r="7591" customFormat="false" ht="15" hidden="false" customHeight="false" outlineLevel="0" collapsed="false">
      <c r="A7591" s="1" t="s">
        <v>782</v>
      </c>
      <c r="B7591" s="0" t="s">
        <v>126</v>
      </c>
      <c r="E7591" s="7" t="n">
        <f aca="false">Sens!E7590/Sens!D7590-1</f>
        <v>0.242223883039864</v>
      </c>
      <c r="F7591" s="7" t="n">
        <f aca="false">Sens!$E$7591+(glt_azo-Sens!$E$7591)*MIN(1,1/n_conv)</f>
        <v>0.215186569199887</v>
      </c>
      <c r="G7591" s="7" t="n">
        <f aca="false">Sens!$E$7591+(glt_azo-Sens!$E$7591)*MIN(1,2/n_conv)</f>
        <v>0.18814925535991</v>
      </c>
      <c r="H7591" s="7" t="n">
        <f aca="false">Sens!$E$7591+(glt_azo-Sens!$E$7591)*MIN(1,3/n_conv)</f>
        <v>0.161111941519932</v>
      </c>
      <c r="I7591" s="7" t="n">
        <f aca="false">Sens!$E$7591+(glt_azo-Sens!$E$7591)*MIN(1,4/n_conv)</f>
        <v>0.134074627679955</v>
      </c>
      <c r="J7591" s="7" t="n">
        <f aca="false">Sens!$E$7591+(glt_azo-Sens!$E$7591)*MIN(1,5/n_conv)</f>
        <v>0.107037313839977</v>
      </c>
      <c r="K7591" s="7" t="n">
        <f aca="false">Sens!$E$7591+(glt_azo-Sens!$E$7591)*MIN(1,6/n_conv)</f>
        <v>0.08</v>
      </c>
    </row>
    <row r="7592" customFormat="false" ht="15" hidden="false" customHeight="false" outlineLevel="0" collapsed="false">
      <c r="A7592" s="0" t="s">
        <v>783</v>
      </c>
      <c r="B7592" s="0" t="s">
        <v>95</v>
      </c>
      <c r="D7592" s="6" t="n">
        <f aca="false">Sens!D7589+Sens!D7590</f>
        <v>72.61</v>
      </c>
      <c r="E7592" s="6" t="n">
        <f aca="false">Sens!E7589+Sens!E7590</f>
        <v>101.938</v>
      </c>
      <c r="F7592" s="6" t="n">
        <f aca="false">Sens!F7589+Sens!F7590</f>
        <v>145.143956312325</v>
      </c>
      <c r="G7592" s="6" t="n">
        <f aca="false">Sens!G7589+Sens!G7590</f>
        <v>196.478966522364</v>
      </c>
      <c r="H7592" s="6" t="n">
        <f aca="false">Sens!H7589+Sens!H7590</f>
        <v>249.10761332251</v>
      </c>
      <c r="I7592" s="6" t="n">
        <f aca="false">Sens!I7589+Sens!I7590</f>
        <v>301.318218457463</v>
      </c>
      <c r="J7592" s="6" t="n">
        <f aca="false">Sens!J7589+Sens!J7590</f>
        <v>352.037892979313</v>
      </c>
      <c r="K7592" s="6" t="n">
        <f aca="false">Sens!K7589+Sens!K7590</f>
        <v>400.20428058249</v>
      </c>
    </row>
    <row r="7593" customFormat="false" ht="17.15" hidden="false" customHeight="false" outlineLevel="0" collapsed="false">
      <c r="A7593" s="0" t="s">
        <v>784</v>
      </c>
      <c r="B7593" s="1" t="s">
        <v>451</v>
      </c>
      <c r="C7593" s="27" t="n">
        <f aca="false">cop_s24</f>
        <v>1</v>
      </c>
      <c r="D7593" s="27" t="n">
        <f aca="false">cop_s25</f>
        <v>5</v>
      </c>
      <c r="E7593" s="27" t="n">
        <f aca="false">cop_s26</f>
        <v>30</v>
      </c>
      <c r="F7593" s="27" t="n">
        <f aca="false">Sens!E7593+IF(2027&lt;=2029,cop_add_B,cop_add_B*cop_tail)</f>
        <v>50</v>
      </c>
      <c r="G7593" s="27" t="n">
        <f aca="false">Sens!F7593+IF(2028&lt;=2029,cop_add_B,cop_add_B*cop_tail)</f>
        <v>70</v>
      </c>
      <c r="H7593" s="27" t="n">
        <f aca="false">Sens!G7593+IF(2029&lt;=2029,cop_add_B,cop_add_B*cop_tail)</f>
        <v>90</v>
      </c>
      <c r="I7593" s="27" t="n">
        <f aca="false">Sens!H7593+IF(2030&lt;=2029,cop_add_B,cop_add_B*cop_tail)</f>
        <v>100</v>
      </c>
      <c r="J7593" s="27" t="n">
        <f aca="false">Sens!I7593+IF(2031&lt;=2029,cop_add_B,cop_add_B*cop_tail)</f>
        <v>110</v>
      </c>
      <c r="K7593" s="27" t="n">
        <f aca="false">Sens!J7593+IF(2032&lt;=2029,cop_add_B,cop_add_B*cop_tail)</f>
        <v>120</v>
      </c>
    </row>
    <row r="7594" customFormat="false" ht="17.15" hidden="false" customHeight="false" outlineLevel="0" collapsed="false">
      <c r="A7594" s="0" t="s">
        <v>785</v>
      </c>
      <c r="B7594" s="0" t="s">
        <v>95</v>
      </c>
      <c r="D7594" s="6" t="n">
        <f aca="false">(Sens!C7593+Sens!D7593)/2*cop_px*12/1000</f>
        <v>0.9</v>
      </c>
      <c r="E7594" s="6" t="n">
        <f aca="false">(Sens!D7593+Sens!E7593)/2*cop_px*12/1000</f>
        <v>5.25</v>
      </c>
      <c r="F7594" s="6" t="n">
        <f aca="false">(Sens!E7593+Sens!F7593)/2*cop_px*12/1000</f>
        <v>12</v>
      </c>
      <c r="G7594" s="6" t="n">
        <f aca="false">(Sens!F7593+Sens!G7593)/2*cop_px*12/1000</f>
        <v>18</v>
      </c>
      <c r="H7594" s="6" t="n">
        <f aca="false">(Sens!G7593+Sens!H7593)/2*cop_px*12/1000</f>
        <v>24</v>
      </c>
      <c r="I7594" s="6" t="n">
        <f aca="false">(Sens!H7593+Sens!I7593)/2*cop_px*12/1000</f>
        <v>28.5</v>
      </c>
      <c r="J7594" s="6" t="n">
        <f aca="false">(Sens!I7593+Sens!J7593)/2*cop_px*12/1000</f>
        <v>31.5</v>
      </c>
      <c r="K7594" s="6" t="n">
        <f aca="false">(Sens!J7593+Sens!K7593)/2*cop_px*12/1000</f>
        <v>34.5</v>
      </c>
      <c r="L7594" s="1" t="s">
        <v>786</v>
      </c>
    </row>
    <row r="7595" customFormat="false" ht="17.15" hidden="false" customHeight="false" outlineLevel="0" collapsed="false">
      <c r="A7595" s="0" t="s">
        <v>787</v>
      </c>
      <c r="B7595" s="0" t="s">
        <v>95</v>
      </c>
      <c r="D7595" s="6" t="n">
        <f aca="false">Q!L7-Sens!D7594</f>
        <v>83.705</v>
      </c>
      <c r="E7595" s="6" t="n">
        <f aca="false">Q!M7-Sens!E7594</f>
        <v>95.049</v>
      </c>
      <c r="F7595" s="6" t="n">
        <f aca="false">Sens!E7595*(1+Sens!F7596)</f>
        <v>106.89238776686</v>
      </c>
      <c r="G7595" s="6" t="n">
        <f aca="false">Sens!F7595*(1+Sens!G7596)</f>
        <v>119.044168448684</v>
      </c>
      <c r="H7595" s="6" t="n">
        <f aca="false">Sens!G7595*(1+Sens!H7596)</f>
        <v>131.277359388781</v>
      </c>
      <c r="I7595" s="6" t="n">
        <f aca="false">Sens!H7595*(1+Sens!I7596)</f>
        <v>143.334028071957</v>
      </c>
      <c r="J7595" s="6" t="n">
        <f aca="false">Sens!I7595*(1+Sens!J7596)</f>
        <v>154.932702785465</v>
      </c>
      <c r="K7595" s="6" t="n">
        <f aca="false">Sens!J7595*(1+Sens!K7596)</f>
        <v>165.777991980448</v>
      </c>
    </row>
    <row r="7596" customFormat="false" ht="15" hidden="false" customHeight="false" outlineLevel="0" collapsed="false">
      <c r="A7596" s="1" t="s">
        <v>782</v>
      </c>
      <c r="B7596" s="0" t="s">
        <v>126</v>
      </c>
      <c r="E7596" s="7" t="n">
        <f aca="false">Sens!E7595/Sens!D7595-1</f>
        <v>0.135523564900544</v>
      </c>
      <c r="F7596" s="7" t="n">
        <f aca="false">Sens!$E$7596+(glt_m365b-Sens!$E$7596)*MIN(1,1/n_conv)</f>
        <v>0.124602970750453</v>
      </c>
      <c r="G7596" s="7" t="n">
        <f aca="false">Sens!$E$7596+(glt_m365b-Sens!$E$7596)*MIN(1,2/n_conv)</f>
        <v>0.113682376600363</v>
      </c>
      <c r="H7596" s="7" t="n">
        <f aca="false">Sens!$E$7596+(glt_m365b-Sens!$E$7596)*MIN(1,3/n_conv)</f>
        <v>0.102761782450272</v>
      </c>
      <c r="I7596" s="7" t="n">
        <f aca="false">Sens!$E$7596+(glt_m365b-Sens!$E$7596)*MIN(1,4/n_conv)</f>
        <v>0.0918411883001813</v>
      </c>
      <c r="J7596" s="7" t="n">
        <f aca="false">Sens!$E$7596+(glt_m365b-Sens!$E$7596)*MIN(1,5/n_conv)</f>
        <v>0.0809205941500906</v>
      </c>
      <c r="K7596" s="7" t="n">
        <f aca="false">Sens!$E$7596+(glt_m365b-Sens!$E$7596)*MIN(1,6/n_conv)</f>
        <v>0.07</v>
      </c>
    </row>
    <row r="7597" customFormat="false" ht="15" hidden="false" customHeight="false" outlineLevel="0" collapsed="false">
      <c r="A7597" s="0" t="s">
        <v>788</v>
      </c>
      <c r="B7597" s="0" t="s">
        <v>95</v>
      </c>
      <c r="D7597" s="6" t="n">
        <f aca="false">Sens!D7595+Sens!D7594</f>
        <v>84.605</v>
      </c>
      <c r="E7597" s="6" t="n">
        <f aca="false">Sens!E7595+Sens!E7594</f>
        <v>100.299</v>
      </c>
      <c r="F7597" s="6" t="n">
        <f aca="false">Sens!F7595+Sens!F7594</f>
        <v>118.89238776686</v>
      </c>
      <c r="G7597" s="6" t="n">
        <f aca="false">Sens!G7595+Sens!G7594</f>
        <v>137.044168448684</v>
      </c>
      <c r="H7597" s="6" t="n">
        <f aca="false">Sens!H7595+Sens!H7594</f>
        <v>155.277359388781</v>
      </c>
      <c r="I7597" s="6" t="n">
        <f aca="false">Sens!I7595+Sens!I7594</f>
        <v>171.834028071957</v>
      </c>
      <c r="J7597" s="6" t="n">
        <f aca="false">Sens!J7595+Sens!J7594</f>
        <v>186.432702785465</v>
      </c>
      <c r="K7597" s="6" t="n">
        <f aca="false">Sens!K7595+Sens!K7594</f>
        <v>200.277991980448</v>
      </c>
    </row>
    <row r="7598" customFormat="false" ht="15" hidden="false" customHeight="false" outlineLevel="0" collapsed="false">
      <c r="A7598" s="0" t="s">
        <v>789</v>
      </c>
      <c r="B7598" s="0" t="s">
        <v>95</v>
      </c>
      <c r="D7598" s="6" t="n">
        <f aca="false">Q!L8</f>
        <v>35.391</v>
      </c>
      <c r="E7598" s="6" t="n">
        <f aca="false">Q!M8</f>
        <v>37.285</v>
      </c>
      <c r="F7598" s="6" t="n">
        <f aca="false">Sens!E7598*(1+Sens!F7599)</f>
        <v>39.0720834331704</v>
      </c>
      <c r="G7598" s="6" t="n">
        <f aca="false">Sens!F7598*(1+Sens!G7599)</f>
        <v>40.726562953769</v>
      </c>
      <c r="H7598" s="6" t="n">
        <f aca="false">Sens!G7598*(1+Sens!H7599)</f>
        <v>42.2235987259198</v>
      </c>
      <c r="I7598" s="6" t="n">
        <f aca="false">Sens!H7598*(1+Sens!I7599)</f>
        <v>43.5397988077414</v>
      </c>
      <c r="J7598" s="6" t="n">
        <f aca="false">Sens!I7598*(1+Sens!J7599)</f>
        <v>44.653811225693</v>
      </c>
      <c r="K7598" s="6" t="n">
        <f aca="false">Sens!J7598*(1+Sens!K7599)</f>
        <v>45.5468874502068</v>
      </c>
    </row>
    <row r="7599" customFormat="false" ht="15" hidden="false" customHeight="false" outlineLevel="0" collapsed="false">
      <c r="A7599" s="1" t="s">
        <v>782</v>
      </c>
      <c r="B7599" s="0" t="s">
        <v>126</v>
      </c>
      <c r="E7599" s="7" t="n">
        <f aca="false">Sens!E7598/Sens!D7598-1</f>
        <v>0.0535164307309768</v>
      </c>
      <c r="F7599" s="7" t="n">
        <f aca="false">Sens!$E$7599+(glt_lic-Sens!$E$7599)*MIN(1,1/n_conv)</f>
        <v>0.0479303589424807</v>
      </c>
      <c r="G7599" s="7" t="n">
        <f aca="false">Sens!$E$7599+(glt_lic-Sens!$E$7599)*MIN(1,2/n_conv)</f>
        <v>0.0423442871539845</v>
      </c>
      <c r="H7599" s="7" t="n">
        <f aca="false">Sens!$E$7599+(glt_lic-Sens!$E$7599)*MIN(1,3/n_conv)</f>
        <v>0.0367582153654884</v>
      </c>
      <c r="I7599" s="7" t="n">
        <f aca="false">Sens!$E$7599+(glt_lic-Sens!$E$7599)*MIN(1,4/n_conv)</f>
        <v>0.0311721435769923</v>
      </c>
      <c r="J7599" s="7" t="n">
        <f aca="false">Sens!$E$7599+(glt_lic-Sens!$E$7599)*MIN(1,5/n_conv)</f>
        <v>0.0255860717884961</v>
      </c>
      <c r="K7599" s="7" t="n">
        <f aca="false">Sens!$E$7599+(glt_lic-Sens!$E$7599)*MIN(1,6/n_conv)</f>
        <v>0.02</v>
      </c>
    </row>
    <row r="7600" customFormat="false" ht="15" hidden="false" customHeight="false" outlineLevel="0" collapsed="false">
      <c r="A7600" s="0" t="s">
        <v>790</v>
      </c>
      <c r="B7600" s="0" t="s">
        <v>95</v>
      </c>
      <c r="D7600" s="6" t="n">
        <f aca="false">Q!L9</f>
        <v>18.417</v>
      </c>
      <c r="E7600" s="6" t="n">
        <f aca="false">Q!M9</f>
        <v>20.345</v>
      </c>
      <c r="F7600" s="6" t="n">
        <f aca="false">Sens!E7600*(1+Sens!F7601)</f>
        <v>22.3572203267814</v>
      </c>
      <c r="G7600" s="6" t="n">
        <f aca="false">Sens!F7600*(1+Sens!G7601)</f>
        <v>24.4392124437232</v>
      </c>
      <c r="H7600" s="6" t="n">
        <f aca="false">Sens!G7600*(1+Sens!H7601)</f>
        <v>26.5738052080665</v>
      </c>
      <c r="I7600" s="6" t="n">
        <f aca="false">Sens!H7600*(1+Sens!I7601)</f>
        <v>28.7412169166967</v>
      </c>
      <c r="J7600" s="6" t="n">
        <f aca="false">Sens!I7600*(1+Sens!J7601)</f>
        <v>30.9192545395413</v>
      </c>
      <c r="K7600" s="6" t="n">
        <f aca="false">Sens!J7600*(1+Sens!K7601)</f>
        <v>33.0836023573092</v>
      </c>
    </row>
    <row r="7601" customFormat="false" ht="15" hidden="false" customHeight="false" outlineLevel="0" collapsed="false">
      <c r="A7601" s="1" t="s">
        <v>782</v>
      </c>
      <c r="B7601" s="0" t="s">
        <v>126</v>
      </c>
      <c r="E7601" s="7" t="n">
        <f aca="false">Sens!E7600/Sens!D7600-1</f>
        <v>0.104685888038225</v>
      </c>
      <c r="F7601" s="7" t="n">
        <f aca="false">Sens!$E$7601+(glt_ind-Sens!$E$7601)*MIN(1,1/n_conv)</f>
        <v>0.0989049066985211</v>
      </c>
      <c r="G7601" s="7" t="n">
        <f aca="false">Sens!$E$7601+(glt_ind-Sens!$E$7601)*MIN(1,2/n_conv)</f>
        <v>0.0931239253588169</v>
      </c>
      <c r="H7601" s="7" t="n">
        <f aca="false">Sens!$E$7601+(glt_ind-Sens!$E$7601)*MIN(1,3/n_conv)</f>
        <v>0.0873429440191127</v>
      </c>
      <c r="I7601" s="7" t="n">
        <f aca="false">Sens!$E$7601+(glt_ind-Sens!$E$7601)*MIN(1,4/n_conv)</f>
        <v>0.0815619626794085</v>
      </c>
      <c r="J7601" s="7" t="n">
        <f aca="false">Sens!$E$7601+(glt_ind-Sens!$E$7601)*MIN(1,5/n_conv)</f>
        <v>0.0757809813397042</v>
      </c>
      <c r="K7601" s="7" t="n">
        <f aca="false">Sens!$E$7601+(glt_ind-Sens!$E$7601)*MIN(1,6/n_conv)</f>
        <v>0.07</v>
      </c>
    </row>
    <row r="7602" customFormat="false" ht="15" hidden="false" customHeight="false" outlineLevel="0" collapsed="false">
      <c r="A7602" s="0" t="s">
        <v>791</v>
      </c>
      <c r="B7602" s="0" t="s">
        <v>95</v>
      </c>
      <c r="D7602" s="6" t="n">
        <f aca="false">Q!L10</f>
        <v>7.76</v>
      </c>
      <c r="E7602" s="6" t="n">
        <f aca="false">Q!M10</f>
        <v>8.26</v>
      </c>
      <c r="F7602" s="6" t="n">
        <f aca="false">Sens!E7602*(1+Sens!F7603)</f>
        <v>8.79988041237113</v>
      </c>
      <c r="G7602" s="6" t="n">
        <f aca="false">Sens!F7602*(1+Sens!G7603)</f>
        <v>9.38321269125306</v>
      </c>
      <c r="H7602" s="6" t="n">
        <f aca="false">Sens!G7602*(1+Sens!H7603)</f>
        <v>10.0139193587476</v>
      </c>
      <c r="I7602" s="6" t="n">
        <f aca="false">Sens!H7602*(1+Sens!I7603)</f>
        <v>10.6963111830911</v>
      </c>
      <c r="J7602" s="6" t="n">
        <f aca="false">Sens!I7602*(1+Sens!J7603)</f>
        <v>11.4351285534696</v>
      </c>
      <c r="K7602" s="6" t="n">
        <f aca="false">Sens!J7602*(1+Sens!K7603)</f>
        <v>12.2355875522124</v>
      </c>
    </row>
    <row r="7603" customFormat="false" ht="15" hidden="false" customHeight="false" outlineLevel="0" collapsed="false">
      <c r="A7603" s="1" t="s">
        <v>782</v>
      </c>
      <c r="B7603" s="0" t="s">
        <v>126</v>
      </c>
      <c r="E7603" s="7" t="n">
        <f aca="false">Sens!E7602/Sens!D7602-1</f>
        <v>0.0644329896907216</v>
      </c>
      <c r="F7603" s="7" t="n">
        <f aca="false">Sens!$E$7603+(glt_fro-Sens!$E$7603)*MIN(1,1/n_conv)</f>
        <v>0.065360824742268</v>
      </c>
      <c r="G7603" s="7" t="n">
        <f aca="false">Sens!$E$7603+(glt_fro-Sens!$E$7603)*MIN(1,2/n_conv)</f>
        <v>0.0662886597938144</v>
      </c>
      <c r="H7603" s="7" t="n">
        <f aca="false">Sens!$E$7603+(glt_fro-Sens!$E$7603)*MIN(1,3/n_conv)</f>
        <v>0.0672164948453608</v>
      </c>
      <c r="I7603" s="7" t="n">
        <f aca="false">Sens!$E$7603+(glt_fro-Sens!$E$7603)*MIN(1,4/n_conv)</f>
        <v>0.0681443298969072</v>
      </c>
      <c r="J7603" s="7" t="n">
        <f aca="false">Sens!$E$7603+(glt_fro-Sens!$E$7603)*MIN(1,5/n_conv)</f>
        <v>0.0690721649484536</v>
      </c>
      <c r="K7603" s="7" t="n">
        <f aca="false">Sens!$E$7603+(glt_fro-Sens!$E$7603)*MIN(1,6/n_conv)</f>
        <v>0.07</v>
      </c>
    </row>
    <row r="7604" customFormat="false" ht="15" hidden="false" customHeight="false" outlineLevel="0" collapsed="false">
      <c r="A7604" s="0" t="s">
        <v>626</v>
      </c>
      <c r="B7604" s="0" t="s">
        <v>95</v>
      </c>
      <c r="D7604" s="6" t="n">
        <f aca="false">Sens!D7592+Sens!D7597+Sens!D7598+Sens!D7600+Sens!D7602</f>
        <v>218.783</v>
      </c>
      <c r="E7604" s="6" t="n">
        <f aca="false">Sens!E7592+Sens!E7597+Sens!E7598+Sens!E7600+Sens!E7602</f>
        <v>268.127</v>
      </c>
      <c r="F7604" s="6" t="n">
        <f aca="false">Sens!F7592+Sens!F7597+Sens!F7598+Sens!F7600+Sens!F7602</f>
        <v>334.265528251508</v>
      </c>
      <c r="G7604" s="6" t="n">
        <f aca="false">Sens!G7592+Sens!G7597+Sens!G7598+Sens!G7600+Sens!G7602</f>
        <v>408.072123059793</v>
      </c>
      <c r="H7604" s="6" t="n">
        <f aca="false">Sens!H7592+Sens!H7597+Sens!H7598+Sens!H7600+Sens!H7602</f>
        <v>483.196296004025</v>
      </c>
      <c r="I7604" s="6" t="n">
        <f aca="false">Sens!I7592+Sens!I7597+Sens!I7598+Sens!I7600+Sens!I7602</f>
        <v>556.129573436949</v>
      </c>
      <c r="J7604" s="6" t="n">
        <f aca="false">Sens!J7592+Sens!J7597+Sens!J7598+Sens!J7600+Sens!J7602</f>
        <v>625.478790083482</v>
      </c>
      <c r="K7604" s="6" t="n">
        <f aca="false">Sens!K7592+Sens!K7597+Sens!K7598+Sens!K7600+Sens!K7602</f>
        <v>691.348349922667</v>
      </c>
    </row>
    <row r="7605" customFormat="false" ht="15" hidden="false" customHeight="false" outlineLevel="0" collapsed="false">
      <c r="A7605" s="0" t="s">
        <v>792</v>
      </c>
      <c r="B7605" s="0" t="s">
        <v>95</v>
      </c>
      <c r="D7605" s="6" t="n">
        <f aca="false">Q!L13</f>
        <v>22.171</v>
      </c>
      <c r="E7605" s="6" t="n">
        <f aca="false">Q!M13</f>
        <v>24.835</v>
      </c>
      <c r="F7605" s="6" t="n">
        <f aca="false">Sens!E7605*(1+Sens!F7606)</f>
        <v>27.4873151218559</v>
      </c>
      <c r="G7605" s="6" t="n">
        <f aca="false">Sens!F7605*(1+Sens!G7606)</f>
        <v>30.0556741721455</v>
      </c>
      <c r="H7605" s="6" t="n">
        <f aca="false">Sens!G7605*(1+Sens!H7606)</f>
        <v>32.4624869022303</v>
      </c>
      <c r="I7605" s="6" t="n">
        <f aca="false">Sens!H7605*(1+Sens!I7606)</f>
        <v>34.6283511524715</v>
      </c>
      <c r="J7605" s="6" t="n">
        <f aca="false">Sens!I7605*(1+Sens!J7606)</f>
        <v>36.476102435307</v>
      </c>
      <c r="K7605" s="6" t="n">
        <f aca="false">Sens!J7605*(1+Sens!K7606)</f>
        <v>37.9351465327193</v>
      </c>
    </row>
    <row r="7606" customFormat="false" ht="15" hidden="false" customHeight="false" outlineLevel="0" collapsed="false">
      <c r="A7606" s="1" t="s">
        <v>782</v>
      </c>
      <c r="B7606" s="0" t="s">
        <v>126</v>
      </c>
      <c r="E7606" s="7" t="n">
        <f aca="false">Sens!E7605/Sens!D7605-1</f>
        <v>0.120156961796942</v>
      </c>
      <c r="F7606" s="7" t="n">
        <f aca="false">Sens!$E$7606+(glt_srch_lo-Sens!$E$7606)*MIN(1,1/n_conv)</f>
        <v>0.106797468164118</v>
      </c>
      <c r="G7606" s="7" t="n">
        <f aca="false">Sens!$E$7606+(glt_srch_lo-Sens!$E$7606)*MIN(1,2/n_conv)</f>
        <v>0.0934379745312947</v>
      </c>
      <c r="H7606" s="7" t="n">
        <f aca="false">Sens!$E$7606+(glt_srch_lo-Sens!$E$7606)*MIN(1,3/n_conv)</f>
        <v>0.080078480898471</v>
      </c>
      <c r="I7606" s="7" t="n">
        <f aca="false">Sens!$E$7606+(glt_srch_lo-Sens!$E$7606)*MIN(1,4/n_conv)</f>
        <v>0.0667189872656473</v>
      </c>
      <c r="J7606" s="7" t="n">
        <f aca="false">Sens!$E$7606+(glt_srch_lo-Sens!$E$7606)*MIN(1,5/n_conv)</f>
        <v>0.0533594936328237</v>
      </c>
      <c r="K7606" s="7" t="n">
        <f aca="false">Sens!$E$7606+(glt_srch_lo-Sens!$E$7606)*MIN(1,6/n_conv)</f>
        <v>0.04</v>
      </c>
    </row>
    <row r="7607" customFormat="false" ht="15" hidden="false" customHeight="false" outlineLevel="0" collapsed="false">
      <c r="A7607" s="0" t="s">
        <v>793</v>
      </c>
      <c r="B7607" s="0" t="s">
        <v>95</v>
      </c>
      <c r="D7607" s="6" t="n">
        <f aca="false">Q!L14</f>
        <v>23.455</v>
      </c>
      <c r="E7607" s="6" t="n">
        <f aca="false">Q!M14</f>
        <v>21.79</v>
      </c>
      <c r="F7607" s="6" t="n">
        <f aca="false">Sens!E7607*(1+Sens!F7608)</f>
        <v>20.5736277908051</v>
      </c>
      <c r="G7607" s="6" t="n">
        <f aca="false">Sens!F7607*(1+Sens!G7608)</f>
        <v>19.7371452817919</v>
      </c>
      <c r="H7607" s="6" t="n">
        <f aca="false">Sens!G7607*(1+Sens!H7608)</f>
        <v>19.2339764043138</v>
      </c>
      <c r="I7607" s="6" t="n">
        <f aca="false">Sens!H7607*(1+Sens!I7608)</f>
        <v>19.0353086852681</v>
      </c>
      <c r="J7607" s="6" t="n">
        <f aca="false">Sens!I7607*(1+Sens!J7608)</f>
        <v>19.1273539319129</v>
      </c>
      <c r="K7607" s="6" t="n">
        <f aca="false">Sens!J7607*(1+Sens!K7608)</f>
        <v>19.5099010105511</v>
      </c>
    </row>
    <row r="7608" customFormat="false" ht="15" hidden="false" customHeight="false" outlineLevel="0" collapsed="false">
      <c r="A7608" s="1" t="s">
        <v>782</v>
      </c>
      <c r="B7608" s="0" t="s">
        <v>126</v>
      </c>
      <c r="E7608" s="7" t="n">
        <f aca="false">Sens!E7607/Sens!D7607-1</f>
        <v>-0.0709869963760392</v>
      </c>
      <c r="F7608" s="7" t="n">
        <f aca="false">Sens!$E$7608+(glt_xbox-Sens!$E$7608)*MIN(1,1/n_conv)</f>
        <v>-0.0558224969800327</v>
      </c>
      <c r="G7608" s="7" t="n">
        <f aca="false">Sens!$E$7608+(glt_xbox-Sens!$E$7608)*MIN(1,2/n_conv)</f>
        <v>-0.0406579975840262</v>
      </c>
      <c r="H7608" s="7" t="n">
        <f aca="false">Sens!$E$7608+(glt_xbox-Sens!$E$7608)*MIN(1,3/n_conv)</f>
        <v>-0.0254934981880196</v>
      </c>
      <c r="I7608" s="7" t="n">
        <f aca="false">Sens!$E$7608+(glt_xbox-Sens!$E$7608)*MIN(1,4/n_conv)</f>
        <v>-0.0103289987920131</v>
      </c>
      <c r="J7608" s="7" t="n">
        <f aca="false">Sens!$E$7608+(glt_xbox-Sens!$E$7608)*MIN(1,5/n_conv)</f>
        <v>0.00483550060399347</v>
      </c>
      <c r="K7608" s="7" t="n">
        <f aca="false">Sens!$E$7608+(glt_xbox-Sens!$E$7608)*MIN(1,6/n_conv)</f>
        <v>0.02</v>
      </c>
    </row>
    <row r="7609" customFormat="false" ht="15" hidden="false" customHeight="false" outlineLevel="0" collapsed="false">
      <c r="A7609" s="0" t="s">
        <v>794</v>
      </c>
      <c r="B7609" s="0" t="s">
        <v>95</v>
      </c>
      <c r="D7609" s="6" t="n">
        <f aca="false">Q!L15</f>
        <v>17.315</v>
      </c>
      <c r="E7609" s="6" t="n">
        <f aca="false">Q!M15</f>
        <v>17.087</v>
      </c>
      <c r="F7609" s="6" t="n">
        <f aca="false">Sens!E7609*(1+Sens!F7610)</f>
        <v>16.9564585436519</v>
      </c>
      <c r="G7609" s="6" t="n">
        <f aca="false">Sens!F7609*(1+Sens!G7610)</f>
        <v>16.9206490624268</v>
      </c>
      <c r="H7609" s="6" t="n">
        <f aca="false">Sens!G7609*(1+Sens!H7610)</f>
        <v>16.9784519149849</v>
      </c>
      <c r="I7609" s="6" t="n">
        <f aca="false">Sens!H7609*(1+Sens!I7610)</f>
        <v>17.1303084701817</v>
      </c>
      <c r="J7609" s="6" t="n">
        <f aca="false">Sens!I7609*(1+Sens!J7610)</f>
        <v>17.3782189407267</v>
      </c>
      <c r="K7609" s="6" t="n">
        <f aca="false">Sens!J7609*(1+Sens!K7610)</f>
        <v>17.7257833195413</v>
      </c>
    </row>
    <row r="7610" customFormat="false" ht="15" hidden="false" customHeight="false" outlineLevel="0" collapsed="false">
      <c r="A7610" s="1" t="s">
        <v>782</v>
      </c>
      <c r="B7610" s="0" t="s">
        <v>126</v>
      </c>
      <c r="E7610" s="7" t="n">
        <f aca="false">Sens!E7609/Sens!D7609-1</f>
        <v>-0.0131677736066995</v>
      </c>
      <c r="F7610" s="7" t="n">
        <f aca="false">Sens!$E$7610+(glt_win-Sens!$E$7610)*MIN(1,1/n_conv)</f>
        <v>-0.00763981133891627</v>
      </c>
      <c r="G7610" s="7" t="n">
        <f aca="false">Sens!$E$7610+(glt_win-Sens!$E$7610)*MIN(1,2/n_conv)</f>
        <v>-0.00211184907113301</v>
      </c>
      <c r="H7610" s="7" t="n">
        <f aca="false">Sens!$E$7610+(glt_win-Sens!$E$7610)*MIN(1,3/n_conv)</f>
        <v>0.00341611319665024</v>
      </c>
      <c r="I7610" s="7" t="n">
        <f aca="false">Sens!$E$7610+(glt_win-Sens!$E$7610)*MIN(1,4/n_conv)</f>
        <v>0.00894407546443349</v>
      </c>
      <c r="J7610" s="7" t="n">
        <f aca="false">Sens!$E$7610+(glt_win-Sens!$E$7610)*MIN(1,5/n_conv)</f>
        <v>0.0144720377322168</v>
      </c>
      <c r="K7610" s="7" t="n">
        <f aca="false">Sens!$E$7610+(glt_win-Sens!$E$7610)*MIN(1,6/n_conv)</f>
        <v>0.02</v>
      </c>
    </row>
    <row r="7611" customFormat="false" ht="15" hidden="false" customHeight="false" outlineLevel="0" collapsed="false">
      <c r="A7611" s="0" t="s">
        <v>640</v>
      </c>
      <c r="B7611" s="0" t="s">
        <v>95</v>
      </c>
      <c r="D7611" s="6" t="n">
        <f aca="false">Sens!D7605+Sens!D7607+Sens!D7609</f>
        <v>62.941</v>
      </c>
      <c r="E7611" s="6" t="n">
        <f aca="false">Sens!E7605+Sens!E7607+Sens!E7609</f>
        <v>63.712</v>
      </c>
      <c r="F7611" s="6" t="n">
        <f aca="false">Sens!F7605+Sens!F7607+Sens!F7609</f>
        <v>65.0174014563129</v>
      </c>
      <c r="G7611" s="6" t="n">
        <f aca="false">Sens!G7605+Sens!G7607+Sens!G7609</f>
        <v>66.7134685163642</v>
      </c>
      <c r="H7611" s="6" t="n">
        <f aca="false">Sens!H7605+Sens!H7607+Sens!H7609</f>
        <v>68.6749152215291</v>
      </c>
      <c r="I7611" s="6" t="n">
        <f aca="false">Sens!I7605+Sens!I7607+Sens!I7609</f>
        <v>70.7939683079213</v>
      </c>
      <c r="J7611" s="6" t="n">
        <f aca="false">Sens!J7605+Sens!J7607+Sens!J7609</f>
        <v>72.9816753079466</v>
      </c>
      <c r="K7611" s="6" t="n">
        <f aca="false">Sens!K7605+Sens!K7607+Sens!K7609</f>
        <v>75.1708308628117</v>
      </c>
    </row>
    <row r="7612" customFormat="false" ht="15" hidden="false" customHeight="false" outlineLevel="0" collapsed="false">
      <c r="A7612" s="1" t="s">
        <v>795</v>
      </c>
      <c r="B7612" s="0" t="s">
        <v>95</v>
      </c>
      <c r="D7612" s="6" t="n">
        <f aca="false">Sens!D7604+Sens!D7611</f>
        <v>281.724</v>
      </c>
      <c r="E7612" s="6" t="n">
        <f aca="false">Sens!E7604+Sens!E7611</f>
        <v>331.839</v>
      </c>
      <c r="F7612" s="6" t="n">
        <f aca="false">Sens!F7604+Sens!F7611</f>
        <v>399.282929707821</v>
      </c>
      <c r="G7612" s="6" t="n">
        <f aca="false">Sens!G7604+Sens!G7611</f>
        <v>474.785591576157</v>
      </c>
      <c r="H7612" s="6" t="n">
        <f aca="false">Sens!H7604+Sens!H7611</f>
        <v>551.871211225554</v>
      </c>
      <c r="I7612" s="6" t="n">
        <f aca="false">Sens!I7604+Sens!I7611</f>
        <v>626.923541744871</v>
      </c>
      <c r="J7612" s="6" t="n">
        <f aca="false">Sens!J7604+Sens!J7611</f>
        <v>698.460465391428</v>
      </c>
      <c r="K7612" s="6" t="n">
        <f aca="false">Sens!K7604+Sens!K7611</f>
        <v>766.519180785478</v>
      </c>
    </row>
    <row r="7613" customFormat="false" ht="15" hidden="false" customHeight="false" outlineLevel="0" collapsed="false">
      <c r="A7613" s="22" t="s">
        <v>796</v>
      </c>
      <c r="B7613" s="28" t="s">
        <v>95</v>
      </c>
      <c r="C7613" s="28"/>
      <c r="D7613" s="23" t="n">
        <f aca="false">(Sens!D7592+Sens!D7597+Sens!D7598+Sens!D7600+Sens!D7602-Sens!D7604)+(Sens!D7605+Sens!D7607+Sens!D7609-Sens!D7611)+(Sens!D7604-Q!L5)+(Sens!D7611-Q!L12)+(Sens!D7592-Q!L6)+(Sens!D7597-Q!L7)</f>
        <v>0</v>
      </c>
      <c r="E7613" s="23" t="n">
        <f aca="false">(Sens!E7592+Sens!E7597+Sens!E7598+Sens!E7600+Sens!E7602-Sens!E7604)+(Sens!E7605+Sens!E7607+Sens!E7609-Sens!E7611)+(Sens!E7604-Q!M5)+(Sens!E7611-Q!M12)+(Sens!E7592-Q!M6)+(Sens!E7597-Q!M7)</f>
        <v>0</v>
      </c>
      <c r="F7613" s="23" t="n">
        <f aca="false">(Sens!F7592+Sens!F7597+Sens!F7598+Sens!F7600+Sens!F7602-Sens!F7604)+(Sens!F7605+Sens!F7607+Sens!F7609-Sens!F7611)</f>
        <v>0</v>
      </c>
      <c r="G7613" s="23" t="n">
        <f aca="false">(Sens!G7592+Sens!G7597+Sens!G7598+Sens!G7600+Sens!G7602-Sens!G7604)+(Sens!G7605+Sens!G7607+Sens!G7609-Sens!G7611)</f>
        <v>0</v>
      </c>
      <c r="H7613" s="23" t="n">
        <f aca="false">(Sens!H7592+Sens!H7597+Sens!H7598+Sens!H7600+Sens!H7602-Sens!H7604)+(Sens!H7605+Sens!H7607+Sens!H7609-Sens!H7611)</f>
        <v>0</v>
      </c>
      <c r="I7613" s="23" t="n">
        <f aca="false">(Sens!I7592+Sens!I7597+Sens!I7598+Sens!I7600+Sens!I7602-Sens!I7604)+(Sens!I7605+Sens!I7607+Sens!I7609-Sens!I7611)</f>
        <v>0</v>
      </c>
      <c r="J7613" s="23" t="n">
        <f aca="false">(Sens!J7592+Sens!J7597+Sens!J7598+Sens!J7600+Sens!J7602-Sens!J7604)+(Sens!J7605+Sens!J7607+Sens!J7609-Sens!J7611)</f>
        <v>0</v>
      </c>
      <c r="K7613" s="23" t="n">
        <f aca="false">(Sens!K7592+Sens!K7597+Sens!K7598+Sens!K7600+Sens!K7602-Sens!K7604)+(Sens!K7605+Sens!K7607+Sens!K7609-Sens!K7611)</f>
        <v>0</v>
      </c>
    </row>
    <row r="7614" customFormat="false" ht="17.15" hidden="false" customHeight="false" outlineLevel="0" collapsed="false">
      <c r="A7614" s="3" t="s">
        <v>1331</v>
      </c>
    </row>
    <row r="7615" customFormat="false" ht="15" hidden="false" customHeight="false" outlineLevel="0" collapsed="false">
      <c r="A7615" s="4" t="s">
        <v>43</v>
      </c>
      <c r="B7615" s="4" t="s">
        <v>63</v>
      </c>
      <c r="C7615" s="19" t="s">
        <v>710</v>
      </c>
      <c r="D7615" s="19" t="s">
        <v>711</v>
      </c>
      <c r="E7615" s="19" t="s">
        <v>712</v>
      </c>
      <c r="F7615" s="19" t="s">
        <v>713</v>
      </c>
      <c r="G7615" s="19" t="s">
        <v>714</v>
      </c>
      <c r="H7615" s="19" t="s">
        <v>715</v>
      </c>
      <c r="I7615" s="19" t="s">
        <v>716</v>
      </c>
      <c r="J7615" s="19" t="s">
        <v>717</v>
      </c>
      <c r="K7615" s="19" t="s">
        <v>718</v>
      </c>
      <c r="L7615" s="4" t="s">
        <v>47</v>
      </c>
    </row>
    <row r="7616" customFormat="false" ht="15" hidden="false" customHeight="false" outlineLevel="0" collapsed="false">
      <c r="A7616" s="0" t="s">
        <v>783</v>
      </c>
      <c r="B7616" s="0" t="s">
        <v>95</v>
      </c>
      <c r="D7616" s="6" t="n">
        <f aca="false">Sens!D7592</f>
        <v>72.61</v>
      </c>
      <c r="E7616" s="6" t="n">
        <f aca="false">Sens!E7592</f>
        <v>101.938</v>
      </c>
      <c r="F7616" s="6" t="n">
        <f aca="false">Sens!F7592</f>
        <v>145.143956312325</v>
      </c>
      <c r="G7616" s="6" t="n">
        <f aca="false">Sens!G7592</f>
        <v>196.478966522364</v>
      </c>
      <c r="H7616" s="6" t="n">
        <f aca="false">Sens!H7592</f>
        <v>249.10761332251</v>
      </c>
      <c r="I7616" s="6" t="n">
        <f aca="false">Sens!I7592</f>
        <v>301.318218457463</v>
      </c>
      <c r="J7616" s="6" t="n">
        <f aca="false">Sens!J7592</f>
        <v>352.037892979313</v>
      </c>
      <c r="K7616" s="6" t="n">
        <f aca="false">Sens!K7592</f>
        <v>400.20428058249</v>
      </c>
    </row>
    <row r="7617" customFormat="false" ht="17.15" hidden="false" customHeight="false" outlineLevel="0" collapsed="false">
      <c r="A7617" s="0" t="s">
        <v>780</v>
      </c>
      <c r="B7617" s="0" t="s">
        <v>95</v>
      </c>
      <c r="D7617" s="6" t="n">
        <f aca="false">Sens!D7589</f>
        <v>12.9359794422418</v>
      </c>
      <c r="E7617" s="6" t="n">
        <f aca="false">Sens!E7589</f>
        <v>27.8095064661409</v>
      </c>
      <c r="F7617" s="6" t="n">
        <f aca="false">Sens!F7589</f>
        <v>55.0640065749585</v>
      </c>
      <c r="G7617" s="6" t="n">
        <f aca="false">Sens!G7589</f>
        <v>89.4505413190538</v>
      </c>
      <c r="H7617" s="6" t="n">
        <f aca="false">Sens!H7589</f>
        <v>124.835630736874</v>
      </c>
      <c r="I7617" s="6" t="n">
        <f aca="false">Sens!I7589</f>
        <v>160.384516075608</v>
      </c>
      <c r="J7617" s="6" t="n">
        <f aca="false">Sens!J7589</f>
        <v>196.019025664981</v>
      </c>
      <c r="K7617" s="6" t="n">
        <f aca="false">Sens!K7589</f>
        <v>231.703903883012</v>
      </c>
    </row>
    <row r="7618" customFormat="false" ht="17.15" hidden="false" customHeight="false" outlineLevel="0" collapsed="false">
      <c r="A7618" s="0" t="s">
        <v>807</v>
      </c>
      <c r="B7618" s="0" t="s">
        <v>95</v>
      </c>
      <c r="D7618" s="6" t="n">
        <f aca="false">Sens!D7590</f>
        <v>59.6740205577583</v>
      </c>
      <c r="E7618" s="6" t="n">
        <f aca="false">Sens!E7590</f>
        <v>74.1284935338591</v>
      </c>
      <c r="F7618" s="6" t="n">
        <f aca="false">Sens!F7590</f>
        <v>90.0799497373663</v>
      </c>
      <c r="G7618" s="6" t="n">
        <f aca="false">Sens!G7590</f>
        <v>107.02842520331</v>
      </c>
      <c r="H7618" s="6" t="n">
        <f aca="false">Sens!H7590</f>
        <v>124.271982585636</v>
      </c>
      <c r="I7618" s="6" t="n">
        <f aca="false">Sens!I7590</f>
        <v>140.933702381855</v>
      </c>
      <c r="J7618" s="6" t="n">
        <f aca="false">Sens!J7590</f>
        <v>156.018867314332</v>
      </c>
      <c r="K7618" s="6" t="n">
        <f aca="false">Sens!K7590</f>
        <v>168.500376699478</v>
      </c>
    </row>
    <row r="7619" customFormat="false" ht="15" hidden="false" customHeight="false" outlineLevel="0" collapsed="false">
      <c r="A7619" s="0" t="s">
        <v>788</v>
      </c>
      <c r="B7619" s="0" t="s">
        <v>95</v>
      </c>
      <c r="D7619" s="6" t="n">
        <f aca="false">Sens!D7597</f>
        <v>84.605</v>
      </c>
      <c r="E7619" s="6" t="n">
        <f aca="false">Sens!E7597</f>
        <v>100.299</v>
      </c>
      <c r="F7619" s="6" t="n">
        <f aca="false">Sens!F7597</f>
        <v>118.89238776686</v>
      </c>
      <c r="G7619" s="6" t="n">
        <f aca="false">Sens!G7597</f>
        <v>137.044168448684</v>
      </c>
      <c r="H7619" s="6" t="n">
        <f aca="false">Sens!H7597</f>
        <v>155.277359388781</v>
      </c>
      <c r="I7619" s="6" t="n">
        <f aca="false">Sens!I7597</f>
        <v>171.834028071957</v>
      </c>
      <c r="J7619" s="6" t="n">
        <f aca="false">Sens!J7597</f>
        <v>186.432702785465</v>
      </c>
      <c r="K7619" s="6" t="n">
        <f aca="false">Sens!K7597</f>
        <v>200.277991980448</v>
      </c>
    </row>
    <row r="7620" customFormat="false" ht="17.15" hidden="false" customHeight="false" outlineLevel="0" collapsed="false">
      <c r="A7620" s="0" t="s">
        <v>808</v>
      </c>
      <c r="B7620" s="0" t="s">
        <v>95</v>
      </c>
      <c r="D7620" s="6" t="n">
        <f aca="false">Sens!D7595</f>
        <v>83.705</v>
      </c>
      <c r="E7620" s="6" t="n">
        <f aca="false">Sens!E7595</f>
        <v>95.049</v>
      </c>
      <c r="F7620" s="6" t="n">
        <f aca="false">Sens!F7595</f>
        <v>106.89238776686</v>
      </c>
      <c r="G7620" s="6" t="n">
        <f aca="false">Sens!G7595</f>
        <v>119.044168448684</v>
      </c>
      <c r="H7620" s="6" t="n">
        <f aca="false">Sens!H7595</f>
        <v>131.277359388781</v>
      </c>
      <c r="I7620" s="6" t="n">
        <f aca="false">Sens!I7595</f>
        <v>143.334028071957</v>
      </c>
      <c r="J7620" s="6" t="n">
        <f aca="false">Sens!J7595</f>
        <v>154.932702785465</v>
      </c>
      <c r="K7620" s="6" t="n">
        <f aca="false">Sens!K7595</f>
        <v>165.777991980448</v>
      </c>
    </row>
    <row r="7621" customFormat="false" ht="17.15" hidden="false" customHeight="false" outlineLevel="0" collapsed="false">
      <c r="A7621" s="0" t="s">
        <v>809</v>
      </c>
      <c r="B7621" s="0" t="s">
        <v>95</v>
      </c>
      <c r="D7621" s="6" t="n">
        <f aca="false">Sens!D7594</f>
        <v>0.9</v>
      </c>
      <c r="E7621" s="6" t="n">
        <f aca="false">Sens!E7594</f>
        <v>5.25</v>
      </c>
      <c r="F7621" s="6" t="n">
        <f aca="false">Sens!F7594</f>
        <v>12</v>
      </c>
      <c r="G7621" s="6" t="n">
        <f aca="false">Sens!G7594</f>
        <v>18</v>
      </c>
      <c r="H7621" s="6" t="n">
        <f aca="false">Sens!H7594</f>
        <v>24</v>
      </c>
      <c r="I7621" s="6" t="n">
        <f aca="false">Sens!I7594</f>
        <v>28.5</v>
      </c>
      <c r="J7621" s="6" t="n">
        <f aca="false">Sens!J7594</f>
        <v>31.5</v>
      </c>
      <c r="K7621" s="6" t="n">
        <f aca="false">Sens!K7594</f>
        <v>34.5</v>
      </c>
    </row>
    <row r="7622" customFormat="false" ht="15" hidden="false" customHeight="false" outlineLevel="0" collapsed="false">
      <c r="A7622" s="0" t="s">
        <v>789</v>
      </c>
      <c r="B7622" s="0" t="s">
        <v>95</v>
      </c>
      <c r="D7622" s="6" t="n">
        <f aca="false">Sens!D7598</f>
        <v>35.391</v>
      </c>
      <c r="E7622" s="6" t="n">
        <f aca="false">Sens!E7598</f>
        <v>37.285</v>
      </c>
      <c r="F7622" s="6" t="n">
        <f aca="false">Sens!F7598</f>
        <v>39.0720834331704</v>
      </c>
      <c r="G7622" s="6" t="n">
        <f aca="false">Sens!G7598</f>
        <v>40.726562953769</v>
      </c>
      <c r="H7622" s="6" t="n">
        <f aca="false">Sens!H7598</f>
        <v>42.2235987259198</v>
      </c>
      <c r="I7622" s="6" t="n">
        <f aca="false">Sens!I7598</f>
        <v>43.5397988077414</v>
      </c>
      <c r="J7622" s="6" t="n">
        <f aca="false">Sens!J7598</f>
        <v>44.653811225693</v>
      </c>
      <c r="K7622" s="6" t="n">
        <f aca="false">Sens!K7598</f>
        <v>45.5468874502068</v>
      </c>
    </row>
    <row r="7623" customFormat="false" ht="15" hidden="false" customHeight="false" outlineLevel="0" collapsed="false">
      <c r="A7623" s="0" t="s">
        <v>790</v>
      </c>
      <c r="B7623" s="0" t="s">
        <v>95</v>
      </c>
      <c r="D7623" s="6" t="n">
        <f aca="false">Sens!D7600</f>
        <v>18.417</v>
      </c>
      <c r="E7623" s="6" t="n">
        <f aca="false">Sens!E7600</f>
        <v>20.345</v>
      </c>
      <c r="F7623" s="6" t="n">
        <f aca="false">Sens!F7600</f>
        <v>22.3572203267814</v>
      </c>
      <c r="G7623" s="6" t="n">
        <f aca="false">Sens!G7600</f>
        <v>24.4392124437232</v>
      </c>
      <c r="H7623" s="6" t="n">
        <f aca="false">Sens!H7600</f>
        <v>26.5738052080665</v>
      </c>
      <c r="I7623" s="6" t="n">
        <f aca="false">Sens!I7600</f>
        <v>28.7412169166967</v>
      </c>
      <c r="J7623" s="6" t="n">
        <f aca="false">Sens!J7600</f>
        <v>30.9192545395413</v>
      </c>
      <c r="K7623" s="6" t="n">
        <f aca="false">Sens!K7600</f>
        <v>33.0836023573092</v>
      </c>
    </row>
    <row r="7624" customFormat="false" ht="15" hidden="false" customHeight="false" outlineLevel="0" collapsed="false">
      <c r="A7624" s="0" t="s">
        <v>791</v>
      </c>
      <c r="B7624" s="0" t="s">
        <v>95</v>
      </c>
      <c r="D7624" s="6" t="n">
        <f aca="false">Sens!D7602</f>
        <v>7.76</v>
      </c>
      <c r="E7624" s="6" t="n">
        <f aca="false">Sens!E7602</f>
        <v>8.26</v>
      </c>
      <c r="F7624" s="6" t="n">
        <f aca="false">Sens!F7602</f>
        <v>8.79988041237113</v>
      </c>
      <c r="G7624" s="6" t="n">
        <f aca="false">Sens!G7602</f>
        <v>9.38321269125306</v>
      </c>
      <c r="H7624" s="6" t="n">
        <f aca="false">Sens!H7602</f>
        <v>10.0139193587476</v>
      </c>
      <c r="I7624" s="6" t="n">
        <f aca="false">Sens!I7602</f>
        <v>10.6963111830911</v>
      </c>
      <c r="J7624" s="6" t="n">
        <f aca="false">Sens!J7602</f>
        <v>11.4351285534696</v>
      </c>
      <c r="K7624" s="6" t="n">
        <f aca="false">Sens!K7602</f>
        <v>12.2355875522124</v>
      </c>
    </row>
    <row r="7625" customFormat="false" ht="15" hidden="false" customHeight="false" outlineLevel="0" collapsed="false">
      <c r="A7625" s="0" t="s">
        <v>626</v>
      </c>
      <c r="B7625" s="0" t="s">
        <v>95</v>
      </c>
      <c r="D7625" s="6" t="n">
        <f aca="false">Sens!D7604</f>
        <v>218.783</v>
      </c>
      <c r="E7625" s="6" t="n">
        <f aca="false">Sens!E7604</f>
        <v>268.127</v>
      </c>
      <c r="F7625" s="6" t="n">
        <f aca="false">Sens!F7604</f>
        <v>334.265528251508</v>
      </c>
      <c r="G7625" s="6" t="n">
        <f aca="false">Sens!G7604</f>
        <v>408.072123059793</v>
      </c>
      <c r="H7625" s="6" t="n">
        <f aca="false">Sens!H7604</f>
        <v>483.196296004025</v>
      </c>
      <c r="I7625" s="6" t="n">
        <f aca="false">Sens!I7604</f>
        <v>556.129573436949</v>
      </c>
      <c r="J7625" s="6" t="n">
        <f aca="false">Sens!J7604</f>
        <v>625.478790083482</v>
      </c>
      <c r="K7625" s="6" t="n">
        <f aca="false">Sens!K7604</f>
        <v>691.348349922667</v>
      </c>
    </row>
    <row r="7626" customFormat="false" ht="15" hidden="false" customHeight="false" outlineLevel="0" collapsed="false">
      <c r="A7626" s="0" t="s">
        <v>792</v>
      </c>
      <c r="B7626" s="0" t="s">
        <v>95</v>
      </c>
      <c r="D7626" s="6" t="n">
        <f aca="false">Sens!D7605</f>
        <v>22.171</v>
      </c>
      <c r="E7626" s="6" t="n">
        <f aca="false">Sens!E7605</f>
        <v>24.835</v>
      </c>
      <c r="F7626" s="6" t="n">
        <f aca="false">Sens!F7605</f>
        <v>27.4873151218559</v>
      </c>
      <c r="G7626" s="6" t="n">
        <f aca="false">Sens!G7605</f>
        <v>30.0556741721455</v>
      </c>
      <c r="H7626" s="6" t="n">
        <f aca="false">Sens!H7605</f>
        <v>32.4624869022303</v>
      </c>
      <c r="I7626" s="6" t="n">
        <f aca="false">Sens!I7605</f>
        <v>34.6283511524715</v>
      </c>
      <c r="J7626" s="6" t="n">
        <f aca="false">Sens!J7605</f>
        <v>36.476102435307</v>
      </c>
      <c r="K7626" s="6" t="n">
        <f aca="false">Sens!K7605</f>
        <v>37.9351465327193</v>
      </c>
    </row>
    <row r="7627" customFormat="false" ht="15" hidden="false" customHeight="false" outlineLevel="0" collapsed="false">
      <c r="A7627" s="0" t="s">
        <v>793</v>
      </c>
      <c r="B7627" s="0" t="s">
        <v>95</v>
      </c>
      <c r="D7627" s="6" t="n">
        <f aca="false">Sens!D7607</f>
        <v>23.455</v>
      </c>
      <c r="E7627" s="6" t="n">
        <f aca="false">Sens!E7607</f>
        <v>21.79</v>
      </c>
      <c r="F7627" s="6" t="n">
        <f aca="false">Sens!F7607</f>
        <v>20.5736277908051</v>
      </c>
      <c r="G7627" s="6" t="n">
        <f aca="false">Sens!G7607</f>
        <v>19.7371452817919</v>
      </c>
      <c r="H7627" s="6" t="n">
        <f aca="false">Sens!H7607</f>
        <v>19.2339764043138</v>
      </c>
      <c r="I7627" s="6" t="n">
        <f aca="false">Sens!I7607</f>
        <v>19.0353086852681</v>
      </c>
      <c r="J7627" s="6" t="n">
        <f aca="false">Sens!J7607</f>
        <v>19.1273539319129</v>
      </c>
      <c r="K7627" s="6" t="n">
        <f aca="false">Sens!K7607</f>
        <v>19.5099010105511</v>
      </c>
    </row>
    <row r="7628" customFormat="false" ht="15" hidden="false" customHeight="false" outlineLevel="0" collapsed="false">
      <c r="A7628" s="0" t="s">
        <v>794</v>
      </c>
      <c r="B7628" s="0" t="s">
        <v>95</v>
      </c>
      <c r="D7628" s="6" t="n">
        <f aca="false">Sens!D7609</f>
        <v>17.315</v>
      </c>
      <c r="E7628" s="6" t="n">
        <f aca="false">Sens!E7609</f>
        <v>17.087</v>
      </c>
      <c r="F7628" s="6" t="n">
        <f aca="false">Sens!F7609</f>
        <v>16.9564585436519</v>
      </c>
      <c r="G7628" s="6" t="n">
        <f aca="false">Sens!G7609</f>
        <v>16.9206490624268</v>
      </c>
      <c r="H7628" s="6" t="n">
        <f aca="false">Sens!H7609</f>
        <v>16.9784519149849</v>
      </c>
      <c r="I7628" s="6" t="n">
        <f aca="false">Sens!I7609</f>
        <v>17.1303084701817</v>
      </c>
      <c r="J7628" s="6" t="n">
        <f aca="false">Sens!J7609</f>
        <v>17.3782189407267</v>
      </c>
      <c r="K7628" s="6" t="n">
        <f aca="false">Sens!K7609</f>
        <v>17.7257833195413</v>
      </c>
    </row>
    <row r="7629" customFormat="false" ht="15" hidden="false" customHeight="false" outlineLevel="0" collapsed="false">
      <c r="A7629" s="0" t="s">
        <v>640</v>
      </c>
      <c r="B7629" s="0" t="s">
        <v>95</v>
      </c>
      <c r="D7629" s="6" t="n">
        <f aca="false">Sens!D7611</f>
        <v>62.941</v>
      </c>
      <c r="E7629" s="6" t="n">
        <f aca="false">Sens!E7611</f>
        <v>63.712</v>
      </c>
      <c r="F7629" s="6" t="n">
        <f aca="false">Sens!F7611</f>
        <v>65.0174014563129</v>
      </c>
      <c r="G7629" s="6" t="n">
        <f aca="false">Sens!G7611</f>
        <v>66.7134685163642</v>
      </c>
      <c r="H7629" s="6" t="n">
        <f aca="false">Sens!H7611</f>
        <v>68.6749152215291</v>
      </c>
      <c r="I7629" s="6" t="n">
        <f aca="false">Sens!I7611</f>
        <v>70.7939683079213</v>
      </c>
      <c r="J7629" s="6" t="n">
        <f aca="false">Sens!J7611</f>
        <v>72.9816753079466</v>
      </c>
      <c r="K7629" s="6" t="n">
        <f aca="false">Sens!K7611</f>
        <v>75.1708308628117</v>
      </c>
    </row>
    <row r="7630" customFormat="false" ht="15" hidden="false" customHeight="false" outlineLevel="0" collapsed="false">
      <c r="A7630" s="1" t="s">
        <v>810</v>
      </c>
      <c r="B7630" s="0" t="s">
        <v>95</v>
      </c>
      <c r="D7630" s="6" t="n">
        <f aca="false">Sens!D7612</f>
        <v>281.724</v>
      </c>
      <c r="E7630" s="6" t="n">
        <f aca="false">Sens!E7612</f>
        <v>331.839</v>
      </c>
      <c r="F7630" s="6" t="n">
        <f aca="false">Sens!F7612</f>
        <v>399.282929707821</v>
      </c>
      <c r="G7630" s="6" t="n">
        <f aca="false">Sens!G7612</f>
        <v>474.785591576157</v>
      </c>
      <c r="H7630" s="6" t="n">
        <f aca="false">Sens!H7612</f>
        <v>551.871211225554</v>
      </c>
      <c r="I7630" s="6" t="n">
        <f aca="false">Sens!I7612</f>
        <v>626.923541744871</v>
      </c>
      <c r="J7630" s="6" t="n">
        <f aca="false">Sens!J7612</f>
        <v>698.460465391428</v>
      </c>
      <c r="K7630" s="6" t="n">
        <f aca="false">Sens!K7612</f>
        <v>766.519180785478</v>
      </c>
    </row>
    <row r="7631" customFormat="false" ht="15" hidden="false" customHeight="false" outlineLevel="0" collapsed="false">
      <c r="A7631" s="1" t="s">
        <v>811</v>
      </c>
      <c r="B7631" s="0" t="s">
        <v>126</v>
      </c>
      <c r="E7631" s="7" t="n">
        <f aca="false">Sens!E7630/Sens!D7630-1</f>
        <v>0.177886867998467</v>
      </c>
      <c r="F7631" s="7" t="n">
        <f aca="false">Sens!F7630/Sens!E7630-1</f>
        <v>0.203242927165946</v>
      </c>
      <c r="G7631" s="7" t="n">
        <f aca="false">Sens!G7630/Sens!F7630-1</f>
        <v>0.1890956418387</v>
      </c>
      <c r="H7631" s="7" t="n">
        <f aca="false">Sens!H7630/Sens!G7630-1</f>
        <v>0.162358801566606</v>
      </c>
      <c r="I7631" s="7" t="n">
        <f aca="false">Sens!I7630/Sens!H7630-1</f>
        <v>0.135996096539709</v>
      </c>
      <c r="J7631" s="7" t="n">
        <f aca="false">Sens!J7630/Sens!I7630-1</f>
        <v>0.114107891765324</v>
      </c>
      <c r="K7631" s="7" t="n">
        <f aca="false">Sens!K7630/Sens!J7630-1</f>
        <v>0.0974410417859641</v>
      </c>
    </row>
    <row r="7632" customFormat="false" ht="17.15" hidden="false" customHeight="false" outlineLevel="0" collapsed="false">
      <c r="A7632" s="22" t="s">
        <v>812</v>
      </c>
      <c r="B7632" s="28" t="s">
        <v>95</v>
      </c>
      <c r="C7632" s="28"/>
      <c r="D7632" s="23" t="n">
        <f aca="false">(Sens!D7625+Sens!D7629-Sens!D7630)+(Sens!D7617+Sens!D7618-Sens!D7616)+(Sens!D7620+Sens!D7621-Sens!D7619)+(Sens!D7630-Q!L18)</f>
        <v>0</v>
      </c>
      <c r="E7632" s="23" t="n">
        <f aca="false">(Sens!E7625+Sens!E7629-Sens!E7630)+(Sens!E7617+Sens!E7618-Sens!E7616)+(Sens!E7620+Sens!E7621-Sens!E7619)+(Sens!E7630-Q!M18)</f>
        <v>0</v>
      </c>
      <c r="F7632" s="23" t="n">
        <f aca="false">(Sens!F7625+Sens!F7629-Sens!F7630)+(Sens!F7617+Sens!F7618-Sens!F7616)+(Sens!F7620+Sens!F7621-Sens!F7619)</f>
        <v>0</v>
      </c>
      <c r="G7632" s="23" t="n">
        <f aca="false">(Sens!G7625+Sens!G7629-Sens!G7630)+(Sens!G7617+Sens!G7618-Sens!G7616)+(Sens!G7620+Sens!G7621-Sens!G7619)</f>
        <v>0</v>
      </c>
      <c r="H7632" s="23" t="n">
        <f aca="false">(Sens!H7625+Sens!H7629-Sens!H7630)+(Sens!H7617+Sens!H7618-Sens!H7616)+(Sens!H7620+Sens!H7621-Sens!H7619)</f>
        <v>0</v>
      </c>
      <c r="I7632" s="23" t="n">
        <f aca="false">(Sens!I7625+Sens!I7629-Sens!I7630)+(Sens!I7617+Sens!I7618-Sens!I7616)+(Sens!I7620+Sens!I7621-Sens!I7619)</f>
        <v>0</v>
      </c>
      <c r="J7632" s="23" t="n">
        <f aca="false">(Sens!J7625+Sens!J7629-Sens!J7630)+(Sens!J7617+Sens!J7618-Sens!J7616)+(Sens!J7620+Sens!J7621-Sens!J7619)</f>
        <v>0</v>
      </c>
      <c r="K7632" s="23" t="n">
        <f aca="false">(Sens!K7625+Sens!K7629-Sens!K7630)+(Sens!K7617+Sens!K7618-Sens!K7616)+(Sens!K7620+Sens!K7621-Sens!K7619)</f>
        <v>0</v>
      </c>
    </row>
    <row r="7633" customFormat="false" ht="17.15" hidden="false" customHeight="false" outlineLevel="0" collapsed="false">
      <c r="A7633" s="0" t="s">
        <v>813</v>
      </c>
      <c r="B7633" s="0" t="s">
        <v>126</v>
      </c>
      <c r="E7633" s="7" t="n">
        <f aca="false">(Q!M21+Sens!E7570+Sens!E7571+Sens!E7572+Sens!E7585-Sens!E7568)/(Q!M5-Sens!E7568)</f>
        <v>0.570957350878296</v>
      </c>
      <c r="F7633" s="7" t="n">
        <f aca="false">Sens!$E$7633+dm_seg</f>
        <v>0.570957350878296</v>
      </c>
      <c r="G7633" s="7" t="n">
        <f aca="false">Sens!$E$7633+dm_seg</f>
        <v>0.570957350878296</v>
      </c>
      <c r="H7633" s="7" t="n">
        <f aca="false">Sens!$E$7633+dm_seg</f>
        <v>0.570957350878296</v>
      </c>
      <c r="I7633" s="7" t="n">
        <f aca="false">Sens!$E$7633+dm_seg</f>
        <v>0.570957350878296</v>
      </c>
      <c r="J7633" s="7" t="n">
        <f aca="false">Sens!$E$7633+dm_seg</f>
        <v>0.570957350878296</v>
      </c>
      <c r="K7633" s="7" t="n">
        <f aca="false">Sens!$E$7633+dm_seg</f>
        <v>0.570957350878296</v>
      </c>
      <c r="L7633" s="11" t="s">
        <v>814</v>
      </c>
    </row>
    <row r="7634" customFormat="false" ht="17.15" hidden="false" customHeight="false" outlineLevel="0" collapsed="false">
      <c r="A7634" s="0" t="s">
        <v>654</v>
      </c>
      <c r="B7634" s="0" t="s">
        <v>95</v>
      </c>
      <c r="D7634" s="6" t="n">
        <f aca="false">Q!L21</f>
        <v>110.814</v>
      </c>
      <c r="E7634" s="6" t="n">
        <f aca="false">Q!M21</f>
        <v>136.365</v>
      </c>
      <c r="F7634" s="6" t="n">
        <f aca="false">Sens!F7633*(Sens!F7604-Sens!F7568)+Sens!F7568-(Sens!F7570+Sens!F7571+Sens!F7572)-Sens!F7585</f>
        <v>157.597308087113</v>
      </c>
      <c r="G7634" s="6" t="n">
        <f aca="false">Sens!G7633*(Sens!G7604-Sens!G7568)+Sens!G7568-(Sens!G7570+Sens!G7571+Sens!G7572)-Sens!G7585</f>
        <v>177.17906869998</v>
      </c>
      <c r="H7634" s="6" t="n">
        <f aca="false">Sens!H7633*(Sens!H7604-Sens!H7568)+Sens!H7568-(Sens!H7570+Sens!H7571+Sens!H7572)-Sens!H7585</f>
        <v>196.820898921959</v>
      </c>
      <c r="I7634" s="6" t="n">
        <f aca="false">Sens!I7633*(Sens!I7604-Sens!I7568)+Sens!I7568-(Sens!I7570+Sens!I7571+Sens!I7572)-Sens!I7585</f>
        <v>214.231995553503</v>
      </c>
      <c r="J7634" s="6" t="n">
        <f aca="false">Sens!J7633*(Sens!J7604-Sens!J7568)+Sens!J7568-(Sens!J7570+Sens!J7571+Sens!J7572)-Sens!J7585</f>
        <v>228.645142162793</v>
      </c>
      <c r="K7634" s="6" t="n">
        <f aca="false">Sens!K7633*(Sens!K7604-Sens!K7568)+Sens!K7568-(Sens!K7570+Sens!K7571+Sens!K7572)-Sens!K7585</f>
        <v>239.796138139872</v>
      </c>
      <c r="L7634" s="1" t="s">
        <v>815</v>
      </c>
    </row>
    <row r="7635" customFormat="false" ht="17.15" hidden="false" customHeight="false" outlineLevel="0" collapsed="false">
      <c r="A7635" s="0" t="s">
        <v>816</v>
      </c>
      <c r="B7635" s="0" t="s">
        <v>126</v>
      </c>
      <c r="E7635" s="7" t="n">
        <f aca="false">Q!M22/Q!M12</f>
        <v>0.296207935710698</v>
      </c>
      <c r="F7635" s="7" t="n">
        <f aca="false">Sens!$E$7635+dm_seg</f>
        <v>0.296207935710698</v>
      </c>
      <c r="G7635" s="7" t="n">
        <f aca="false">Sens!$E$7635+dm_seg</f>
        <v>0.296207935710698</v>
      </c>
      <c r="H7635" s="7" t="n">
        <f aca="false">Sens!$E$7635+dm_seg</f>
        <v>0.296207935710698</v>
      </c>
      <c r="I7635" s="7" t="n">
        <f aca="false">Sens!$E$7635+dm_seg</f>
        <v>0.296207935710698</v>
      </c>
      <c r="J7635" s="7" t="n">
        <f aca="false">Sens!$E$7635+dm_seg</f>
        <v>0.296207935710698</v>
      </c>
      <c r="K7635" s="7" t="n">
        <f aca="false">Sens!$E$7635+dm_seg</f>
        <v>0.296207935710698</v>
      </c>
      <c r="L7635" s="11" t="s">
        <v>817</v>
      </c>
    </row>
    <row r="7636" customFormat="false" ht="17.15" hidden="false" customHeight="false" outlineLevel="0" collapsed="false">
      <c r="A7636" s="0" t="s">
        <v>656</v>
      </c>
      <c r="B7636" s="0" t="s">
        <v>95</v>
      </c>
      <c r="D7636" s="6" t="n">
        <f aca="false">Q!L22</f>
        <v>17.714</v>
      </c>
      <c r="E7636" s="6" t="n">
        <f aca="false">Q!M22</f>
        <v>18.872</v>
      </c>
      <c r="F7636" s="6" t="n">
        <f aca="false">Sens!F7611*Sens!F7635</f>
        <v>19.2586702706482</v>
      </c>
      <c r="G7636" s="6" t="n">
        <f aca="false">Sens!G7611*Sens!G7635</f>
        <v>19.7610587933329</v>
      </c>
      <c r="H7636" s="6" t="n">
        <f aca="false">Sens!H7611*Sens!H7635</f>
        <v>20.3420548728763</v>
      </c>
      <c r="I7636" s="6" t="n">
        <f aca="false">Sens!I7611*Sens!I7635</f>
        <v>20.969735213258</v>
      </c>
      <c r="J7636" s="6" t="n">
        <f aca="false">Sens!J7611*Sens!J7635</f>
        <v>21.6177513876753</v>
      </c>
      <c r="K7636" s="6" t="n">
        <f aca="false">Sens!K7611*Sens!K7635</f>
        <v>22.2661966355315</v>
      </c>
    </row>
    <row r="7637" customFormat="false" ht="15" hidden="false" customHeight="false" outlineLevel="0" collapsed="false">
      <c r="A7637" s="1" t="s">
        <v>818</v>
      </c>
      <c r="B7637" s="0" t="s">
        <v>95</v>
      </c>
      <c r="D7637" s="6" t="n">
        <f aca="false">Sens!D7634+Sens!D7636</f>
        <v>128.528</v>
      </c>
      <c r="E7637" s="6" t="n">
        <f aca="false">Sens!E7634+Sens!E7636</f>
        <v>155.237</v>
      </c>
      <c r="F7637" s="6" t="n">
        <f aca="false">Sens!F7634+Sens!F7636</f>
        <v>176.855978357761</v>
      </c>
      <c r="G7637" s="6" t="n">
        <f aca="false">Sens!G7634+Sens!G7636</f>
        <v>196.940127493313</v>
      </c>
      <c r="H7637" s="6" t="n">
        <f aca="false">Sens!H7634+Sens!H7636</f>
        <v>217.162953794835</v>
      </c>
      <c r="I7637" s="6" t="n">
        <f aca="false">Sens!I7634+Sens!I7636</f>
        <v>235.201730766761</v>
      </c>
      <c r="J7637" s="6" t="n">
        <f aca="false">Sens!J7634+Sens!J7636</f>
        <v>250.262893550468</v>
      </c>
      <c r="K7637" s="6" t="n">
        <f aca="false">Sens!K7634+Sens!K7636</f>
        <v>262.062334775404</v>
      </c>
    </row>
    <row r="7638" customFormat="false" ht="15" hidden="false" customHeight="false" outlineLevel="0" collapsed="false">
      <c r="A7638" s="22" t="s">
        <v>819</v>
      </c>
      <c r="B7638" s="28" t="s">
        <v>95</v>
      </c>
      <c r="C7638" s="28"/>
      <c r="D7638" s="23" t="n">
        <f aca="false">Sens!D7637-Q!L23</f>
        <v>0</v>
      </c>
      <c r="E7638" s="23" t="n">
        <f aca="false">Sens!E7637-Q!M23</f>
        <v>0</v>
      </c>
      <c r="F7638" s="28"/>
      <c r="G7638" s="28"/>
      <c r="H7638" s="28"/>
      <c r="I7638" s="28"/>
      <c r="J7638" s="28"/>
      <c r="K7638" s="28"/>
    </row>
    <row r="7639" customFormat="false" ht="15" hidden="false" customHeight="false" outlineLevel="0" collapsed="false">
      <c r="A7639" s="1" t="s">
        <v>820</v>
      </c>
      <c r="B7639" s="0" t="s">
        <v>126</v>
      </c>
      <c r="D7639" s="7" t="n">
        <f aca="false">Sens!D7637/Sens!D7630</f>
        <v>0.456219562408598</v>
      </c>
      <c r="E7639" s="7" t="n">
        <f aca="false">Sens!E7637/Sens!E7630</f>
        <v>0.467808184089272</v>
      </c>
      <c r="F7639" s="7" t="n">
        <f aca="false">Sens!F7637/Sens!F7630</f>
        <v>0.44293398289573</v>
      </c>
      <c r="G7639" s="7" t="n">
        <f aca="false">Sens!G7637/Sens!G7630</f>
        <v>0.41479802881028</v>
      </c>
      <c r="H7639" s="7" t="n">
        <f aca="false">Sens!H7637/Sens!H7630</f>
        <v>0.393502957533473</v>
      </c>
      <c r="I7639" s="7" t="n">
        <f aca="false">Sens!I7637/Sens!I7630</f>
        <v>0.375168126741806</v>
      </c>
      <c r="J7639" s="7" t="n">
        <f aca="false">Sens!J7637/Sens!J7630</f>
        <v>0.358306455341344</v>
      </c>
      <c r="K7639" s="7" t="n">
        <f aca="false">Sens!K7637/Sens!K7630</f>
        <v>0.341886206300617</v>
      </c>
    </row>
    <row r="7640" customFormat="false" ht="17.15" hidden="false" customHeight="false" outlineLevel="0" collapsed="false">
      <c r="A7640" s="1" t="s">
        <v>821</v>
      </c>
      <c r="B7640" s="0" t="s">
        <v>95</v>
      </c>
      <c r="E7640" s="6" t="n">
        <f aca="false">Sens!E7585</f>
        <v>16.3054059770833</v>
      </c>
      <c r="F7640" s="6" t="n">
        <f aca="false">Sens!F7585</f>
        <v>34.7413632892031</v>
      </c>
      <c r="G7640" s="6" t="n">
        <f aca="false">Sens!G7585</f>
        <v>60.5083889270063</v>
      </c>
      <c r="H7640" s="6" t="n">
        <f aca="false">Sens!H7585</f>
        <v>87.7439716598062</v>
      </c>
      <c r="I7640" s="6" t="n">
        <f aca="false">Sens!I7585</f>
        <v>115.99883740779</v>
      </c>
      <c r="J7640" s="6" t="n">
        <f aca="false">Sens!J7585</f>
        <v>145.22593362494</v>
      </c>
      <c r="K7640" s="6" t="n">
        <f aca="false">Sens!K7585</f>
        <v>175.740578301256</v>
      </c>
    </row>
    <row r="7641" customFormat="false" ht="17.15" hidden="false" customHeight="false" outlineLevel="0" collapsed="false">
      <c r="A7641" s="1" t="s">
        <v>822</v>
      </c>
      <c r="B7641" s="0" t="s">
        <v>95</v>
      </c>
      <c r="E7641" s="6" t="n">
        <f aca="false">Sens!E7661</f>
        <v>22.2285940229167</v>
      </c>
      <c r="F7641" s="6" t="n">
        <f aca="false">Sens!F7661</f>
        <v>23.5626759435812</v>
      </c>
      <c r="G7641" s="6" t="n">
        <f aca="false">Sens!G7661</f>
        <v>25.3184025657684</v>
      </c>
      <c r="H7641" s="6" t="n">
        <f aca="false">Sens!H7661</f>
        <v>27.4604985552537</v>
      </c>
      <c r="I7641" s="6" t="n">
        <f aca="false">Sens!I7661</f>
        <v>29.9212539268856</v>
      </c>
      <c r="J7641" s="6" t="n">
        <f aca="false">Sens!J7661</f>
        <v>32.6162379843551</v>
      </c>
      <c r="K7641" s="6" t="n">
        <f aca="false">Sens!K7661</f>
        <v>35.4602795894137</v>
      </c>
    </row>
    <row r="7642" customFormat="false" ht="17.15" hidden="false" customHeight="false" outlineLevel="0" collapsed="false">
      <c r="A7642" s="1" t="s">
        <v>823</v>
      </c>
      <c r="B7642" s="0" t="s">
        <v>95</v>
      </c>
      <c r="D7642" s="6" t="n">
        <f aca="false">Q!L27</f>
        <v>-4.901</v>
      </c>
      <c r="E7642" s="6" t="n">
        <f aca="false">Q!M27</f>
        <v>10.697</v>
      </c>
      <c r="F7642" s="6" t="n">
        <f aca="false">oie_f</f>
        <v>-0.4</v>
      </c>
      <c r="G7642" s="6" t="n">
        <f aca="false">oie_f</f>
        <v>-0.4</v>
      </c>
      <c r="H7642" s="6" t="n">
        <f aca="false">oie_f</f>
        <v>-0.4</v>
      </c>
      <c r="I7642" s="6" t="n">
        <f aca="false">oie_f</f>
        <v>-0.4</v>
      </c>
      <c r="J7642" s="6" t="n">
        <f aca="false">oie_f</f>
        <v>-0.4</v>
      </c>
      <c r="K7642" s="6" t="n">
        <f aca="false">oie_f</f>
        <v>-0.4</v>
      </c>
      <c r="L7642" s="11" t="s">
        <v>824</v>
      </c>
    </row>
    <row r="7643" customFormat="false" ht="15" hidden="false" customHeight="false" outlineLevel="0" collapsed="false">
      <c r="A7643" s="1" t="s">
        <v>666</v>
      </c>
      <c r="B7643" s="0" t="s">
        <v>95</v>
      </c>
      <c r="D7643" s="6" t="n">
        <f aca="false">Sens!D7637+Sens!D7642</f>
        <v>123.627</v>
      </c>
      <c r="E7643" s="6" t="n">
        <f aca="false">Sens!E7637+Sens!E7642</f>
        <v>165.934</v>
      </c>
      <c r="F7643" s="6" t="n">
        <f aca="false">Sens!F7637+Sens!F7642</f>
        <v>176.455978357761</v>
      </c>
      <c r="G7643" s="6" t="n">
        <f aca="false">Sens!G7637+Sens!G7642</f>
        <v>196.540127493313</v>
      </c>
      <c r="H7643" s="6" t="n">
        <f aca="false">Sens!H7637+Sens!H7642</f>
        <v>216.762953794835</v>
      </c>
      <c r="I7643" s="6" t="n">
        <f aca="false">Sens!I7637+Sens!I7642</f>
        <v>234.801730766761</v>
      </c>
      <c r="J7643" s="6" t="n">
        <f aca="false">Sens!J7637+Sens!J7642</f>
        <v>249.862893550468</v>
      </c>
      <c r="K7643" s="6" t="n">
        <f aca="false">Sens!K7637+Sens!K7642</f>
        <v>261.662334775404</v>
      </c>
    </row>
    <row r="7644" customFormat="false" ht="15" hidden="false" customHeight="false" outlineLevel="0" collapsed="false">
      <c r="A7644" s="1" t="s">
        <v>668</v>
      </c>
      <c r="B7644" s="0" t="s">
        <v>95</v>
      </c>
      <c r="D7644" s="6" t="n">
        <f aca="false">Q!L29</f>
        <v>21.795</v>
      </c>
      <c r="E7644" s="6" t="n">
        <f aca="false">Q!M29</f>
        <v>32.185</v>
      </c>
      <c r="F7644" s="6" t="n">
        <f aca="false">Sens!F7643*tax_f</f>
        <v>35.2911956715522</v>
      </c>
      <c r="G7644" s="6" t="n">
        <f aca="false">Sens!G7643*tax_f</f>
        <v>39.3080254986625</v>
      </c>
      <c r="H7644" s="6" t="n">
        <f aca="false">Sens!H7643*tax_f</f>
        <v>43.3525907589671</v>
      </c>
      <c r="I7644" s="6" t="n">
        <f aca="false">Sens!I7643*tax_f</f>
        <v>46.9603461533523</v>
      </c>
      <c r="J7644" s="6" t="n">
        <f aca="false">Sens!J7643*tax_f</f>
        <v>49.9725787100937</v>
      </c>
      <c r="K7644" s="6" t="n">
        <f aca="false">Sens!K7643*tax_f</f>
        <v>52.3324669550808</v>
      </c>
    </row>
    <row r="7645" customFormat="false" ht="15" hidden="false" customHeight="false" outlineLevel="0" collapsed="false">
      <c r="A7645" s="1" t="s">
        <v>825</v>
      </c>
      <c r="B7645" s="0" t="s">
        <v>95</v>
      </c>
      <c r="D7645" s="6" t="n">
        <f aca="false">Sens!D7643-Sens!D7644</f>
        <v>101.832</v>
      </c>
      <c r="E7645" s="6" t="n">
        <f aca="false">Sens!E7643-Sens!E7644</f>
        <v>133.749</v>
      </c>
      <c r="F7645" s="6" t="n">
        <f aca="false">Sens!F7643-Sens!F7644</f>
        <v>141.164782686209</v>
      </c>
      <c r="G7645" s="6" t="n">
        <f aca="false">Sens!G7643-Sens!G7644</f>
        <v>157.23210199465</v>
      </c>
      <c r="H7645" s="6" t="n">
        <f aca="false">Sens!H7643-Sens!H7644</f>
        <v>173.410363035868</v>
      </c>
      <c r="I7645" s="6" t="n">
        <f aca="false">Sens!I7643-Sens!I7644</f>
        <v>187.841384613409</v>
      </c>
      <c r="J7645" s="6" t="n">
        <f aca="false">Sens!J7643-Sens!J7644</f>
        <v>199.890314840375</v>
      </c>
      <c r="K7645" s="6" t="n">
        <f aca="false">Sens!K7643-Sens!K7644</f>
        <v>209.329867820323</v>
      </c>
    </row>
    <row r="7646" customFormat="false" ht="17.15" hidden="false" customHeight="false" outlineLevel="0" collapsed="false">
      <c r="A7646" s="1" t="s">
        <v>826</v>
      </c>
      <c r="B7646" s="1" t="s">
        <v>79</v>
      </c>
      <c r="D7646" s="18" t="n">
        <f aca="false">Q!L31</f>
        <v>7.465</v>
      </c>
      <c r="E7646" s="18" t="n">
        <f aca="false">Q!M31</f>
        <v>7.453</v>
      </c>
      <c r="F7646" s="18" t="n">
        <f aca="false">Sens!F7683</f>
        <v>7.4735</v>
      </c>
      <c r="G7646" s="18" t="n">
        <f aca="false">Sens!G7683</f>
        <v>7.51802988399152</v>
      </c>
      <c r="H7646" s="18" t="n">
        <f aca="false">Sens!H7683</f>
        <v>7.54531135383298</v>
      </c>
      <c r="I7646" s="18" t="n">
        <f aca="false">Sens!I7683</f>
        <v>7.5570921858403</v>
      </c>
      <c r="J7646" s="18" t="n">
        <f aca="false">Sens!J7683</f>
        <v>7.57133369695818</v>
      </c>
      <c r="K7646" s="18" t="n">
        <f aca="false">Sens!K7683</f>
        <v>7.58785361465992</v>
      </c>
    </row>
    <row r="7647" customFormat="false" ht="17.15" hidden="false" customHeight="false" outlineLevel="0" collapsed="false">
      <c r="A7647" s="0" t="s">
        <v>827</v>
      </c>
      <c r="B7647" s="0" t="s">
        <v>73</v>
      </c>
      <c r="D7647" s="8" t="n">
        <f aca="false">Sens!D7645/Sens!D7646</f>
        <v>13.641259209645</v>
      </c>
      <c r="E7647" s="8" t="n">
        <f aca="false">Sens!E7645/Sens!E7646</f>
        <v>17.9456594659869</v>
      </c>
      <c r="F7647" s="8" t="n">
        <f aca="false">Sens!F7645/Sens!F7646</f>
        <v>18.8887111375137</v>
      </c>
      <c r="G7647" s="8" t="n">
        <f aca="false">Sens!G7645/Sens!G7646</f>
        <v>20.9140033254525</v>
      </c>
      <c r="H7647" s="8" t="n">
        <f aca="false">Sens!H7645/Sens!H7646</f>
        <v>22.9825324501389</v>
      </c>
      <c r="I7647" s="8" t="n">
        <f aca="false">Sens!I7645/Sens!I7646</f>
        <v>24.8563045142372</v>
      </c>
      <c r="J7647" s="8" t="n">
        <f aca="false">Sens!J7645/Sens!J7646</f>
        <v>26.4009384397734</v>
      </c>
      <c r="K7647" s="8" t="n">
        <f aca="false">Sens!K7645/Sens!K7646</f>
        <v>27.587494231029</v>
      </c>
      <c r="L7647" s="1" t="s">
        <v>828</v>
      </c>
    </row>
    <row r="7648" customFormat="false" ht="17.15" hidden="false" customHeight="false" outlineLevel="0" collapsed="false">
      <c r="A7648" s="0" t="s">
        <v>829</v>
      </c>
      <c r="B7648" s="0" t="s">
        <v>126</v>
      </c>
      <c r="E7648" s="7" t="n">
        <f aca="false">Sens!E7647/Sens!D7647-1</f>
        <v>0.315542736208578</v>
      </c>
      <c r="F7648" s="7" t="n">
        <f aca="false">Sens!F7647/Sens!E7647-1</f>
        <v>0.0525504049218282</v>
      </c>
      <c r="G7648" s="7" t="n">
        <f aca="false">Sens!G7647/Sens!F7647-1</f>
        <v>0.107222360127924</v>
      </c>
      <c r="H7648" s="7" t="n">
        <f aca="false">Sens!H7647/Sens!G7647-1</f>
        <v>0.0989064165524445</v>
      </c>
      <c r="I7648" s="7" t="n">
        <f aca="false">Sens!I7647/Sens!H7647-1</f>
        <v>0.0815302694845959</v>
      </c>
      <c r="J7648" s="7" t="n">
        <f aca="false">Sens!J7647/Sens!I7647-1</f>
        <v>0.0621425411267955</v>
      </c>
      <c r="K7648" s="7" t="n">
        <f aca="false">Sens!K7647/Sens!J7647-1</f>
        <v>0.0449436975114512</v>
      </c>
    </row>
    <row r="7649" customFormat="false" ht="17.15" hidden="false" customHeight="false" outlineLevel="0" collapsed="false">
      <c r="A7649" s="0" t="s">
        <v>763</v>
      </c>
      <c r="B7649" s="0" t="s">
        <v>95</v>
      </c>
      <c r="E7649" s="6" t="n">
        <f aca="false">Sens!E7594</f>
        <v>5.25</v>
      </c>
      <c r="F7649" s="6" t="n">
        <f aca="false">Sens!F7594</f>
        <v>12</v>
      </c>
      <c r="G7649" s="6" t="n">
        <f aca="false">Sens!G7594</f>
        <v>18</v>
      </c>
      <c r="H7649" s="6" t="n">
        <f aca="false">Sens!H7594</f>
        <v>24</v>
      </c>
      <c r="I7649" s="6" t="n">
        <f aca="false">Sens!I7594</f>
        <v>28.5</v>
      </c>
      <c r="J7649" s="6" t="n">
        <f aca="false">Sens!J7594</f>
        <v>31.5</v>
      </c>
      <c r="K7649" s="6" t="n">
        <f aca="false">Sens!K7594</f>
        <v>34.5</v>
      </c>
    </row>
    <row r="7650" customFormat="false" ht="17.15" hidden="false" customHeight="false" outlineLevel="0" collapsed="false">
      <c r="A7650" s="0" t="s">
        <v>764</v>
      </c>
      <c r="B7650" s="0" t="s">
        <v>95</v>
      </c>
      <c r="E7650" s="6" t="n">
        <f aca="false">Sens!E7574+Sens!E7649*Sens!E7633-Sens!E7575-Sens!E7585</f>
        <v>2.1514866143068</v>
      </c>
      <c r="F7650" s="6" t="n">
        <f aca="false">Sens!F7574+Sens!F7649*Sens!F7633-Sens!F7575-Sens!F7585</f>
        <v>5.03663512002051</v>
      </c>
      <c r="G7650" s="6" t="n">
        <f aca="false">Sens!G7574+Sens!G7649*Sens!G7633-Sens!G7575-Sens!G7585</f>
        <v>5.53696677244405</v>
      </c>
      <c r="H7650" s="6" t="n">
        <f aca="false">Sens!H7574+Sens!H7649*Sens!H7633-Sens!H7575-Sens!H7585</f>
        <v>5.91521924312185</v>
      </c>
      <c r="I7650" s="6" t="n">
        <f aca="false">Sens!I7574+Sens!I7649*Sens!I7633-Sens!I7575-Sens!I7585</f>
        <v>4.55073047932426</v>
      </c>
      <c r="J7650" s="6" t="n">
        <f aca="false">Sens!J7574+Sens!J7649*Sens!J7633-Sens!J7575-Sens!J7585</f>
        <v>1.42708931425514</v>
      </c>
      <c r="K7650" s="6" t="n">
        <f aca="false">Sens!K7574+Sens!K7649*Sens!K7633-Sens!K7575-Sens!K7585</f>
        <v>-2.9432085115495</v>
      </c>
    </row>
    <row r="7651" customFormat="false" ht="17.15" hidden="false" customHeight="false" outlineLevel="0" collapsed="false">
      <c r="A7651" s="0" t="s">
        <v>765</v>
      </c>
      <c r="B7651" s="0" t="s">
        <v>95</v>
      </c>
      <c r="E7651" s="6" t="n">
        <f aca="false">Sens!E7557*(cxit_open+self_build*tk_cxfac)/1000*ai_net_open</f>
        <v>126.6980382</v>
      </c>
      <c r="F7651" s="6" t="n">
        <f aca="false">Sens!E7651+Sens!F7582-Sens!F7585</f>
        <v>260.587261681234</v>
      </c>
      <c r="G7651" s="6" t="n">
        <f aca="false">Sens!F7651+Sens!G7582-Sens!G7585</f>
        <v>383.653053237428</v>
      </c>
      <c r="H7651" s="6" t="n">
        <f aca="false">Sens!G7651+Sens!H7582-Sens!H7585</f>
        <v>483.989367488022</v>
      </c>
      <c r="I7651" s="6" t="n">
        <f aca="false">Sens!H7651+Sens!I7582-Sens!I7585</f>
        <v>586.329491337299</v>
      </c>
      <c r="J7651" s="6" t="n">
        <f aca="false">Sens!I7651+Sens!J7582-Sens!J7585</f>
        <v>674.880618636093</v>
      </c>
      <c r="K7651" s="6" t="n">
        <f aca="false">Sens!J7651+Sens!K7582-Sens!K7585</f>
        <v>777.996352285237</v>
      </c>
      <c r="L7651" s="1" t="s">
        <v>766</v>
      </c>
    </row>
    <row r="7652" customFormat="false" ht="17.15" hidden="false" customHeight="false" outlineLevel="0" collapsed="false">
      <c r="A7652" s="0" t="s">
        <v>767</v>
      </c>
      <c r="B7652" s="0" t="s">
        <v>126</v>
      </c>
      <c r="F7652" s="7" t="n">
        <f aca="false">Sens!F7650*(1-tax_f)/((Sens!E7651+Sens!F7651)/2)</f>
        <v>0.0208079578401351</v>
      </c>
      <c r="G7652" s="7" t="n">
        <f aca="false">Sens!G7650*(1-tax_f)/((Sens!F7651+Sens!G7651)/2)</f>
        <v>0.013751307750787</v>
      </c>
      <c r="H7652" s="7" t="n">
        <f aca="false">Sens!H7650*(1-tax_f)/((Sens!G7651+Sens!H7651)/2)</f>
        <v>0.0109081236266453</v>
      </c>
      <c r="I7652" s="7" t="n">
        <f aca="false">Sens!I7650*(1-tax_f)/((Sens!H7651+Sens!I7651)/2)</f>
        <v>0.00680280339534513</v>
      </c>
      <c r="J7652" s="7" t="n">
        <f aca="false">Sens!J7650*(1-tax_f)/((Sens!I7651+Sens!J7651)/2)</f>
        <v>0.00181043815360503</v>
      </c>
      <c r="K7652" s="7" t="n">
        <f aca="false">Sens!K7650*(1-tax_f)/((Sens!J7651+Sens!K7651)/2)</f>
        <v>-0.00324124734077996</v>
      </c>
    </row>
    <row r="7653" customFormat="false" ht="17.15" hidden="false" customHeight="false" outlineLevel="0" collapsed="false">
      <c r="A7653" s="1" t="s">
        <v>768</v>
      </c>
      <c r="B7653" s="0" t="s">
        <v>126</v>
      </c>
      <c r="F7653" s="7" t="n">
        <f aca="false">Sens!F7586*(1-tax_f)/(Sens!F7573*(Sens!E7651+Sens!F7651)/2)</f>
        <v>0.128171645253979</v>
      </c>
      <c r="G7653" s="7" t="n">
        <f aca="false">Sens!G7586*(1-tax_f)/(Sens!G7573*(Sens!F7651+Sens!G7651)/2)</f>
        <v>0.125202642559125</v>
      </c>
      <c r="H7653" s="7" t="n">
        <f aca="false">Sens!H7586*(1-tax_f)/(Sens!H7573*(Sens!G7651+Sens!H7651)/2)</f>
        <v>0.130847335172567</v>
      </c>
      <c r="I7653" s="7" t="n">
        <f aca="false">Sens!I7586*(1-tax_f)/(Sens!I7573*(Sens!H7651+Sens!I7651)/2)</f>
        <v>0.13561700190305</v>
      </c>
      <c r="J7653" s="7" t="n">
        <f aca="false">Sens!J7586*(1-tax_f)/(Sens!J7573*(Sens!I7651+Sens!J7651)/2)</f>
        <v>0.139092729863667</v>
      </c>
      <c r="K7653" s="7" t="n">
        <f aca="false">Sens!K7586*(1-tax_f)/(Sens!K7573*(Sens!J7651+Sens!K7651)/2)</f>
        <v>0.140243089745153</v>
      </c>
    </row>
    <row r="7654" customFormat="false" ht="17.15" hidden="false" customHeight="false" outlineLevel="0" collapsed="false">
      <c r="A7654" s="0" t="s">
        <v>769</v>
      </c>
      <c r="B7654" s="0" t="s">
        <v>208</v>
      </c>
      <c r="F7654" s="7" t="n">
        <f aca="false">Sens!F7652-wacc</f>
        <v>-0.0881552633101189</v>
      </c>
      <c r="G7654" s="7" t="n">
        <f aca="false">Sens!G7652-wacc</f>
        <v>-0.0952119133994669</v>
      </c>
      <c r="H7654" s="7" t="n">
        <f aca="false">Sens!H7652-wacc</f>
        <v>-0.0980550975236087</v>
      </c>
      <c r="I7654" s="7" t="n">
        <f aca="false">Sens!I7652-wacc</f>
        <v>-0.102160417754909</v>
      </c>
      <c r="J7654" s="7" t="n">
        <f aca="false">Sens!J7652-wacc</f>
        <v>-0.107152782996649</v>
      </c>
      <c r="K7654" s="7" t="n">
        <f aca="false">Sens!K7652-wacc</f>
        <v>-0.112204468491034</v>
      </c>
    </row>
    <row r="7655" customFormat="false" ht="17.15" hidden="false" customHeight="false" outlineLevel="0" collapsed="false">
      <c r="A7655" s="0" t="s">
        <v>770</v>
      </c>
      <c r="B7655" s="0" t="s">
        <v>95</v>
      </c>
      <c r="F7655" s="6" t="n">
        <f aca="false">Sens!F7650*(1-tax_f)-wacc*(Sens!E7651+Sens!F7651)/2</f>
        <v>-17.0706187935843</v>
      </c>
      <c r="G7655" s="6" t="n">
        <f aca="false">Sens!G7650*(1-tax_f)-wacc*(Sens!F7651+Sens!G7651)/2</f>
        <v>-30.6696765362405</v>
      </c>
      <c r="H7655" s="6" t="n">
        <f aca="false">Sens!H7650*(1-tax_f)-wacc*(Sens!G7651+Sens!H7651)/2</f>
        <v>-42.538381089927</v>
      </c>
      <c r="I7655" s="6" t="n">
        <f aca="false">Sens!I7650*(1-tax_f)-wacc*(Sens!H7651+Sens!I7651)/2</f>
        <v>-54.672110874276</v>
      </c>
      <c r="J7655" s="6" t="n">
        <f aca="false">Sens!J7650*(1-tax_f)-wacc*(Sens!I7651+Sens!J7651)/2</f>
        <v>-67.5710866135793</v>
      </c>
      <c r="K7655" s="6" t="n">
        <f aca="false">Sens!K7650*(1-tax_f)-wacc*(Sens!J7651+Sens!K7651)/2</f>
        <v>-81.5096441525456</v>
      </c>
    </row>
    <row r="7656" customFormat="false" ht="17.15" hidden="false" customHeight="false" outlineLevel="0" collapsed="false">
      <c r="A7656" s="1" t="s">
        <v>771</v>
      </c>
      <c r="B7656" s="0" t="s">
        <v>95</v>
      </c>
      <c r="F7656" s="6" t="n">
        <f aca="false">(Sens!E7558+Sens!F7558)/2*Sens!F7565/1000</f>
        <v>26.7873066765967</v>
      </c>
      <c r="G7656" s="6" t="n">
        <f aca="false">(Sens!F7558+Sens!G7558)/2*Sens!G7565/1000</f>
        <v>45.4131817597218</v>
      </c>
      <c r="H7656" s="6" t="n">
        <f aca="false">(Sens!G7558+Sens!H7558)/2*Sens!H7565/1000</f>
        <v>65.3915129357971</v>
      </c>
      <c r="I7656" s="6" t="n">
        <f aca="false">(Sens!H7558+Sens!I7558)/2*Sens!I7565/1000</f>
        <v>85.5187419289299</v>
      </c>
      <c r="J7656" s="6" t="n">
        <f aca="false">(Sens!I7558+Sens!J7558)/2*Sens!J7565/1000</f>
        <v>105.723807195006</v>
      </c>
      <c r="K7656" s="6" t="n">
        <f aca="false">(Sens!J7558+Sens!K7558)/2*Sens!K7565/1000</f>
        <v>125.974659797015</v>
      </c>
      <c r="L7656" s="1" t="s">
        <v>772</v>
      </c>
    </row>
    <row r="7657" customFormat="false" ht="17.15" hidden="false" customHeight="false" outlineLevel="0" collapsed="false">
      <c r="A7657" s="1" t="s">
        <v>773</v>
      </c>
      <c r="B7657" s="0" t="s">
        <v>126</v>
      </c>
      <c r="F7657" s="7" t="n">
        <f aca="false">(Sens!F7574+Sens!F7656-Sens!F7575-Sens!F7585)*(1-tax_f)/((Sens!E7651+Sens!F7651)/2)</f>
        <v>0.103169228860422</v>
      </c>
      <c r="G7657" s="7" t="n">
        <f aca="false">(Sens!G7574+Sens!G7656-Sens!G7575-Sens!G7585)*(1-tax_f)/((Sens!F7651+Sens!G7651)/2)</f>
        <v>0.101013029515836</v>
      </c>
      <c r="H7657" s="7" t="n">
        <f aca="false">(Sens!H7574+Sens!H7656-Sens!H7575-Sens!H7585)*(1-tax_f)/((Sens!G7651+Sens!H7651)/2)</f>
        <v>0.106225798797945</v>
      </c>
      <c r="I7657" s="7" t="n">
        <f aca="false">(Sens!I7574+Sens!I7656-Sens!I7575-Sens!I7585)*(1-tax_f)/((Sens!H7651+Sens!I7651)/2)</f>
        <v>0.110318060528939</v>
      </c>
      <c r="J7657" s="7" t="n">
        <f aca="false">(Sens!J7574+Sens!J7656-Sens!J7575-Sens!J7585)*(1-tax_f)/((Sens!I7651+Sens!J7651)/2)</f>
        <v>0.1131176976797</v>
      </c>
      <c r="K7657" s="7" t="n">
        <f aca="false">(Sens!K7574+Sens!K7656-Sens!K7575-Sens!K7585)*(1-tax_f)/((Sens!J7651+Sens!K7651)/2)</f>
        <v>0.113797299838415</v>
      </c>
      <c r="L7657" s="1" t="s">
        <v>774</v>
      </c>
    </row>
    <row r="7658" customFormat="false" ht="17.15" hidden="false" customHeight="false" outlineLevel="0" collapsed="false">
      <c r="A7658" s="3" t="s">
        <v>1332</v>
      </c>
    </row>
    <row r="7659" customFormat="false" ht="15" hidden="false" customHeight="false" outlineLevel="0" collapsed="false">
      <c r="A7659" s="4" t="s">
        <v>43</v>
      </c>
      <c r="B7659" s="4" t="s">
        <v>63</v>
      </c>
      <c r="C7659" s="19" t="s">
        <v>710</v>
      </c>
      <c r="D7659" s="19" t="s">
        <v>711</v>
      </c>
      <c r="E7659" s="19" t="s">
        <v>712</v>
      </c>
      <c r="F7659" s="19" t="s">
        <v>713</v>
      </c>
      <c r="G7659" s="19" t="s">
        <v>714</v>
      </c>
      <c r="H7659" s="19" t="s">
        <v>715</v>
      </c>
      <c r="I7659" s="19" t="s">
        <v>716</v>
      </c>
      <c r="J7659" s="19" t="s">
        <v>717</v>
      </c>
      <c r="K7659" s="19" t="s">
        <v>718</v>
      </c>
      <c r="L7659" s="4" t="s">
        <v>47</v>
      </c>
    </row>
    <row r="7660" customFormat="false" ht="15" hidden="false" customHeight="false" outlineLevel="0" collapsed="false">
      <c r="A7660" s="1" t="s">
        <v>825</v>
      </c>
      <c r="B7660" s="0" t="s">
        <v>95</v>
      </c>
      <c r="F7660" s="6" t="n">
        <f aca="false">Sens!F7645</f>
        <v>141.164782686209</v>
      </c>
      <c r="G7660" s="6" t="n">
        <f aca="false">Sens!G7645</f>
        <v>157.23210199465</v>
      </c>
      <c r="H7660" s="6" t="n">
        <f aca="false">Sens!H7645</f>
        <v>173.410363035868</v>
      </c>
      <c r="I7660" s="6" t="n">
        <f aca="false">Sens!I7645</f>
        <v>187.841384613409</v>
      </c>
      <c r="J7660" s="6" t="n">
        <f aca="false">Sens!J7645</f>
        <v>199.890314840375</v>
      </c>
      <c r="K7660" s="6" t="n">
        <f aca="false">Sens!K7645</f>
        <v>209.329867820323</v>
      </c>
    </row>
    <row r="7661" customFormat="false" ht="17.15" hidden="false" customHeight="false" outlineLevel="0" collapsed="false">
      <c r="A7661" s="1" t="s">
        <v>843</v>
      </c>
      <c r="B7661" s="0" t="s">
        <v>95</v>
      </c>
      <c r="E7661" s="6" t="n">
        <f aca="false">Q!M38-Sens!E7585</f>
        <v>22.2285940229167</v>
      </c>
      <c r="F7661" s="6" t="n">
        <f aca="false">Sens!E7661*(1-1/life_nonai)+Sens!F7667/life_nonai</f>
        <v>23.5626759435812</v>
      </c>
      <c r="G7661" s="6" t="n">
        <f aca="false">Sens!F7661*(1-1/life_nonai)+Sens!G7667/life_nonai</f>
        <v>25.3184025657684</v>
      </c>
      <c r="H7661" s="6" t="n">
        <f aca="false">Sens!G7661*(1-1/life_nonai)+Sens!H7667/life_nonai</f>
        <v>27.4604985552537</v>
      </c>
      <c r="I7661" s="6" t="n">
        <f aca="false">Sens!H7661*(1-1/life_nonai)+Sens!I7667/life_nonai</f>
        <v>29.9212539268856</v>
      </c>
      <c r="J7661" s="6" t="n">
        <f aca="false">Sens!I7661*(1-1/life_nonai)+Sens!J7667/life_nonai</f>
        <v>32.6162379843551</v>
      </c>
      <c r="K7661" s="6" t="n">
        <f aca="false">Sens!J7661*(1-1/life_nonai)+Sens!K7667/life_nonai</f>
        <v>35.4602795894137</v>
      </c>
      <c r="L7661" s="11" t="s">
        <v>844</v>
      </c>
    </row>
    <row r="7662" customFormat="false" ht="17.15" hidden="false" customHeight="false" outlineLevel="0" collapsed="false">
      <c r="A7662" s="1" t="s">
        <v>845</v>
      </c>
      <c r="B7662" s="0" t="s">
        <v>95</v>
      </c>
      <c r="E7662" s="6" t="n">
        <f aca="false">Sens!E7585+Sens!E7661</f>
        <v>38.534</v>
      </c>
      <c r="F7662" s="6" t="n">
        <f aca="false">Sens!F7585+Sens!F7661</f>
        <v>58.3040392327844</v>
      </c>
      <c r="G7662" s="6" t="n">
        <f aca="false">Sens!G7585+Sens!G7661</f>
        <v>85.8267914927747</v>
      </c>
      <c r="H7662" s="6" t="n">
        <f aca="false">Sens!H7585+Sens!H7661</f>
        <v>115.20447021506</v>
      </c>
      <c r="I7662" s="6" t="n">
        <f aca="false">Sens!I7585+Sens!I7661</f>
        <v>145.920091334675</v>
      </c>
      <c r="J7662" s="6" t="n">
        <f aca="false">Sens!J7585+Sens!J7661</f>
        <v>177.842171609295</v>
      </c>
      <c r="K7662" s="6" t="n">
        <f aca="false">Sens!K7585+Sens!K7661</f>
        <v>211.20085789067</v>
      </c>
    </row>
    <row r="7663" customFormat="false" ht="15" hidden="false" customHeight="false" outlineLevel="0" collapsed="false">
      <c r="A7663" s="1" t="s">
        <v>685</v>
      </c>
      <c r="B7663" s="0" t="s">
        <v>95</v>
      </c>
      <c r="F7663" s="6" t="n">
        <f aca="false">Sens!F7612*sbc_r</f>
        <v>14.9262285114936</v>
      </c>
      <c r="G7663" s="6" t="n">
        <f aca="false">Sens!G7612*sbc_r</f>
        <v>17.7487132721055</v>
      </c>
      <c r="H7663" s="6" t="n">
        <f aca="false">Sens!H7612*sbc_r</f>
        <v>20.6303730883139</v>
      </c>
      <c r="I7663" s="6" t="n">
        <f aca="false">Sens!I7612*sbc_r</f>
        <v>23.4360232984825</v>
      </c>
      <c r="J7663" s="6" t="n">
        <f aca="false">Sens!J7612*sbc_r</f>
        <v>26.1102585084353</v>
      </c>
      <c r="K7663" s="6" t="n">
        <f aca="false">Sens!K7612*sbc_r</f>
        <v>28.6544692987981</v>
      </c>
    </row>
    <row r="7664" customFormat="false" ht="17.15" hidden="false" customHeight="false" outlineLevel="0" collapsed="false">
      <c r="A7664" s="1" t="s">
        <v>846</v>
      </c>
      <c r="B7664" s="0" t="s">
        <v>95</v>
      </c>
      <c r="F7664" s="6" t="n">
        <f aca="false">wc27</f>
        <v>-4.895</v>
      </c>
      <c r="G7664" s="6" t="n">
        <f aca="false">0</f>
        <v>0</v>
      </c>
      <c r="H7664" s="6" t="n">
        <f aca="false">0</f>
        <v>0</v>
      </c>
      <c r="I7664" s="6" t="n">
        <f aca="false">0</f>
        <v>0</v>
      </c>
      <c r="J7664" s="6" t="n">
        <f aca="false">0</f>
        <v>0</v>
      </c>
      <c r="K7664" s="6" t="n">
        <f aca="false">0</f>
        <v>0</v>
      </c>
      <c r="L7664" s="11" t="s">
        <v>847</v>
      </c>
    </row>
    <row r="7665" customFormat="false" ht="15" hidden="false" customHeight="false" outlineLevel="0" collapsed="false">
      <c r="A7665" s="1" t="s">
        <v>678</v>
      </c>
      <c r="B7665" s="0" t="s">
        <v>95</v>
      </c>
      <c r="E7665" s="6" t="n">
        <f aca="false">Q!M35</f>
        <v>182.935</v>
      </c>
      <c r="F7665" s="6" t="n">
        <f aca="false">Sens!F7660+Sens!F7662+Sens!F7663+Sens!F7664</f>
        <v>209.500050430487</v>
      </c>
      <c r="G7665" s="6" t="n">
        <f aca="false">Sens!G7660+Sens!G7662+Sens!G7663+Sens!G7664</f>
        <v>260.80760675953</v>
      </c>
      <c r="H7665" s="6" t="n">
        <f aca="false">Sens!H7660+Sens!H7662+Sens!H7663+Sens!H7664</f>
        <v>309.245206339242</v>
      </c>
      <c r="I7665" s="6" t="n">
        <f aca="false">Sens!I7660+Sens!I7662+Sens!I7663+Sens!I7664</f>
        <v>357.197499246567</v>
      </c>
      <c r="J7665" s="6" t="n">
        <f aca="false">Sens!J7660+Sens!J7662+Sens!J7663+Sens!J7664</f>
        <v>403.842744958105</v>
      </c>
      <c r="K7665" s="6" t="n">
        <f aca="false">Sens!K7660+Sens!K7662+Sens!K7663+Sens!K7664</f>
        <v>449.185195009791</v>
      </c>
    </row>
    <row r="7666" customFormat="false" ht="17.15" hidden="false" customHeight="false" outlineLevel="0" collapsed="false">
      <c r="A7666" s="0" t="s">
        <v>848</v>
      </c>
      <c r="B7666" s="0" t="s">
        <v>95</v>
      </c>
      <c r="F7666" s="6" t="n">
        <f aca="false">Sens!F7582</f>
        <v>168.630586770438</v>
      </c>
      <c r="G7666" s="6" t="n">
        <f aca="false">Sens!G7582</f>
        <v>183.5741804832</v>
      </c>
      <c r="H7666" s="6" t="n">
        <f aca="false">Sens!H7582</f>
        <v>188.0802859104</v>
      </c>
      <c r="I7666" s="6" t="n">
        <f aca="false">Sens!I7582</f>
        <v>218.338961257067</v>
      </c>
      <c r="J7666" s="6" t="n">
        <f aca="false">Sens!J7582</f>
        <v>233.777060923733</v>
      </c>
      <c r="K7666" s="6" t="n">
        <f aca="false">Sens!K7582</f>
        <v>278.8563119504</v>
      </c>
    </row>
    <row r="7667" customFormat="false" ht="17.15" hidden="false" customHeight="false" outlineLevel="0" collapsed="false">
      <c r="A7667" s="1" t="s">
        <v>849</v>
      </c>
      <c r="B7667" s="0" t="s">
        <v>95</v>
      </c>
      <c r="E7667" s="6" t="n">
        <f aca="false">Sens!E7590*cx_azo+Sens!E7597*cx_m365+Sens!E7598*cx_lic+(Sens!E7600+Sens!E7602)*cx_ind+Sens!E7605*cx_srch+(Sens!E7607+Sens!E7609)*cx_dev</f>
        <v>30.1846587067718</v>
      </c>
      <c r="F7667" s="6" t="n">
        <f aca="false">Sens!F7590*cx_azo+Sens!F7597*cx_m365+Sens!F7598*cx_lic+(Sens!F7600+Sens!F7602)*cx_ind+Sens!F7605*cx_srch+(Sens!F7607+Sens!F7609)*cx_dev</f>
        <v>35.5694132295625</v>
      </c>
      <c r="G7667" s="6" t="n">
        <f aca="false">Sens!G7590*cx_azo+Sens!G7597*cx_m365+Sens!G7598*cx_lic+(Sens!G7600+Sens!G7602)*cx_ind+Sens!G7605*cx_srch+(Sens!G7607+Sens!G7609)*cx_dev</f>
        <v>41.1199421654528</v>
      </c>
      <c r="H7667" s="6" t="n">
        <f aca="false">Sens!H7590*cx_azo+Sens!H7597*cx_m365+Sens!H7598*cx_lic+(Sens!H7600+Sens!H7602)*cx_ind+Sens!H7605*cx_srch+(Sens!H7607+Sens!H7609)*cx_dev</f>
        <v>46.7393624606218</v>
      </c>
      <c r="I7667" s="6" t="n">
        <f aca="false">Sens!I7590*cx_azo+Sens!I7597*cx_m365+Sens!I7598*cx_lic+(Sens!I7600+Sens!I7602)*cx_ind+Sens!I7605*cx_srch+(Sens!I7607+Sens!I7609)*cx_dev</f>
        <v>52.0680522715721</v>
      </c>
      <c r="J7667" s="6" t="n">
        <f aca="false">Sens!J7590*cx_azo+Sens!J7597*cx_m365+Sens!J7598*cx_lic+(Sens!J7600+Sens!J7602)*cx_ind+Sens!J7605*cx_srch+(Sens!J7607+Sens!J7609)*cx_dev</f>
        <v>56.871094501581</v>
      </c>
      <c r="K7667" s="6" t="n">
        <f aca="false">Sens!K7590*cx_azo+Sens!K7597*cx_m365+Sens!K7598*cx_lic+(Sens!K7600+Sens!K7602)*cx_ind+Sens!K7605*cx_srch+(Sens!K7607+Sens!K7609)*cx_dev</f>
        <v>61.0566540349409</v>
      </c>
    </row>
    <row r="7668" customFormat="false" ht="17.15" hidden="false" customHeight="false" outlineLevel="0" collapsed="false">
      <c r="A7668" s="1" t="s">
        <v>850</v>
      </c>
      <c r="B7668" s="0" t="s">
        <v>95</v>
      </c>
      <c r="E7668" s="6" t="n">
        <f aca="false">Q!M42</f>
        <v>145.3</v>
      </c>
      <c r="F7668" s="6" t="n">
        <f aca="false">Sens!F7666+Sens!F7667</f>
        <v>204.2</v>
      </c>
      <c r="G7668" s="6" t="n">
        <f aca="false">Sens!G7666+Sens!G7667</f>
        <v>224.694122648653</v>
      </c>
      <c r="H7668" s="6" t="n">
        <f aca="false">Sens!H7666+Sens!H7667</f>
        <v>234.819648371022</v>
      </c>
      <c r="I7668" s="6" t="n">
        <f aca="false">Sens!I7666+Sens!I7667</f>
        <v>270.407013528639</v>
      </c>
      <c r="J7668" s="6" t="n">
        <f aca="false">Sens!J7666+Sens!J7667</f>
        <v>290.648155425314</v>
      </c>
      <c r="K7668" s="6" t="n">
        <f aca="false">Sens!K7666+Sens!K7667</f>
        <v>339.912965985341</v>
      </c>
      <c r="L7668" s="1" t="s">
        <v>851</v>
      </c>
    </row>
    <row r="7669" customFormat="false" ht="15" hidden="false" customHeight="false" outlineLevel="0" collapsed="false">
      <c r="A7669" s="1" t="s">
        <v>852</v>
      </c>
      <c r="B7669" s="0" t="s">
        <v>95</v>
      </c>
      <c r="E7669" s="6" t="n">
        <f aca="false">fl_liab</f>
        <v>66.594</v>
      </c>
      <c r="F7669" s="6" t="n">
        <f aca="false">Sens!E7669-Sens!F7670</f>
        <v>62.46973</v>
      </c>
      <c r="G7669" s="6" t="n">
        <f aca="false">Sens!F7669-Sens!G7670</f>
        <v>57.98686785</v>
      </c>
      <c r="H7669" s="6" t="n">
        <f aca="false">Sens!G7669-Sens!H7670</f>
        <v>53.92827690325</v>
      </c>
      <c r="I7669" s="6" t="n">
        <f aca="false">Sens!H7669-Sens!I7670</f>
        <v>49.7850493638962</v>
      </c>
      <c r="J7669" s="6" t="n">
        <f aca="false">Sens!I7669-Sens!J7670</f>
        <v>45.4823765852716</v>
      </c>
      <c r="K7669" s="6" t="n">
        <f aca="false">Sens!J7669-Sens!K7670</f>
        <v>40.9860835316088</v>
      </c>
    </row>
    <row r="7670" customFormat="false" ht="15" hidden="false" customHeight="false" outlineLevel="0" collapsed="false">
      <c r="A7670" s="1" t="s">
        <v>853</v>
      </c>
      <c r="B7670" s="0" t="s">
        <v>95</v>
      </c>
      <c r="F7670" s="6" t="n">
        <f aca="false">fl_pay_27-Sens!E7669*fl_rate</f>
        <v>4.12427</v>
      </c>
      <c r="G7670" s="6" t="n">
        <f aca="false">fl_pay_28-Sens!F7669*fl_rate</f>
        <v>4.48286215</v>
      </c>
      <c r="H7670" s="6" t="n">
        <f aca="false">fl_pay_29-Sens!G7669*fl_rate</f>
        <v>4.05859094675</v>
      </c>
      <c r="I7670" s="6" t="n">
        <f aca="false">fl_pay_30-Sens!H7669*fl_rate</f>
        <v>4.14322753935375</v>
      </c>
      <c r="J7670" s="6" t="n">
        <f aca="false">fl_pay_31-Sens!I7669*fl_rate</f>
        <v>4.30267277862467</v>
      </c>
      <c r="K7670" s="6" t="n">
        <f aca="false">fl_pay_32-Sens!J7669*fl_rate</f>
        <v>4.49629305366278</v>
      </c>
    </row>
    <row r="7671" customFormat="false" ht="17.15" hidden="false" customHeight="false" outlineLevel="0" collapsed="false">
      <c r="A7671" s="1" t="s">
        <v>854</v>
      </c>
      <c r="B7671" s="0" t="s">
        <v>95</v>
      </c>
      <c r="E7671" s="6" t="n">
        <f aca="false">Q!M35-Q!M36-Q!M43</f>
        <v>63.886</v>
      </c>
      <c r="F7671" s="6" t="n">
        <f aca="false">Sens!F7665-Sens!F7668-Sens!F7670</f>
        <v>1.17578043048655</v>
      </c>
      <c r="G7671" s="6" t="n">
        <f aca="false">Sens!G7665-Sens!G7668-Sens!G7670</f>
        <v>31.6306219608774</v>
      </c>
      <c r="H7671" s="6" t="n">
        <f aca="false">Sens!H7665-Sens!H7668-Sens!H7670</f>
        <v>70.3669670214705</v>
      </c>
      <c r="I7671" s="6" t="n">
        <f aca="false">Sens!I7665-Sens!I7668-Sens!I7670</f>
        <v>82.647258178574</v>
      </c>
      <c r="J7671" s="6" t="n">
        <f aca="false">Sens!J7665-Sens!J7668-Sens!J7670</f>
        <v>108.891916754166</v>
      </c>
      <c r="K7671" s="6" t="n">
        <f aca="false">Sens!K7665-Sens!K7668-Sens!K7670</f>
        <v>104.775935970787</v>
      </c>
      <c r="L7671" s="11" t="s">
        <v>855</v>
      </c>
    </row>
    <row r="7672" customFormat="false" ht="15" hidden="false" customHeight="false" outlineLevel="0" collapsed="false">
      <c r="A7672" s="1" t="s">
        <v>856</v>
      </c>
      <c r="B7672" s="0" t="s">
        <v>73</v>
      </c>
      <c r="F7672" s="8" t="n">
        <f aca="false">dps_27</f>
        <v>3.85</v>
      </c>
      <c r="G7672" s="8" t="n">
        <f aca="false">Sens!F7672*(1+dps_g)</f>
        <v>4.158</v>
      </c>
      <c r="H7672" s="8" t="n">
        <f aca="false">Sens!G7672*(1+dps_g)</f>
        <v>4.49064</v>
      </c>
      <c r="I7672" s="8" t="n">
        <f aca="false">Sens!H7672*(1+dps_g)</f>
        <v>4.8498912</v>
      </c>
      <c r="J7672" s="8" t="n">
        <f aca="false">Sens!I7672*(1+dps_g)</f>
        <v>5.237882496</v>
      </c>
      <c r="K7672" s="8" t="n">
        <f aca="false">Sens!J7672*(1+dps_g)</f>
        <v>5.65691309568</v>
      </c>
    </row>
    <row r="7673" customFormat="false" ht="17.15" hidden="false" customHeight="false" outlineLevel="0" collapsed="false">
      <c r="A7673" s="1" t="s">
        <v>857</v>
      </c>
      <c r="B7673" s="0" t="s">
        <v>95</v>
      </c>
      <c r="E7673" s="6" t="n">
        <f aca="false">Q!M41</f>
        <v>26.445</v>
      </c>
      <c r="F7673" s="6" t="n">
        <f aca="false">Sens!F7672*Sens!E7682</f>
        <v>28.59395</v>
      </c>
      <c r="G7673" s="6" t="n">
        <f aca="false">Sens!G7672*Sens!F7682</f>
        <v>31.068576</v>
      </c>
      <c r="H7673" s="6" t="n">
        <f aca="false">Sens!H7672*Sens!G7682</f>
        <v>33.7519186364953</v>
      </c>
      <c r="I7673" s="6" t="n">
        <f aca="false">Sens!I7672*Sens!H7682</f>
        <v>36.5030113674144</v>
      </c>
      <c r="J7673" s="6" t="n">
        <f aca="false">Sens!J7672*Sens!I7682</f>
        <v>39.491651125127</v>
      </c>
      <c r="K7673" s="6" t="n">
        <f aca="false">Sens!K7672*Sens!J7682</f>
        <v>42.7382384404422</v>
      </c>
      <c r="L7673" s="1" t="s">
        <v>858</v>
      </c>
    </row>
    <row r="7674" customFormat="false" ht="15" hidden="false" customHeight="false" outlineLevel="0" collapsed="false">
      <c r="A7674" s="1" t="s">
        <v>859</v>
      </c>
      <c r="B7674" s="0" t="s">
        <v>95</v>
      </c>
      <c r="E7674" s="6" t="n">
        <f aca="false">Sens!E7671-Sens!E7673</f>
        <v>37.441</v>
      </c>
      <c r="F7674" s="6" t="n">
        <f aca="false">Sens!F7671-Sens!F7673</f>
        <v>-27.4181695695135</v>
      </c>
      <c r="G7674" s="6" t="n">
        <f aca="false">Sens!G7671-Sens!G7673</f>
        <v>0.562045960877438</v>
      </c>
      <c r="H7674" s="6" t="n">
        <f aca="false">Sens!H7671-Sens!H7673</f>
        <v>36.6150483849752</v>
      </c>
      <c r="I7674" s="6" t="n">
        <f aca="false">Sens!I7671-Sens!I7673</f>
        <v>46.1442468111596</v>
      </c>
      <c r="J7674" s="6" t="n">
        <f aca="false">Sens!J7671-Sens!J7673</f>
        <v>69.4002656290387</v>
      </c>
      <c r="K7674" s="6" t="n">
        <f aca="false">Sens!K7671-Sens!K7673</f>
        <v>62.0376975303452</v>
      </c>
    </row>
    <row r="7675" customFormat="false" ht="15" hidden="false" customHeight="false" outlineLevel="0" collapsed="false">
      <c r="A7675" s="1" t="s">
        <v>860</v>
      </c>
      <c r="B7675" s="0" t="s">
        <v>95</v>
      </c>
      <c r="F7675" s="6" t="n">
        <f aca="false">debt_mat_27</f>
        <v>9.25</v>
      </c>
      <c r="G7675" s="6" t="n">
        <f aca="false">debt_mat_28</f>
        <v>0</v>
      </c>
      <c r="H7675" s="6" t="n">
        <f aca="false">debt_mat_29</f>
        <v>2.001</v>
      </c>
      <c r="I7675" s="6" t="n">
        <f aca="false">debt_mat_30</f>
        <v>0</v>
      </c>
      <c r="J7675" s="6" t="n">
        <f aca="false">debt_mat_31</f>
        <v>0.5</v>
      </c>
      <c r="K7675" s="6" t="n">
        <f aca="false">debt_mat_32</f>
        <v>0</v>
      </c>
    </row>
    <row r="7676" customFormat="false" ht="15" hidden="false" customHeight="false" outlineLevel="0" collapsed="false">
      <c r="A7676" s="1" t="s">
        <v>861</v>
      </c>
      <c r="B7676" s="0" t="s">
        <v>95</v>
      </c>
      <c r="E7676" s="6" t="n">
        <f aca="false">Q!M40</f>
        <v>22.271</v>
      </c>
      <c r="F7676" s="6" t="n">
        <f aca="false">MAX(0,MIN(bb_target,Sens!E7678+Sens!F7674-Sens!F7675-min_cash))</f>
        <v>0</v>
      </c>
      <c r="G7676" s="6" t="n">
        <f aca="false">MAX(0,MIN(bb_target,Sens!F7678+Sens!G7674-Sens!G7675-min_cash))</f>
        <v>0.562045960877441</v>
      </c>
      <c r="H7676" s="6" t="n">
        <f aca="false">MAX(0,MIN(bb_target,Sens!G7678+Sens!H7674-Sens!H7675-min_cash))</f>
        <v>22.271</v>
      </c>
      <c r="I7676" s="6" t="n">
        <f aca="false">MAX(0,MIN(bb_target,Sens!H7678+Sens!I7674-Sens!I7675-min_cash))</f>
        <v>22.271</v>
      </c>
      <c r="J7676" s="6" t="n">
        <f aca="false">MAX(0,MIN(bb_target,Sens!I7678+Sens!J7674-Sens!J7675-min_cash))</f>
        <v>22.271</v>
      </c>
      <c r="K7676" s="6" t="n">
        <f aca="false">MAX(0,MIN(bb_target,Sens!J7678+Sens!K7674-Sens!K7675-min_cash))</f>
        <v>22.271</v>
      </c>
    </row>
    <row r="7677" customFormat="false" ht="15" hidden="false" customHeight="false" outlineLevel="0" collapsed="false">
      <c r="A7677" s="1" t="s">
        <v>862</v>
      </c>
      <c r="B7677" s="0" t="s">
        <v>95</v>
      </c>
      <c r="F7677" s="6" t="n">
        <f aca="false">MAX(0,min_cash-(Sens!E7678+Sens!F7674-Sens!F7675-Sens!F7676))</f>
        <v>9.82516956951345</v>
      </c>
      <c r="G7677" s="6" t="n">
        <f aca="false">MAX(0,min_cash-(Sens!F7678+Sens!G7674-Sens!G7675-Sens!G7676))</f>
        <v>0</v>
      </c>
      <c r="H7677" s="6" t="n">
        <f aca="false">MAX(0,min_cash-(Sens!G7678+Sens!H7674-Sens!H7675-Sens!H7676))</f>
        <v>0</v>
      </c>
      <c r="I7677" s="6" t="n">
        <f aca="false">MAX(0,min_cash-(Sens!H7678+Sens!I7674-Sens!I7675-Sens!I7676))</f>
        <v>0</v>
      </c>
      <c r="J7677" s="6" t="n">
        <f aca="false">MAX(0,min_cash-(Sens!I7678+Sens!J7674-Sens!J7675-Sens!J7676))</f>
        <v>0</v>
      </c>
      <c r="K7677" s="6" t="n">
        <f aca="false">MAX(0,min_cash-(Sens!J7678+Sens!K7674-Sens!K7675-Sens!K7676))</f>
        <v>0</v>
      </c>
    </row>
    <row r="7678" customFormat="false" ht="15" hidden="false" customHeight="false" outlineLevel="0" collapsed="false">
      <c r="A7678" s="1" t="s">
        <v>863</v>
      </c>
      <c r="B7678" s="0" t="s">
        <v>95</v>
      </c>
      <c r="E7678" s="6" t="n">
        <f aca="false">cash_open</f>
        <v>76.843</v>
      </c>
      <c r="F7678" s="6" t="n">
        <f aca="false">Sens!E7678+Sens!F7674-Sens!F7675-Sens!F7676+Sens!F7677</f>
        <v>50</v>
      </c>
      <c r="G7678" s="6" t="n">
        <f aca="false">Sens!F7678+Sens!G7674-Sens!G7675-Sens!G7676+Sens!G7677</f>
        <v>50</v>
      </c>
      <c r="H7678" s="6" t="n">
        <f aca="false">Sens!G7678+Sens!H7674-Sens!H7675-Sens!H7676+Sens!H7677</f>
        <v>62.3430483849752</v>
      </c>
      <c r="I7678" s="6" t="n">
        <f aca="false">Sens!H7678+Sens!I7674-Sens!I7675-Sens!I7676+Sens!I7677</f>
        <v>86.2162951961348</v>
      </c>
      <c r="J7678" s="6" t="n">
        <f aca="false">Sens!I7678+Sens!J7674-Sens!J7675-Sens!J7676+Sens!J7677</f>
        <v>132.845560825173</v>
      </c>
      <c r="K7678" s="6" t="n">
        <f aca="false">Sens!J7678+Sens!K7674-Sens!K7675-Sens!K7676+Sens!K7677</f>
        <v>172.612258355519</v>
      </c>
    </row>
    <row r="7679" customFormat="false" ht="15" hidden="false" customHeight="false" outlineLevel="0" collapsed="false">
      <c r="A7679" s="1" t="s">
        <v>864</v>
      </c>
      <c r="B7679" s="0" t="s">
        <v>95</v>
      </c>
      <c r="E7679" s="6" t="n">
        <f aca="false">debt_face</f>
        <v>46.136</v>
      </c>
      <c r="F7679" s="6" t="n">
        <f aca="false">Sens!E7679-Sens!F7675+Sens!F7677</f>
        <v>46.7111695695135</v>
      </c>
      <c r="G7679" s="6" t="n">
        <f aca="false">Sens!F7679-Sens!G7675+Sens!G7677</f>
        <v>46.7111695695135</v>
      </c>
      <c r="H7679" s="6" t="n">
        <f aca="false">Sens!G7679-Sens!H7675+Sens!H7677</f>
        <v>44.7101695695135</v>
      </c>
      <c r="I7679" s="6" t="n">
        <f aca="false">Sens!H7679-Sens!I7675+Sens!I7677</f>
        <v>44.7101695695135</v>
      </c>
      <c r="J7679" s="6" t="n">
        <f aca="false">Sens!I7679-Sens!J7675+Sens!J7677</f>
        <v>44.2101695695135</v>
      </c>
      <c r="K7679" s="6" t="n">
        <f aca="false">Sens!J7679-Sens!K7675+Sens!K7677</f>
        <v>44.2101695695135</v>
      </c>
    </row>
    <row r="7680" customFormat="false" ht="15" hidden="false" customHeight="false" outlineLevel="0" collapsed="false">
      <c r="A7680" s="1" t="s">
        <v>865</v>
      </c>
      <c r="B7680" s="0" t="s">
        <v>95</v>
      </c>
      <c r="E7680" s="6" t="n">
        <f aca="false">Sens!E7678-Sens!E7679</f>
        <v>30.707</v>
      </c>
      <c r="F7680" s="6" t="n">
        <f aca="false">Sens!F7678-Sens!F7679</f>
        <v>3.28883043048655</v>
      </c>
      <c r="G7680" s="6" t="n">
        <f aca="false">Sens!G7678-Sens!G7679</f>
        <v>3.28883043048655</v>
      </c>
      <c r="H7680" s="6" t="n">
        <f aca="false">Sens!H7678-Sens!H7679</f>
        <v>17.6328788154617</v>
      </c>
      <c r="I7680" s="6" t="n">
        <f aca="false">Sens!I7678-Sens!I7679</f>
        <v>41.5061256266213</v>
      </c>
      <c r="J7680" s="6" t="n">
        <f aca="false">Sens!J7678-Sens!J7679</f>
        <v>88.63539125566</v>
      </c>
      <c r="K7680" s="6" t="n">
        <f aca="false">Sens!K7678-Sens!K7679</f>
        <v>128.402088786005</v>
      </c>
    </row>
    <row r="7681" customFormat="false" ht="15" hidden="false" customHeight="false" outlineLevel="0" collapsed="false">
      <c r="A7681" s="1" t="s">
        <v>866</v>
      </c>
      <c r="B7681" s="0" t="s">
        <v>73</v>
      </c>
      <c r="F7681" s="27" t="n">
        <f aca="false">px*(1+bb_g)^(1-0.5)</f>
        <v>553.494156066711</v>
      </c>
      <c r="G7681" s="27" t="n">
        <f aca="false">px*(1+bb_g)^(2-0.5)</f>
        <v>597.773688552047</v>
      </c>
      <c r="H7681" s="27" t="n">
        <f aca="false">px*(1+bb_g)^(3-0.5)</f>
        <v>645.595583636211</v>
      </c>
      <c r="I7681" s="27" t="n">
        <f aca="false">px*(1+bb_g)^(4-0.5)</f>
        <v>697.243230327108</v>
      </c>
      <c r="J7681" s="27" t="n">
        <f aca="false">px*(1+bb_g)^(5-0.5)</f>
        <v>753.022688753277</v>
      </c>
      <c r="K7681" s="27" t="n">
        <f aca="false">px*(1+bb_g)^(6-0.5)</f>
        <v>813.264503853539</v>
      </c>
    </row>
    <row r="7682" customFormat="false" ht="15" hidden="false" customHeight="false" outlineLevel="0" collapsed="false">
      <c r="A7682" s="1" t="s">
        <v>867</v>
      </c>
      <c r="B7682" s="1" t="s">
        <v>79</v>
      </c>
      <c r="E7682" s="18" t="n">
        <f aca="false">sh_out26</f>
        <v>7.427</v>
      </c>
      <c r="F7682" s="18" t="n">
        <f aca="false">Sens!E7682+sh_iss-Sens!F7676/Sens!F7681</f>
        <v>7.472</v>
      </c>
      <c r="G7682" s="18" t="n">
        <f aca="false">Sens!F7682+sh_iss-Sens!G7676/Sens!G7681</f>
        <v>7.51605976798303</v>
      </c>
      <c r="H7682" s="18" t="n">
        <f aca="false">Sens!G7682+sh_iss-Sens!H7676/Sens!H7681</f>
        <v>7.52656293968293</v>
      </c>
      <c r="I7682" s="18" t="n">
        <f aca="false">Sens!H7682+sh_iss-Sens!I7676/Sens!I7681</f>
        <v>7.53962143199766</v>
      </c>
      <c r="J7682" s="18" t="n">
        <f aca="false">Sens!I7682+sh_iss-Sens!J7676/Sens!J7681</f>
        <v>7.5550459619187</v>
      </c>
      <c r="K7682" s="18" t="n">
        <f aca="false">Sens!J7682+sh_iss-Sens!K7676/Sens!K7681</f>
        <v>7.57266126740114</v>
      </c>
    </row>
    <row r="7683" customFormat="false" ht="15" hidden="false" customHeight="false" outlineLevel="0" collapsed="false">
      <c r="A7683" s="1" t="s">
        <v>868</v>
      </c>
      <c r="B7683" s="1" t="s">
        <v>79</v>
      </c>
      <c r="E7683" s="18" t="n">
        <f aca="false">sh_dil26</f>
        <v>7.453</v>
      </c>
      <c r="F7683" s="18" t="n">
        <f aca="false">(Sens!E7682+Sens!F7682)/2+dil_gap</f>
        <v>7.4735</v>
      </c>
      <c r="G7683" s="18" t="n">
        <f aca="false">(Sens!F7682+Sens!G7682)/2+dil_gap</f>
        <v>7.51802988399152</v>
      </c>
      <c r="H7683" s="18" t="n">
        <f aca="false">(Sens!G7682+Sens!H7682)/2+dil_gap</f>
        <v>7.54531135383298</v>
      </c>
      <c r="I7683" s="18" t="n">
        <f aca="false">(Sens!H7682+Sens!I7682)/2+dil_gap</f>
        <v>7.5570921858403</v>
      </c>
      <c r="J7683" s="18" t="n">
        <f aca="false">(Sens!I7682+Sens!J7682)/2+dil_gap</f>
        <v>7.57133369695818</v>
      </c>
      <c r="K7683" s="18" t="n">
        <f aca="false">(Sens!J7682+Sens!K7682)/2+dil_gap</f>
        <v>7.58785361465992</v>
      </c>
    </row>
    <row r="7684" customFormat="false" ht="17.15" hidden="false" customHeight="false" outlineLevel="0" collapsed="false">
      <c r="A7684" s="1" t="s">
        <v>869</v>
      </c>
      <c r="B7684" s="0" t="s">
        <v>95</v>
      </c>
      <c r="C7684" s="6" t="n">
        <f aca="false">SUM(Sens!F7674:J7674)</f>
        <v>125.303437216537</v>
      </c>
    </row>
    <row r="7685" customFormat="false" ht="17.15" hidden="false" customHeight="false" outlineLevel="0" collapsed="false">
      <c r="A7685" s="1" t="s">
        <v>836</v>
      </c>
      <c r="B7685" s="1" t="s">
        <v>870</v>
      </c>
      <c r="C7685" s="30" t="str">
        <f aca="false">IF(SUM(Sens!F7677:J7677)&gt;0.05,"需要舉債 "&amp;TEXT(SUM(Sens!F7677:J7677),"0.0")&amp;" 十億美元","不需舉債")&amp;"；"&amp;IF(SUM(Sens!F7676:J7676)&lt;5*bb_target-0.05,"回購較每年 "&amp;TEXT(bb_target,"0.0")&amp;" 的目標少 "&amp;TEXT(5*bb_target-SUM(Sens!F7676:J7676),"0.0")&amp;" 十億美元（"&amp;TEXT(COUNTIF(Sens!F7676:J7676,"&lt;"&amp;(bb_target-0.05)),"0")&amp;" 年減少）","回購不減")</f>
        <v>需要舉債 9.8 十億美元；回購較每年 22.3 的目標少 44.0 十億美元（2 年減少）</v>
      </c>
    </row>
    <row r="7686" customFormat="false" ht="17.15" hidden="false" customHeight="false" outlineLevel="0" collapsed="false">
      <c r="A7686" s="3" t="s">
        <v>1333</v>
      </c>
    </row>
    <row r="7687" customFormat="false" ht="15" hidden="false" customHeight="false" outlineLevel="0" collapsed="false">
      <c r="A7687" s="4" t="s">
        <v>43</v>
      </c>
      <c r="B7687" s="4" t="s">
        <v>63</v>
      </c>
      <c r="C7687" s="19" t="s">
        <v>710</v>
      </c>
      <c r="D7687" s="19" t="s">
        <v>711</v>
      </c>
      <c r="E7687" s="19" t="s">
        <v>712</v>
      </c>
      <c r="F7687" s="19" t="s">
        <v>713</v>
      </c>
      <c r="G7687" s="19" t="s">
        <v>714</v>
      </c>
      <c r="H7687" s="19" t="s">
        <v>715</v>
      </c>
      <c r="I7687" s="19" t="s">
        <v>716</v>
      </c>
      <c r="J7687" s="19" t="s">
        <v>717</v>
      </c>
      <c r="K7687" s="19" t="s">
        <v>718</v>
      </c>
      <c r="L7687" s="4" t="s">
        <v>47</v>
      </c>
    </row>
    <row r="7688" customFormat="false" ht="17.15" hidden="false" customHeight="false" outlineLevel="0" collapsed="false">
      <c r="A7688" s="1" t="s">
        <v>938</v>
      </c>
      <c r="B7688" s="1" t="s">
        <v>213</v>
      </c>
      <c r="F7688" s="34" t="n">
        <f aca="false">1-0.5</f>
        <v>0.5</v>
      </c>
      <c r="G7688" s="34" t="n">
        <f aca="false">2-0.5</f>
        <v>1.5</v>
      </c>
      <c r="H7688" s="34" t="n">
        <f aca="false">3-0.5</f>
        <v>2.5</v>
      </c>
      <c r="I7688" s="34" t="n">
        <f aca="false">4-0.5</f>
        <v>3.5</v>
      </c>
      <c r="J7688" s="34" t="n">
        <f aca="false">5-0.5</f>
        <v>4.5</v>
      </c>
      <c r="K7688" s="34" t="n">
        <f aca="false">6-0.5</f>
        <v>5.5</v>
      </c>
    </row>
    <row r="7689" customFormat="false" ht="15" hidden="false" customHeight="false" outlineLevel="0" collapsed="false">
      <c r="A7689" s="1" t="s">
        <v>939</v>
      </c>
      <c r="B7689" s="0" t="s">
        <v>182</v>
      </c>
      <c r="F7689" s="18" t="n">
        <f aca="false">1/(1+wacc)^Sens!F7688</f>
        <v>0.949601579913219</v>
      </c>
      <c r="G7689" s="18" t="n">
        <f aca="false">1/(1+wacc)^Sens!G7688</f>
        <v>0.856296729956707</v>
      </c>
      <c r="H7689" s="18" t="n">
        <f aca="false">1/(1+wacc)^Sens!H7688</f>
        <v>0.772159719660069</v>
      </c>
      <c r="I7689" s="18" t="n">
        <f aca="false">1/(1+wacc)^Sens!I7688</f>
        <v>0.696289746073958</v>
      </c>
      <c r="J7689" s="18" t="n">
        <f aca="false">1/(1+wacc)^Sens!J7688</f>
        <v>0.627874516299776</v>
      </c>
      <c r="K7689" s="18" t="n">
        <f aca="false">1/(1+wacc)^Sens!K7688</f>
        <v>0.566181550771831</v>
      </c>
    </row>
    <row r="7690" customFormat="false" ht="15" hidden="false" customHeight="false" outlineLevel="0" collapsed="false">
      <c r="A7690" s="1" t="s">
        <v>940</v>
      </c>
      <c r="B7690" s="0" t="s">
        <v>95</v>
      </c>
      <c r="F7690" s="6" t="n">
        <f aca="false">Sens!F7671*Sens!F7689</f>
        <v>1.11652295442107</v>
      </c>
      <c r="G7690" s="6" t="n">
        <f aca="false">Sens!G7671*Sens!G7689</f>
        <v>27.0851981515961</v>
      </c>
      <c r="H7690" s="6" t="n">
        <f aca="false">Sens!H7671*Sens!H7689</f>
        <v>54.3345375286279</v>
      </c>
      <c r="I7690" s="6" t="n">
        <f aca="false">Sens!I7671*Sens!I7689</f>
        <v>57.5464384108681</v>
      </c>
      <c r="J7690" s="6" t="n">
        <f aca="false">Sens!J7671*Sens!J7689</f>
        <v>68.3704595609773</v>
      </c>
      <c r="K7690" s="6" t="n">
        <f aca="false">Sens!K7671*Sens!K7689</f>
        <v>59.3222019115105</v>
      </c>
    </row>
    <row r="7691" customFormat="false" ht="17.15" hidden="false" customHeight="false" outlineLevel="0" collapsed="false">
      <c r="A7691" s="1" t="s">
        <v>941</v>
      </c>
      <c r="B7691" s="0" t="s">
        <v>95</v>
      </c>
      <c r="C7691" s="6" t="n">
        <f aca="false">SUM(Sens!F7690:K7690)</f>
        <v>267.775358518001</v>
      </c>
    </row>
    <row r="7692" customFormat="false" ht="17.15" hidden="false" customHeight="false" outlineLevel="0" collapsed="false">
      <c r="A7692" s="1" t="s">
        <v>942</v>
      </c>
      <c r="B7692" s="0" t="s">
        <v>95</v>
      </c>
      <c r="C7692" s="6" t="n">
        <f aca="false">Sens!K7637*(1+g_tv)*(1-tax_f)</f>
        <v>215.939363854933</v>
      </c>
    </row>
    <row r="7693" customFormat="false" ht="17.15" hidden="false" customHeight="false" outlineLevel="0" collapsed="false">
      <c r="A7693" s="1" t="s">
        <v>943</v>
      </c>
      <c r="B7693" s="0" t="s">
        <v>95</v>
      </c>
      <c r="C7693" s="6" t="n">
        <f aca="false">Sens!$C$7692*(1-g_tv/(wacc+ronic_prem))</f>
        <v>156.486450777823</v>
      </c>
    </row>
    <row r="7694" customFormat="false" ht="17.15" hidden="false" customHeight="false" outlineLevel="0" collapsed="false">
      <c r="A7694" s="1" t="s">
        <v>944</v>
      </c>
      <c r="B7694" s="0" t="s">
        <v>95</v>
      </c>
      <c r="C7694" s="6" t="n">
        <f aca="false">Sens!$C$7693/(wacc-g_tv)</f>
        <v>1981.76376923701</v>
      </c>
    </row>
    <row r="7695" customFormat="false" ht="15" hidden="false" customHeight="false" outlineLevel="0" collapsed="false">
      <c r="A7695" s="1" t="s">
        <v>945</v>
      </c>
      <c r="B7695" s="0" t="s">
        <v>95</v>
      </c>
      <c r="C7695" s="6" t="n">
        <f aca="false">Sens!$C$7694/(1+wacc)^6</f>
        <v>1065.48913741268</v>
      </c>
    </row>
    <row r="7696" customFormat="false" ht="17.15" hidden="false" customHeight="false" outlineLevel="0" collapsed="false">
      <c r="A7696" s="0" t="s">
        <v>877</v>
      </c>
      <c r="B7696" s="0" t="s">
        <v>95</v>
      </c>
      <c r="C7696" s="6" t="n">
        <f aca="false">Sens!$C$7691+Sens!$C$7695</f>
        <v>1333.26449593069</v>
      </c>
    </row>
    <row r="7697" customFormat="false" ht="15" hidden="false" customHeight="false" outlineLevel="0" collapsed="false">
      <c r="A7697" s="1" t="s">
        <v>878</v>
      </c>
      <c r="B7697" s="0" t="s">
        <v>126</v>
      </c>
      <c r="C7697" s="7" t="n">
        <f aca="false">Sens!$C$7695/Sens!$C$7696</f>
        <v>0.799158112036066</v>
      </c>
    </row>
    <row r="7698" customFormat="false" ht="17.15" hidden="false" customHeight="false" outlineLevel="0" collapsed="false">
      <c r="A7698" s="1" t="s">
        <v>946</v>
      </c>
      <c r="B7698" s="0" t="s">
        <v>95</v>
      </c>
      <c r="C7698" s="6" t="n">
        <f aca="false">Sens!$C$7696+Sens!E7680+oai_v</f>
        <v>1534.37149593069</v>
      </c>
    </row>
    <row r="7699" customFormat="false" ht="17.15" hidden="false" customHeight="false" outlineLevel="0" collapsed="false">
      <c r="A7699" s="0" t="s">
        <v>883</v>
      </c>
      <c r="B7699" s="0" t="s">
        <v>73</v>
      </c>
      <c r="C7699" s="5" t="n">
        <f aca="false">Sens!$C$7698/sh_dil26</f>
        <v>205.873003613402</v>
      </c>
    </row>
    <row r="7700" customFormat="false" ht="17.15" hidden="false" customHeight="false" outlineLevel="0" collapsed="false">
      <c r="A7700" s="0" t="s">
        <v>947</v>
      </c>
      <c r="B7700" s="0" t="s">
        <v>73</v>
      </c>
      <c r="C7700" s="5" t="n">
        <f aca="false">Sens!$C$7699*(1+wacc)^t_roll</f>
        <v>236.135217410931</v>
      </c>
    </row>
    <row r="7701" customFormat="false" ht="17.15" hidden="false" customHeight="false" outlineLevel="0" collapsed="false">
      <c r="A7701" s="1" t="s">
        <v>948</v>
      </c>
      <c r="B7701" s="0" t="s">
        <v>126</v>
      </c>
      <c r="F7701" s="7" t="n">
        <f aca="false">Sens!F7661/(Sens!F7612-Sens!F7568)</f>
        <v>0.0684525874670943</v>
      </c>
      <c r="G7701" s="7" t="n">
        <f aca="false">Sens!G7661/(Sens!G7612-Sens!G7568)</f>
        <v>0.0657049042096624</v>
      </c>
      <c r="H7701" s="7" t="n">
        <f aca="false">Sens!H7661/(Sens!H7612-Sens!H7568)</f>
        <v>0.0643049427493353</v>
      </c>
      <c r="I7701" s="7" t="n">
        <f aca="false">Sens!I7661/(Sens!I7612-Sens!I7568)</f>
        <v>0.0641345145434785</v>
      </c>
      <c r="J7701" s="7" t="n">
        <f aca="false">Sens!J7661/(Sens!J7612-Sens!J7568)</f>
        <v>0.0649155014007462</v>
      </c>
      <c r="K7701" s="7" t="n">
        <f aca="false">Sens!K7661/(Sens!K7612-Sens!K7568)</f>
        <v>0.0663037895902898</v>
      </c>
    </row>
    <row r="7702" customFormat="false" ht="17.15" hidden="false" customHeight="false" outlineLevel="0" collapsed="false">
      <c r="A7702" s="0" t="s">
        <v>949</v>
      </c>
      <c r="B7702" s="0" t="s">
        <v>95</v>
      </c>
      <c r="F7702" s="6" t="n">
        <f aca="false">Sens!F7597*(al_m365+Sens!F7701)</f>
        <v>79.4739242328986</v>
      </c>
      <c r="G7702" s="6" t="n">
        <f aca="false">Sens!G7597*(al_m365+Sens!G7701)</f>
        <v>91.230975029624</v>
      </c>
      <c r="H7702" s="6" t="n">
        <f aca="false">Sens!H7597*(al_m365+Sens!H7701)</f>
        <v>103.151517339032</v>
      </c>
      <c r="I7702" s="6" t="n">
        <f aca="false">Sens!I7597*(al_m365+Sens!I7701)</f>
        <v>114.120908815619</v>
      </c>
      <c r="J7702" s="6" t="n">
        <f aca="false">Sens!J7597*(al_m365+Sens!J7701)</f>
        <v>123.961994050094</v>
      </c>
      <c r="K7702" s="6" t="n">
        <f aca="false">Sens!K7597*(al_m365+Sens!K7701)</f>
        <v>133.445985028106</v>
      </c>
    </row>
    <row r="7703" customFormat="false" ht="17.15" hidden="false" customHeight="false" outlineLevel="0" collapsed="false">
      <c r="A7703" s="0" t="s">
        <v>950</v>
      </c>
      <c r="B7703" s="0" t="s">
        <v>95</v>
      </c>
      <c r="F7703" s="6" t="n">
        <f aca="false">Sens!F7598*(al_lic+Sens!F7701)</f>
        <v>31.9786477836085</v>
      </c>
      <c r="G7703" s="6" t="n">
        <f aca="false">Sens!G7598*(al_lic+Sens!G7701)</f>
        <v>33.2208571329929</v>
      </c>
      <c r="H7703" s="6" t="n">
        <f aca="false">Sens!H7598*(al_lic+Sens!H7701)</f>
        <v>34.382885143181</v>
      </c>
      <c r="I7703" s="6" t="n">
        <f aca="false">Sens!I7598*(al_lic+Sens!I7701)</f>
        <v>35.4472529656613</v>
      </c>
      <c r="J7703" s="6" t="n">
        <f aca="false">Sens!J7598*(al_lic+Sens!J7701)</f>
        <v>36.3890829644399</v>
      </c>
      <c r="K7703" s="6" t="n">
        <f aca="false">Sens!K7598*(al_lic+Sens!K7701)</f>
        <v>37.1800968296463</v>
      </c>
    </row>
    <row r="7704" customFormat="false" ht="17.15" hidden="false" customHeight="false" outlineLevel="0" collapsed="false">
      <c r="A7704" s="0" t="s">
        <v>951</v>
      </c>
      <c r="B7704" s="0" t="s">
        <v>95</v>
      </c>
      <c r="F7704" s="6" t="n">
        <f aca="false">Sens!F7600*(al_ind+Sens!F7701)</f>
        <v>8.23757567797453</v>
      </c>
      <c r="G7704" s="6" t="n">
        <f aca="false">Sens!G7600*(al_ind+Sens!G7701)</f>
        <v>8.93753984569139</v>
      </c>
      <c r="H7704" s="6" t="n">
        <f aca="false">Sens!H7600*(al_ind+Sens!H7701)</f>
        <v>9.68096858495667</v>
      </c>
      <c r="I7704" s="6" t="n">
        <f aca="false">Sens!I7600*(al_ind+Sens!I7701)</f>
        <v>10.4656690693502</v>
      </c>
      <c r="J7704" s="6" t="n">
        <f aca="false">Sens!J7600*(al_ind+Sens!J7701)</f>
        <v>11.282915273234</v>
      </c>
      <c r="K7704" s="6" t="n">
        <f aca="false">Sens!K7600*(al_ind+Sens!K7701)</f>
        <v>12.1186489167806</v>
      </c>
    </row>
    <row r="7705" customFormat="false" ht="17.15" hidden="false" customHeight="false" outlineLevel="0" collapsed="false">
      <c r="A7705" s="0" t="s">
        <v>952</v>
      </c>
      <c r="B7705" s="0" t="s">
        <v>95</v>
      </c>
      <c r="F7705" s="6" t="n">
        <f aca="false">Sens!F7602*(al_fro+Sens!F7701)</f>
        <v>3.24233870733915</v>
      </c>
      <c r="G7705" s="6" t="n">
        <f aca="false">Sens!G7602*(al_fro+Sens!G7701)</f>
        <v>3.43148689843359</v>
      </c>
      <c r="H7705" s="6" t="n">
        <f aca="false">Sens!H7602*(al_fro+Sens!H7701)</f>
        <v>3.648120318685</v>
      </c>
      <c r="I7705" s="6" t="n">
        <f aca="false">Sens!I7602*(al_fro+Sens!I7701)</f>
        <v>3.89489608006086</v>
      </c>
      <c r="J7705" s="6" t="n">
        <f aca="false">Sens!J7602*(al_fro+Sens!J7701)</f>
        <v>4.17285566967134</v>
      </c>
      <c r="K7705" s="6" t="n">
        <f aca="false">Sens!K7602*(al_fro+Sens!K7701)</f>
        <v>4.4819420882392</v>
      </c>
    </row>
    <row r="7706" customFormat="false" ht="17.15" hidden="false" customHeight="false" outlineLevel="0" collapsed="false">
      <c r="A7706" s="0" t="s">
        <v>953</v>
      </c>
      <c r="B7706" s="0" t="s">
        <v>95</v>
      </c>
      <c r="F7706" s="6" t="n">
        <f aca="false">Sens!F7605*(al_srch+Sens!F7701)</f>
        <v>10.1277723791712</v>
      </c>
      <c r="G7706" s="6" t="n">
        <f aca="false">Sens!G7605*(al_srch+Sens!G7701)</f>
        <v>10.9915074440813</v>
      </c>
      <c r="H7706" s="6" t="n">
        <f aca="false">Sens!H7605*(al_srch+Sens!H7701)</f>
        <v>11.8262444324181</v>
      </c>
      <c r="I7706" s="6" t="n">
        <f aca="false">Sens!I7605*(al_srch+Sens!I7701)</f>
        <v>12.6093778363463</v>
      </c>
      <c r="J7706" s="6" t="n">
        <f aca="false">Sens!J7605*(al_srch+Sens!J7701)</f>
        <v>13.310695209325</v>
      </c>
      <c r="K7706" s="6" t="n">
        <f aca="false">Sens!K7605*(al_srch+Sens!K7701)</f>
        <v>13.895787933598</v>
      </c>
    </row>
    <row r="7707" customFormat="false" ht="17.15" hidden="false" customHeight="false" outlineLevel="0" collapsed="false">
      <c r="A7707" s="0" t="s">
        <v>954</v>
      </c>
      <c r="B7707" s="0" t="s">
        <v>95</v>
      </c>
      <c r="F7707" s="6" t="n">
        <f aca="false">Sens!F7574</f>
        <v>39.4594407491938</v>
      </c>
      <c r="G7707" s="6" t="n">
        <f aca="false">Sens!G7574</f>
        <v>66.5527545578061</v>
      </c>
      <c r="H7707" s="6" t="n">
        <f aca="false">Sens!H7574</f>
        <v>95.219644983859</v>
      </c>
      <c r="I7707" s="6" t="n">
        <f aca="false">Sens!I7574</f>
        <v>124.031840462493</v>
      </c>
      <c r="J7707" s="6" t="n">
        <f aca="false">Sens!J7574</f>
        <v>152.919994097909</v>
      </c>
      <c r="K7707" s="6" t="n">
        <f aca="false">Sens!K7574</f>
        <v>181.852830263848</v>
      </c>
    </row>
    <row r="7708" customFormat="false" ht="17.15" hidden="false" customHeight="false" outlineLevel="0" collapsed="false">
      <c r="A7708" s="0" t="s">
        <v>955</v>
      </c>
      <c r="B7708" s="0" t="s">
        <v>95</v>
      </c>
      <c r="F7708" s="6" t="n">
        <f aca="false">Sens!F7634+Sens!F7585+Sens!F7701*(Sens!F7604-Sens!F7568)</f>
        <v>211.450737959826</v>
      </c>
      <c r="G7708" s="6" t="n">
        <f aca="false">Sens!G7634+Sens!G7585+Sens!G7701*(Sens!G7604-Sens!G7568)</f>
        <v>258.622458134392</v>
      </c>
      <c r="H7708" s="6" t="n">
        <f aca="false">Sens!H7634+Sens!H7585+Sens!H7701*(Sens!H7604-Sens!H7568)</f>
        <v>307.609232645383</v>
      </c>
      <c r="I7708" s="6" t="n">
        <f aca="false">Sens!I7634+Sens!I7585+Sens!I7701*(Sens!I7604-Sens!I7568)</f>
        <v>355.611750098144</v>
      </c>
      <c r="J7708" s="6" t="n">
        <f aca="false">Sens!J7634+Sens!J7585+Sens!J7701*(Sens!J7604-Sens!J7568)</f>
        <v>401.749671726406</v>
      </c>
      <c r="K7708" s="6" t="n">
        <f aca="false">Sens!K7634+Sens!K7585+Sens!K7701*(Sens!K7604-Sens!K7568)</f>
        <v>446.012885077687</v>
      </c>
    </row>
    <row r="7709" customFormat="false" ht="17.15" hidden="false" customHeight="false" outlineLevel="0" collapsed="false">
      <c r="A7709" s="0" t="s">
        <v>956</v>
      </c>
      <c r="B7709" s="0" t="s">
        <v>95</v>
      </c>
      <c r="F7709" s="6" t="n">
        <f aca="false">Sens!F7708-Sens!F7702-Sens!F7703-Sens!F7704-Sens!F7705-Sens!F7707</f>
        <v>49.058810808811</v>
      </c>
      <c r="G7709" s="6" t="n">
        <f aca="false">Sens!G7708-Sens!G7702-Sens!G7703-Sens!G7704-Sens!G7705-Sens!G7707</f>
        <v>55.2488446698442</v>
      </c>
      <c r="H7709" s="6" t="n">
        <f aca="false">Sens!H7708-Sens!H7702-Sens!H7703-Sens!H7704-Sens!H7705-Sens!H7707</f>
        <v>61.5260962756693</v>
      </c>
      <c r="I7709" s="6" t="n">
        <f aca="false">Sens!I7708-Sens!I7702-Sens!I7703-Sens!I7704-Sens!I7705-Sens!I7707</f>
        <v>67.6511827049591</v>
      </c>
      <c r="J7709" s="6" t="n">
        <f aca="false">Sens!J7708-Sens!J7702-Sens!J7703-Sens!J7704-Sens!J7705-Sens!J7707</f>
        <v>73.0228296710573</v>
      </c>
      <c r="K7709" s="6" t="n">
        <f aca="false">Sens!K7708-Sens!K7702-Sens!K7703-Sens!K7704-Sens!K7705-Sens!K7707</f>
        <v>76.9333819510667</v>
      </c>
    </row>
    <row r="7710" customFormat="false" ht="17.15" hidden="false" customHeight="false" outlineLevel="0" collapsed="false">
      <c r="A7710" s="0" t="s">
        <v>957</v>
      </c>
      <c r="B7710" s="0" t="s">
        <v>95</v>
      </c>
      <c r="F7710" s="6" t="n">
        <f aca="false">Sens!F7636+Sens!F7701*Sens!F7611</f>
        <v>23.7092796307196</v>
      </c>
      <c r="G7710" s="6" t="n">
        <f aca="false">Sens!G7636+Sens!G7701*Sens!G7611</f>
        <v>24.1444608516949</v>
      </c>
      <c r="H7710" s="6" t="n">
        <f aca="false">Sens!H7636+Sens!H7701*Sens!H7611</f>
        <v>24.7581913645122</v>
      </c>
      <c r="I7710" s="6" t="n">
        <f aca="false">Sens!I7636+Sens!I7701*Sens!I7611</f>
        <v>25.5100720032929</v>
      </c>
      <c r="J7710" s="6" t="n">
        <f aca="false">Sens!J7636+Sens!J7701*Sens!J7611</f>
        <v>26.3553934333571</v>
      </c>
      <c r="K7710" s="6" t="n">
        <f aca="false">Sens!K7636+Sens!K7701*Sens!K7611</f>
        <v>27.2503075883866</v>
      </c>
    </row>
    <row r="7711" customFormat="false" ht="17.15" hidden="false" customHeight="false" outlineLevel="0" collapsed="false">
      <c r="A7711" s="0" t="s">
        <v>958</v>
      </c>
      <c r="B7711" s="0" t="s">
        <v>95</v>
      </c>
      <c r="F7711" s="6" t="n">
        <f aca="false">(Sens!F7710-Sens!F7706)*Sens!F7607/(Sens!F7607+Sens!F7609)</f>
        <v>7.44524999333499</v>
      </c>
      <c r="G7711" s="6" t="n">
        <f aca="false">(Sens!G7710-Sens!G7706)*Sens!G7607/(Sens!G7607+Sens!G7609)</f>
        <v>7.08176138075944</v>
      </c>
      <c r="H7711" s="6" t="n">
        <f aca="false">(Sens!H7710-Sens!H7706)*Sens!H7607/(Sens!H7607+Sens!H7609)</f>
        <v>6.8687125856506</v>
      </c>
      <c r="I7711" s="6" t="n">
        <f aca="false">(Sens!I7710-Sens!I7706)*Sens!I7607/(Sens!I7607+Sens!I7609)</f>
        <v>6.79011489466759</v>
      </c>
      <c r="J7711" s="6" t="n">
        <f aca="false">(Sens!J7710-Sens!J7706)*Sens!J7607/(Sens!J7607+Sens!J7609)</f>
        <v>6.83486219313823</v>
      </c>
      <c r="K7711" s="6" t="n">
        <f aca="false">(Sens!K7710-Sens!K7706)*Sens!K7607/(Sens!K7607+Sens!K7609)</f>
        <v>6.99719533012108</v>
      </c>
    </row>
    <row r="7712" customFormat="false" ht="17.15" hidden="false" customHeight="false" outlineLevel="0" collapsed="false">
      <c r="A7712" s="0" t="s">
        <v>959</v>
      </c>
      <c r="B7712" s="0" t="s">
        <v>95</v>
      </c>
      <c r="F7712" s="6" t="n">
        <f aca="false">Sens!F7710-Sens!F7706-Sens!F7711</f>
        <v>6.13625725821345</v>
      </c>
      <c r="G7712" s="6" t="n">
        <f aca="false">Sens!G7710-Sens!G7706-Sens!G7711</f>
        <v>6.07119202685419</v>
      </c>
      <c r="H7712" s="6" t="n">
        <f aca="false">Sens!H7710-Sens!H7706-Sens!H7711</f>
        <v>6.06323434644353</v>
      </c>
      <c r="I7712" s="6" t="n">
        <f aca="false">Sens!I7710-Sens!I7706-Sens!I7711</f>
        <v>6.11057927227899</v>
      </c>
      <c r="J7712" s="6" t="n">
        <f aca="false">Sens!J7710-Sens!J7706-Sens!J7711</f>
        <v>6.20983603089385</v>
      </c>
      <c r="K7712" s="6" t="n">
        <f aca="false">Sens!K7710-Sens!K7706-Sens!K7711</f>
        <v>6.35732432466752</v>
      </c>
    </row>
    <row r="7713" customFormat="false" ht="17.15" hidden="false" customHeight="false" outlineLevel="0" collapsed="false">
      <c r="A7713" s="1" t="s">
        <v>960</v>
      </c>
      <c r="B7713" s="0" t="s">
        <v>95</v>
      </c>
      <c r="C7713" s="6" t="n">
        <f aca="false">(w_ntm28*Sens!G7707+(1-w_ntm28)*Sens!H7707)*m_ai*1</f>
        <v>454.922440830797</v>
      </c>
    </row>
    <row r="7714" customFormat="false" ht="17.15" hidden="false" customHeight="false" outlineLevel="0" collapsed="false">
      <c r="A7714" s="1" t="s">
        <v>961</v>
      </c>
      <c r="B7714" s="0" t="s">
        <v>95</v>
      </c>
      <c r="C7714" s="6" t="n">
        <f aca="false">(w_ntm28*Sens!G7709+(1-w_ntm28)*Sens!H7709)*m_cloud*1</f>
        <v>791.584761635098</v>
      </c>
    </row>
    <row r="7715" customFormat="false" ht="17.15" hidden="false" customHeight="false" outlineLevel="0" collapsed="false">
      <c r="A7715" s="1" t="s">
        <v>962</v>
      </c>
      <c r="B7715" s="0" t="s">
        <v>95</v>
      </c>
      <c r="C7715" s="6" t="n">
        <f aca="false">(w_ntm28*Sens!G7702+(1-w_ntm28)*Sens!H7702)*m_sw*1</f>
        <v>1026.91518544079</v>
      </c>
    </row>
    <row r="7716" customFormat="false" ht="17.15" hidden="false" customHeight="false" outlineLevel="0" collapsed="false">
      <c r="A7716" s="1" t="s">
        <v>963</v>
      </c>
      <c r="B7716" s="0" t="s">
        <v>95</v>
      </c>
      <c r="C7716" s="6" t="n">
        <f aca="false">(w_ntm28*Sens!G7703+(1-w_ntm28)*Sens!H7703)*m_sw*1</f>
        <v>362.842485792991</v>
      </c>
    </row>
    <row r="7717" customFormat="false" ht="17.15" hidden="false" customHeight="false" outlineLevel="0" collapsed="false">
      <c r="A7717" s="1" t="s">
        <v>964</v>
      </c>
      <c r="B7717" s="0" t="s">
        <v>95</v>
      </c>
      <c r="C7717" s="6" t="n">
        <f aca="false">(w_ntm28*Sens!G7704+(1-w_ntm28)*Sens!H7704)*m_sw*1</f>
        <v>99.1211168685894</v>
      </c>
    </row>
    <row r="7718" customFormat="false" ht="17.15" hidden="false" customHeight="false" outlineLevel="0" collapsed="false">
      <c r="A7718" s="1" t="s">
        <v>965</v>
      </c>
      <c r="B7718" s="0" t="s">
        <v>95</v>
      </c>
      <c r="C7718" s="6" t="n">
        <f aca="false">(w_ntm28*Sens!G7705+(1-w_ntm28)*Sens!H7705)*m_sw*1</f>
        <v>37.8164355736811</v>
      </c>
    </row>
    <row r="7719" customFormat="false" ht="17.15" hidden="false" customHeight="false" outlineLevel="0" collapsed="false">
      <c r="A7719" s="1" t="s">
        <v>966</v>
      </c>
      <c r="B7719" s="0" t="s">
        <v>95</v>
      </c>
      <c r="C7719" s="6" t="n">
        <f aca="false">(w_ntm28*Sens!G7706+(1-w_ntm28)*Sens!H7706)*m_ads*1</f>
        <v>102.591059028518</v>
      </c>
    </row>
    <row r="7720" customFormat="false" ht="17.15" hidden="false" customHeight="false" outlineLevel="0" collapsed="false">
      <c r="A7720" s="1" t="s">
        <v>967</v>
      </c>
      <c r="B7720" s="0" t="s">
        <v>95</v>
      </c>
      <c r="C7720" s="6" t="n">
        <f aca="false">(w_ntm28*Sens!G7711+(1-w_ntm28)*Sens!H7711)*m_game*1</f>
        <v>88.5727417422726</v>
      </c>
    </row>
    <row r="7721" customFormat="false" ht="17.15" hidden="false" customHeight="false" outlineLevel="0" collapsed="false">
      <c r="A7721" s="1" t="s">
        <v>968</v>
      </c>
      <c r="B7721" s="0" t="s">
        <v>95</v>
      </c>
      <c r="C7721" s="6" t="n">
        <f aca="false">(w_ntm28*Sens!G7712+(1-w_ntm28)*Sens!H7712)*m_pc*1</f>
        <v>87.8129228176377</v>
      </c>
    </row>
    <row r="7722" customFormat="false" ht="17.15" hidden="false" customHeight="false" outlineLevel="0" collapsed="false">
      <c r="A7722" s="1" t="s">
        <v>969</v>
      </c>
      <c r="B7722" s="0" t="s">
        <v>95</v>
      </c>
      <c r="C7722" s="6" t="n">
        <f aca="false">Sens!$C$7713+Sens!$C$7714+Sens!$C$7715+Sens!$C$7716+Sens!$C$7717+Sens!$C$7718+Sens!$C$7719+Sens!$C$7720+Sens!$C$7721</f>
        <v>3052.17914973037</v>
      </c>
    </row>
    <row r="7723" customFormat="false" ht="17.15" hidden="false" customHeight="false" outlineLevel="0" collapsed="false">
      <c r="A7723" s="1" t="s">
        <v>903</v>
      </c>
      <c r="B7723" s="0" t="s">
        <v>95</v>
      </c>
      <c r="C7723" s="6" t="n">
        <f aca="false">Sens!F7680+oai_v-Sens!F7669</f>
        <v>111.219100430487</v>
      </c>
      <c r="L7723" s="1" t="s">
        <v>970</v>
      </c>
    </row>
    <row r="7724" customFormat="false" ht="15" hidden="false" customHeight="false" outlineLevel="0" collapsed="false">
      <c r="A7724" s="1" t="s">
        <v>904</v>
      </c>
      <c r="B7724" s="0" t="s">
        <v>73</v>
      </c>
      <c r="C7724" s="5" t="n">
        <f aca="false">(Sens!$C$7722+Sens!$C$7723)/Sens!F7682</f>
        <v>423.367003501186</v>
      </c>
    </row>
    <row r="7725" customFormat="false" ht="17.15" hidden="false" customHeight="false" outlineLevel="0" collapsed="false">
      <c r="A7725" s="1" t="s">
        <v>971</v>
      </c>
      <c r="B7725" s="0" t="s">
        <v>73</v>
      </c>
      <c r="C7725" s="5" t="n">
        <f aca="false">w_dcf*Sens!$C$7700+(1-w_dcf)*Sens!$C$7724</f>
        <v>329.751110456058</v>
      </c>
    </row>
    <row r="7726" customFormat="false" ht="17.15" hidden="false" customHeight="false" outlineLevel="0" collapsed="false">
      <c r="A7726" s="3" t="s">
        <v>1334</v>
      </c>
    </row>
    <row r="7727" customFormat="false" ht="15" hidden="false" customHeight="false" outlineLevel="0" collapsed="false">
      <c r="A7727" s="4" t="s">
        <v>43</v>
      </c>
      <c r="B7727" s="4" t="s">
        <v>63</v>
      </c>
      <c r="C7727" s="19" t="s">
        <v>710</v>
      </c>
      <c r="D7727" s="19" t="s">
        <v>711</v>
      </c>
      <c r="E7727" s="19" t="s">
        <v>712</v>
      </c>
      <c r="F7727" s="19" t="s">
        <v>713</v>
      </c>
      <c r="G7727" s="19" t="s">
        <v>714</v>
      </c>
      <c r="H7727" s="19" t="s">
        <v>715</v>
      </c>
      <c r="I7727" s="19" t="s">
        <v>716</v>
      </c>
      <c r="J7727" s="19" t="s">
        <v>717</v>
      </c>
      <c r="K7727" s="19" t="s">
        <v>718</v>
      </c>
      <c r="L7727" s="4" t="s">
        <v>47</v>
      </c>
    </row>
    <row r="7728" customFormat="false" ht="17.15" hidden="false" customHeight="false" outlineLevel="0" collapsed="false">
      <c r="A7728" s="1" t="s">
        <v>719</v>
      </c>
      <c r="B7728" s="0" t="s">
        <v>340</v>
      </c>
      <c r="C7728" s="27" t="n">
        <f aca="false">mw_ext_24</f>
        <v>640</v>
      </c>
      <c r="D7728" s="27" t="n">
        <f aca="false">mw_ext_25</f>
        <v>1630</v>
      </c>
      <c r="E7728" s="27" t="n">
        <f aca="false">mw_ext_26</f>
        <v>3250</v>
      </c>
      <c r="F7728" s="27" t="n">
        <f aca="false">MIN(1000000000,Sens!E7728+pace)</f>
        <v>5777.2</v>
      </c>
      <c r="G7728" s="27" t="n">
        <f aca="false">MIN(1000000000,Sens!F7728+pace)</f>
        <v>8304.4</v>
      </c>
      <c r="H7728" s="27" t="n">
        <f aca="false">MIN(1000000000,Sens!G7728+pace)</f>
        <v>10831.6</v>
      </c>
      <c r="I7728" s="27" t="n">
        <f aca="false">MIN(1000000000,Sens!H7728+pace)</f>
        <v>13358.8</v>
      </c>
      <c r="J7728" s="27" t="n">
        <f aca="false">MIN(1000000000,Sens!I7728+pace)</f>
        <v>15886</v>
      </c>
      <c r="K7728" s="27" t="n">
        <f aca="false">MIN(1000000000,Sens!J7728+pace)</f>
        <v>18413.2</v>
      </c>
      <c r="L7728" s="11" t="s">
        <v>720</v>
      </c>
    </row>
    <row r="7729" customFormat="false" ht="17.15" hidden="false" customHeight="false" outlineLevel="0" collapsed="false">
      <c r="A7729" s="1" t="s">
        <v>721</v>
      </c>
      <c r="B7729" s="0" t="s">
        <v>340</v>
      </c>
      <c r="C7729" s="27" t="n">
        <f aca="false">rent_ext_24</f>
        <v>150</v>
      </c>
      <c r="D7729" s="27" t="n">
        <f aca="false">rent_ext_25</f>
        <v>400</v>
      </c>
      <c r="E7729" s="27" t="n">
        <f aca="false">rent_ext_26</f>
        <v>550</v>
      </c>
      <c r="F7729" s="27" t="n">
        <f aca="false">rent_ext_f</f>
        <v>756</v>
      </c>
      <c r="G7729" s="27" t="n">
        <f aca="false">rent_ext_f</f>
        <v>756</v>
      </c>
      <c r="H7729" s="27" t="n">
        <f aca="false">rent_ext_f</f>
        <v>756</v>
      </c>
      <c r="I7729" s="27" t="n">
        <f aca="false">rent_ext_f</f>
        <v>756</v>
      </c>
      <c r="J7729" s="27" t="n">
        <f aca="false">rent_ext_f</f>
        <v>756</v>
      </c>
      <c r="K7729" s="27" t="n">
        <f aca="false">rent_ext_f</f>
        <v>756</v>
      </c>
      <c r="L7729" s="1" t="s">
        <v>722</v>
      </c>
    </row>
    <row r="7730" customFormat="false" ht="17.15" hidden="false" customHeight="false" outlineLevel="0" collapsed="false">
      <c r="A7730" s="1" t="s">
        <v>723</v>
      </c>
      <c r="B7730" s="0" t="s">
        <v>340</v>
      </c>
      <c r="C7730" s="27" t="n">
        <f aca="false">Sens!C7728-Sens!C7729</f>
        <v>490</v>
      </c>
      <c r="D7730" s="27" t="n">
        <f aca="false">Sens!D7728-Sens!D7729</f>
        <v>1230</v>
      </c>
      <c r="E7730" s="27" t="n">
        <f aca="false">Sens!E7728-Sens!E7729</f>
        <v>2700</v>
      </c>
      <c r="F7730" s="27" t="n">
        <f aca="false">Sens!F7728-Sens!F7729</f>
        <v>5021.2</v>
      </c>
      <c r="G7730" s="27" t="n">
        <f aca="false">Sens!G7728-Sens!G7729</f>
        <v>7548.4</v>
      </c>
      <c r="H7730" s="27" t="n">
        <f aca="false">Sens!H7728-Sens!H7729</f>
        <v>10075.6</v>
      </c>
      <c r="I7730" s="27" t="n">
        <f aca="false">Sens!I7728-Sens!I7729</f>
        <v>12602.8</v>
      </c>
      <c r="J7730" s="27" t="n">
        <f aca="false">Sens!J7728-Sens!J7729</f>
        <v>15130</v>
      </c>
      <c r="K7730" s="27" t="n">
        <f aca="false">Sens!K7728-Sens!K7729</f>
        <v>17657.2</v>
      </c>
    </row>
    <row r="7731" customFormat="false" ht="17.15" hidden="false" customHeight="false" outlineLevel="0" collapsed="false">
      <c r="A7731" s="1" t="s">
        <v>724</v>
      </c>
      <c r="B7731" s="0" t="s">
        <v>340</v>
      </c>
      <c r="C7731" s="27" t="n">
        <f aca="false">Sens!C7730/ext_sh</f>
        <v>816.666666666667</v>
      </c>
      <c r="D7731" s="27" t="n">
        <f aca="false">Sens!D7730/ext_sh</f>
        <v>2050</v>
      </c>
      <c r="E7731" s="27" t="n">
        <f aca="false">Sens!E7730/ext_sh</f>
        <v>4500</v>
      </c>
      <c r="F7731" s="27" t="n">
        <f aca="false">Sens!F7730/ext_sh</f>
        <v>8368.66666666667</v>
      </c>
      <c r="G7731" s="27" t="n">
        <f aca="false">Sens!G7730/ext_sh</f>
        <v>12580.6666666667</v>
      </c>
      <c r="H7731" s="27" t="n">
        <f aca="false">Sens!H7730/ext_sh</f>
        <v>16792.6666666667</v>
      </c>
      <c r="I7731" s="27" t="n">
        <f aca="false">Sens!I7730/ext_sh</f>
        <v>21004.6666666667</v>
      </c>
      <c r="J7731" s="27" t="n">
        <f aca="false">Sens!J7730/ext_sh</f>
        <v>25216.6666666667</v>
      </c>
      <c r="K7731" s="27" t="n">
        <f aca="false">Sens!K7730/ext_sh</f>
        <v>29428.6666666667</v>
      </c>
      <c r="L7731" s="1" t="s">
        <v>725</v>
      </c>
    </row>
    <row r="7732" customFormat="false" ht="17.15" hidden="false" customHeight="false" outlineLevel="0" collapsed="false">
      <c r="A7732" s="1" t="s">
        <v>726</v>
      </c>
      <c r="B7732" s="0" t="s">
        <v>340</v>
      </c>
      <c r="C7732" s="27" t="n">
        <f aca="false">Sens!C7731-Sens!C7730</f>
        <v>326.666666666667</v>
      </c>
      <c r="D7732" s="27" t="n">
        <f aca="false">Sens!D7731-Sens!D7730</f>
        <v>820</v>
      </c>
      <c r="E7732" s="27" t="n">
        <f aca="false">Sens!E7731-Sens!E7730</f>
        <v>1800</v>
      </c>
      <c r="F7732" s="27" t="n">
        <f aca="false">Sens!F7731-Sens!F7730</f>
        <v>3347.46666666667</v>
      </c>
      <c r="G7732" s="27" t="n">
        <f aca="false">Sens!G7731-Sens!G7730</f>
        <v>5032.26666666667</v>
      </c>
      <c r="H7732" s="27" t="n">
        <f aca="false">Sens!H7731-Sens!H7730</f>
        <v>6717.06666666667</v>
      </c>
      <c r="I7732" s="27" t="n">
        <f aca="false">Sens!I7731-Sens!I7730</f>
        <v>8401.86666666667</v>
      </c>
      <c r="J7732" s="27" t="n">
        <f aca="false">Sens!J7731-Sens!J7730</f>
        <v>10086.6666666667</v>
      </c>
      <c r="K7732" s="27" t="n">
        <f aca="false">Sens!K7731-Sens!K7730</f>
        <v>11771.4666666667</v>
      </c>
    </row>
    <row r="7733" customFormat="false" ht="17.15" hidden="false" customHeight="false" outlineLevel="0" collapsed="false">
      <c r="A7733" s="1" t="s">
        <v>727</v>
      </c>
      <c r="B7733" s="0" t="s">
        <v>340</v>
      </c>
      <c r="C7733" s="27" t="n">
        <f aca="false">Sens!C7731</f>
        <v>816.666666666667</v>
      </c>
      <c r="D7733" s="27" t="n">
        <f aca="false">Sens!D7731-Sens!C7731</f>
        <v>1233.33333333333</v>
      </c>
      <c r="E7733" s="27" t="n">
        <f aca="false">Sens!E7731-Sens!D7731</f>
        <v>2450</v>
      </c>
      <c r="F7733" s="27" t="n">
        <f aca="false">Sens!F7731-Sens!E7731</f>
        <v>3868.66666666667</v>
      </c>
      <c r="G7733" s="27" t="n">
        <f aca="false">Sens!G7731-Sens!F7731</f>
        <v>4212</v>
      </c>
      <c r="H7733" s="27" t="n">
        <f aca="false">Sens!H7731-Sens!G7731</f>
        <v>4212</v>
      </c>
      <c r="I7733" s="27" t="n">
        <f aca="false">Sens!I7731-Sens!H7731</f>
        <v>4212</v>
      </c>
      <c r="J7733" s="27" t="n">
        <f aca="false">Sens!J7731-Sens!I7731</f>
        <v>4212</v>
      </c>
      <c r="K7733" s="27" t="n">
        <f aca="false">Sens!K7731-Sens!J7731</f>
        <v>4212</v>
      </c>
    </row>
    <row r="7734" customFormat="false" ht="17.15" hidden="false" customHeight="false" outlineLevel="0" collapsed="false">
      <c r="A7734" s="1" t="s">
        <v>728</v>
      </c>
      <c r="B7734" s="0" t="s">
        <v>340</v>
      </c>
      <c r="D7734" s="27" t="n">
        <f aca="false">Sens!D7728-Sens!C7728</f>
        <v>990</v>
      </c>
      <c r="E7734" s="27" t="n">
        <f aca="false">Sens!E7728-Sens!D7728</f>
        <v>1620</v>
      </c>
      <c r="F7734" s="27" t="n">
        <f aca="false">Sens!F7728-Sens!E7728</f>
        <v>2527.2</v>
      </c>
      <c r="G7734" s="27" t="n">
        <f aca="false">Sens!G7728-Sens!F7728</f>
        <v>2527.2</v>
      </c>
      <c r="H7734" s="27" t="n">
        <f aca="false">Sens!H7728-Sens!G7728</f>
        <v>2527.2</v>
      </c>
      <c r="I7734" s="27" t="n">
        <f aca="false">Sens!I7728-Sens!H7728</f>
        <v>2527.2</v>
      </c>
      <c r="J7734" s="27" t="n">
        <f aca="false">Sens!J7728-Sens!I7728</f>
        <v>2527.2</v>
      </c>
      <c r="K7734" s="27" t="n">
        <f aca="false">Sens!K7728-Sens!J7728</f>
        <v>2527.2</v>
      </c>
    </row>
    <row r="7735" customFormat="false" ht="17.15" hidden="false" customHeight="false" outlineLevel="0" collapsed="false">
      <c r="A7735" s="1" t="s">
        <v>729</v>
      </c>
      <c r="B7735" s="0" t="s">
        <v>340</v>
      </c>
      <c r="C7735" s="27" t="n">
        <f aca="false">mix_h*Sens!C7728</f>
        <v>128</v>
      </c>
      <c r="D7735" s="27" t="n">
        <f aca="false">mix_h*Sens!D7728</f>
        <v>326</v>
      </c>
      <c r="E7735" s="27" t="n">
        <f aca="false">mix_h*Sens!E7728</f>
        <v>650</v>
      </c>
      <c r="F7735" s="27" t="n">
        <f aca="false">Sens!E7735</f>
        <v>650</v>
      </c>
      <c r="G7735" s="27" t="n">
        <f aca="false">Sens!F7735</f>
        <v>650</v>
      </c>
      <c r="H7735" s="27" t="n">
        <f aca="false">Sens!G7735</f>
        <v>650</v>
      </c>
      <c r="I7735" s="27" t="n">
        <f aca="false">Sens!H7735</f>
        <v>650</v>
      </c>
      <c r="J7735" s="27" t="n">
        <f aca="false">Sens!I7735</f>
        <v>650</v>
      </c>
      <c r="K7735" s="27" t="n">
        <f aca="false">Sens!J7735</f>
        <v>650</v>
      </c>
    </row>
    <row r="7736" customFormat="false" ht="17.15" hidden="false" customHeight="false" outlineLevel="0" collapsed="false">
      <c r="A7736" s="1" t="s">
        <v>730</v>
      </c>
      <c r="B7736" s="0" t="s">
        <v>340</v>
      </c>
      <c r="C7736" s="27" t="n">
        <f aca="false">mix_g2*Sens!C7728</f>
        <v>288</v>
      </c>
      <c r="D7736" s="27" t="n">
        <f aca="false">mix_g2*Sens!D7728</f>
        <v>733.5</v>
      </c>
      <c r="E7736" s="27" t="n">
        <f aca="false">mix_g2*Sens!E7728</f>
        <v>1462.5</v>
      </c>
      <c r="F7736" s="27" t="n">
        <f aca="false">Sens!E7736</f>
        <v>1462.5</v>
      </c>
      <c r="G7736" s="27" t="n">
        <f aca="false">Sens!F7736</f>
        <v>1462.5</v>
      </c>
      <c r="H7736" s="27" t="n">
        <f aca="false">Sens!G7736</f>
        <v>1462.5</v>
      </c>
      <c r="I7736" s="27" t="n">
        <f aca="false">Sens!H7736</f>
        <v>1462.5</v>
      </c>
      <c r="J7736" s="27" t="n">
        <f aca="false">Sens!I7736</f>
        <v>1462.5</v>
      </c>
      <c r="K7736" s="27" t="n">
        <f aca="false">Sens!J7736</f>
        <v>1462.5</v>
      </c>
    </row>
    <row r="7737" customFormat="false" ht="17.15" hidden="false" customHeight="false" outlineLevel="0" collapsed="false">
      <c r="A7737" s="1" t="s">
        <v>731</v>
      </c>
      <c r="B7737" s="0" t="s">
        <v>340</v>
      </c>
      <c r="C7737" s="27" t="n">
        <f aca="false">mix_g3*Sens!C7728</f>
        <v>224</v>
      </c>
      <c r="D7737" s="27" t="n">
        <f aca="false">mix_g3*Sens!D7728</f>
        <v>570.5</v>
      </c>
      <c r="E7737" s="27" t="n">
        <f aca="false">mix_g3*Sens!E7728</f>
        <v>1137.5</v>
      </c>
      <c r="F7737" s="27" t="n">
        <f aca="false">Sens!E7737+Sens!F7734*a_g3_27</f>
        <v>2906.54</v>
      </c>
      <c r="G7737" s="27" t="n">
        <f aca="false">Sens!F7737+Sens!G7734*a_g3_28</f>
        <v>3664.7</v>
      </c>
      <c r="H7737" s="27" t="n">
        <f aca="false">Sens!G7737+Sens!H7734*a_g3_29</f>
        <v>3917.42</v>
      </c>
      <c r="I7737" s="27" t="n">
        <f aca="false">Sens!H7737+Sens!I7734*a_g3_29</f>
        <v>4170.14</v>
      </c>
      <c r="J7737" s="27" t="n">
        <f aca="false">Sens!I7737+Sens!J7734*a_g3_29</f>
        <v>4422.86</v>
      </c>
      <c r="K7737" s="27" t="n">
        <f aca="false">Sens!J7737+Sens!K7734*a_g3_29</f>
        <v>4675.58</v>
      </c>
    </row>
    <row r="7738" customFormat="false" ht="17.15" hidden="false" customHeight="false" outlineLevel="0" collapsed="false">
      <c r="A7738" s="1" t="s">
        <v>732</v>
      </c>
      <c r="B7738" s="0" t="s">
        <v>340</v>
      </c>
      <c r="C7738" s="27" t="n">
        <f aca="false">0</f>
        <v>0</v>
      </c>
      <c r="D7738" s="27" t="n">
        <f aca="false">0</f>
        <v>0</v>
      </c>
      <c r="E7738" s="27" t="n">
        <f aca="false">0</f>
        <v>0</v>
      </c>
      <c r="F7738" s="27" t="n">
        <f aca="false">Sens!E7738+Sens!F7734*(1-a_g3_27)</f>
        <v>758.16</v>
      </c>
      <c r="G7738" s="27" t="n">
        <f aca="false">Sens!F7738+Sens!G7734*(1-a_g3_28)</f>
        <v>2527.2</v>
      </c>
      <c r="H7738" s="27" t="n">
        <f aca="false">Sens!G7738+Sens!H7734*(1-a_g3_29)</f>
        <v>4801.68</v>
      </c>
      <c r="I7738" s="27" t="n">
        <f aca="false">Sens!H7738+Sens!I7734*(1-a_g3_29)</f>
        <v>7076.16</v>
      </c>
      <c r="J7738" s="27" t="n">
        <f aca="false">Sens!I7738+Sens!J7734*(1-a_g3_29)</f>
        <v>9350.64</v>
      </c>
      <c r="K7738" s="27" t="n">
        <f aca="false">Sens!J7738+Sens!K7734*(1-a_g3_29)</f>
        <v>11625.12</v>
      </c>
    </row>
    <row r="7739" customFormat="false" ht="17.15" hidden="false" customHeight="false" outlineLevel="0" collapsed="false">
      <c r="A7739" s="1" t="s">
        <v>733</v>
      </c>
      <c r="B7739" s="0" t="s">
        <v>291</v>
      </c>
      <c r="C7739" s="18" t="n">
        <f aca="false">(Sens!C7735*tk_hold_h100+Sens!C7736*tk_hold_gb200+Sens!C7737*tk_hold_gb300+Sens!C7738*tk_hold_vr200)/Sens!C7728</f>
        <v>9.7235358126469</v>
      </c>
      <c r="D7739" s="18" t="n">
        <f aca="false">(Sens!D7735*tk_hold_h100+Sens!D7736*tk_hold_gb200+Sens!D7737*tk_hold_gb300+Sens!D7738*tk_hold_vr200)/Sens!D7728</f>
        <v>9.7235358126469</v>
      </c>
      <c r="E7739" s="18" t="n">
        <f aca="false">(Sens!E7735*tk_hold_h100+Sens!E7736*tk_hold_gb200+Sens!E7737*tk_hold_gb300+Sens!E7738*tk_hold_vr200)/Sens!E7728</f>
        <v>9.7235358126469</v>
      </c>
      <c r="F7739" s="18" t="n">
        <f aca="false">(Sens!F7735*tk_hold_h100+Sens!F7736*tk_hold_gb200+Sens!F7737*tk_hold_gb300+Sens!F7738*tk_hold_vr200)/Sens!F7728</f>
        <v>10.4079573161931</v>
      </c>
      <c r="G7739" s="18" t="n">
        <f aca="false">(Sens!G7735*tk_hold_h100+Sens!G7736*tk_hold_gb200+Sens!G7737*tk_hold_gb300+Sens!G7738*tk_hold_vr200)/Sens!G7728</f>
        <v>10.8388131109316</v>
      </c>
      <c r="H7739" s="18" t="n">
        <f aca="false">(Sens!H7735*tk_hold_h100+Sens!H7736*tk_hold_gb200+Sens!H7737*tk_hold_gb300+Sens!H7738*tk_hold_vr200)/Sens!H7728</f>
        <v>11.1311018388216</v>
      </c>
      <c r="I7739" s="18" t="n">
        <f aca="false">(Sens!I7735*tk_hold_h100+Sens!I7736*tk_hold_gb200+Sens!I7737*tk_hold_gb300+Sens!I7738*tk_hold_vr200)/Sens!I7728</f>
        <v>11.3128009818501</v>
      </c>
      <c r="J7739" s="18" t="n">
        <f aca="false">(Sens!J7735*tk_hold_h100+Sens!J7736*tk_hold_gb200+Sens!J7737*tk_hold_gb300+Sens!J7738*tk_hold_vr200)/Sens!J7728</f>
        <v>11.4366894646418</v>
      </c>
      <c r="K7739" s="18" t="n">
        <f aca="false">(Sens!K7735*tk_hold_h100+Sens!K7736*tk_hold_gb200+Sens!K7737*tk_hold_gb300+Sens!K7738*tk_hold_vr200)/Sens!K7728</f>
        <v>11.526570716348</v>
      </c>
    </row>
    <row r="7740" customFormat="false" ht="17.15" hidden="false" customHeight="false" outlineLevel="0" collapsed="false">
      <c r="A7740" s="0" t="s">
        <v>734</v>
      </c>
      <c r="B7740" s="0" t="s">
        <v>182</v>
      </c>
      <c r="C7740" s="18" t="n">
        <f aca="false">k_B</f>
        <v>1.17213932619116</v>
      </c>
      <c r="D7740" s="18" t="n">
        <f aca="false">k_B</f>
        <v>1.17213932619116</v>
      </c>
      <c r="E7740" s="18" t="n">
        <f aca="false">k_B</f>
        <v>1.17213932619116</v>
      </c>
      <c r="F7740" s="18" t="n">
        <f aca="false">(k_B+((ls_C*k_long+(1-ls_C)*k_spot)-k_B)*MIN(1,1/3))*1</f>
        <v>1.07843258004497</v>
      </c>
      <c r="G7740" s="18" t="n">
        <f aca="false">(k_B+((ls_C*k_long+(1-ls_C)*k_spot)-k_B)*MIN(1,2/3))*1</f>
        <v>0.984725833898784</v>
      </c>
      <c r="H7740" s="18" t="n">
        <f aca="false">(k_B+((ls_C*k_long+(1-ls_C)*k_spot)-k_B)*MIN(1,3/3))*1</f>
        <v>0.891019087752599</v>
      </c>
      <c r="I7740" s="18" t="n">
        <f aca="false">(k_B+((ls_C*k_long+(1-ls_C)*k_spot)-k_B)*MIN(1,4/3))*1</f>
        <v>0.891019087752599</v>
      </c>
      <c r="J7740" s="18" t="n">
        <f aca="false">(k_B+((ls_C*k_long+(1-ls_C)*k_spot)-k_B)*MIN(1,5/3))*1</f>
        <v>0.891019087752599</v>
      </c>
      <c r="K7740" s="18" t="n">
        <f aca="false">(k_B+((ls_C*k_long+(1-ls_C)*k_spot)-k_B)*MIN(1,6/3))*1</f>
        <v>0.891019087752599</v>
      </c>
      <c r="L7740" s="1" t="s">
        <v>735</v>
      </c>
    </row>
    <row r="7741" customFormat="false" ht="17.15" hidden="false" customHeight="false" outlineLevel="0" collapsed="false">
      <c r="A7741" s="1" t="s">
        <v>736</v>
      </c>
      <c r="B7741" s="0" t="s">
        <v>291</v>
      </c>
      <c r="C7741" s="18" t="n">
        <f aca="false">Sens!C7739*Sens!C7740*chip_f</f>
        <v>11.3973387156315</v>
      </c>
      <c r="D7741" s="18" t="n">
        <f aca="false">Sens!D7739*Sens!D7740*chip_f</f>
        <v>11.3973387156315</v>
      </c>
      <c r="E7741" s="18" t="n">
        <f aca="false">Sens!E7739*Sens!E7740*chip_f</f>
        <v>11.3973387156315</v>
      </c>
      <c r="F7741" s="18" t="n">
        <f aca="false">Sens!F7739*Sens!F7740*chip_f</f>
        <v>11.2242802615</v>
      </c>
      <c r="G7741" s="18" t="n">
        <f aca="false">Sens!G7739*Sens!G7740*chip_f</f>
        <v>10.6732592791352</v>
      </c>
      <c r="H7741" s="18" t="n">
        <f aca="false">Sens!H7739*Sens!H7740*chip_f</f>
        <v>9.91802420610807</v>
      </c>
      <c r="I7741" s="18" t="n">
        <f aca="false">Sens!I7739*Sens!I7740*chip_f</f>
        <v>10.0799216107748</v>
      </c>
      <c r="J7741" s="18" t="n">
        <f aca="false">Sens!J7739*Sens!J7740*chip_f</f>
        <v>10.1903086136949</v>
      </c>
      <c r="K7741" s="18" t="n">
        <f aca="false">Sens!K7739*Sens!K7740*chip_f</f>
        <v>10.2703945245962</v>
      </c>
      <c r="L7741" s="1" t="s">
        <v>737</v>
      </c>
    </row>
    <row r="7742" customFormat="false" ht="17.15" hidden="false" customHeight="false" outlineLevel="0" collapsed="false">
      <c r="A7742" s="0" t="s">
        <v>738</v>
      </c>
      <c r="B7742" s="0" t="s">
        <v>95</v>
      </c>
      <c r="D7742" s="6" t="n">
        <f aca="false">(Sens!C7728+Sens!D7728)/2*Sens!D7741/1000</f>
        <v>12.9359794422418</v>
      </c>
      <c r="E7742" s="6" t="n">
        <f aca="false">(Sens!D7728+Sens!E7728)/2*Sens!E7741/1000</f>
        <v>27.8095064661409</v>
      </c>
      <c r="F7742" s="6" t="n">
        <f aca="false">(Sens!E7728+Sens!F7728)/2*Sens!F7741/1000</f>
        <v>50.6619113883066</v>
      </c>
      <c r="G7742" s="6" t="n">
        <f aca="false">(Sens!F7728+Sens!G7728)/2*Sens!G7741/1000</f>
        <v>75.1482839325348</v>
      </c>
      <c r="H7742" s="6" t="n">
        <f aca="false">(Sens!G7728+Sens!H7728)/2*Sens!H7741/1000</f>
        <v>94.895655604042</v>
      </c>
      <c r="I7742" s="6" t="n">
        <f aca="false">(Sens!H7728+Sens!I7728)/2*Sens!I7741/1000</f>
        <v>121.918667866643</v>
      </c>
      <c r="J7742" s="6" t="n">
        <f aca="false">(Sens!I7728+Sens!J7728)/2*Sens!J7741/1000</f>
        <v>149.006768672892</v>
      </c>
      <c r="K7742" s="6" t="n">
        <f aca="false">(Sens!J7728+Sens!K7728)/2*Sens!K7741/1000</f>
        <v>176.133157939015</v>
      </c>
      <c r="L7742" s="11" t="s">
        <v>739</v>
      </c>
    </row>
    <row r="7743" customFormat="false" ht="17.15" hidden="false" customHeight="false" outlineLevel="0" collapsed="false">
      <c r="A7743" s="1" t="s">
        <v>740</v>
      </c>
      <c r="B7743" s="0" t="s">
        <v>291</v>
      </c>
      <c r="C7743" s="18" t="n">
        <f aca="false">(Sens!C7735*tk_opex_h100+Sens!C7736*tk_opex_gb200+Sens!C7737*tk_opex_gb300+Sens!C7738*tk_opex_vr200)/Sens!C7728</f>
        <v>1.88636041306092</v>
      </c>
      <c r="D7743" s="18" t="n">
        <f aca="false">(Sens!D7735*tk_opex_h100+Sens!D7736*tk_opex_gb200+Sens!D7737*tk_opex_gb300+Sens!D7738*tk_opex_vr200)/Sens!D7728</f>
        <v>1.88636041306092</v>
      </c>
      <c r="E7743" s="18" t="n">
        <f aca="false">(Sens!E7735*tk_opex_h100+Sens!E7736*tk_opex_gb200+Sens!E7737*tk_opex_gb300+Sens!E7738*tk_opex_vr200)/Sens!E7728</f>
        <v>1.88636041306092</v>
      </c>
      <c r="F7743" s="18" t="n">
        <f aca="false">(Sens!F7735*tk_opex_h100+Sens!F7736*tk_opex_gb200+Sens!F7737*tk_opex_gb300+Sens!F7738*tk_opex_vr200)/Sens!F7728</f>
        <v>1.9430236476499</v>
      </c>
      <c r="G7743" s="18" t="n">
        <f aca="false">(Sens!G7735*tk_opex_h100+Sens!G7736*tk_opex_gb200+Sens!G7737*tk_opex_gb300+Sens!G7738*tk_opex_vr200)/Sens!G7728</f>
        <v>1.9786941852423</v>
      </c>
      <c r="H7743" s="18" t="n">
        <f aca="false">(Sens!H7735*tk_opex_h100+Sens!H7736*tk_opex_gb200+Sens!H7737*tk_opex_gb300+Sens!H7738*tk_opex_vr200)/Sens!H7728</f>
        <v>2.00289275976156</v>
      </c>
      <c r="I7743" s="18" t="n">
        <f aca="false">(Sens!I7735*tk_opex_h100+Sens!I7736*tk_opex_gb200+Sens!I7737*tk_opex_gb300+Sens!I7738*tk_opex_vr200)/Sens!I7728</f>
        <v>2.01793562605478</v>
      </c>
      <c r="J7743" s="18" t="n">
        <f aca="false">(Sens!J7735*tk_opex_h100+Sens!J7736*tk_opex_gb200+Sens!J7737*tk_opex_gb300+Sens!J7738*tk_opex_vr200)/Sens!J7728</f>
        <v>2.02819234961902</v>
      </c>
      <c r="K7743" s="18" t="n">
        <f aca="false">(Sens!K7735*tk_opex_h100+Sens!K7736*tk_opex_gb200+Sens!K7737*tk_opex_gb300+Sens!K7738*tk_opex_vr200)/Sens!K7728</f>
        <v>2.0356336155994</v>
      </c>
    </row>
    <row r="7744" customFormat="false" ht="17.15" hidden="false" customHeight="false" outlineLevel="0" collapsed="false">
      <c r="A7744" s="0" t="s">
        <v>741</v>
      </c>
      <c r="B7744" s="0" t="s">
        <v>95</v>
      </c>
      <c r="D7744" s="6" t="n">
        <f aca="false">(Sens!C7731+Sens!D7731)/2*Sens!D7743/1000</f>
        <v>2.70378325872065</v>
      </c>
      <c r="E7744" s="6" t="n">
        <f aca="false">(Sens!D7731+Sens!E7731)/2*Sens!E7743/1000</f>
        <v>6.17783035277451</v>
      </c>
      <c r="F7744" s="6" t="n">
        <f aca="false">(Sens!E7731+Sens!F7731)/2*Sens!F7743/1000</f>
        <v>12.5020618235287</v>
      </c>
      <c r="G7744" s="6" t="n">
        <f aca="false">(Sens!F7731+Sens!G7731)/2*Sens!G7743/1000</f>
        <v>20.7261620256847</v>
      </c>
      <c r="H7744" s="6" t="n">
        <f aca="false">(Sens!G7731+Sens!H7731)/2*Sens!H7743/1000</f>
        <v>29.4158183316982</v>
      </c>
      <c r="I7744" s="6" t="n">
        <f aca="false">(Sens!H7731+Sens!I7731)/2*Sens!I7743/1000</f>
        <v>38.1362927516005</v>
      </c>
      <c r="J7744" s="6" t="n">
        <f aca="false">(Sens!I7731+Sens!J7731)/2*Sens!J7743/1000</f>
        <v>46.8728773279286</v>
      </c>
      <c r="K7744" s="6" t="n">
        <f aca="false">(Sens!J7731+Sens!K7731)/2*Sens!K7743/1000</f>
        <v>55.618938734484</v>
      </c>
    </row>
    <row r="7745" customFormat="false" ht="17.15" hidden="false" customHeight="false" outlineLevel="0" collapsed="false">
      <c r="A7745" s="0" t="s">
        <v>742</v>
      </c>
      <c r="B7745" s="0" t="s">
        <v>95</v>
      </c>
      <c r="D7745" s="6" t="n">
        <f aca="false">(Sens!C7729+Sens!D7729)/2*rent_mw/1000</f>
        <v>2.44475</v>
      </c>
      <c r="E7745" s="6" t="n">
        <f aca="false">(Sens!D7729+Sens!E7729)/2*rent_mw/1000</f>
        <v>4.22275</v>
      </c>
      <c r="F7745" s="6" t="n">
        <f aca="false">(Sens!E7729+Sens!F7729)/2*rent_mw/1000</f>
        <v>5.80517</v>
      </c>
      <c r="G7745" s="6" t="n">
        <f aca="false">(Sens!F7729+Sens!G7729)/2*rent_mw/1000</f>
        <v>6.72084</v>
      </c>
      <c r="H7745" s="6" t="n">
        <f aca="false">(Sens!G7729+Sens!H7729)/2*rent_mw/1000</f>
        <v>6.72084</v>
      </c>
      <c r="I7745" s="6" t="n">
        <f aca="false">(Sens!H7729+Sens!I7729)/2*rent_mw/1000</f>
        <v>6.72084</v>
      </c>
      <c r="J7745" s="6" t="n">
        <f aca="false">(Sens!I7729+Sens!J7729)/2*rent_mw/1000</f>
        <v>6.72084</v>
      </c>
      <c r="K7745" s="6" t="n">
        <f aca="false">(Sens!J7729+Sens!K7729)/2*rent_mw/1000</f>
        <v>6.72084</v>
      </c>
    </row>
    <row r="7746" customFormat="false" ht="17.15" hidden="false" customHeight="false" outlineLevel="0" collapsed="false">
      <c r="A7746" s="0" t="s">
        <v>743</v>
      </c>
      <c r="B7746" s="0" t="s">
        <v>95</v>
      </c>
      <c r="D7746" s="6" t="n">
        <f aca="false">(Sens!C7731+Sens!D7731)/2*(1-self_build)*fac_rent/1000</f>
        <v>0.853242375631075</v>
      </c>
      <c r="E7746" s="6" t="n">
        <f aca="false">(Sens!D7731+Sens!E7731)/2*(1-self_build)*fac_rent/1000</f>
        <v>1.94955961408728</v>
      </c>
      <c r="F7746" s="6" t="n">
        <f aca="false">(Sens!E7731+Sens!F7731)/2*(1-self_build)*fac_rent/1000</f>
        <v>3.83026455274573</v>
      </c>
      <c r="G7746" s="6" t="n">
        <f aca="false">(Sens!F7731+Sens!G7731)/2*(1-self_build)*fac_rent/1000</f>
        <v>6.23541590972812</v>
      </c>
      <c r="H7746" s="6" t="n">
        <f aca="false">(Sens!G7731+Sens!H7731)/2*(1-self_build)*fac_rent/1000</f>
        <v>8.74275792332679</v>
      </c>
      <c r="I7746" s="6" t="n">
        <f aca="false">(Sens!H7731+Sens!I7731)/2*(1-self_build)*fac_rent/1000</f>
        <v>11.2500999369255</v>
      </c>
      <c r="J7746" s="6" t="n">
        <f aca="false">(Sens!I7731+Sens!J7731)/2*(1-self_build)*fac_rent/1000</f>
        <v>13.7574419505241</v>
      </c>
      <c r="K7746" s="6" t="n">
        <f aca="false">(Sens!J7731+Sens!K7731)/2*(1-self_build)*fac_rent/1000</f>
        <v>16.2647839641228</v>
      </c>
      <c r="L7746" s="11" t="s">
        <v>744</v>
      </c>
    </row>
    <row r="7747" customFormat="false" ht="17.15" hidden="false" customHeight="false" outlineLevel="0" collapsed="false">
      <c r="A7747" s="1" t="s">
        <v>745</v>
      </c>
      <c r="B7747" s="0" t="s">
        <v>126</v>
      </c>
      <c r="D7747" s="7" t="n">
        <f aca="false">(Sens!C7730+Sens!D7730)/(Sens!C7731+Sens!D7731)</f>
        <v>0.6</v>
      </c>
      <c r="E7747" s="7" t="n">
        <f aca="false">(Sens!D7730+Sens!E7730)/(Sens!D7731+Sens!E7731)</f>
        <v>0.6</v>
      </c>
      <c r="F7747" s="7" t="n">
        <f aca="false">(Sens!E7730+Sens!F7730)/(Sens!E7731+Sens!F7731)</f>
        <v>0.6</v>
      </c>
      <c r="G7747" s="7" t="n">
        <f aca="false">(Sens!F7730+Sens!G7730)/(Sens!F7731+Sens!G7731)</f>
        <v>0.6</v>
      </c>
      <c r="H7747" s="7" t="n">
        <f aca="false">(Sens!G7730+Sens!H7730)/(Sens!G7731+Sens!H7731)</f>
        <v>0.6</v>
      </c>
      <c r="I7747" s="7" t="n">
        <f aca="false">(Sens!H7730+Sens!I7730)/(Sens!H7731+Sens!I7731)</f>
        <v>0.6</v>
      </c>
      <c r="J7747" s="7" t="n">
        <f aca="false">(Sens!I7730+Sens!J7730)/(Sens!I7731+Sens!J7731)</f>
        <v>0.6</v>
      </c>
      <c r="K7747" s="7" t="n">
        <f aca="false">(Sens!J7730+Sens!K7730)/(Sens!J7731+Sens!K7731)</f>
        <v>0.6</v>
      </c>
    </row>
    <row r="7748" customFormat="false" ht="17.15" hidden="false" customHeight="false" outlineLevel="0" collapsed="false">
      <c r="A7748" s="0" t="s">
        <v>746</v>
      </c>
      <c r="B7748" s="0" t="s">
        <v>95</v>
      </c>
      <c r="D7748" s="6" t="n">
        <f aca="false">Sens!D7742-Sens!D7747*(Sens!D7744+Sens!D7746)-Sens!D7745</f>
        <v>8.35701406163072</v>
      </c>
      <c r="E7748" s="6" t="n">
        <f aca="false">Sens!E7742-Sens!E7747*(Sens!E7744+Sens!E7746)-Sens!E7745</f>
        <v>18.7103224860238</v>
      </c>
      <c r="F7748" s="6" t="n">
        <f aca="false">Sens!F7742-Sens!F7747*(Sens!F7744+Sens!F7746)-Sens!F7745</f>
        <v>35.0573455625419</v>
      </c>
      <c r="G7748" s="6" t="n">
        <f aca="false">Sens!G7742-Sens!G7747*(Sens!G7744+Sens!G7746)-Sens!G7745</f>
        <v>52.2504971712871</v>
      </c>
      <c r="H7748" s="6" t="n">
        <f aca="false">Sens!H7742-Sens!H7747*(Sens!H7744+Sens!H7746)-Sens!H7745</f>
        <v>65.2796698510271</v>
      </c>
      <c r="I7748" s="6" t="n">
        <f aca="false">Sens!I7742-Sens!I7747*(Sens!I7744+Sens!I7746)-Sens!I7745</f>
        <v>85.5659922535278</v>
      </c>
      <c r="J7748" s="6" t="n">
        <f aca="false">Sens!J7742-Sens!J7747*(Sens!J7744+Sens!J7746)-Sens!J7745</f>
        <v>105.90773710582</v>
      </c>
      <c r="K7748" s="6" t="n">
        <f aca="false">Sens!K7742-Sens!K7747*(Sens!K7744+Sens!K7746)-Sens!K7745</f>
        <v>126.282084319851</v>
      </c>
    </row>
    <row r="7749" customFormat="false" ht="17.15" hidden="false" customHeight="false" outlineLevel="0" collapsed="false">
      <c r="A7749" s="1" t="s">
        <v>747</v>
      </c>
      <c r="B7749" s="0" t="s">
        <v>95</v>
      </c>
      <c r="D7749" s="6" t="n">
        <f aca="false">(1-Sens!D7747)*(Sens!D7744+Sens!D7746)</f>
        <v>1.42281025374069</v>
      </c>
      <c r="E7749" s="6" t="n">
        <f aca="false">(1-Sens!E7747)*(Sens!E7744+Sens!E7746)</f>
        <v>3.25095598674472</v>
      </c>
      <c r="F7749" s="6" t="n">
        <f aca="false">(1-Sens!F7747)*(Sens!F7744+Sens!F7746)</f>
        <v>6.53293055050977</v>
      </c>
      <c r="G7749" s="6" t="n">
        <f aca="false">(1-Sens!G7747)*(Sens!G7744+Sens!G7746)</f>
        <v>10.7846311741651</v>
      </c>
      <c r="H7749" s="6" t="n">
        <f aca="false">(1-Sens!H7747)*(Sens!H7744+Sens!H7746)</f>
        <v>15.26343050201</v>
      </c>
      <c r="I7749" s="6" t="n">
        <f aca="false">(1-Sens!I7747)*(Sens!I7744+Sens!I7746)</f>
        <v>19.7545570754104</v>
      </c>
      <c r="J7749" s="6" t="n">
        <f aca="false">(1-Sens!J7747)*(Sens!J7744+Sens!J7746)</f>
        <v>24.2521277113811</v>
      </c>
      <c r="K7749" s="6" t="n">
        <f aca="false">(1-Sens!K7747)*(Sens!K7744+Sens!K7746)</f>
        <v>28.7534890794427</v>
      </c>
    </row>
    <row r="7750" customFormat="false" ht="17.15" hidden="false" customHeight="false" outlineLevel="0" collapsed="false">
      <c r="A7750" s="1" t="s">
        <v>748</v>
      </c>
      <c r="B7750" s="0" t="s">
        <v>302</v>
      </c>
      <c r="C7750" s="8" t="n">
        <f aca="false">cxit_open</f>
        <v>27.5918995</v>
      </c>
      <c r="D7750" s="8" t="n">
        <f aca="false">cxit_open</f>
        <v>27.5918995</v>
      </c>
      <c r="E7750" s="8" t="n">
        <f aca="false">cxit_open</f>
        <v>27.5918995</v>
      </c>
      <c r="F7750" s="8" t="n">
        <f aca="false">(a_g3_27*tk_cxit_gb300+(1-a_g3_27)*tk_cxit_vr200)</f>
        <v>33.8419624</v>
      </c>
      <c r="G7750" s="8" t="n">
        <f aca="false">(a_g3_28*tk_cxit_gb300+(1-a_g3_28)*tk_cxit_vr200)</f>
        <v>35.9816136</v>
      </c>
      <c r="H7750" s="8" t="n">
        <f aca="false">(a_g3_29*tk_cxit_gb300+(1-a_g3_29)*tk_cxit_vr200)</f>
        <v>37.0514392</v>
      </c>
      <c r="I7750" s="8" t="n">
        <f aca="false">(a_g3_29*tk_cxit_gb300+(1-a_g3_29)*tk_cxit_vr200)</f>
        <v>37.0514392</v>
      </c>
      <c r="J7750" s="8" t="n">
        <f aca="false">(a_g3_29*tk_cxit_gb300+(1-a_g3_29)*tk_cxit_vr200)</f>
        <v>37.0514392</v>
      </c>
      <c r="K7750" s="8" t="n">
        <f aca="false">(a_g3_29*tk_cxit_gb300+(1-a_g3_29)*tk_cxit_vr200)</f>
        <v>37.0514392</v>
      </c>
      <c r="L7750" s="11" t="s">
        <v>749</v>
      </c>
    </row>
    <row r="7751" customFormat="false" ht="17.15" hidden="false" customHeight="false" outlineLevel="0" collapsed="false">
      <c r="A7751" s="0" t="s">
        <v>750</v>
      </c>
      <c r="B7751" s="0" t="s">
        <v>340</v>
      </c>
      <c r="F7751" s="27" t="n">
        <f aca="false">Sens!C7733*IF(3=life_it,1,0)+Sens!D7733*IF(2=life_it,1,0)+Sens!E7733*IF(1=life_it,1,0)</f>
        <v>0</v>
      </c>
      <c r="G7751" s="27" t="n">
        <f aca="false">Sens!C7733*IF(4=life_it,1,0)+Sens!D7733*IF(3=life_it,1,0)+Sens!E7733*IF(2=life_it,1,0)+Sens!F7733*IF(1=life_it,1,0)</f>
        <v>0</v>
      </c>
      <c r="H7751" s="27" t="n">
        <f aca="false">Sens!C7733*IF(5=life_it,1,0)+Sens!D7733*IF(4=life_it,1,0)+Sens!E7733*IF(3=life_it,1,0)+Sens!F7733*IF(2=life_it,1,0)+Sens!G7733*IF(1=life_it,1,0)</f>
        <v>0</v>
      </c>
      <c r="I7751" s="27" t="n">
        <f aca="false">Sens!C7733*IF(6=life_it,1,0)+Sens!D7733*IF(5=life_it,1,0)+Sens!E7733*IF(4=life_it,1,0)+Sens!F7733*IF(3=life_it,1,0)+Sens!G7733*IF(2=life_it,1,0)+Sens!H7733*IF(1=life_it,1,0)</f>
        <v>816.666666666667</v>
      </c>
      <c r="J7751" s="27" t="n">
        <f aca="false">Sens!C7733*IF(7=life_it,1,0)+Sens!D7733*IF(6=life_it,1,0)+Sens!E7733*IF(5=life_it,1,0)+Sens!F7733*IF(4=life_it,1,0)+Sens!G7733*IF(3=life_it,1,0)+Sens!H7733*IF(2=life_it,1,0)+Sens!I7733*IF(1=life_it,1,0)</f>
        <v>1233.33333333333</v>
      </c>
      <c r="K7751" s="27" t="n">
        <f aca="false">Sens!C7733*IF(8=life_it,1,0)+Sens!D7733*IF(7=life_it,1,0)+Sens!E7733*IF(6=life_it,1,0)+Sens!F7733*IF(5=life_it,1,0)+Sens!G7733*IF(4=life_it,1,0)+Sens!H7733*IF(3=life_it,1,0)+Sens!I7733*IF(2=life_it,1,0)+Sens!J7733*IF(1=life_it,1,0)</f>
        <v>2450</v>
      </c>
      <c r="L7751" s="1" t="s">
        <v>751</v>
      </c>
    </row>
    <row r="7752" customFormat="false" ht="17.15" hidden="false" customHeight="false" outlineLevel="0" collapsed="false">
      <c r="A7752" s="0" t="s">
        <v>752</v>
      </c>
      <c r="B7752" s="0" t="s">
        <v>95</v>
      </c>
      <c r="C7752" s="6" t="n">
        <f aca="false">Sens!C7733*Sens!C7750/1000</f>
        <v>22.5333845916667</v>
      </c>
      <c r="D7752" s="6" t="n">
        <f aca="false">Sens!D7733*Sens!D7750/1000</f>
        <v>34.0300093833333</v>
      </c>
      <c r="E7752" s="6" t="n">
        <f aca="false">Sens!E7733*Sens!E7750/1000</f>
        <v>67.600153775</v>
      </c>
      <c r="F7752" s="6" t="n">
        <f aca="false">(Sens!F7733+Sens!F7751)*Sens!F7750/1000</f>
        <v>130.923271871467</v>
      </c>
      <c r="G7752" s="6" t="n">
        <f aca="false">(Sens!G7733+Sens!G7751)*Sens!G7750/1000</f>
        <v>151.5545564832</v>
      </c>
      <c r="H7752" s="6" t="n">
        <f aca="false">(Sens!H7733+Sens!H7751)*Sens!H7750/1000</f>
        <v>156.0606619104</v>
      </c>
      <c r="I7752" s="6" t="n">
        <f aca="false">(Sens!I7733+Sens!I7751)*Sens!I7750/1000</f>
        <v>186.319337257067</v>
      </c>
      <c r="J7752" s="6" t="n">
        <f aca="false">(Sens!J7733+Sens!J7751)*Sens!J7750/1000</f>
        <v>201.757436923733</v>
      </c>
      <c r="K7752" s="6" t="n">
        <f aca="false">(Sens!K7733+Sens!K7751)*Sens!K7750/1000</f>
        <v>246.8366879504</v>
      </c>
    </row>
    <row r="7753" customFormat="false" ht="17.15" hidden="false" customHeight="false" outlineLevel="0" collapsed="false">
      <c r="A7753" s="0" t="s">
        <v>753</v>
      </c>
      <c r="B7753" s="0" t="s">
        <v>95</v>
      </c>
      <c r="C7753" s="6" t="n">
        <f aca="false">Sens!C7733*self_build*tk_cxfac/1000</f>
        <v>6.2083</v>
      </c>
      <c r="D7753" s="6" t="n">
        <f aca="false">Sens!D7733*self_build*tk_cxfac/1000</f>
        <v>9.3758</v>
      </c>
      <c r="E7753" s="6" t="n">
        <f aca="false">Sens!E7733*self_build*tk_cxfac/1000</f>
        <v>18.6249</v>
      </c>
      <c r="F7753" s="6" t="n">
        <f aca="false">Sens!F7733*self_build*tk_cxfac/1000</f>
        <v>29.409604</v>
      </c>
      <c r="G7753" s="6" t="n">
        <f aca="false">Sens!G7733*self_build*tk_cxfac/1000</f>
        <v>32.019624</v>
      </c>
      <c r="H7753" s="6" t="n">
        <f aca="false">Sens!H7733*self_build*tk_cxfac/1000</f>
        <v>32.019624</v>
      </c>
      <c r="I7753" s="6" t="n">
        <f aca="false">Sens!I7733*self_build*tk_cxfac/1000</f>
        <v>32.019624</v>
      </c>
      <c r="J7753" s="6" t="n">
        <f aca="false">Sens!J7733*self_build*tk_cxfac/1000</f>
        <v>32.019624</v>
      </c>
      <c r="K7753" s="6" t="n">
        <f aca="false">Sens!K7733*self_build*tk_cxfac/1000</f>
        <v>32.019624</v>
      </c>
    </row>
    <row r="7754" customFormat="false" ht="17.15" hidden="false" customHeight="false" outlineLevel="0" collapsed="false">
      <c r="A7754" s="0" t="s">
        <v>754</v>
      </c>
      <c r="B7754" s="0" t="s">
        <v>95</v>
      </c>
      <c r="F7754" s="6" t="n">
        <f aca="false">MAX(0,capex_floor27-Sens!F7752-Sens!F7753-Sens!F7841)</f>
        <v>8.44771089897088</v>
      </c>
      <c r="G7754" s="6" t="n">
        <f aca="false">0</f>
        <v>0</v>
      </c>
      <c r="H7754" s="6" t="n">
        <f aca="false">0</f>
        <v>0</v>
      </c>
      <c r="I7754" s="6" t="n">
        <f aca="false">0</f>
        <v>0</v>
      </c>
      <c r="J7754" s="6" t="n">
        <f aca="false">0</f>
        <v>0</v>
      </c>
      <c r="K7754" s="6" t="n">
        <f aca="false">0</f>
        <v>0</v>
      </c>
      <c r="L7754" s="1" t="s">
        <v>755</v>
      </c>
    </row>
    <row r="7755" customFormat="false" ht="17.15" hidden="false" customHeight="false" outlineLevel="0" collapsed="false">
      <c r="A7755" s="0" t="s">
        <v>756</v>
      </c>
      <c r="B7755" s="0" t="s">
        <v>95</v>
      </c>
      <c r="C7755" s="6" t="n">
        <f aca="false">Sens!C7752</f>
        <v>22.5333845916667</v>
      </c>
      <c r="D7755" s="6" t="n">
        <f aca="false">Sens!D7752</f>
        <v>34.0300093833333</v>
      </c>
      <c r="E7755" s="6" t="n">
        <f aca="false">Sens!E7752</f>
        <v>67.600153775</v>
      </c>
      <c r="F7755" s="6" t="n">
        <f aca="false">Sens!F7752+Sens!F7754</f>
        <v>139.370982770438</v>
      </c>
      <c r="G7755" s="6" t="n">
        <f aca="false">Sens!G7752+Sens!G7754</f>
        <v>151.5545564832</v>
      </c>
      <c r="H7755" s="6" t="n">
        <f aca="false">Sens!H7752+Sens!H7754</f>
        <v>156.0606619104</v>
      </c>
      <c r="I7755" s="6" t="n">
        <f aca="false">Sens!I7752+Sens!I7754</f>
        <v>186.319337257067</v>
      </c>
      <c r="J7755" s="6" t="n">
        <f aca="false">Sens!J7752+Sens!J7754</f>
        <v>201.757436923733</v>
      </c>
      <c r="K7755" s="6" t="n">
        <f aca="false">Sens!K7752+Sens!K7754</f>
        <v>246.8366879504</v>
      </c>
    </row>
    <row r="7756" customFormat="false" ht="17.15" hidden="false" customHeight="false" outlineLevel="0" collapsed="false">
      <c r="A7756" s="0" t="s">
        <v>757</v>
      </c>
      <c r="B7756" s="0" t="s">
        <v>95</v>
      </c>
      <c r="C7756" s="6" t="n">
        <f aca="false">Sens!C7755+Sens!C7753</f>
        <v>28.7416845916667</v>
      </c>
      <c r="D7756" s="6" t="n">
        <f aca="false">Sens!D7755+Sens!D7753</f>
        <v>43.4058093833333</v>
      </c>
      <c r="E7756" s="6" t="n">
        <f aca="false">Sens!E7755+Sens!E7753</f>
        <v>86.225053775</v>
      </c>
      <c r="F7756" s="6" t="n">
        <f aca="false">Sens!F7755+Sens!F7753</f>
        <v>168.780586770438</v>
      </c>
      <c r="G7756" s="6" t="n">
        <f aca="false">Sens!G7755+Sens!G7753</f>
        <v>183.5741804832</v>
      </c>
      <c r="H7756" s="6" t="n">
        <f aca="false">Sens!H7755+Sens!H7753</f>
        <v>188.0802859104</v>
      </c>
      <c r="I7756" s="6" t="n">
        <f aca="false">Sens!I7755+Sens!I7753</f>
        <v>218.338961257067</v>
      </c>
      <c r="J7756" s="6" t="n">
        <f aca="false">Sens!J7755+Sens!J7753</f>
        <v>233.777060923733</v>
      </c>
      <c r="K7756" s="6" t="n">
        <f aca="false">Sens!K7755+Sens!K7753</f>
        <v>278.8563119504</v>
      </c>
      <c r="L7756" s="11" t="s">
        <v>758</v>
      </c>
    </row>
    <row r="7757" customFormat="false" ht="17.15" hidden="false" customHeight="false" outlineLevel="0" collapsed="false">
      <c r="A7757" s="0" t="s">
        <v>759</v>
      </c>
      <c r="B7757" s="0" t="s">
        <v>95</v>
      </c>
      <c r="E7757" s="6" t="n">
        <f aca="false">(Sens!C7755*IF(2&lt;life_it,1,IF(2=life_it,0.5,0))+Sens!D7755*IF(1&lt;life_it,1,IF(1=life_it,0.5,0))+Sens!E7755*0.5)/life_it</f>
        <v>15.0605784770833</v>
      </c>
      <c r="F7757" s="6" t="n">
        <f aca="false">(Sens!C7755*IF(3&lt;life_it,1,IF(3=life_it,0.5,0))+Sens!D7755*IF(2&lt;life_it,1,IF(2=life_it,0.5,0))+Sens!E7755*IF(1&lt;life_it,1,IF(1=life_it,0.5,0))+Sens!F7755*0.5)/life_it</f>
        <v>32.3081731892031</v>
      </c>
      <c r="G7757" s="6" t="n">
        <f aca="false">(Sens!C7755*IF(4&lt;life_it,1,IF(4=life_it,0.5,0))+Sens!D7755*IF(3&lt;life_it,1,IF(3=life_it,0.5,0))+Sens!E7755*IF(2&lt;life_it,1,IF(2=life_it,0.5,0))+Sens!F7755*IF(1&lt;life_it,1,IF(1=life_it,0.5,0))+Sens!G7755*0.5)/life_it</f>
        <v>56.5519681270063</v>
      </c>
      <c r="H7757" s="6" t="n">
        <f aca="false">(Sens!C7755*IF(5&lt;life_it,1,IF(5=life_it,0.5,0))+Sens!D7755*IF(4&lt;life_it,1,IF(4=life_it,0.5,0))+Sens!E7755*IF(3&lt;life_it,1,IF(3=life_it,0.5,0))+Sens!F7755*IF(2&lt;life_it,1,IF(2=life_it,0.5,0))+Sens!G7755*IF(1&lt;life_it,1,IF(1=life_it,0.5,0))+Sens!H7755*0.5)/life_it</f>
        <v>82.1865696598063</v>
      </c>
      <c r="I7757" s="6" t="n">
        <f aca="false">(Sens!C7755*IF(6&lt;life_it,1,IF(6=life_it,0.5,0))+Sens!D7755*IF(5&lt;life_it,1,IF(5=life_it,0.5,0))+Sens!E7755*IF(4&lt;life_it,1,IF(4=life_it,0.5,0))+Sens!F7755*IF(3&lt;life_it,1,IF(3=life_it,0.5,0))+Sens!G7755*IF(2&lt;life_it,1,IF(2=life_it,0.5,0))+Sens!H7755*IF(1&lt;life_it,1,IF(1=life_it,0.5,0))+Sens!I7755*0.5)/life_it</f>
        <v>108.84045420779</v>
      </c>
      <c r="J7757" s="6" t="n">
        <f aca="false">(Sens!C7755*IF(7&lt;life_it,1,IF(7=life_it,0.5,0))+Sens!D7755*IF(6&lt;life_it,1,IF(6=life_it,0.5,0))+Sens!E7755*IF(5&lt;life_it,1,IF(5=life_it,0.5,0))+Sens!F7755*IF(4&lt;life_it,1,IF(4=life_it,0.5,0))+Sens!G7755*IF(3&lt;life_it,1,IF(3=life_it,0.5,0))+Sens!H7755*IF(2&lt;life_it,1,IF(2=life_it,0.5,0))+Sens!I7755*IF(1&lt;life_it,1,IF(1=life_it,0.5,0))+Sens!J7755*0.5)/life_it</f>
        <v>136.46656922494</v>
      </c>
      <c r="K7757" s="6" t="n">
        <f aca="false">(Sens!C7755*IF(8&lt;life_it,1,IF(8=life_it,0.5,0))+Sens!D7755*IF(7&lt;life_it,1,IF(7=life_it,0.5,0))+Sens!E7755*IF(6&lt;life_it,1,IF(6=life_it,0.5,0))+Sens!F7755*IF(5&lt;life_it,1,IF(5=life_it,0.5,0))+Sens!G7755*IF(4&lt;life_it,1,IF(4=life_it,0.5,0))+Sens!H7755*IF(3&lt;life_it,1,IF(3=life_it,0.5,0))+Sens!I7755*IF(2&lt;life_it,1,IF(2=life_it,0.5,0))+Sens!J7755*IF(1&lt;life_it,1,IF(1=life_it,0.5,0))+Sens!K7755*0.5)/life_it</f>
        <v>165.380232701256</v>
      </c>
    </row>
    <row r="7758" customFormat="false" ht="17.15" hidden="false" customHeight="false" outlineLevel="0" collapsed="false">
      <c r="A7758" s="0" t="s">
        <v>760</v>
      </c>
      <c r="B7758" s="0" t="s">
        <v>95</v>
      </c>
      <c r="E7758" s="6" t="n">
        <f aca="false">(Sens!C7753*IF(2&lt;life_fac,1,IF(2=life_fac,0.5,0))+Sens!D7753*IF(1&lt;life_fac,1,IF(1=life_fac,0.5,0))+Sens!E7753*0.5)/life_fac</f>
        <v>1.2448275</v>
      </c>
      <c r="F7758" s="6" t="n">
        <f aca="false">(Sens!C7753*IF(3&lt;life_fac,1,IF(3=life_fac,0.5,0))+Sens!D7753*IF(2&lt;life_fac,1,IF(2=life_fac,0.5,0))+Sens!E7753*IF(1&lt;life_fac,1,IF(1=life_fac,0.5,0))+Sens!F7753*0.5)/life_fac</f>
        <v>2.4456901</v>
      </c>
      <c r="G7758" s="6" t="n">
        <f aca="false">(Sens!C7753*IF(4&lt;life_fac,1,IF(4=life_fac,0.5,0))+Sens!D7753*IF(3&lt;life_fac,1,IF(3=life_fac,0.5,0))+Sens!E7753*IF(2&lt;life_fac,1,IF(2=life_fac,0.5,0))+Sens!F7753*IF(1&lt;life_fac,1,IF(1=life_fac,0.5,0))+Sens!G7753*0.5)/life_fac</f>
        <v>3.9814208</v>
      </c>
      <c r="H7758" s="6" t="n">
        <f aca="false">(Sens!C7753*IF(5&lt;life_fac,1,IF(5=life_fac,0.5,0))+Sens!D7753*IF(4&lt;life_fac,1,IF(4=life_fac,0.5,0))+Sens!E7753*IF(3&lt;life_fac,1,IF(3=life_fac,0.5,0))+Sens!F7753*IF(2&lt;life_fac,1,IF(2=life_fac,0.5,0))+Sens!G7753*IF(1&lt;life_fac,1,IF(1=life_fac,0.5,0))+Sens!H7753*0.5)/life_fac</f>
        <v>5.582402</v>
      </c>
      <c r="I7758" s="6" t="n">
        <f aca="false">(Sens!C7753*IF(6&lt;life_fac,1,IF(6=life_fac,0.5,0))+Sens!D7753*IF(5&lt;life_fac,1,IF(5=life_fac,0.5,0))+Sens!E7753*IF(4&lt;life_fac,1,IF(4=life_fac,0.5,0))+Sens!F7753*IF(3&lt;life_fac,1,IF(3=life_fac,0.5,0))+Sens!G7753*IF(2&lt;life_fac,1,IF(2=life_fac,0.5,0))+Sens!H7753*IF(1&lt;life_fac,1,IF(1=life_fac,0.5,0))+Sens!I7753*0.5)/life_fac</f>
        <v>7.1833832</v>
      </c>
      <c r="J7758" s="6" t="n">
        <f aca="false">(Sens!C7753*IF(7&lt;life_fac,1,IF(7=life_fac,0.5,0))+Sens!D7753*IF(6&lt;life_fac,1,IF(6=life_fac,0.5,0))+Sens!E7753*IF(5&lt;life_fac,1,IF(5=life_fac,0.5,0))+Sens!F7753*IF(4&lt;life_fac,1,IF(4=life_fac,0.5,0))+Sens!G7753*IF(3&lt;life_fac,1,IF(3=life_fac,0.5,0))+Sens!H7753*IF(2&lt;life_fac,1,IF(2=life_fac,0.5,0))+Sens!I7753*IF(1&lt;life_fac,1,IF(1=life_fac,0.5,0))+Sens!J7753*0.5)/life_fac</f>
        <v>8.7843644</v>
      </c>
      <c r="K7758" s="6" t="n">
        <f aca="false">(Sens!C7753*IF(8&lt;life_fac,1,IF(8=life_fac,0.5,0))+Sens!D7753*IF(7&lt;life_fac,1,IF(7=life_fac,0.5,0))+Sens!E7753*IF(6&lt;life_fac,1,IF(6=life_fac,0.5,0))+Sens!F7753*IF(5&lt;life_fac,1,IF(5=life_fac,0.5,0))+Sens!G7753*IF(4&lt;life_fac,1,IF(4=life_fac,0.5,0))+Sens!H7753*IF(3&lt;life_fac,1,IF(3=life_fac,0.5,0))+Sens!I7753*IF(2&lt;life_fac,1,IF(2=life_fac,0.5,0))+Sens!J7753*IF(1&lt;life_fac,1,IF(1=life_fac,0.5,0))+Sens!K7753*0.5)/life_fac</f>
        <v>10.3853456</v>
      </c>
    </row>
    <row r="7759" customFormat="false" ht="17.15" hidden="false" customHeight="false" outlineLevel="0" collapsed="false">
      <c r="A7759" s="0" t="s">
        <v>761</v>
      </c>
      <c r="B7759" s="0" t="s">
        <v>95</v>
      </c>
      <c r="E7759" s="6" t="n">
        <f aca="false">Sens!E7757+Sens!E7758</f>
        <v>16.3054059770833</v>
      </c>
      <c r="F7759" s="6" t="n">
        <f aca="false">Sens!F7757+Sens!F7758</f>
        <v>34.7538632892031</v>
      </c>
      <c r="G7759" s="6" t="n">
        <f aca="false">Sens!G7757+Sens!G7758</f>
        <v>60.5333889270063</v>
      </c>
      <c r="H7759" s="6" t="n">
        <f aca="false">Sens!H7757+Sens!H7758</f>
        <v>87.7689716598063</v>
      </c>
      <c r="I7759" s="6" t="n">
        <f aca="false">Sens!I7757+Sens!I7758</f>
        <v>116.02383740779</v>
      </c>
      <c r="J7759" s="6" t="n">
        <f aca="false">Sens!J7757+Sens!J7758</f>
        <v>145.25093362494</v>
      </c>
      <c r="K7759" s="6" t="n">
        <f aca="false">Sens!K7757+Sens!K7758</f>
        <v>175.765578301256</v>
      </c>
    </row>
    <row r="7760" customFormat="false" ht="17.15" hidden="false" customHeight="false" outlineLevel="0" collapsed="false">
      <c r="A7760" s="0" t="s">
        <v>762</v>
      </c>
      <c r="B7760" s="0" t="s">
        <v>95</v>
      </c>
      <c r="E7760" s="6" t="n">
        <f aca="false">Sens!E7748-Sens!E7747*Sens!E7759</f>
        <v>8.92707889977379</v>
      </c>
      <c r="F7760" s="6" t="n">
        <f aca="false">Sens!F7748-Sens!F7747*Sens!F7759</f>
        <v>14.2050275890201</v>
      </c>
      <c r="G7760" s="6" t="n">
        <f aca="false">Sens!G7748-Sens!G7747*Sens!G7759</f>
        <v>15.9304638150833</v>
      </c>
      <c r="H7760" s="6" t="n">
        <f aca="false">Sens!H7748-Sens!H7747*Sens!H7759</f>
        <v>12.6182868551433</v>
      </c>
      <c r="I7760" s="6" t="n">
        <f aca="false">Sens!I7748-Sens!I7747*Sens!I7759</f>
        <v>15.9516898088541</v>
      </c>
      <c r="J7760" s="6" t="n">
        <f aca="false">Sens!J7748-Sens!J7747*Sens!J7759</f>
        <v>18.7571769308565</v>
      </c>
      <c r="K7760" s="6" t="n">
        <f aca="false">Sens!K7748-Sens!K7747*Sens!K7759</f>
        <v>20.8227373390974</v>
      </c>
    </row>
    <row r="7761" customFormat="false" ht="17.15" hidden="false" customHeight="false" outlineLevel="0" collapsed="false">
      <c r="A7761" s="3" t="s">
        <v>1335</v>
      </c>
    </row>
    <row r="7762" customFormat="false" ht="15" hidden="false" customHeight="false" outlineLevel="0" collapsed="false">
      <c r="A7762" s="4" t="s">
        <v>43</v>
      </c>
      <c r="B7762" s="4" t="s">
        <v>63</v>
      </c>
      <c r="C7762" s="19" t="s">
        <v>710</v>
      </c>
      <c r="D7762" s="19" t="s">
        <v>711</v>
      </c>
      <c r="E7762" s="19" t="s">
        <v>712</v>
      </c>
      <c r="F7762" s="19" t="s">
        <v>713</v>
      </c>
      <c r="G7762" s="19" t="s">
        <v>714</v>
      </c>
      <c r="H7762" s="19" t="s">
        <v>715</v>
      </c>
      <c r="I7762" s="19" t="s">
        <v>716</v>
      </c>
      <c r="J7762" s="19" t="s">
        <v>717</v>
      </c>
      <c r="K7762" s="19" t="s">
        <v>718</v>
      </c>
      <c r="L7762" s="4" t="s">
        <v>47</v>
      </c>
    </row>
    <row r="7763" customFormat="false" ht="17.15" hidden="false" customHeight="false" outlineLevel="0" collapsed="false">
      <c r="A7763" s="0" t="s">
        <v>780</v>
      </c>
      <c r="B7763" s="0" t="s">
        <v>95</v>
      </c>
      <c r="D7763" s="6" t="n">
        <f aca="false">Sens!D7742</f>
        <v>12.9359794422418</v>
      </c>
      <c r="E7763" s="6" t="n">
        <f aca="false">Sens!E7742</f>
        <v>27.8095064661409</v>
      </c>
      <c r="F7763" s="6" t="n">
        <f aca="false">Sens!F7742</f>
        <v>50.6619113883066</v>
      </c>
      <c r="G7763" s="6" t="n">
        <f aca="false">Sens!G7742</f>
        <v>75.1482839325348</v>
      </c>
      <c r="H7763" s="6" t="n">
        <f aca="false">Sens!H7742</f>
        <v>94.895655604042</v>
      </c>
      <c r="I7763" s="6" t="n">
        <f aca="false">Sens!I7742</f>
        <v>121.918667866643</v>
      </c>
      <c r="J7763" s="6" t="n">
        <f aca="false">Sens!J7742</f>
        <v>149.006768672892</v>
      </c>
      <c r="K7763" s="6" t="n">
        <f aca="false">Sens!K7742</f>
        <v>176.133157939015</v>
      </c>
    </row>
    <row r="7764" customFormat="false" ht="17.15" hidden="false" customHeight="false" outlineLevel="0" collapsed="false">
      <c r="A7764" s="0" t="s">
        <v>781</v>
      </c>
      <c r="B7764" s="0" t="s">
        <v>95</v>
      </c>
      <c r="D7764" s="6" t="n">
        <f aca="false">Q!L6-Sens!D7763</f>
        <v>59.6740205577583</v>
      </c>
      <c r="E7764" s="6" t="n">
        <f aca="false">Q!M6-Sens!E7763</f>
        <v>74.1284935338591</v>
      </c>
      <c r="F7764" s="6" t="n">
        <f aca="false">Sens!E7764*(1+Sens!F7765)</f>
        <v>90.0799497373663</v>
      </c>
      <c r="G7764" s="6" t="n">
        <f aca="false">Sens!F7764*(1+Sens!G7765)</f>
        <v>107.02842520331</v>
      </c>
      <c r="H7764" s="6" t="n">
        <f aca="false">Sens!G7764*(1+Sens!H7765)</f>
        <v>124.271982585636</v>
      </c>
      <c r="I7764" s="6" t="n">
        <f aca="false">Sens!H7764*(1+Sens!I7765)</f>
        <v>140.933702381855</v>
      </c>
      <c r="J7764" s="6" t="n">
        <f aca="false">Sens!I7764*(1+Sens!J7765)</f>
        <v>156.018867314332</v>
      </c>
      <c r="K7764" s="6" t="n">
        <f aca="false">Sens!J7764*(1+Sens!K7765)</f>
        <v>168.500376699478</v>
      </c>
    </row>
    <row r="7765" customFormat="false" ht="15" hidden="false" customHeight="false" outlineLevel="0" collapsed="false">
      <c r="A7765" s="1" t="s">
        <v>782</v>
      </c>
      <c r="B7765" s="0" t="s">
        <v>126</v>
      </c>
      <c r="E7765" s="7" t="n">
        <f aca="false">Sens!E7764/Sens!D7764-1</f>
        <v>0.242223883039864</v>
      </c>
      <c r="F7765" s="7" t="n">
        <f aca="false">Sens!$E$7765+(glt_azo-Sens!$E$7765)*MIN(1,1/n_conv)</f>
        <v>0.215186569199887</v>
      </c>
      <c r="G7765" s="7" t="n">
        <f aca="false">Sens!$E$7765+(glt_azo-Sens!$E$7765)*MIN(1,2/n_conv)</f>
        <v>0.18814925535991</v>
      </c>
      <c r="H7765" s="7" t="n">
        <f aca="false">Sens!$E$7765+(glt_azo-Sens!$E$7765)*MIN(1,3/n_conv)</f>
        <v>0.161111941519932</v>
      </c>
      <c r="I7765" s="7" t="n">
        <f aca="false">Sens!$E$7765+(glt_azo-Sens!$E$7765)*MIN(1,4/n_conv)</f>
        <v>0.134074627679955</v>
      </c>
      <c r="J7765" s="7" t="n">
        <f aca="false">Sens!$E$7765+(glt_azo-Sens!$E$7765)*MIN(1,5/n_conv)</f>
        <v>0.107037313839977</v>
      </c>
      <c r="K7765" s="7" t="n">
        <f aca="false">Sens!$E$7765+(glt_azo-Sens!$E$7765)*MIN(1,6/n_conv)</f>
        <v>0.08</v>
      </c>
    </row>
    <row r="7766" customFormat="false" ht="15" hidden="false" customHeight="false" outlineLevel="0" collapsed="false">
      <c r="A7766" s="0" t="s">
        <v>783</v>
      </c>
      <c r="B7766" s="0" t="s">
        <v>95</v>
      </c>
      <c r="D7766" s="6" t="n">
        <f aca="false">Sens!D7763+Sens!D7764</f>
        <v>72.61</v>
      </c>
      <c r="E7766" s="6" t="n">
        <f aca="false">Sens!E7763+Sens!E7764</f>
        <v>101.938</v>
      </c>
      <c r="F7766" s="6" t="n">
        <f aca="false">Sens!F7763+Sens!F7764</f>
        <v>140.741861125673</v>
      </c>
      <c r="G7766" s="6" t="n">
        <f aca="false">Sens!G7763+Sens!G7764</f>
        <v>182.176709135845</v>
      </c>
      <c r="H7766" s="6" t="n">
        <f aca="false">Sens!H7763+Sens!H7764</f>
        <v>219.167638189678</v>
      </c>
      <c r="I7766" s="6" t="n">
        <f aca="false">Sens!I7763+Sens!I7764</f>
        <v>262.852370248498</v>
      </c>
      <c r="J7766" s="6" t="n">
        <f aca="false">Sens!J7763+Sens!J7764</f>
        <v>305.025635987223</v>
      </c>
      <c r="K7766" s="6" t="n">
        <f aca="false">Sens!K7763+Sens!K7764</f>
        <v>344.633534638493</v>
      </c>
    </row>
    <row r="7767" customFormat="false" ht="17.15" hidden="false" customHeight="false" outlineLevel="0" collapsed="false">
      <c r="A7767" s="0" t="s">
        <v>784</v>
      </c>
      <c r="B7767" s="1" t="s">
        <v>451</v>
      </c>
      <c r="C7767" s="27" t="n">
        <f aca="false">cop_s24</f>
        <v>1</v>
      </c>
      <c r="D7767" s="27" t="n">
        <f aca="false">cop_s25</f>
        <v>5</v>
      </c>
      <c r="E7767" s="27" t="n">
        <f aca="false">cop_s26</f>
        <v>30</v>
      </c>
      <c r="F7767" s="27" t="n">
        <f aca="false">Sens!E7767+IF(2027&lt;=2029,cop_add_C,cop_add_C*cop_tail)</f>
        <v>40</v>
      </c>
      <c r="G7767" s="27" t="n">
        <f aca="false">Sens!F7767+IF(2028&lt;=2029,cop_add_C,cop_add_C*cop_tail)</f>
        <v>50</v>
      </c>
      <c r="H7767" s="27" t="n">
        <f aca="false">Sens!G7767+IF(2029&lt;=2029,cop_add_C,cop_add_C*cop_tail)</f>
        <v>60</v>
      </c>
      <c r="I7767" s="27" t="n">
        <f aca="false">Sens!H7767+IF(2030&lt;=2029,cop_add_C,cop_add_C*cop_tail)</f>
        <v>65</v>
      </c>
      <c r="J7767" s="27" t="n">
        <f aca="false">Sens!I7767+IF(2031&lt;=2029,cop_add_C,cop_add_C*cop_tail)</f>
        <v>70</v>
      </c>
      <c r="K7767" s="27" t="n">
        <f aca="false">Sens!J7767+IF(2032&lt;=2029,cop_add_C,cop_add_C*cop_tail)</f>
        <v>75</v>
      </c>
    </row>
    <row r="7768" customFormat="false" ht="17.15" hidden="false" customHeight="false" outlineLevel="0" collapsed="false">
      <c r="A7768" s="0" t="s">
        <v>785</v>
      </c>
      <c r="B7768" s="0" t="s">
        <v>95</v>
      </c>
      <c r="D7768" s="6" t="n">
        <f aca="false">(Sens!C7767+Sens!D7767)/2*cop_px*12/1000</f>
        <v>0.9</v>
      </c>
      <c r="E7768" s="6" t="n">
        <f aca="false">(Sens!D7767+Sens!E7767)/2*cop_px*12/1000</f>
        <v>5.25</v>
      </c>
      <c r="F7768" s="6" t="n">
        <f aca="false">(Sens!E7767+Sens!F7767)/2*cop_px*12/1000</f>
        <v>10.5</v>
      </c>
      <c r="G7768" s="6" t="n">
        <f aca="false">(Sens!F7767+Sens!G7767)/2*cop_px*12/1000</f>
        <v>13.5</v>
      </c>
      <c r="H7768" s="6" t="n">
        <f aca="false">(Sens!G7767+Sens!H7767)/2*cop_px*12/1000</f>
        <v>16.5</v>
      </c>
      <c r="I7768" s="6" t="n">
        <f aca="false">(Sens!H7767+Sens!I7767)/2*cop_px*12/1000</f>
        <v>18.75</v>
      </c>
      <c r="J7768" s="6" t="n">
        <f aca="false">(Sens!I7767+Sens!J7767)/2*cop_px*12/1000</f>
        <v>20.25</v>
      </c>
      <c r="K7768" s="6" t="n">
        <f aca="false">(Sens!J7767+Sens!K7767)/2*cop_px*12/1000</f>
        <v>21.75</v>
      </c>
      <c r="L7768" s="1" t="s">
        <v>786</v>
      </c>
    </row>
    <row r="7769" customFormat="false" ht="17.15" hidden="false" customHeight="false" outlineLevel="0" collapsed="false">
      <c r="A7769" s="0" t="s">
        <v>787</v>
      </c>
      <c r="B7769" s="0" t="s">
        <v>95</v>
      </c>
      <c r="D7769" s="6" t="n">
        <f aca="false">Q!L7-Sens!D7768</f>
        <v>83.705</v>
      </c>
      <c r="E7769" s="6" t="n">
        <f aca="false">Q!M7-Sens!E7768</f>
        <v>95.049</v>
      </c>
      <c r="F7769" s="6" t="n">
        <f aca="false">Sens!E7769*(1+Sens!F7770)</f>
        <v>106.89238776686</v>
      </c>
      <c r="G7769" s="6" t="n">
        <f aca="false">Sens!F7769*(1+Sens!G7770)</f>
        <v>119.044168448684</v>
      </c>
      <c r="H7769" s="6" t="n">
        <f aca="false">Sens!G7769*(1+Sens!H7770)</f>
        <v>131.277359388781</v>
      </c>
      <c r="I7769" s="6" t="n">
        <f aca="false">Sens!H7769*(1+Sens!I7770)</f>
        <v>143.334028071957</v>
      </c>
      <c r="J7769" s="6" t="n">
        <f aca="false">Sens!I7769*(1+Sens!J7770)</f>
        <v>154.932702785465</v>
      </c>
      <c r="K7769" s="6" t="n">
        <f aca="false">Sens!J7769*(1+Sens!K7770)</f>
        <v>165.777991980448</v>
      </c>
    </row>
    <row r="7770" customFormat="false" ht="15" hidden="false" customHeight="false" outlineLevel="0" collapsed="false">
      <c r="A7770" s="1" t="s">
        <v>782</v>
      </c>
      <c r="B7770" s="0" t="s">
        <v>126</v>
      </c>
      <c r="E7770" s="7" t="n">
        <f aca="false">Sens!E7769/Sens!D7769-1</f>
        <v>0.135523564900544</v>
      </c>
      <c r="F7770" s="7" t="n">
        <f aca="false">Sens!$E$7770+(glt_m365b-Sens!$E$7770)*MIN(1,1/n_conv)</f>
        <v>0.124602970750453</v>
      </c>
      <c r="G7770" s="7" t="n">
        <f aca="false">Sens!$E$7770+(glt_m365b-Sens!$E$7770)*MIN(1,2/n_conv)</f>
        <v>0.113682376600363</v>
      </c>
      <c r="H7770" s="7" t="n">
        <f aca="false">Sens!$E$7770+(glt_m365b-Sens!$E$7770)*MIN(1,3/n_conv)</f>
        <v>0.102761782450272</v>
      </c>
      <c r="I7770" s="7" t="n">
        <f aca="false">Sens!$E$7770+(glt_m365b-Sens!$E$7770)*MIN(1,4/n_conv)</f>
        <v>0.0918411883001813</v>
      </c>
      <c r="J7770" s="7" t="n">
        <f aca="false">Sens!$E$7770+(glt_m365b-Sens!$E$7770)*MIN(1,5/n_conv)</f>
        <v>0.0809205941500906</v>
      </c>
      <c r="K7770" s="7" t="n">
        <f aca="false">Sens!$E$7770+(glt_m365b-Sens!$E$7770)*MIN(1,6/n_conv)</f>
        <v>0.07</v>
      </c>
    </row>
    <row r="7771" customFormat="false" ht="15" hidden="false" customHeight="false" outlineLevel="0" collapsed="false">
      <c r="A7771" s="0" t="s">
        <v>788</v>
      </c>
      <c r="B7771" s="0" t="s">
        <v>95</v>
      </c>
      <c r="D7771" s="6" t="n">
        <f aca="false">Sens!D7769+Sens!D7768</f>
        <v>84.605</v>
      </c>
      <c r="E7771" s="6" t="n">
        <f aca="false">Sens!E7769+Sens!E7768</f>
        <v>100.299</v>
      </c>
      <c r="F7771" s="6" t="n">
        <f aca="false">Sens!F7769+Sens!F7768</f>
        <v>117.39238776686</v>
      </c>
      <c r="G7771" s="6" t="n">
        <f aca="false">Sens!G7769+Sens!G7768</f>
        <v>132.544168448684</v>
      </c>
      <c r="H7771" s="6" t="n">
        <f aca="false">Sens!H7769+Sens!H7768</f>
        <v>147.777359388781</v>
      </c>
      <c r="I7771" s="6" t="n">
        <f aca="false">Sens!I7769+Sens!I7768</f>
        <v>162.084028071957</v>
      </c>
      <c r="J7771" s="6" t="n">
        <f aca="false">Sens!J7769+Sens!J7768</f>
        <v>175.182702785465</v>
      </c>
      <c r="K7771" s="6" t="n">
        <f aca="false">Sens!K7769+Sens!K7768</f>
        <v>187.527991980448</v>
      </c>
    </row>
    <row r="7772" customFormat="false" ht="15" hidden="false" customHeight="false" outlineLevel="0" collapsed="false">
      <c r="A7772" s="0" t="s">
        <v>789</v>
      </c>
      <c r="B7772" s="0" t="s">
        <v>95</v>
      </c>
      <c r="D7772" s="6" t="n">
        <f aca="false">Q!L8</f>
        <v>35.391</v>
      </c>
      <c r="E7772" s="6" t="n">
        <f aca="false">Q!M8</f>
        <v>37.285</v>
      </c>
      <c r="F7772" s="6" t="n">
        <f aca="false">Sens!E7772*(1+Sens!F7773)</f>
        <v>39.0720834331704</v>
      </c>
      <c r="G7772" s="6" t="n">
        <f aca="false">Sens!F7772*(1+Sens!G7773)</f>
        <v>40.726562953769</v>
      </c>
      <c r="H7772" s="6" t="n">
        <f aca="false">Sens!G7772*(1+Sens!H7773)</f>
        <v>42.2235987259198</v>
      </c>
      <c r="I7772" s="6" t="n">
        <f aca="false">Sens!H7772*(1+Sens!I7773)</f>
        <v>43.5397988077414</v>
      </c>
      <c r="J7772" s="6" t="n">
        <f aca="false">Sens!I7772*(1+Sens!J7773)</f>
        <v>44.653811225693</v>
      </c>
      <c r="K7772" s="6" t="n">
        <f aca="false">Sens!J7772*(1+Sens!K7773)</f>
        <v>45.5468874502068</v>
      </c>
    </row>
    <row r="7773" customFormat="false" ht="15" hidden="false" customHeight="false" outlineLevel="0" collapsed="false">
      <c r="A7773" s="1" t="s">
        <v>782</v>
      </c>
      <c r="B7773" s="0" t="s">
        <v>126</v>
      </c>
      <c r="E7773" s="7" t="n">
        <f aca="false">Sens!E7772/Sens!D7772-1</f>
        <v>0.0535164307309768</v>
      </c>
      <c r="F7773" s="7" t="n">
        <f aca="false">Sens!$E$7773+(glt_lic-Sens!$E$7773)*MIN(1,1/n_conv)</f>
        <v>0.0479303589424807</v>
      </c>
      <c r="G7773" s="7" t="n">
        <f aca="false">Sens!$E$7773+(glt_lic-Sens!$E$7773)*MIN(1,2/n_conv)</f>
        <v>0.0423442871539845</v>
      </c>
      <c r="H7773" s="7" t="n">
        <f aca="false">Sens!$E$7773+(glt_lic-Sens!$E$7773)*MIN(1,3/n_conv)</f>
        <v>0.0367582153654884</v>
      </c>
      <c r="I7773" s="7" t="n">
        <f aca="false">Sens!$E$7773+(glt_lic-Sens!$E$7773)*MIN(1,4/n_conv)</f>
        <v>0.0311721435769923</v>
      </c>
      <c r="J7773" s="7" t="n">
        <f aca="false">Sens!$E$7773+(glt_lic-Sens!$E$7773)*MIN(1,5/n_conv)</f>
        <v>0.0255860717884961</v>
      </c>
      <c r="K7773" s="7" t="n">
        <f aca="false">Sens!$E$7773+(glt_lic-Sens!$E$7773)*MIN(1,6/n_conv)</f>
        <v>0.02</v>
      </c>
    </row>
    <row r="7774" customFormat="false" ht="15" hidden="false" customHeight="false" outlineLevel="0" collapsed="false">
      <c r="A7774" s="0" t="s">
        <v>790</v>
      </c>
      <c r="B7774" s="0" t="s">
        <v>95</v>
      </c>
      <c r="D7774" s="6" t="n">
        <f aca="false">Q!L9</f>
        <v>18.417</v>
      </c>
      <c r="E7774" s="6" t="n">
        <f aca="false">Q!M9</f>
        <v>20.345</v>
      </c>
      <c r="F7774" s="6" t="n">
        <f aca="false">Sens!E7774*(1+Sens!F7775)</f>
        <v>22.3572203267814</v>
      </c>
      <c r="G7774" s="6" t="n">
        <f aca="false">Sens!F7774*(1+Sens!G7775)</f>
        <v>24.4392124437232</v>
      </c>
      <c r="H7774" s="6" t="n">
        <f aca="false">Sens!G7774*(1+Sens!H7775)</f>
        <v>26.5738052080665</v>
      </c>
      <c r="I7774" s="6" t="n">
        <f aca="false">Sens!H7774*(1+Sens!I7775)</f>
        <v>28.7412169166967</v>
      </c>
      <c r="J7774" s="6" t="n">
        <f aca="false">Sens!I7774*(1+Sens!J7775)</f>
        <v>30.9192545395413</v>
      </c>
      <c r="K7774" s="6" t="n">
        <f aca="false">Sens!J7774*(1+Sens!K7775)</f>
        <v>33.0836023573092</v>
      </c>
    </row>
    <row r="7775" customFormat="false" ht="15" hidden="false" customHeight="false" outlineLevel="0" collapsed="false">
      <c r="A7775" s="1" t="s">
        <v>782</v>
      </c>
      <c r="B7775" s="0" t="s">
        <v>126</v>
      </c>
      <c r="E7775" s="7" t="n">
        <f aca="false">Sens!E7774/Sens!D7774-1</f>
        <v>0.104685888038225</v>
      </c>
      <c r="F7775" s="7" t="n">
        <f aca="false">Sens!$E$7775+(glt_ind-Sens!$E$7775)*MIN(1,1/n_conv)</f>
        <v>0.0989049066985211</v>
      </c>
      <c r="G7775" s="7" t="n">
        <f aca="false">Sens!$E$7775+(glt_ind-Sens!$E$7775)*MIN(1,2/n_conv)</f>
        <v>0.0931239253588169</v>
      </c>
      <c r="H7775" s="7" t="n">
        <f aca="false">Sens!$E$7775+(glt_ind-Sens!$E$7775)*MIN(1,3/n_conv)</f>
        <v>0.0873429440191127</v>
      </c>
      <c r="I7775" s="7" t="n">
        <f aca="false">Sens!$E$7775+(glt_ind-Sens!$E$7775)*MIN(1,4/n_conv)</f>
        <v>0.0815619626794085</v>
      </c>
      <c r="J7775" s="7" t="n">
        <f aca="false">Sens!$E$7775+(glt_ind-Sens!$E$7775)*MIN(1,5/n_conv)</f>
        <v>0.0757809813397042</v>
      </c>
      <c r="K7775" s="7" t="n">
        <f aca="false">Sens!$E$7775+(glt_ind-Sens!$E$7775)*MIN(1,6/n_conv)</f>
        <v>0.07</v>
      </c>
    </row>
    <row r="7776" customFormat="false" ht="15" hidden="false" customHeight="false" outlineLevel="0" collapsed="false">
      <c r="A7776" s="0" t="s">
        <v>791</v>
      </c>
      <c r="B7776" s="0" t="s">
        <v>95</v>
      </c>
      <c r="D7776" s="6" t="n">
        <f aca="false">Q!L10</f>
        <v>7.76</v>
      </c>
      <c r="E7776" s="6" t="n">
        <f aca="false">Q!M10</f>
        <v>8.26</v>
      </c>
      <c r="F7776" s="6" t="n">
        <f aca="false">Sens!E7776*(1+Sens!F7777)</f>
        <v>8.79988041237113</v>
      </c>
      <c r="G7776" s="6" t="n">
        <f aca="false">Sens!F7776*(1+Sens!G7777)</f>
        <v>9.38321269125306</v>
      </c>
      <c r="H7776" s="6" t="n">
        <f aca="false">Sens!G7776*(1+Sens!H7777)</f>
        <v>10.0139193587476</v>
      </c>
      <c r="I7776" s="6" t="n">
        <f aca="false">Sens!H7776*(1+Sens!I7777)</f>
        <v>10.6963111830911</v>
      </c>
      <c r="J7776" s="6" t="n">
        <f aca="false">Sens!I7776*(1+Sens!J7777)</f>
        <v>11.4351285534696</v>
      </c>
      <c r="K7776" s="6" t="n">
        <f aca="false">Sens!J7776*(1+Sens!K7777)</f>
        <v>12.2355875522124</v>
      </c>
    </row>
    <row r="7777" customFormat="false" ht="15" hidden="false" customHeight="false" outlineLevel="0" collapsed="false">
      <c r="A7777" s="1" t="s">
        <v>782</v>
      </c>
      <c r="B7777" s="0" t="s">
        <v>126</v>
      </c>
      <c r="E7777" s="7" t="n">
        <f aca="false">Sens!E7776/Sens!D7776-1</f>
        <v>0.0644329896907216</v>
      </c>
      <c r="F7777" s="7" t="n">
        <f aca="false">Sens!$E$7777+(glt_fro-Sens!$E$7777)*MIN(1,1/n_conv)</f>
        <v>0.065360824742268</v>
      </c>
      <c r="G7777" s="7" t="n">
        <f aca="false">Sens!$E$7777+(glt_fro-Sens!$E$7777)*MIN(1,2/n_conv)</f>
        <v>0.0662886597938144</v>
      </c>
      <c r="H7777" s="7" t="n">
        <f aca="false">Sens!$E$7777+(glt_fro-Sens!$E$7777)*MIN(1,3/n_conv)</f>
        <v>0.0672164948453608</v>
      </c>
      <c r="I7777" s="7" t="n">
        <f aca="false">Sens!$E$7777+(glt_fro-Sens!$E$7777)*MIN(1,4/n_conv)</f>
        <v>0.0681443298969072</v>
      </c>
      <c r="J7777" s="7" t="n">
        <f aca="false">Sens!$E$7777+(glt_fro-Sens!$E$7777)*MIN(1,5/n_conv)</f>
        <v>0.0690721649484536</v>
      </c>
      <c r="K7777" s="7" t="n">
        <f aca="false">Sens!$E$7777+(glt_fro-Sens!$E$7777)*MIN(1,6/n_conv)</f>
        <v>0.07</v>
      </c>
    </row>
    <row r="7778" customFormat="false" ht="15" hidden="false" customHeight="false" outlineLevel="0" collapsed="false">
      <c r="A7778" s="0" t="s">
        <v>626</v>
      </c>
      <c r="B7778" s="0" t="s">
        <v>95</v>
      </c>
      <c r="D7778" s="6" t="n">
        <f aca="false">Sens!D7766+Sens!D7771+Sens!D7772+Sens!D7774+Sens!D7776</f>
        <v>218.783</v>
      </c>
      <c r="E7778" s="6" t="n">
        <f aca="false">Sens!E7766+Sens!E7771+Sens!E7772+Sens!E7774+Sens!E7776</f>
        <v>268.127</v>
      </c>
      <c r="F7778" s="6" t="n">
        <f aca="false">Sens!F7766+Sens!F7771+Sens!F7772+Sens!F7774+Sens!F7776</f>
        <v>328.363433064856</v>
      </c>
      <c r="G7778" s="6" t="n">
        <f aca="false">Sens!G7766+Sens!G7771+Sens!G7772+Sens!G7774+Sens!G7776</f>
        <v>389.269865673274</v>
      </c>
      <c r="H7778" s="6" t="n">
        <f aca="false">Sens!H7766+Sens!H7771+Sens!H7772+Sens!H7774+Sens!H7776</f>
        <v>445.756320871193</v>
      </c>
      <c r="I7778" s="6" t="n">
        <f aca="false">Sens!I7766+Sens!I7771+Sens!I7772+Sens!I7774+Sens!I7776</f>
        <v>507.913725227984</v>
      </c>
      <c r="J7778" s="6" t="n">
        <f aca="false">Sens!J7766+Sens!J7771+Sens!J7772+Sens!J7774+Sens!J7776</f>
        <v>567.216533091392</v>
      </c>
      <c r="K7778" s="6" t="n">
        <f aca="false">Sens!K7766+Sens!K7771+Sens!K7772+Sens!K7774+Sens!K7776</f>
        <v>623.027603978669</v>
      </c>
    </row>
    <row r="7779" customFormat="false" ht="15" hidden="false" customHeight="false" outlineLevel="0" collapsed="false">
      <c r="A7779" s="0" t="s">
        <v>792</v>
      </c>
      <c r="B7779" s="0" t="s">
        <v>95</v>
      </c>
      <c r="D7779" s="6" t="n">
        <f aca="false">Q!L13</f>
        <v>22.171</v>
      </c>
      <c r="E7779" s="6" t="n">
        <f aca="false">Q!M13</f>
        <v>24.835</v>
      </c>
      <c r="F7779" s="6" t="n">
        <f aca="false">Sens!E7779*(1+Sens!F7780)</f>
        <v>27.4873151218559</v>
      </c>
      <c r="G7779" s="6" t="n">
        <f aca="false">Sens!F7779*(1+Sens!G7780)</f>
        <v>30.0556741721455</v>
      </c>
      <c r="H7779" s="6" t="n">
        <f aca="false">Sens!G7779*(1+Sens!H7780)</f>
        <v>32.4624869022303</v>
      </c>
      <c r="I7779" s="6" t="n">
        <f aca="false">Sens!H7779*(1+Sens!I7780)</f>
        <v>34.6283511524715</v>
      </c>
      <c r="J7779" s="6" t="n">
        <f aca="false">Sens!I7779*(1+Sens!J7780)</f>
        <v>36.476102435307</v>
      </c>
      <c r="K7779" s="6" t="n">
        <f aca="false">Sens!J7779*(1+Sens!K7780)</f>
        <v>37.9351465327193</v>
      </c>
    </row>
    <row r="7780" customFormat="false" ht="15" hidden="false" customHeight="false" outlineLevel="0" collapsed="false">
      <c r="A7780" s="1" t="s">
        <v>782</v>
      </c>
      <c r="B7780" s="0" t="s">
        <v>126</v>
      </c>
      <c r="E7780" s="7" t="n">
        <f aca="false">Sens!E7779/Sens!D7779-1</f>
        <v>0.120156961796942</v>
      </c>
      <c r="F7780" s="7" t="n">
        <f aca="false">Sens!$E$7780+(glt_srch_lo-Sens!$E$7780)*MIN(1,1/n_conv)</f>
        <v>0.106797468164118</v>
      </c>
      <c r="G7780" s="7" t="n">
        <f aca="false">Sens!$E$7780+(glt_srch_lo-Sens!$E$7780)*MIN(1,2/n_conv)</f>
        <v>0.0934379745312947</v>
      </c>
      <c r="H7780" s="7" t="n">
        <f aca="false">Sens!$E$7780+(glt_srch_lo-Sens!$E$7780)*MIN(1,3/n_conv)</f>
        <v>0.080078480898471</v>
      </c>
      <c r="I7780" s="7" t="n">
        <f aca="false">Sens!$E$7780+(glt_srch_lo-Sens!$E$7780)*MIN(1,4/n_conv)</f>
        <v>0.0667189872656473</v>
      </c>
      <c r="J7780" s="7" t="n">
        <f aca="false">Sens!$E$7780+(glt_srch_lo-Sens!$E$7780)*MIN(1,5/n_conv)</f>
        <v>0.0533594936328237</v>
      </c>
      <c r="K7780" s="7" t="n">
        <f aca="false">Sens!$E$7780+(glt_srch_lo-Sens!$E$7780)*MIN(1,6/n_conv)</f>
        <v>0.04</v>
      </c>
    </row>
    <row r="7781" customFormat="false" ht="15" hidden="false" customHeight="false" outlineLevel="0" collapsed="false">
      <c r="A7781" s="0" t="s">
        <v>793</v>
      </c>
      <c r="B7781" s="0" t="s">
        <v>95</v>
      </c>
      <c r="D7781" s="6" t="n">
        <f aca="false">Q!L14</f>
        <v>23.455</v>
      </c>
      <c r="E7781" s="6" t="n">
        <f aca="false">Q!M14</f>
        <v>21.79</v>
      </c>
      <c r="F7781" s="6" t="n">
        <f aca="false">Sens!E7781*(1+Sens!F7782)</f>
        <v>20.5736277908051</v>
      </c>
      <c r="G7781" s="6" t="n">
        <f aca="false">Sens!F7781*(1+Sens!G7782)</f>
        <v>19.7371452817919</v>
      </c>
      <c r="H7781" s="6" t="n">
        <f aca="false">Sens!G7781*(1+Sens!H7782)</f>
        <v>19.2339764043138</v>
      </c>
      <c r="I7781" s="6" t="n">
        <f aca="false">Sens!H7781*(1+Sens!I7782)</f>
        <v>19.0353086852681</v>
      </c>
      <c r="J7781" s="6" t="n">
        <f aca="false">Sens!I7781*(1+Sens!J7782)</f>
        <v>19.1273539319129</v>
      </c>
      <c r="K7781" s="6" t="n">
        <f aca="false">Sens!J7781*(1+Sens!K7782)</f>
        <v>19.5099010105511</v>
      </c>
    </row>
    <row r="7782" customFormat="false" ht="15" hidden="false" customHeight="false" outlineLevel="0" collapsed="false">
      <c r="A7782" s="1" t="s">
        <v>782</v>
      </c>
      <c r="B7782" s="0" t="s">
        <v>126</v>
      </c>
      <c r="E7782" s="7" t="n">
        <f aca="false">Sens!E7781/Sens!D7781-1</f>
        <v>-0.0709869963760392</v>
      </c>
      <c r="F7782" s="7" t="n">
        <f aca="false">Sens!$E$7782+(glt_xbox-Sens!$E$7782)*MIN(1,1/n_conv)</f>
        <v>-0.0558224969800327</v>
      </c>
      <c r="G7782" s="7" t="n">
        <f aca="false">Sens!$E$7782+(glt_xbox-Sens!$E$7782)*MIN(1,2/n_conv)</f>
        <v>-0.0406579975840262</v>
      </c>
      <c r="H7782" s="7" t="n">
        <f aca="false">Sens!$E$7782+(glt_xbox-Sens!$E$7782)*MIN(1,3/n_conv)</f>
        <v>-0.0254934981880196</v>
      </c>
      <c r="I7782" s="7" t="n">
        <f aca="false">Sens!$E$7782+(glt_xbox-Sens!$E$7782)*MIN(1,4/n_conv)</f>
        <v>-0.0103289987920131</v>
      </c>
      <c r="J7782" s="7" t="n">
        <f aca="false">Sens!$E$7782+(glt_xbox-Sens!$E$7782)*MIN(1,5/n_conv)</f>
        <v>0.00483550060399347</v>
      </c>
      <c r="K7782" s="7" t="n">
        <f aca="false">Sens!$E$7782+(glt_xbox-Sens!$E$7782)*MIN(1,6/n_conv)</f>
        <v>0.02</v>
      </c>
    </row>
    <row r="7783" customFormat="false" ht="15" hidden="false" customHeight="false" outlineLevel="0" collapsed="false">
      <c r="A7783" s="0" t="s">
        <v>794</v>
      </c>
      <c r="B7783" s="0" t="s">
        <v>95</v>
      </c>
      <c r="D7783" s="6" t="n">
        <f aca="false">Q!L15</f>
        <v>17.315</v>
      </c>
      <c r="E7783" s="6" t="n">
        <f aca="false">Q!M15</f>
        <v>17.087</v>
      </c>
      <c r="F7783" s="6" t="n">
        <f aca="false">Sens!E7783*(1+Sens!F7784)</f>
        <v>16.9564585436519</v>
      </c>
      <c r="G7783" s="6" t="n">
        <f aca="false">Sens!F7783*(1+Sens!G7784)</f>
        <v>16.9206490624268</v>
      </c>
      <c r="H7783" s="6" t="n">
        <f aca="false">Sens!G7783*(1+Sens!H7784)</f>
        <v>16.9784519149849</v>
      </c>
      <c r="I7783" s="6" t="n">
        <f aca="false">Sens!H7783*(1+Sens!I7784)</f>
        <v>17.1303084701817</v>
      </c>
      <c r="J7783" s="6" t="n">
        <f aca="false">Sens!I7783*(1+Sens!J7784)</f>
        <v>17.3782189407267</v>
      </c>
      <c r="K7783" s="6" t="n">
        <f aca="false">Sens!J7783*(1+Sens!K7784)</f>
        <v>17.7257833195413</v>
      </c>
    </row>
    <row r="7784" customFormat="false" ht="15" hidden="false" customHeight="false" outlineLevel="0" collapsed="false">
      <c r="A7784" s="1" t="s">
        <v>782</v>
      </c>
      <c r="B7784" s="0" t="s">
        <v>126</v>
      </c>
      <c r="E7784" s="7" t="n">
        <f aca="false">Sens!E7783/Sens!D7783-1</f>
        <v>-0.0131677736066995</v>
      </c>
      <c r="F7784" s="7" t="n">
        <f aca="false">Sens!$E$7784+(glt_win-Sens!$E$7784)*MIN(1,1/n_conv)</f>
        <v>-0.00763981133891627</v>
      </c>
      <c r="G7784" s="7" t="n">
        <f aca="false">Sens!$E$7784+(glt_win-Sens!$E$7784)*MIN(1,2/n_conv)</f>
        <v>-0.00211184907113301</v>
      </c>
      <c r="H7784" s="7" t="n">
        <f aca="false">Sens!$E$7784+(glt_win-Sens!$E$7784)*MIN(1,3/n_conv)</f>
        <v>0.00341611319665024</v>
      </c>
      <c r="I7784" s="7" t="n">
        <f aca="false">Sens!$E$7784+(glt_win-Sens!$E$7784)*MIN(1,4/n_conv)</f>
        <v>0.00894407546443349</v>
      </c>
      <c r="J7784" s="7" t="n">
        <f aca="false">Sens!$E$7784+(glt_win-Sens!$E$7784)*MIN(1,5/n_conv)</f>
        <v>0.0144720377322168</v>
      </c>
      <c r="K7784" s="7" t="n">
        <f aca="false">Sens!$E$7784+(glt_win-Sens!$E$7784)*MIN(1,6/n_conv)</f>
        <v>0.02</v>
      </c>
    </row>
    <row r="7785" customFormat="false" ht="15" hidden="false" customHeight="false" outlineLevel="0" collapsed="false">
      <c r="A7785" s="0" t="s">
        <v>640</v>
      </c>
      <c r="B7785" s="0" t="s">
        <v>95</v>
      </c>
      <c r="D7785" s="6" t="n">
        <f aca="false">Sens!D7779+Sens!D7781+Sens!D7783</f>
        <v>62.941</v>
      </c>
      <c r="E7785" s="6" t="n">
        <f aca="false">Sens!E7779+Sens!E7781+Sens!E7783</f>
        <v>63.712</v>
      </c>
      <c r="F7785" s="6" t="n">
        <f aca="false">Sens!F7779+Sens!F7781+Sens!F7783</f>
        <v>65.0174014563129</v>
      </c>
      <c r="G7785" s="6" t="n">
        <f aca="false">Sens!G7779+Sens!G7781+Sens!G7783</f>
        <v>66.7134685163642</v>
      </c>
      <c r="H7785" s="6" t="n">
        <f aca="false">Sens!H7779+Sens!H7781+Sens!H7783</f>
        <v>68.6749152215291</v>
      </c>
      <c r="I7785" s="6" t="n">
        <f aca="false">Sens!I7779+Sens!I7781+Sens!I7783</f>
        <v>70.7939683079213</v>
      </c>
      <c r="J7785" s="6" t="n">
        <f aca="false">Sens!J7779+Sens!J7781+Sens!J7783</f>
        <v>72.9816753079466</v>
      </c>
      <c r="K7785" s="6" t="n">
        <f aca="false">Sens!K7779+Sens!K7781+Sens!K7783</f>
        <v>75.1708308628117</v>
      </c>
    </row>
    <row r="7786" customFormat="false" ht="15" hidden="false" customHeight="false" outlineLevel="0" collapsed="false">
      <c r="A7786" s="1" t="s">
        <v>795</v>
      </c>
      <c r="B7786" s="0" t="s">
        <v>95</v>
      </c>
      <c r="D7786" s="6" t="n">
        <f aca="false">Sens!D7778+Sens!D7785</f>
        <v>281.724</v>
      </c>
      <c r="E7786" s="6" t="n">
        <f aca="false">Sens!E7778+Sens!E7785</f>
        <v>331.839</v>
      </c>
      <c r="F7786" s="6" t="n">
        <f aca="false">Sens!F7778+Sens!F7785</f>
        <v>393.380834521169</v>
      </c>
      <c r="G7786" s="6" t="n">
        <f aca="false">Sens!G7778+Sens!G7785</f>
        <v>455.983334189638</v>
      </c>
      <c r="H7786" s="6" t="n">
        <f aca="false">Sens!H7778+Sens!H7785</f>
        <v>514.431236092722</v>
      </c>
      <c r="I7786" s="6" t="n">
        <f aca="false">Sens!I7778+Sens!I7785</f>
        <v>578.707693535906</v>
      </c>
      <c r="J7786" s="6" t="n">
        <f aca="false">Sens!J7778+Sens!J7785</f>
        <v>640.198208399339</v>
      </c>
      <c r="K7786" s="6" t="n">
        <f aca="false">Sens!K7778+Sens!K7785</f>
        <v>698.198434841481</v>
      </c>
    </row>
    <row r="7787" customFormat="false" ht="15" hidden="false" customHeight="false" outlineLevel="0" collapsed="false">
      <c r="A7787" s="22" t="s">
        <v>796</v>
      </c>
      <c r="B7787" s="28" t="s">
        <v>95</v>
      </c>
      <c r="C7787" s="28"/>
      <c r="D7787" s="23" t="n">
        <f aca="false">(Sens!D7766+Sens!D7771+Sens!D7772+Sens!D7774+Sens!D7776-Sens!D7778)+(Sens!D7779+Sens!D7781+Sens!D7783-Sens!D7785)+(Sens!D7778-Q!L5)+(Sens!D7785-Q!L12)+(Sens!D7766-Q!L6)+(Sens!D7771-Q!L7)</f>
        <v>0</v>
      </c>
      <c r="E7787" s="23" t="n">
        <f aca="false">(Sens!E7766+Sens!E7771+Sens!E7772+Sens!E7774+Sens!E7776-Sens!E7778)+(Sens!E7779+Sens!E7781+Sens!E7783-Sens!E7785)+(Sens!E7778-Q!M5)+(Sens!E7785-Q!M12)+(Sens!E7766-Q!M6)+(Sens!E7771-Q!M7)</f>
        <v>0</v>
      </c>
      <c r="F7787" s="23" t="n">
        <f aca="false">(Sens!F7766+Sens!F7771+Sens!F7772+Sens!F7774+Sens!F7776-Sens!F7778)+(Sens!F7779+Sens!F7781+Sens!F7783-Sens!F7785)</f>
        <v>0</v>
      </c>
      <c r="G7787" s="23" t="n">
        <f aca="false">(Sens!G7766+Sens!G7771+Sens!G7772+Sens!G7774+Sens!G7776-Sens!G7778)+(Sens!G7779+Sens!G7781+Sens!G7783-Sens!G7785)</f>
        <v>0</v>
      </c>
      <c r="H7787" s="23" t="n">
        <f aca="false">(Sens!H7766+Sens!H7771+Sens!H7772+Sens!H7774+Sens!H7776-Sens!H7778)+(Sens!H7779+Sens!H7781+Sens!H7783-Sens!H7785)</f>
        <v>0</v>
      </c>
      <c r="I7787" s="23" t="n">
        <f aca="false">(Sens!I7766+Sens!I7771+Sens!I7772+Sens!I7774+Sens!I7776-Sens!I7778)+(Sens!I7779+Sens!I7781+Sens!I7783-Sens!I7785)</f>
        <v>0</v>
      </c>
      <c r="J7787" s="23" t="n">
        <f aca="false">(Sens!J7766+Sens!J7771+Sens!J7772+Sens!J7774+Sens!J7776-Sens!J7778)+(Sens!J7779+Sens!J7781+Sens!J7783-Sens!J7785)</f>
        <v>0</v>
      </c>
      <c r="K7787" s="23" t="n">
        <f aca="false">(Sens!K7766+Sens!K7771+Sens!K7772+Sens!K7774+Sens!K7776-Sens!K7778)+(Sens!K7779+Sens!K7781+Sens!K7783-Sens!K7785)</f>
        <v>0</v>
      </c>
    </row>
    <row r="7788" customFormat="false" ht="17.15" hidden="false" customHeight="false" outlineLevel="0" collapsed="false">
      <c r="A7788" s="3" t="s">
        <v>1336</v>
      </c>
    </row>
    <row r="7789" customFormat="false" ht="15" hidden="false" customHeight="false" outlineLevel="0" collapsed="false">
      <c r="A7789" s="4" t="s">
        <v>43</v>
      </c>
      <c r="B7789" s="4" t="s">
        <v>63</v>
      </c>
      <c r="C7789" s="19" t="s">
        <v>710</v>
      </c>
      <c r="D7789" s="19" t="s">
        <v>711</v>
      </c>
      <c r="E7789" s="19" t="s">
        <v>712</v>
      </c>
      <c r="F7789" s="19" t="s">
        <v>713</v>
      </c>
      <c r="G7789" s="19" t="s">
        <v>714</v>
      </c>
      <c r="H7789" s="19" t="s">
        <v>715</v>
      </c>
      <c r="I7789" s="19" t="s">
        <v>716</v>
      </c>
      <c r="J7789" s="19" t="s">
        <v>717</v>
      </c>
      <c r="K7789" s="19" t="s">
        <v>718</v>
      </c>
      <c r="L7789" s="4" t="s">
        <v>47</v>
      </c>
    </row>
    <row r="7790" customFormat="false" ht="15" hidden="false" customHeight="false" outlineLevel="0" collapsed="false">
      <c r="A7790" s="0" t="s">
        <v>783</v>
      </c>
      <c r="B7790" s="0" t="s">
        <v>95</v>
      </c>
      <c r="D7790" s="6" t="n">
        <f aca="false">Sens!D7766</f>
        <v>72.61</v>
      </c>
      <c r="E7790" s="6" t="n">
        <f aca="false">Sens!E7766</f>
        <v>101.938</v>
      </c>
      <c r="F7790" s="6" t="n">
        <f aca="false">Sens!F7766</f>
        <v>140.741861125673</v>
      </c>
      <c r="G7790" s="6" t="n">
        <f aca="false">Sens!G7766</f>
        <v>182.176709135845</v>
      </c>
      <c r="H7790" s="6" t="n">
        <f aca="false">Sens!H7766</f>
        <v>219.167638189678</v>
      </c>
      <c r="I7790" s="6" t="n">
        <f aca="false">Sens!I7766</f>
        <v>262.852370248498</v>
      </c>
      <c r="J7790" s="6" t="n">
        <f aca="false">Sens!J7766</f>
        <v>305.025635987223</v>
      </c>
      <c r="K7790" s="6" t="n">
        <f aca="false">Sens!K7766</f>
        <v>344.633534638493</v>
      </c>
    </row>
    <row r="7791" customFormat="false" ht="17.15" hidden="false" customHeight="false" outlineLevel="0" collapsed="false">
      <c r="A7791" s="0" t="s">
        <v>780</v>
      </c>
      <c r="B7791" s="0" t="s">
        <v>95</v>
      </c>
      <c r="D7791" s="6" t="n">
        <f aca="false">Sens!D7763</f>
        <v>12.9359794422418</v>
      </c>
      <c r="E7791" s="6" t="n">
        <f aca="false">Sens!E7763</f>
        <v>27.8095064661409</v>
      </c>
      <c r="F7791" s="6" t="n">
        <f aca="false">Sens!F7763</f>
        <v>50.6619113883066</v>
      </c>
      <c r="G7791" s="6" t="n">
        <f aca="false">Sens!G7763</f>
        <v>75.1482839325348</v>
      </c>
      <c r="H7791" s="6" t="n">
        <f aca="false">Sens!H7763</f>
        <v>94.895655604042</v>
      </c>
      <c r="I7791" s="6" t="n">
        <f aca="false">Sens!I7763</f>
        <v>121.918667866643</v>
      </c>
      <c r="J7791" s="6" t="n">
        <f aca="false">Sens!J7763</f>
        <v>149.006768672892</v>
      </c>
      <c r="K7791" s="6" t="n">
        <f aca="false">Sens!K7763</f>
        <v>176.133157939015</v>
      </c>
    </row>
    <row r="7792" customFormat="false" ht="17.15" hidden="false" customHeight="false" outlineLevel="0" collapsed="false">
      <c r="A7792" s="0" t="s">
        <v>807</v>
      </c>
      <c r="B7792" s="0" t="s">
        <v>95</v>
      </c>
      <c r="D7792" s="6" t="n">
        <f aca="false">Sens!D7764</f>
        <v>59.6740205577583</v>
      </c>
      <c r="E7792" s="6" t="n">
        <f aca="false">Sens!E7764</f>
        <v>74.1284935338591</v>
      </c>
      <c r="F7792" s="6" t="n">
        <f aca="false">Sens!F7764</f>
        <v>90.0799497373663</v>
      </c>
      <c r="G7792" s="6" t="n">
        <f aca="false">Sens!G7764</f>
        <v>107.02842520331</v>
      </c>
      <c r="H7792" s="6" t="n">
        <f aca="false">Sens!H7764</f>
        <v>124.271982585636</v>
      </c>
      <c r="I7792" s="6" t="n">
        <f aca="false">Sens!I7764</f>
        <v>140.933702381855</v>
      </c>
      <c r="J7792" s="6" t="n">
        <f aca="false">Sens!J7764</f>
        <v>156.018867314332</v>
      </c>
      <c r="K7792" s="6" t="n">
        <f aca="false">Sens!K7764</f>
        <v>168.500376699478</v>
      </c>
    </row>
    <row r="7793" customFormat="false" ht="15" hidden="false" customHeight="false" outlineLevel="0" collapsed="false">
      <c r="A7793" s="0" t="s">
        <v>788</v>
      </c>
      <c r="B7793" s="0" t="s">
        <v>95</v>
      </c>
      <c r="D7793" s="6" t="n">
        <f aca="false">Sens!D7771</f>
        <v>84.605</v>
      </c>
      <c r="E7793" s="6" t="n">
        <f aca="false">Sens!E7771</f>
        <v>100.299</v>
      </c>
      <c r="F7793" s="6" t="n">
        <f aca="false">Sens!F7771</f>
        <v>117.39238776686</v>
      </c>
      <c r="G7793" s="6" t="n">
        <f aca="false">Sens!G7771</f>
        <v>132.544168448684</v>
      </c>
      <c r="H7793" s="6" t="n">
        <f aca="false">Sens!H7771</f>
        <v>147.777359388781</v>
      </c>
      <c r="I7793" s="6" t="n">
        <f aca="false">Sens!I7771</f>
        <v>162.084028071957</v>
      </c>
      <c r="J7793" s="6" t="n">
        <f aca="false">Sens!J7771</f>
        <v>175.182702785465</v>
      </c>
      <c r="K7793" s="6" t="n">
        <f aca="false">Sens!K7771</f>
        <v>187.527991980448</v>
      </c>
    </row>
    <row r="7794" customFormat="false" ht="17.15" hidden="false" customHeight="false" outlineLevel="0" collapsed="false">
      <c r="A7794" s="0" t="s">
        <v>808</v>
      </c>
      <c r="B7794" s="0" t="s">
        <v>95</v>
      </c>
      <c r="D7794" s="6" t="n">
        <f aca="false">Sens!D7769</f>
        <v>83.705</v>
      </c>
      <c r="E7794" s="6" t="n">
        <f aca="false">Sens!E7769</f>
        <v>95.049</v>
      </c>
      <c r="F7794" s="6" t="n">
        <f aca="false">Sens!F7769</f>
        <v>106.89238776686</v>
      </c>
      <c r="G7794" s="6" t="n">
        <f aca="false">Sens!G7769</f>
        <v>119.044168448684</v>
      </c>
      <c r="H7794" s="6" t="n">
        <f aca="false">Sens!H7769</f>
        <v>131.277359388781</v>
      </c>
      <c r="I7794" s="6" t="n">
        <f aca="false">Sens!I7769</f>
        <v>143.334028071957</v>
      </c>
      <c r="J7794" s="6" t="n">
        <f aca="false">Sens!J7769</f>
        <v>154.932702785465</v>
      </c>
      <c r="K7794" s="6" t="n">
        <f aca="false">Sens!K7769</f>
        <v>165.777991980448</v>
      </c>
    </row>
    <row r="7795" customFormat="false" ht="17.15" hidden="false" customHeight="false" outlineLevel="0" collapsed="false">
      <c r="A7795" s="0" t="s">
        <v>809</v>
      </c>
      <c r="B7795" s="0" t="s">
        <v>95</v>
      </c>
      <c r="D7795" s="6" t="n">
        <f aca="false">Sens!D7768</f>
        <v>0.9</v>
      </c>
      <c r="E7795" s="6" t="n">
        <f aca="false">Sens!E7768</f>
        <v>5.25</v>
      </c>
      <c r="F7795" s="6" t="n">
        <f aca="false">Sens!F7768</f>
        <v>10.5</v>
      </c>
      <c r="G7795" s="6" t="n">
        <f aca="false">Sens!G7768</f>
        <v>13.5</v>
      </c>
      <c r="H7795" s="6" t="n">
        <f aca="false">Sens!H7768</f>
        <v>16.5</v>
      </c>
      <c r="I7795" s="6" t="n">
        <f aca="false">Sens!I7768</f>
        <v>18.75</v>
      </c>
      <c r="J7795" s="6" t="n">
        <f aca="false">Sens!J7768</f>
        <v>20.25</v>
      </c>
      <c r="K7795" s="6" t="n">
        <f aca="false">Sens!K7768</f>
        <v>21.75</v>
      </c>
    </row>
    <row r="7796" customFormat="false" ht="15" hidden="false" customHeight="false" outlineLevel="0" collapsed="false">
      <c r="A7796" s="0" t="s">
        <v>789</v>
      </c>
      <c r="B7796" s="0" t="s">
        <v>95</v>
      </c>
      <c r="D7796" s="6" t="n">
        <f aca="false">Sens!D7772</f>
        <v>35.391</v>
      </c>
      <c r="E7796" s="6" t="n">
        <f aca="false">Sens!E7772</f>
        <v>37.285</v>
      </c>
      <c r="F7796" s="6" t="n">
        <f aca="false">Sens!F7772</f>
        <v>39.0720834331704</v>
      </c>
      <c r="G7796" s="6" t="n">
        <f aca="false">Sens!G7772</f>
        <v>40.726562953769</v>
      </c>
      <c r="H7796" s="6" t="n">
        <f aca="false">Sens!H7772</f>
        <v>42.2235987259198</v>
      </c>
      <c r="I7796" s="6" t="n">
        <f aca="false">Sens!I7772</f>
        <v>43.5397988077414</v>
      </c>
      <c r="J7796" s="6" t="n">
        <f aca="false">Sens!J7772</f>
        <v>44.653811225693</v>
      </c>
      <c r="K7796" s="6" t="n">
        <f aca="false">Sens!K7772</f>
        <v>45.5468874502068</v>
      </c>
    </row>
    <row r="7797" customFormat="false" ht="15" hidden="false" customHeight="false" outlineLevel="0" collapsed="false">
      <c r="A7797" s="0" t="s">
        <v>790</v>
      </c>
      <c r="B7797" s="0" t="s">
        <v>95</v>
      </c>
      <c r="D7797" s="6" t="n">
        <f aca="false">Sens!D7774</f>
        <v>18.417</v>
      </c>
      <c r="E7797" s="6" t="n">
        <f aca="false">Sens!E7774</f>
        <v>20.345</v>
      </c>
      <c r="F7797" s="6" t="n">
        <f aca="false">Sens!F7774</f>
        <v>22.3572203267814</v>
      </c>
      <c r="G7797" s="6" t="n">
        <f aca="false">Sens!G7774</f>
        <v>24.4392124437232</v>
      </c>
      <c r="H7797" s="6" t="n">
        <f aca="false">Sens!H7774</f>
        <v>26.5738052080665</v>
      </c>
      <c r="I7797" s="6" t="n">
        <f aca="false">Sens!I7774</f>
        <v>28.7412169166967</v>
      </c>
      <c r="J7797" s="6" t="n">
        <f aca="false">Sens!J7774</f>
        <v>30.9192545395413</v>
      </c>
      <c r="K7797" s="6" t="n">
        <f aca="false">Sens!K7774</f>
        <v>33.0836023573092</v>
      </c>
    </row>
    <row r="7798" customFormat="false" ht="15" hidden="false" customHeight="false" outlineLevel="0" collapsed="false">
      <c r="A7798" s="0" t="s">
        <v>791</v>
      </c>
      <c r="B7798" s="0" t="s">
        <v>95</v>
      </c>
      <c r="D7798" s="6" t="n">
        <f aca="false">Sens!D7776</f>
        <v>7.76</v>
      </c>
      <c r="E7798" s="6" t="n">
        <f aca="false">Sens!E7776</f>
        <v>8.26</v>
      </c>
      <c r="F7798" s="6" t="n">
        <f aca="false">Sens!F7776</f>
        <v>8.79988041237113</v>
      </c>
      <c r="G7798" s="6" t="n">
        <f aca="false">Sens!G7776</f>
        <v>9.38321269125306</v>
      </c>
      <c r="H7798" s="6" t="n">
        <f aca="false">Sens!H7776</f>
        <v>10.0139193587476</v>
      </c>
      <c r="I7798" s="6" t="n">
        <f aca="false">Sens!I7776</f>
        <v>10.6963111830911</v>
      </c>
      <c r="J7798" s="6" t="n">
        <f aca="false">Sens!J7776</f>
        <v>11.4351285534696</v>
      </c>
      <c r="K7798" s="6" t="n">
        <f aca="false">Sens!K7776</f>
        <v>12.2355875522124</v>
      </c>
    </row>
    <row r="7799" customFormat="false" ht="15" hidden="false" customHeight="false" outlineLevel="0" collapsed="false">
      <c r="A7799" s="0" t="s">
        <v>626</v>
      </c>
      <c r="B7799" s="0" t="s">
        <v>95</v>
      </c>
      <c r="D7799" s="6" t="n">
        <f aca="false">Sens!D7778</f>
        <v>218.783</v>
      </c>
      <c r="E7799" s="6" t="n">
        <f aca="false">Sens!E7778</f>
        <v>268.127</v>
      </c>
      <c r="F7799" s="6" t="n">
        <f aca="false">Sens!F7778</f>
        <v>328.363433064856</v>
      </c>
      <c r="G7799" s="6" t="n">
        <f aca="false">Sens!G7778</f>
        <v>389.269865673274</v>
      </c>
      <c r="H7799" s="6" t="n">
        <f aca="false">Sens!H7778</f>
        <v>445.756320871193</v>
      </c>
      <c r="I7799" s="6" t="n">
        <f aca="false">Sens!I7778</f>
        <v>507.913725227984</v>
      </c>
      <c r="J7799" s="6" t="n">
        <f aca="false">Sens!J7778</f>
        <v>567.216533091392</v>
      </c>
      <c r="K7799" s="6" t="n">
        <f aca="false">Sens!K7778</f>
        <v>623.027603978669</v>
      </c>
    </row>
    <row r="7800" customFormat="false" ht="15" hidden="false" customHeight="false" outlineLevel="0" collapsed="false">
      <c r="A7800" s="0" t="s">
        <v>792</v>
      </c>
      <c r="B7800" s="0" t="s">
        <v>95</v>
      </c>
      <c r="D7800" s="6" t="n">
        <f aca="false">Sens!D7779</f>
        <v>22.171</v>
      </c>
      <c r="E7800" s="6" t="n">
        <f aca="false">Sens!E7779</f>
        <v>24.835</v>
      </c>
      <c r="F7800" s="6" t="n">
        <f aca="false">Sens!F7779</f>
        <v>27.4873151218559</v>
      </c>
      <c r="G7800" s="6" t="n">
        <f aca="false">Sens!G7779</f>
        <v>30.0556741721455</v>
      </c>
      <c r="H7800" s="6" t="n">
        <f aca="false">Sens!H7779</f>
        <v>32.4624869022303</v>
      </c>
      <c r="I7800" s="6" t="n">
        <f aca="false">Sens!I7779</f>
        <v>34.6283511524715</v>
      </c>
      <c r="J7800" s="6" t="n">
        <f aca="false">Sens!J7779</f>
        <v>36.476102435307</v>
      </c>
      <c r="K7800" s="6" t="n">
        <f aca="false">Sens!K7779</f>
        <v>37.9351465327193</v>
      </c>
    </row>
    <row r="7801" customFormat="false" ht="15" hidden="false" customHeight="false" outlineLevel="0" collapsed="false">
      <c r="A7801" s="0" t="s">
        <v>793</v>
      </c>
      <c r="B7801" s="0" t="s">
        <v>95</v>
      </c>
      <c r="D7801" s="6" t="n">
        <f aca="false">Sens!D7781</f>
        <v>23.455</v>
      </c>
      <c r="E7801" s="6" t="n">
        <f aca="false">Sens!E7781</f>
        <v>21.79</v>
      </c>
      <c r="F7801" s="6" t="n">
        <f aca="false">Sens!F7781</f>
        <v>20.5736277908051</v>
      </c>
      <c r="G7801" s="6" t="n">
        <f aca="false">Sens!G7781</f>
        <v>19.7371452817919</v>
      </c>
      <c r="H7801" s="6" t="n">
        <f aca="false">Sens!H7781</f>
        <v>19.2339764043138</v>
      </c>
      <c r="I7801" s="6" t="n">
        <f aca="false">Sens!I7781</f>
        <v>19.0353086852681</v>
      </c>
      <c r="J7801" s="6" t="n">
        <f aca="false">Sens!J7781</f>
        <v>19.1273539319129</v>
      </c>
      <c r="K7801" s="6" t="n">
        <f aca="false">Sens!K7781</f>
        <v>19.5099010105511</v>
      </c>
    </row>
    <row r="7802" customFormat="false" ht="15" hidden="false" customHeight="false" outlineLevel="0" collapsed="false">
      <c r="A7802" s="0" t="s">
        <v>794</v>
      </c>
      <c r="B7802" s="0" t="s">
        <v>95</v>
      </c>
      <c r="D7802" s="6" t="n">
        <f aca="false">Sens!D7783</f>
        <v>17.315</v>
      </c>
      <c r="E7802" s="6" t="n">
        <f aca="false">Sens!E7783</f>
        <v>17.087</v>
      </c>
      <c r="F7802" s="6" t="n">
        <f aca="false">Sens!F7783</f>
        <v>16.9564585436519</v>
      </c>
      <c r="G7802" s="6" t="n">
        <f aca="false">Sens!G7783</f>
        <v>16.9206490624268</v>
      </c>
      <c r="H7802" s="6" t="n">
        <f aca="false">Sens!H7783</f>
        <v>16.9784519149849</v>
      </c>
      <c r="I7802" s="6" t="n">
        <f aca="false">Sens!I7783</f>
        <v>17.1303084701817</v>
      </c>
      <c r="J7802" s="6" t="n">
        <f aca="false">Sens!J7783</f>
        <v>17.3782189407267</v>
      </c>
      <c r="K7802" s="6" t="n">
        <f aca="false">Sens!K7783</f>
        <v>17.7257833195413</v>
      </c>
    </row>
    <row r="7803" customFormat="false" ht="15" hidden="false" customHeight="false" outlineLevel="0" collapsed="false">
      <c r="A7803" s="0" t="s">
        <v>640</v>
      </c>
      <c r="B7803" s="0" t="s">
        <v>95</v>
      </c>
      <c r="D7803" s="6" t="n">
        <f aca="false">Sens!D7785</f>
        <v>62.941</v>
      </c>
      <c r="E7803" s="6" t="n">
        <f aca="false">Sens!E7785</f>
        <v>63.712</v>
      </c>
      <c r="F7803" s="6" t="n">
        <f aca="false">Sens!F7785</f>
        <v>65.0174014563129</v>
      </c>
      <c r="G7803" s="6" t="n">
        <f aca="false">Sens!G7785</f>
        <v>66.7134685163642</v>
      </c>
      <c r="H7803" s="6" t="n">
        <f aca="false">Sens!H7785</f>
        <v>68.6749152215291</v>
      </c>
      <c r="I7803" s="6" t="n">
        <f aca="false">Sens!I7785</f>
        <v>70.7939683079213</v>
      </c>
      <c r="J7803" s="6" t="n">
        <f aca="false">Sens!J7785</f>
        <v>72.9816753079466</v>
      </c>
      <c r="K7803" s="6" t="n">
        <f aca="false">Sens!K7785</f>
        <v>75.1708308628117</v>
      </c>
    </row>
    <row r="7804" customFormat="false" ht="15" hidden="false" customHeight="false" outlineLevel="0" collapsed="false">
      <c r="A7804" s="1" t="s">
        <v>810</v>
      </c>
      <c r="B7804" s="0" t="s">
        <v>95</v>
      </c>
      <c r="D7804" s="6" t="n">
        <f aca="false">Sens!D7786</f>
        <v>281.724</v>
      </c>
      <c r="E7804" s="6" t="n">
        <f aca="false">Sens!E7786</f>
        <v>331.839</v>
      </c>
      <c r="F7804" s="6" t="n">
        <f aca="false">Sens!F7786</f>
        <v>393.380834521169</v>
      </c>
      <c r="G7804" s="6" t="n">
        <f aca="false">Sens!G7786</f>
        <v>455.983334189638</v>
      </c>
      <c r="H7804" s="6" t="n">
        <f aca="false">Sens!H7786</f>
        <v>514.431236092722</v>
      </c>
      <c r="I7804" s="6" t="n">
        <f aca="false">Sens!I7786</f>
        <v>578.707693535906</v>
      </c>
      <c r="J7804" s="6" t="n">
        <f aca="false">Sens!J7786</f>
        <v>640.198208399339</v>
      </c>
      <c r="K7804" s="6" t="n">
        <f aca="false">Sens!K7786</f>
        <v>698.198434841481</v>
      </c>
    </row>
    <row r="7805" customFormat="false" ht="15" hidden="false" customHeight="false" outlineLevel="0" collapsed="false">
      <c r="A7805" s="1" t="s">
        <v>811</v>
      </c>
      <c r="B7805" s="0" t="s">
        <v>126</v>
      </c>
      <c r="E7805" s="7" t="n">
        <f aca="false">Sens!E7804/Sens!D7804-1</f>
        <v>0.177886867998467</v>
      </c>
      <c r="F7805" s="7" t="n">
        <f aca="false">Sens!F7804/Sens!E7804-1</f>
        <v>0.185456906877036</v>
      </c>
      <c r="G7805" s="7" t="n">
        <f aca="false">Sens!G7804/Sens!F7804-1</f>
        <v>0.159139678842439</v>
      </c>
      <c r="H7805" s="7" t="n">
        <f aca="false">Sens!H7804/Sens!G7804-1</f>
        <v>0.128179908169136</v>
      </c>
      <c r="I7805" s="7" t="n">
        <f aca="false">Sens!I7804/Sens!H7804-1</f>
        <v>0.124946645797376</v>
      </c>
      <c r="J7805" s="7" t="n">
        <f aca="false">Sens!J7804/Sens!I7804-1</f>
        <v>0.106254877117196</v>
      </c>
      <c r="K7805" s="7" t="n">
        <f aca="false">Sens!K7804/Sens!J7804-1</f>
        <v>0.0905972957768151</v>
      </c>
    </row>
    <row r="7806" customFormat="false" ht="17.15" hidden="false" customHeight="false" outlineLevel="0" collapsed="false">
      <c r="A7806" s="22" t="s">
        <v>812</v>
      </c>
      <c r="B7806" s="28" t="s">
        <v>95</v>
      </c>
      <c r="C7806" s="28"/>
      <c r="D7806" s="23" t="n">
        <f aca="false">(Sens!D7799+Sens!D7803-Sens!D7804)+(Sens!D7791+Sens!D7792-Sens!D7790)+(Sens!D7794+Sens!D7795-Sens!D7793)+(Sens!D7804-Q!L18)</f>
        <v>0</v>
      </c>
      <c r="E7806" s="23" t="n">
        <f aca="false">(Sens!E7799+Sens!E7803-Sens!E7804)+(Sens!E7791+Sens!E7792-Sens!E7790)+(Sens!E7794+Sens!E7795-Sens!E7793)+(Sens!E7804-Q!M18)</f>
        <v>0</v>
      </c>
      <c r="F7806" s="23" t="n">
        <f aca="false">(Sens!F7799+Sens!F7803-Sens!F7804)+(Sens!F7791+Sens!F7792-Sens!F7790)+(Sens!F7794+Sens!F7795-Sens!F7793)</f>
        <v>0</v>
      </c>
      <c r="G7806" s="23" t="n">
        <f aca="false">(Sens!G7799+Sens!G7803-Sens!G7804)+(Sens!G7791+Sens!G7792-Sens!G7790)+(Sens!G7794+Sens!G7795-Sens!G7793)</f>
        <v>0</v>
      </c>
      <c r="H7806" s="23" t="n">
        <f aca="false">(Sens!H7799+Sens!H7803-Sens!H7804)+(Sens!H7791+Sens!H7792-Sens!H7790)+(Sens!H7794+Sens!H7795-Sens!H7793)</f>
        <v>0</v>
      </c>
      <c r="I7806" s="23" t="n">
        <f aca="false">(Sens!I7799+Sens!I7803-Sens!I7804)+(Sens!I7791+Sens!I7792-Sens!I7790)+(Sens!I7794+Sens!I7795-Sens!I7793)</f>
        <v>0</v>
      </c>
      <c r="J7806" s="23" t="n">
        <f aca="false">(Sens!J7799+Sens!J7803-Sens!J7804)+(Sens!J7791+Sens!J7792-Sens!J7790)+(Sens!J7794+Sens!J7795-Sens!J7793)</f>
        <v>0</v>
      </c>
      <c r="K7806" s="23" t="n">
        <f aca="false">(Sens!K7799+Sens!K7803-Sens!K7804)+(Sens!K7791+Sens!K7792-Sens!K7790)+(Sens!K7794+Sens!K7795-Sens!K7793)</f>
        <v>0</v>
      </c>
    </row>
    <row r="7807" customFormat="false" ht="17.15" hidden="false" customHeight="false" outlineLevel="0" collapsed="false">
      <c r="A7807" s="0" t="s">
        <v>813</v>
      </c>
      <c r="B7807" s="0" t="s">
        <v>126</v>
      </c>
      <c r="E7807" s="7" t="n">
        <f aca="false">(Q!M21+Sens!E7744+Sens!E7745+Sens!E7746+Sens!E7759-Sens!E7742)/(Q!M5-Sens!E7742)</f>
        <v>0.570957350878296</v>
      </c>
      <c r="F7807" s="7" t="n">
        <f aca="false">Sens!$E$7807+dm_seg</f>
        <v>0.570957350878296</v>
      </c>
      <c r="G7807" s="7" t="n">
        <f aca="false">Sens!$E$7807+dm_seg</f>
        <v>0.570957350878296</v>
      </c>
      <c r="H7807" s="7" t="n">
        <f aca="false">Sens!$E$7807+dm_seg</f>
        <v>0.570957350878296</v>
      </c>
      <c r="I7807" s="7" t="n">
        <f aca="false">Sens!$E$7807+dm_seg</f>
        <v>0.570957350878296</v>
      </c>
      <c r="J7807" s="7" t="n">
        <f aca="false">Sens!$E$7807+dm_seg</f>
        <v>0.570957350878296</v>
      </c>
      <c r="K7807" s="7" t="n">
        <f aca="false">Sens!$E$7807+dm_seg</f>
        <v>0.570957350878296</v>
      </c>
      <c r="L7807" s="11" t="s">
        <v>814</v>
      </c>
    </row>
    <row r="7808" customFormat="false" ht="17.15" hidden="false" customHeight="false" outlineLevel="0" collapsed="false">
      <c r="A7808" s="0" t="s">
        <v>654</v>
      </c>
      <c r="B7808" s="0" t="s">
        <v>95</v>
      </c>
      <c r="D7808" s="6" t="n">
        <f aca="false">Q!L21</f>
        <v>110.814</v>
      </c>
      <c r="E7808" s="6" t="n">
        <f aca="false">Q!M21</f>
        <v>136.365</v>
      </c>
      <c r="F7808" s="6" t="n">
        <f aca="false">Sens!F7807*(Sens!F7778-Sens!F7742)+Sens!F7742-(Sens!F7744+Sens!F7745+Sens!F7746)-Sens!F7759</f>
        <v>152.326276874143</v>
      </c>
      <c r="G7808" s="6" t="n">
        <f aca="false">Sens!G7807*(Sens!G7778-Sens!G7742)+Sens!G7742-(Sens!G7744+Sens!G7745+Sens!G7746)-Sens!G7759</f>
        <v>160.282503234508</v>
      </c>
      <c r="H7808" s="6" t="n">
        <f aca="false">Sens!H7807*(Sens!H7778-Sens!H7742)+Sens!H7742-(Sens!H7744+Sens!H7745+Sens!H7746)-Sens!H7759</f>
        <v>162.57374365754</v>
      </c>
      <c r="I7808" s="6" t="n">
        <f aca="false">Sens!I7807*(Sens!I7778-Sens!I7742)+Sens!I7742-(Sens!I7744+Sens!I7745+Sens!I7746)-Sens!I7759</f>
        <v>170.174313173475</v>
      </c>
      <c r="J7808" s="6" t="n">
        <f aca="false">Sens!J7807*(Sens!J7778-Sens!J7742)+Sens!J7742-(Sens!J7744+Sens!J7745+Sens!J7746)-Sens!J7759</f>
        <v>175.184614973323</v>
      </c>
      <c r="K7808" s="6" t="n">
        <f aca="false">Sens!K7807*(Sens!K7778-Sens!K7742)+Sens!K7742-(Sens!K7744+Sens!K7745+Sens!K7746)-Sens!K7759</f>
        <v>176.920685972177</v>
      </c>
      <c r="L7808" s="1" t="s">
        <v>815</v>
      </c>
    </row>
    <row r="7809" customFormat="false" ht="17.15" hidden="false" customHeight="false" outlineLevel="0" collapsed="false">
      <c r="A7809" s="0" t="s">
        <v>816</v>
      </c>
      <c r="B7809" s="0" t="s">
        <v>126</v>
      </c>
      <c r="E7809" s="7" t="n">
        <f aca="false">Q!M22/Q!M12</f>
        <v>0.296207935710698</v>
      </c>
      <c r="F7809" s="7" t="n">
        <f aca="false">Sens!$E$7809+dm_seg</f>
        <v>0.296207935710698</v>
      </c>
      <c r="G7809" s="7" t="n">
        <f aca="false">Sens!$E$7809+dm_seg</f>
        <v>0.296207935710698</v>
      </c>
      <c r="H7809" s="7" t="n">
        <f aca="false">Sens!$E$7809+dm_seg</f>
        <v>0.296207935710698</v>
      </c>
      <c r="I7809" s="7" t="n">
        <f aca="false">Sens!$E$7809+dm_seg</f>
        <v>0.296207935710698</v>
      </c>
      <c r="J7809" s="7" t="n">
        <f aca="false">Sens!$E$7809+dm_seg</f>
        <v>0.296207935710698</v>
      </c>
      <c r="K7809" s="7" t="n">
        <f aca="false">Sens!$E$7809+dm_seg</f>
        <v>0.296207935710698</v>
      </c>
      <c r="L7809" s="11" t="s">
        <v>817</v>
      </c>
    </row>
    <row r="7810" customFormat="false" ht="17.15" hidden="false" customHeight="false" outlineLevel="0" collapsed="false">
      <c r="A7810" s="0" t="s">
        <v>656</v>
      </c>
      <c r="B7810" s="0" t="s">
        <v>95</v>
      </c>
      <c r="D7810" s="6" t="n">
        <f aca="false">Q!L22</f>
        <v>17.714</v>
      </c>
      <c r="E7810" s="6" t="n">
        <f aca="false">Q!M22</f>
        <v>18.872</v>
      </c>
      <c r="F7810" s="6" t="n">
        <f aca="false">Sens!F7785*Sens!F7809</f>
        <v>19.2586702706482</v>
      </c>
      <c r="G7810" s="6" t="n">
        <f aca="false">Sens!G7785*Sens!G7809</f>
        <v>19.7610587933329</v>
      </c>
      <c r="H7810" s="6" t="n">
        <f aca="false">Sens!H7785*Sens!H7809</f>
        <v>20.3420548728763</v>
      </c>
      <c r="I7810" s="6" t="n">
        <f aca="false">Sens!I7785*Sens!I7809</f>
        <v>20.969735213258</v>
      </c>
      <c r="J7810" s="6" t="n">
        <f aca="false">Sens!J7785*Sens!J7809</f>
        <v>21.6177513876753</v>
      </c>
      <c r="K7810" s="6" t="n">
        <f aca="false">Sens!K7785*Sens!K7809</f>
        <v>22.2661966355315</v>
      </c>
    </row>
    <row r="7811" customFormat="false" ht="15" hidden="false" customHeight="false" outlineLevel="0" collapsed="false">
      <c r="A7811" s="1" t="s">
        <v>818</v>
      </c>
      <c r="B7811" s="0" t="s">
        <v>95</v>
      </c>
      <c r="D7811" s="6" t="n">
        <f aca="false">Sens!D7808+Sens!D7810</f>
        <v>128.528</v>
      </c>
      <c r="E7811" s="6" t="n">
        <f aca="false">Sens!E7808+Sens!E7810</f>
        <v>155.237</v>
      </c>
      <c r="F7811" s="6" t="n">
        <f aca="false">Sens!F7808+Sens!F7810</f>
        <v>171.584947144791</v>
      </c>
      <c r="G7811" s="6" t="n">
        <f aca="false">Sens!G7808+Sens!G7810</f>
        <v>180.043562027841</v>
      </c>
      <c r="H7811" s="6" t="n">
        <f aca="false">Sens!H7808+Sens!H7810</f>
        <v>182.915798530416</v>
      </c>
      <c r="I7811" s="6" t="n">
        <f aca="false">Sens!I7808+Sens!I7810</f>
        <v>191.144048386733</v>
      </c>
      <c r="J7811" s="6" t="n">
        <f aca="false">Sens!J7808+Sens!J7810</f>
        <v>196.802366360998</v>
      </c>
      <c r="K7811" s="6" t="n">
        <f aca="false">Sens!K7808+Sens!K7810</f>
        <v>199.186882607708</v>
      </c>
    </row>
    <row r="7812" customFormat="false" ht="15" hidden="false" customHeight="false" outlineLevel="0" collapsed="false">
      <c r="A7812" s="22" t="s">
        <v>819</v>
      </c>
      <c r="B7812" s="28" t="s">
        <v>95</v>
      </c>
      <c r="C7812" s="28"/>
      <c r="D7812" s="23" t="n">
        <f aca="false">Sens!D7811-Q!L23</f>
        <v>0</v>
      </c>
      <c r="E7812" s="23" t="n">
        <f aca="false">Sens!E7811-Q!M23</f>
        <v>0</v>
      </c>
      <c r="F7812" s="28"/>
      <c r="G7812" s="28"/>
      <c r="H7812" s="28"/>
      <c r="I7812" s="28"/>
      <c r="J7812" s="28"/>
      <c r="K7812" s="28"/>
    </row>
    <row r="7813" customFormat="false" ht="15" hidden="false" customHeight="false" outlineLevel="0" collapsed="false">
      <c r="A7813" s="1" t="s">
        <v>820</v>
      </c>
      <c r="B7813" s="0" t="s">
        <v>126</v>
      </c>
      <c r="D7813" s="7" t="n">
        <f aca="false">Sens!D7811/Sens!D7804</f>
        <v>0.456219562408598</v>
      </c>
      <c r="E7813" s="7" t="n">
        <f aca="false">Sens!E7811/Sens!E7804</f>
        <v>0.467808184089272</v>
      </c>
      <c r="F7813" s="7" t="n">
        <f aca="false">Sens!F7811/Sens!F7804</f>
        <v>0.436180240843833</v>
      </c>
      <c r="G7813" s="7" t="n">
        <f aca="false">Sens!G7811/Sens!G7804</f>
        <v>0.394846803661827</v>
      </c>
      <c r="H7813" s="7" t="n">
        <f aca="false">Sens!H7811/Sens!H7804</f>
        <v>0.355568996781228</v>
      </c>
      <c r="I7813" s="7" t="n">
        <f aca="false">Sens!I7811/Sens!I7804</f>
        <v>0.330294638418996</v>
      </c>
      <c r="J7813" s="7" t="n">
        <f aca="false">Sens!J7811/Sens!J7804</f>
        <v>0.307408492837015</v>
      </c>
      <c r="K7813" s="7" t="n">
        <f aca="false">Sens!K7811/Sens!K7804</f>
        <v>0.285286922267209</v>
      </c>
    </row>
    <row r="7814" customFormat="false" ht="17.15" hidden="false" customHeight="false" outlineLevel="0" collapsed="false">
      <c r="A7814" s="1" t="s">
        <v>821</v>
      </c>
      <c r="B7814" s="0" t="s">
        <v>95</v>
      </c>
      <c r="E7814" s="6" t="n">
        <f aca="false">Sens!E7759</f>
        <v>16.3054059770833</v>
      </c>
      <c r="F7814" s="6" t="n">
        <f aca="false">Sens!F7759</f>
        <v>34.7538632892031</v>
      </c>
      <c r="G7814" s="6" t="n">
        <f aca="false">Sens!G7759</f>
        <v>60.5333889270063</v>
      </c>
      <c r="H7814" s="6" t="n">
        <f aca="false">Sens!H7759</f>
        <v>87.7689716598063</v>
      </c>
      <c r="I7814" s="6" t="n">
        <f aca="false">Sens!I7759</f>
        <v>116.02383740779</v>
      </c>
      <c r="J7814" s="6" t="n">
        <f aca="false">Sens!J7759</f>
        <v>145.25093362494</v>
      </c>
      <c r="K7814" s="6" t="n">
        <f aca="false">Sens!K7759</f>
        <v>175.765578301256</v>
      </c>
    </row>
    <row r="7815" customFormat="false" ht="17.15" hidden="false" customHeight="false" outlineLevel="0" collapsed="false">
      <c r="A7815" s="1" t="s">
        <v>822</v>
      </c>
      <c r="B7815" s="0" t="s">
        <v>95</v>
      </c>
      <c r="E7815" s="6" t="n">
        <f aca="false">Sens!E7835</f>
        <v>22.2285940229167</v>
      </c>
      <c r="F7815" s="6" t="n">
        <f aca="false">Sens!F7835</f>
        <v>23.5476759435813</v>
      </c>
      <c r="G7815" s="6" t="n">
        <f aca="false">Sens!G7835</f>
        <v>25.2599025657684</v>
      </c>
      <c r="H7815" s="6" t="n">
        <f aca="false">Sens!H7835</f>
        <v>27.3328485552537</v>
      </c>
      <c r="I7815" s="6" t="n">
        <f aca="false">Sens!I7835</f>
        <v>29.7088689268856</v>
      </c>
      <c r="J7815" s="6" t="n">
        <f aca="false">Sens!J7835</f>
        <v>32.3125914843551</v>
      </c>
      <c r="K7815" s="6" t="n">
        <f aca="false">Sens!K7835</f>
        <v>35.0594977394137</v>
      </c>
    </row>
    <row r="7816" customFormat="false" ht="17.15" hidden="false" customHeight="false" outlineLevel="0" collapsed="false">
      <c r="A7816" s="1" t="s">
        <v>823</v>
      </c>
      <c r="B7816" s="0" t="s">
        <v>95</v>
      </c>
      <c r="D7816" s="6" t="n">
        <f aca="false">Q!L27</f>
        <v>-4.901</v>
      </c>
      <c r="E7816" s="6" t="n">
        <f aca="false">Q!M27</f>
        <v>10.697</v>
      </c>
      <c r="F7816" s="6" t="n">
        <f aca="false">oie_f</f>
        <v>-0.4</v>
      </c>
      <c r="G7816" s="6" t="n">
        <f aca="false">oie_f</f>
        <v>-0.4</v>
      </c>
      <c r="H7816" s="6" t="n">
        <f aca="false">oie_f</f>
        <v>-0.4</v>
      </c>
      <c r="I7816" s="6" t="n">
        <f aca="false">oie_f</f>
        <v>-0.4</v>
      </c>
      <c r="J7816" s="6" t="n">
        <f aca="false">oie_f</f>
        <v>-0.4</v>
      </c>
      <c r="K7816" s="6" t="n">
        <f aca="false">oie_f</f>
        <v>-0.4</v>
      </c>
      <c r="L7816" s="11" t="s">
        <v>824</v>
      </c>
    </row>
    <row r="7817" customFormat="false" ht="15" hidden="false" customHeight="false" outlineLevel="0" collapsed="false">
      <c r="A7817" s="1" t="s">
        <v>666</v>
      </c>
      <c r="B7817" s="0" t="s">
        <v>95</v>
      </c>
      <c r="D7817" s="6" t="n">
        <f aca="false">Sens!D7811+Sens!D7816</f>
        <v>123.627</v>
      </c>
      <c r="E7817" s="6" t="n">
        <f aca="false">Sens!E7811+Sens!E7816</f>
        <v>165.934</v>
      </c>
      <c r="F7817" s="6" t="n">
        <f aca="false">Sens!F7811+Sens!F7816</f>
        <v>171.184947144791</v>
      </c>
      <c r="G7817" s="6" t="n">
        <f aca="false">Sens!G7811+Sens!G7816</f>
        <v>179.643562027841</v>
      </c>
      <c r="H7817" s="6" t="n">
        <f aca="false">Sens!H7811+Sens!H7816</f>
        <v>182.515798530416</v>
      </c>
      <c r="I7817" s="6" t="n">
        <f aca="false">Sens!I7811+Sens!I7816</f>
        <v>190.744048386733</v>
      </c>
      <c r="J7817" s="6" t="n">
        <f aca="false">Sens!J7811+Sens!J7816</f>
        <v>196.402366360998</v>
      </c>
      <c r="K7817" s="6" t="n">
        <f aca="false">Sens!K7811+Sens!K7816</f>
        <v>198.786882607708</v>
      </c>
    </row>
    <row r="7818" customFormat="false" ht="15" hidden="false" customHeight="false" outlineLevel="0" collapsed="false">
      <c r="A7818" s="1" t="s">
        <v>668</v>
      </c>
      <c r="B7818" s="0" t="s">
        <v>95</v>
      </c>
      <c r="D7818" s="6" t="n">
        <f aca="false">Q!L29</f>
        <v>21.795</v>
      </c>
      <c r="E7818" s="6" t="n">
        <f aca="false">Q!M29</f>
        <v>32.185</v>
      </c>
      <c r="F7818" s="6" t="n">
        <f aca="false">Sens!F7817*tax_f</f>
        <v>34.2369894289583</v>
      </c>
      <c r="G7818" s="6" t="n">
        <f aca="false">Sens!G7817*tax_f</f>
        <v>35.9287124055682</v>
      </c>
      <c r="H7818" s="6" t="n">
        <f aca="false">Sens!H7817*tax_f</f>
        <v>36.5031597060833</v>
      </c>
      <c r="I7818" s="6" t="n">
        <f aca="false">Sens!I7817*tax_f</f>
        <v>38.1488096773466</v>
      </c>
      <c r="J7818" s="6" t="n">
        <f aca="false">Sens!J7817*tax_f</f>
        <v>39.2804732721996</v>
      </c>
      <c r="K7818" s="6" t="n">
        <f aca="false">Sens!K7817*tax_f</f>
        <v>39.7573765215417</v>
      </c>
    </row>
    <row r="7819" customFormat="false" ht="15" hidden="false" customHeight="false" outlineLevel="0" collapsed="false">
      <c r="A7819" s="1" t="s">
        <v>825</v>
      </c>
      <c r="B7819" s="0" t="s">
        <v>95</v>
      </c>
      <c r="D7819" s="6" t="n">
        <f aca="false">Sens!D7817-Sens!D7818</f>
        <v>101.832</v>
      </c>
      <c r="E7819" s="6" t="n">
        <f aca="false">Sens!E7817-Sens!E7818</f>
        <v>133.749</v>
      </c>
      <c r="F7819" s="6" t="n">
        <f aca="false">Sens!F7817-Sens!F7818</f>
        <v>136.947957715833</v>
      </c>
      <c r="G7819" s="6" t="n">
        <f aca="false">Sens!G7817-Sens!G7818</f>
        <v>143.714849622273</v>
      </c>
      <c r="H7819" s="6" t="n">
        <f aca="false">Sens!H7817-Sens!H7818</f>
        <v>146.012638824333</v>
      </c>
      <c r="I7819" s="6" t="n">
        <f aca="false">Sens!I7817-Sens!I7818</f>
        <v>152.595238709386</v>
      </c>
      <c r="J7819" s="6" t="n">
        <f aca="false">Sens!J7817-Sens!J7818</f>
        <v>157.121893088799</v>
      </c>
      <c r="K7819" s="6" t="n">
        <f aca="false">Sens!K7817-Sens!K7818</f>
        <v>159.029506086167</v>
      </c>
    </row>
    <row r="7820" customFormat="false" ht="17.15" hidden="false" customHeight="false" outlineLevel="0" collapsed="false">
      <c r="A7820" s="1" t="s">
        <v>826</v>
      </c>
      <c r="B7820" s="1" t="s">
        <v>79</v>
      </c>
      <c r="D7820" s="18" t="n">
        <f aca="false">Q!L31</f>
        <v>7.465</v>
      </c>
      <c r="E7820" s="18" t="n">
        <f aca="false">Q!M31</f>
        <v>7.453</v>
      </c>
      <c r="F7820" s="18" t="n">
        <f aca="false">Sens!F7857</f>
        <v>7.4735</v>
      </c>
      <c r="G7820" s="18" t="n">
        <f aca="false">Sens!G7857</f>
        <v>7.5185</v>
      </c>
      <c r="H7820" s="18" t="n">
        <f aca="false">Sens!H7857</f>
        <v>7.55849698495589</v>
      </c>
      <c r="I7820" s="18" t="n">
        <f aca="false">Sens!I7857</f>
        <v>7.59149501699676</v>
      </c>
      <c r="J7820" s="18" t="n">
        <f aca="false">Sens!J7857</f>
        <v>7.61470832904226</v>
      </c>
      <c r="K7820" s="18" t="n">
        <f aca="false">Sens!K7857</f>
        <v>7.63745734342108</v>
      </c>
    </row>
    <row r="7821" customFormat="false" ht="17.15" hidden="false" customHeight="false" outlineLevel="0" collapsed="false">
      <c r="A7821" s="0" t="s">
        <v>827</v>
      </c>
      <c r="B7821" s="0" t="s">
        <v>73</v>
      </c>
      <c r="D7821" s="8" t="n">
        <f aca="false">Sens!D7819/Sens!D7820</f>
        <v>13.641259209645</v>
      </c>
      <c r="E7821" s="8" t="n">
        <f aca="false">Sens!E7819/Sens!E7820</f>
        <v>17.9456594659869</v>
      </c>
      <c r="F7821" s="8" t="n">
        <f aca="false">Sens!F7819/Sens!F7820</f>
        <v>18.3244741708481</v>
      </c>
      <c r="G7821" s="8" t="n">
        <f aca="false">Sens!G7819/Sens!G7820</f>
        <v>19.1148300355487</v>
      </c>
      <c r="H7821" s="8" t="n">
        <f aca="false">Sens!H7819/Sens!H7820</f>
        <v>19.3176816918695</v>
      </c>
      <c r="I7821" s="8" t="n">
        <f aca="false">Sens!I7819/Sens!I7820</f>
        <v>20.1008152370169</v>
      </c>
      <c r="J7821" s="8" t="n">
        <f aca="false">Sens!J7819/Sens!J7820</f>
        <v>20.6340001874452</v>
      </c>
      <c r="K7821" s="8" t="n">
        <f aca="false">Sens!K7819/Sens!K7820</f>
        <v>20.8223102186168</v>
      </c>
      <c r="L7821" s="1" t="s">
        <v>828</v>
      </c>
    </row>
    <row r="7822" customFormat="false" ht="17.15" hidden="false" customHeight="false" outlineLevel="0" collapsed="false">
      <c r="A7822" s="0" t="s">
        <v>829</v>
      </c>
      <c r="B7822" s="0" t="s">
        <v>126</v>
      </c>
      <c r="E7822" s="7" t="n">
        <f aca="false">Sens!E7821/Sens!D7821-1</f>
        <v>0.315542736208578</v>
      </c>
      <c r="F7822" s="7" t="n">
        <f aca="false">Sens!F7821/Sens!E7821-1</f>
        <v>0.0211089876958386</v>
      </c>
      <c r="G7822" s="7" t="n">
        <f aca="false">Sens!G7821/Sens!F7821-1</f>
        <v>0.0431311620367245</v>
      </c>
      <c r="H7822" s="7" t="n">
        <f aca="false">Sens!H7821/Sens!G7821-1</f>
        <v>0.0106122657613765</v>
      </c>
      <c r="I7822" s="7" t="n">
        <f aca="false">Sens!I7821/Sens!H7821-1</f>
        <v>0.0405397271597565</v>
      </c>
      <c r="J7822" s="7" t="n">
        <f aca="false">Sens!J7821/Sens!I7821-1</f>
        <v>0.0265255385983751</v>
      </c>
      <c r="K7822" s="7" t="n">
        <f aca="false">Sens!K7821/Sens!J7821-1</f>
        <v>0.0091262009043771</v>
      </c>
    </row>
    <row r="7823" customFormat="false" ht="17.15" hidden="false" customHeight="false" outlineLevel="0" collapsed="false">
      <c r="A7823" s="0" t="s">
        <v>763</v>
      </c>
      <c r="B7823" s="0" t="s">
        <v>95</v>
      </c>
      <c r="E7823" s="6" t="n">
        <f aca="false">Sens!E7768</f>
        <v>5.25</v>
      </c>
      <c r="F7823" s="6" t="n">
        <f aca="false">Sens!F7768</f>
        <v>10.5</v>
      </c>
      <c r="G7823" s="6" t="n">
        <f aca="false">Sens!G7768</f>
        <v>13.5</v>
      </c>
      <c r="H7823" s="6" t="n">
        <f aca="false">Sens!H7768</f>
        <v>16.5</v>
      </c>
      <c r="I7823" s="6" t="n">
        <f aca="false">Sens!I7768</f>
        <v>18.75</v>
      </c>
      <c r="J7823" s="6" t="n">
        <f aca="false">Sens!J7768</f>
        <v>20.25</v>
      </c>
      <c r="K7823" s="6" t="n">
        <f aca="false">Sens!K7768</f>
        <v>21.75</v>
      </c>
    </row>
    <row r="7824" customFormat="false" ht="17.15" hidden="false" customHeight="false" outlineLevel="0" collapsed="false">
      <c r="A7824" s="0" t="s">
        <v>764</v>
      </c>
      <c r="B7824" s="0" t="s">
        <v>95</v>
      </c>
      <c r="E7824" s="6" t="n">
        <f aca="false">Sens!E7748+Sens!E7823*Sens!E7807-Sens!E7749-Sens!E7759</f>
        <v>2.1514866143068</v>
      </c>
      <c r="F7824" s="6" t="n">
        <f aca="false">Sens!F7748+Sens!F7823*Sens!F7807-Sens!F7749-Sens!F7759</f>
        <v>-0.234396092948856</v>
      </c>
      <c r="G7824" s="6" t="n">
        <f aca="false">Sens!G7748+Sens!G7823*Sens!G7807-Sens!G7749-Sens!G7759</f>
        <v>-11.3595986930273</v>
      </c>
      <c r="H7824" s="6" t="n">
        <f aca="false">Sens!H7748+Sens!H7823*Sens!H7807-Sens!H7749-Sens!H7759</f>
        <v>-28.3319360212973</v>
      </c>
      <c r="I7824" s="6" t="n">
        <f aca="false">Sens!I7748+Sens!I7823*Sens!I7807-Sens!I7749-Sens!I7759</f>
        <v>-39.5069519007041</v>
      </c>
      <c r="J7824" s="6" t="n">
        <f aca="false">Sens!J7748+Sens!J7823*Sens!J7807-Sens!J7749-Sens!J7759</f>
        <v>-52.033437875215</v>
      </c>
      <c r="K7824" s="6" t="n">
        <f aca="false">Sens!K7748+Sens!K7823*Sens!K7807-Sens!K7749-Sens!K7759</f>
        <v>-65.8186606792449</v>
      </c>
    </row>
    <row r="7825" customFormat="false" ht="17.15" hidden="false" customHeight="false" outlineLevel="0" collapsed="false">
      <c r="A7825" s="0" t="s">
        <v>765</v>
      </c>
      <c r="B7825" s="0" t="s">
        <v>95</v>
      </c>
      <c r="E7825" s="6" t="n">
        <f aca="false">Sens!E7731*(cxit_open+self_build*tk_cxfac)/1000*ai_net_open</f>
        <v>126.6980382</v>
      </c>
      <c r="F7825" s="6" t="n">
        <f aca="false">Sens!E7825+Sens!F7756-Sens!F7759</f>
        <v>260.724761681234</v>
      </c>
      <c r="G7825" s="6" t="n">
        <f aca="false">Sens!F7825+Sens!G7756-Sens!G7759</f>
        <v>383.765553237428</v>
      </c>
      <c r="H7825" s="6" t="n">
        <f aca="false">Sens!G7825+Sens!H7756-Sens!H7759</f>
        <v>484.076867488022</v>
      </c>
      <c r="I7825" s="6" t="n">
        <f aca="false">Sens!H7825+Sens!I7756-Sens!I7759</f>
        <v>586.391991337299</v>
      </c>
      <c r="J7825" s="6" t="n">
        <f aca="false">Sens!I7825+Sens!J7756-Sens!J7759</f>
        <v>674.918118636093</v>
      </c>
      <c r="K7825" s="6" t="n">
        <f aca="false">Sens!J7825+Sens!K7756-Sens!K7759</f>
        <v>778.008852285237</v>
      </c>
      <c r="L7825" s="1" t="s">
        <v>766</v>
      </c>
    </row>
    <row r="7826" customFormat="false" ht="17.15" hidden="false" customHeight="false" outlineLevel="0" collapsed="false">
      <c r="A7826" s="0" t="s">
        <v>767</v>
      </c>
      <c r="B7826" s="0" t="s">
        <v>126</v>
      </c>
      <c r="F7826" s="7" t="n">
        <f aca="false">Sens!F7824*(1-tax_f)/((Sens!E7825+Sens!F7825)/2)</f>
        <v>-0.000968021884187346</v>
      </c>
      <c r="G7826" s="7" t="n">
        <f aca="false">Sens!G7824*(1-tax_f)/((Sens!F7825+Sens!G7825)/2)</f>
        <v>-0.0282011342732706</v>
      </c>
      <c r="H7826" s="7" t="n">
        <f aca="false">Sens!H7824*(1-tax_f)/((Sens!G7825+Sens!H7825)/2)</f>
        <v>-0.052234249618937</v>
      </c>
      <c r="I7826" s="7" t="n">
        <f aca="false">Sens!I7824*(1-tax_f)/((Sens!H7825+Sens!I7825)/2)</f>
        <v>-0.0590499410795484</v>
      </c>
      <c r="J7826" s="7" t="n">
        <f aca="false">Sens!J7824*(1-tax_f)/((Sens!I7825+Sens!J7825)/2)</f>
        <v>-0.066005576219555</v>
      </c>
      <c r="K7826" s="7" t="n">
        <f aca="false">Sens!K7824*(1-tax_f)/((Sens!J7825+Sens!K7825)/2)</f>
        <v>-0.072481177095923</v>
      </c>
    </row>
    <row r="7827" customFormat="false" ht="17.15" hidden="false" customHeight="false" outlineLevel="0" collapsed="false">
      <c r="A7827" s="1" t="s">
        <v>768</v>
      </c>
      <c r="B7827" s="0" t="s">
        <v>126</v>
      </c>
      <c r="F7827" s="7" t="n">
        <f aca="false">Sens!F7760*(1-tax_f)/(Sens!F7747*(Sens!E7825+Sens!F7825)/2)</f>
        <v>0.0977745078047353</v>
      </c>
      <c r="G7827" s="7" t="n">
        <f aca="false">Sens!G7760*(1-tax_f)/(Sens!G7747*(Sens!F7825+Sens!G7825)/2)</f>
        <v>0.0659144689328397</v>
      </c>
      <c r="H7827" s="7" t="n">
        <f aca="false">Sens!H7760*(1-tax_f)/(Sens!H7747*(Sens!G7825+Sens!H7825)/2)</f>
        <v>0.038772897179791</v>
      </c>
      <c r="I7827" s="7" t="n">
        <f aca="false">Sens!I7760*(1-tax_f)/(Sens!I7747*(Sens!H7825+Sens!I7825)/2)</f>
        <v>0.0397375777348221</v>
      </c>
      <c r="J7827" s="7" t="n">
        <f aca="false">Sens!J7760*(1-tax_f)/(Sens!J7747*(Sens!I7825+Sens!J7825)/2)</f>
        <v>0.0396564953271794</v>
      </c>
      <c r="K7827" s="7" t="n">
        <f aca="false">Sens!K7760*(1-tax_f)/(Sens!K7747*(Sens!J7825+Sens!K7825)/2)</f>
        <v>0.0382175434018652</v>
      </c>
    </row>
    <row r="7828" customFormat="false" ht="17.15" hidden="false" customHeight="false" outlineLevel="0" collapsed="false">
      <c r="A7828" s="0" t="s">
        <v>769</v>
      </c>
      <c r="B7828" s="0" t="s">
        <v>208</v>
      </c>
      <c r="F7828" s="7" t="n">
        <f aca="false">Sens!F7826-wacc</f>
        <v>-0.109931243034441</v>
      </c>
      <c r="G7828" s="7" t="n">
        <f aca="false">Sens!G7826-wacc</f>
        <v>-0.137164355423525</v>
      </c>
      <c r="H7828" s="7" t="n">
        <f aca="false">Sens!H7826-wacc</f>
        <v>-0.161197470769191</v>
      </c>
      <c r="I7828" s="7" t="n">
        <f aca="false">Sens!I7826-wacc</f>
        <v>-0.168013162229802</v>
      </c>
      <c r="J7828" s="7" t="n">
        <f aca="false">Sens!J7826-wacc</f>
        <v>-0.174968797369809</v>
      </c>
      <c r="K7828" s="7" t="n">
        <f aca="false">Sens!K7826-wacc</f>
        <v>-0.181444398246177</v>
      </c>
    </row>
    <row r="7829" customFormat="false" ht="17.15" hidden="false" customHeight="false" outlineLevel="0" collapsed="false">
      <c r="A7829" s="0" t="s">
        <v>770</v>
      </c>
      <c r="B7829" s="0" t="s">
        <v>95</v>
      </c>
      <c r="F7829" s="6" t="n">
        <f aca="false">Sens!F7824*(1-tax_f)-wacc*(Sens!E7825+Sens!F7825)/2</f>
        <v>-21.2949349854139</v>
      </c>
      <c r="G7829" s="6" t="n">
        <f aca="false">Sens!G7824*(1-tax_f)-wacc*(Sens!F7825+Sens!G7825)/2</f>
        <v>-44.2005493112614</v>
      </c>
      <c r="H7829" s="6" t="n">
        <f aca="false">Sens!H7824*(1-tax_f)-wacc*(Sens!G7825+Sens!H7825)/2</f>
        <v>-69.9470016235773</v>
      </c>
      <c r="I7829" s="6" t="n">
        <f aca="false">Sens!I7824*(1-tax_f)-wacc*(Sens!H7825+Sens!I7825)/2</f>
        <v>-89.926429019885</v>
      </c>
      <c r="J7829" s="6" t="n">
        <f aca="false">Sens!J7824*(1-tax_f)-wacc*(Sens!I7825+Sens!J7825)/2</f>
        <v>-110.344956526213</v>
      </c>
      <c r="K7829" s="6" t="n">
        <f aca="false">Sens!K7824*(1-tax_f)-wacc*(Sens!J7825+Sens!K7825)/2</f>
        <v>-131.812729967231</v>
      </c>
    </row>
    <row r="7830" customFormat="false" ht="17.15" hidden="false" customHeight="false" outlineLevel="0" collapsed="false">
      <c r="A7830" s="1" t="s">
        <v>771</v>
      </c>
      <c r="B7830" s="0" t="s">
        <v>95</v>
      </c>
      <c r="F7830" s="6" t="n">
        <f aca="false">(Sens!E7732+Sens!F7732)/2*Sens!F7739/1000</f>
        <v>26.7873066765967</v>
      </c>
      <c r="G7830" s="6" t="n">
        <f aca="false">(Sens!F7732+Sens!G7732)/2*Sens!G7739/1000</f>
        <v>45.4131817597218</v>
      </c>
      <c r="H7830" s="6" t="n">
        <f aca="false">(Sens!G7732+Sens!H7732)/2*Sens!H7739/1000</f>
        <v>65.3915129357971</v>
      </c>
      <c r="I7830" s="6" t="n">
        <f aca="false">(Sens!H7732+Sens!I7732)/2*Sens!I7739/1000</f>
        <v>85.5187419289299</v>
      </c>
      <c r="J7830" s="6" t="n">
        <f aca="false">(Sens!I7732+Sens!J7732)/2*Sens!J7739/1000</f>
        <v>105.723807195006</v>
      </c>
      <c r="K7830" s="6" t="n">
        <f aca="false">(Sens!J7732+Sens!K7732)/2*Sens!K7739/1000</f>
        <v>125.974659797015</v>
      </c>
      <c r="L7830" s="1" t="s">
        <v>772</v>
      </c>
    </row>
    <row r="7831" customFormat="false" ht="17.15" hidden="false" customHeight="false" outlineLevel="0" collapsed="false">
      <c r="A7831" s="1" t="s">
        <v>773</v>
      </c>
      <c r="B7831" s="0" t="s">
        <v>126</v>
      </c>
      <c r="F7831" s="7" t="n">
        <f aca="false">(Sens!F7748+Sens!F7830-Sens!F7749-Sens!F7759)*(1-tax_f)/((Sens!E7825+Sens!F7825)/2)</f>
        <v>0.0849009749791817</v>
      </c>
      <c r="G7831" s="7" t="n">
        <f aca="false">(Sens!G7748+Sens!G7830-Sens!G7749-Sens!G7759)*(1-tax_f)/((Sens!F7825+Sens!G7825)/2)</f>
        <v>0.0654052561411413</v>
      </c>
      <c r="H7831" s="7" t="n">
        <f aca="false">(Sens!H7748+Sens!H7830-Sens!H7749-Sens!H7759)*(1-tax_f)/((Sens!G7825+Sens!H7825)/2)</f>
        <v>0.050956311818736</v>
      </c>
      <c r="I7831" s="7" t="n">
        <f aca="false">(Sens!I7748+Sens!I7830-Sens!I7749-Sens!I7759)*(1-tax_f)/((Sens!H7825+Sens!I7825)/2)</f>
        <v>0.0527714029727142</v>
      </c>
      <c r="J7831" s="7" t="n">
        <f aca="false">(Sens!J7748+Sens!J7830-Sens!J7749-Sens!J7759)*(1-tax_f)/((Sens!I7825+Sens!J7825)/2)</f>
        <v>0.0534409200483064</v>
      </c>
      <c r="K7831" s="7" t="n">
        <f aca="false">(Sens!K7748+Sens!K7830-Sens!K7749-Sens!K7759)*(1-tax_f)/((Sens!J7825+Sens!K7825)/2)</f>
        <v>0.0525699393751589</v>
      </c>
      <c r="L7831" s="1" t="s">
        <v>774</v>
      </c>
    </row>
    <row r="7832" customFormat="false" ht="17.15" hidden="false" customHeight="false" outlineLevel="0" collapsed="false">
      <c r="A7832" s="3" t="s">
        <v>1337</v>
      </c>
    </row>
    <row r="7833" customFormat="false" ht="15" hidden="false" customHeight="false" outlineLevel="0" collapsed="false">
      <c r="A7833" s="4" t="s">
        <v>43</v>
      </c>
      <c r="B7833" s="4" t="s">
        <v>63</v>
      </c>
      <c r="C7833" s="19" t="s">
        <v>710</v>
      </c>
      <c r="D7833" s="19" t="s">
        <v>711</v>
      </c>
      <c r="E7833" s="19" t="s">
        <v>712</v>
      </c>
      <c r="F7833" s="19" t="s">
        <v>713</v>
      </c>
      <c r="G7833" s="19" t="s">
        <v>714</v>
      </c>
      <c r="H7833" s="19" t="s">
        <v>715</v>
      </c>
      <c r="I7833" s="19" t="s">
        <v>716</v>
      </c>
      <c r="J7833" s="19" t="s">
        <v>717</v>
      </c>
      <c r="K7833" s="19" t="s">
        <v>718</v>
      </c>
      <c r="L7833" s="4" t="s">
        <v>47</v>
      </c>
    </row>
    <row r="7834" customFormat="false" ht="15" hidden="false" customHeight="false" outlineLevel="0" collapsed="false">
      <c r="A7834" s="1" t="s">
        <v>825</v>
      </c>
      <c r="B7834" s="0" t="s">
        <v>95</v>
      </c>
      <c r="F7834" s="6" t="n">
        <f aca="false">Sens!F7819</f>
        <v>136.947957715833</v>
      </c>
      <c r="G7834" s="6" t="n">
        <f aca="false">Sens!G7819</f>
        <v>143.714849622273</v>
      </c>
      <c r="H7834" s="6" t="n">
        <f aca="false">Sens!H7819</f>
        <v>146.012638824333</v>
      </c>
      <c r="I7834" s="6" t="n">
        <f aca="false">Sens!I7819</f>
        <v>152.595238709386</v>
      </c>
      <c r="J7834" s="6" t="n">
        <f aca="false">Sens!J7819</f>
        <v>157.121893088799</v>
      </c>
      <c r="K7834" s="6" t="n">
        <f aca="false">Sens!K7819</f>
        <v>159.029506086167</v>
      </c>
    </row>
    <row r="7835" customFormat="false" ht="17.15" hidden="false" customHeight="false" outlineLevel="0" collapsed="false">
      <c r="A7835" s="1" t="s">
        <v>843</v>
      </c>
      <c r="B7835" s="0" t="s">
        <v>95</v>
      </c>
      <c r="E7835" s="6" t="n">
        <f aca="false">Q!M38-Sens!E7759</f>
        <v>22.2285940229167</v>
      </c>
      <c r="F7835" s="6" t="n">
        <f aca="false">Sens!E7835*(1-1/life_nonai)+Sens!F7841/life_nonai</f>
        <v>23.5476759435813</v>
      </c>
      <c r="G7835" s="6" t="n">
        <f aca="false">Sens!F7835*(1-1/life_nonai)+Sens!G7841/life_nonai</f>
        <v>25.2599025657684</v>
      </c>
      <c r="H7835" s="6" t="n">
        <f aca="false">Sens!G7835*(1-1/life_nonai)+Sens!H7841/life_nonai</f>
        <v>27.3328485552537</v>
      </c>
      <c r="I7835" s="6" t="n">
        <f aca="false">Sens!H7835*(1-1/life_nonai)+Sens!I7841/life_nonai</f>
        <v>29.7088689268856</v>
      </c>
      <c r="J7835" s="6" t="n">
        <f aca="false">Sens!I7835*(1-1/life_nonai)+Sens!J7841/life_nonai</f>
        <v>32.3125914843551</v>
      </c>
      <c r="K7835" s="6" t="n">
        <f aca="false">Sens!J7835*(1-1/life_nonai)+Sens!K7841/life_nonai</f>
        <v>35.0594977394137</v>
      </c>
      <c r="L7835" s="11" t="s">
        <v>844</v>
      </c>
    </row>
    <row r="7836" customFormat="false" ht="17.15" hidden="false" customHeight="false" outlineLevel="0" collapsed="false">
      <c r="A7836" s="1" t="s">
        <v>845</v>
      </c>
      <c r="B7836" s="0" t="s">
        <v>95</v>
      </c>
      <c r="E7836" s="6" t="n">
        <f aca="false">Sens!E7759+Sens!E7835</f>
        <v>38.534</v>
      </c>
      <c r="F7836" s="6" t="n">
        <f aca="false">Sens!F7759+Sens!F7835</f>
        <v>58.3015392327844</v>
      </c>
      <c r="G7836" s="6" t="n">
        <f aca="false">Sens!G7759+Sens!G7835</f>
        <v>85.7932914927747</v>
      </c>
      <c r="H7836" s="6" t="n">
        <f aca="false">Sens!H7759+Sens!H7835</f>
        <v>115.10182021506</v>
      </c>
      <c r="I7836" s="6" t="n">
        <f aca="false">Sens!I7759+Sens!I7835</f>
        <v>145.732706334675</v>
      </c>
      <c r="J7836" s="6" t="n">
        <f aca="false">Sens!J7759+Sens!J7835</f>
        <v>177.563525109295</v>
      </c>
      <c r="K7836" s="6" t="n">
        <f aca="false">Sens!K7759+Sens!K7835</f>
        <v>210.82507604067</v>
      </c>
    </row>
    <row r="7837" customFormat="false" ht="15" hidden="false" customHeight="false" outlineLevel="0" collapsed="false">
      <c r="A7837" s="1" t="s">
        <v>685</v>
      </c>
      <c r="B7837" s="0" t="s">
        <v>95</v>
      </c>
      <c r="F7837" s="6" t="n">
        <f aca="false">Sens!F7786*sbc_r</f>
        <v>14.7055929298096</v>
      </c>
      <c r="G7837" s="6" t="n">
        <f aca="false">Sens!G7786*sbc_r</f>
        <v>17.0458362658472</v>
      </c>
      <c r="H7837" s="6" t="n">
        <f aca="false">Sens!H7786*sbc_r</f>
        <v>19.2307699930696</v>
      </c>
      <c r="I7837" s="6" t="n">
        <f aca="false">Sens!I7786*sbc_r</f>
        <v>21.6335901998045</v>
      </c>
      <c r="J7837" s="6" t="n">
        <f aca="false">Sens!J7786*sbc_r</f>
        <v>23.9322646680884</v>
      </c>
      <c r="K7837" s="6" t="n">
        <f aca="false">Sens!K7786*sbc_r</f>
        <v>26.1004631288323</v>
      </c>
    </row>
    <row r="7838" customFormat="false" ht="17.15" hidden="false" customHeight="false" outlineLevel="0" collapsed="false">
      <c r="A7838" s="1" t="s">
        <v>846</v>
      </c>
      <c r="B7838" s="0" t="s">
        <v>95</v>
      </c>
      <c r="F7838" s="6" t="n">
        <f aca="false">wc27</f>
        <v>-4.895</v>
      </c>
      <c r="G7838" s="6" t="n">
        <f aca="false">0</f>
        <v>0</v>
      </c>
      <c r="H7838" s="6" t="n">
        <f aca="false">0</f>
        <v>0</v>
      </c>
      <c r="I7838" s="6" t="n">
        <f aca="false">0</f>
        <v>0</v>
      </c>
      <c r="J7838" s="6" t="n">
        <f aca="false">0</f>
        <v>0</v>
      </c>
      <c r="K7838" s="6" t="n">
        <f aca="false">0</f>
        <v>0</v>
      </c>
      <c r="L7838" s="11" t="s">
        <v>847</v>
      </c>
    </row>
    <row r="7839" customFormat="false" ht="15" hidden="false" customHeight="false" outlineLevel="0" collapsed="false">
      <c r="A7839" s="1" t="s">
        <v>678</v>
      </c>
      <c r="B7839" s="0" t="s">
        <v>95</v>
      </c>
      <c r="E7839" s="6" t="n">
        <f aca="false">Q!M35</f>
        <v>182.935</v>
      </c>
      <c r="F7839" s="6" t="n">
        <f aca="false">Sens!F7834+Sens!F7836+Sens!F7837+Sens!F7838</f>
        <v>205.060089878427</v>
      </c>
      <c r="G7839" s="6" t="n">
        <f aca="false">Sens!G7834+Sens!G7836+Sens!G7837+Sens!G7838</f>
        <v>246.553977380895</v>
      </c>
      <c r="H7839" s="6" t="n">
        <f aca="false">Sens!H7834+Sens!H7836+Sens!H7837+Sens!H7838</f>
        <v>280.345229032463</v>
      </c>
      <c r="I7839" s="6" t="n">
        <f aca="false">Sens!I7834+Sens!I7836+Sens!I7837+Sens!I7838</f>
        <v>319.961535243866</v>
      </c>
      <c r="J7839" s="6" t="n">
        <f aca="false">Sens!J7834+Sens!J7836+Sens!J7837+Sens!J7838</f>
        <v>358.617682866182</v>
      </c>
      <c r="K7839" s="6" t="n">
        <f aca="false">Sens!K7834+Sens!K7836+Sens!K7837+Sens!K7838</f>
        <v>395.955045255669</v>
      </c>
    </row>
    <row r="7840" customFormat="false" ht="17.15" hidden="false" customHeight="false" outlineLevel="0" collapsed="false">
      <c r="A7840" s="0" t="s">
        <v>848</v>
      </c>
      <c r="B7840" s="0" t="s">
        <v>95</v>
      </c>
      <c r="F7840" s="6" t="n">
        <f aca="false">Sens!F7756</f>
        <v>168.780586770438</v>
      </c>
      <c r="G7840" s="6" t="n">
        <f aca="false">Sens!G7756</f>
        <v>183.5741804832</v>
      </c>
      <c r="H7840" s="6" t="n">
        <f aca="false">Sens!H7756</f>
        <v>188.0802859104</v>
      </c>
      <c r="I7840" s="6" t="n">
        <f aca="false">Sens!I7756</f>
        <v>218.338961257067</v>
      </c>
      <c r="J7840" s="6" t="n">
        <f aca="false">Sens!J7756</f>
        <v>233.777060923733</v>
      </c>
      <c r="K7840" s="6" t="n">
        <f aca="false">Sens!K7756</f>
        <v>278.8563119504</v>
      </c>
    </row>
    <row r="7841" customFormat="false" ht="17.15" hidden="false" customHeight="false" outlineLevel="0" collapsed="false">
      <c r="A7841" s="1" t="s">
        <v>849</v>
      </c>
      <c r="B7841" s="0" t="s">
        <v>95</v>
      </c>
      <c r="E7841" s="6" t="n">
        <f aca="false">Sens!E7764*cx_azo+Sens!E7771*cx_m365+Sens!E7772*cx_lic+(Sens!E7774+Sens!E7776)*cx_ind+Sens!E7779*cx_srch+(Sens!E7781+Sens!E7783)*cx_dev</f>
        <v>30.1846587067718</v>
      </c>
      <c r="F7841" s="6" t="n">
        <f aca="false">Sens!F7764*cx_azo+Sens!F7771*cx_m365+Sens!F7772*cx_lic+(Sens!F7774+Sens!F7776)*cx_ind+Sens!F7779*cx_srch+(Sens!F7781+Sens!F7783)*cx_dev</f>
        <v>35.4194132295625</v>
      </c>
      <c r="G7841" s="6" t="n">
        <f aca="false">Sens!G7764*cx_azo+Sens!G7771*cx_m365+Sens!G7772*cx_lic+(Sens!G7774+Sens!G7776)*cx_ind+Sens!G7779*cx_srch+(Sens!G7781+Sens!G7783)*cx_dev</f>
        <v>40.6699421654528</v>
      </c>
      <c r="H7841" s="6" t="n">
        <f aca="false">Sens!H7764*cx_azo+Sens!H7771*cx_m365+Sens!H7772*cx_lic+(Sens!H7774+Sens!H7776)*cx_ind+Sens!H7779*cx_srch+(Sens!H7781+Sens!H7783)*cx_dev</f>
        <v>45.9893624606218</v>
      </c>
      <c r="I7841" s="6" t="n">
        <f aca="false">Sens!I7764*cx_azo+Sens!I7771*cx_m365+Sens!I7772*cx_lic+(Sens!I7774+Sens!I7776)*cx_ind+Sens!I7779*cx_srch+(Sens!I7781+Sens!I7783)*cx_dev</f>
        <v>51.0930522715721</v>
      </c>
      <c r="J7841" s="6" t="n">
        <f aca="false">Sens!J7764*cx_azo+Sens!J7771*cx_m365+Sens!J7772*cx_lic+(Sens!J7774+Sens!J7776)*cx_ind+Sens!J7779*cx_srch+(Sens!J7781+Sens!J7783)*cx_dev</f>
        <v>55.746094501581</v>
      </c>
      <c r="K7841" s="6" t="n">
        <f aca="false">Sens!K7764*cx_azo+Sens!K7771*cx_m365+Sens!K7772*cx_lic+(Sens!K7774+Sens!K7776)*cx_ind+Sens!K7779*cx_srch+(Sens!K7781+Sens!K7783)*cx_dev</f>
        <v>59.7816540349409</v>
      </c>
    </row>
    <row r="7842" customFormat="false" ht="17.15" hidden="false" customHeight="false" outlineLevel="0" collapsed="false">
      <c r="A7842" s="1" t="s">
        <v>850</v>
      </c>
      <c r="B7842" s="0" t="s">
        <v>95</v>
      </c>
      <c r="E7842" s="6" t="n">
        <f aca="false">Q!M42</f>
        <v>145.3</v>
      </c>
      <c r="F7842" s="6" t="n">
        <f aca="false">Sens!F7840+Sens!F7841</f>
        <v>204.2</v>
      </c>
      <c r="G7842" s="6" t="n">
        <f aca="false">Sens!G7840+Sens!G7841</f>
        <v>224.244122648653</v>
      </c>
      <c r="H7842" s="6" t="n">
        <f aca="false">Sens!H7840+Sens!H7841</f>
        <v>234.069648371022</v>
      </c>
      <c r="I7842" s="6" t="n">
        <f aca="false">Sens!I7840+Sens!I7841</f>
        <v>269.432013528639</v>
      </c>
      <c r="J7842" s="6" t="n">
        <f aca="false">Sens!J7840+Sens!J7841</f>
        <v>289.523155425314</v>
      </c>
      <c r="K7842" s="6" t="n">
        <f aca="false">Sens!K7840+Sens!K7841</f>
        <v>338.637965985341</v>
      </c>
      <c r="L7842" s="1" t="s">
        <v>851</v>
      </c>
    </row>
    <row r="7843" customFormat="false" ht="15" hidden="false" customHeight="false" outlineLevel="0" collapsed="false">
      <c r="A7843" s="1" t="s">
        <v>852</v>
      </c>
      <c r="B7843" s="0" t="s">
        <v>95</v>
      </c>
      <c r="E7843" s="6" t="n">
        <f aca="false">fl_liab</f>
        <v>66.594</v>
      </c>
      <c r="F7843" s="6" t="n">
        <f aca="false">Sens!E7843-Sens!F7844</f>
        <v>62.46973</v>
      </c>
      <c r="G7843" s="6" t="n">
        <f aca="false">Sens!F7843-Sens!G7844</f>
        <v>57.98686785</v>
      </c>
      <c r="H7843" s="6" t="n">
        <f aca="false">Sens!G7843-Sens!H7844</f>
        <v>53.92827690325</v>
      </c>
      <c r="I7843" s="6" t="n">
        <f aca="false">Sens!H7843-Sens!I7844</f>
        <v>49.7850493638962</v>
      </c>
      <c r="J7843" s="6" t="n">
        <f aca="false">Sens!I7843-Sens!J7844</f>
        <v>45.4823765852716</v>
      </c>
      <c r="K7843" s="6" t="n">
        <f aca="false">Sens!J7843-Sens!K7844</f>
        <v>40.9860835316088</v>
      </c>
    </row>
    <row r="7844" customFormat="false" ht="15" hidden="false" customHeight="false" outlineLevel="0" collapsed="false">
      <c r="A7844" s="1" t="s">
        <v>853</v>
      </c>
      <c r="B7844" s="0" t="s">
        <v>95</v>
      </c>
      <c r="F7844" s="6" t="n">
        <f aca="false">fl_pay_27-Sens!E7843*fl_rate</f>
        <v>4.12427</v>
      </c>
      <c r="G7844" s="6" t="n">
        <f aca="false">fl_pay_28-Sens!F7843*fl_rate</f>
        <v>4.48286215</v>
      </c>
      <c r="H7844" s="6" t="n">
        <f aca="false">fl_pay_29-Sens!G7843*fl_rate</f>
        <v>4.05859094675</v>
      </c>
      <c r="I7844" s="6" t="n">
        <f aca="false">fl_pay_30-Sens!H7843*fl_rate</f>
        <v>4.14322753935375</v>
      </c>
      <c r="J7844" s="6" t="n">
        <f aca="false">fl_pay_31-Sens!I7843*fl_rate</f>
        <v>4.30267277862467</v>
      </c>
      <c r="K7844" s="6" t="n">
        <f aca="false">fl_pay_32-Sens!J7843*fl_rate</f>
        <v>4.49629305366278</v>
      </c>
    </row>
    <row r="7845" customFormat="false" ht="17.15" hidden="false" customHeight="false" outlineLevel="0" collapsed="false">
      <c r="A7845" s="1" t="s">
        <v>854</v>
      </c>
      <c r="B7845" s="0" t="s">
        <v>95</v>
      </c>
      <c r="E7845" s="6" t="n">
        <f aca="false">Q!M35-Q!M36-Q!M43</f>
        <v>63.886</v>
      </c>
      <c r="F7845" s="6" t="n">
        <f aca="false">Sens!F7839-Sens!F7842-Sens!F7844</f>
        <v>-3.26418012157288</v>
      </c>
      <c r="G7845" s="6" t="n">
        <f aca="false">Sens!G7839-Sens!G7842-Sens!G7844</f>
        <v>17.826992582242</v>
      </c>
      <c r="H7845" s="6" t="n">
        <f aca="false">Sens!H7839-Sens!H7842-Sens!H7844</f>
        <v>42.216989714691</v>
      </c>
      <c r="I7845" s="6" t="n">
        <f aca="false">Sens!I7839-Sens!I7842-Sens!I7844</f>
        <v>46.3862941758733</v>
      </c>
      <c r="J7845" s="6" t="n">
        <f aca="false">Sens!J7839-Sens!J7842-Sens!J7844</f>
        <v>64.7918546622428</v>
      </c>
      <c r="K7845" s="6" t="n">
        <f aca="false">Sens!K7839-Sens!K7842-Sens!K7844</f>
        <v>52.820786216665</v>
      </c>
      <c r="L7845" s="11" t="s">
        <v>855</v>
      </c>
    </row>
    <row r="7846" customFormat="false" ht="15" hidden="false" customHeight="false" outlineLevel="0" collapsed="false">
      <c r="A7846" s="1" t="s">
        <v>856</v>
      </c>
      <c r="B7846" s="0" t="s">
        <v>73</v>
      </c>
      <c r="F7846" s="8" t="n">
        <f aca="false">dps_27</f>
        <v>3.85</v>
      </c>
      <c r="G7846" s="8" t="n">
        <f aca="false">Sens!F7846*(1+dps_g)</f>
        <v>4.158</v>
      </c>
      <c r="H7846" s="8" t="n">
        <f aca="false">Sens!G7846*(1+dps_g)</f>
        <v>4.49064</v>
      </c>
      <c r="I7846" s="8" t="n">
        <f aca="false">Sens!H7846*(1+dps_g)</f>
        <v>4.8498912</v>
      </c>
      <c r="J7846" s="8" t="n">
        <f aca="false">Sens!I7846*(1+dps_g)</f>
        <v>5.237882496</v>
      </c>
      <c r="K7846" s="8" t="n">
        <f aca="false">Sens!J7846*(1+dps_g)</f>
        <v>5.65691309568</v>
      </c>
    </row>
    <row r="7847" customFormat="false" ht="17.15" hidden="false" customHeight="false" outlineLevel="0" collapsed="false">
      <c r="A7847" s="1" t="s">
        <v>857</v>
      </c>
      <c r="B7847" s="0" t="s">
        <v>95</v>
      </c>
      <c r="E7847" s="6" t="n">
        <f aca="false">Q!M41</f>
        <v>26.445</v>
      </c>
      <c r="F7847" s="6" t="n">
        <f aca="false">Sens!F7846*Sens!E7856</f>
        <v>28.59395</v>
      </c>
      <c r="G7847" s="6" t="n">
        <f aca="false">Sens!G7846*Sens!F7856</f>
        <v>31.068576</v>
      </c>
      <c r="H7847" s="6" t="n">
        <f aca="false">Sens!H7846*Sens!G7856</f>
        <v>33.75614088</v>
      </c>
      <c r="I7847" s="6" t="n">
        <f aca="false">Sens!I7846*Sens!H7856</f>
        <v>36.6263490971282</v>
      </c>
      <c r="J7847" s="6" t="n">
        <f aca="false">Sens!J7846*Sens!I7856</f>
        <v>39.7188423512907</v>
      </c>
      <c r="K7847" s="6" t="n">
        <f aca="false">Sens!K7846*Sens!J7856</f>
        <v>42.983604964699</v>
      </c>
      <c r="L7847" s="1" t="s">
        <v>858</v>
      </c>
    </row>
    <row r="7848" customFormat="false" ht="15" hidden="false" customHeight="false" outlineLevel="0" collapsed="false">
      <c r="A7848" s="1" t="s">
        <v>859</v>
      </c>
      <c r="B7848" s="0" t="s">
        <v>95</v>
      </c>
      <c r="E7848" s="6" t="n">
        <f aca="false">Sens!E7845-Sens!E7847</f>
        <v>37.441</v>
      </c>
      <c r="F7848" s="6" t="n">
        <f aca="false">Sens!F7845-Sens!F7847</f>
        <v>-31.8581301215729</v>
      </c>
      <c r="G7848" s="6" t="n">
        <f aca="false">Sens!G7845-Sens!G7847</f>
        <v>-13.241583417758</v>
      </c>
      <c r="H7848" s="6" t="n">
        <f aca="false">Sens!H7845-Sens!H7847</f>
        <v>8.46084883469095</v>
      </c>
      <c r="I7848" s="6" t="n">
        <f aca="false">Sens!I7845-Sens!I7847</f>
        <v>9.75994507874509</v>
      </c>
      <c r="J7848" s="6" t="n">
        <f aca="false">Sens!J7845-Sens!J7847</f>
        <v>25.0730123109521</v>
      </c>
      <c r="K7848" s="6" t="n">
        <f aca="false">Sens!K7845-Sens!K7847</f>
        <v>9.83718125196605</v>
      </c>
    </row>
    <row r="7849" customFormat="false" ht="15" hidden="false" customHeight="false" outlineLevel="0" collapsed="false">
      <c r="A7849" s="1" t="s">
        <v>860</v>
      </c>
      <c r="B7849" s="0" t="s">
        <v>95</v>
      </c>
      <c r="F7849" s="6" t="n">
        <f aca="false">debt_mat_27</f>
        <v>9.25</v>
      </c>
      <c r="G7849" s="6" t="n">
        <f aca="false">debt_mat_28</f>
        <v>0</v>
      </c>
      <c r="H7849" s="6" t="n">
        <f aca="false">debt_mat_29</f>
        <v>2.001</v>
      </c>
      <c r="I7849" s="6" t="n">
        <f aca="false">debt_mat_30</f>
        <v>0</v>
      </c>
      <c r="J7849" s="6" t="n">
        <f aca="false">debt_mat_31</f>
        <v>0.5</v>
      </c>
      <c r="K7849" s="6" t="n">
        <f aca="false">debt_mat_32</f>
        <v>0</v>
      </c>
    </row>
    <row r="7850" customFormat="false" ht="15" hidden="false" customHeight="false" outlineLevel="0" collapsed="false">
      <c r="A7850" s="1" t="s">
        <v>861</v>
      </c>
      <c r="B7850" s="0" t="s">
        <v>95</v>
      </c>
      <c r="E7850" s="6" t="n">
        <f aca="false">Q!M40</f>
        <v>22.271</v>
      </c>
      <c r="F7850" s="6" t="n">
        <f aca="false">MAX(0,MIN(bb_target,Sens!E7852+Sens!F7848-Sens!F7849-min_cash))</f>
        <v>0</v>
      </c>
      <c r="G7850" s="6" t="n">
        <f aca="false">MAX(0,MIN(bb_target,Sens!F7852+Sens!G7848-Sens!G7849-min_cash))</f>
        <v>0</v>
      </c>
      <c r="H7850" s="6" t="n">
        <f aca="false">MAX(0,MIN(bb_target,Sens!G7852+Sens!H7848-Sens!H7849-min_cash))</f>
        <v>6.45984883469095</v>
      </c>
      <c r="I7850" s="6" t="n">
        <f aca="false">MAX(0,MIN(bb_target,Sens!H7852+Sens!I7848-Sens!I7849-min_cash))</f>
        <v>9.75994507874509</v>
      </c>
      <c r="J7850" s="6" t="n">
        <f aca="false">MAX(0,MIN(bb_target,Sens!I7852+Sens!J7848-Sens!J7849-min_cash))</f>
        <v>22.271</v>
      </c>
      <c r="K7850" s="6" t="n">
        <f aca="false">MAX(0,MIN(bb_target,Sens!J7852+Sens!K7848-Sens!K7849-min_cash))</f>
        <v>12.1391935629182</v>
      </c>
    </row>
    <row r="7851" customFormat="false" ht="15" hidden="false" customHeight="false" outlineLevel="0" collapsed="false">
      <c r="A7851" s="1" t="s">
        <v>862</v>
      </c>
      <c r="B7851" s="0" t="s">
        <v>95</v>
      </c>
      <c r="F7851" s="6" t="n">
        <f aca="false">MAX(0,min_cash-(Sens!E7852+Sens!F7848-Sens!F7849-Sens!F7850))</f>
        <v>14.2651301215729</v>
      </c>
      <c r="G7851" s="6" t="n">
        <f aca="false">MAX(0,min_cash-(Sens!F7852+Sens!G7848-Sens!G7849-Sens!G7850))</f>
        <v>13.241583417758</v>
      </c>
      <c r="H7851" s="6" t="n">
        <f aca="false">MAX(0,min_cash-(Sens!G7852+Sens!H7848-Sens!H7849-Sens!H7850))</f>
        <v>0</v>
      </c>
      <c r="I7851" s="6" t="n">
        <f aca="false">MAX(0,min_cash-(Sens!H7852+Sens!I7848-Sens!I7849-Sens!I7850))</f>
        <v>0</v>
      </c>
      <c r="J7851" s="6" t="n">
        <f aca="false">MAX(0,min_cash-(Sens!I7852+Sens!J7848-Sens!J7849-Sens!J7850))</f>
        <v>0</v>
      </c>
      <c r="K7851" s="6" t="n">
        <f aca="false">MAX(0,min_cash-(Sens!J7852+Sens!K7848-Sens!K7849-Sens!K7850))</f>
        <v>0</v>
      </c>
    </row>
    <row r="7852" customFormat="false" ht="15" hidden="false" customHeight="false" outlineLevel="0" collapsed="false">
      <c r="A7852" s="1" t="s">
        <v>863</v>
      </c>
      <c r="B7852" s="0" t="s">
        <v>95</v>
      </c>
      <c r="E7852" s="6" t="n">
        <f aca="false">cash_open</f>
        <v>76.843</v>
      </c>
      <c r="F7852" s="6" t="n">
        <f aca="false">Sens!E7852+Sens!F7848-Sens!F7849-Sens!F7850+Sens!F7851</f>
        <v>50</v>
      </c>
      <c r="G7852" s="6" t="n">
        <f aca="false">Sens!F7852+Sens!G7848-Sens!G7849-Sens!G7850+Sens!G7851</f>
        <v>50</v>
      </c>
      <c r="H7852" s="6" t="n">
        <f aca="false">Sens!G7852+Sens!H7848-Sens!H7849-Sens!H7850+Sens!H7851</f>
        <v>50</v>
      </c>
      <c r="I7852" s="6" t="n">
        <f aca="false">Sens!H7852+Sens!I7848-Sens!I7849-Sens!I7850+Sens!I7851</f>
        <v>50</v>
      </c>
      <c r="J7852" s="6" t="n">
        <f aca="false">Sens!I7852+Sens!J7848-Sens!J7849-Sens!J7850+Sens!J7851</f>
        <v>52.3020123109522</v>
      </c>
      <c r="K7852" s="6" t="n">
        <f aca="false">Sens!J7852+Sens!K7848-Sens!K7849-Sens!K7850+Sens!K7851</f>
        <v>50</v>
      </c>
    </row>
    <row r="7853" customFormat="false" ht="15" hidden="false" customHeight="false" outlineLevel="0" collapsed="false">
      <c r="A7853" s="1" t="s">
        <v>864</v>
      </c>
      <c r="B7853" s="0" t="s">
        <v>95</v>
      </c>
      <c r="E7853" s="6" t="n">
        <f aca="false">debt_face</f>
        <v>46.136</v>
      </c>
      <c r="F7853" s="6" t="n">
        <f aca="false">Sens!E7853-Sens!F7849+Sens!F7851</f>
        <v>51.1511301215729</v>
      </c>
      <c r="G7853" s="6" t="n">
        <f aca="false">Sens!F7853-Sens!G7849+Sens!G7851</f>
        <v>64.3927135393309</v>
      </c>
      <c r="H7853" s="6" t="n">
        <f aca="false">Sens!G7853-Sens!H7849+Sens!H7851</f>
        <v>62.3917135393309</v>
      </c>
      <c r="I7853" s="6" t="n">
        <f aca="false">Sens!H7853-Sens!I7849+Sens!I7851</f>
        <v>62.3917135393309</v>
      </c>
      <c r="J7853" s="6" t="n">
        <f aca="false">Sens!I7853-Sens!J7849+Sens!J7851</f>
        <v>61.8917135393309</v>
      </c>
      <c r="K7853" s="6" t="n">
        <f aca="false">Sens!J7853-Sens!K7849+Sens!K7851</f>
        <v>61.8917135393309</v>
      </c>
    </row>
    <row r="7854" customFormat="false" ht="15" hidden="false" customHeight="false" outlineLevel="0" collapsed="false">
      <c r="A7854" s="1" t="s">
        <v>865</v>
      </c>
      <c r="B7854" s="0" t="s">
        <v>95</v>
      </c>
      <c r="E7854" s="6" t="n">
        <f aca="false">Sens!E7852-Sens!E7853</f>
        <v>30.707</v>
      </c>
      <c r="F7854" s="6" t="n">
        <f aca="false">Sens!F7852-Sens!F7853</f>
        <v>-1.15113012157288</v>
      </c>
      <c r="G7854" s="6" t="n">
        <f aca="false">Sens!G7852-Sens!G7853</f>
        <v>-14.3927135393309</v>
      </c>
      <c r="H7854" s="6" t="n">
        <f aca="false">Sens!H7852-Sens!H7853</f>
        <v>-12.3917135393309</v>
      </c>
      <c r="I7854" s="6" t="n">
        <f aca="false">Sens!I7852-Sens!I7853</f>
        <v>-12.3917135393309</v>
      </c>
      <c r="J7854" s="6" t="n">
        <f aca="false">Sens!J7852-Sens!J7853</f>
        <v>-9.58970122837874</v>
      </c>
      <c r="K7854" s="6" t="n">
        <f aca="false">Sens!K7852-Sens!K7853</f>
        <v>-11.8917135393309</v>
      </c>
    </row>
    <row r="7855" customFormat="false" ht="15" hidden="false" customHeight="false" outlineLevel="0" collapsed="false">
      <c r="A7855" s="1" t="s">
        <v>866</v>
      </c>
      <c r="B7855" s="0" t="s">
        <v>73</v>
      </c>
      <c r="F7855" s="27" t="n">
        <f aca="false">px*(1+bb_g)^(1-0.5)</f>
        <v>553.494156066711</v>
      </c>
      <c r="G7855" s="27" t="n">
        <f aca="false">px*(1+bb_g)^(2-0.5)</f>
        <v>597.773688552047</v>
      </c>
      <c r="H7855" s="27" t="n">
        <f aca="false">px*(1+bb_g)^(3-0.5)</f>
        <v>645.595583636211</v>
      </c>
      <c r="I7855" s="27" t="n">
        <f aca="false">px*(1+bb_g)^(4-0.5)</f>
        <v>697.243230327108</v>
      </c>
      <c r="J7855" s="27" t="n">
        <f aca="false">px*(1+bb_g)^(5-0.5)</f>
        <v>753.022688753277</v>
      </c>
      <c r="K7855" s="27" t="n">
        <f aca="false">px*(1+bb_g)^(6-0.5)</f>
        <v>813.264503853539</v>
      </c>
    </row>
    <row r="7856" customFormat="false" ht="15" hidden="false" customHeight="false" outlineLevel="0" collapsed="false">
      <c r="A7856" s="1" t="s">
        <v>867</v>
      </c>
      <c r="B7856" s="1" t="s">
        <v>79</v>
      </c>
      <c r="E7856" s="18" t="n">
        <f aca="false">sh_out26</f>
        <v>7.427</v>
      </c>
      <c r="F7856" s="18" t="n">
        <f aca="false">Sens!E7856+sh_iss-Sens!F7850/Sens!F7855</f>
        <v>7.472</v>
      </c>
      <c r="G7856" s="18" t="n">
        <f aca="false">Sens!F7856+sh_iss-Sens!G7850/Sens!G7855</f>
        <v>7.517</v>
      </c>
      <c r="H7856" s="18" t="n">
        <f aca="false">Sens!G7856+sh_iss-Sens!H7850/Sens!H7855</f>
        <v>7.55199396991177</v>
      </c>
      <c r="I7856" s="18" t="n">
        <f aca="false">Sens!H7856+sh_iss-Sens!I7850/Sens!I7855</f>
        <v>7.58299606408174</v>
      </c>
      <c r="J7856" s="18" t="n">
        <f aca="false">Sens!I7856+sh_iss-Sens!J7850/Sens!J7855</f>
        <v>7.59842059400278</v>
      </c>
      <c r="K7856" s="18" t="n">
        <f aca="false">Sens!J7856+sh_iss-Sens!K7850/Sens!K7855</f>
        <v>7.62849409283939</v>
      </c>
    </row>
    <row r="7857" customFormat="false" ht="15" hidden="false" customHeight="false" outlineLevel="0" collapsed="false">
      <c r="A7857" s="1" t="s">
        <v>868</v>
      </c>
      <c r="B7857" s="1" t="s">
        <v>79</v>
      </c>
      <c r="E7857" s="18" t="n">
        <f aca="false">sh_dil26</f>
        <v>7.453</v>
      </c>
      <c r="F7857" s="18" t="n">
        <f aca="false">(Sens!E7856+Sens!F7856)/2+dil_gap</f>
        <v>7.4735</v>
      </c>
      <c r="G7857" s="18" t="n">
        <f aca="false">(Sens!F7856+Sens!G7856)/2+dil_gap</f>
        <v>7.5185</v>
      </c>
      <c r="H7857" s="18" t="n">
        <f aca="false">(Sens!G7856+Sens!H7856)/2+dil_gap</f>
        <v>7.55849698495589</v>
      </c>
      <c r="I7857" s="18" t="n">
        <f aca="false">(Sens!H7856+Sens!I7856)/2+dil_gap</f>
        <v>7.59149501699676</v>
      </c>
      <c r="J7857" s="18" t="n">
        <f aca="false">(Sens!I7856+Sens!J7856)/2+dil_gap</f>
        <v>7.61470832904226</v>
      </c>
      <c r="K7857" s="18" t="n">
        <f aca="false">(Sens!J7856+Sens!K7856)/2+dil_gap</f>
        <v>7.63745734342108</v>
      </c>
    </row>
    <row r="7858" customFormat="false" ht="17.15" hidden="false" customHeight="false" outlineLevel="0" collapsed="false">
      <c r="A7858" s="1" t="s">
        <v>869</v>
      </c>
      <c r="B7858" s="0" t="s">
        <v>95</v>
      </c>
      <c r="C7858" s="6" t="n">
        <f aca="false">SUM(Sens!F7848:J7848)</f>
        <v>-1.8059073149427</v>
      </c>
    </row>
    <row r="7859" customFormat="false" ht="17.15" hidden="false" customHeight="false" outlineLevel="0" collapsed="false">
      <c r="A7859" s="1" t="s">
        <v>836</v>
      </c>
      <c r="B7859" s="1" t="s">
        <v>870</v>
      </c>
      <c r="C7859" s="30" t="str">
        <f aca="false">IF(SUM(Sens!F7851:J7851)&gt;0.05,"需要舉債 "&amp;TEXT(SUM(Sens!F7851:J7851),"0.0")&amp;" 十億美元","不需舉債")&amp;"；"&amp;IF(SUM(Sens!F7850:J7850)&lt;5*bb_target-0.05,"回購較每年 "&amp;TEXT(bb_target,"0.0")&amp;" 的目標少 "&amp;TEXT(5*bb_target-SUM(Sens!F7850:J7850),"0.0")&amp;" 十億美元（"&amp;TEXT(COUNTIF(Sens!F7850:J7850,"&lt;"&amp;(bb_target-0.05)),"0")&amp;" 年減少）","回購不減")</f>
        <v>需要舉債 27.5 十億美元；回購較每年 22.3 的目標少 72.9 十億美元（4 年減少）</v>
      </c>
    </row>
    <row r="7860" customFormat="false" ht="17.15" hidden="false" customHeight="false" outlineLevel="0" collapsed="false">
      <c r="A7860" s="3" t="s">
        <v>1338</v>
      </c>
    </row>
    <row r="7861" customFormat="false" ht="15" hidden="false" customHeight="false" outlineLevel="0" collapsed="false">
      <c r="A7861" s="4" t="s">
        <v>43</v>
      </c>
      <c r="B7861" s="4" t="s">
        <v>63</v>
      </c>
      <c r="C7861" s="19" t="s">
        <v>710</v>
      </c>
      <c r="D7861" s="19" t="s">
        <v>711</v>
      </c>
      <c r="E7861" s="19" t="s">
        <v>712</v>
      </c>
      <c r="F7861" s="19" t="s">
        <v>713</v>
      </c>
      <c r="G7861" s="19" t="s">
        <v>714</v>
      </c>
      <c r="H7861" s="19" t="s">
        <v>715</v>
      </c>
      <c r="I7861" s="19" t="s">
        <v>716</v>
      </c>
      <c r="J7861" s="19" t="s">
        <v>717</v>
      </c>
      <c r="K7861" s="19" t="s">
        <v>718</v>
      </c>
      <c r="L7861" s="4" t="s">
        <v>47</v>
      </c>
    </row>
    <row r="7862" customFormat="false" ht="17.15" hidden="false" customHeight="false" outlineLevel="0" collapsed="false">
      <c r="A7862" s="1" t="s">
        <v>938</v>
      </c>
      <c r="B7862" s="1" t="s">
        <v>213</v>
      </c>
      <c r="F7862" s="34" t="n">
        <f aca="false">1-0.5</f>
        <v>0.5</v>
      </c>
      <c r="G7862" s="34" t="n">
        <f aca="false">2-0.5</f>
        <v>1.5</v>
      </c>
      <c r="H7862" s="34" t="n">
        <f aca="false">3-0.5</f>
        <v>2.5</v>
      </c>
      <c r="I7862" s="34" t="n">
        <f aca="false">4-0.5</f>
        <v>3.5</v>
      </c>
      <c r="J7862" s="34" t="n">
        <f aca="false">5-0.5</f>
        <v>4.5</v>
      </c>
      <c r="K7862" s="34" t="n">
        <f aca="false">6-0.5</f>
        <v>5.5</v>
      </c>
    </row>
    <row r="7863" customFormat="false" ht="15" hidden="false" customHeight="false" outlineLevel="0" collapsed="false">
      <c r="A7863" s="1" t="s">
        <v>939</v>
      </c>
      <c r="B7863" s="0" t="s">
        <v>182</v>
      </c>
      <c r="F7863" s="18" t="n">
        <f aca="false">1/(1+wacc)^Sens!F7862</f>
        <v>0.949601579913219</v>
      </c>
      <c r="G7863" s="18" t="n">
        <f aca="false">1/(1+wacc)^Sens!G7862</f>
        <v>0.856296729956707</v>
      </c>
      <c r="H7863" s="18" t="n">
        <f aca="false">1/(1+wacc)^Sens!H7862</f>
        <v>0.772159719660069</v>
      </c>
      <c r="I7863" s="18" t="n">
        <f aca="false">1/(1+wacc)^Sens!I7862</f>
        <v>0.696289746073958</v>
      </c>
      <c r="J7863" s="18" t="n">
        <f aca="false">1/(1+wacc)^Sens!J7862</f>
        <v>0.627874516299776</v>
      </c>
      <c r="K7863" s="18" t="n">
        <f aca="false">1/(1+wacc)^Sens!K7862</f>
        <v>0.566181550771831</v>
      </c>
    </row>
    <row r="7864" customFormat="false" ht="15" hidden="false" customHeight="false" outlineLevel="0" collapsed="false">
      <c r="A7864" s="1" t="s">
        <v>940</v>
      </c>
      <c r="B7864" s="0" t="s">
        <v>95</v>
      </c>
      <c r="F7864" s="6" t="n">
        <f aca="false">Sens!F7845*Sens!F7863</f>
        <v>-3.09967060056693</v>
      </c>
      <c r="G7864" s="6" t="n">
        <f aca="false">Sens!G7845*Sens!G7863</f>
        <v>15.2651954531363</v>
      </c>
      <c r="H7864" s="6" t="n">
        <f aca="false">Sens!H7845*Sens!H7863</f>
        <v>32.5982589429878</v>
      </c>
      <c r="I7864" s="6" t="n">
        <f aca="false">Sens!I7845*Sens!I7863</f>
        <v>32.2983009930307</v>
      </c>
      <c r="J7864" s="6" t="n">
        <f aca="false">Sens!J7845*Sens!J7863</f>
        <v>40.6811544062211</v>
      </c>
      <c r="K7864" s="6" t="n">
        <f aca="false">Sens!K7845*Sens!K7863</f>
        <v>29.9061546531388</v>
      </c>
    </row>
    <row r="7865" customFormat="false" ht="17.15" hidden="false" customHeight="false" outlineLevel="0" collapsed="false">
      <c r="A7865" s="1" t="s">
        <v>941</v>
      </c>
      <c r="B7865" s="0" t="s">
        <v>95</v>
      </c>
      <c r="C7865" s="6" t="n">
        <f aca="false">SUM(Sens!F7864:K7864)</f>
        <v>147.649393847948</v>
      </c>
    </row>
    <row r="7866" customFormat="false" ht="17.15" hidden="false" customHeight="false" outlineLevel="0" collapsed="false">
      <c r="A7866" s="1" t="s">
        <v>942</v>
      </c>
      <c r="B7866" s="0" t="s">
        <v>95</v>
      </c>
      <c r="C7866" s="6" t="n">
        <f aca="false">Sens!K7811*(1+g_tv)*(1-tax_f)</f>
        <v>164.129991268752</v>
      </c>
    </row>
    <row r="7867" customFormat="false" ht="17.15" hidden="false" customHeight="false" outlineLevel="0" collapsed="false">
      <c r="A7867" s="1" t="s">
        <v>943</v>
      </c>
      <c r="B7867" s="0" t="s">
        <v>95</v>
      </c>
      <c r="C7867" s="6" t="n">
        <f aca="false">Sens!$C$7866*(1-g_tv/(wacc+ronic_prem))</f>
        <v>118.941351596722</v>
      </c>
    </row>
    <row r="7868" customFormat="false" ht="17.15" hidden="false" customHeight="false" outlineLevel="0" collapsed="false">
      <c r="A7868" s="1" t="s">
        <v>944</v>
      </c>
      <c r="B7868" s="0" t="s">
        <v>95</v>
      </c>
      <c r="C7868" s="6" t="n">
        <f aca="false">Sens!$C$7867/(wacc-g_tv)</f>
        <v>1506.28798906767</v>
      </c>
    </row>
    <row r="7869" customFormat="false" ht="15" hidden="false" customHeight="false" outlineLevel="0" collapsed="false">
      <c r="A7869" s="1" t="s">
        <v>945</v>
      </c>
      <c r="B7869" s="0" t="s">
        <v>95</v>
      </c>
      <c r="C7869" s="6" t="n">
        <f aca="false">Sens!$C$7868/(1+wacc)^6</f>
        <v>809.851060494818</v>
      </c>
    </row>
    <row r="7870" customFormat="false" ht="17.15" hidden="false" customHeight="false" outlineLevel="0" collapsed="false">
      <c r="A7870" s="0" t="s">
        <v>877</v>
      </c>
      <c r="B7870" s="0" t="s">
        <v>95</v>
      </c>
      <c r="C7870" s="6" t="n">
        <f aca="false">Sens!$C$7865+Sens!$C$7869</f>
        <v>957.500454342766</v>
      </c>
    </row>
    <row r="7871" customFormat="false" ht="15" hidden="false" customHeight="false" outlineLevel="0" collapsed="false">
      <c r="A7871" s="1" t="s">
        <v>878</v>
      </c>
      <c r="B7871" s="0" t="s">
        <v>126</v>
      </c>
      <c r="C7871" s="7" t="n">
        <f aca="false">Sens!$C$7869/Sens!$C$7870</f>
        <v>0.845797050875245</v>
      </c>
    </row>
    <row r="7872" customFormat="false" ht="17.15" hidden="false" customHeight="false" outlineLevel="0" collapsed="false">
      <c r="A7872" s="1" t="s">
        <v>946</v>
      </c>
      <c r="B7872" s="0" t="s">
        <v>95</v>
      </c>
      <c r="C7872" s="6" t="n">
        <f aca="false">Sens!$C$7870+Sens!E7854+oai_v</f>
        <v>1158.60745434277</v>
      </c>
    </row>
    <row r="7873" customFormat="false" ht="17.15" hidden="false" customHeight="false" outlineLevel="0" collapsed="false">
      <c r="A7873" s="0" t="s">
        <v>883</v>
      </c>
      <c r="B7873" s="0" t="s">
        <v>73</v>
      </c>
      <c r="C7873" s="5" t="n">
        <f aca="false">Sens!$C$7872/sh_dil26</f>
        <v>155.455179705188</v>
      </c>
    </row>
    <row r="7874" customFormat="false" ht="17.15" hidden="false" customHeight="false" outlineLevel="0" collapsed="false">
      <c r="A7874" s="0" t="s">
        <v>947</v>
      </c>
      <c r="B7874" s="0" t="s">
        <v>73</v>
      </c>
      <c r="C7874" s="5" t="n">
        <f aca="false">Sens!$C$7873*(1+wacc)^t_roll</f>
        <v>178.306247118601</v>
      </c>
    </row>
    <row r="7875" customFormat="false" ht="17.15" hidden="false" customHeight="false" outlineLevel="0" collapsed="false">
      <c r="A7875" s="1" t="s">
        <v>948</v>
      </c>
      <c r="B7875" s="0" t="s">
        <v>126</v>
      </c>
      <c r="F7875" s="7" t="n">
        <f aca="false">Sens!F7835/(Sens!F7786-Sens!F7742)</f>
        <v>0.0687084206740826</v>
      </c>
      <c r="G7875" s="7" t="n">
        <f aca="false">Sens!G7835/(Sens!G7786-Sens!G7742)</f>
        <v>0.0663276726990211</v>
      </c>
      <c r="H7875" s="7" t="n">
        <f aca="false">Sens!H7835/(Sens!H7786-Sens!H7742)</f>
        <v>0.0651502514361621</v>
      </c>
      <c r="I7875" s="7" t="n">
        <f aca="false">Sens!I7835/(Sens!I7786-Sens!I7742)</f>
        <v>0.0650384909824788</v>
      </c>
      <c r="J7875" s="7" t="n">
        <f aca="false">Sens!J7835/(Sens!J7786-Sens!J7742)</f>
        <v>0.0657841095568574</v>
      </c>
      <c r="K7875" s="7" t="n">
        <f aca="false">Sens!K7835/(Sens!K7786-Sens!K7742)</f>
        <v>0.0671553908879553</v>
      </c>
    </row>
    <row r="7876" customFormat="false" ht="17.15" hidden="false" customHeight="false" outlineLevel="0" collapsed="false">
      <c r="A7876" s="0" t="s">
        <v>949</v>
      </c>
      <c r="B7876" s="0" t="s">
        <v>95</v>
      </c>
      <c r="F7876" s="6" t="n">
        <f aca="false">Sens!F7771*(al_m365+Sens!F7875)</f>
        <v>78.5012782227363</v>
      </c>
      <c r="G7876" s="6" t="n">
        <f aca="false">Sens!G7771*(al_m365+Sens!G7875)</f>
        <v>88.3178472922386</v>
      </c>
      <c r="H7876" s="6" t="n">
        <f aca="false">Sens!H7771*(al_m365+Sens!H7875)</f>
        <v>98.2941477540199</v>
      </c>
      <c r="I7876" s="6" t="n">
        <f aca="false">Sens!I7771*(al_m365+Sens!I7875)</f>
        <v>107.792117441336</v>
      </c>
      <c r="J7876" s="6" t="n">
        <f aca="false">Sens!J7771*(al_m365+Sens!J7875)</f>
        <v>116.633859783785</v>
      </c>
      <c r="K7876" s="6" t="n">
        <f aca="false">Sens!K7771*(al_m365+Sens!K7875)</f>
        <v>125.110310792149</v>
      </c>
    </row>
    <row r="7877" customFormat="false" ht="17.15" hidden="false" customHeight="false" outlineLevel="0" collapsed="false">
      <c r="A7877" s="0" t="s">
        <v>950</v>
      </c>
      <c r="B7877" s="0" t="s">
        <v>95</v>
      </c>
      <c r="F7877" s="6" t="n">
        <f aca="false">Sens!F7772*(al_lic+Sens!F7875)</f>
        <v>31.9886437200169</v>
      </c>
      <c r="G7877" s="6" t="n">
        <f aca="false">Sens!G7772*(al_lic+Sens!G7875)</f>
        <v>33.2462203530804</v>
      </c>
      <c r="H7877" s="6" t="n">
        <f aca="false">Sens!H7772*(al_lic+Sens!H7875)</f>
        <v>34.4185771179731</v>
      </c>
      <c r="I7877" s="6" t="n">
        <f aca="false">Sens!I7772*(al_lic+Sens!I7875)</f>
        <v>35.4866119179423</v>
      </c>
      <c r="J7877" s="6" t="n">
        <f aca="false">Sens!J7772*(al_lic+Sens!J7875)</f>
        <v>36.427869629072</v>
      </c>
      <c r="K7877" s="6" t="n">
        <f aca="false">Sens!K7772*(al_lic+Sens!K7875)</f>
        <v>37.2188846181035</v>
      </c>
    </row>
    <row r="7878" customFormat="false" ht="17.15" hidden="false" customHeight="false" outlineLevel="0" collapsed="false">
      <c r="A7878" s="0" t="s">
        <v>951</v>
      </c>
      <c r="B7878" s="0" t="s">
        <v>95</v>
      </c>
      <c r="F7878" s="6" t="n">
        <f aca="false">Sens!F7774*(al_ind+Sens!F7875)</f>
        <v>8.24329539735007</v>
      </c>
      <c r="G7878" s="6" t="n">
        <f aca="false">Sens!G7774*(al_ind+Sens!G7875)</f>
        <v>8.95275981710609</v>
      </c>
      <c r="H7878" s="6" t="n">
        <f aca="false">Sens!H7774*(al_ind+Sens!H7875)</f>
        <v>9.70343165334109</v>
      </c>
      <c r="I7878" s="6" t="n">
        <f aca="false">Sens!I7774*(al_ind+Sens!I7875)</f>
        <v>10.4916504522711</v>
      </c>
      <c r="J7878" s="6" t="n">
        <f aca="false">Sens!J7774*(al_ind+Sens!J7875)</f>
        <v>11.3097719899079</v>
      </c>
      <c r="K7878" s="6" t="n">
        <f aca="false">Sens!K7774*(al_ind+Sens!K7875)</f>
        <v>12.1468229554795</v>
      </c>
    </row>
    <row r="7879" customFormat="false" ht="17.15" hidden="false" customHeight="false" outlineLevel="0" collapsed="false">
      <c r="A7879" s="0" t="s">
        <v>952</v>
      </c>
      <c r="B7879" s="0" t="s">
        <v>95</v>
      </c>
      <c r="F7879" s="6" t="n">
        <f aca="false">Sens!F7776*(al_fro+Sens!F7875)</f>
        <v>3.24459000896616</v>
      </c>
      <c r="G7879" s="6" t="n">
        <f aca="false">Sens!G7776*(al_fro+Sens!G7875)</f>
        <v>3.43733046762665</v>
      </c>
      <c r="H7879" s="6" t="n">
        <f aca="false">Sens!H7776*(al_fro+Sens!H7875)</f>
        <v>3.65658517170813</v>
      </c>
      <c r="I7879" s="6" t="n">
        <f aca="false">Sens!I7776*(al_fro+Sens!I7875)</f>
        <v>3.90456529335459</v>
      </c>
      <c r="J7879" s="6" t="n">
        <f aca="false">Sens!J7776*(al_fro+Sens!J7875)</f>
        <v>4.18278831559906</v>
      </c>
      <c r="K7879" s="6" t="n">
        <f aca="false">Sens!K7776*(al_fro+Sens!K7875)</f>
        <v>4.49236193047636</v>
      </c>
    </row>
    <row r="7880" customFormat="false" ht="17.15" hidden="false" customHeight="false" outlineLevel="0" collapsed="false">
      <c r="A7880" s="0" t="s">
        <v>953</v>
      </c>
      <c r="B7880" s="0" t="s">
        <v>95</v>
      </c>
      <c r="F7880" s="6" t="n">
        <f aca="false">Sens!F7779*(al_srch+Sens!F7875)</f>
        <v>10.1348045471503</v>
      </c>
      <c r="G7880" s="6" t="n">
        <f aca="false">Sens!G7779*(al_srch+Sens!G7875)</f>
        <v>11.0102251708822</v>
      </c>
      <c r="H7880" s="6" t="n">
        <f aca="false">Sens!H7779*(al_srch+Sens!H7875)</f>
        <v>11.8536852545925</v>
      </c>
      <c r="I7880" s="6" t="n">
        <f aca="false">Sens!I7779*(al_srch+Sens!I7875)</f>
        <v>12.6406810499096</v>
      </c>
      <c r="J7880" s="6" t="n">
        <f aca="false">Sens!J7779*(al_srch+Sens!J7875)</f>
        <v>13.3423786494035</v>
      </c>
      <c r="K7880" s="6" t="n">
        <f aca="false">Sens!K7779*(al_srch+Sens!K7875)</f>
        <v>13.9280935536124</v>
      </c>
    </row>
    <row r="7881" customFormat="false" ht="17.15" hidden="false" customHeight="false" outlineLevel="0" collapsed="false">
      <c r="A7881" s="0" t="s">
        <v>954</v>
      </c>
      <c r="B7881" s="0" t="s">
        <v>95</v>
      </c>
      <c r="F7881" s="6" t="n">
        <f aca="false">Sens!F7748</f>
        <v>35.0573455625419</v>
      </c>
      <c r="G7881" s="6" t="n">
        <f aca="false">Sens!G7748</f>
        <v>52.2504971712871</v>
      </c>
      <c r="H7881" s="6" t="n">
        <f aca="false">Sens!H7748</f>
        <v>65.2796698510271</v>
      </c>
      <c r="I7881" s="6" t="n">
        <f aca="false">Sens!I7748</f>
        <v>85.5659922535278</v>
      </c>
      <c r="J7881" s="6" t="n">
        <f aca="false">Sens!J7748</f>
        <v>105.90773710582</v>
      </c>
      <c r="K7881" s="6" t="n">
        <f aca="false">Sens!K7748</f>
        <v>126.282084319851</v>
      </c>
    </row>
    <row r="7882" customFormat="false" ht="17.15" hidden="false" customHeight="false" outlineLevel="0" collapsed="false">
      <c r="A7882" s="0" t="s">
        <v>955</v>
      </c>
      <c r="B7882" s="0" t="s">
        <v>95</v>
      </c>
      <c r="F7882" s="6" t="n">
        <f aca="false">Sens!F7808+Sens!F7759+Sens!F7875*(Sens!F7778-Sens!F7742)</f>
        <v>206.160573136532</v>
      </c>
      <c r="G7882" s="6" t="n">
        <f aca="false">Sens!G7808+Sens!G7759+Sens!G7875*(Sens!G7778-Sens!G7742)</f>
        <v>241.650845622913</v>
      </c>
      <c r="H7882" s="6" t="n">
        <f aca="false">Sens!H7808+Sens!H7759+Sens!H7875*(Sens!H7778-Sens!H7742)</f>
        <v>273.20137587856</v>
      </c>
      <c r="I7882" s="6" t="n">
        <f aca="false">Sens!I7808+Sens!I7759+Sens!I7875*(Sens!I7778-Sens!I7742)</f>
        <v>311.302686638741</v>
      </c>
      <c r="J7882" s="6" t="n">
        <f aca="false">Sens!J7808+Sens!J7759+Sens!J7875*(Sens!J7778-Sens!J7742)</f>
        <v>347.947105558517</v>
      </c>
      <c r="K7882" s="6" t="n">
        <f aca="false">Sens!K7808+Sens!K7759+Sens!K7875*(Sens!K7778-Sens!K7742)</f>
        <v>382.697635482882</v>
      </c>
    </row>
    <row r="7883" customFormat="false" ht="17.15" hidden="false" customHeight="false" outlineLevel="0" collapsed="false">
      <c r="A7883" s="0" t="s">
        <v>956</v>
      </c>
      <c r="B7883" s="0" t="s">
        <v>95</v>
      </c>
      <c r="F7883" s="6" t="n">
        <f aca="false">Sens!F7882-Sens!F7876-Sens!F7877-Sens!F7878-Sens!F7879-Sens!F7881</f>
        <v>49.1254202249202</v>
      </c>
      <c r="G7883" s="6" t="n">
        <f aca="false">Sens!G7882-Sens!G7876-Sens!G7877-Sens!G7878-Sens!G7879-Sens!G7881</f>
        <v>55.4461905215742</v>
      </c>
      <c r="H7883" s="6" t="n">
        <f aca="false">Sens!H7882-Sens!H7876-Sens!H7877-Sens!H7878-Sens!H7879-Sens!H7881</f>
        <v>61.848964330491</v>
      </c>
      <c r="I7883" s="6" t="n">
        <f aca="false">Sens!I7882-Sens!I7876-Sens!I7877-Sens!I7878-Sens!I7879-Sens!I7881</f>
        <v>68.0617492803098</v>
      </c>
      <c r="J7883" s="6" t="n">
        <f aca="false">Sens!J7882-Sens!J7876-Sens!J7877-Sens!J7878-Sens!J7879-Sens!J7881</f>
        <v>73.4850787343329</v>
      </c>
      <c r="K7883" s="6" t="n">
        <f aca="false">Sens!K7882-Sens!K7876-Sens!K7877-Sens!K7878-Sens!K7879-Sens!K7881</f>
        <v>77.4471708668227</v>
      </c>
    </row>
    <row r="7884" customFormat="false" ht="17.15" hidden="false" customHeight="false" outlineLevel="0" collapsed="false">
      <c r="A7884" s="0" t="s">
        <v>957</v>
      </c>
      <c r="B7884" s="0" t="s">
        <v>95</v>
      </c>
      <c r="F7884" s="6" t="n">
        <f aca="false">Sens!F7810+Sens!F7875*Sens!F7785</f>
        <v>23.7259132410442</v>
      </c>
      <c r="G7884" s="6" t="n">
        <f aca="false">Sens!G7810+Sens!G7875*Sens!G7785</f>
        <v>24.1860078977028</v>
      </c>
      <c r="H7884" s="6" t="n">
        <f aca="false">Sens!H7810+Sens!H7875*Sens!H7785</f>
        <v>24.8162428669161</v>
      </c>
      <c r="I7884" s="6" t="n">
        <f aca="false">Sens!I7810+Sens!I7875*Sens!I7785</f>
        <v>25.5740680826666</v>
      </c>
      <c r="J7884" s="6" t="n">
        <f aca="false">Sens!J7810+Sens!J7875*Sens!J7785</f>
        <v>26.4187859117762</v>
      </c>
      <c r="K7884" s="6" t="n">
        <f aca="false">Sens!K7810+Sens!K7875*Sens!K7785</f>
        <v>27.314323165496</v>
      </c>
    </row>
    <row r="7885" customFormat="false" ht="17.15" hidden="false" customHeight="false" outlineLevel="0" collapsed="false">
      <c r="A7885" s="0" t="s">
        <v>958</v>
      </c>
      <c r="B7885" s="0" t="s">
        <v>95</v>
      </c>
      <c r="F7885" s="6" t="n">
        <f aca="false">(Sens!F7884-Sens!F7880)*Sens!F7781/(Sens!F7781+Sens!F7783)</f>
        <v>7.45051341051209</v>
      </c>
      <c r="G7885" s="6" t="n">
        <f aca="false">(Sens!G7884-Sens!G7880)*Sens!G7781/(Sens!G7781+Sens!G7783)</f>
        <v>7.09405305291084</v>
      </c>
      <c r="H7885" s="6" t="n">
        <f aca="false">(Sens!H7884-Sens!H7880)*Sens!H7781/(Sens!H7781+Sens!H7783)</f>
        <v>6.88497123298739</v>
      </c>
      <c r="I7885" s="6" t="n">
        <f aca="false">(Sens!I7884-Sens!I7880)*Sens!I7781/(Sens!I7781+Sens!I7783)</f>
        <v>6.80732236522817</v>
      </c>
      <c r="J7885" s="6" t="n">
        <f aca="false">(Sens!J7884-Sens!J7880)*Sens!J7781/(Sens!J7781+Sens!J7783)</f>
        <v>6.85147636876831</v>
      </c>
      <c r="K7885" s="6" t="n">
        <f aca="false">(Sens!K7884-Sens!K7880)*Sens!K7781/(Sens!K7781+Sens!K7783)</f>
        <v>7.01380998713899</v>
      </c>
    </row>
    <row r="7886" customFormat="false" ht="17.15" hidden="false" customHeight="false" outlineLevel="0" collapsed="false">
      <c r="A7886" s="0" t="s">
        <v>959</v>
      </c>
      <c r="B7886" s="0" t="s">
        <v>95</v>
      </c>
      <c r="F7886" s="6" t="n">
        <f aca="false">Sens!F7884-Sens!F7880-Sens!F7885</f>
        <v>6.14059528338184</v>
      </c>
      <c r="G7886" s="6" t="n">
        <f aca="false">Sens!G7884-Sens!G7880-Sens!G7885</f>
        <v>6.08172967390977</v>
      </c>
      <c r="H7886" s="6" t="n">
        <f aca="false">Sens!H7884-Sens!H7880-Sens!H7885</f>
        <v>6.07758637933614</v>
      </c>
      <c r="I7886" s="6" t="n">
        <f aca="false">Sens!I7884-Sens!I7880-Sens!I7885</f>
        <v>6.12606466752884</v>
      </c>
      <c r="J7886" s="6" t="n">
        <f aca="false">Sens!J7884-Sens!J7880-Sens!J7885</f>
        <v>6.22493089360445</v>
      </c>
      <c r="K7886" s="6" t="n">
        <f aca="false">Sens!K7884-Sens!K7880-Sens!K7885</f>
        <v>6.37241962474458</v>
      </c>
    </row>
    <row r="7887" customFormat="false" ht="17.15" hidden="false" customHeight="false" outlineLevel="0" collapsed="false">
      <c r="A7887" s="1" t="s">
        <v>960</v>
      </c>
      <c r="B7887" s="0" t="s">
        <v>95</v>
      </c>
      <c r="C7887" s="6" t="n">
        <f aca="false">(w_ntm28*Sens!G7881+(1-w_ntm28)*Sens!H7881)*m_ai*1</f>
        <v>338.776008390068</v>
      </c>
    </row>
    <row r="7888" customFormat="false" ht="17.15" hidden="false" customHeight="false" outlineLevel="0" collapsed="false">
      <c r="A7888" s="1" t="s">
        <v>961</v>
      </c>
      <c r="B7888" s="0" t="s">
        <v>95</v>
      </c>
      <c r="C7888" s="6" t="n">
        <f aca="false">(w_ntm28*Sens!G7883+(1-w_ntm28)*Sens!H7883)*m_cloud*1</f>
        <v>794.872893875633</v>
      </c>
    </row>
    <row r="7889" customFormat="false" ht="17.15" hidden="false" customHeight="false" outlineLevel="0" collapsed="false">
      <c r="A7889" s="1" t="s">
        <v>962</v>
      </c>
      <c r="B7889" s="0" t="s">
        <v>95</v>
      </c>
      <c r="C7889" s="6" t="n">
        <f aca="false">(w_ntm28*Sens!G7876+(1-w_ntm28)*Sens!H7876)*m_sw*1</f>
        <v>988.665072149311</v>
      </c>
    </row>
    <row r="7890" customFormat="false" ht="17.15" hidden="false" customHeight="false" outlineLevel="0" collapsed="false">
      <c r="A7890" s="1" t="s">
        <v>963</v>
      </c>
      <c r="B7890" s="0" t="s">
        <v>95</v>
      </c>
      <c r="C7890" s="6" t="n">
        <f aca="false">(w_ntm28*Sens!G7877+(1-w_ntm28)*Sens!H7877)*m_sw*1</f>
        <v>363.152471487732</v>
      </c>
    </row>
    <row r="7891" customFormat="false" ht="17.15" hidden="false" customHeight="false" outlineLevel="0" collapsed="false">
      <c r="A7891" s="1" t="s">
        <v>964</v>
      </c>
      <c r="B7891" s="0" t="s">
        <v>95</v>
      </c>
      <c r="C7891" s="6" t="n">
        <f aca="false">(w_ntm28*Sens!G7878+(1-w_ntm28)*Sens!H7878)*m_sw*1</f>
        <v>99.3107818825482</v>
      </c>
    </row>
    <row r="7892" customFormat="false" ht="17.15" hidden="false" customHeight="false" outlineLevel="0" collapsed="false">
      <c r="A7892" s="1" t="s">
        <v>965</v>
      </c>
      <c r="B7892" s="0" t="s">
        <v>95</v>
      </c>
      <c r="C7892" s="6" t="n">
        <f aca="false">(w_ntm28*Sens!G7879+(1-w_ntm28)*Sens!H7879)*m_sw*1</f>
        <v>37.8886983514129</v>
      </c>
    </row>
    <row r="7893" customFormat="false" ht="17.15" hidden="false" customHeight="false" outlineLevel="0" collapsed="false">
      <c r="A7893" s="1" t="s">
        <v>966</v>
      </c>
      <c r="B7893" s="0" t="s">
        <v>95</v>
      </c>
      <c r="C7893" s="6" t="n">
        <f aca="false">(w_ntm28*Sens!G7880+(1-w_ntm28)*Sens!H7880)*m_ads*1</f>
        <v>102.787268349988</v>
      </c>
    </row>
    <row r="7894" customFormat="false" ht="17.15" hidden="false" customHeight="false" outlineLevel="0" collapsed="false">
      <c r="A7894" s="1" t="s">
        <v>967</v>
      </c>
      <c r="B7894" s="0" t="s">
        <v>95</v>
      </c>
      <c r="C7894" s="6" t="n">
        <f aca="false">(w_ntm28*Sens!G7885+(1-w_ntm28)*Sens!H7885)*m_game*1</f>
        <v>88.7441832103058</v>
      </c>
    </row>
    <row r="7895" customFormat="false" ht="17.15" hidden="false" customHeight="false" outlineLevel="0" collapsed="false">
      <c r="A7895" s="1" t="s">
        <v>968</v>
      </c>
      <c r="B7895" s="0" t="s">
        <v>95</v>
      </c>
      <c r="C7895" s="6" t="n">
        <f aca="false">(w_ntm28*Sens!G7886+(1-w_ntm28)*Sens!H7886)*m_pc*1</f>
        <v>87.9832461629738</v>
      </c>
    </row>
    <row r="7896" customFormat="false" ht="17.15" hidden="false" customHeight="false" outlineLevel="0" collapsed="false">
      <c r="A7896" s="1" t="s">
        <v>969</v>
      </c>
      <c r="B7896" s="0" t="s">
        <v>95</v>
      </c>
      <c r="C7896" s="6" t="n">
        <f aca="false">Sens!$C$7887+Sens!$C$7888+Sens!$C$7889+Sens!$C$7890+Sens!$C$7891+Sens!$C$7892+Sens!$C$7893+Sens!$C$7894+Sens!$C$7895</f>
        <v>2902.18062385997</v>
      </c>
    </row>
    <row r="7897" customFormat="false" ht="17.15" hidden="false" customHeight="false" outlineLevel="0" collapsed="false">
      <c r="A7897" s="1" t="s">
        <v>903</v>
      </c>
      <c r="B7897" s="0" t="s">
        <v>95</v>
      </c>
      <c r="C7897" s="6" t="n">
        <f aca="false">Sens!F7854+oai_v-Sens!F7843</f>
        <v>106.779139878427</v>
      </c>
      <c r="L7897" s="1" t="s">
        <v>970</v>
      </c>
    </row>
    <row r="7898" customFormat="false" ht="15" hidden="false" customHeight="false" outlineLevel="0" collapsed="false">
      <c r="A7898" s="1" t="s">
        <v>904</v>
      </c>
      <c r="B7898" s="0" t="s">
        <v>73</v>
      </c>
      <c r="C7898" s="5" t="n">
        <f aca="false">(Sens!$C$7896+Sens!$C$7897)/Sens!F7856</f>
        <v>402.698041185546</v>
      </c>
    </row>
    <row r="7899" customFormat="false" ht="17.15" hidden="false" customHeight="false" outlineLevel="0" collapsed="false">
      <c r="A7899" s="1" t="s">
        <v>971</v>
      </c>
      <c r="B7899" s="0" t="s">
        <v>73</v>
      </c>
      <c r="C7899" s="5" t="n">
        <f aca="false">w_dcf*Sens!$C$7874+(1-w_dcf)*Sens!$C$7898</f>
        <v>290.502144152073</v>
      </c>
    </row>
    <row r="7900" customFormat="false" ht="17.15" hidden="false" customHeight="false" outlineLevel="0" collapsed="false">
      <c r="A7900" s="3" t="s">
        <v>1339</v>
      </c>
    </row>
    <row r="7901" customFormat="false" ht="15" hidden="false" customHeight="false" outlineLevel="0" collapsed="false">
      <c r="A7901" s="4" t="s">
        <v>43</v>
      </c>
      <c r="B7901" s="4" t="s">
        <v>63</v>
      </c>
      <c r="C7901" s="19" t="s">
        <v>710</v>
      </c>
      <c r="D7901" s="19" t="s">
        <v>711</v>
      </c>
      <c r="E7901" s="19" t="s">
        <v>712</v>
      </c>
      <c r="F7901" s="19" t="s">
        <v>713</v>
      </c>
      <c r="G7901" s="19" t="s">
        <v>714</v>
      </c>
      <c r="H7901" s="19" t="s">
        <v>715</v>
      </c>
      <c r="I7901" s="19" t="s">
        <v>716</v>
      </c>
      <c r="J7901" s="19" t="s">
        <v>717</v>
      </c>
      <c r="K7901" s="19" t="s">
        <v>718</v>
      </c>
      <c r="L7901" s="4" t="s">
        <v>47</v>
      </c>
    </row>
    <row r="7902" customFormat="false" ht="17.15" hidden="false" customHeight="false" outlineLevel="0" collapsed="false">
      <c r="A7902" s="1" t="s">
        <v>719</v>
      </c>
      <c r="B7902" s="0" t="s">
        <v>340</v>
      </c>
      <c r="C7902" s="27" t="n">
        <f aca="false">mw_ext_24</f>
        <v>640</v>
      </c>
      <c r="D7902" s="27" t="n">
        <f aca="false">mw_ext_25</f>
        <v>1630</v>
      </c>
      <c r="E7902" s="27" t="n">
        <f aca="false">mw_ext_26</f>
        <v>3250</v>
      </c>
      <c r="F7902" s="27" t="n">
        <f aca="false">MIN(1000000000,Sens!E7902+pace)</f>
        <v>5777.2</v>
      </c>
      <c r="G7902" s="27" t="n">
        <f aca="false">MIN(1000000000,Sens!F7902+pace)</f>
        <v>8304.4</v>
      </c>
      <c r="H7902" s="27" t="n">
        <f aca="false">MIN(1000000000,Sens!G7902+pace)</f>
        <v>10831.6</v>
      </c>
      <c r="I7902" s="27" t="n">
        <f aca="false">MIN(1000000000,Sens!H7902+pace)</f>
        <v>13358.8</v>
      </c>
      <c r="J7902" s="27" t="n">
        <f aca="false">MIN(1000000000,Sens!I7902+pace)</f>
        <v>15886</v>
      </c>
      <c r="K7902" s="27" t="n">
        <f aca="false">MIN(1000000000,Sens!J7902+pace)</f>
        <v>18413.2</v>
      </c>
      <c r="L7902" s="11" t="s">
        <v>720</v>
      </c>
    </row>
    <row r="7903" customFormat="false" ht="17.15" hidden="false" customHeight="false" outlineLevel="0" collapsed="false">
      <c r="A7903" s="1" t="s">
        <v>721</v>
      </c>
      <c r="B7903" s="0" t="s">
        <v>340</v>
      </c>
      <c r="C7903" s="27" t="n">
        <f aca="false">rent_ext_24</f>
        <v>150</v>
      </c>
      <c r="D7903" s="27" t="n">
        <f aca="false">rent_ext_25</f>
        <v>400</v>
      </c>
      <c r="E7903" s="27" t="n">
        <f aca="false">rent_ext_26</f>
        <v>550</v>
      </c>
      <c r="F7903" s="27" t="n">
        <f aca="false">rent_ext_f</f>
        <v>756</v>
      </c>
      <c r="G7903" s="27" t="n">
        <f aca="false">rent_ext_f</f>
        <v>756</v>
      </c>
      <c r="H7903" s="27" t="n">
        <f aca="false">rent_ext_f</f>
        <v>756</v>
      </c>
      <c r="I7903" s="27" t="n">
        <f aca="false">rent_ext_f</f>
        <v>756</v>
      </c>
      <c r="J7903" s="27" t="n">
        <f aca="false">rent_ext_f</f>
        <v>756</v>
      </c>
      <c r="K7903" s="27" t="n">
        <f aca="false">rent_ext_f</f>
        <v>756</v>
      </c>
      <c r="L7903" s="1" t="s">
        <v>722</v>
      </c>
    </row>
    <row r="7904" customFormat="false" ht="17.15" hidden="false" customHeight="false" outlineLevel="0" collapsed="false">
      <c r="A7904" s="1" t="s">
        <v>723</v>
      </c>
      <c r="B7904" s="0" t="s">
        <v>340</v>
      </c>
      <c r="C7904" s="27" t="n">
        <f aca="false">Sens!C7902-Sens!C7903</f>
        <v>490</v>
      </c>
      <c r="D7904" s="27" t="n">
        <f aca="false">Sens!D7902-Sens!D7903</f>
        <v>1230</v>
      </c>
      <c r="E7904" s="27" t="n">
        <f aca="false">Sens!E7902-Sens!E7903</f>
        <v>2700</v>
      </c>
      <c r="F7904" s="27" t="n">
        <f aca="false">Sens!F7902-Sens!F7903</f>
        <v>5021.2</v>
      </c>
      <c r="G7904" s="27" t="n">
        <f aca="false">Sens!G7902-Sens!G7903</f>
        <v>7548.4</v>
      </c>
      <c r="H7904" s="27" t="n">
        <f aca="false">Sens!H7902-Sens!H7903</f>
        <v>10075.6</v>
      </c>
      <c r="I7904" s="27" t="n">
        <f aca="false">Sens!I7902-Sens!I7903</f>
        <v>12602.8</v>
      </c>
      <c r="J7904" s="27" t="n">
        <f aca="false">Sens!J7902-Sens!J7903</f>
        <v>15130</v>
      </c>
      <c r="K7904" s="27" t="n">
        <f aca="false">Sens!K7902-Sens!K7903</f>
        <v>17657.2</v>
      </c>
    </row>
    <row r="7905" customFormat="false" ht="17.15" hidden="false" customHeight="false" outlineLevel="0" collapsed="false">
      <c r="A7905" s="1" t="s">
        <v>724</v>
      </c>
      <c r="B7905" s="0" t="s">
        <v>340</v>
      </c>
      <c r="C7905" s="27" t="n">
        <f aca="false">Sens!C7904/ext_sh</f>
        <v>816.666666666667</v>
      </c>
      <c r="D7905" s="27" t="n">
        <f aca="false">Sens!D7904/ext_sh</f>
        <v>2050</v>
      </c>
      <c r="E7905" s="27" t="n">
        <f aca="false">Sens!E7904/ext_sh</f>
        <v>4500</v>
      </c>
      <c r="F7905" s="27" t="n">
        <f aca="false">Sens!F7904/ext_sh</f>
        <v>8368.66666666667</v>
      </c>
      <c r="G7905" s="27" t="n">
        <f aca="false">Sens!G7904/ext_sh</f>
        <v>12580.6666666667</v>
      </c>
      <c r="H7905" s="27" t="n">
        <f aca="false">Sens!H7904/ext_sh</f>
        <v>16792.6666666667</v>
      </c>
      <c r="I7905" s="27" t="n">
        <f aca="false">Sens!I7904/ext_sh</f>
        <v>21004.6666666667</v>
      </c>
      <c r="J7905" s="27" t="n">
        <f aca="false">Sens!J7904/ext_sh</f>
        <v>25216.6666666667</v>
      </c>
      <c r="K7905" s="27" t="n">
        <f aca="false">Sens!K7904/ext_sh</f>
        <v>29428.6666666667</v>
      </c>
      <c r="L7905" s="1" t="s">
        <v>725</v>
      </c>
    </row>
    <row r="7906" customFormat="false" ht="17.15" hidden="false" customHeight="false" outlineLevel="0" collapsed="false">
      <c r="A7906" s="1" t="s">
        <v>726</v>
      </c>
      <c r="B7906" s="0" t="s">
        <v>340</v>
      </c>
      <c r="C7906" s="27" t="n">
        <f aca="false">Sens!C7905-Sens!C7904</f>
        <v>326.666666666667</v>
      </c>
      <c r="D7906" s="27" t="n">
        <f aca="false">Sens!D7905-Sens!D7904</f>
        <v>820</v>
      </c>
      <c r="E7906" s="27" t="n">
        <f aca="false">Sens!E7905-Sens!E7904</f>
        <v>1800</v>
      </c>
      <c r="F7906" s="27" t="n">
        <f aca="false">Sens!F7905-Sens!F7904</f>
        <v>3347.46666666667</v>
      </c>
      <c r="G7906" s="27" t="n">
        <f aca="false">Sens!G7905-Sens!G7904</f>
        <v>5032.26666666667</v>
      </c>
      <c r="H7906" s="27" t="n">
        <f aca="false">Sens!H7905-Sens!H7904</f>
        <v>6717.06666666667</v>
      </c>
      <c r="I7906" s="27" t="n">
        <f aca="false">Sens!I7905-Sens!I7904</f>
        <v>8401.86666666667</v>
      </c>
      <c r="J7906" s="27" t="n">
        <f aca="false">Sens!J7905-Sens!J7904</f>
        <v>10086.6666666667</v>
      </c>
      <c r="K7906" s="27" t="n">
        <f aca="false">Sens!K7905-Sens!K7904</f>
        <v>11771.4666666667</v>
      </c>
    </row>
    <row r="7907" customFormat="false" ht="17.15" hidden="false" customHeight="false" outlineLevel="0" collapsed="false">
      <c r="A7907" s="1" t="s">
        <v>727</v>
      </c>
      <c r="B7907" s="0" t="s">
        <v>340</v>
      </c>
      <c r="C7907" s="27" t="n">
        <f aca="false">Sens!C7905</f>
        <v>816.666666666667</v>
      </c>
      <c r="D7907" s="27" t="n">
        <f aca="false">Sens!D7905-Sens!C7905</f>
        <v>1233.33333333333</v>
      </c>
      <c r="E7907" s="27" t="n">
        <f aca="false">Sens!E7905-Sens!D7905</f>
        <v>2450</v>
      </c>
      <c r="F7907" s="27" t="n">
        <f aca="false">Sens!F7905-Sens!E7905</f>
        <v>3868.66666666667</v>
      </c>
      <c r="G7907" s="27" t="n">
        <f aca="false">Sens!G7905-Sens!F7905</f>
        <v>4212</v>
      </c>
      <c r="H7907" s="27" t="n">
        <f aca="false">Sens!H7905-Sens!G7905</f>
        <v>4212</v>
      </c>
      <c r="I7907" s="27" t="n">
        <f aca="false">Sens!I7905-Sens!H7905</f>
        <v>4212</v>
      </c>
      <c r="J7907" s="27" t="n">
        <f aca="false">Sens!J7905-Sens!I7905</f>
        <v>4212</v>
      </c>
      <c r="K7907" s="27" t="n">
        <f aca="false">Sens!K7905-Sens!J7905</f>
        <v>4212</v>
      </c>
    </row>
    <row r="7908" customFormat="false" ht="17.15" hidden="false" customHeight="false" outlineLevel="0" collapsed="false">
      <c r="A7908" s="1" t="s">
        <v>728</v>
      </c>
      <c r="B7908" s="0" t="s">
        <v>340</v>
      </c>
      <c r="D7908" s="27" t="n">
        <f aca="false">Sens!D7902-Sens!C7902</f>
        <v>990</v>
      </c>
      <c r="E7908" s="27" t="n">
        <f aca="false">Sens!E7902-Sens!D7902</f>
        <v>1620</v>
      </c>
      <c r="F7908" s="27" t="n">
        <f aca="false">Sens!F7902-Sens!E7902</f>
        <v>2527.2</v>
      </c>
      <c r="G7908" s="27" t="n">
        <f aca="false">Sens!G7902-Sens!F7902</f>
        <v>2527.2</v>
      </c>
      <c r="H7908" s="27" t="n">
        <f aca="false">Sens!H7902-Sens!G7902</f>
        <v>2527.2</v>
      </c>
      <c r="I7908" s="27" t="n">
        <f aca="false">Sens!I7902-Sens!H7902</f>
        <v>2527.2</v>
      </c>
      <c r="J7908" s="27" t="n">
        <f aca="false">Sens!J7902-Sens!I7902</f>
        <v>2527.2</v>
      </c>
      <c r="K7908" s="27" t="n">
        <f aca="false">Sens!K7902-Sens!J7902</f>
        <v>2527.2</v>
      </c>
    </row>
    <row r="7909" customFormat="false" ht="17.15" hidden="false" customHeight="false" outlineLevel="0" collapsed="false">
      <c r="A7909" s="1" t="s">
        <v>729</v>
      </c>
      <c r="B7909" s="0" t="s">
        <v>340</v>
      </c>
      <c r="C7909" s="27" t="n">
        <f aca="false">mix_h*Sens!C7902</f>
        <v>128</v>
      </c>
      <c r="D7909" s="27" t="n">
        <f aca="false">mix_h*Sens!D7902</f>
        <v>326</v>
      </c>
      <c r="E7909" s="27" t="n">
        <f aca="false">mix_h*Sens!E7902</f>
        <v>650</v>
      </c>
      <c r="F7909" s="27" t="n">
        <f aca="false">Sens!E7909</f>
        <v>650</v>
      </c>
      <c r="G7909" s="27" t="n">
        <f aca="false">Sens!F7909</f>
        <v>650</v>
      </c>
      <c r="H7909" s="27" t="n">
        <f aca="false">Sens!G7909</f>
        <v>650</v>
      </c>
      <c r="I7909" s="27" t="n">
        <f aca="false">Sens!H7909</f>
        <v>650</v>
      </c>
      <c r="J7909" s="27" t="n">
        <f aca="false">Sens!I7909</f>
        <v>650</v>
      </c>
      <c r="K7909" s="27" t="n">
        <f aca="false">Sens!J7909</f>
        <v>650</v>
      </c>
    </row>
    <row r="7910" customFormat="false" ht="17.15" hidden="false" customHeight="false" outlineLevel="0" collapsed="false">
      <c r="A7910" s="1" t="s">
        <v>730</v>
      </c>
      <c r="B7910" s="0" t="s">
        <v>340</v>
      </c>
      <c r="C7910" s="27" t="n">
        <f aca="false">mix_g2*Sens!C7902</f>
        <v>288</v>
      </c>
      <c r="D7910" s="27" t="n">
        <f aca="false">mix_g2*Sens!D7902</f>
        <v>733.5</v>
      </c>
      <c r="E7910" s="27" t="n">
        <f aca="false">mix_g2*Sens!E7902</f>
        <v>1462.5</v>
      </c>
      <c r="F7910" s="27" t="n">
        <f aca="false">Sens!E7910</f>
        <v>1462.5</v>
      </c>
      <c r="G7910" s="27" t="n">
        <f aca="false">Sens!F7910</f>
        <v>1462.5</v>
      </c>
      <c r="H7910" s="27" t="n">
        <f aca="false">Sens!G7910</f>
        <v>1462.5</v>
      </c>
      <c r="I7910" s="27" t="n">
        <f aca="false">Sens!H7910</f>
        <v>1462.5</v>
      </c>
      <c r="J7910" s="27" t="n">
        <f aca="false">Sens!I7910</f>
        <v>1462.5</v>
      </c>
      <c r="K7910" s="27" t="n">
        <f aca="false">Sens!J7910</f>
        <v>1462.5</v>
      </c>
    </row>
    <row r="7911" customFormat="false" ht="17.15" hidden="false" customHeight="false" outlineLevel="0" collapsed="false">
      <c r="A7911" s="1" t="s">
        <v>731</v>
      </c>
      <c r="B7911" s="0" t="s">
        <v>340</v>
      </c>
      <c r="C7911" s="27" t="n">
        <f aca="false">mix_g3*Sens!C7902</f>
        <v>224</v>
      </c>
      <c r="D7911" s="27" t="n">
        <f aca="false">mix_g3*Sens!D7902</f>
        <v>570.5</v>
      </c>
      <c r="E7911" s="27" t="n">
        <f aca="false">mix_g3*Sens!E7902</f>
        <v>1137.5</v>
      </c>
      <c r="F7911" s="27" t="n">
        <f aca="false">Sens!E7911+Sens!F7908*a_g3_27</f>
        <v>2906.54</v>
      </c>
      <c r="G7911" s="27" t="n">
        <f aca="false">Sens!F7911+Sens!G7908*a_g3_28</f>
        <v>3664.7</v>
      </c>
      <c r="H7911" s="27" t="n">
        <f aca="false">Sens!G7911+Sens!H7908*a_g3_29</f>
        <v>3917.42</v>
      </c>
      <c r="I7911" s="27" t="n">
        <f aca="false">Sens!H7911+Sens!I7908*a_g3_29</f>
        <v>4170.14</v>
      </c>
      <c r="J7911" s="27" t="n">
        <f aca="false">Sens!I7911+Sens!J7908*a_g3_29</f>
        <v>4422.86</v>
      </c>
      <c r="K7911" s="27" t="n">
        <f aca="false">Sens!J7911+Sens!K7908*a_g3_29</f>
        <v>4675.58</v>
      </c>
    </row>
    <row r="7912" customFormat="false" ht="17.15" hidden="false" customHeight="false" outlineLevel="0" collapsed="false">
      <c r="A7912" s="1" t="s">
        <v>732</v>
      </c>
      <c r="B7912" s="0" t="s">
        <v>340</v>
      </c>
      <c r="C7912" s="27" t="n">
        <f aca="false">0</f>
        <v>0</v>
      </c>
      <c r="D7912" s="27" t="n">
        <f aca="false">0</f>
        <v>0</v>
      </c>
      <c r="E7912" s="27" t="n">
        <f aca="false">0</f>
        <v>0</v>
      </c>
      <c r="F7912" s="27" t="n">
        <f aca="false">Sens!E7912+Sens!F7908*(1-a_g3_27)</f>
        <v>758.16</v>
      </c>
      <c r="G7912" s="27" t="n">
        <f aca="false">Sens!F7912+Sens!G7908*(1-a_g3_28)</f>
        <v>2527.2</v>
      </c>
      <c r="H7912" s="27" t="n">
        <f aca="false">Sens!G7912+Sens!H7908*(1-a_g3_29)</f>
        <v>4801.68</v>
      </c>
      <c r="I7912" s="27" t="n">
        <f aca="false">Sens!H7912+Sens!I7908*(1-a_g3_29)</f>
        <v>7076.16</v>
      </c>
      <c r="J7912" s="27" t="n">
        <f aca="false">Sens!I7912+Sens!J7908*(1-a_g3_29)</f>
        <v>9350.64</v>
      </c>
      <c r="K7912" s="27" t="n">
        <f aca="false">Sens!J7912+Sens!K7908*(1-a_g3_29)</f>
        <v>11625.12</v>
      </c>
    </row>
    <row r="7913" customFormat="false" ht="17.15" hidden="false" customHeight="false" outlineLevel="0" collapsed="false">
      <c r="A7913" s="1" t="s">
        <v>733</v>
      </c>
      <c r="B7913" s="0" t="s">
        <v>291</v>
      </c>
      <c r="C7913" s="18" t="n">
        <f aca="false">(Sens!C7909*tk_hold_h100+Sens!C7910*tk_hold_gb200+Sens!C7911*tk_hold_gb300+Sens!C7912*tk_hold_vr200)/Sens!C7902</f>
        <v>9.7235358126469</v>
      </c>
      <c r="D7913" s="18" t="n">
        <f aca="false">(Sens!D7909*tk_hold_h100+Sens!D7910*tk_hold_gb200+Sens!D7911*tk_hold_gb300+Sens!D7912*tk_hold_vr200)/Sens!D7902</f>
        <v>9.7235358126469</v>
      </c>
      <c r="E7913" s="18" t="n">
        <f aca="false">(Sens!E7909*tk_hold_h100+Sens!E7910*tk_hold_gb200+Sens!E7911*tk_hold_gb300+Sens!E7912*tk_hold_vr200)/Sens!E7902</f>
        <v>9.7235358126469</v>
      </c>
      <c r="F7913" s="18" t="n">
        <f aca="false">(Sens!F7909*tk_hold_h100+Sens!F7910*tk_hold_gb200+Sens!F7911*tk_hold_gb300+Sens!F7912*tk_hold_vr200)/Sens!F7902</f>
        <v>10.4079573161931</v>
      </c>
      <c r="G7913" s="18" t="n">
        <f aca="false">(Sens!G7909*tk_hold_h100+Sens!G7910*tk_hold_gb200+Sens!G7911*tk_hold_gb300+Sens!G7912*tk_hold_vr200)/Sens!G7902</f>
        <v>10.8388131109316</v>
      </c>
      <c r="H7913" s="18" t="n">
        <f aca="false">(Sens!H7909*tk_hold_h100+Sens!H7910*tk_hold_gb200+Sens!H7911*tk_hold_gb300+Sens!H7912*tk_hold_vr200)/Sens!H7902</f>
        <v>11.1311018388216</v>
      </c>
      <c r="I7913" s="18" t="n">
        <f aca="false">(Sens!I7909*tk_hold_h100+Sens!I7910*tk_hold_gb200+Sens!I7911*tk_hold_gb300+Sens!I7912*tk_hold_vr200)/Sens!I7902</f>
        <v>11.3128009818501</v>
      </c>
      <c r="J7913" s="18" t="n">
        <f aca="false">(Sens!J7909*tk_hold_h100+Sens!J7910*tk_hold_gb200+Sens!J7911*tk_hold_gb300+Sens!J7912*tk_hold_vr200)/Sens!J7902</f>
        <v>11.4366894646418</v>
      </c>
      <c r="K7913" s="18" t="n">
        <f aca="false">(Sens!K7909*tk_hold_h100+Sens!K7910*tk_hold_gb200+Sens!K7911*tk_hold_gb300+Sens!K7912*tk_hold_vr200)/Sens!K7902</f>
        <v>11.526570716348</v>
      </c>
    </row>
    <row r="7914" customFormat="false" ht="17.15" hidden="false" customHeight="false" outlineLevel="0" collapsed="false">
      <c r="A7914" s="0" t="s">
        <v>734</v>
      </c>
      <c r="B7914" s="0" t="s">
        <v>182</v>
      </c>
      <c r="C7914" s="18" t="n">
        <f aca="false">k_B</f>
        <v>1.17213932619116</v>
      </c>
      <c r="D7914" s="18" t="n">
        <f aca="false">k_B</f>
        <v>1.17213932619116</v>
      </c>
      <c r="E7914" s="18" t="n">
        <f aca="false">k_B</f>
        <v>1.17213932619116</v>
      </c>
      <c r="F7914" s="18" t="n">
        <f aca="false">(k_B+((ls_A*k_long+(1-ls_A)*k_spot)-k_B)*MIN(1,1/3))*1</f>
        <v>1.25022828131298</v>
      </c>
      <c r="G7914" s="18" t="n">
        <f aca="false">(k_B+((ls_A*k_long+(1-ls_A)*k_spot)-k_B)*MIN(1,2/3))*1</f>
        <v>1.3283172364348</v>
      </c>
      <c r="H7914" s="18" t="n">
        <f aca="false">(k_B+((ls_A*k_long+(1-ls_A)*k_spot)-k_B)*MIN(1,3/3))*1</f>
        <v>1.40640619155662</v>
      </c>
      <c r="I7914" s="18" t="n">
        <f aca="false">(k_B+((ls_A*k_long+(1-ls_A)*k_spot)-k_B)*MIN(1,4/3))*1</f>
        <v>1.40640619155662</v>
      </c>
      <c r="J7914" s="18" t="n">
        <f aca="false">(k_B+((ls_A*k_long+(1-ls_A)*k_spot)-k_B)*MIN(1,5/3))*1</f>
        <v>1.40640619155662</v>
      </c>
      <c r="K7914" s="18" t="n">
        <f aca="false">(k_B+((ls_A*k_long+(1-ls_A)*k_spot)-k_B)*MIN(1,6/3))*1</f>
        <v>1.40640619155662</v>
      </c>
      <c r="L7914" s="1" t="s">
        <v>735</v>
      </c>
    </row>
    <row r="7915" customFormat="false" ht="17.15" hidden="false" customHeight="false" outlineLevel="0" collapsed="false">
      <c r="A7915" s="1" t="s">
        <v>736</v>
      </c>
      <c r="B7915" s="0" t="s">
        <v>291</v>
      </c>
      <c r="C7915" s="18" t="n">
        <f aca="false">Sens!C7913*Sens!C7914*chip_f</f>
        <v>11.3973387156315</v>
      </c>
      <c r="D7915" s="18" t="n">
        <f aca="false">Sens!D7913*Sens!D7914*chip_f</f>
        <v>11.3973387156315</v>
      </c>
      <c r="E7915" s="18" t="n">
        <f aca="false">Sens!E7913*Sens!E7914*chip_f</f>
        <v>11.3973387156315</v>
      </c>
      <c r="F7915" s="18" t="n">
        <f aca="false">Sens!F7913*Sens!F7914*chip_f</f>
        <v>13.0123225874029</v>
      </c>
      <c r="G7915" s="18" t="n">
        <f aca="false">Sens!G7913*Sens!G7914*chip_f</f>
        <v>14.3973822777458</v>
      </c>
      <c r="H7915" s="18" t="n">
        <f aca="false">Sens!H7913*Sens!H7914*chip_f</f>
        <v>15.6548505449659</v>
      </c>
      <c r="I7915" s="18" t="n">
        <f aca="false">Sens!I7913*Sens!I7914*chip_f</f>
        <v>15.9103933447218</v>
      </c>
      <c r="J7915" s="18" t="n">
        <f aca="false">Sens!J7913*Sens!J7914*chip_f</f>
        <v>16.0846308739825</v>
      </c>
      <c r="K7915" s="18" t="n">
        <f aca="false">Sens!K7913*Sens!K7914*chip_f</f>
        <v>16.211040422887</v>
      </c>
      <c r="L7915" s="1" t="s">
        <v>737</v>
      </c>
    </row>
    <row r="7916" customFormat="false" ht="17.15" hidden="false" customHeight="false" outlineLevel="0" collapsed="false">
      <c r="A7916" s="0" t="s">
        <v>738</v>
      </c>
      <c r="B7916" s="0" t="s">
        <v>95</v>
      </c>
      <c r="D7916" s="6" t="n">
        <f aca="false">(Sens!C7902+Sens!D7902)/2*Sens!D7915/1000</f>
        <v>12.9359794422418</v>
      </c>
      <c r="E7916" s="6" t="n">
        <f aca="false">(Sens!D7902+Sens!E7902)/2*Sens!E7915/1000</f>
        <v>27.8095064661409</v>
      </c>
      <c r="F7916" s="6" t="n">
        <f aca="false">(Sens!E7902+Sens!F7902)/2*Sens!F7915/1000</f>
        <v>58.7324192305018</v>
      </c>
      <c r="G7916" s="6" t="n">
        <f aca="false">(Sens!F7902+Sens!G7902)/2*Sens!G7915/1000</f>
        <v>101.369089141153</v>
      </c>
      <c r="H7916" s="6" t="n">
        <f aca="false">(Sens!G7902+Sens!H7902)/2*Sens!H7915/1000</f>
        <v>149.785610014234</v>
      </c>
      <c r="I7916" s="6" t="n">
        <f aca="false">(Sens!H7902+Sens!I7902)/2*Sens!I7915/1000</f>
        <v>192.439389583079</v>
      </c>
      <c r="J7916" s="6" t="n">
        <f aca="false">(Sens!I7902+Sens!J7902)/2*Sens!J7915/1000</f>
        <v>235.195906491722</v>
      </c>
      <c r="K7916" s="6" t="n">
        <f aca="false">(Sens!J7902+Sens!K7902)/2*Sens!K7915/1000</f>
        <v>278.012858836343</v>
      </c>
      <c r="L7916" s="11" t="s">
        <v>739</v>
      </c>
    </row>
    <row r="7917" customFormat="false" ht="17.15" hidden="false" customHeight="false" outlineLevel="0" collapsed="false">
      <c r="A7917" s="1" t="s">
        <v>740</v>
      </c>
      <c r="B7917" s="0" t="s">
        <v>291</v>
      </c>
      <c r="C7917" s="18" t="n">
        <f aca="false">(Sens!C7909*tk_opex_h100+Sens!C7910*tk_opex_gb200+Sens!C7911*tk_opex_gb300+Sens!C7912*tk_opex_vr200)/Sens!C7902</f>
        <v>1.88636041306092</v>
      </c>
      <c r="D7917" s="18" t="n">
        <f aca="false">(Sens!D7909*tk_opex_h100+Sens!D7910*tk_opex_gb200+Sens!D7911*tk_opex_gb300+Sens!D7912*tk_opex_vr200)/Sens!D7902</f>
        <v>1.88636041306092</v>
      </c>
      <c r="E7917" s="18" t="n">
        <f aca="false">(Sens!E7909*tk_opex_h100+Sens!E7910*tk_opex_gb200+Sens!E7911*tk_opex_gb300+Sens!E7912*tk_opex_vr200)/Sens!E7902</f>
        <v>1.88636041306092</v>
      </c>
      <c r="F7917" s="18" t="n">
        <f aca="false">(Sens!F7909*tk_opex_h100+Sens!F7910*tk_opex_gb200+Sens!F7911*tk_opex_gb300+Sens!F7912*tk_opex_vr200)/Sens!F7902</f>
        <v>1.9430236476499</v>
      </c>
      <c r="G7917" s="18" t="n">
        <f aca="false">(Sens!G7909*tk_opex_h100+Sens!G7910*tk_opex_gb200+Sens!G7911*tk_opex_gb300+Sens!G7912*tk_opex_vr200)/Sens!G7902</f>
        <v>1.9786941852423</v>
      </c>
      <c r="H7917" s="18" t="n">
        <f aca="false">(Sens!H7909*tk_opex_h100+Sens!H7910*tk_opex_gb200+Sens!H7911*tk_opex_gb300+Sens!H7912*tk_opex_vr200)/Sens!H7902</f>
        <v>2.00289275976156</v>
      </c>
      <c r="I7917" s="18" t="n">
        <f aca="false">(Sens!I7909*tk_opex_h100+Sens!I7910*tk_opex_gb200+Sens!I7911*tk_opex_gb300+Sens!I7912*tk_opex_vr200)/Sens!I7902</f>
        <v>2.01793562605478</v>
      </c>
      <c r="J7917" s="18" t="n">
        <f aca="false">(Sens!J7909*tk_opex_h100+Sens!J7910*tk_opex_gb200+Sens!J7911*tk_opex_gb300+Sens!J7912*tk_opex_vr200)/Sens!J7902</f>
        <v>2.02819234961902</v>
      </c>
      <c r="K7917" s="18" t="n">
        <f aca="false">(Sens!K7909*tk_opex_h100+Sens!K7910*tk_opex_gb200+Sens!K7911*tk_opex_gb300+Sens!K7912*tk_opex_vr200)/Sens!K7902</f>
        <v>2.0356336155994</v>
      </c>
    </row>
    <row r="7918" customFormat="false" ht="17.15" hidden="false" customHeight="false" outlineLevel="0" collapsed="false">
      <c r="A7918" s="0" t="s">
        <v>741</v>
      </c>
      <c r="B7918" s="0" t="s">
        <v>95</v>
      </c>
      <c r="D7918" s="6" t="n">
        <f aca="false">(Sens!C7905+Sens!D7905)/2*Sens!D7917/1000</f>
        <v>2.70378325872065</v>
      </c>
      <c r="E7918" s="6" t="n">
        <f aca="false">(Sens!D7905+Sens!E7905)/2*Sens!E7917/1000</f>
        <v>6.17783035277451</v>
      </c>
      <c r="F7918" s="6" t="n">
        <f aca="false">(Sens!E7905+Sens!F7905)/2*Sens!F7917/1000</f>
        <v>12.5020618235287</v>
      </c>
      <c r="G7918" s="6" t="n">
        <f aca="false">(Sens!F7905+Sens!G7905)/2*Sens!G7917/1000</f>
        <v>20.7261620256847</v>
      </c>
      <c r="H7918" s="6" t="n">
        <f aca="false">(Sens!G7905+Sens!H7905)/2*Sens!H7917/1000</f>
        <v>29.4158183316982</v>
      </c>
      <c r="I7918" s="6" t="n">
        <f aca="false">(Sens!H7905+Sens!I7905)/2*Sens!I7917/1000</f>
        <v>38.1362927516005</v>
      </c>
      <c r="J7918" s="6" t="n">
        <f aca="false">(Sens!I7905+Sens!J7905)/2*Sens!J7917/1000</f>
        <v>46.8728773279286</v>
      </c>
      <c r="K7918" s="6" t="n">
        <f aca="false">(Sens!J7905+Sens!K7905)/2*Sens!K7917/1000</f>
        <v>55.618938734484</v>
      </c>
    </row>
    <row r="7919" customFormat="false" ht="17.15" hidden="false" customHeight="false" outlineLevel="0" collapsed="false">
      <c r="A7919" s="0" t="s">
        <v>742</v>
      </c>
      <c r="B7919" s="0" t="s">
        <v>95</v>
      </c>
      <c r="D7919" s="6" t="n">
        <f aca="false">(Sens!C7903+Sens!D7903)/2*rent_mw/1000</f>
        <v>2.44475</v>
      </c>
      <c r="E7919" s="6" t="n">
        <f aca="false">(Sens!D7903+Sens!E7903)/2*rent_mw/1000</f>
        <v>4.22275</v>
      </c>
      <c r="F7919" s="6" t="n">
        <f aca="false">(Sens!E7903+Sens!F7903)/2*rent_mw/1000</f>
        <v>5.80517</v>
      </c>
      <c r="G7919" s="6" t="n">
        <f aca="false">(Sens!F7903+Sens!G7903)/2*rent_mw/1000</f>
        <v>6.72084</v>
      </c>
      <c r="H7919" s="6" t="n">
        <f aca="false">(Sens!G7903+Sens!H7903)/2*rent_mw/1000</f>
        <v>6.72084</v>
      </c>
      <c r="I7919" s="6" t="n">
        <f aca="false">(Sens!H7903+Sens!I7903)/2*rent_mw/1000</f>
        <v>6.72084</v>
      </c>
      <c r="J7919" s="6" t="n">
        <f aca="false">(Sens!I7903+Sens!J7903)/2*rent_mw/1000</f>
        <v>6.72084</v>
      </c>
      <c r="K7919" s="6" t="n">
        <f aca="false">(Sens!J7903+Sens!K7903)/2*rent_mw/1000</f>
        <v>6.72084</v>
      </c>
    </row>
    <row r="7920" customFormat="false" ht="17.15" hidden="false" customHeight="false" outlineLevel="0" collapsed="false">
      <c r="A7920" s="0" t="s">
        <v>743</v>
      </c>
      <c r="B7920" s="0" t="s">
        <v>95</v>
      </c>
      <c r="D7920" s="6" t="n">
        <f aca="false">(Sens!C7905+Sens!D7905)/2*(1-self_build)*fac_rent/1000</f>
        <v>0.853242375631075</v>
      </c>
      <c r="E7920" s="6" t="n">
        <f aca="false">(Sens!D7905+Sens!E7905)/2*(1-self_build)*fac_rent/1000</f>
        <v>1.94955961408728</v>
      </c>
      <c r="F7920" s="6" t="n">
        <f aca="false">(Sens!E7905+Sens!F7905)/2*(1-self_build)*fac_rent/1000</f>
        <v>3.83026455274573</v>
      </c>
      <c r="G7920" s="6" t="n">
        <f aca="false">(Sens!F7905+Sens!G7905)/2*(1-self_build)*fac_rent/1000</f>
        <v>6.23541590972812</v>
      </c>
      <c r="H7920" s="6" t="n">
        <f aca="false">(Sens!G7905+Sens!H7905)/2*(1-self_build)*fac_rent/1000</f>
        <v>8.74275792332679</v>
      </c>
      <c r="I7920" s="6" t="n">
        <f aca="false">(Sens!H7905+Sens!I7905)/2*(1-self_build)*fac_rent/1000</f>
        <v>11.2500999369255</v>
      </c>
      <c r="J7920" s="6" t="n">
        <f aca="false">(Sens!I7905+Sens!J7905)/2*(1-self_build)*fac_rent/1000</f>
        <v>13.7574419505241</v>
      </c>
      <c r="K7920" s="6" t="n">
        <f aca="false">(Sens!J7905+Sens!K7905)/2*(1-self_build)*fac_rent/1000</f>
        <v>16.2647839641228</v>
      </c>
      <c r="L7920" s="11" t="s">
        <v>744</v>
      </c>
    </row>
    <row r="7921" customFormat="false" ht="17.15" hidden="false" customHeight="false" outlineLevel="0" collapsed="false">
      <c r="A7921" s="1" t="s">
        <v>745</v>
      </c>
      <c r="B7921" s="0" t="s">
        <v>126</v>
      </c>
      <c r="D7921" s="7" t="n">
        <f aca="false">(Sens!C7904+Sens!D7904)/(Sens!C7905+Sens!D7905)</f>
        <v>0.6</v>
      </c>
      <c r="E7921" s="7" t="n">
        <f aca="false">(Sens!D7904+Sens!E7904)/(Sens!D7905+Sens!E7905)</f>
        <v>0.6</v>
      </c>
      <c r="F7921" s="7" t="n">
        <f aca="false">(Sens!E7904+Sens!F7904)/(Sens!E7905+Sens!F7905)</f>
        <v>0.6</v>
      </c>
      <c r="G7921" s="7" t="n">
        <f aca="false">(Sens!F7904+Sens!G7904)/(Sens!F7905+Sens!G7905)</f>
        <v>0.6</v>
      </c>
      <c r="H7921" s="7" t="n">
        <f aca="false">(Sens!G7904+Sens!H7904)/(Sens!G7905+Sens!H7905)</f>
        <v>0.6</v>
      </c>
      <c r="I7921" s="7" t="n">
        <f aca="false">(Sens!H7904+Sens!I7904)/(Sens!H7905+Sens!I7905)</f>
        <v>0.6</v>
      </c>
      <c r="J7921" s="7" t="n">
        <f aca="false">(Sens!I7904+Sens!J7904)/(Sens!I7905+Sens!J7905)</f>
        <v>0.6</v>
      </c>
      <c r="K7921" s="7" t="n">
        <f aca="false">(Sens!J7904+Sens!K7904)/(Sens!J7905+Sens!K7905)</f>
        <v>0.6</v>
      </c>
    </row>
    <row r="7922" customFormat="false" ht="17.15" hidden="false" customHeight="false" outlineLevel="0" collapsed="false">
      <c r="A7922" s="0" t="s">
        <v>746</v>
      </c>
      <c r="B7922" s="0" t="s">
        <v>95</v>
      </c>
      <c r="D7922" s="6" t="n">
        <f aca="false">Sens!D7916-Sens!D7921*(Sens!D7918+Sens!D7920)-Sens!D7919</f>
        <v>8.35701406163072</v>
      </c>
      <c r="E7922" s="6" t="n">
        <f aca="false">Sens!E7916-Sens!E7921*(Sens!E7918+Sens!E7920)-Sens!E7919</f>
        <v>18.7103224860238</v>
      </c>
      <c r="F7922" s="6" t="n">
        <f aca="false">Sens!F7916-Sens!F7921*(Sens!F7918+Sens!F7920)-Sens!F7919</f>
        <v>43.1278534047371</v>
      </c>
      <c r="G7922" s="6" t="n">
        <f aca="false">Sens!G7916-Sens!G7921*(Sens!G7918+Sens!G7920)-Sens!G7919</f>
        <v>78.4713023799053</v>
      </c>
      <c r="H7922" s="6" t="n">
        <f aca="false">Sens!H7916-Sens!H7921*(Sens!H7918+Sens!H7920)-Sens!H7919</f>
        <v>120.169624261219</v>
      </c>
      <c r="I7922" s="6" t="n">
        <f aca="false">Sens!I7916-Sens!I7921*(Sens!I7918+Sens!I7920)-Sens!I7919</f>
        <v>156.086713969963</v>
      </c>
      <c r="J7922" s="6" t="n">
        <f aca="false">Sens!J7916-Sens!J7921*(Sens!J7918+Sens!J7920)-Sens!J7919</f>
        <v>192.09687492465</v>
      </c>
      <c r="K7922" s="6" t="n">
        <f aca="false">Sens!K7916-Sens!K7921*(Sens!K7918+Sens!K7920)-Sens!K7919</f>
        <v>228.161785217179</v>
      </c>
    </row>
    <row r="7923" customFormat="false" ht="17.15" hidden="false" customHeight="false" outlineLevel="0" collapsed="false">
      <c r="A7923" s="1" t="s">
        <v>747</v>
      </c>
      <c r="B7923" s="0" t="s">
        <v>95</v>
      </c>
      <c r="D7923" s="6" t="n">
        <f aca="false">(1-Sens!D7921)*(Sens!D7918+Sens!D7920)</f>
        <v>1.42281025374069</v>
      </c>
      <c r="E7923" s="6" t="n">
        <f aca="false">(1-Sens!E7921)*(Sens!E7918+Sens!E7920)</f>
        <v>3.25095598674472</v>
      </c>
      <c r="F7923" s="6" t="n">
        <f aca="false">(1-Sens!F7921)*(Sens!F7918+Sens!F7920)</f>
        <v>6.53293055050977</v>
      </c>
      <c r="G7923" s="6" t="n">
        <f aca="false">(1-Sens!G7921)*(Sens!G7918+Sens!G7920)</f>
        <v>10.7846311741651</v>
      </c>
      <c r="H7923" s="6" t="n">
        <f aca="false">(1-Sens!H7921)*(Sens!H7918+Sens!H7920)</f>
        <v>15.26343050201</v>
      </c>
      <c r="I7923" s="6" t="n">
        <f aca="false">(1-Sens!I7921)*(Sens!I7918+Sens!I7920)</f>
        <v>19.7545570754104</v>
      </c>
      <c r="J7923" s="6" t="n">
        <f aca="false">(1-Sens!J7921)*(Sens!J7918+Sens!J7920)</f>
        <v>24.2521277113811</v>
      </c>
      <c r="K7923" s="6" t="n">
        <f aca="false">(1-Sens!K7921)*(Sens!K7918+Sens!K7920)</f>
        <v>28.7534890794427</v>
      </c>
    </row>
    <row r="7924" customFormat="false" ht="17.15" hidden="false" customHeight="false" outlineLevel="0" collapsed="false">
      <c r="A7924" s="1" t="s">
        <v>748</v>
      </c>
      <c r="B7924" s="0" t="s">
        <v>302</v>
      </c>
      <c r="C7924" s="8" t="n">
        <f aca="false">cxit_open</f>
        <v>27.5918995</v>
      </c>
      <c r="D7924" s="8" t="n">
        <f aca="false">cxit_open</f>
        <v>27.5918995</v>
      </c>
      <c r="E7924" s="8" t="n">
        <f aca="false">cxit_open</f>
        <v>27.5918995</v>
      </c>
      <c r="F7924" s="8" t="n">
        <f aca="false">(a_g3_27*tk_cxit_gb300+(1-a_g3_27)*tk_cxit_vr200)</f>
        <v>33.8419624</v>
      </c>
      <c r="G7924" s="8" t="n">
        <f aca="false">(a_g3_28*tk_cxit_gb300+(1-a_g3_28)*tk_cxit_vr200)</f>
        <v>35.9816136</v>
      </c>
      <c r="H7924" s="8" t="n">
        <f aca="false">(a_g3_29*tk_cxit_gb300+(1-a_g3_29)*tk_cxit_vr200)</f>
        <v>37.0514392</v>
      </c>
      <c r="I7924" s="8" t="n">
        <f aca="false">(a_g3_29*tk_cxit_gb300+(1-a_g3_29)*tk_cxit_vr200)</f>
        <v>37.0514392</v>
      </c>
      <c r="J7924" s="8" t="n">
        <f aca="false">(a_g3_29*tk_cxit_gb300+(1-a_g3_29)*tk_cxit_vr200)</f>
        <v>37.0514392</v>
      </c>
      <c r="K7924" s="8" t="n">
        <f aca="false">(a_g3_29*tk_cxit_gb300+(1-a_g3_29)*tk_cxit_vr200)</f>
        <v>37.0514392</v>
      </c>
      <c r="L7924" s="11" t="s">
        <v>749</v>
      </c>
    </row>
    <row r="7925" customFormat="false" ht="17.15" hidden="false" customHeight="false" outlineLevel="0" collapsed="false">
      <c r="A7925" s="0" t="s">
        <v>750</v>
      </c>
      <c r="B7925" s="0" t="s">
        <v>340</v>
      </c>
      <c r="F7925" s="27" t="n">
        <f aca="false">Sens!C7907*IF(3=life_it,1,0)+Sens!D7907*IF(2=life_it,1,0)+Sens!E7907*IF(1=life_it,1,0)</f>
        <v>0</v>
      </c>
      <c r="G7925" s="27" t="n">
        <f aca="false">Sens!C7907*IF(4=life_it,1,0)+Sens!D7907*IF(3=life_it,1,0)+Sens!E7907*IF(2=life_it,1,0)+Sens!F7907*IF(1=life_it,1,0)</f>
        <v>0</v>
      </c>
      <c r="H7925" s="27" t="n">
        <f aca="false">Sens!C7907*IF(5=life_it,1,0)+Sens!D7907*IF(4=life_it,1,0)+Sens!E7907*IF(3=life_it,1,0)+Sens!F7907*IF(2=life_it,1,0)+Sens!G7907*IF(1=life_it,1,0)</f>
        <v>0</v>
      </c>
      <c r="I7925" s="27" t="n">
        <f aca="false">Sens!C7907*IF(6=life_it,1,0)+Sens!D7907*IF(5=life_it,1,0)+Sens!E7907*IF(4=life_it,1,0)+Sens!F7907*IF(3=life_it,1,0)+Sens!G7907*IF(2=life_it,1,0)+Sens!H7907*IF(1=life_it,1,0)</f>
        <v>816.666666666667</v>
      </c>
      <c r="J7925" s="27" t="n">
        <f aca="false">Sens!C7907*IF(7=life_it,1,0)+Sens!D7907*IF(6=life_it,1,0)+Sens!E7907*IF(5=life_it,1,0)+Sens!F7907*IF(4=life_it,1,0)+Sens!G7907*IF(3=life_it,1,0)+Sens!H7907*IF(2=life_it,1,0)+Sens!I7907*IF(1=life_it,1,0)</f>
        <v>1233.33333333333</v>
      </c>
      <c r="K7925" s="27" t="n">
        <f aca="false">Sens!C7907*IF(8=life_it,1,0)+Sens!D7907*IF(7=life_it,1,0)+Sens!E7907*IF(6=life_it,1,0)+Sens!F7907*IF(5=life_it,1,0)+Sens!G7907*IF(4=life_it,1,0)+Sens!H7907*IF(3=life_it,1,0)+Sens!I7907*IF(2=life_it,1,0)+Sens!J7907*IF(1=life_it,1,0)</f>
        <v>2450</v>
      </c>
      <c r="L7925" s="1" t="s">
        <v>751</v>
      </c>
    </row>
    <row r="7926" customFormat="false" ht="17.15" hidden="false" customHeight="false" outlineLevel="0" collapsed="false">
      <c r="A7926" s="0" t="s">
        <v>752</v>
      </c>
      <c r="B7926" s="0" t="s">
        <v>95</v>
      </c>
      <c r="C7926" s="6" t="n">
        <f aca="false">Sens!C7907*Sens!C7924/1000</f>
        <v>22.5333845916667</v>
      </c>
      <c r="D7926" s="6" t="n">
        <f aca="false">Sens!D7907*Sens!D7924/1000</f>
        <v>34.0300093833333</v>
      </c>
      <c r="E7926" s="6" t="n">
        <f aca="false">Sens!E7907*Sens!E7924/1000</f>
        <v>67.600153775</v>
      </c>
      <c r="F7926" s="6" t="n">
        <f aca="false">(Sens!F7907+Sens!F7925)*Sens!F7924/1000</f>
        <v>130.923271871467</v>
      </c>
      <c r="G7926" s="6" t="n">
        <f aca="false">(Sens!G7907+Sens!G7925)*Sens!G7924/1000</f>
        <v>151.5545564832</v>
      </c>
      <c r="H7926" s="6" t="n">
        <f aca="false">(Sens!H7907+Sens!H7925)*Sens!H7924/1000</f>
        <v>156.0606619104</v>
      </c>
      <c r="I7926" s="6" t="n">
        <f aca="false">(Sens!I7907+Sens!I7925)*Sens!I7924/1000</f>
        <v>186.319337257067</v>
      </c>
      <c r="J7926" s="6" t="n">
        <f aca="false">(Sens!J7907+Sens!J7925)*Sens!J7924/1000</f>
        <v>201.757436923733</v>
      </c>
      <c r="K7926" s="6" t="n">
        <f aca="false">(Sens!K7907+Sens!K7925)*Sens!K7924/1000</f>
        <v>246.8366879504</v>
      </c>
    </row>
    <row r="7927" customFormat="false" ht="17.15" hidden="false" customHeight="false" outlineLevel="0" collapsed="false">
      <c r="A7927" s="0" t="s">
        <v>753</v>
      </c>
      <c r="B7927" s="0" t="s">
        <v>95</v>
      </c>
      <c r="C7927" s="6" t="n">
        <f aca="false">Sens!C7907*self_build*tk_cxfac/1000</f>
        <v>6.2083</v>
      </c>
      <c r="D7927" s="6" t="n">
        <f aca="false">Sens!D7907*self_build*tk_cxfac/1000</f>
        <v>9.3758</v>
      </c>
      <c r="E7927" s="6" t="n">
        <f aca="false">Sens!E7907*self_build*tk_cxfac/1000</f>
        <v>18.6249</v>
      </c>
      <c r="F7927" s="6" t="n">
        <f aca="false">Sens!F7907*self_build*tk_cxfac/1000</f>
        <v>29.409604</v>
      </c>
      <c r="G7927" s="6" t="n">
        <f aca="false">Sens!G7907*self_build*tk_cxfac/1000</f>
        <v>32.019624</v>
      </c>
      <c r="H7927" s="6" t="n">
        <f aca="false">Sens!H7907*self_build*tk_cxfac/1000</f>
        <v>32.019624</v>
      </c>
      <c r="I7927" s="6" t="n">
        <f aca="false">Sens!I7907*self_build*tk_cxfac/1000</f>
        <v>32.019624</v>
      </c>
      <c r="J7927" s="6" t="n">
        <f aca="false">Sens!J7907*self_build*tk_cxfac/1000</f>
        <v>32.019624</v>
      </c>
      <c r="K7927" s="6" t="n">
        <f aca="false">Sens!K7907*self_build*tk_cxfac/1000</f>
        <v>32.019624</v>
      </c>
    </row>
    <row r="7928" customFormat="false" ht="17.15" hidden="false" customHeight="false" outlineLevel="0" collapsed="false">
      <c r="A7928" s="0" t="s">
        <v>754</v>
      </c>
      <c r="B7928" s="0" t="s">
        <v>95</v>
      </c>
      <c r="F7928" s="6" t="n">
        <f aca="false">MAX(0,capex_floor27-Sens!F7926-Sens!F7927-Sens!F8015)</f>
        <v>8.12784289897089</v>
      </c>
      <c r="G7928" s="6" t="n">
        <f aca="false">0</f>
        <v>0</v>
      </c>
      <c r="H7928" s="6" t="n">
        <f aca="false">0</f>
        <v>0</v>
      </c>
      <c r="I7928" s="6" t="n">
        <f aca="false">0</f>
        <v>0</v>
      </c>
      <c r="J7928" s="6" t="n">
        <f aca="false">0</f>
        <v>0</v>
      </c>
      <c r="K7928" s="6" t="n">
        <f aca="false">0</f>
        <v>0</v>
      </c>
      <c r="L7928" s="1" t="s">
        <v>755</v>
      </c>
    </row>
    <row r="7929" customFormat="false" ht="17.15" hidden="false" customHeight="false" outlineLevel="0" collapsed="false">
      <c r="A7929" s="0" t="s">
        <v>756</v>
      </c>
      <c r="B7929" s="0" t="s">
        <v>95</v>
      </c>
      <c r="C7929" s="6" t="n">
        <f aca="false">Sens!C7926</f>
        <v>22.5333845916667</v>
      </c>
      <c r="D7929" s="6" t="n">
        <f aca="false">Sens!D7926</f>
        <v>34.0300093833333</v>
      </c>
      <c r="E7929" s="6" t="n">
        <f aca="false">Sens!E7926</f>
        <v>67.600153775</v>
      </c>
      <c r="F7929" s="6" t="n">
        <f aca="false">Sens!F7926+Sens!F7928</f>
        <v>139.051114770438</v>
      </c>
      <c r="G7929" s="6" t="n">
        <f aca="false">Sens!G7926+Sens!G7928</f>
        <v>151.5545564832</v>
      </c>
      <c r="H7929" s="6" t="n">
        <f aca="false">Sens!H7926+Sens!H7928</f>
        <v>156.0606619104</v>
      </c>
      <c r="I7929" s="6" t="n">
        <f aca="false">Sens!I7926+Sens!I7928</f>
        <v>186.319337257067</v>
      </c>
      <c r="J7929" s="6" t="n">
        <f aca="false">Sens!J7926+Sens!J7928</f>
        <v>201.757436923733</v>
      </c>
      <c r="K7929" s="6" t="n">
        <f aca="false">Sens!K7926+Sens!K7928</f>
        <v>246.8366879504</v>
      </c>
    </row>
    <row r="7930" customFormat="false" ht="17.15" hidden="false" customHeight="false" outlineLevel="0" collapsed="false">
      <c r="A7930" s="0" t="s">
        <v>757</v>
      </c>
      <c r="B7930" s="0" t="s">
        <v>95</v>
      </c>
      <c r="C7930" s="6" t="n">
        <f aca="false">Sens!C7929+Sens!C7927</f>
        <v>28.7416845916667</v>
      </c>
      <c r="D7930" s="6" t="n">
        <f aca="false">Sens!D7929+Sens!D7927</f>
        <v>43.4058093833333</v>
      </c>
      <c r="E7930" s="6" t="n">
        <f aca="false">Sens!E7929+Sens!E7927</f>
        <v>86.225053775</v>
      </c>
      <c r="F7930" s="6" t="n">
        <f aca="false">Sens!F7929+Sens!F7927</f>
        <v>168.460718770438</v>
      </c>
      <c r="G7930" s="6" t="n">
        <f aca="false">Sens!G7929+Sens!G7927</f>
        <v>183.5741804832</v>
      </c>
      <c r="H7930" s="6" t="n">
        <f aca="false">Sens!H7929+Sens!H7927</f>
        <v>188.0802859104</v>
      </c>
      <c r="I7930" s="6" t="n">
        <f aca="false">Sens!I7929+Sens!I7927</f>
        <v>218.338961257067</v>
      </c>
      <c r="J7930" s="6" t="n">
        <f aca="false">Sens!J7929+Sens!J7927</f>
        <v>233.777060923733</v>
      </c>
      <c r="K7930" s="6" t="n">
        <f aca="false">Sens!K7929+Sens!K7927</f>
        <v>278.8563119504</v>
      </c>
      <c r="L7930" s="11" t="s">
        <v>758</v>
      </c>
    </row>
    <row r="7931" customFormat="false" ht="17.15" hidden="false" customHeight="false" outlineLevel="0" collapsed="false">
      <c r="A7931" s="0" t="s">
        <v>759</v>
      </c>
      <c r="B7931" s="0" t="s">
        <v>95</v>
      </c>
      <c r="E7931" s="6" t="n">
        <f aca="false">(Sens!C7929*IF(2&lt;life_it,1,IF(2=life_it,0.5,0))+Sens!D7929*IF(1&lt;life_it,1,IF(1=life_it,0.5,0))+Sens!E7929*0.5)/life_it</f>
        <v>15.0605784770833</v>
      </c>
      <c r="F7931" s="6" t="n">
        <f aca="false">(Sens!C7929*IF(3&lt;life_it,1,IF(3=life_it,0.5,0))+Sens!D7929*IF(2&lt;life_it,1,IF(2=life_it,0.5,0))+Sens!E7929*IF(1&lt;life_it,1,IF(1=life_it,0.5,0))+Sens!F7929*0.5)/life_it</f>
        <v>32.2815175225365</v>
      </c>
      <c r="G7931" s="6" t="n">
        <f aca="false">(Sens!C7929*IF(4&lt;life_it,1,IF(4=life_it,0.5,0))+Sens!D7929*IF(3&lt;life_it,1,IF(3=life_it,0.5,0))+Sens!E7929*IF(2&lt;life_it,1,IF(2=life_it,0.5,0))+Sens!F7929*IF(1&lt;life_it,1,IF(1=life_it,0.5,0))+Sens!G7929*0.5)/life_it</f>
        <v>56.4986567936729</v>
      </c>
      <c r="H7931" s="6" t="n">
        <f aca="false">(Sens!C7929*IF(5&lt;life_it,1,IF(5=life_it,0.5,0))+Sens!D7929*IF(4&lt;life_it,1,IF(4=life_it,0.5,0))+Sens!E7929*IF(3&lt;life_it,1,IF(3=life_it,0.5,0))+Sens!F7929*IF(2&lt;life_it,1,IF(2=life_it,0.5,0))+Sens!G7929*IF(1&lt;life_it,1,IF(1=life_it,0.5,0))+Sens!H7929*0.5)/life_it</f>
        <v>82.1332583264729</v>
      </c>
      <c r="I7931" s="6" t="n">
        <f aca="false">(Sens!C7929*IF(6&lt;life_it,1,IF(6=life_it,0.5,0))+Sens!D7929*IF(5&lt;life_it,1,IF(5=life_it,0.5,0))+Sens!E7929*IF(4&lt;life_it,1,IF(4=life_it,0.5,0))+Sens!F7929*IF(3&lt;life_it,1,IF(3=life_it,0.5,0))+Sens!G7929*IF(2&lt;life_it,1,IF(2=life_it,0.5,0))+Sens!H7929*IF(1&lt;life_it,1,IF(1=life_it,0.5,0))+Sens!I7929*0.5)/life_it</f>
        <v>108.787142874456</v>
      </c>
      <c r="J7931" s="6" t="n">
        <f aca="false">(Sens!C7929*IF(7&lt;life_it,1,IF(7=life_it,0.5,0))+Sens!D7929*IF(6&lt;life_it,1,IF(6=life_it,0.5,0))+Sens!E7929*IF(5&lt;life_it,1,IF(5=life_it,0.5,0))+Sens!F7929*IF(4&lt;life_it,1,IF(4=life_it,0.5,0))+Sens!G7929*IF(3&lt;life_it,1,IF(3=life_it,0.5,0))+Sens!H7929*IF(2&lt;life_it,1,IF(2=life_it,0.5,0))+Sens!I7929*IF(1&lt;life_it,1,IF(1=life_it,0.5,0))+Sens!J7929*0.5)/life_it</f>
        <v>136.413257891606</v>
      </c>
      <c r="K7931" s="6" t="n">
        <f aca="false">(Sens!C7929*IF(8&lt;life_it,1,IF(8=life_it,0.5,0))+Sens!D7929*IF(7&lt;life_it,1,IF(7=life_it,0.5,0))+Sens!E7929*IF(6&lt;life_it,1,IF(6=life_it,0.5,0))+Sens!F7929*IF(5&lt;life_it,1,IF(5=life_it,0.5,0))+Sens!G7929*IF(4&lt;life_it,1,IF(4=life_it,0.5,0))+Sens!H7929*IF(3&lt;life_it,1,IF(3=life_it,0.5,0))+Sens!I7929*IF(2&lt;life_it,1,IF(2=life_it,0.5,0))+Sens!J7929*IF(1&lt;life_it,1,IF(1=life_it,0.5,0))+Sens!K7929*0.5)/life_it</f>
        <v>165.326921367923</v>
      </c>
    </row>
    <row r="7932" customFormat="false" ht="17.15" hidden="false" customHeight="false" outlineLevel="0" collapsed="false">
      <c r="A7932" s="0" t="s">
        <v>760</v>
      </c>
      <c r="B7932" s="0" t="s">
        <v>95</v>
      </c>
      <c r="E7932" s="6" t="n">
        <f aca="false">(Sens!C7927*IF(2&lt;life_fac,1,IF(2=life_fac,0.5,0))+Sens!D7927*IF(1&lt;life_fac,1,IF(1=life_fac,0.5,0))+Sens!E7927*0.5)/life_fac</f>
        <v>1.2448275</v>
      </c>
      <c r="F7932" s="6" t="n">
        <f aca="false">(Sens!C7927*IF(3&lt;life_fac,1,IF(3=life_fac,0.5,0))+Sens!D7927*IF(2&lt;life_fac,1,IF(2=life_fac,0.5,0))+Sens!E7927*IF(1&lt;life_fac,1,IF(1=life_fac,0.5,0))+Sens!F7927*0.5)/life_fac</f>
        <v>2.4456901</v>
      </c>
      <c r="G7932" s="6" t="n">
        <f aca="false">(Sens!C7927*IF(4&lt;life_fac,1,IF(4=life_fac,0.5,0))+Sens!D7927*IF(3&lt;life_fac,1,IF(3=life_fac,0.5,0))+Sens!E7927*IF(2&lt;life_fac,1,IF(2=life_fac,0.5,0))+Sens!F7927*IF(1&lt;life_fac,1,IF(1=life_fac,0.5,0))+Sens!G7927*0.5)/life_fac</f>
        <v>3.9814208</v>
      </c>
      <c r="H7932" s="6" t="n">
        <f aca="false">(Sens!C7927*IF(5&lt;life_fac,1,IF(5=life_fac,0.5,0))+Sens!D7927*IF(4&lt;life_fac,1,IF(4=life_fac,0.5,0))+Sens!E7927*IF(3&lt;life_fac,1,IF(3=life_fac,0.5,0))+Sens!F7927*IF(2&lt;life_fac,1,IF(2=life_fac,0.5,0))+Sens!G7927*IF(1&lt;life_fac,1,IF(1=life_fac,0.5,0))+Sens!H7927*0.5)/life_fac</f>
        <v>5.582402</v>
      </c>
      <c r="I7932" s="6" t="n">
        <f aca="false">(Sens!C7927*IF(6&lt;life_fac,1,IF(6=life_fac,0.5,0))+Sens!D7927*IF(5&lt;life_fac,1,IF(5=life_fac,0.5,0))+Sens!E7927*IF(4&lt;life_fac,1,IF(4=life_fac,0.5,0))+Sens!F7927*IF(3&lt;life_fac,1,IF(3=life_fac,0.5,0))+Sens!G7927*IF(2&lt;life_fac,1,IF(2=life_fac,0.5,0))+Sens!H7927*IF(1&lt;life_fac,1,IF(1=life_fac,0.5,0))+Sens!I7927*0.5)/life_fac</f>
        <v>7.1833832</v>
      </c>
      <c r="J7932" s="6" t="n">
        <f aca="false">(Sens!C7927*IF(7&lt;life_fac,1,IF(7=life_fac,0.5,0))+Sens!D7927*IF(6&lt;life_fac,1,IF(6=life_fac,0.5,0))+Sens!E7927*IF(5&lt;life_fac,1,IF(5=life_fac,0.5,0))+Sens!F7927*IF(4&lt;life_fac,1,IF(4=life_fac,0.5,0))+Sens!G7927*IF(3&lt;life_fac,1,IF(3=life_fac,0.5,0))+Sens!H7927*IF(2&lt;life_fac,1,IF(2=life_fac,0.5,0))+Sens!I7927*IF(1&lt;life_fac,1,IF(1=life_fac,0.5,0))+Sens!J7927*0.5)/life_fac</f>
        <v>8.7843644</v>
      </c>
      <c r="K7932" s="6" t="n">
        <f aca="false">(Sens!C7927*IF(8&lt;life_fac,1,IF(8=life_fac,0.5,0))+Sens!D7927*IF(7&lt;life_fac,1,IF(7=life_fac,0.5,0))+Sens!E7927*IF(6&lt;life_fac,1,IF(6=life_fac,0.5,0))+Sens!F7927*IF(5&lt;life_fac,1,IF(5=life_fac,0.5,0))+Sens!G7927*IF(4&lt;life_fac,1,IF(4=life_fac,0.5,0))+Sens!H7927*IF(3&lt;life_fac,1,IF(3=life_fac,0.5,0))+Sens!I7927*IF(2&lt;life_fac,1,IF(2=life_fac,0.5,0))+Sens!J7927*IF(1&lt;life_fac,1,IF(1=life_fac,0.5,0))+Sens!K7927*0.5)/life_fac</f>
        <v>10.3853456</v>
      </c>
    </row>
    <row r="7933" customFormat="false" ht="17.15" hidden="false" customHeight="false" outlineLevel="0" collapsed="false">
      <c r="A7933" s="0" t="s">
        <v>761</v>
      </c>
      <c r="B7933" s="0" t="s">
        <v>95</v>
      </c>
      <c r="E7933" s="6" t="n">
        <f aca="false">Sens!E7931+Sens!E7932</f>
        <v>16.3054059770833</v>
      </c>
      <c r="F7933" s="6" t="n">
        <f aca="false">Sens!F7931+Sens!F7932</f>
        <v>34.7272076225365</v>
      </c>
      <c r="G7933" s="6" t="n">
        <f aca="false">Sens!G7931+Sens!G7932</f>
        <v>60.4800775936729</v>
      </c>
      <c r="H7933" s="6" t="n">
        <f aca="false">Sens!H7931+Sens!H7932</f>
        <v>87.7156603264729</v>
      </c>
      <c r="I7933" s="6" t="n">
        <f aca="false">Sens!I7931+Sens!I7932</f>
        <v>115.970526074456</v>
      </c>
      <c r="J7933" s="6" t="n">
        <f aca="false">Sens!J7931+Sens!J7932</f>
        <v>145.197622291606</v>
      </c>
      <c r="K7933" s="6" t="n">
        <f aca="false">Sens!K7931+Sens!K7932</f>
        <v>175.712266967923</v>
      </c>
    </row>
    <row r="7934" customFormat="false" ht="17.15" hidden="false" customHeight="false" outlineLevel="0" collapsed="false">
      <c r="A7934" s="0" t="s">
        <v>762</v>
      </c>
      <c r="B7934" s="0" t="s">
        <v>95</v>
      </c>
      <c r="E7934" s="6" t="n">
        <f aca="false">Sens!E7922-Sens!E7921*Sens!E7933</f>
        <v>8.92707889977379</v>
      </c>
      <c r="F7934" s="6" t="n">
        <f aca="false">Sens!F7922-Sens!F7921*Sens!F7933</f>
        <v>22.2915288312152</v>
      </c>
      <c r="G7934" s="6" t="n">
        <f aca="false">Sens!G7922-Sens!G7921*Sens!G7933</f>
        <v>42.1832558237015</v>
      </c>
      <c r="H7934" s="6" t="n">
        <f aca="false">Sens!H7922-Sens!H7921*Sens!H7933</f>
        <v>67.5402280653351</v>
      </c>
      <c r="I7934" s="6" t="n">
        <f aca="false">Sens!I7922-Sens!I7921*Sens!I7933</f>
        <v>86.5043983252897</v>
      </c>
      <c r="J7934" s="6" t="n">
        <f aca="false">Sens!J7922-Sens!J7921*Sens!J7933</f>
        <v>104.978301549687</v>
      </c>
      <c r="K7934" s="6" t="n">
        <f aca="false">Sens!K7922-Sens!K7921*Sens!K7933</f>
        <v>122.734425036425</v>
      </c>
    </row>
    <row r="7935" customFormat="false" ht="17.15" hidden="false" customHeight="false" outlineLevel="0" collapsed="false">
      <c r="A7935" s="3" t="s">
        <v>1340</v>
      </c>
    </row>
    <row r="7936" customFormat="false" ht="15" hidden="false" customHeight="false" outlineLevel="0" collapsed="false">
      <c r="A7936" s="4" t="s">
        <v>43</v>
      </c>
      <c r="B7936" s="4" t="s">
        <v>63</v>
      </c>
      <c r="C7936" s="19" t="s">
        <v>710</v>
      </c>
      <c r="D7936" s="19" t="s">
        <v>711</v>
      </c>
      <c r="E7936" s="19" t="s">
        <v>712</v>
      </c>
      <c r="F7936" s="19" t="s">
        <v>713</v>
      </c>
      <c r="G7936" s="19" t="s">
        <v>714</v>
      </c>
      <c r="H7936" s="19" t="s">
        <v>715</v>
      </c>
      <c r="I7936" s="19" t="s">
        <v>716</v>
      </c>
      <c r="J7936" s="19" t="s">
        <v>717</v>
      </c>
      <c r="K7936" s="19" t="s">
        <v>718</v>
      </c>
      <c r="L7936" s="4" t="s">
        <v>47</v>
      </c>
    </row>
    <row r="7937" customFormat="false" ht="17.15" hidden="false" customHeight="false" outlineLevel="0" collapsed="false">
      <c r="A7937" s="0" t="s">
        <v>780</v>
      </c>
      <c r="B7937" s="0" t="s">
        <v>95</v>
      </c>
      <c r="D7937" s="6" t="n">
        <f aca="false">Sens!D7916</f>
        <v>12.9359794422418</v>
      </c>
      <c r="E7937" s="6" t="n">
        <f aca="false">Sens!E7916</f>
        <v>27.8095064661409</v>
      </c>
      <c r="F7937" s="6" t="n">
        <f aca="false">Sens!F7916</f>
        <v>58.7324192305018</v>
      </c>
      <c r="G7937" s="6" t="n">
        <f aca="false">Sens!G7916</f>
        <v>101.369089141153</v>
      </c>
      <c r="H7937" s="6" t="n">
        <f aca="false">Sens!H7916</f>
        <v>149.785610014234</v>
      </c>
      <c r="I7937" s="6" t="n">
        <f aca="false">Sens!I7916</f>
        <v>192.439389583079</v>
      </c>
      <c r="J7937" s="6" t="n">
        <f aca="false">Sens!J7916</f>
        <v>235.195906491722</v>
      </c>
      <c r="K7937" s="6" t="n">
        <f aca="false">Sens!K7916</f>
        <v>278.012858836343</v>
      </c>
    </row>
    <row r="7938" customFormat="false" ht="17.15" hidden="false" customHeight="false" outlineLevel="0" collapsed="false">
      <c r="A7938" s="0" t="s">
        <v>781</v>
      </c>
      <c r="B7938" s="0" t="s">
        <v>95</v>
      </c>
      <c r="D7938" s="6" t="n">
        <f aca="false">Q!L6-Sens!D7937</f>
        <v>59.6740205577583</v>
      </c>
      <c r="E7938" s="6" t="n">
        <f aca="false">Q!M6-Sens!E7937</f>
        <v>74.1284935338591</v>
      </c>
      <c r="F7938" s="6" t="n">
        <f aca="false">Sens!E7938*(1+Sens!F7939)</f>
        <v>90.0799497373663</v>
      </c>
      <c r="G7938" s="6" t="n">
        <f aca="false">Sens!F7938*(1+Sens!G7939)</f>
        <v>107.02842520331</v>
      </c>
      <c r="H7938" s="6" t="n">
        <f aca="false">Sens!G7938*(1+Sens!H7939)</f>
        <v>124.271982585636</v>
      </c>
      <c r="I7938" s="6" t="n">
        <f aca="false">Sens!H7938*(1+Sens!I7939)</f>
        <v>140.933702381855</v>
      </c>
      <c r="J7938" s="6" t="n">
        <f aca="false">Sens!I7938*(1+Sens!J7939)</f>
        <v>156.018867314332</v>
      </c>
      <c r="K7938" s="6" t="n">
        <f aca="false">Sens!J7938*(1+Sens!K7939)</f>
        <v>168.500376699478</v>
      </c>
    </row>
    <row r="7939" customFormat="false" ht="15" hidden="false" customHeight="false" outlineLevel="0" collapsed="false">
      <c r="A7939" s="1" t="s">
        <v>782</v>
      </c>
      <c r="B7939" s="0" t="s">
        <v>126</v>
      </c>
      <c r="E7939" s="7" t="n">
        <f aca="false">Sens!E7938/Sens!D7938-1</f>
        <v>0.242223883039864</v>
      </c>
      <c r="F7939" s="7" t="n">
        <f aca="false">Sens!$E$7939+(glt_azo-Sens!$E$7939)*MIN(1,1/n_conv)</f>
        <v>0.215186569199887</v>
      </c>
      <c r="G7939" s="7" t="n">
        <f aca="false">Sens!$E$7939+(glt_azo-Sens!$E$7939)*MIN(1,2/n_conv)</f>
        <v>0.18814925535991</v>
      </c>
      <c r="H7939" s="7" t="n">
        <f aca="false">Sens!$E$7939+(glt_azo-Sens!$E$7939)*MIN(1,3/n_conv)</f>
        <v>0.161111941519932</v>
      </c>
      <c r="I7939" s="7" t="n">
        <f aca="false">Sens!$E$7939+(glt_azo-Sens!$E$7939)*MIN(1,4/n_conv)</f>
        <v>0.134074627679955</v>
      </c>
      <c r="J7939" s="7" t="n">
        <f aca="false">Sens!$E$7939+(glt_azo-Sens!$E$7939)*MIN(1,5/n_conv)</f>
        <v>0.107037313839977</v>
      </c>
      <c r="K7939" s="7" t="n">
        <f aca="false">Sens!$E$7939+(glt_azo-Sens!$E$7939)*MIN(1,6/n_conv)</f>
        <v>0.08</v>
      </c>
    </row>
    <row r="7940" customFormat="false" ht="15" hidden="false" customHeight="false" outlineLevel="0" collapsed="false">
      <c r="A7940" s="0" t="s">
        <v>783</v>
      </c>
      <c r="B7940" s="0" t="s">
        <v>95</v>
      </c>
      <c r="D7940" s="6" t="n">
        <f aca="false">Sens!D7937+Sens!D7938</f>
        <v>72.61</v>
      </c>
      <c r="E7940" s="6" t="n">
        <f aca="false">Sens!E7937+Sens!E7938</f>
        <v>101.938</v>
      </c>
      <c r="F7940" s="6" t="n">
        <f aca="false">Sens!F7937+Sens!F7938</f>
        <v>148.812368967868</v>
      </c>
      <c r="G7940" s="6" t="n">
        <f aca="false">Sens!G7937+Sens!G7938</f>
        <v>208.397514344463</v>
      </c>
      <c r="H7940" s="6" t="n">
        <f aca="false">Sens!H7937+Sens!H7938</f>
        <v>274.05759259987</v>
      </c>
      <c r="I7940" s="6" t="n">
        <f aca="false">Sens!I7937+Sens!I7938</f>
        <v>333.373091964934</v>
      </c>
      <c r="J7940" s="6" t="n">
        <f aca="false">Sens!J7937+Sens!J7938</f>
        <v>391.214773806054</v>
      </c>
      <c r="K7940" s="6" t="n">
        <f aca="false">Sens!K7937+Sens!K7938</f>
        <v>446.513235535821</v>
      </c>
    </row>
    <row r="7941" customFormat="false" ht="17.15" hidden="false" customHeight="false" outlineLevel="0" collapsed="false">
      <c r="A7941" s="0" t="s">
        <v>784</v>
      </c>
      <c r="B7941" s="1" t="s">
        <v>451</v>
      </c>
      <c r="C7941" s="27" t="n">
        <f aca="false">cop_s24</f>
        <v>1</v>
      </c>
      <c r="D7941" s="27" t="n">
        <f aca="false">cop_s25</f>
        <v>5</v>
      </c>
      <c r="E7941" s="27" t="n">
        <f aca="false">cop_s26</f>
        <v>30</v>
      </c>
      <c r="F7941" s="27" t="n">
        <f aca="false">Sens!E7941+IF(2027&lt;=2029,cop_add_A,cop_add_A*cop_tail)</f>
        <v>60</v>
      </c>
      <c r="G7941" s="27" t="n">
        <f aca="false">Sens!F7941+IF(2028&lt;=2029,cop_add_A,cop_add_A*cop_tail)</f>
        <v>90</v>
      </c>
      <c r="H7941" s="27" t="n">
        <f aca="false">Sens!G7941+IF(2029&lt;=2029,cop_add_A,cop_add_A*cop_tail)</f>
        <v>120</v>
      </c>
      <c r="I7941" s="27" t="n">
        <f aca="false">Sens!H7941+IF(2030&lt;=2029,cop_add_A,cop_add_A*cop_tail)</f>
        <v>135</v>
      </c>
      <c r="J7941" s="27" t="n">
        <f aca="false">Sens!I7941+IF(2031&lt;=2029,cop_add_A,cop_add_A*cop_tail)</f>
        <v>150</v>
      </c>
      <c r="K7941" s="27" t="n">
        <f aca="false">Sens!J7941+IF(2032&lt;=2029,cop_add_A,cop_add_A*cop_tail)</f>
        <v>165</v>
      </c>
    </row>
    <row r="7942" customFormat="false" ht="17.15" hidden="false" customHeight="false" outlineLevel="0" collapsed="false">
      <c r="A7942" s="0" t="s">
        <v>785</v>
      </c>
      <c r="B7942" s="0" t="s">
        <v>95</v>
      </c>
      <c r="D7942" s="6" t="n">
        <f aca="false">(Sens!C7941+Sens!D7941)/2*cop_px*12/1000</f>
        <v>0.9</v>
      </c>
      <c r="E7942" s="6" t="n">
        <f aca="false">(Sens!D7941+Sens!E7941)/2*cop_px*12/1000</f>
        <v>5.25</v>
      </c>
      <c r="F7942" s="6" t="n">
        <f aca="false">(Sens!E7941+Sens!F7941)/2*cop_px*12/1000</f>
        <v>13.5</v>
      </c>
      <c r="G7942" s="6" t="n">
        <f aca="false">(Sens!F7941+Sens!G7941)/2*cop_px*12/1000</f>
        <v>22.5</v>
      </c>
      <c r="H7942" s="6" t="n">
        <f aca="false">(Sens!G7941+Sens!H7941)/2*cop_px*12/1000</f>
        <v>31.5</v>
      </c>
      <c r="I7942" s="6" t="n">
        <f aca="false">(Sens!H7941+Sens!I7941)/2*cop_px*12/1000</f>
        <v>38.25</v>
      </c>
      <c r="J7942" s="6" t="n">
        <f aca="false">(Sens!I7941+Sens!J7941)/2*cop_px*12/1000</f>
        <v>42.75</v>
      </c>
      <c r="K7942" s="6" t="n">
        <f aca="false">(Sens!J7941+Sens!K7941)/2*cop_px*12/1000</f>
        <v>47.25</v>
      </c>
      <c r="L7942" s="1" t="s">
        <v>786</v>
      </c>
    </row>
    <row r="7943" customFormat="false" ht="17.15" hidden="false" customHeight="false" outlineLevel="0" collapsed="false">
      <c r="A7943" s="0" t="s">
        <v>787</v>
      </c>
      <c r="B7943" s="0" t="s">
        <v>95</v>
      </c>
      <c r="D7943" s="6" t="n">
        <f aca="false">Q!L7-Sens!D7942</f>
        <v>83.705</v>
      </c>
      <c r="E7943" s="6" t="n">
        <f aca="false">Q!M7-Sens!E7942</f>
        <v>95.049</v>
      </c>
      <c r="F7943" s="6" t="n">
        <f aca="false">Sens!E7943*(1+Sens!F7944)</f>
        <v>106.89238776686</v>
      </c>
      <c r="G7943" s="6" t="n">
        <f aca="false">Sens!F7943*(1+Sens!G7944)</f>
        <v>119.044168448684</v>
      </c>
      <c r="H7943" s="6" t="n">
        <f aca="false">Sens!G7943*(1+Sens!H7944)</f>
        <v>131.277359388781</v>
      </c>
      <c r="I7943" s="6" t="n">
        <f aca="false">Sens!H7943*(1+Sens!I7944)</f>
        <v>143.334028071957</v>
      </c>
      <c r="J7943" s="6" t="n">
        <f aca="false">Sens!I7943*(1+Sens!J7944)</f>
        <v>154.932702785465</v>
      </c>
      <c r="K7943" s="6" t="n">
        <f aca="false">Sens!J7943*(1+Sens!K7944)</f>
        <v>165.777991980448</v>
      </c>
    </row>
    <row r="7944" customFormat="false" ht="15" hidden="false" customHeight="false" outlineLevel="0" collapsed="false">
      <c r="A7944" s="1" t="s">
        <v>782</v>
      </c>
      <c r="B7944" s="0" t="s">
        <v>126</v>
      </c>
      <c r="E7944" s="7" t="n">
        <f aca="false">Sens!E7943/Sens!D7943-1</f>
        <v>0.135523564900544</v>
      </c>
      <c r="F7944" s="7" t="n">
        <f aca="false">Sens!$E$7944+(glt_m365b-Sens!$E$7944)*MIN(1,1/n_conv)</f>
        <v>0.124602970750453</v>
      </c>
      <c r="G7944" s="7" t="n">
        <f aca="false">Sens!$E$7944+(glt_m365b-Sens!$E$7944)*MIN(1,2/n_conv)</f>
        <v>0.113682376600363</v>
      </c>
      <c r="H7944" s="7" t="n">
        <f aca="false">Sens!$E$7944+(glt_m365b-Sens!$E$7944)*MIN(1,3/n_conv)</f>
        <v>0.102761782450272</v>
      </c>
      <c r="I7944" s="7" t="n">
        <f aca="false">Sens!$E$7944+(glt_m365b-Sens!$E$7944)*MIN(1,4/n_conv)</f>
        <v>0.0918411883001813</v>
      </c>
      <c r="J7944" s="7" t="n">
        <f aca="false">Sens!$E$7944+(glt_m365b-Sens!$E$7944)*MIN(1,5/n_conv)</f>
        <v>0.0809205941500906</v>
      </c>
      <c r="K7944" s="7" t="n">
        <f aca="false">Sens!$E$7944+(glt_m365b-Sens!$E$7944)*MIN(1,6/n_conv)</f>
        <v>0.07</v>
      </c>
    </row>
    <row r="7945" customFormat="false" ht="15" hidden="false" customHeight="false" outlineLevel="0" collapsed="false">
      <c r="A7945" s="0" t="s">
        <v>788</v>
      </c>
      <c r="B7945" s="0" t="s">
        <v>95</v>
      </c>
      <c r="D7945" s="6" t="n">
        <f aca="false">Sens!D7943+Sens!D7942</f>
        <v>84.605</v>
      </c>
      <c r="E7945" s="6" t="n">
        <f aca="false">Sens!E7943+Sens!E7942</f>
        <v>100.299</v>
      </c>
      <c r="F7945" s="6" t="n">
        <f aca="false">Sens!F7943+Sens!F7942</f>
        <v>120.39238776686</v>
      </c>
      <c r="G7945" s="6" t="n">
        <f aca="false">Sens!G7943+Sens!G7942</f>
        <v>141.544168448684</v>
      </c>
      <c r="H7945" s="6" t="n">
        <f aca="false">Sens!H7943+Sens!H7942</f>
        <v>162.777359388781</v>
      </c>
      <c r="I7945" s="6" t="n">
        <f aca="false">Sens!I7943+Sens!I7942</f>
        <v>181.584028071957</v>
      </c>
      <c r="J7945" s="6" t="n">
        <f aca="false">Sens!J7943+Sens!J7942</f>
        <v>197.682702785465</v>
      </c>
      <c r="K7945" s="6" t="n">
        <f aca="false">Sens!K7943+Sens!K7942</f>
        <v>213.027991980448</v>
      </c>
    </row>
    <row r="7946" customFormat="false" ht="15" hidden="false" customHeight="false" outlineLevel="0" collapsed="false">
      <c r="A7946" s="0" t="s">
        <v>789</v>
      </c>
      <c r="B7946" s="0" t="s">
        <v>95</v>
      </c>
      <c r="D7946" s="6" t="n">
        <f aca="false">Q!L8</f>
        <v>35.391</v>
      </c>
      <c r="E7946" s="6" t="n">
        <f aca="false">Q!M8</f>
        <v>37.285</v>
      </c>
      <c r="F7946" s="6" t="n">
        <f aca="false">Sens!E7946*(1+Sens!F7947)</f>
        <v>39.0720834331704</v>
      </c>
      <c r="G7946" s="6" t="n">
        <f aca="false">Sens!F7946*(1+Sens!G7947)</f>
        <v>40.726562953769</v>
      </c>
      <c r="H7946" s="6" t="n">
        <f aca="false">Sens!G7946*(1+Sens!H7947)</f>
        <v>42.2235987259198</v>
      </c>
      <c r="I7946" s="6" t="n">
        <f aca="false">Sens!H7946*(1+Sens!I7947)</f>
        <v>43.5397988077414</v>
      </c>
      <c r="J7946" s="6" t="n">
        <f aca="false">Sens!I7946*(1+Sens!J7947)</f>
        <v>44.653811225693</v>
      </c>
      <c r="K7946" s="6" t="n">
        <f aca="false">Sens!J7946*(1+Sens!K7947)</f>
        <v>45.5468874502068</v>
      </c>
    </row>
    <row r="7947" customFormat="false" ht="15" hidden="false" customHeight="false" outlineLevel="0" collapsed="false">
      <c r="A7947" s="1" t="s">
        <v>782</v>
      </c>
      <c r="B7947" s="0" t="s">
        <v>126</v>
      </c>
      <c r="E7947" s="7" t="n">
        <f aca="false">Sens!E7946/Sens!D7946-1</f>
        <v>0.0535164307309768</v>
      </c>
      <c r="F7947" s="7" t="n">
        <f aca="false">Sens!$E$7947+(glt_lic-Sens!$E$7947)*MIN(1,1/n_conv)</f>
        <v>0.0479303589424807</v>
      </c>
      <c r="G7947" s="7" t="n">
        <f aca="false">Sens!$E$7947+(glt_lic-Sens!$E$7947)*MIN(1,2/n_conv)</f>
        <v>0.0423442871539845</v>
      </c>
      <c r="H7947" s="7" t="n">
        <f aca="false">Sens!$E$7947+(glt_lic-Sens!$E$7947)*MIN(1,3/n_conv)</f>
        <v>0.0367582153654884</v>
      </c>
      <c r="I7947" s="7" t="n">
        <f aca="false">Sens!$E$7947+(glt_lic-Sens!$E$7947)*MIN(1,4/n_conv)</f>
        <v>0.0311721435769923</v>
      </c>
      <c r="J7947" s="7" t="n">
        <f aca="false">Sens!$E$7947+(glt_lic-Sens!$E$7947)*MIN(1,5/n_conv)</f>
        <v>0.0255860717884961</v>
      </c>
      <c r="K7947" s="7" t="n">
        <f aca="false">Sens!$E$7947+(glt_lic-Sens!$E$7947)*MIN(1,6/n_conv)</f>
        <v>0.02</v>
      </c>
    </row>
    <row r="7948" customFormat="false" ht="15" hidden="false" customHeight="false" outlineLevel="0" collapsed="false">
      <c r="A7948" s="0" t="s">
        <v>790</v>
      </c>
      <c r="B7948" s="0" t="s">
        <v>95</v>
      </c>
      <c r="D7948" s="6" t="n">
        <f aca="false">Q!L9</f>
        <v>18.417</v>
      </c>
      <c r="E7948" s="6" t="n">
        <f aca="false">Q!M9</f>
        <v>20.345</v>
      </c>
      <c r="F7948" s="6" t="n">
        <f aca="false">Sens!E7948*(1+Sens!F7949)</f>
        <v>22.3572203267814</v>
      </c>
      <c r="G7948" s="6" t="n">
        <f aca="false">Sens!F7948*(1+Sens!G7949)</f>
        <v>24.4392124437232</v>
      </c>
      <c r="H7948" s="6" t="n">
        <f aca="false">Sens!G7948*(1+Sens!H7949)</f>
        <v>26.5738052080665</v>
      </c>
      <c r="I7948" s="6" t="n">
        <f aca="false">Sens!H7948*(1+Sens!I7949)</f>
        <v>28.7412169166967</v>
      </c>
      <c r="J7948" s="6" t="n">
        <f aca="false">Sens!I7948*(1+Sens!J7949)</f>
        <v>30.9192545395413</v>
      </c>
      <c r="K7948" s="6" t="n">
        <f aca="false">Sens!J7948*(1+Sens!K7949)</f>
        <v>33.0836023573092</v>
      </c>
    </row>
    <row r="7949" customFormat="false" ht="15" hidden="false" customHeight="false" outlineLevel="0" collapsed="false">
      <c r="A7949" s="1" t="s">
        <v>782</v>
      </c>
      <c r="B7949" s="0" t="s">
        <v>126</v>
      </c>
      <c r="E7949" s="7" t="n">
        <f aca="false">Sens!E7948/Sens!D7948-1</f>
        <v>0.104685888038225</v>
      </c>
      <c r="F7949" s="7" t="n">
        <f aca="false">Sens!$E$7949+(glt_ind-Sens!$E$7949)*MIN(1,1/n_conv)</f>
        <v>0.0989049066985211</v>
      </c>
      <c r="G7949" s="7" t="n">
        <f aca="false">Sens!$E$7949+(glt_ind-Sens!$E$7949)*MIN(1,2/n_conv)</f>
        <v>0.0931239253588169</v>
      </c>
      <c r="H7949" s="7" t="n">
        <f aca="false">Sens!$E$7949+(glt_ind-Sens!$E$7949)*MIN(1,3/n_conv)</f>
        <v>0.0873429440191127</v>
      </c>
      <c r="I7949" s="7" t="n">
        <f aca="false">Sens!$E$7949+(glt_ind-Sens!$E$7949)*MIN(1,4/n_conv)</f>
        <v>0.0815619626794085</v>
      </c>
      <c r="J7949" s="7" t="n">
        <f aca="false">Sens!$E$7949+(glt_ind-Sens!$E$7949)*MIN(1,5/n_conv)</f>
        <v>0.0757809813397042</v>
      </c>
      <c r="K7949" s="7" t="n">
        <f aca="false">Sens!$E$7949+(glt_ind-Sens!$E$7949)*MIN(1,6/n_conv)</f>
        <v>0.07</v>
      </c>
    </row>
    <row r="7950" customFormat="false" ht="15" hidden="false" customHeight="false" outlineLevel="0" collapsed="false">
      <c r="A7950" s="0" t="s">
        <v>791</v>
      </c>
      <c r="B7950" s="0" t="s">
        <v>95</v>
      </c>
      <c r="D7950" s="6" t="n">
        <f aca="false">Q!L10</f>
        <v>7.76</v>
      </c>
      <c r="E7950" s="6" t="n">
        <f aca="false">Q!M10</f>
        <v>8.26</v>
      </c>
      <c r="F7950" s="6" t="n">
        <f aca="false">Sens!E7950*(1+Sens!F7951)</f>
        <v>8.79988041237113</v>
      </c>
      <c r="G7950" s="6" t="n">
        <f aca="false">Sens!F7950*(1+Sens!G7951)</f>
        <v>9.38321269125306</v>
      </c>
      <c r="H7950" s="6" t="n">
        <f aca="false">Sens!G7950*(1+Sens!H7951)</f>
        <v>10.0139193587476</v>
      </c>
      <c r="I7950" s="6" t="n">
        <f aca="false">Sens!H7950*(1+Sens!I7951)</f>
        <v>10.6963111830911</v>
      </c>
      <c r="J7950" s="6" t="n">
        <f aca="false">Sens!I7950*(1+Sens!J7951)</f>
        <v>11.4351285534696</v>
      </c>
      <c r="K7950" s="6" t="n">
        <f aca="false">Sens!J7950*(1+Sens!K7951)</f>
        <v>12.2355875522124</v>
      </c>
    </row>
    <row r="7951" customFormat="false" ht="15" hidden="false" customHeight="false" outlineLevel="0" collapsed="false">
      <c r="A7951" s="1" t="s">
        <v>782</v>
      </c>
      <c r="B7951" s="0" t="s">
        <v>126</v>
      </c>
      <c r="E7951" s="7" t="n">
        <f aca="false">Sens!E7950/Sens!D7950-1</f>
        <v>0.0644329896907216</v>
      </c>
      <c r="F7951" s="7" t="n">
        <f aca="false">Sens!$E$7951+(glt_fro-Sens!$E$7951)*MIN(1,1/n_conv)</f>
        <v>0.065360824742268</v>
      </c>
      <c r="G7951" s="7" t="n">
        <f aca="false">Sens!$E$7951+(glt_fro-Sens!$E$7951)*MIN(1,2/n_conv)</f>
        <v>0.0662886597938144</v>
      </c>
      <c r="H7951" s="7" t="n">
        <f aca="false">Sens!$E$7951+(glt_fro-Sens!$E$7951)*MIN(1,3/n_conv)</f>
        <v>0.0672164948453608</v>
      </c>
      <c r="I7951" s="7" t="n">
        <f aca="false">Sens!$E$7951+(glt_fro-Sens!$E$7951)*MIN(1,4/n_conv)</f>
        <v>0.0681443298969072</v>
      </c>
      <c r="J7951" s="7" t="n">
        <f aca="false">Sens!$E$7951+(glt_fro-Sens!$E$7951)*MIN(1,5/n_conv)</f>
        <v>0.0690721649484536</v>
      </c>
      <c r="K7951" s="7" t="n">
        <f aca="false">Sens!$E$7951+(glt_fro-Sens!$E$7951)*MIN(1,6/n_conv)</f>
        <v>0.07</v>
      </c>
    </row>
    <row r="7952" customFormat="false" ht="15" hidden="false" customHeight="false" outlineLevel="0" collapsed="false">
      <c r="A7952" s="0" t="s">
        <v>626</v>
      </c>
      <c r="B7952" s="0" t="s">
        <v>95</v>
      </c>
      <c r="D7952" s="6" t="n">
        <f aca="false">Sens!D7940+Sens!D7945+Sens!D7946+Sens!D7948+Sens!D7950</f>
        <v>218.783</v>
      </c>
      <c r="E7952" s="6" t="n">
        <f aca="false">Sens!E7940+Sens!E7945+Sens!E7946+Sens!E7948+Sens!E7950</f>
        <v>268.127</v>
      </c>
      <c r="F7952" s="6" t="n">
        <f aca="false">Sens!F7940+Sens!F7945+Sens!F7946+Sens!F7948+Sens!F7950</f>
        <v>339.433940907051</v>
      </c>
      <c r="G7952" s="6" t="n">
        <f aca="false">Sens!G7940+Sens!G7945+Sens!G7946+Sens!G7948+Sens!G7950</f>
        <v>424.490670881892</v>
      </c>
      <c r="H7952" s="6" t="n">
        <f aca="false">Sens!H7940+Sens!H7945+Sens!H7946+Sens!H7948+Sens!H7950</f>
        <v>515.646275281385</v>
      </c>
      <c r="I7952" s="6" t="n">
        <f aca="false">Sens!I7940+Sens!I7945+Sens!I7946+Sens!I7948+Sens!I7950</f>
        <v>597.93444694442</v>
      </c>
      <c r="J7952" s="6" t="n">
        <f aca="false">Sens!J7940+Sens!J7945+Sens!J7946+Sens!J7948+Sens!J7950</f>
        <v>675.905670910223</v>
      </c>
      <c r="K7952" s="6" t="n">
        <f aca="false">Sens!K7940+Sens!K7945+Sens!K7946+Sens!K7948+Sens!K7950</f>
        <v>750.407304875998</v>
      </c>
    </row>
    <row r="7953" customFormat="false" ht="15" hidden="false" customHeight="false" outlineLevel="0" collapsed="false">
      <c r="A7953" s="0" t="s">
        <v>792</v>
      </c>
      <c r="B7953" s="0" t="s">
        <v>95</v>
      </c>
      <c r="D7953" s="6" t="n">
        <f aca="false">Q!L13</f>
        <v>22.171</v>
      </c>
      <c r="E7953" s="6" t="n">
        <f aca="false">Q!M13</f>
        <v>24.835</v>
      </c>
      <c r="F7953" s="6" t="n">
        <f aca="false">Sens!E7953*(1+Sens!F7954)</f>
        <v>27.7356651218559</v>
      </c>
      <c r="G7953" s="6" t="n">
        <f aca="false">Sens!F7953*(1+Sens!G7954)</f>
        <v>30.8819427955575</v>
      </c>
      <c r="H7953" s="6" t="n">
        <f aca="false">Sens!G7953*(1+Sens!H7954)</f>
        <v>34.2813801456859</v>
      </c>
      <c r="I7953" s="6" t="n">
        <f aca="false">Sens!H7953*(1+Sens!I7954)</f>
        <v>37.9398543169022</v>
      </c>
      <c r="J7953" s="6" t="n">
        <f aca="false">Sens!I7953*(1+Sens!J7954)</f>
        <v>41.8612984476003</v>
      </c>
      <c r="K7953" s="6" t="n">
        <f aca="false">Sens!J7953*(1+Sens!K7954)</f>
        <v>46.0474282923604</v>
      </c>
    </row>
    <row r="7954" customFormat="false" ht="15" hidden="false" customHeight="false" outlineLevel="0" collapsed="false">
      <c r="A7954" s="1" t="s">
        <v>782</v>
      </c>
      <c r="B7954" s="0" t="s">
        <v>126</v>
      </c>
      <c r="E7954" s="7" t="n">
        <f aca="false">Sens!E7953/Sens!D7953-1</f>
        <v>0.120156961796942</v>
      </c>
      <c r="F7954" s="7" t="n">
        <f aca="false">Sens!$E$7954+(glt_srch_hi-Sens!$E$7954)*MIN(1,1/n_conv)</f>
        <v>0.116797468164118</v>
      </c>
      <c r="G7954" s="7" t="n">
        <f aca="false">Sens!$E$7954+(glt_srch_hi-Sens!$E$7954)*MIN(1,2/n_conv)</f>
        <v>0.113437974531295</v>
      </c>
      <c r="H7954" s="7" t="n">
        <f aca="false">Sens!$E$7954+(glt_srch_hi-Sens!$E$7954)*MIN(1,3/n_conv)</f>
        <v>0.110078480898471</v>
      </c>
      <c r="I7954" s="7" t="n">
        <f aca="false">Sens!$E$7954+(glt_srch_hi-Sens!$E$7954)*MIN(1,4/n_conv)</f>
        <v>0.106718987265647</v>
      </c>
      <c r="J7954" s="7" t="n">
        <f aca="false">Sens!$E$7954+(glt_srch_hi-Sens!$E$7954)*MIN(1,5/n_conv)</f>
        <v>0.103359493632824</v>
      </c>
      <c r="K7954" s="7" t="n">
        <f aca="false">Sens!$E$7954+(glt_srch_hi-Sens!$E$7954)*MIN(1,6/n_conv)</f>
        <v>0.1</v>
      </c>
    </row>
    <row r="7955" customFormat="false" ht="15" hidden="false" customHeight="false" outlineLevel="0" collapsed="false">
      <c r="A7955" s="0" t="s">
        <v>793</v>
      </c>
      <c r="B7955" s="0" t="s">
        <v>95</v>
      </c>
      <c r="D7955" s="6" t="n">
        <f aca="false">Q!L14</f>
        <v>23.455</v>
      </c>
      <c r="E7955" s="6" t="n">
        <f aca="false">Q!M14</f>
        <v>21.79</v>
      </c>
      <c r="F7955" s="6" t="n">
        <f aca="false">Sens!E7955*(1+Sens!F7956)</f>
        <v>20.5736277908051</v>
      </c>
      <c r="G7955" s="6" t="n">
        <f aca="false">Sens!F7955*(1+Sens!G7956)</f>
        <v>19.7371452817919</v>
      </c>
      <c r="H7955" s="6" t="n">
        <f aca="false">Sens!G7955*(1+Sens!H7956)</f>
        <v>19.2339764043138</v>
      </c>
      <c r="I7955" s="6" t="n">
        <f aca="false">Sens!H7955*(1+Sens!I7956)</f>
        <v>19.0353086852681</v>
      </c>
      <c r="J7955" s="6" t="n">
        <f aca="false">Sens!I7955*(1+Sens!J7956)</f>
        <v>19.1273539319129</v>
      </c>
      <c r="K7955" s="6" t="n">
        <f aca="false">Sens!J7955*(1+Sens!K7956)</f>
        <v>19.5099010105511</v>
      </c>
    </row>
    <row r="7956" customFormat="false" ht="15" hidden="false" customHeight="false" outlineLevel="0" collapsed="false">
      <c r="A7956" s="1" t="s">
        <v>782</v>
      </c>
      <c r="B7956" s="0" t="s">
        <v>126</v>
      </c>
      <c r="E7956" s="7" t="n">
        <f aca="false">Sens!E7955/Sens!D7955-1</f>
        <v>-0.0709869963760392</v>
      </c>
      <c r="F7956" s="7" t="n">
        <f aca="false">Sens!$E$7956+(glt_xbox-Sens!$E$7956)*MIN(1,1/n_conv)</f>
        <v>-0.0558224969800327</v>
      </c>
      <c r="G7956" s="7" t="n">
        <f aca="false">Sens!$E$7956+(glt_xbox-Sens!$E$7956)*MIN(1,2/n_conv)</f>
        <v>-0.0406579975840262</v>
      </c>
      <c r="H7956" s="7" t="n">
        <f aca="false">Sens!$E$7956+(glt_xbox-Sens!$E$7956)*MIN(1,3/n_conv)</f>
        <v>-0.0254934981880196</v>
      </c>
      <c r="I7956" s="7" t="n">
        <f aca="false">Sens!$E$7956+(glt_xbox-Sens!$E$7956)*MIN(1,4/n_conv)</f>
        <v>-0.0103289987920131</v>
      </c>
      <c r="J7956" s="7" t="n">
        <f aca="false">Sens!$E$7956+(glt_xbox-Sens!$E$7956)*MIN(1,5/n_conv)</f>
        <v>0.00483550060399347</v>
      </c>
      <c r="K7956" s="7" t="n">
        <f aca="false">Sens!$E$7956+(glt_xbox-Sens!$E$7956)*MIN(1,6/n_conv)</f>
        <v>0.02</v>
      </c>
    </row>
    <row r="7957" customFormat="false" ht="15" hidden="false" customHeight="false" outlineLevel="0" collapsed="false">
      <c r="A7957" s="0" t="s">
        <v>794</v>
      </c>
      <c r="B7957" s="0" t="s">
        <v>95</v>
      </c>
      <c r="D7957" s="6" t="n">
        <f aca="false">Q!L15</f>
        <v>17.315</v>
      </c>
      <c r="E7957" s="6" t="n">
        <f aca="false">Q!M15</f>
        <v>17.087</v>
      </c>
      <c r="F7957" s="6" t="n">
        <f aca="false">Sens!E7957*(1+Sens!F7958)</f>
        <v>16.9564585436519</v>
      </c>
      <c r="G7957" s="6" t="n">
        <f aca="false">Sens!F7957*(1+Sens!G7958)</f>
        <v>16.9206490624268</v>
      </c>
      <c r="H7957" s="6" t="n">
        <f aca="false">Sens!G7957*(1+Sens!H7958)</f>
        <v>16.9784519149849</v>
      </c>
      <c r="I7957" s="6" t="n">
        <f aca="false">Sens!H7957*(1+Sens!I7958)</f>
        <v>17.1303084701817</v>
      </c>
      <c r="J7957" s="6" t="n">
        <f aca="false">Sens!I7957*(1+Sens!J7958)</f>
        <v>17.3782189407267</v>
      </c>
      <c r="K7957" s="6" t="n">
        <f aca="false">Sens!J7957*(1+Sens!K7958)</f>
        <v>17.7257833195413</v>
      </c>
    </row>
    <row r="7958" customFormat="false" ht="15" hidden="false" customHeight="false" outlineLevel="0" collapsed="false">
      <c r="A7958" s="1" t="s">
        <v>782</v>
      </c>
      <c r="B7958" s="0" t="s">
        <v>126</v>
      </c>
      <c r="E7958" s="7" t="n">
        <f aca="false">Sens!E7957/Sens!D7957-1</f>
        <v>-0.0131677736066995</v>
      </c>
      <c r="F7958" s="7" t="n">
        <f aca="false">Sens!$E$7958+(glt_win-Sens!$E$7958)*MIN(1,1/n_conv)</f>
        <v>-0.00763981133891627</v>
      </c>
      <c r="G7958" s="7" t="n">
        <f aca="false">Sens!$E$7958+(glt_win-Sens!$E$7958)*MIN(1,2/n_conv)</f>
        <v>-0.00211184907113301</v>
      </c>
      <c r="H7958" s="7" t="n">
        <f aca="false">Sens!$E$7958+(glt_win-Sens!$E$7958)*MIN(1,3/n_conv)</f>
        <v>0.00341611319665024</v>
      </c>
      <c r="I7958" s="7" t="n">
        <f aca="false">Sens!$E$7958+(glt_win-Sens!$E$7958)*MIN(1,4/n_conv)</f>
        <v>0.00894407546443349</v>
      </c>
      <c r="J7958" s="7" t="n">
        <f aca="false">Sens!$E$7958+(glt_win-Sens!$E$7958)*MIN(1,5/n_conv)</f>
        <v>0.0144720377322168</v>
      </c>
      <c r="K7958" s="7" t="n">
        <f aca="false">Sens!$E$7958+(glt_win-Sens!$E$7958)*MIN(1,6/n_conv)</f>
        <v>0.02</v>
      </c>
    </row>
    <row r="7959" customFormat="false" ht="15" hidden="false" customHeight="false" outlineLevel="0" collapsed="false">
      <c r="A7959" s="0" t="s">
        <v>640</v>
      </c>
      <c r="B7959" s="0" t="s">
        <v>95</v>
      </c>
      <c r="D7959" s="6" t="n">
        <f aca="false">Sens!D7953+Sens!D7955+Sens!D7957</f>
        <v>62.941</v>
      </c>
      <c r="E7959" s="6" t="n">
        <f aca="false">Sens!E7953+Sens!E7955+Sens!E7957</f>
        <v>63.712</v>
      </c>
      <c r="F7959" s="6" t="n">
        <f aca="false">Sens!F7953+Sens!F7955+Sens!F7957</f>
        <v>65.2657514563129</v>
      </c>
      <c r="G7959" s="6" t="n">
        <f aca="false">Sens!G7953+Sens!G7955+Sens!G7957</f>
        <v>67.5397371397762</v>
      </c>
      <c r="H7959" s="6" t="n">
        <f aca="false">Sens!H7953+Sens!H7955+Sens!H7957</f>
        <v>70.4938084649846</v>
      </c>
      <c r="I7959" s="6" t="n">
        <f aca="false">Sens!I7953+Sens!I7955+Sens!I7957</f>
        <v>74.105471472352</v>
      </c>
      <c r="J7959" s="6" t="n">
        <f aca="false">Sens!J7953+Sens!J7955+Sens!J7957</f>
        <v>78.3668713202399</v>
      </c>
      <c r="K7959" s="6" t="n">
        <f aca="false">Sens!K7953+Sens!K7955+Sens!K7957</f>
        <v>83.2831126224528</v>
      </c>
    </row>
    <row r="7960" customFormat="false" ht="15" hidden="false" customHeight="false" outlineLevel="0" collapsed="false">
      <c r="A7960" s="1" t="s">
        <v>795</v>
      </c>
      <c r="B7960" s="0" t="s">
        <v>95</v>
      </c>
      <c r="D7960" s="6" t="n">
        <f aca="false">Sens!D7952+Sens!D7959</f>
        <v>281.724</v>
      </c>
      <c r="E7960" s="6" t="n">
        <f aca="false">Sens!E7952+Sens!E7959</f>
        <v>331.839</v>
      </c>
      <c r="F7960" s="6" t="n">
        <f aca="false">Sens!F7952+Sens!F7959</f>
        <v>404.699692363364</v>
      </c>
      <c r="G7960" s="6" t="n">
        <f aca="false">Sens!G7952+Sens!G7959</f>
        <v>492.030408021668</v>
      </c>
      <c r="H7960" s="6" t="n">
        <f aca="false">Sens!H7952+Sens!H7959</f>
        <v>586.140083746369</v>
      </c>
      <c r="I7960" s="6" t="n">
        <f aca="false">Sens!I7952+Sens!I7959</f>
        <v>672.039918416772</v>
      </c>
      <c r="J7960" s="6" t="n">
        <f aca="false">Sens!J7952+Sens!J7959</f>
        <v>754.272542230463</v>
      </c>
      <c r="K7960" s="6" t="n">
        <f aca="false">Sens!K7952+Sens!K7959</f>
        <v>833.69041749845</v>
      </c>
    </row>
    <row r="7961" customFormat="false" ht="15" hidden="false" customHeight="false" outlineLevel="0" collapsed="false">
      <c r="A7961" s="22" t="s">
        <v>796</v>
      </c>
      <c r="B7961" s="28" t="s">
        <v>95</v>
      </c>
      <c r="C7961" s="28"/>
      <c r="D7961" s="23" t="n">
        <f aca="false">(Sens!D7940+Sens!D7945+Sens!D7946+Sens!D7948+Sens!D7950-Sens!D7952)+(Sens!D7953+Sens!D7955+Sens!D7957-Sens!D7959)+(Sens!D7952-Q!L5)+(Sens!D7959-Q!L12)+(Sens!D7940-Q!L6)+(Sens!D7945-Q!L7)</f>
        <v>0</v>
      </c>
      <c r="E7961" s="23" t="n">
        <f aca="false">(Sens!E7940+Sens!E7945+Sens!E7946+Sens!E7948+Sens!E7950-Sens!E7952)+(Sens!E7953+Sens!E7955+Sens!E7957-Sens!E7959)+(Sens!E7952-Q!M5)+(Sens!E7959-Q!M12)+(Sens!E7940-Q!M6)+(Sens!E7945-Q!M7)</f>
        <v>0</v>
      </c>
      <c r="F7961" s="23" t="n">
        <f aca="false">(Sens!F7940+Sens!F7945+Sens!F7946+Sens!F7948+Sens!F7950-Sens!F7952)+(Sens!F7953+Sens!F7955+Sens!F7957-Sens!F7959)</f>
        <v>0</v>
      </c>
      <c r="G7961" s="23" t="n">
        <f aca="false">(Sens!G7940+Sens!G7945+Sens!G7946+Sens!G7948+Sens!G7950-Sens!G7952)+(Sens!G7953+Sens!G7955+Sens!G7957-Sens!G7959)</f>
        <v>0</v>
      </c>
      <c r="H7961" s="23" t="n">
        <f aca="false">(Sens!H7940+Sens!H7945+Sens!H7946+Sens!H7948+Sens!H7950-Sens!H7952)+(Sens!H7953+Sens!H7955+Sens!H7957-Sens!H7959)</f>
        <v>0</v>
      </c>
      <c r="I7961" s="23" t="n">
        <f aca="false">(Sens!I7940+Sens!I7945+Sens!I7946+Sens!I7948+Sens!I7950-Sens!I7952)+(Sens!I7953+Sens!I7955+Sens!I7957-Sens!I7959)</f>
        <v>0</v>
      </c>
      <c r="J7961" s="23" t="n">
        <f aca="false">(Sens!J7940+Sens!J7945+Sens!J7946+Sens!J7948+Sens!J7950-Sens!J7952)+(Sens!J7953+Sens!J7955+Sens!J7957-Sens!J7959)</f>
        <v>0</v>
      </c>
      <c r="K7961" s="23" t="n">
        <f aca="false">(Sens!K7940+Sens!K7945+Sens!K7946+Sens!K7948+Sens!K7950-Sens!K7952)+(Sens!K7953+Sens!K7955+Sens!K7957-Sens!K7959)</f>
        <v>0</v>
      </c>
    </row>
    <row r="7962" customFormat="false" ht="17.15" hidden="false" customHeight="false" outlineLevel="0" collapsed="false">
      <c r="A7962" s="3" t="s">
        <v>1341</v>
      </c>
    </row>
    <row r="7963" customFormat="false" ht="15" hidden="false" customHeight="false" outlineLevel="0" collapsed="false">
      <c r="A7963" s="4" t="s">
        <v>43</v>
      </c>
      <c r="B7963" s="4" t="s">
        <v>63</v>
      </c>
      <c r="C7963" s="19" t="s">
        <v>710</v>
      </c>
      <c r="D7963" s="19" t="s">
        <v>711</v>
      </c>
      <c r="E7963" s="19" t="s">
        <v>712</v>
      </c>
      <c r="F7963" s="19" t="s">
        <v>713</v>
      </c>
      <c r="G7963" s="19" t="s">
        <v>714</v>
      </c>
      <c r="H7963" s="19" t="s">
        <v>715</v>
      </c>
      <c r="I7963" s="19" t="s">
        <v>716</v>
      </c>
      <c r="J7963" s="19" t="s">
        <v>717</v>
      </c>
      <c r="K7963" s="19" t="s">
        <v>718</v>
      </c>
      <c r="L7963" s="4" t="s">
        <v>47</v>
      </c>
    </row>
    <row r="7964" customFormat="false" ht="15" hidden="false" customHeight="false" outlineLevel="0" collapsed="false">
      <c r="A7964" s="0" t="s">
        <v>783</v>
      </c>
      <c r="B7964" s="0" t="s">
        <v>95</v>
      </c>
      <c r="D7964" s="6" t="n">
        <f aca="false">Sens!D7940</f>
        <v>72.61</v>
      </c>
      <c r="E7964" s="6" t="n">
        <f aca="false">Sens!E7940</f>
        <v>101.938</v>
      </c>
      <c r="F7964" s="6" t="n">
        <f aca="false">Sens!F7940</f>
        <v>148.812368967868</v>
      </c>
      <c r="G7964" s="6" t="n">
        <f aca="false">Sens!G7940</f>
        <v>208.397514344463</v>
      </c>
      <c r="H7964" s="6" t="n">
        <f aca="false">Sens!H7940</f>
        <v>274.05759259987</v>
      </c>
      <c r="I7964" s="6" t="n">
        <f aca="false">Sens!I7940</f>
        <v>333.373091964934</v>
      </c>
      <c r="J7964" s="6" t="n">
        <f aca="false">Sens!J7940</f>
        <v>391.214773806054</v>
      </c>
      <c r="K7964" s="6" t="n">
        <f aca="false">Sens!K7940</f>
        <v>446.513235535821</v>
      </c>
    </row>
    <row r="7965" customFormat="false" ht="17.15" hidden="false" customHeight="false" outlineLevel="0" collapsed="false">
      <c r="A7965" s="0" t="s">
        <v>780</v>
      </c>
      <c r="B7965" s="0" t="s">
        <v>95</v>
      </c>
      <c r="D7965" s="6" t="n">
        <f aca="false">Sens!D7937</f>
        <v>12.9359794422418</v>
      </c>
      <c r="E7965" s="6" t="n">
        <f aca="false">Sens!E7937</f>
        <v>27.8095064661409</v>
      </c>
      <c r="F7965" s="6" t="n">
        <f aca="false">Sens!F7937</f>
        <v>58.7324192305018</v>
      </c>
      <c r="G7965" s="6" t="n">
        <f aca="false">Sens!G7937</f>
        <v>101.369089141153</v>
      </c>
      <c r="H7965" s="6" t="n">
        <f aca="false">Sens!H7937</f>
        <v>149.785610014234</v>
      </c>
      <c r="I7965" s="6" t="n">
        <f aca="false">Sens!I7937</f>
        <v>192.439389583079</v>
      </c>
      <c r="J7965" s="6" t="n">
        <f aca="false">Sens!J7937</f>
        <v>235.195906491722</v>
      </c>
      <c r="K7965" s="6" t="n">
        <f aca="false">Sens!K7937</f>
        <v>278.012858836343</v>
      </c>
    </row>
    <row r="7966" customFormat="false" ht="17.15" hidden="false" customHeight="false" outlineLevel="0" collapsed="false">
      <c r="A7966" s="0" t="s">
        <v>807</v>
      </c>
      <c r="B7966" s="0" t="s">
        <v>95</v>
      </c>
      <c r="D7966" s="6" t="n">
        <f aca="false">Sens!D7938</f>
        <v>59.6740205577583</v>
      </c>
      <c r="E7966" s="6" t="n">
        <f aca="false">Sens!E7938</f>
        <v>74.1284935338591</v>
      </c>
      <c r="F7966" s="6" t="n">
        <f aca="false">Sens!F7938</f>
        <v>90.0799497373663</v>
      </c>
      <c r="G7966" s="6" t="n">
        <f aca="false">Sens!G7938</f>
        <v>107.02842520331</v>
      </c>
      <c r="H7966" s="6" t="n">
        <f aca="false">Sens!H7938</f>
        <v>124.271982585636</v>
      </c>
      <c r="I7966" s="6" t="n">
        <f aca="false">Sens!I7938</f>
        <v>140.933702381855</v>
      </c>
      <c r="J7966" s="6" t="n">
        <f aca="false">Sens!J7938</f>
        <v>156.018867314332</v>
      </c>
      <c r="K7966" s="6" t="n">
        <f aca="false">Sens!K7938</f>
        <v>168.500376699478</v>
      </c>
    </row>
    <row r="7967" customFormat="false" ht="15" hidden="false" customHeight="false" outlineLevel="0" collapsed="false">
      <c r="A7967" s="0" t="s">
        <v>788</v>
      </c>
      <c r="B7967" s="0" t="s">
        <v>95</v>
      </c>
      <c r="D7967" s="6" t="n">
        <f aca="false">Sens!D7945</f>
        <v>84.605</v>
      </c>
      <c r="E7967" s="6" t="n">
        <f aca="false">Sens!E7945</f>
        <v>100.299</v>
      </c>
      <c r="F7967" s="6" t="n">
        <f aca="false">Sens!F7945</f>
        <v>120.39238776686</v>
      </c>
      <c r="G7967" s="6" t="n">
        <f aca="false">Sens!G7945</f>
        <v>141.544168448684</v>
      </c>
      <c r="H7967" s="6" t="n">
        <f aca="false">Sens!H7945</f>
        <v>162.777359388781</v>
      </c>
      <c r="I7967" s="6" t="n">
        <f aca="false">Sens!I7945</f>
        <v>181.584028071957</v>
      </c>
      <c r="J7967" s="6" t="n">
        <f aca="false">Sens!J7945</f>
        <v>197.682702785465</v>
      </c>
      <c r="K7967" s="6" t="n">
        <f aca="false">Sens!K7945</f>
        <v>213.027991980448</v>
      </c>
    </row>
    <row r="7968" customFormat="false" ht="17.15" hidden="false" customHeight="false" outlineLevel="0" collapsed="false">
      <c r="A7968" s="0" t="s">
        <v>808</v>
      </c>
      <c r="B7968" s="0" t="s">
        <v>95</v>
      </c>
      <c r="D7968" s="6" t="n">
        <f aca="false">Sens!D7943</f>
        <v>83.705</v>
      </c>
      <c r="E7968" s="6" t="n">
        <f aca="false">Sens!E7943</f>
        <v>95.049</v>
      </c>
      <c r="F7968" s="6" t="n">
        <f aca="false">Sens!F7943</f>
        <v>106.89238776686</v>
      </c>
      <c r="G7968" s="6" t="n">
        <f aca="false">Sens!G7943</f>
        <v>119.044168448684</v>
      </c>
      <c r="H7968" s="6" t="n">
        <f aca="false">Sens!H7943</f>
        <v>131.277359388781</v>
      </c>
      <c r="I7968" s="6" t="n">
        <f aca="false">Sens!I7943</f>
        <v>143.334028071957</v>
      </c>
      <c r="J7968" s="6" t="n">
        <f aca="false">Sens!J7943</f>
        <v>154.932702785465</v>
      </c>
      <c r="K7968" s="6" t="n">
        <f aca="false">Sens!K7943</f>
        <v>165.777991980448</v>
      </c>
    </row>
    <row r="7969" customFormat="false" ht="17.15" hidden="false" customHeight="false" outlineLevel="0" collapsed="false">
      <c r="A7969" s="0" t="s">
        <v>809</v>
      </c>
      <c r="B7969" s="0" t="s">
        <v>95</v>
      </c>
      <c r="D7969" s="6" t="n">
        <f aca="false">Sens!D7942</f>
        <v>0.9</v>
      </c>
      <c r="E7969" s="6" t="n">
        <f aca="false">Sens!E7942</f>
        <v>5.25</v>
      </c>
      <c r="F7969" s="6" t="n">
        <f aca="false">Sens!F7942</f>
        <v>13.5</v>
      </c>
      <c r="G7969" s="6" t="n">
        <f aca="false">Sens!G7942</f>
        <v>22.5</v>
      </c>
      <c r="H7969" s="6" t="n">
        <f aca="false">Sens!H7942</f>
        <v>31.5</v>
      </c>
      <c r="I7969" s="6" t="n">
        <f aca="false">Sens!I7942</f>
        <v>38.25</v>
      </c>
      <c r="J7969" s="6" t="n">
        <f aca="false">Sens!J7942</f>
        <v>42.75</v>
      </c>
      <c r="K7969" s="6" t="n">
        <f aca="false">Sens!K7942</f>
        <v>47.25</v>
      </c>
    </row>
    <row r="7970" customFormat="false" ht="15" hidden="false" customHeight="false" outlineLevel="0" collapsed="false">
      <c r="A7970" s="0" t="s">
        <v>789</v>
      </c>
      <c r="B7970" s="0" t="s">
        <v>95</v>
      </c>
      <c r="D7970" s="6" t="n">
        <f aca="false">Sens!D7946</f>
        <v>35.391</v>
      </c>
      <c r="E7970" s="6" t="n">
        <f aca="false">Sens!E7946</f>
        <v>37.285</v>
      </c>
      <c r="F7970" s="6" t="n">
        <f aca="false">Sens!F7946</f>
        <v>39.0720834331704</v>
      </c>
      <c r="G7970" s="6" t="n">
        <f aca="false">Sens!G7946</f>
        <v>40.726562953769</v>
      </c>
      <c r="H7970" s="6" t="n">
        <f aca="false">Sens!H7946</f>
        <v>42.2235987259198</v>
      </c>
      <c r="I7970" s="6" t="n">
        <f aca="false">Sens!I7946</f>
        <v>43.5397988077414</v>
      </c>
      <c r="J7970" s="6" t="n">
        <f aca="false">Sens!J7946</f>
        <v>44.653811225693</v>
      </c>
      <c r="K7970" s="6" t="n">
        <f aca="false">Sens!K7946</f>
        <v>45.5468874502068</v>
      </c>
    </row>
    <row r="7971" customFormat="false" ht="15" hidden="false" customHeight="false" outlineLevel="0" collapsed="false">
      <c r="A7971" s="0" t="s">
        <v>790</v>
      </c>
      <c r="B7971" s="0" t="s">
        <v>95</v>
      </c>
      <c r="D7971" s="6" t="n">
        <f aca="false">Sens!D7948</f>
        <v>18.417</v>
      </c>
      <c r="E7971" s="6" t="n">
        <f aca="false">Sens!E7948</f>
        <v>20.345</v>
      </c>
      <c r="F7971" s="6" t="n">
        <f aca="false">Sens!F7948</f>
        <v>22.3572203267814</v>
      </c>
      <c r="G7971" s="6" t="n">
        <f aca="false">Sens!G7948</f>
        <v>24.4392124437232</v>
      </c>
      <c r="H7971" s="6" t="n">
        <f aca="false">Sens!H7948</f>
        <v>26.5738052080665</v>
      </c>
      <c r="I7971" s="6" t="n">
        <f aca="false">Sens!I7948</f>
        <v>28.7412169166967</v>
      </c>
      <c r="J7971" s="6" t="n">
        <f aca="false">Sens!J7948</f>
        <v>30.9192545395413</v>
      </c>
      <c r="K7971" s="6" t="n">
        <f aca="false">Sens!K7948</f>
        <v>33.0836023573092</v>
      </c>
    </row>
    <row r="7972" customFormat="false" ht="15" hidden="false" customHeight="false" outlineLevel="0" collapsed="false">
      <c r="A7972" s="0" t="s">
        <v>791</v>
      </c>
      <c r="B7972" s="0" t="s">
        <v>95</v>
      </c>
      <c r="D7972" s="6" t="n">
        <f aca="false">Sens!D7950</f>
        <v>7.76</v>
      </c>
      <c r="E7972" s="6" t="n">
        <f aca="false">Sens!E7950</f>
        <v>8.26</v>
      </c>
      <c r="F7972" s="6" t="n">
        <f aca="false">Sens!F7950</f>
        <v>8.79988041237113</v>
      </c>
      <c r="G7972" s="6" t="n">
        <f aca="false">Sens!G7950</f>
        <v>9.38321269125306</v>
      </c>
      <c r="H7972" s="6" t="n">
        <f aca="false">Sens!H7950</f>
        <v>10.0139193587476</v>
      </c>
      <c r="I7972" s="6" t="n">
        <f aca="false">Sens!I7950</f>
        <v>10.6963111830911</v>
      </c>
      <c r="J7972" s="6" t="n">
        <f aca="false">Sens!J7950</f>
        <v>11.4351285534696</v>
      </c>
      <c r="K7972" s="6" t="n">
        <f aca="false">Sens!K7950</f>
        <v>12.2355875522124</v>
      </c>
    </row>
    <row r="7973" customFormat="false" ht="15" hidden="false" customHeight="false" outlineLevel="0" collapsed="false">
      <c r="A7973" s="0" t="s">
        <v>626</v>
      </c>
      <c r="B7973" s="0" t="s">
        <v>95</v>
      </c>
      <c r="D7973" s="6" t="n">
        <f aca="false">Sens!D7952</f>
        <v>218.783</v>
      </c>
      <c r="E7973" s="6" t="n">
        <f aca="false">Sens!E7952</f>
        <v>268.127</v>
      </c>
      <c r="F7973" s="6" t="n">
        <f aca="false">Sens!F7952</f>
        <v>339.433940907051</v>
      </c>
      <c r="G7973" s="6" t="n">
        <f aca="false">Sens!G7952</f>
        <v>424.490670881892</v>
      </c>
      <c r="H7973" s="6" t="n">
        <f aca="false">Sens!H7952</f>
        <v>515.646275281385</v>
      </c>
      <c r="I7973" s="6" t="n">
        <f aca="false">Sens!I7952</f>
        <v>597.93444694442</v>
      </c>
      <c r="J7973" s="6" t="n">
        <f aca="false">Sens!J7952</f>
        <v>675.905670910223</v>
      </c>
      <c r="K7973" s="6" t="n">
        <f aca="false">Sens!K7952</f>
        <v>750.407304875998</v>
      </c>
    </row>
    <row r="7974" customFormat="false" ht="15" hidden="false" customHeight="false" outlineLevel="0" collapsed="false">
      <c r="A7974" s="0" t="s">
        <v>792</v>
      </c>
      <c r="B7974" s="0" t="s">
        <v>95</v>
      </c>
      <c r="D7974" s="6" t="n">
        <f aca="false">Sens!D7953</f>
        <v>22.171</v>
      </c>
      <c r="E7974" s="6" t="n">
        <f aca="false">Sens!E7953</f>
        <v>24.835</v>
      </c>
      <c r="F7974" s="6" t="n">
        <f aca="false">Sens!F7953</f>
        <v>27.7356651218559</v>
      </c>
      <c r="G7974" s="6" t="n">
        <f aca="false">Sens!G7953</f>
        <v>30.8819427955575</v>
      </c>
      <c r="H7974" s="6" t="n">
        <f aca="false">Sens!H7953</f>
        <v>34.2813801456859</v>
      </c>
      <c r="I7974" s="6" t="n">
        <f aca="false">Sens!I7953</f>
        <v>37.9398543169022</v>
      </c>
      <c r="J7974" s="6" t="n">
        <f aca="false">Sens!J7953</f>
        <v>41.8612984476003</v>
      </c>
      <c r="K7974" s="6" t="n">
        <f aca="false">Sens!K7953</f>
        <v>46.0474282923604</v>
      </c>
    </row>
    <row r="7975" customFormat="false" ht="15" hidden="false" customHeight="false" outlineLevel="0" collapsed="false">
      <c r="A7975" s="0" t="s">
        <v>793</v>
      </c>
      <c r="B7975" s="0" t="s">
        <v>95</v>
      </c>
      <c r="D7975" s="6" t="n">
        <f aca="false">Sens!D7955</f>
        <v>23.455</v>
      </c>
      <c r="E7975" s="6" t="n">
        <f aca="false">Sens!E7955</f>
        <v>21.79</v>
      </c>
      <c r="F7975" s="6" t="n">
        <f aca="false">Sens!F7955</f>
        <v>20.5736277908051</v>
      </c>
      <c r="G7975" s="6" t="n">
        <f aca="false">Sens!G7955</f>
        <v>19.7371452817919</v>
      </c>
      <c r="H7975" s="6" t="n">
        <f aca="false">Sens!H7955</f>
        <v>19.2339764043138</v>
      </c>
      <c r="I7975" s="6" t="n">
        <f aca="false">Sens!I7955</f>
        <v>19.0353086852681</v>
      </c>
      <c r="J7975" s="6" t="n">
        <f aca="false">Sens!J7955</f>
        <v>19.1273539319129</v>
      </c>
      <c r="K7975" s="6" t="n">
        <f aca="false">Sens!K7955</f>
        <v>19.5099010105511</v>
      </c>
    </row>
    <row r="7976" customFormat="false" ht="15" hidden="false" customHeight="false" outlineLevel="0" collapsed="false">
      <c r="A7976" s="0" t="s">
        <v>794</v>
      </c>
      <c r="B7976" s="0" t="s">
        <v>95</v>
      </c>
      <c r="D7976" s="6" t="n">
        <f aca="false">Sens!D7957</f>
        <v>17.315</v>
      </c>
      <c r="E7976" s="6" t="n">
        <f aca="false">Sens!E7957</f>
        <v>17.087</v>
      </c>
      <c r="F7976" s="6" t="n">
        <f aca="false">Sens!F7957</f>
        <v>16.9564585436519</v>
      </c>
      <c r="G7976" s="6" t="n">
        <f aca="false">Sens!G7957</f>
        <v>16.9206490624268</v>
      </c>
      <c r="H7976" s="6" t="n">
        <f aca="false">Sens!H7957</f>
        <v>16.9784519149849</v>
      </c>
      <c r="I7976" s="6" t="n">
        <f aca="false">Sens!I7957</f>
        <v>17.1303084701817</v>
      </c>
      <c r="J7976" s="6" t="n">
        <f aca="false">Sens!J7957</f>
        <v>17.3782189407267</v>
      </c>
      <c r="K7976" s="6" t="n">
        <f aca="false">Sens!K7957</f>
        <v>17.7257833195413</v>
      </c>
    </row>
    <row r="7977" customFormat="false" ht="15" hidden="false" customHeight="false" outlineLevel="0" collapsed="false">
      <c r="A7977" s="0" t="s">
        <v>640</v>
      </c>
      <c r="B7977" s="0" t="s">
        <v>95</v>
      </c>
      <c r="D7977" s="6" t="n">
        <f aca="false">Sens!D7959</f>
        <v>62.941</v>
      </c>
      <c r="E7977" s="6" t="n">
        <f aca="false">Sens!E7959</f>
        <v>63.712</v>
      </c>
      <c r="F7977" s="6" t="n">
        <f aca="false">Sens!F7959</f>
        <v>65.2657514563129</v>
      </c>
      <c r="G7977" s="6" t="n">
        <f aca="false">Sens!G7959</f>
        <v>67.5397371397762</v>
      </c>
      <c r="H7977" s="6" t="n">
        <f aca="false">Sens!H7959</f>
        <v>70.4938084649846</v>
      </c>
      <c r="I7977" s="6" t="n">
        <f aca="false">Sens!I7959</f>
        <v>74.105471472352</v>
      </c>
      <c r="J7977" s="6" t="n">
        <f aca="false">Sens!J7959</f>
        <v>78.3668713202399</v>
      </c>
      <c r="K7977" s="6" t="n">
        <f aca="false">Sens!K7959</f>
        <v>83.2831126224528</v>
      </c>
    </row>
    <row r="7978" customFormat="false" ht="15" hidden="false" customHeight="false" outlineLevel="0" collapsed="false">
      <c r="A7978" s="1" t="s">
        <v>810</v>
      </c>
      <c r="B7978" s="0" t="s">
        <v>95</v>
      </c>
      <c r="D7978" s="6" t="n">
        <f aca="false">Sens!D7960</f>
        <v>281.724</v>
      </c>
      <c r="E7978" s="6" t="n">
        <f aca="false">Sens!E7960</f>
        <v>331.839</v>
      </c>
      <c r="F7978" s="6" t="n">
        <f aca="false">Sens!F7960</f>
        <v>404.699692363364</v>
      </c>
      <c r="G7978" s="6" t="n">
        <f aca="false">Sens!G7960</f>
        <v>492.030408021668</v>
      </c>
      <c r="H7978" s="6" t="n">
        <f aca="false">Sens!H7960</f>
        <v>586.140083746369</v>
      </c>
      <c r="I7978" s="6" t="n">
        <f aca="false">Sens!I7960</f>
        <v>672.039918416772</v>
      </c>
      <c r="J7978" s="6" t="n">
        <f aca="false">Sens!J7960</f>
        <v>754.272542230463</v>
      </c>
      <c r="K7978" s="6" t="n">
        <f aca="false">Sens!K7960</f>
        <v>833.69041749845</v>
      </c>
    </row>
    <row r="7979" customFormat="false" ht="15" hidden="false" customHeight="false" outlineLevel="0" collapsed="false">
      <c r="A7979" s="1" t="s">
        <v>811</v>
      </c>
      <c r="B7979" s="0" t="s">
        <v>126</v>
      </c>
      <c r="E7979" s="7" t="n">
        <f aca="false">Sens!E7978/Sens!D7978-1</f>
        <v>0.177886867998467</v>
      </c>
      <c r="F7979" s="7" t="n">
        <f aca="false">Sens!F7978/Sens!E7978-1</f>
        <v>0.219566393230946</v>
      </c>
      <c r="G7979" s="7" t="n">
        <f aca="false">Sens!G7978/Sens!F7978-1</f>
        <v>0.215791406087588</v>
      </c>
      <c r="H7979" s="7" t="n">
        <f aca="false">Sens!H7978/Sens!G7978-1</f>
        <v>0.191268007404447</v>
      </c>
      <c r="I7979" s="7" t="n">
        <f aca="false">Sens!I7978/Sens!H7978-1</f>
        <v>0.146551715285134</v>
      </c>
      <c r="J7979" s="7" t="n">
        <f aca="false">Sens!J7978/Sens!I7978-1</f>
        <v>0.122362707274024</v>
      </c>
      <c r="K7979" s="7" t="n">
        <f aca="false">Sens!K7978/Sens!J7978-1</f>
        <v>0.105290688473348</v>
      </c>
    </row>
    <row r="7980" customFormat="false" ht="17.15" hidden="false" customHeight="false" outlineLevel="0" collapsed="false">
      <c r="A7980" s="22" t="s">
        <v>812</v>
      </c>
      <c r="B7980" s="28" t="s">
        <v>95</v>
      </c>
      <c r="C7980" s="28"/>
      <c r="D7980" s="23" t="n">
        <f aca="false">(Sens!D7973+Sens!D7977-Sens!D7978)+(Sens!D7965+Sens!D7966-Sens!D7964)+(Sens!D7968+Sens!D7969-Sens!D7967)+(Sens!D7978-Q!L18)</f>
        <v>0</v>
      </c>
      <c r="E7980" s="23" t="n">
        <f aca="false">(Sens!E7973+Sens!E7977-Sens!E7978)+(Sens!E7965+Sens!E7966-Sens!E7964)+(Sens!E7968+Sens!E7969-Sens!E7967)+(Sens!E7978-Q!M18)</f>
        <v>0</v>
      </c>
      <c r="F7980" s="23" t="n">
        <f aca="false">(Sens!F7973+Sens!F7977-Sens!F7978)+(Sens!F7965+Sens!F7966-Sens!F7964)+(Sens!F7968+Sens!F7969-Sens!F7967)</f>
        <v>0</v>
      </c>
      <c r="G7980" s="23" t="n">
        <f aca="false">(Sens!G7973+Sens!G7977-Sens!G7978)+(Sens!G7965+Sens!G7966-Sens!G7964)+(Sens!G7968+Sens!G7969-Sens!G7967)</f>
        <v>0</v>
      </c>
      <c r="H7980" s="23" t="n">
        <f aca="false">(Sens!H7973+Sens!H7977-Sens!H7978)+(Sens!H7965+Sens!H7966-Sens!H7964)+(Sens!H7968+Sens!H7969-Sens!H7967)</f>
        <v>0</v>
      </c>
      <c r="I7980" s="23" t="n">
        <f aca="false">(Sens!I7973+Sens!I7977-Sens!I7978)+(Sens!I7965+Sens!I7966-Sens!I7964)+(Sens!I7968+Sens!I7969-Sens!I7967)</f>
        <v>0</v>
      </c>
      <c r="J7980" s="23" t="n">
        <f aca="false">(Sens!J7973+Sens!J7977-Sens!J7978)+(Sens!J7965+Sens!J7966-Sens!J7964)+(Sens!J7968+Sens!J7969-Sens!J7967)</f>
        <v>0</v>
      </c>
      <c r="K7980" s="23" t="n">
        <f aca="false">(Sens!K7973+Sens!K7977-Sens!K7978)+(Sens!K7965+Sens!K7966-Sens!K7964)+(Sens!K7968+Sens!K7969-Sens!K7967)</f>
        <v>0</v>
      </c>
    </row>
    <row r="7981" customFormat="false" ht="17.15" hidden="false" customHeight="false" outlineLevel="0" collapsed="false">
      <c r="A7981" s="0" t="s">
        <v>813</v>
      </c>
      <c r="B7981" s="0" t="s">
        <v>126</v>
      </c>
      <c r="E7981" s="7" t="n">
        <f aca="false">(Q!M21+Sens!E7918+Sens!E7919+Sens!E7920+Sens!E7933-Sens!E7916)/(Q!M5-Sens!E7916)</f>
        <v>0.570957350878296</v>
      </c>
      <c r="F7981" s="7" t="n">
        <f aca="false">Sens!$E$7981+dm_seg</f>
        <v>0.570957350878296</v>
      </c>
      <c r="G7981" s="7" t="n">
        <f aca="false">Sens!$E$7981+dm_seg</f>
        <v>0.570957350878296</v>
      </c>
      <c r="H7981" s="7" t="n">
        <f aca="false">Sens!$E$7981+dm_seg</f>
        <v>0.570957350878296</v>
      </c>
      <c r="I7981" s="7" t="n">
        <f aca="false">Sens!$E$7981+dm_seg</f>
        <v>0.570957350878296</v>
      </c>
      <c r="J7981" s="7" t="n">
        <f aca="false">Sens!$E$7981+dm_seg</f>
        <v>0.570957350878296</v>
      </c>
      <c r="K7981" s="7" t="n">
        <f aca="false">Sens!$E$7981+dm_seg</f>
        <v>0.570957350878296</v>
      </c>
      <c r="L7981" s="11" t="s">
        <v>814</v>
      </c>
    </row>
    <row r="7982" customFormat="false" ht="17.15" hidden="false" customHeight="false" outlineLevel="0" collapsed="false">
      <c r="A7982" s="0" t="s">
        <v>654</v>
      </c>
      <c r="B7982" s="0" t="s">
        <v>95</v>
      </c>
      <c r="D7982" s="6" t="n">
        <f aca="false">Q!L21</f>
        <v>110.814</v>
      </c>
      <c r="E7982" s="6" t="n">
        <f aca="false">Q!M21</f>
        <v>136.365</v>
      </c>
      <c r="F7982" s="6" t="n">
        <f aca="false">Sens!F7981*(Sens!F7952-Sens!F7916)+Sens!F7916-(Sens!F7918+Sens!F7919+Sens!F7920)-Sens!F7933</f>
        <v>162.13631243564</v>
      </c>
      <c r="G7982" s="6" t="n">
        <f aca="false">Sens!G7981*(Sens!G7952-Sens!G7916)+Sens!G7916-(Sens!G7918+Sens!G7919+Sens!G7920)-Sens!G7933</f>
        <v>191.695235934364</v>
      </c>
      <c r="H7982" s="6" t="n">
        <f aca="false">Sens!H7981*(Sens!H7952-Sens!H7916)+Sens!H7916-(Sens!H7918+Sens!H7919+Sens!H7920)-Sens!H7933</f>
        <v>226.08136966424</v>
      </c>
      <c r="I7982" s="6" t="n">
        <f aca="false">Sens!I7981*(Sens!I7952-Sens!I7916)+Sens!I7916-(Sens!I7918+Sens!I7919+Sens!I7920)-Sens!I7933</f>
        <v>251.882014565371</v>
      </c>
      <c r="J7982" s="6" t="n">
        <f aca="false">Sens!J7981*(Sens!J7952-Sens!J7916)+Sens!J7916-(Sens!J7918+Sens!J7919+Sens!J7920)-Sens!J7933</f>
        <v>274.273604520248</v>
      </c>
      <c r="K7982" s="6" t="n">
        <f aca="false">Sens!K7981*(Sens!K7952-Sens!K7916)+Sens!K7916-(Sens!K7918+Sens!K7919+Sens!K7920)-Sens!K7933</f>
        <v>293.413110650235</v>
      </c>
      <c r="L7982" s="1" t="s">
        <v>815</v>
      </c>
    </row>
    <row r="7983" customFormat="false" ht="17.15" hidden="false" customHeight="false" outlineLevel="0" collapsed="false">
      <c r="A7983" s="0" t="s">
        <v>816</v>
      </c>
      <c r="B7983" s="0" t="s">
        <v>126</v>
      </c>
      <c r="E7983" s="7" t="n">
        <f aca="false">Q!M22/Q!M12</f>
        <v>0.296207935710698</v>
      </c>
      <c r="F7983" s="7" t="n">
        <f aca="false">Sens!$E$7983+dm_seg</f>
        <v>0.296207935710698</v>
      </c>
      <c r="G7983" s="7" t="n">
        <f aca="false">Sens!$E$7983+dm_seg</f>
        <v>0.296207935710698</v>
      </c>
      <c r="H7983" s="7" t="n">
        <f aca="false">Sens!$E$7983+dm_seg</f>
        <v>0.296207935710698</v>
      </c>
      <c r="I7983" s="7" t="n">
        <f aca="false">Sens!$E$7983+dm_seg</f>
        <v>0.296207935710698</v>
      </c>
      <c r="J7983" s="7" t="n">
        <f aca="false">Sens!$E$7983+dm_seg</f>
        <v>0.296207935710698</v>
      </c>
      <c r="K7983" s="7" t="n">
        <f aca="false">Sens!$E$7983+dm_seg</f>
        <v>0.296207935710698</v>
      </c>
      <c r="L7983" s="11" t="s">
        <v>817</v>
      </c>
    </row>
    <row r="7984" customFormat="false" ht="17.15" hidden="false" customHeight="false" outlineLevel="0" collapsed="false">
      <c r="A7984" s="0" t="s">
        <v>656</v>
      </c>
      <c r="B7984" s="0" t="s">
        <v>95</v>
      </c>
      <c r="D7984" s="6" t="n">
        <f aca="false">Q!L22</f>
        <v>17.714</v>
      </c>
      <c r="E7984" s="6" t="n">
        <f aca="false">Q!M22</f>
        <v>18.872</v>
      </c>
      <c r="F7984" s="6" t="n">
        <f aca="false">Sens!F7959*Sens!F7983</f>
        <v>19.3322335114819</v>
      </c>
      <c r="G7984" s="6" t="n">
        <f aca="false">Sens!G7959*Sens!G7983</f>
        <v>20.0058061166163</v>
      </c>
      <c r="H7984" s="6" t="n">
        <f aca="false">Sens!H7959*Sens!H7983</f>
        <v>20.8808254857984</v>
      </c>
      <c r="I7984" s="6" t="n">
        <f aca="false">Sens!I7959*Sens!I7983</f>
        <v>21.9506287296934</v>
      </c>
      <c r="J7984" s="6" t="n">
        <f aca="false">Sens!J7959*Sens!J7983</f>
        <v>23.2128891818742</v>
      </c>
      <c r="K7984" s="6" t="n">
        <f aca="false">Sens!K7959*Sens!K7983</f>
        <v>24.6691188694583</v>
      </c>
    </row>
    <row r="7985" customFormat="false" ht="15" hidden="false" customHeight="false" outlineLevel="0" collapsed="false">
      <c r="A7985" s="1" t="s">
        <v>818</v>
      </c>
      <c r="B7985" s="0" t="s">
        <v>95</v>
      </c>
      <c r="D7985" s="6" t="n">
        <f aca="false">Sens!D7982+Sens!D7984</f>
        <v>128.528</v>
      </c>
      <c r="E7985" s="6" t="n">
        <f aca="false">Sens!E7982+Sens!E7984</f>
        <v>155.237</v>
      </c>
      <c r="F7985" s="6" t="n">
        <f aca="false">Sens!F7982+Sens!F7984</f>
        <v>181.468545947122</v>
      </c>
      <c r="G7985" s="6" t="n">
        <f aca="false">Sens!G7982+Sens!G7984</f>
        <v>211.701042050981</v>
      </c>
      <c r="H7985" s="6" t="n">
        <f aca="false">Sens!H7982+Sens!H7984</f>
        <v>246.962195150038</v>
      </c>
      <c r="I7985" s="6" t="n">
        <f aca="false">Sens!I7982+Sens!I7984</f>
        <v>273.832643295064</v>
      </c>
      <c r="J7985" s="6" t="n">
        <f aca="false">Sens!J7982+Sens!J7984</f>
        <v>297.486493702122</v>
      </c>
      <c r="K7985" s="6" t="n">
        <f aca="false">Sens!K7982+Sens!K7984</f>
        <v>318.082229519693</v>
      </c>
    </row>
    <row r="7986" customFormat="false" ht="15" hidden="false" customHeight="false" outlineLevel="0" collapsed="false">
      <c r="A7986" s="22" t="s">
        <v>819</v>
      </c>
      <c r="B7986" s="28" t="s">
        <v>95</v>
      </c>
      <c r="C7986" s="28"/>
      <c r="D7986" s="23" t="n">
        <f aca="false">Sens!D7985-Q!L23</f>
        <v>0</v>
      </c>
      <c r="E7986" s="23" t="n">
        <f aca="false">Sens!E7985-Q!M23</f>
        <v>0</v>
      </c>
      <c r="F7986" s="28"/>
      <c r="G7986" s="28"/>
      <c r="H7986" s="28"/>
      <c r="I7986" s="28"/>
      <c r="J7986" s="28"/>
      <c r="K7986" s="28"/>
    </row>
    <row r="7987" customFormat="false" ht="15" hidden="false" customHeight="false" outlineLevel="0" collapsed="false">
      <c r="A7987" s="1" t="s">
        <v>820</v>
      </c>
      <c r="B7987" s="0" t="s">
        <v>126</v>
      </c>
      <c r="D7987" s="7" t="n">
        <f aca="false">Sens!D7985/Sens!D7978</f>
        <v>0.456219562408598</v>
      </c>
      <c r="E7987" s="7" t="n">
        <f aca="false">Sens!E7985/Sens!E7978</f>
        <v>0.467808184089272</v>
      </c>
      <c r="F7987" s="7" t="n">
        <f aca="false">Sens!F7985/Sens!F7978</f>
        <v>0.448402974777131</v>
      </c>
      <c r="G7987" s="7" t="n">
        <f aca="false">Sens!G7985/Sens!G7978</f>
        <v>0.430260078644688</v>
      </c>
      <c r="H7987" s="7" t="n">
        <f aca="false">Sens!H7985/Sens!H7978</f>
        <v>0.421336472284161</v>
      </c>
      <c r="I7987" s="7" t="n">
        <f aca="false">Sens!I7985/Sens!I7978</f>
        <v>0.407464848130114</v>
      </c>
      <c r="J7987" s="7" t="n">
        <f aca="false">Sens!J7985/Sens!J7978</f>
        <v>0.394401860131914</v>
      </c>
      <c r="K7987" s="7" t="n">
        <f aca="false">Sens!K7985/Sens!K7978</f>
        <v>0.381535187215084</v>
      </c>
    </row>
    <row r="7988" customFormat="false" ht="17.15" hidden="false" customHeight="false" outlineLevel="0" collapsed="false">
      <c r="A7988" s="1" t="s">
        <v>821</v>
      </c>
      <c r="B7988" s="0" t="s">
        <v>95</v>
      </c>
      <c r="E7988" s="6" t="n">
        <f aca="false">Sens!E7933</f>
        <v>16.3054059770833</v>
      </c>
      <c r="F7988" s="6" t="n">
        <f aca="false">Sens!F7933</f>
        <v>34.7272076225365</v>
      </c>
      <c r="G7988" s="6" t="n">
        <f aca="false">Sens!G7933</f>
        <v>60.4800775936729</v>
      </c>
      <c r="H7988" s="6" t="n">
        <f aca="false">Sens!H7933</f>
        <v>87.7156603264729</v>
      </c>
      <c r="I7988" s="6" t="n">
        <f aca="false">Sens!I7933</f>
        <v>115.970526074456</v>
      </c>
      <c r="J7988" s="6" t="n">
        <f aca="false">Sens!J7933</f>
        <v>145.197622291606</v>
      </c>
      <c r="K7988" s="6" t="n">
        <f aca="false">Sens!K7933</f>
        <v>175.712266967923</v>
      </c>
    </row>
    <row r="7989" customFormat="false" ht="17.15" hidden="false" customHeight="false" outlineLevel="0" collapsed="false">
      <c r="A7989" s="1" t="s">
        <v>822</v>
      </c>
      <c r="B7989" s="0" t="s">
        <v>95</v>
      </c>
      <c r="E7989" s="6" t="n">
        <f aca="false">Sens!E8009</f>
        <v>22.2285940229167</v>
      </c>
      <c r="F7989" s="6" t="n">
        <f aca="false">Sens!F8009</f>
        <v>23.5796627435813</v>
      </c>
      <c r="G7989" s="6" t="n">
        <f aca="false">Sens!G8009</f>
        <v>25.3853008347557</v>
      </c>
      <c r="H7989" s="6" t="n">
        <f aca="false">Sens!H8009</f>
        <v>27.61025814329</v>
      </c>
      <c r="I7989" s="6" t="n">
        <f aca="false">Sens!I8009</f>
        <v>30.1800295814336</v>
      </c>
      <c r="J7989" s="6" t="n">
        <f aca="false">Sens!J8009</f>
        <v>33.0047176415467</v>
      </c>
      <c r="K7989" s="6" t="n">
        <f aca="false">Sens!K8009</f>
        <v>36.0023095349632</v>
      </c>
    </row>
    <row r="7990" customFormat="false" ht="17.15" hidden="false" customHeight="false" outlineLevel="0" collapsed="false">
      <c r="A7990" s="1" t="s">
        <v>823</v>
      </c>
      <c r="B7990" s="0" t="s">
        <v>95</v>
      </c>
      <c r="D7990" s="6" t="n">
        <f aca="false">Q!L27</f>
        <v>-4.901</v>
      </c>
      <c r="E7990" s="6" t="n">
        <f aca="false">Q!M27</f>
        <v>10.697</v>
      </c>
      <c r="F7990" s="6" t="n">
        <f aca="false">oie_f</f>
        <v>-0.4</v>
      </c>
      <c r="G7990" s="6" t="n">
        <f aca="false">oie_f</f>
        <v>-0.4</v>
      </c>
      <c r="H7990" s="6" t="n">
        <f aca="false">oie_f</f>
        <v>-0.4</v>
      </c>
      <c r="I7990" s="6" t="n">
        <f aca="false">oie_f</f>
        <v>-0.4</v>
      </c>
      <c r="J7990" s="6" t="n">
        <f aca="false">oie_f</f>
        <v>-0.4</v>
      </c>
      <c r="K7990" s="6" t="n">
        <f aca="false">oie_f</f>
        <v>-0.4</v>
      </c>
      <c r="L7990" s="11" t="s">
        <v>824</v>
      </c>
    </row>
    <row r="7991" customFormat="false" ht="15" hidden="false" customHeight="false" outlineLevel="0" collapsed="false">
      <c r="A7991" s="1" t="s">
        <v>666</v>
      </c>
      <c r="B7991" s="0" t="s">
        <v>95</v>
      </c>
      <c r="D7991" s="6" t="n">
        <f aca="false">Sens!D7985+Sens!D7990</f>
        <v>123.627</v>
      </c>
      <c r="E7991" s="6" t="n">
        <f aca="false">Sens!E7985+Sens!E7990</f>
        <v>165.934</v>
      </c>
      <c r="F7991" s="6" t="n">
        <f aca="false">Sens!F7985+Sens!F7990</f>
        <v>181.068545947122</v>
      </c>
      <c r="G7991" s="6" t="n">
        <f aca="false">Sens!G7985+Sens!G7990</f>
        <v>211.301042050981</v>
      </c>
      <c r="H7991" s="6" t="n">
        <f aca="false">Sens!H7985+Sens!H7990</f>
        <v>246.562195150038</v>
      </c>
      <c r="I7991" s="6" t="n">
        <f aca="false">Sens!I7985+Sens!I7990</f>
        <v>273.432643295064</v>
      </c>
      <c r="J7991" s="6" t="n">
        <f aca="false">Sens!J7985+Sens!J7990</f>
        <v>297.086493702122</v>
      </c>
      <c r="K7991" s="6" t="n">
        <f aca="false">Sens!K7985+Sens!K7990</f>
        <v>317.682229519693</v>
      </c>
    </row>
    <row r="7992" customFormat="false" ht="15" hidden="false" customHeight="false" outlineLevel="0" collapsed="false">
      <c r="A7992" s="1" t="s">
        <v>668</v>
      </c>
      <c r="B7992" s="0" t="s">
        <v>95</v>
      </c>
      <c r="D7992" s="6" t="n">
        <f aca="false">Q!L29</f>
        <v>21.795</v>
      </c>
      <c r="E7992" s="6" t="n">
        <f aca="false">Q!M29</f>
        <v>32.185</v>
      </c>
      <c r="F7992" s="6" t="n">
        <f aca="false">Sens!F7991*tax_f</f>
        <v>36.2137091894244</v>
      </c>
      <c r="G7992" s="6" t="n">
        <f aca="false">Sens!G7991*tax_f</f>
        <v>42.2602084101961</v>
      </c>
      <c r="H7992" s="6" t="n">
        <f aca="false">Sens!H7991*tax_f</f>
        <v>49.3124390300076</v>
      </c>
      <c r="I7992" s="6" t="n">
        <f aca="false">Sens!I7991*tax_f</f>
        <v>54.6865286590128</v>
      </c>
      <c r="J7992" s="6" t="n">
        <f aca="false">Sens!J7991*tax_f</f>
        <v>59.4172987404245</v>
      </c>
      <c r="K7992" s="6" t="n">
        <f aca="false">Sens!K7991*tax_f</f>
        <v>63.5364459039386</v>
      </c>
    </row>
    <row r="7993" customFormat="false" ht="15" hidden="false" customHeight="false" outlineLevel="0" collapsed="false">
      <c r="A7993" s="1" t="s">
        <v>825</v>
      </c>
      <c r="B7993" s="0" t="s">
        <v>95</v>
      </c>
      <c r="D7993" s="6" t="n">
        <f aca="false">Sens!D7991-Sens!D7992</f>
        <v>101.832</v>
      </c>
      <c r="E7993" s="6" t="n">
        <f aca="false">Sens!E7991-Sens!E7992</f>
        <v>133.749</v>
      </c>
      <c r="F7993" s="6" t="n">
        <f aca="false">Sens!F7991-Sens!F7992</f>
        <v>144.854836757697</v>
      </c>
      <c r="G7993" s="6" t="n">
        <f aca="false">Sens!G7991-Sens!G7992</f>
        <v>169.040833640785</v>
      </c>
      <c r="H7993" s="6" t="n">
        <f aca="false">Sens!H7991-Sens!H7992</f>
        <v>197.24975612003</v>
      </c>
      <c r="I7993" s="6" t="n">
        <f aca="false">Sens!I7991-Sens!I7992</f>
        <v>218.746114636051</v>
      </c>
      <c r="J7993" s="6" t="n">
        <f aca="false">Sens!J7991-Sens!J7992</f>
        <v>237.669194961698</v>
      </c>
      <c r="K7993" s="6" t="n">
        <f aca="false">Sens!K7991-Sens!K7992</f>
        <v>254.145783615755</v>
      </c>
    </row>
    <row r="7994" customFormat="false" ht="17.15" hidden="false" customHeight="false" outlineLevel="0" collapsed="false">
      <c r="A7994" s="1" t="s">
        <v>826</v>
      </c>
      <c r="B7994" s="1" t="s">
        <v>79</v>
      </c>
      <c r="D7994" s="18" t="n">
        <f aca="false">Q!L31</f>
        <v>7.465</v>
      </c>
      <c r="E7994" s="18" t="n">
        <f aca="false">Q!M31</f>
        <v>7.453</v>
      </c>
      <c r="F7994" s="18" t="n">
        <f aca="false">Sens!F8031</f>
        <v>7.4735</v>
      </c>
      <c r="G7994" s="18" t="n">
        <f aca="false">Sens!G8031</f>
        <v>7.50801282138287</v>
      </c>
      <c r="H7994" s="18" t="n">
        <f aca="false">Sens!H8031</f>
        <v>7.5252772286157</v>
      </c>
      <c r="I7994" s="18" t="n">
        <f aca="false">Sens!I8031</f>
        <v>7.53705806062301</v>
      </c>
      <c r="J7994" s="18" t="n">
        <f aca="false">Sens!J8031</f>
        <v>7.5512995717409</v>
      </c>
      <c r="K7994" s="18" t="n">
        <f aca="false">Sens!K8031</f>
        <v>7.56781948944264</v>
      </c>
    </row>
    <row r="7995" customFormat="false" ht="17.15" hidden="false" customHeight="false" outlineLevel="0" collapsed="false">
      <c r="A7995" s="0" t="s">
        <v>827</v>
      </c>
      <c r="B7995" s="0" t="s">
        <v>73</v>
      </c>
      <c r="D7995" s="8" t="n">
        <f aca="false">Sens!D7993/Sens!D7994</f>
        <v>13.641259209645</v>
      </c>
      <c r="E7995" s="8" t="n">
        <f aca="false">Sens!E7993/Sens!E7994</f>
        <v>17.9456594659869</v>
      </c>
      <c r="F7995" s="8" t="n">
        <f aca="false">Sens!F7993/Sens!F7994</f>
        <v>19.3824629367361</v>
      </c>
      <c r="G7995" s="8" t="n">
        <f aca="false">Sens!G7993/Sens!G7994</f>
        <v>22.5147236242531</v>
      </c>
      <c r="H7995" s="8" t="n">
        <f aca="false">Sens!H7993/Sens!H7994</f>
        <v>26.211626512571</v>
      </c>
      <c r="I7995" s="8" t="n">
        <f aca="false">Sens!I7993/Sens!I7994</f>
        <v>29.0227450653299</v>
      </c>
      <c r="J7995" s="8" t="n">
        <f aca="false">Sens!J7993/Sens!J7994</f>
        <v>31.4739460014437</v>
      </c>
      <c r="K7995" s="8" t="n">
        <f aca="false">Sens!K7993/Sens!K7994</f>
        <v>33.5824320295029</v>
      </c>
      <c r="L7995" s="1" t="s">
        <v>828</v>
      </c>
    </row>
    <row r="7996" customFormat="false" ht="17.15" hidden="false" customHeight="false" outlineLevel="0" collapsed="false">
      <c r="A7996" s="0" t="s">
        <v>829</v>
      </c>
      <c r="B7996" s="0" t="s">
        <v>126</v>
      </c>
      <c r="E7996" s="7" t="n">
        <f aca="false">Sens!E7995/Sens!D7995-1</f>
        <v>0.315542736208578</v>
      </c>
      <c r="F7996" s="7" t="n">
        <f aca="false">Sens!F7995/Sens!E7995-1</f>
        <v>0.0800641221055438</v>
      </c>
      <c r="G7996" s="7" t="n">
        <f aca="false">Sens!G7995/Sens!F7995-1</f>
        <v>0.161602820949052</v>
      </c>
      <c r="H7996" s="7" t="n">
        <f aca="false">Sens!H7995/Sens!G7995-1</f>
        <v>0.164199345726613</v>
      </c>
      <c r="I7996" s="7" t="n">
        <f aca="false">Sens!I7995/Sens!H7995-1</f>
        <v>0.107247009315147</v>
      </c>
      <c r="J7996" s="7" t="n">
        <f aca="false">Sens!J7995/Sens!I7995-1</f>
        <v>0.0844579287933029</v>
      </c>
      <c r="K7996" s="7" t="n">
        <f aca="false">Sens!K7995/Sens!J7995-1</f>
        <v>0.0669914737720672</v>
      </c>
    </row>
    <row r="7997" customFormat="false" ht="17.15" hidden="false" customHeight="false" outlineLevel="0" collapsed="false">
      <c r="A7997" s="0" t="s">
        <v>763</v>
      </c>
      <c r="B7997" s="0" t="s">
        <v>95</v>
      </c>
      <c r="E7997" s="6" t="n">
        <f aca="false">Sens!E7942</f>
        <v>5.25</v>
      </c>
      <c r="F7997" s="6" t="n">
        <f aca="false">Sens!F7942</f>
        <v>13.5</v>
      </c>
      <c r="G7997" s="6" t="n">
        <f aca="false">Sens!G7942</f>
        <v>22.5</v>
      </c>
      <c r="H7997" s="6" t="n">
        <f aca="false">Sens!H7942</f>
        <v>31.5</v>
      </c>
      <c r="I7997" s="6" t="n">
        <f aca="false">Sens!I7942</f>
        <v>38.25</v>
      </c>
      <c r="J7997" s="6" t="n">
        <f aca="false">Sens!J7942</f>
        <v>42.75</v>
      </c>
      <c r="K7997" s="6" t="n">
        <f aca="false">Sens!K7942</f>
        <v>47.25</v>
      </c>
    </row>
    <row r="7998" customFormat="false" ht="17.15" hidden="false" customHeight="false" outlineLevel="0" collapsed="false">
      <c r="A7998" s="0" t="s">
        <v>764</v>
      </c>
      <c r="B7998" s="0" t="s">
        <v>95</v>
      </c>
      <c r="E7998" s="6" t="n">
        <f aca="false">Sens!E7922+Sens!E7997*Sens!E7981-Sens!E7923-Sens!E7933</f>
        <v>2.1514866143068</v>
      </c>
      <c r="F7998" s="6" t="n">
        <f aca="false">Sens!F7922+Sens!F7997*Sens!F7981-Sens!F7923-Sens!F7933</f>
        <v>9.57563946854788</v>
      </c>
      <c r="G7998" s="6" t="n">
        <f aca="false">Sens!G7922+Sens!G7997*Sens!G7981-Sens!G7923-Sens!G7933</f>
        <v>20.0531340068289</v>
      </c>
      <c r="H7998" s="6" t="n">
        <f aca="false">Sens!H7922+Sens!H7997*Sens!H7981-Sens!H7923-Sens!H7933</f>
        <v>35.1756899854023</v>
      </c>
      <c r="I7998" s="6" t="n">
        <f aca="false">Sens!I7922+Sens!I7997*Sens!I7981-Sens!I7923-Sens!I7933</f>
        <v>42.2007494911917</v>
      </c>
      <c r="J7998" s="6" t="n">
        <f aca="false">Sens!J7922+Sens!J7997*Sens!J7981-Sens!J7923-Sens!J7933</f>
        <v>47.0555516717103</v>
      </c>
      <c r="K7998" s="6" t="n">
        <f aca="false">Sens!K7922+Sens!K7997*Sens!K7981-Sens!K7923-Sens!K7933</f>
        <v>50.673763998813</v>
      </c>
    </row>
    <row r="7999" customFormat="false" ht="17.15" hidden="false" customHeight="false" outlineLevel="0" collapsed="false">
      <c r="A7999" s="0" t="s">
        <v>765</v>
      </c>
      <c r="B7999" s="0" t="s">
        <v>95</v>
      </c>
      <c r="E7999" s="6" t="n">
        <f aca="false">Sens!E7905*(cxit_open+self_build*tk_cxfac)/1000*ai_net_open</f>
        <v>126.6980382</v>
      </c>
      <c r="F7999" s="6" t="n">
        <f aca="false">Sens!E7999+Sens!F7930-Sens!F7933</f>
        <v>260.431549347901</v>
      </c>
      <c r="G7999" s="6" t="n">
        <f aca="false">Sens!F7999+Sens!G7930-Sens!G7933</f>
        <v>383.525652237428</v>
      </c>
      <c r="H7999" s="6" t="n">
        <f aca="false">Sens!G7999+Sens!H7930-Sens!H7933</f>
        <v>483.890277821355</v>
      </c>
      <c r="I7999" s="6" t="n">
        <f aca="false">Sens!H7999+Sens!I7930-Sens!I7933</f>
        <v>586.258713003966</v>
      </c>
      <c r="J7999" s="6" t="n">
        <f aca="false">Sens!I7999+Sens!J7930-Sens!J7933</f>
        <v>674.838151636093</v>
      </c>
      <c r="K7999" s="6" t="n">
        <f aca="false">Sens!J7999+Sens!K7930-Sens!K7933</f>
        <v>777.98219661857</v>
      </c>
      <c r="L7999" s="1" t="s">
        <v>766</v>
      </c>
    </row>
    <row r="8000" customFormat="false" ht="17.15" hidden="false" customHeight="false" outlineLevel="0" collapsed="false">
      <c r="A8000" s="0" t="s">
        <v>767</v>
      </c>
      <c r="B8000" s="0" t="s">
        <v>126</v>
      </c>
      <c r="F8000" s="7" t="n">
        <f aca="false">Sens!F7998*(1-tax_f)/((Sens!E7999+Sens!F7999)/2)</f>
        <v>0.0395759550354205</v>
      </c>
      <c r="G8000" s="7" t="n">
        <f aca="false">Sens!G7998*(1-tax_f)/((Sens!F7999+Sens!G7999)/2)</f>
        <v>0.049824762161115</v>
      </c>
      <c r="H8000" s="7" t="n">
        <f aca="false">Sens!H7998*(1-tax_f)/((Sens!G7999+Sens!H7999)/2)</f>
        <v>0.0648836411994758</v>
      </c>
      <c r="I8000" s="7" t="n">
        <f aca="false">Sens!I7998*(1-tax_f)/((Sens!H7999+Sens!I7999)/2)</f>
        <v>0.0630951388683112</v>
      </c>
      <c r="J8000" s="7" t="n">
        <f aca="false">Sens!J7998*(1-tax_f)/((Sens!I7999+Sens!J7999)/2)</f>
        <v>0.0597011100302952</v>
      </c>
      <c r="K8000" s="7" t="n">
        <f aca="false">Sens!K7998*(1-tax_f)/((Sens!J7999+Sens!K7999)/2)</f>
        <v>0.0558073284804301</v>
      </c>
    </row>
    <row r="8001" customFormat="false" ht="17.15" hidden="false" customHeight="false" outlineLevel="0" collapsed="false">
      <c r="A8001" s="1" t="s">
        <v>768</v>
      </c>
      <c r="B8001" s="0" t="s">
        <v>126</v>
      </c>
      <c r="F8001" s="7" t="n">
        <f aca="false">Sens!F7934*(1-tax_f)/(Sens!F7921*(Sens!E7999+Sens!F7999)/2)</f>
        <v>0.153550849109112</v>
      </c>
      <c r="G8001" s="7" t="n">
        <f aca="false">Sens!G7934*(1-tax_f)/(Sens!G7921*(Sens!F7999+Sens!G7999)/2)</f>
        <v>0.174683475733491</v>
      </c>
      <c r="H8001" s="7" t="n">
        <f aca="false">Sens!H7934*(1-tax_f)/(Sens!H7921*(Sens!G7999+Sens!H7999)/2)</f>
        <v>0.20763657733227</v>
      </c>
      <c r="I8001" s="7" t="n">
        <f aca="false">Sens!I7934*(1-tax_f)/(Sens!I7921*(Sens!H7999+Sens!I7999)/2)</f>
        <v>0.215557270540621</v>
      </c>
      <c r="J8001" s="7" t="n">
        <f aca="false">Sens!J7934*(1-tax_f)/(Sens!J7921*(Sens!I7999+Sens!J7999)/2)</f>
        <v>0.221983057221962</v>
      </c>
      <c r="K8001" s="7" t="n">
        <f aca="false">Sens!K7934*(1-tax_f)/(Sens!K7921*(Sens!J7999+Sens!K7999)/2)</f>
        <v>0.225280297381796</v>
      </c>
    </row>
    <row r="8002" customFormat="false" ht="17.15" hidden="false" customHeight="false" outlineLevel="0" collapsed="false">
      <c r="A8002" s="0" t="s">
        <v>769</v>
      </c>
      <c r="B8002" s="0" t="s">
        <v>208</v>
      </c>
      <c r="F8002" s="7" t="n">
        <f aca="false">Sens!F8000-wacc</f>
        <v>-0.0693872661148335</v>
      </c>
      <c r="G8002" s="7" t="n">
        <f aca="false">Sens!G8000-wacc</f>
        <v>-0.059138458989139</v>
      </c>
      <c r="H8002" s="7" t="n">
        <f aca="false">Sens!H8000-wacc</f>
        <v>-0.0440795799507782</v>
      </c>
      <c r="I8002" s="7" t="n">
        <f aca="false">Sens!I8000-wacc</f>
        <v>-0.0458680822819428</v>
      </c>
      <c r="J8002" s="7" t="n">
        <f aca="false">Sens!J8000-wacc</f>
        <v>-0.0492621111199588</v>
      </c>
      <c r="K8002" s="7" t="n">
        <f aca="false">Sens!K8000-wacc</f>
        <v>-0.0531558926698239</v>
      </c>
    </row>
    <row r="8003" customFormat="false" ht="17.15" hidden="false" customHeight="false" outlineLevel="0" collapsed="false">
      <c r="A8003" s="0" t="s">
        <v>770</v>
      </c>
      <c r="B8003" s="0" t="s">
        <v>95</v>
      </c>
      <c r="F8003" s="6" t="n">
        <f aca="false">Sens!F7998*(1-tax_f)-wacc*(Sens!E7999+Sens!F7999)/2</f>
        <v>-13.430931856056</v>
      </c>
      <c r="G8003" s="6" t="n">
        <f aca="false">Sens!G7998*(1-tax_f)-wacc*(Sens!F7999+Sens!G7999)/2</f>
        <v>-19.0413182783573</v>
      </c>
      <c r="H8003" s="6" t="n">
        <f aca="false">Sens!H7998*(1-tax_f)-wacc*(Sens!G7999+Sens!H7999)/2</f>
        <v>-19.1176649198024</v>
      </c>
      <c r="I8003" s="6" t="n">
        <f aca="false">Sens!I7998*(1-tax_f)-wacc*(Sens!H7999+Sens!I7999)/2</f>
        <v>-24.5428409825569</v>
      </c>
      <c r="J8003" s="6" t="n">
        <f aca="false">Sens!J7998*(1-tax_f)-wacc*(Sens!I7999+Sens!J7999)/2</f>
        <v>-31.0621469394651</v>
      </c>
      <c r="K8003" s="6" t="n">
        <f aca="false">Sens!K7998*(1-tax_f)-wacc*(Sens!J7999+Sens!K7999)/2</f>
        <v>-38.6129812501805</v>
      </c>
    </row>
    <row r="8004" customFormat="false" ht="17.15" hidden="false" customHeight="false" outlineLevel="0" collapsed="false">
      <c r="A8004" s="1" t="s">
        <v>771</v>
      </c>
      <c r="B8004" s="0" t="s">
        <v>95</v>
      </c>
      <c r="F8004" s="6" t="n">
        <f aca="false">(Sens!E7906+Sens!F7906)/2*Sens!F7913/1000</f>
        <v>26.7873066765967</v>
      </c>
      <c r="G8004" s="6" t="n">
        <f aca="false">(Sens!F7906+Sens!G7906)/2*Sens!G7913/1000</f>
        <v>45.4131817597218</v>
      </c>
      <c r="H8004" s="6" t="n">
        <f aca="false">(Sens!G7906+Sens!H7906)/2*Sens!H7913/1000</f>
        <v>65.3915129357971</v>
      </c>
      <c r="I8004" s="6" t="n">
        <f aca="false">(Sens!H7906+Sens!I7906)/2*Sens!I7913/1000</f>
        <v>85.5187419289299</v>
      </c>
      <c r="J8004" s="6" t="n">
        <f aca="false">(Sens!I7906+Sens!J7906)/2*Sens!J7913/1000</f>
        <v>105.723807195006</v>
      </c>
      <c r="K8004" s="6" t="n">
        <f aca="false">(Sens!J7906+Sens!K7906)/2*Sens!K7913/1000</f>
        <v>125.974659797015</v>
      </c>
      <c r="L8004" s="1" t="s">
        <v>772</v>
      </c>
    </row>
    <row r="8005" customFormat="false" ht="17.15" hidden="false" customHeight="false" outlineLevel="0" collapsed="false">
      <c r="A8005" s="1" t="s">
        <v>773</v>
      </c>
      <c r="B8005" s="0" t="s">
        <v>126</v>
      </c>
      <c r="F8005" s="7" t="n">
        <f aca="false">(Sens!F7922+Sens!F8004-Sens!F7923-Sens!F7933)*(1-tax_f)/((Sens!E7999+Sens!F7999)/2)</f>
        <v>0.118430718105697</v>
      </c>
      <c r="G8005" s="7" t="n">
        <f aca="false">(Sens!G7922+Sens!G8004-Sens!G7923-Sens!G7933)*(1-tax_f)/((Sens!F7999+Sens!G7999)/2)</f>
        <v>0.130741049851752</v>
      </c>
      <c r="H8005" s="7" t="n">
        <f aca="false">(Sens!H7922+Sens!H8004-Sens!H7923-Sens!H7933)*(1-tax_f)/((Sens!G7999+Sens!H7999)/2)</f>
        <v>0.152327470145376</v>
      </c>
      <c r="I8005" s="7" t="n">
        <f aca="false">(Sens!I7922+Sens!I8004-Sens!I7923-Sens!I7933)*(1-tax_f)/((Sens!H7999+Sens!I7999)/2)</f>
        <v>0.158303748217145</v>
      </c>
      <c r="J8005" s="7" t="n">
        <f aca="false">(Sens!J7922+Sens!J8004-Sens!J7923-Sens!J7933)*(1-tax_f)/((Sens!I7999+Sens!J7999)/2)</f>
        <v>0.162868925572417</v>
      </c>
      <c r="K8005" s="7" t="n">
        <f aca="false">(Sens!K7922+Sens!K8004-Sens!K7923-Sens!K7933)*(1-tax_f)/((Sens!J7999+Sens!K7999)/2)</f>
        <v>0.164833251843296</v>
      </c>
      <c r="L8005" s="1" t="s">
        <v>774</v>
      </c>
    </row>
    <row r="8006" customFormat="false" ht="17.15" hidden="false" customHeight="false" outlineLevel="0" collapsed="false">
      <c r="A8006" s="3" t="s">
        <v>1342</v>
      </c>
    </row>
    <row r="8007" customFormat="false" ht="15" hidden="false" customHeight="false" outlineLevel="0" collapsed="false">
      <c r="A8007" s="4" t="s">
        <v>43</v>
      </c>
      <c r="B8007" s="4" t="s">
        <v>63</v>
      </c>
      <c r="C8007" s="19" t="s">
        <v>710</v>
      </c>
      <c r="D8007" s="19" t="s">
        <v>711</v>
      </c>
      <c r="E8007" s="19" t="s">
        <v>712</v>
      </c>
      <c r="F8007" s="19" t="s">
        <v>713</v>
      </c>
      <c r="G8007" s="19" t="s">
        <v>714</v>
      </c>
      <c r="H8007" s="19" t="s">
        <v>715</v>
      </c>
      <c r="I8007" s="19" t="s">
        <v>716</v>
      </c>
      <c r="J8007" s="19" t="s">
        <v>717</v>
      </c>
      <c r="K8007" s="19" t="s">
        <v>718</v>
      </c>
      <c r="L8007" s="4" t="s">
        <v>47</v>
      </c>
    </row>
    <row r="8008" customFormat="false" ht="15" hidden="false" customHeight="false" outlineLevel="0" collapsed="false">
      <c r="A8008" s="1" t="s">
        <v>825</v>
      </c>
      <c r="B8008" s="0" t="s">
        <v>95</v>
      </c>
      <c r="F8008" s="6" t="n">
        <f aca="false">Sens!F7993</f>
        <v>144.854836757697</v>
      </c>
      <c r="G8008" s="6" t="n">
        <f aca="false">Sens!G7993</f>
        <v>169.040833640785</v>
      </c>
      <c r="H8008" s="6" t="n">
        <f aca="false">Sens!H7993</f>
        <v>197.24975612003</v>
      </c>
      <c r="I8008" s="6" t="n">
        <f aca="false">Sens!I7993</f>
        <v>218.746114636051</v>
      </c>
      <c r="J8008" s="6" t="n">
        <f aca="false">Sens!J7993</f>
        <v>237.669194961698</v>
      </c>
      <c r="K8008" s="6" t="n">
        <f aca="false">Sens!K7993</f>
        <v>254.145783615755</v>
      </c>
    </row>
    <row r="8009" customFormat="false" ht="17.15" hidden="false" customHeight="false" outlineLevel="0" collapsed="false">
      <c r="A8009" s="1" t="s">
        <v>843</v>
      </c>
      <c r="B8009" s="0" t="s">
        <v>95</v>
      </c>
      <c r="E8009" s="6" t="n">
        <f aca="false">Q!M38-Sens!E7933</f>
        <v>22.2285940229167</v>
      </c>
      <c r="F8009" s="6" t="n">
        <f aca="false">Sens!E8009*(1-1/life_nonai)+Sens!F8015/life_nonai</f>
        <v>23.5796627435813</v>
      </c>
      <c r="G8009" s="6" t="n">
        <f aca="false">Sens!F8009*(1-1/life_nonai)+Sens!G8015/life_nonai</f>
        <v>25.3853008347557</v>
      </c>
      <c r="H8009" s="6" t="n">
        <f aca="false">Sens!G8009*(1-1/life_nonai)+Sens!H8015/life_nonai</f>
        <v>27.61025814329</v>
      </c>
      <c r="I8009" s="6" t="n">
        <f aca="false">Sens!H8009*(1-1/life_nonai)+Sens!I8015/life_nonai</f>
        <v>30.1800295814336</v>
      </c>
      <c r="J8009" s="6" t="n">
        <f aca="false">Sens!I8009*(1-1/life_nonai)+Sens!J8015/life_nonai</f>
        <v>33.0047176415467</v>
      </c>
      <c r="K8009" s="6" t="n">
        <f aca="false">Sens!J8009*(1-1/life_nonai)+Sens!K8015/life_nonai</f>
        <v>36.0023095349632</v>
      </c>
      <c r="L8009" s="11" t="s">
        <v>844</v>
      </c>
    </row>
    <row r="8010" customFormat="false" ht="17.15" hidden="false" customHeight="false" outlineLevel="0" collapsed="false">
      <c r="A8010" s="1" t="s">
        <v>845</v>
      </c>
      <c r="B8010" s="0" t="s">
        <v>95</v>
      </c>
      <c r="E8010" s="6" t="n">
        <f aca="false">Sens!E7933+Sens!E8009</f>
        <v>38.534</v>
      </c>
      <c r="F8010" s="6" t="n">
        <f aca="false">Sens!F7933+Sens!F8009</f>
        <v>58.3068703661177</v>
      </c>
      <c r="G8010" s="6" t="n">
        <f aca="false">Sens!G7933+Sens!G8009</f>
        <v>85.8653784284286</v>
      </c>
      <c r="H8010" s="6" t="n">
        <f aca="false">Sens!H7933+Sens!H8009</f>
        <v>115.325918469763</v>
      </c>
      <c r="I8010" s="6" t="n">
        <f aca="false">Sens!I7933+Sens!I8009</f>
        <v>146.15055565589</v>
      </c>
      <c r="J8010" s="6" t="n">
        <f aca="false">Sens!J7933+Sens!J8009</f>
        <v>178.202339933153</v>
      </c>
      <c r="K8010" s="6" t="n">
        <f aca="false">Sens!K7933+Sens!K8009</f>
        <v>211.714576502886</v>
      </c>
    </row>
    <row r="8011" customFormat="false" ht="15" hidden="false" customHeight="false" outlineLevel="0" collapsed="false">
      <c r="A8011" s="1" t="s">
        <v>685</v>
      </c>
      <c r="B8011" s="0" t="s">
        <v>95</v>
      </c>
      <c r="F8011" s="6" t="n">
        <f aca="false">Sens!F7960*sbc_r</f>
        <v>15.1287211080299</v>
      </c>
      <c r="G8011" s="6" t="n">
        <f aca="false">Sens!G7960*sbc_r</f>
        <v>18.3933691082386</v>
      </c>
      <c r="H8011" s="6" t="n">
        <f aca="false">Sens!H7960*sbc_r</f>
        <v>21.9114321670259</v>
      </c>
      <c r="I8011" s="6" t="n">
        <f aca="false">Sens!I7960*sbc_r</f>
        <v>25.1225901354574</v>
      </c>
      <c r="J8011" s="6" t="n">
        <f aca="false">Sens!J7960*sbc_r</f>
        <v>28.1966582781677</v>
      </c>
      <c r="K8011" s="6" t="n">
        <f aca="false">Sens!K7960*sbc_r</f>
        <v>31.1655038409237</v>
      </c>
    </row>
    <row r="8012" customFormat="false" ht="17.15" hidden="false" customHeight="false" outlineLevel="0" collapsed="false">
      <c r="A8012" s="1" t="s">
        <v>846</v>
      </c>
      <c r="B8012" s="0" t="s">
        <v>95</v>
      </c>
      <c r="F8012" s="6" t="n">
        <f aca="false">wc27</f>
        <v>-4.895</v>
      </c>
      <c r="G8012" s="6" t="n">
        <f aca="false">0</f>
        <v>0</v>
      </c>
      <c r="H8012" s="6" t="n">
        <f aca="false">0</f>
        <v>0</v>
      </c>
      <c r="I8012" s="6" t="n">
        <f aca="false">0</f>
        <v>0</v>
      </c>
      <c r="J8012" s="6" t="n">
        <f aca="false">0</f>
        <v>0</v>
      </c>
      <c r="K8012" s="6" t="n">
        <f aca="false">0</f>
        <v>0</v>
      </c>
      <c r="L8012" s="11" t="s">
        <v>847</v>
      </c>
    </row>
    <row r="8013" customFormat="false" ht="15" hidden="false" customHeight="false" outlineLevel="0" collapsed="false">
      <c r="A8013" s="1" t="s">
        <v>678</v>
      </c>
      <c r="B8013" s="0" t="s">
        <v>95</v>
      </c>
      <c r="E8013" s="6" t="n">
        <f aca="false">Q!M35</f>
        <v>182.935</v>
      </c>
      <c r="F8013" s="6" t="n">
        <f aca="false">Sens!F8008+Sens!F8010+Sens!F8011+Sens!F8012</f>
        <v>213.395428231845</v>
      </c>
      <c r="G8013" s="6" t="n">
        <f aca="false">Sens!G8008+Sens!G8010+Sens!G8011+Sens!G8012</f>
        <v>273.299581177452</v>
      </c>
      <c r="H8013" s="6" t="n">
        <f aca="false">Sens!H8008+Sens!H8010+Sens!H8011+Sens!H8012</f>
        <v>334.487106756819</v>
      </c>
      <c r="I8013" s="6" t="n">
        <f aca="false">Sens!I8008+Sens!I8010+Sens!I8011+Sens!I8012</f>
        <v>390.019260427399</v>
      </c>
      <c r="J8013" s="6" t="n">
        <f aca="false">Sens!J8008+Sens!J8010+Sens!J8011+Sens!J8012</f>
        <v>444.068193173018</v>
      </c>
      <c r="K8013" s="6" t="n">
        <f aca="false">Sens!K8008+Sens!K8010+Sens!K8011+Sens!K8012</f>
        <v>497.025863959564</v>
      </c>
    </row>
    <row r="8014" customFormat="false" ht="17.15" hidden="false" customHeight="false" outlineLevel="0" collapsed="false">
      <c r="A8014" s="0" t="s">
        <v>848</v>
      </c>
      <c r="B8014" s="0" t="s">
        <v>95</v>
      </c>
      <c r="F8014" s="6" t="n">
        <f aca="false">Sens!F7930</f>
        <v>168.460718770438</v>
      </c>
      <c r="G8014" s="6" t="n">
        <f aca="false">Sens!G7930</f>
        <v>183.5741804832</v>
      </c>
      <c r="H8014" s="6" t="n">
        <f aca="false">Sens!H7930</f>
        <v>188.0802859104</v>
      </c>
      <c r="I8014" s="6" t="n">
        <f aca="false">Sens!I7930</f>
        <v>218.338961257067</v>
      </c>
      <c r="J8014" s="6" t="n">
        <f aca="false">Sens!J7930</f>
        <v>233.777060923733</v>
      </c>
      <c r="K8014" s="6" t="n">
        <f aca="false">Sens!K7930</f>
        <v>278.8563119504</v>
      </c>
    </row>
    <row r="8015" customFormat="false" ht="17.15" hidden="false" customHeight="false" outlineLevel="0" collapsed="false">
      <c r="A8015" s="1" t="s">
        <v>849</v>
      </c>
      <c r="B8015" s="0" t="s">
        <v>95</v>
      </c>
      <c r="E8015" s="6" t="n">
        <f aca="false">Sens!E7938*cx_azo+Sens!E7945*cx_m365+Sens!E7946*cx_lic+(Sens!E7948+Sens!E7950)*cx_ind+Sens!E7953*cx_srch+(Sens!E7955+Sens!E7957)*cx_dev</f>
        <v>30.1846587067718</v>
      </c>
      <c r="F8015" s="6" t="n">
        <f aca="false">Sens!F7938*cx_azo+Sens!F7945*cx_m365+Sens!F7946*cx_lic+(Sens!F7948+Sens!F7950)*cx_ind+Sens!F7953*cx_srch+(Sens!F7955+Sens!F7957)*cx_dev</f>
        <v>35.7392812295625</v>
      </c>
      <c r="G8015" s="6" t="n">
        <f aca="false">Sens!G7938*cx_azo+Sens!G7945*cx_m365+Sens!G7946*cx_lic+(Sens!G7948+Sens!G7950)*cx_ind+Sens!G7953*cx_srch+(Sens!G7955+Sens!G7957)*cx_dev</f>
        <v>41.6360436553257</v>
      </c>
      <c r="H8015" s="6" t="n">
        <f aca="false">Sens!H7938*cx_azo+Sens!H7945*cx_m365+Sens!H7946*cx_lic+(Sens!H7948+Sens!H7950)*cx_ind+Sens!H7953*cx_srch+(Sens!H7955+Sens!H7957)*cx_dev</f>
        <v>47.6348739200982</v>
      </c>
      <c r="I8015" s="6" t="n">
        <f aca="false">Sens!I7938*cx_azo+Sens!I7945*cx_m365+Sens!I7946*cx_lic+(Sens!I7948+Sens!I7950)*cx_ind+Sens!I7953*cx_srch+(Sens!I7955+Sens!I7957)*cx_dev</f>
        <v>53.3079725247266</v>
      </c>
      <c r="J8015" s="6" t="n">
        <f aca="false">Sens!J7938*cx_azo+Sens!J7945*cx_m365+Sens!J7946*cx_lic+(Sens!J7948+Sens!J7950)*cx_ind+Sens!J7953*cx_srch+(Sens!J7955+Sens!J7957)*cx_dev</f>
        <v>58.4269101825644</v>
      </c>
      <c r="K8015" s="6" t="n">
        <f aca="false">Sens!K7938*cx_azo+Sens!K7945*cx_m365+Sens!K7946*cx_lic+(Sens!K7948+Sens!K7950)*cx_ind+Sens!K7953*cx_srch+(Sens!K7955+Sens!K7957)*cx_dev</f>
        <v>62.9806365757122</v>
      </c>
    </row>
    <row r="8016" customFormat="false" ht="17.15" hidden="false" customHeight="false" outlineLevel="0" collapsed="false">
      <c r="A8016" s="1" t="s">
        <v>850</v>
      </c>
      <c r="B8016" s="0" t="s">
        <v>95</v>
      </c>
      <c r="E8016" s="6" t="n">
        <f aca="false">Q!M42</f>
        <v>145.3</v>
      </c>
      <c r="F8016" s="6" t="n">
        <f aca="false">Sens!F8014+Sens!F8015</f>
        <v>204.2</v>
      </c>
      <c r="G8016" s="6" t="n">
        <f aca="false">Sens!G8014+Sens!G8015</f>
        <v>225.210224138526</v>
      </c>
      <c r="H8016" s="6" t="n">
        <f aca="false">Sens!H8014+Sens!H8015</f>
        <v>235.715159830498</v>
      </c>
      <c r="I8016" s="6" t="n">
        <f aca="false">Sens!I8014+Sens!I8015</f>
        <v>271.646933781793</v>
      </c>
      <c r="J8016" s="6" t="n">
        <f aca="false">Sens!J8014+Sens!J8015</f>
        <v>292.203971106298</v>
      </c>
      <c r="K8016" s="6" t="n">
        <f aca="false">Sens!K8014+Sens!K8015</f>
        <v>341.836948526112</v>
      </c>
      <c r="L8016" s="1" t="s">
        <v>851</v>
      </c>
    </row>
    <row r="8017" customFormat="false" ht="15" hidden="false" customHeight="false" outlineLevel="0" collapsed="false">
      <c r="A8017" s="1" t="s">
        <v>852</v>
      </c>
      <c r="B8017" s="0" t="s">
        <v>95</v>
      </c>
      <c r="E8017" s="6" t="n">
        <f aca="false">fl_liab</f>
        <v>66.594</v>
      </c>
      <c r="F8017" s="6" t="n">
        <f aca="false">Sens!E8017-Sens!F8018</f>
        <v>62.46973</v>
      </c>
      <c r="G8017" s="6" t="n">
        <f aca="false">Sens!F8017-Sens!G8018</f>
        <v>57.98686785</v>
      </c>
      <c r="H8017" s="6" t="n">
        <f aca="false">Sens!G8017-Sens!H8018</f>
        <v>53.92827690325</v>
      </c>
      <c r="I8017" s="6" t="n">
        <f aca="false">Sens!H8017-Sens!I8018</f>
        <v>49.7850493638962</v>
      </c>
      <c r="J8017" s="6" t="n">
        <f aca="false">Sens!I8017-Sens!J8018</f>
        <v>45.4823765852716</v>
      </c>
      <c r="K8017" s="6" t="n">
        <f aca="false">Sens!J8017-Sens!K8018</f>
        <v>40.9860835316088</v>
      </c>
    </row>
    <row r="8018" customFormat="false" ht="15" hidden="false" customHeight="false" outlineLevel="0" collapsed="false">
      <c r="A8018" s="1" t="s">
        <v>853</v>
      </c>
      <c r="B8018" s="0" t="s">
        <v>95</v>
      </c>
      <c r="F8018" s="6" t="n">
        <f aca="false">fl_pay_27-Sens!E8017*fl_rate</f>
        <v>4.12427</v>
      </c>
      <c r="G8018" s="6" t="n">
        <f aca="false">fl_pay_28-Sens!F8017*fl_rate</f>
        <v>4.48286215</v>
      </c>
      <c r="H8018" s="6" t="n">
        <f aca="false">fl_pay_29-Sens!G8017*fl_rate</f>
        <v>4.05859094675</v>
      </c>
      <c r="I8018" s="6" t="n">
        <f aca="false">fl_pay_30-Sens!H8017*fl_rate</f>
        <v>4.14322753935375</v>
      </c>
      <c r="J8018" s="6" t="n">
        <f aca="false">fl_pay_31-Sens!I8017*fl_rate</f>
        <v>4.30267277862467</v>
      </c>
      <c r="K8018" s="6" t="n">
        <f aca="false">fl_pay_32-Sens!J8017*fl_rate</f>
        <v>4.49629305366278</v>
      </c>
    </row>
    <row r="8019" customFormat="false" ht="17.15" hidden="false" customHeight="false" outlineLevel="0" collapsed="false">
      <c r="A8019" s="1" t="s">
        <v>854</v>
      </c>
      <c r="B8019" s="0" t="s">
        <v>95</v>
      </c>
      <c r="E8019" s="6" t="n">
        <f aca="false">Q!M35-Q!M36-Q!M43</f>
        <v>63.886</v>
      </c>
      <c r="F8019" s="6" t="n">
        <f aca="false">Sens!F8013-Sens!F8016-Sens!F8018</f>
        <v>5.07115823184503</v>
      </c>
      <c r="G8019" s="6" t="n">
        <f aca="false">Sens!G8013-Sens!G8016-Sens!G8018</f>
        <v>43.606494888926</v>
      </c>
      <c r="H8019" s="6" t="n">
        <f aca="false">Sens!H8013-Sens!H8016-Sens!H8018</f>
        <v>94.713355979571</v>
      </c>
      <c r="I8019" s="6" t="n">
        <f aca="false">Sens!I8013-Sens!I8016-Sens!I8018</f>
        <v>114.229099106252</v>
      </c>
      <c r="J8019" s="6" t="n">
        <f aca="false">Sens!J8013-Sens!J8016-Sens!J8018</f>
        <v>147.561549288096</v>
      </c>
      <c r="K8019" s="6" t="n">
        <f aca="false">Sens!K8013-Sens!K8016-Sens!K8018</f>
        <v>150.692622379789</v>
      </c>
      <c r="L8019" s="11" t="s">
        <v>855</v>
      </c>
    </row>
    <row r="8020" customFormat="false" ht="15" hidden="false" customHeight="false" outlineLevel="0" collapsed="false">
      <c r="A8020" s="1" t="s">
        <v>856</v>
      </c>
      <c r="B8020" s="0" t="s">
        <v>73</v>
      </c>
      <c r="F8020" s="8" t="n">
        <f aca="false">dps_27</f>
        <v>3.85</v>
      </c>
      <c r="G8020" s="8" t="n">
        <f aca="false">Sens!F8020*(1+dps_g)</f>
        <v>4.158</v>
      </c>
      <c r="H8020" s="8" t="n">
        <f aca="false">Sens!G8020*(1+dps_g)</f>
        <v>4.49064</v>
      </c>
      <c r="I8020" s="8" t="n">
        <f aca="false">Sens!H8020*(1+dps_g)</f>
        <v>4.8498912</v>
      </c>
      <c r="J8020" s="8" t="n">
        <f aca="false">Sens!I8020*(1+dps_g)</f>
        <v>5.237882496</v>
      </c>
      <c r="K8020" s="8" t="n">
        <f aca="false">Sens!J8020*(1+dps_g)</f>
        <v>5.65691309568</v>
      </c>
    </row>
    <row r="8021" customFormat="false" ht="17.15" hidden="false" customHeight="false" outlineLevel="0" collapsed="false">
      <c r="A8021" s="1" t="s">
        <v>857</v>
      </c>
      <c r="B8021" s="0" t="s">
        <v>95</v>
      </c>
      <c r="E8021" s="6" t="n">
        <f aca="false">Q!M41</f>
        <v>26.445</v>
      </c>
      <c r="F8021" s="6" t="n">
        <f aca="false">Sens!F8020*Sens!E8030</f>
        <v>28.59395</v>
      </c>
      <c r="G8021" s="6" t="n">
        <f aca="false">Sens!G8020*Sens!F8030</f>
        <v>31.068576</v>
      </c>
      <c r="H8021" s="6" t="n">
        <f aca="false">Sens!H8020*Sens!G8030</f>
        <v>33.6619525924296</v>
      </c>
      <c r="I8021" s="6" t="n">
        <f aca="false">Sens!I8020*Sens!H8030</f>
        <v>36.4058480398234</v>
      </c>
      <c r="J8021" s="6" t="n">
        <f aca="false">Sens!J8020*Sens!I8030</f>
        <v>39.3867147313287</v>
      </c>
      <c r="K8021" s="6" t="n">
        <f aca="false">Sens!K8020*Sens!J8030</f>
        <v>42.6249071351401</v>
      </c>
      <c r="L8021" s="1" t="s">
        <v>858</v>
      </c>
    </row>
    <row r="8022" customFormat="false" ht="15" hidden="false" customHeight="false" outlineLevel="0" collapsed="false">
      <c r="A8022" s="1" t="s">
        <v>859</v>
      </c>
      <c r="B8022" s="0" t="s">
        <v>95</v>
      </c>
      <c r="E8022" s="6" t="n">
        <f aca="false">Sens!E8019-Sens!E8021</f>
        <v>37.441</v>
      </c>
      <c r="F8022" s="6" t="n">
        <f aca="false">Sens!F8019-Sens!F8021</f>
        <v>-23.522791768155</v>
      </c>
      <c r="G8022" s="6" t="n">
        <f aca="false">Sens!G8019-Sens!G8021</f>
        <v>12.537918888926</v>
      </c>
      <c r="H8022" s="6" t="n">
        <f aca="false">Sens!H8019-Sens!H8021</f>
        <v>61.0514033871414</v>
      </c>
      <c r="I8022" s="6" t="n">
        <f aca="false">Sens!I8019-Sens!I8021</f>
        <v>77.8232510664281</v>
      </c>
      <c r="J8022" s="6" t="n">
        <f aca="false">Sens!J8019-Sens!J8021</f>
        <v>108.174834556767</v>
      </c>
      <c r="K8022" s="6" t="n">
        <f aca="false">Sens!K8019-Sens!K8021</f>
        <v>108.067715244649</v>
      </c>
    </row>
    <row r="8023" customFormat="false" ht="15" hidden="false" customHeight="false" outlineLevel="0" collapsed="false">
      <c r="A8023" s="1" t="s">
        <v>860</v>
      </c>
      <c r="B8023" s="0" t="s">
        <v>95</v>
      </c>
      <c r="F8023" s="6" t="n">
        <f aca="false">debt_mat_27</f>
        <v>9.25</v>
      </c>
      <c r="G8023" s="6" t="n">
        <f aca="false">debt_mat_28</f>
        <v>0</v>
      </c>
      <c r="H8023" s="6" t="n">
        <f aca="false">debt_mat_29</f>
        <v>2.001</v>
      </c>
      <c r="I8023" s="6" t="n">
        <f aca="false">debt_mat_30</f>
        <v>0</v>
      </c>
      <c r="J8023" s="6" t="n">
        <f aca="false">debt_mat_31</f>
        <v>0.5</v>
      </c>
      <c r="K8023" s="6" t="n">
        <f aca="false">debt_mat_32</f>
        <v>0</v>
      </c>
    </row>
    <row r="8024" customFormat="false" ht="15" hidden="false" customHeight="false" outlineLevel="0" collapsed="false">
      <c r="A8024" s="1" t="s">
        <v>861</v>
      </c>
      <c r="B8024" s="0" t="s">
        <v>95</v>
      </c>
      <c r="E8024" s="6" t="n">
        <f aca="false">Q!M40</f>
        <v>22.271</v>
      </c>
      <c r="F8024" s="6" t="n">
        <f aca="false">MAX(0,MIN(bb_target,Sens!E8026+Sens!F8022-Sens!F8023-min_cash))</f>
        <v>0</v>
      </c>
      <c r="G8024" s="6" t="n">
        <f aca="false">MAX(0,MIN(bb_target,Sens!F8026+Sens!G8022-Sens!G8023-min_cash))</f>
        <v>12.537918888926</v>
      </c>
      <c r="H8024" s="6" t="n">
        <f aca="false">MAX(0,MIN(bb_target,Sens!G8026+Sens!H8022-Sens!H8023-min_cash))</f>
        <v>22.271</v>
      </c>
      <c r="I8024" s="6" t="n">
        <f aca="false">MAX(0,MIN(bb_target,Sens!H8026+Sens!I8022-Sens!I8023-min_cash))</f>
        <v>22.271</v>
      </c>
      <c r="J8024" s="6" t="n">
        <f aca="false">MAX(0,MIN(bb_target,Sens!I8026+Sens!J8022-Sens!J8023-min_cash))</f>
        <v>22.271</v>
      </c>
      <c r="K8024" s="6" t="n">
        <f aca="false">MAX(0,MIN(bb_target,Sens!J8026+Sens!K8022-Sens!K8023-min_cash))</f>
        <v>22.271</v>
      </c>
    </row>
    <row r="8025" customFormat="false" ht="15" hidden="false" customHeight="false" outlineLevel="0" collapsed="false">
      <c r="A8025" s="1" t="s">
        <v>862</v>
      </c>
      <c r="B8025" s="0" t="s">
        <v>95</v>
      </c>
      <c r="F8025" s="6" t="n">
        <f aca="false">MAX(0,min_cash-(Sens!E8026+Sens!F8022-Sens!F8023-Sens!F8024))</f>
        <v>5.92979176815497</v>
      </c>
      <c r="G8025" s="6" t="n">
        <f aca="false">MAX(0,min_cash-(Sens!F8026+Sens!G8022-Sens!G8023-Sens!G8024))</f>
        <v>0</v>
      </c>
      <c r="H8025" s="6" t="n">
        <f aca="false">MAX(0,min_cash-(Sens!G8026+Sens!H8022-Sens!H8023-Sens!H8024))</f>
        <v>0</v>
      </c>
      <c r="I8025" s="6" t="n">
        <f aca="false">MAX(0,min_cash-(Sens!H8026+Sens!I8022-Sens!I8023-Sens!I8024))</f>
        <v>0</v>
      </c>
      <c r="J8025" s="6" t="n">
        <f aca="false">MAX(0,min_cash-(Sens!I8026+Sens!J8022-Sens!J8023-Sens!J8024))</f>
        <v>0</v>
      </c>
      <c r="K8025" s="6" t="n">
        <f aca="false">MAX(0,min_cash-(Sens!J8026+Sens!K8022-Sens!K8023-Sens!K8024))</f>
        <v>0</v>
      </c>
    </row>
    <row r="8026" customFormat="false" ht="15" hidden="false" customHeight="false" outlineLevel="0" collapsed="false">
      <c r="A8026" s="1" t="s">
        <v>863</v>
      </c>
      <c r="B8026" s="0" t="s">
        <v>95</v>
      </c>
      <c r="E8026" s="6" t="n">
        <f aca="false">cash_open</f>
        <v>76.843</v>
      </c>
      <c r="F8026" s="6" t="n">
        <f aca="false">Sens!E8026+Sens!F8022-Sens!F8023-Sens!F8024+Sens!F8025</f>
        <v>50</v>
      </c>
      <c r="G8026" s="6" t="n">
        <f aca="false">Sens!F8026+Sens!G8022-Sens!G8023-Sens!G8024+Sens!G8025</f>
        <v>50</v>
      </c>
      <c r="H8026" s="6" t="n">
        <f aca="false">Sens!G8026+Sens!H8022-Sens!H8023-Sens!H8024+Sens!H8025</f>
        <v>86.7794033871414</v>
      </c>
      <c r="I8026" s="6" t="n">
        <f aca="false">Sens!H8026+Sens!I8022-Sens!I8023-Sens!I8024+Sens!I8025</f>
        <v>142.331654453569</v>
      </c>
      <c r="J8026" s="6" t="n">
        <f aca="false">Sens!I8026+Sens!J8022-Sens!J8023-Sens!J8024+Sens!J8025</f>
        <v>227.735489010337</v>
      </c>
      <c r="K8026" s="6" t="n">
        <f aca="false">Sens!J8026+Sens!K8022-Sens!K8023-Sens!K8024+Sens!K8025</f>
        <v>313.532204254986</v>
      </c>
    </row>
    <row r="8027" customFormat="false" ht="15" hidden="false" customHeight="false" outlineLevel="0" collapsed="false">
      <c r="A8027" s="1" t="s">
        <v>864</v>
      </c>
      <c r="B8027" s="0" t="s">
        <v>95</v>
      </c>
      <c r="E8027" s="6" t="n">
        <f aca="false">debt_face</f>
        <v>46.136</v>
      </c>
      <c r="F8027" s="6" t="n">
        <f aca="false">Sens!E8027-Sens!F8023+Sens!F8025</f>
        <v>42.815791768155</v>
      </c>
      <c r="G8027" s="6" t="n">
        <f aca="false">Sens!F8027-Sens!G8023+Sens!G8025</f>
        <v>42.815791768155</v>
      </c>
      <c r="H8027" s="6" t="n">
        <f aca="false">Sens!G8027-Sens!H8023+Sens!H8025</f>
        <v>40.814791768155</v>
      </c>
      <c r="I8027" s="6" t="n">
        <f aca="false">Sens!H8027-Sens!I8023+Sens!I8025</f>
        <v>40.814791768155</v>
      </c>
      <c r="J8027" s="6" t="n">
        <f aca="false">Sens!I8027-Sens!J8023+Sens!J8025</f>
        <v>40.314791768155</v>
      </c>
      <c r="K8027" s="6" t="n">
        <f aca="false">Sens!J8027-Sens!K8023+Sens!K8025</f>
        <v>40.314791768155</v>
      </c>
    </row>
    <row r="8028" customFormat="false" ht="15" hidden="false" customHeight="false" outlineLevel="0" collapsed="false">
      <c r="A8028" s="1" t="s">
        <v>865</v>
      </c>
      <c r="B8028" s="0" t="s">
        <v>95</v>
      </c>
      <c r="E8028" s="6" t="n">
        <f aca="false">Sens!E8026-Sens!E8027</f>
        <v>30.707</v>
      </c>
      <c r="F8028" s="6" t="n">
        <f aca="false">Sens!F8026-Sens!F8027</f>
        <v>7.18420823184503</v>
      </c>
      <c r="G8028" s="6" t="n">
        <f aca="false">Sens!G8026-Sens!G8027</f>
        <v>7.18420823184503</v>
      </c>
      <c r="H8028" s="6" t="n">
        <f aca="false">Sens!H8026-Sens!H8027</f>
        <v>45.9646116189864</v>
      </c>
      <c r="I8028" s="6" t="n">
        <f aca="false">Sens!I8026-Sens!I8027</f>
        <v>101.516862685414</v>
      </c>
      <c r="J8028" s="6" t="n">
        <f aca="false">Sens!J8026-Sens!J8027</f>
        <v>187.420697242182</v>
      </c>
      <c r="K8028" s="6" t="n">
        <f aca="false">Sens!K8026-Sens!K8027</f>
        <v>273.217412486831</v>
      </c>
    </row>
    <row r="8029" customFormat="false" ht="15" hidden="false" customHeight="false" outlineLevel="0" collapsed="false">
      <c r="A8029" s="1" t="s">
        <v>866</v>
      </c>
      <c r="B8029" s="0" t="s">
        <v>73</v>
      </c>
      <c r="F8029" s="27" t="n">
        <f aca="false">px*(1+bb_g)^(1-0.5)</f>
        <v>553.494156066711</v>
      </c>
      <c r="G8029" s="27" t="n">
        <f aca="false">px*(1+bb_g)^(2-0.5)</f>
        <v>597.773688552047</v>
      </c>
      <c r="H8029" s="27" t="n">
        <f aca="false">px*(1+bb_g)^(3-0.5)</f>
        <v>645.595583636211</v>
      </c>
      <c r="I8029" s="27" t="n">
        <f aca="false">px*(1+bb_g)^(4-0.5)</f>
        <v>697.243230327108</v>
      </c>
      <c r="J8029" s="27" t="n">
        <f aca="false">px*(1+bb_g)^(5-0.5)</f>
        <v>753.022688753277</v>
      </c>
      <c r="K8029" s="27" t="n">
        <f aca="false">px*(1+bb_g)^(6-0.5)</f>
        <v>813.264503853539</v>
      </c>
    </row>
    <row r="8030" customFormat="false" ht="15" hidden="false" customHeight="false" outlineLevel="0" collapsed="false">
      <c r="A8030" s="1" t="s">
        <v>867</v>
      </c>
      <c r="B8030" s="1" t="s">
        <v>79</v>
      </c>
      <c r="E8030" s="18" t="n">
        <f aca="false">sh_out26</f>
        <v>7.427</v>
      </c>
      <c r="F8030" s="18" t="n">
        <f aca="false">Sens!E8030+sh_iss-Sens!F8024/Sens!F8029</f>
        <v>7.472</v>
      </c>
      <c r="G8030" s="18" t="n">
        <f aca="false">Sens!F8030+sh_iss-Sens!G8024/Sens!G8029</f>
        <v>7.49602564276575</v>
      </c>
      <c r="H8030" s="18" t="n">
        <f aca="false">Sens!G8030+sh_iss-Sens!H8024/Sens!H8029</f>
        <v>7.50652881446565</v>
      </c>
      <c r="I8030" s="18" t="n">
        <f aca="false">Sens!H8030+sh_iss-Sens!I8024/Sens!I8029</f>
        <v>7.51958730678038</v>
      </c>
      <c r="J8030" s="18" t="n">
        <f aca="false">Sens!I8030+sh_iss-Sens!J8024/Sens!J8029</f>
        <v>7.53501183670142</v>
      </c>
      <c r="K8030" s="18" t="n">
        <f aca="false">Sens!J8030+sh_iss-Sens!K8024/Sens!K8029</f>
        <v>7.55262714218386</v>
      </c>
    </row>
    <row r="8031" customFormat="false" ht="15" hidden="false" customHeight="false" outlineLevel="0" collapsed="false">
      <c r="A8031" s="1" t="s">
        <v>868</v>
      </c>
      <c r="B8031" s="1" t="s">
        <v>79</v>
      </c>
      <c r="E8031" s="18" t="n">
        <f aca="false">sh_dil26</f>
        <v>7.453</v>
      </c>
      <c r="F8031" s="18" t="n">
        <f aca="false">(Sens!E8030+Sens!F8030)/2+dil_gap</f>
        <v>7.4735</v>
      </c>
      <c r="G8031" s="18" t="n">
        <f aca="false">(Sens!F8030+Sens!G8030)/2+dil_gap</f>
        <v>7.50801282138287</v>
      </c>
      <c r="H8031" s="18" t="n">
        <f aca="false">(Sens!G8030+Sens!H8030)/2+dil_gap</f>
        <v>7.5252772286157</v>
      </c>
      <c r="I8031" s="18" t="n">
        <f aca="false">(Sens!H8030+Sens!I8030)/2+dil_gap</f>
        <v>7.53705806062301</v>
      </c>
      <c r="J8031" s="18" t="n">
        <f aca="false">(Sens!I8030+Sens!J8030)/2+dil_gap</f>
        <v>7.5512995717409</v>
      </c>
      <c r="K8031" s="18" t="n">
        <f aca="false">(Sens!J8030+Sens!K8030)/2+dil_gap</f>
        <v>7.56781948944264</v>
      </c>
    </row>
    <row r="8032" customFormat="false" ht="17.15" hidden="false" customHeight="false" outlineLevel="0" collapsed="false">
      <c r="A8032" s="1" t="s">
        <v>869</v>
      </c>
      <c r="B8032" s="0" t="s">
        <v>95</v>
      </c>
      <c r="C8032" s="6" t="n">
        <f aca="false">SUM(Sens!F8022:J8022)</f>
        <v>236.064616131108</v>
      </c>
    </row>
    <row r="8033" customFormat="false" ht="17.15" hidden="false" customHeight="false" outlineLevel="0" collapsed="false">
      <c r="A8033" s="1" t="s">
        <v>836</v>
      </c>
      <c r="B8033" s="1" t="s">
        <v>870</v>
      </c>
      <c r="C8033" s="30" t="str">
        <f aca="false">IF(SUM(Sens!F8025:J8025)&gt;0.05,"需要舉債 "&amp;TEXT(SUM(Sens!F8025:J8025),"0.0")&amp;" 十億美元","不需舉債")&amp;"；"&amp;IF(SUM(Sens!F8024:J8024)&lt;5*bb_target-0.05,"回購較每年 "&amp;TEXT(bb_target,"0.0")&amp;" 的目標少 "&amp;TEXT(5*bb_target-SUM(Sens!F8024:J8024),"0.0")&amp;" 十億美元（"&amp;TEXT(COUNTIF(Sens!F8024:J8024,"&lt;"&amp;(bb_target-0.05)),"0")&amp;" 年減少）","回購不減")</f>
        <v>需要舉債 5.9 十億美元；回購較每年 22.3 的目標少 32.0 十億美元（2 年減少）</v>
      </c>
    </row>
    <row r="8034" customFormat="false" ht="17.15" hidden="false" customHeight="false" outlineLevel="0" collapsed="false">
      <c r="A8034" s="3" t="s">
        <v>1343</v>
      </c>
    </row>
    <row r="8035" customFormat="false" ht="15" hidden="false" customHeight="false" outlineLevel="0" collapsed="false">
      <c r="A8035" s="4" t="s">
        <v>43</v>
      </c>
      <c r="B8035" s="4" t="s">
        <v>63</v>
      </c>
      <c r="C8035" s="19" t="s">
        <v>710</v>
      </c>
      <c r="D8035" s="19" t="s">
        <v>711</v>
      </c>
      <c r="E8035" s="19" t="s">
        <v>712</v>
      </c>
      <c r="F8035" s="19" t="s">
        <v>713</v>
      </c>
      <c r="G8035" s="19" t="s">
        <v>714</v>
      </c>
      <c r="H8035" s="19" t="s">
        <v>715</v>
      </c>
      <c r="I8035" s="19" t="s">
        <v>716</v>
      </c>
      <c r="J8035" s="19" t="s">
        <v>717</v>
      </c>
      <c r="K8035" s="19" t="s">
        <v>718</v>
      </c>
      <c r="L8035" s="4" t="s">
        <v>47</v>
      </c>
    </row>
    <row r="8036" customFormat="false" ht="17.15" hidden="false" customHeight="false" outlineLevel="0" collapsed="false">
      <c r="A8036" s="1" t="s">
        <v>938</v>
      </c>
      <c r="B8036" s="1" t="s">
        <v>213</v>
      </c>
      <c r="F8036" s="34" t="n">
        <f aca="false">1-0.5</f>
        <v>0.5</v>
      </c>
      <c r="G8036" s="34" t="n">
        <f aca="false">2-0.5</f>
        <v>1.5</v>
      </c>
      <c r="H8036" s="34" t="n">
        <f aca="false">3-0.5</f>
        <v>2.5</v>
      </c>
      <c r="I8036" s="34" t="n">
        <f aca="false">4-0.5</f>
        <v>3.5</v>
      </c>
      <c r="J8036" s="34" t="n">
        <f aca="false">5-0.5</f>
        <v>4.5</v>
      </c>
      <c r="K8036" s="34" t="n">
        <f aca="false">6-0.5</f>
        <v>5.5</v>
      </c>
    </row>
    <row r="8037" customFormat="false" ht="15" hidden="false" customHeight="false" outlineLevel="0" collapsed="false">
      <c r="A8037" s="1" t="s">
        <v>939</v>
      </c>
      <c r="B8037" s="0" t="s">
        <v>182</v>
      </c>
      <c r="F8037" s="18" t="n">
        <f aca="false">1/(1+wacc)^Sens!F8036</f>
        <v>0.949601579913219</v>
      </c>
      <c r="G8037" s="18" t="n">
        <f aca="false">1/(1+wacc)^Sens!G8036</f>
        <v>0.856296729956707</v>
      </c>
      <c r="H8037" s="18" t="n">
        <f aca="false">1/(1+wacc)^Sens!H8036</f>
        <v>0.772159719660069</v>
      </c>
      <c r="I8037" s="18" t="n">
        <f aca="false">1/(1+wacc)^Sens!I8036</f>
        <v>0.696289746073958</v>
      </c>
      <c r="J8037" s="18" t="n">
        <f aca="false">1/(1+wacc)^Sens!J8036</f>
        <v>0.627874516299776</v>
      </c>
      <c r="K8037" s="18" t="n">
        <f aca="false">1/(1+wacc)^Sens!K8036</f>
        <v>0.566181550771831</v>
      </c>
    </row>
    <row r="8038" customFormat="false" ht="15" hidden="false" customHeight="false" outlineLevel="0" collapsed="false">
      <c r="A8038" s="1" t="s">
        <v>940</v>
      </c>
      <c r="B8038" s="0" t="s">
        <v>95</v>
      </c>
      <c r="F8038" s="6" t="n">
        <f aca="false">Sens!F8019*Sens!F8037</f>
        <v>4.81557986894996</v>
      </c>
      <c r="G8038" s="6" t="n">
        <f aca="false">Sens!G8019*Sens!G8037</f>
        <v>37.3400989782612</v>
      </c>
      <c r="H8038" s="6" t="n">
        <f aca="false">Sens!H8019*Sens!H8037</f>
        <v>73.1338384012498</v>
      </c>
      <c r="I8038" s="6" t="n">
        <f aca="false">Sens!I8019*Sens!I8037</f>
        <v>79.5365504109488</v>
      </c>
      <c r="J8038" s="6" t="n">
        <f aca="false">Sens!J8019*Sens!J8037</f>
        <v>92.6501363837089</v>
      </c>
      <c r="K8038" s="6" t="n">
        <f aca="false">Sens!K8019*Sens!K8037</f>
        <v>85.3193826288631</v>
      </c>
    </row>
    <row r="8039" customFormat="false" ht="17.15" hidden="false" customHeight="false" outlineLevel="0" collapsed="false">
      <c r="A8039" s="1" t="s">
        <v>941</v>
      </c>
      <c r="B8039" s="0" t="s">
        <v>95</v>
      </c>
      <c r="C8039" s="6" t="n">
        <f aca="false">SUM(Sens!F8038:K8038)</f>
        <v>372.795586671982</v>
      </c>
    </row>
    <row r="8040" customFormat="false" ht="17.15" hidden="false" customHeight="false" outlineLevel="0" collapsed="false">
      <c r="A8040" s="1" t="s">
        <v>942</v>
      </c>
      <c r="B8040" s="0" t="s">
        <v>95</v>
      </c>
      <c r="C8040" s="6" t="n">
        <f aca="false">Sens!K7985*(1+g_tv)*(1-tax_f)</f>
        <v>262.099757124227</v>
      </c>
    </row>
    <row r="8041" customFormat="false" ht="17.15" hidden="false" customHeight="false" outlineLevel="0" collapsed="false">
      <c r="A8041" s="1" t="s">
        <v>943</v>
      </c>
      <c r="B8041" s="0" t="s">
        <v>95</v>
      </c>
      <c r="C8041" s="6" t="n">
        <f aca="false">Sens!$C$8040*(1-g_tv/(wacc+ronic_prem))</f>
        <v>189.937860378497</v>
      </c>
    </row>
    <row r="8042" customFormat="false" ht="17.15" hidden="false" customHeight="false" outlineLevel="0" collapsed="false">
      <c r="A8042" s="1" t="s">
        <v>944</v>
      </c>
      <c r="B8042" s="0" t="s">
        <v>95</v>
      </c>
      <c r="C8042" s="6" t="n">
        <f aca="false">Sens!$C$8041/(wacc-g_tv)</f>
        <v>2405.39655819101</v>
      </c>
    </row>
    <row r="8043" customFormat="false" ht="15" hidden="false" customHeight="false" outlineLevel="0" collapsed="false">
      <c r="A8043" s="1" t="s">
        <v>945</v>
      </c>
      <c r="B8043" s="0" t="s">
        <v>95</v>
      </c>
      <c r="C8043" s="6" t="n">
        <f aca="false">Sens!$C$8042/(1+wacc)^6</f>
        <v>1293.25399106934</v>
      </c>
    </row>
    <row r="8044" customFormat="false" ht="17.15" hidden="false" customHeight="false" outlineLevel="0" collapsed="false">
      <c r="A8044" s="0" t="s">
        <v>877</v>
      </c>
      <c r="B8044" s="0" t="s">
        <v>95</v>
      </c>
      <c r="C8044" s="6" t="n">
        <f aca="false">Sens!$C$8039+Sens!$C$8043</f>
        <v>1666.04957774133</v>
      </c>
    </row>
    <row r="8045" customFormat="false" ht="15" hidden="false" customHeight="false" outlineLevel="0" collapsed="false">
      <c r="A8045" s="1" t="s">
        <v>878</v>
      </c>
      <c r="B8045" s="0" t="s">
        <v>126</v>
      </c>
      <c r="C8045" s="7" t="n">
        <f aca="false">Sens!$C$8043/Sens!$C$8044</f>
        <v>0.776239800032012</v>
      </c>
    </row>
    <row r="8046" customFormat="false" ht="17.15" hidden="false" customHeight="false" outlineLevel="0" collapsed="false">
      <c r="A8046" s="1" t="s">
        <v>946</v>
      </c>
      <c r="B8046" s="0" t="s">
        <v>95</v>
      </c>
      <c r="C8046" s="6" t="n">
        <f aca="false">Sens!$C$8044+Sens!E8028+oai_v</f>
        <v>1867.15657774133</v>
      </c>
    </row>
    <row r="8047" customFormat="false" ht="17.15" hidden="false" customHeight="false" outlineLevel="0" collapsed="false">
      <c r="A8047" s="0" t="s">
        <v>883</v>
      </c>
      <c r="B8047" s="0" t="s">
        <v>73</v>
      </c>
      <c r="C8047" s="5" t="n">
        <f aca="false">Sens!$C$8046/sh_dil26</f>
        <v>250.524161779327</v>
      </c>
    </row>
    <row r="8048" customFormat="false" ht="17.15" hidden="false" customHeight="false" outlineLevel="0" collapsed="false">
      <c r="A8048" s="0" t="s">
        <v>947</v>
      </c>
      <c r="B8048" s="0" t="s">
        <v>73</v>
      </c>
      <c r="C8048" s="5" t="n">
        <f aca="false">Sens!$C$8047*(1+wacc)^t_roll</f>
        <v>287.349853405459</v>
      </c>
    </row>
    <row r="8049" customFormat="false" ht="17.15" hidden="false" customHeight="false" outlineLevel="0" collapsed="false">
      <c r="A8049" s="1" t="s">
        <v>948</v>
      </c>
      <c r="B8049" s="0" t="s">
        <v>126</v>
      </c>
      <c r="F8049" s="7" t="n">
        <f aca="false">Sens!F8009/(Sens!F7960-Sens!F7916)</f>
        <v>0.0681557608904989</v>
      </c>
      <c r="G8049" s="7" t="n">
        <f aca="false">Sens!G8009/(Sens!G7960-Sens!G7916)</f>
        <v>0.0649803285042404</v>
      </c>
      <c r="H8049" s="7" t="n">
        <f aca="false">Sens!H8009/(Sens!H7960-Sens!H7916)</f>
        <v>0.0632748368709038</v>
      </c>
      <c r="I8049" s="7" t="n">
        <f aca="false">Sens!I8009/(Sens!I7960-Sens!I7916)</f>
        <v>0.0629274318250364</v>
      </c>
      <c r="J8049" s="7" t="n">
        <f aca="false">Sens!J8009/(Sens!J7960-Sens!J7916)</f>
        <v>0.0635835161306673</v>
      </c>
      <c r="K8049" s="7" t="n">
        <f aca="false">Sens!K8009/(Sens!K7960-Sens!K7916)</f>
        <v>0.0647899289322485</v>
      </c>
    </row>
    <row r="8050" customFormat="false" ht="17.15" hidden="false" customHeight="false" outlineLevel="0" collapsed="false">
      <c r="A8050" s="0" t="s">
        <v>949</v>
      </c>
      <c r="B8050" s="0" t="s">
        <v>95</v>
      </c>
      <c r="F8050" s="6" t="n">
        <f aca="false">Sens!F7945*(al_m365+Sens!F8049)</f>
        <v>80.4408674537902</v>
      </c>
      <c r="G8050" s="6" t="n">
        <f aca="false">Sens!G7945*(al_m365+Sens!G8049)</f>
        <v>94.1240876328654</v>
      </c>
      <c r="H8050" s="6" t="n">
        <f aca="false">Sens!H7945*(al_m365+Sens!H8049)</f>
        <v>107.96612649487</v>
      </c>
      <c r="I8050" s="6" t="n">
        <f aca="false">Sens!I7945*(al_m365+Sens!I8049)</f>
        <v>120.377033390188</v>
      </c>
      <c r="J8050" s="6" t="n">
        <f aca="false">Sens!J7945*(al_m365+Sens!J8049)</f>
        <v>131.178982992593</v>
      </c>
      <c r="K8050" s="6" t="n">
        <f aca="false">Sens!K7945*(al_m365+Sens!K8049)</f>
        <v>141.618863649262</v>
      </c>
    </row>
    <row r="8051" customFormat="false" ht="17.15" hidden="false" customHeight="false" outlineLevel="0" collapsed="false">
      <c r="A8051" s="0" t="s">
        <v>950</v>
      </c>
      <c r="B8051" s="0" t="s">
        <v>95</v>
      </c>
      <c r="F8051" s="6" t="n">
        <f aca="false">Sens!F7946*(al_lic+Sens!F8049)</f>
        <v>31.9670501508426</v>
      </c>
      <c r="G8051" s="6" t="n">
        <f aca="false">Sens!G7946*(al_lic+Sens!G8049)</f>
        <v>33.1913476549113</v>
      </c>
      <c r="H8051" s="6" t="n">
        <f aca="false">Sens!H7946*(al_lic+Sens!H8049)</f>
        <v>34.3393903659249</v>
      </c>
      <c r="I8051" s="6" t="n">
        <f aca="false">Sens!I7946*(al_lic+Sens!I8049)</f>
        <v>35.394696826956</v>
      </c>
      <c r="J8051" s="6" t="n">
        <f aca="false">Sens!J7946*(al_lic+Sens!J8049)</f>
        <v>36.3296047456344</v>
      </c>
      <c r="K8051" s="6" t="n">
        <f aca="false">Sens!K7946*(al_lic+Sens!K8049)</f>
        <v>37.1111451886392</v>
      </c>
    </row>
    <row r="8052" customFormat="false" ht="17.15" hidden="false" customHeight="false" outlineLevel="0" collapsed="false">
      <c r="A8052" s="0" t="s">
        <v>951</v>
      </c>
      <c r="B8052" s="0" t="s">
        <v>95</v>
      </c>
      <c r="F8052" s="6" t="n">
        <f aca="false">Sens!F7948*(al_ind+Sens!F8049)</f>
        <v>8.23093946080274</v>
      </c>
      <c r="G8052" s="6" t="n">
        <f aca="false">Sens!G7948*(al_ind+Sens!G8049)</f>
        <v>8.91983178609502</v>
      </c>
      <c r="H8052" s="6" t="n">
        <f aca="false">Sens!H7948*(al_ind+Sens!H8049)</f>
        <v>9.65359475199955</v>
      </c>
      <c r="I8052" s="6" t="n">
        <f aca="false">Sens!I7948*(al_ind+Sens!I8049)</f>
        <v>10.430976043103</v>
      </c>
      <c r="J8052" s="6" t="n">
        <f aca="false">Sens!J7948*(al_ind+Sens!J8049)</f>
        <v>11.2417312816255</v>
      </c>
      <c r="K8052" s="6" t="n">
        <f aca="false">Sens!K7948*(al_ind+Sens!K8049)</f>
        <v>12.0685649527456</v>
      </c>
    </row>
    <row r="8053" customFormat="false" ht="17.15" hidden="false" customHeight="false" outlineLevel="0" collapsed="false">
      <c r="A8053" s="0" t="s">
        <v>952</v>
      </c>
      <c r="B8053" s="0" t="s">
        <v>95</v>
      </c>
      <c r="F8053" s="6" t="n">
        <f aca="false">Sens!F7950*(al_fro+Sens!F8049)</f>
        <v>3.23972666896189</v>
      </c>
      <c r="G8053" s="6" t="n">
        <f aca="false">Sens!G7950*(al_fro+Sens!G8049)</f>
        <v>3.4246880504787</v>
      </c>
      <c r="H8053" s="6" t="n">
        <f aca="false">Sens!H7950*(al_fro+Sens!H8049)</f>
        <v>3.63780492148742</v>
      </c>
      <c r="I8053" s="6" t="n">
        <f aca="false">Sens!I7950*(al_fro+Sens!I8049)</f>
        <v>3.88198474768067</v>
      </c>
      <c r="J8053" s="6" t="n">
        <f aca="false">Sens!J7950*(al_fro+Sens!J8049)</f>
        <v>4.15762424687666</v>
      </c>
      <c r="K8053" s="6" t="n">
        <f aca="false">Sens!K7950*(al_fro+Sens!K8049)</f>
        <v>4.46341911361588</v>
      </c>
    </row>
    <row r="8054" customFormat="false" ht="17.15" hidden="false" customHeight="false" outlineLevel="0" collapsed="false">
      <c r="A8054" s="0" t="s">
        <v>953</v>
      </c>
      <c r="B8054" s="0" t="s">
        <v>95</v>
      </c>
      <c r="F8054" s="6" t="n">
        <f aca="false">Sens!F7953*(al_srch+Sens!F8049)</f>
        <v>10.2110448967409</v>
      </c>
      <c r="G8054" s="6" t="n">
        <f aca="false">Sens!G7953*(al_srch+Sens!G8049)</f>
        <v>11.2713016263717</v>
      </c>
      <c r="H8054" s="6" t="n">
        <f aca="false">Sens!H7953*(al_srch+Sens!H8049)</f>
        <v>12.4535627801335</v>
      </c>
      <c r="I8054" s="6" t="n">
        <f aca="false">Sens!I7953*(al_srch+Sens!I8049)</f>
        <v>13.7694138910493</v>
      </c>
      <c r="J8054" s="6" t="n">
        <f aca="false">Sens!J7953*(al_srch+Sens!J8049)</f>
        <v>15.2200780793738</v>
      </c>
      <c r="K8054" s="6" t="n">
        <f aca="false">Sens!K7953*(al_srch+Sens!K8049)</f>
        <v>16.7976380942829</v>
      </c>
    </row>
    <row r="8055" customFormat="false" ht="17.15" hidden="false" customHeight="false" outlineLevel="0" collapsed="false">
      <c r="A8055" s="0" t="s">
        <v>954</v>
      </c>
      <c r="B8055" s="0" t="s">
        <v>95</v>
      </c>
      <c r="F8055" s="6" t="n">
        <f aca="false">Sens!F7922</f>
        <v>43.1278534047371</v>
      </c>
      <c r="G8055" s="6" t="n">
        <f aca="false">Sens!G7922</f>
        <v>78.4713023799053</v>
      </c>
      <c r="H8055" s="6" t="n">
        <f aca="false">Sens!H7922</f>
        <v>120.169624261219</v>
      </c>
      <c r="I8055" s="6" t="n">
        <f aca="false">Sens!I7922</f>
        <v>156.086713969963</v>
      </c>
      <c r="J8055" s="6" t="n">
        <f aca="false">Sens!J7922</f>
        <v>192.09687492465</v>
      </c>
      <c r="K8055" s="6" t="n">
        <f aca="false">Sens!K7922</f>
        <v>228.161785217179</v>
      </c>
    </row>
    <row r="8056" customFormat="false" ht="17.15" hidden="false" customHeight="false" outlineLevel="0" collapsed="false">
      <c r="A8056" s="0" t="s">
        <v>955</v>
      </c>
      <c r="B8056" s="0" t="s">
        <v>95</v>
      </c>
      <c r="F8056" s="6" t="n">
        <f aca="false">Sens!F7982+Sens!F7933+Sens!F8049*(Sens!F7952-Sens!F7916)</f>
        <v>215.994945851162</v>
      </c>
      <c r="G8056" s="6" t="n">
        <f aca="false">Sens!G7982+Sens!G7933+Sens!G8049*(Sens!G7952-Sens!G7916)</f>
        <v>273.17186005636</v>
      </c>
      <c r="H8056" s="6" t="n">
        <f aca="false">Sens!H7982+Sens!H7933+Sens!H8049*(Sens!H7952-Sens!H7916)</f>
        <v>336.946803902972</v>
      </c>
      <c r="I8056" s="6" t="n">
        <f aca="false">Sens!I7982+Sens!I7933+Sens!I8049*(Sens!I7952-Sens!I7916)</f>
        <v>393.369303217322</v>
      </c>
      <c r="J8056" s="6" t="n">
        <f aca="false">Sens!J7982+Sens!J7933+Sens!J8049*(Sens!J7952-Sens!J7916)</f>
        <v>447.493103226701</v>
      </c>
      <c r="K8056" s="6" t="n">
        <f aca="false">Sens!K7982+Sens!K7933+Sens!K8049*(Sens!K7952-Sens!K7916)</f>
        <v>499.731780205056</v>
      </c>
    </row>
    <row r="8057" customFormat="false" ht="17.15" hidden="false" customHeight="false" outlineLevel="0" collapsed="false">
      <c r="A8057" s="0" t="s">
        <v>956</v>
      </c>
      <c r="B8057" s="0" t="s">
        <v>95</v>
      </c>
      <c r="F8057" s="6" t="n">
        <f aca="false">Sens!F8056-Sens!F8050-Sens!F8051-Sens!F8052-Sens!F8053-Sens!F8055</f>
        <v>48.9885087120279</v>
      </c>
      <c r="G8057" s="6" t="n">
        <f aca="false">Sens!G8056-Sens!G8050-Sens!G8051-Sens!G8052-Sens!G8053-Sens!G8055</f>
        <v>55.0406025521046</v>
      </c>
      <c r="H8057" s="6" t="n">
        <f aca="false">Sens!H8056-Sens!H8050-Sens!H8051-Sens!H8052-Sens!H8053-Sens!H8055</f>
        <v>61.1802631074707</v>
      </c>
      <c r="I8057" s="6" t="n">
        <f aca="false">Sens!I8056-Sens!I8050-Sens!I8051-Sens!I8052-Sens!I8053-Sens!I8055</f>
        <v>67.1978982394312</v>
      </c>
      <c r="J8057" s="6" t="n">
        <f aca="false">Sens!J8056-Sens!J8050-Sens!J8051-Sens!J8052-Sens!J8053-Sens!J8055</f>
        <v>72.4882850353211</v>
      </c>
      <c r="K8057" s="6" t="n">
        <f aca="false">Sens!K8056-Sens!K8050-Sens!K8051-Sens!K8052-Sens!K8053-Sens!K8055</f>
        <v>76.3080020836145</v>
      </c>
    </row>
    <row r="8058" customFormat="false" ht="17.15" hidden="false" customHeight="false" outlineLevel="0" collapsed="false">
      <c r="A8058" s="0" t="s">
        <v>957</v>
      </c>
      <c r="B8058" s="0" t="s">
        <v>95</v>
      </c>
      <c r="F8058" s="6" t="n">
        <f aca="false">Sens!F7984+Sens!F8049*Sens!F7959</f>
        <v>23.7804704620771</v>
      </c>
      <c r="G8058" s="6" t="n">
        <f aca="false">Sens!G7984+Sens!G8049*Sens!G7959</f>
        <v>24.394560423049</v>
      </c>
      <c r="H8058" s="6" t="n">
        <f aca="false">Sens!H7984+Sens!H8049*Sens!H7959</f>
        <v>25.3413097168291</v>
      </c>
      <c r="I8058" s="6" t="n">
        <f aca="false">Sens!I7984+Sens!I8049*Sens!I7959</f>
        <v>26.613895733632</v>
      </c>
      <c r="J8058" s="6" t="n">
        <f aca="false">Sens!J7984+Sens!J8049*Sens!J7959</f>
        <v>28.1957304085746</v>
      </c>
      <c r="K8058" s="6" t="n">
        <f aca="false">Sens!K7984+Sens!K8049*Sens!K7959</f>
        <v>30.0650258175235</v>
      </c>
    </row>
    <row r="8059" customFormat="false" ht="17.15" hidden="false" customHeight="false" outlineLevel="0" collapsed="false">
      <c r="A8059" s="0" t="s">
        <v>958</v>
      </c>
      <c r="B8059" s="0" t="s">
        <v>95</v>
      </c>
      <c r="F8059" s="6" t="n">
        <f aca="false">(Sens!F8058-Sens!F8054)*Sens!F7955/(Sens!F7955+Sens!F7957)</f>
        <v>7.43862693062736</v>
      </c>
      <c r="G8059" s="6" t="n">
        <f aca="false">(Sens!G8058-Sens!G8054)*Sens!G7955/(Sens!G7955+Sens!G7957)</f>
        <v>7.06577332526886</v>
      </c>
      <c r="H8059" s="6" t="n">
        <f aca="false">(Sens!H8058-Sens!H8054)*Sens!H7955/(Sens!H7955+Sens!H7957)</f>
        <v>6.84523606921623</v>
      </c>
      <c r="I8059" s="6" t="n">
        <f aca="false">(Sens!I8058-Sens!I8054)*Sens!I7955/(Sens!I7955+Sens!I7957)</f>
        <v>6.76052825878678</v>
      </c>
      <c r="J8059" s="6" t="n">
        <f aca="false">(Sens!J8058-Sens!J8054)*Sens!J7955/(Sens!J7955+Sens!J7957)</f>
        <v>6.79868510662624</v>
      </c>
      <c r="K8059" s="6" t="n">
        <f aca="false">(Sens!K8058-Sens!K8054)*Sens!K7955/(Sens!K7955+Sens!K7957)</f>
        <v>6.95154193634185</v>
      </c>
    </row>
    <row r="8060" customFormat="false" ht="17.15" hidden="false" customHeight="false" outlineLevel="0" collapsed="false">
      <c r="A8060" s="0" t="s">
        <v>959</v>
      </c>
      <c r="B8060" s="0" t="s">
        <v>95</v>
      </c>
      <c r="F8060" s="6" t="n">
        <f aca="false">Sens!F8058-Sens!F8054-Sens!F8059</f>
        <v>6.13079863470884</v>
      </c>
      <c r="G8060" s="6" t="n">
        <f aca="false">Sens!G8058-Sens!G8054-Sens!G8059</f>
        <v>6.05748547140839</v>
      </c>
      <c r="H8060" s="6" t="n">
        <f aca="false">Sens!H8058-Sens!H8054-Sens!H8059</f>
        <v>6.04251086747935</v>
      </c>
      <c r="I8060" s="6" t="n">
        <f aca="false">Sens!I8058-Sens!I8054-Sens!I8059</f>
        <v>6.08395358379591</v>
      </c>
      <c r="J8060" s="6" t="n">
        <f aca="false">Sens!J8058-Sens!J8054-Sens!J8059</f>
        <v>6.17696722257458</v>
      </c>
      <c r="K8060" s="6" t="n">
        <f aca="false">Sens!K8058-Sens!K8054-Sens!K8059</f>
        <v>6.31584578689869</v>
      </c>
    </row>
    <row r="8061" customFormat="false" ht="17.15" hidden="false" customHeight="false" outlineLevel="0" collapsed="false">
      <c r="A8061" s="1" t="s">
        <v>960</v>
      </c>
      <c r="B8061" s="0" t="s">
        <v>95</v>
      </c>
      <c r="C8061" s="6" t="n">
        <f aca="false">(w_ntm28*Sens!G8055+(1-w_ntm28)*Sens!H8055)*m_ai*1</f>
        <v>551.711134531404</v>
      </c>
    </row>
    <row r="8062" customFormat="false" ht="17.15" hidden="false" customHeight="false" outlineLevel="0" collapsed="false">
      <c r="A8062" s="1" t="s">
        <v>961</v>
      </c>
      <c r="B8062" s="0" t="s">
        <v>95</v>
      </c>
      <c r="C8062" s="6" t="n">
        <f aca="false">(w_ntm28*Sens!G8057+(1-w_ntm28)*Sens!H8057)*m_cloud*1</f>
        <v>788.092121372192</v>
      </c>
    </row>
    <row r="8063" customFormat="false" ht="17.15" hidden="false" customHeight="false" outlineLevel="0" collapsed="false">
      <c r="A8063" s="1" t="s">
        <v>962</v>
      </c>
      <c r="B8063" s="0" t="s">
        <v>95</v>
      </c>
      <c r="C8063" s="6" t="n">
        <f aca="false">(w_ntm28*Sens!G8050+(1-w_ntm28)*Sens!H8050)*m_sw*1</f>
        <v>1064.86971993012</v>
      </c>
    </row>
    <row r="8064" customFormat="false" ht="17.15" hidden="false" customHeight="false" outlineLevel="0" collapsed="false">
      <c r="A8064" s="1" t="s">
        <v>963</v>
      </c>
      <c r="B8064" s="0" t="s">
        <v>95</v>
      </c>
      <c r="C8064" s="6" t="n">
        <f aca="false">(w_ntm28*Sens!G8051+(1-w_ntm28)*Sens!H8051)*m_sw*1</f>
        <v>362.474953661852</v>
      </c>
    </row>
    <row r="8065" customFormat="false" ht="17.15" hidden="false" customHeight="false" outlineLevel="0" collapsed="false">
      <c r="A8065" s="1" t="s">
        <v>964</v>
      </c>
      <c r="B8065" s="0" t="s">
        <v>95</v>
      </c>
      <c r="C8065" s="6" t="n">
        <f aca="false">(w_ntm28*Sens!G8052+(1-w_ntm28)*Sens!H8052)*m_sw*1</f>
        <v>98.8961217110556</v>
      </c>
    </row>
    <row r="8066" customFormat="false" ht="17.15" hidden="false" customHeight="false" outlineLevel="0" collapsed="false">
      <c r="A8066" s="1" t="s">
        <v>965</v>
      </c>
      <c r="B8066" s="0" t="s">
        <v>95</v>
      </c>
      <c r="C8066" s="6" t="n">
        <f aca="false">(w_ntm28*Sens!G8053+(1-w_ntm28)*Sens!H8053)*m_sw*1</f>
        <v>37.7307299600015</v>
      </c>
    </row>
    <row r="8067" customFormat="false" ht="17.15" hidden="false" customHeight="false" outlineLevel="0" collapsed="false">
      <c r="A8067" s="1" t="s">
        <v>966</v>
      </c>
      <c r="B8067" s="0" t="s">
        <v>95</v>
      </c>
      <c r="C8067" s="6" t="n">
        <f aca="false">(w_ntm28*Sens!G8054+(1-w_ntm28)*Sens!H8054)*m_ads*1</f>
        <v>106.163495063016</v>
      </c>
    </row>
    <row r="8068" customFormat="false" ht="17.15" hidden="false" customHeight="false" outlineLevel="0" collapsed="false">
      <c r="A8068" s="1" t="s">
        <v>967</v>
      </c>
      <c r="B8068" s="0" t="s">
        <v>95</v>
      </c>
      <c r="C8068" s="6" t="n">
        <f aca="false">(w_ntm28*Sens!G8059+(1-w_ntm28)*Sens!H8059)*m_game*1</f>
        <v>88.3402362921581</v>
      </c>
    </row>
    <row r="8069" customFormat="false" ht="17.15" hidden="false" customHeight="false" outlineLevel="0" collapsed="false">
      <c r="A8069" s="1" t="s">
        <v>968</v>
      </c>
      <c r="B8069" s="0" t="s">
        <v>95</v>
      </c>
      <c r="C8069" s="6" t="n">
        <f aca="false">(w_ntm28*Sens!G8060+(1-w_ntm28)*Sens!H8060)*m_pc*1</f>
        <v>87.5817639843625</v>
      </c>
    </row>
    <row r="8070" customFormat="false" ht="17.15" hidden="false" customHeight="false" outlineLevel="0" collapsed="false">
      <c r="A8070" s="1" t="s">
        <v>969</v>
      </c>
      <c r="B8070" s="0" t="s">
        <v>95</v>
      </c>
      <c r="C8070" s="6" t="n">
        <f aca="false">Sens!$C$8061+Sens!$C$8062+Sens!$C$8063+Sens!$C$8064+Sens!$C$8065+Sens!$C$8066+Sens!$C$8067+Sens!$C$8068+Sens!$C$8069</f>
        <v>3185.86027650616</v>
      </c>
    </row>
    <row r="8071" customFormat="false" ht="17.15" hidden="false" customHeight="false" outlineLevel="0" collapsed="false">
      <c r="A8071" s="1" t="s">
        <v>903</v>
      </c>
      <c r="B8071" s="0" t="s">
        <v>95</v>
      </c>
      <c r="C8071" s="6" t="n">
        <f aca="false">Sens!F8028+oai_v-Sens!F8017</f>
        <v>115.114478231845</v>
      </c>
      <c r="L8071" s="1" t="s">
        <v>970</v>
      </c>
    </row>
    <row r="8072" customFormat="false" ht="15" hidden="false" customHeight="false" outlineLevel="0" collapsed="false">
      <c r="A8072" s="1" t="s">
        <v>904</v>
      </c>
      <c r="B8072" s="0" t="s">
        <v>73</v>
      </c>
      <c r="C8072" s="5" t="n">
        <f aca="false">(Sens!$C$8070+Sens!$C$8071)/Sens!F8030</f>
        <v>441.779276597699</v>
      </c>
    </row>
    <row r="8073" customFormat="false" ht="17.15" hidden="false" customHeight="false" outlineLevel="0" collapsed="false">
      <c r="A8073" s="1" t="s">
        <v>971</v>
      </c>
      <c r="B8073" s="0" t="s">
        <v>73</v>
      </c>
      <c r="C8073" s="5" t="n">
        <f aca="false">w_dcf*Sens!$C$8048+(1-w_dcf)*Sens!$C$8072</f>
        <v>364.564565001579</v>
      </c>
    </row>
    <row r="8074" customFormat="false" ht="17.15" hidden="false" customHeight="false" outlineLevel="0" collapsed="false">
      <c r="A8074" s="3" t="s">
        <v>1344</v>
      </c>
    </row>
    <row r="8075" customFormat="false" ht="15" hidden="false" customHeight="false" outlineLevel="0" collapsed="false">
      <c r="A8075" s="4" t="s">
        <v>43</v>
      </c>
      <c r="B8075" s="4" t="s">
        <v>63</v>
      </c>
      <c r="C8075" s="19" t="s">
        <v>710</v>
      </c>
      <c r="D8075" s="19" t="s">
        <v>711</v>
      </c>
      <c r="E8075" s="19" t="s">
        <v>712</v>
      </c>
      <c r="F8075" s="19" t="s">
        <v>713</v>
      </c>
      <c r="G8075" s="19" t="s">
        <v>714</v>
      </c>
      <c r="H8075" s="19" t="s">
        <v>715</v>
      </c>
      <c r="I8075" s="19" t="s">
        <v>716</v>
      </c>
      <c r="J8075" s="19" t="s">
        <v>717</v>
      </c>
      <c r="K8075" s="19" t="s">
        <v>718</v>
      </c>
      <c r="L8075" s="4" t="s">
        <v>47</v>
      </c>
    </row>
    <row r="8076" customFormat="false" ht="17.15" hidden="false" customHeight="false" outlineLevel="0" collapsed="false">
      <c r="A8076" s="1" t="s">
        <v>719</v>
      </c>
      <c r="B8076" s="0" t="s">
        <v>340</v>
      </c>
      <c r="C8076" s="27" t="n">
        <f aca="false">mw_ext_24</f>
        <v>640</v>
      </c>
      <c r="D8076" s="27" t="n">
        <f aca="false">mw_ext_25</f>
        <v>1630</v>
      </c>
      <c r="E8076" s="27" t="n">
        <f aca="false">mw_ext_26</f>
        <v>3250</v>
      </c>
      <c r="F8076" s="27" t="n">
        <f aca="false">MIN(1000000000,Sens!E8076+pace)</f>
        <v>5777.2</v>
      </c>
      <c r="G8076" s="27" t="n">
        <f aca="false">MIN(1000000000,Sens!F8076+pace)</f>
        <v>8304.4</v>
      </c>
      <c r="H8076" s="27" t="n">
        <f aca="false">MIN(1000000000,Sens!G8076+pace)</f>
        <v>10831.6</v>
      </c>
      <c r="I8076" s="27" t="n">
        <f aca="false">MIN(1000000000,Sens!H8076+pace)</f>
        <v>13358.8</v>
      </c>
      <c r="J8076" s="27" t="n">
        <f aca="false">MIN(1000000000,Sens!I8076+pace)</f>
        <v>15886</v>
      </c>
      <c r="K8076" s="27" t="n">
        <f aca="false">MIN(1000000000,Sens!J8076+pace)</f>
        <v>18413.2</v>
      </c>
      <c r="L8076" s="11" t="s">
        <v>720</v>
      </c>
    </row>
    <row r="8077" customFormat="false" ht="17.15" hidden="false" customHeight="false" outlineLevel="0" collapsed="false">
      <c r="A8077" s="1" t="s">
        <v>721</v>
      </c>
      <c r="B8077" s="0" t="s">
        <v>340</v>
      </c>
      <c r="C8077" s="27" t="n">
        <f aca="false">rent_ext_24</f>
        <v>150</v>
      </c>
      <c r="D8077" s="27" t="n">
        <f aca="false">rent_ext_25</f>
        <v>400</v>
      </c>
      <c r="E8077" s="27" t="n">
        <f aca="false">rent_ext_26</f>
        <v>550</v>
      </c>
      <c r="F8077" s="27" t="n">
        <f aca="false">rent_ext_f</f>
        <v>756</v>
      </c>
      <c r="G8077" s="27" t="n">
        <f aca="false">rent_ext_f</f>
        <v>756</v>
      </c>
      <c r="H8077" s="27" t="n">
        <f aca="false">rent_ext_f</f>
        <v>756</v>
      </c>
      <c r="I8077" s="27" t="n">
        <f aca="false">rent_ext_f</f>
        <v>756</v>
      </c>
      <c r="J8077" s="27" t="n">
        <f aca="false">rent_ext_f</f>
        <v>756</v>
      </c>
      <c r="K8077" s="27" t="n">
        <f aca="false">rent_ext_f</f>
        <v>756</v>
      </c>
      <c r="L8077" s="1" t="s">
        <v>722</v>
      </c>
    </row>
    <row r="8078" customFormat="false" ht="17.15" hidden="false" customHeight="false" outlineLevel="0" collapsed="false">
      <c r="A8078" s="1" t="s">
        <v>723</v>
      </c>
      <c r="B8078" s="0" t="s">
        <v>340</v>
      </c>
      <c r="C8078" s="27" t="n">
        <f aca="false">Sens!C8076-Sens!C8077</f>
        <v>490</v>
      </c>
      <c r="D8078" s="27" t="n">
        <f aca="false">Sens!D8076-Sens!D8077</f>
        <v>1230</v>
      </c>
      <c r="E8078" s="27" t="n">
        <f aca="false">Sens!E8076-Sens!E8077</f>
        <v>2700</v>
      </c>
      <c r="F8078" s="27" t="n">
        <f aca="false">Sens!F8076-Sens!F8077</f>
        <v>5021.2</v>
      </c>
      <c r="G8078" s="27" t="n">
        <f aca="false">Sens!G8076-Sens!G8077</f>
        <v>7548.4</v>
      </c>
      <c r="H8078" s="27" t="n">
        <f aca="false">Sens!H8076-Sens!H8077</f>
        <v>10075.6</v>
      </c>
      <c r="I8078" s="27" t="n">
        <f aca="false">Sens!I8076-Sens!I8077</f>
        <v>12602.8</v>
      </c>
      <c r="J8078" s="27" t="n">
        <f aca="false">Sens!J8076-Sens!J8077</f>
        <v>15130</v>
      </c>
      <c r="K8078" s="27" t="n">
        <f aca="false">Sens!K8076-Sens!K8077</f>
        <v>17657.2</v>
      </c>
    </row>
    <row r="8079" customFormat="false" ht="17.15" hidden="false" customHeight="false" outlineLevel="0" collapsed="false">
      <c r="A8079" s="1" t="s">
        <v>724</v>
      </c>
      <c r="B8079" s="0" t="s">
        <v>340</v>
      </c>
      <c r="C8079" s="27" t="n">
        <f aca="false">Sens!C8078/ext_sh</f>
        <v>816.666666666667</v>
      </c>
      <c r="D8079" s="27" t="n">
        <f aca="false">Sens!D8078/ext_sh</f>
        <v>2050</v>
      </c>
      <c r="E8079" s="27" t="n">
        <f aca="false">Sens!E8078/ext_sh</f>
        <v>4500</v>
      </c>
      <c r="F8079" s="27" t="n">
        <f aca="false">Sens!F8078/ext_sh</f>
        <v>8368.66666666667</v>
      </c>
      <c r="G8079" s="27" t="n">
        <f aca="false">Sens!G8078/ext_sh</f>
        <v>12580.6666666667</v>
      </c>
      <c r="H8079" s="27" t="n">
        <f aca="false">Sens!H8078/ext_sh</f>
        <v>16792.6666666667</v>
      </c>
      <c r="I8079" s="27" t="n">
        <f aca="false">Sens!I8078/ext_sh</f>
        <v>21004.6666666667</v>
      </c>
      <c r="J8079" s="27" t="n">
        <f aca="false">Sens!J8078/ext_sh</f>
        <v>25216.6666666667</v>
      </c>
      <c r="K8079" s="27" t="n">
        <f aca="false">Sens!K8078/ext_sh</f>
        <v>29428.6666666667</v>
      </c>
      <c r="L8079" s="1" t="s">
        <v>725</v>
      </c>
    </row>
    <row r="8080" customFormat="false" ht="17.15" hidden="false" customHeight="false" outlineLevel="0" collapsed="false">
      <c r="A8080" s="1" t="s">
        <v>726</v>
      </c>
      <c r="B8080" s="0" t="s">
        <v>340</v>
      </c>
      <c r="C8080" s="27" t="n">
        <f aca="false">Sens!C8079-Sens!C8078</f>
        <v>326.666666666667</v>
      </c>
      <c r="D8080" s="27" t="n">
        <f aca="false">Sens!D8079-Sens!D8078</f>
        <v>820</v>
      </c>
      <c r="E8080" s="27" t="n">
        <f aca="false">Sens!E8079-Sens!E8078</f>
        <v>1800</v>
      </c>
      <c r="F8080" s="27" t="n">
        <f aca="false">Sens!F8079-Sens!F8078</f>
        <v>3347.46666666667</v>
      </c>
      <c r="G8080" s="27" t="n">
        <f aca="false">Sens!G8079-Sens!G8078</f>
        <v>5032.26666666667</v>
      </c>
      <c r="H8080" s="27" t="n">
        <f aca="false">Sens!H8079-Sens!H8078</f>
        <v>6717.06666666667</v>
      </c>
      <c r="I8080" s="27" t="n">
        <f aca="false">Sens!I8079-Sens!I8078</f>
        <v>8401.86666666667</v>
      </c>
      <c r="J8080" s="27" t="n">
        <f aca="false">Sens!J8079-Sens!J8078</f>
        <v>10086.6666666667</v>
      </c>
      <c r="K8080" s="27" t="n">
        <f aca="false">Sens!K8079-Sens!K8078</f>
        <v>11771.4666666667</v>
      </c>
    </row>
    <row r="8081" customFormat="false" ht="17.15" hidden="false" customHeight="false" outlineLevel="0" collapsed="false">
      <c r="A8081" s="1" t="s">
        <v>727</v>
      </c>
      <c r="B8081" s="0" t="s">
        <v>340</v>
      </c>
      <c r="C8081" s="27" t="n">
        <f aca="false">Sens!C8079</f>
        <v>816.666666666667</v>
      </c>
      <c r="D8081" s="27" t="n">
        <f aca="false">Sens!D8079-Sens!C8079</f>
        <v>1233.33333333333</v>
      </c>
      <c r="E8081" s="27" t="n">
        <f aca="false">Sens!E8079-Sens!D8079</f>
        <v>2450</v>
      </c>
      <c r="F8081" s="27" t="n">
        <f aca="false">Sens!F8079-Sens!E8079</f>
        <v>3868.66666666667</v>
      </c>
      <c r="G8081" s="27" t="n">
        <f aca="false">Sens!G8079-Sens!F8079</f>
        <v>4212</v>
      </c>
      <c r="H8081" s="27" t="n">
        <f aca="false">Sens!H8079-Sens!G8079</f>
        <v>4212</v>
      </c>
      <c r="I8081" s="27" t="n">
        <f aca="false">Sens!I8079-Sens!H8079</f>
        <v>4212</v>
      </c>
      <c r="J8081" s="27" t="n">
        <f aca="false">Sens!J8079-Sens!I8079</f>
        <v>4212</v>
      </c>
      <c r="K8081" s="27" t="n">
        <f aca="false">Sens!K8079-Sens!J8079</f>
        <v>4212</v>
      </c>
    </row>
    <row r="8082" customFormat="false" ht="17.15" hidden="false" customHeight="false" outlineLevel="0" collapsed="false">
      <c r="A8082" s="1" t="s">
        <v>728</v>
      </c>
      <c r="B8082" s="0" t="s">
        <v>340</v>
      </c>
      <c r="D8082" s="27" t="n">
        <f aca="false">Sens!D8076-Sens!C8076</f>
        <v>990</v>
      </c>
      <c r="E8082" s="27" t="n">
        <f aca="false">Sens!E8076-Sens!D8076</f>
        <v>1620</v>
      </c>
      <c r="F8082" s="27" t="n">
        <f aca="false">Sens!F8076-Sens!E8076</f>
        <v>2527.2</v>
      </c>
      <c r="G8082" s="27" t="n">
        <f aca="false">Sens!G8076-Sens!F8076</f>
        <v>2527.2</v>
      </c>
      <c r="H8082" s="27" t="n">
        <f aca="false">Sens!H8076-Sens!G8076</f>
        <v>2527.2</v>
      </c>
      <c r="I8082" s="27" t="n">
        <f aca="false">Sens!I8076-Sens!H8076</f>
        <v>2527.2</v>
      </c>
      <c r="J8082" s="27" t="n">
        <f aca="false">Sens!J8076-Sens!I8076</f>
        <v>2527.2</v>
      </c>
      <c r="K8082" s="27" t="n">
        <f aca="false">Sens!K8076-Sens!J8076</f>
        <v>2527.2</v>
      </c>
    </row>
    <row r="8083" customFormat="false" ht="17.15" hidden="false" customHeight="false" outlineLevel="0" collapsed="false">
      <c r="A8083" s="1" t="s">
        <v>729</v>
      </c>
      <c r="B8083" s="0" t="s">
        <v>340</v>
      </c>
      <c r="C8083" s="27" t="n">
        <f aca="false">mix_h*Sens!C8076</f>
        <v>128</v>
      </c>
      <c r="D8083" s="27" t="n">
        <f aca="false">mix_h*Sens!D8076</f>
        <v>326</v>
      </c>
      <c r="E8083" s="27" t="n">
        <f aca="false">mix_h*Sens!E8076</f>
        <v>650</v>
      </c>
      <c r="F8083" s="27" t="n">
        <f aca="false">Sens!E8083</f>
        <v>650</v>
      </c>
      <c r="G8083" s="27" t="n">
        <f aca="false">Sens!F8083</f>
        <v>650</v>
      </c>
      <c r="H8083" s="27" t="n">
        <f aca="false">Sens!G8083</f>
        <v>650</v>
      </c>
      <c r="I8083" s="27" t="n">
        <f aca="false">Sens!H8083</f>
        <v>650</v>
      </c>
      <c r="J8083" s="27" t="n">
        <f aca="false">Sens!I8083</f>
        <v>650</v>
      </c>
      <c r="K8083" s="27" t="n">
        <f aca="false">Sens!J8083</f>
        <v>650</v>
      </c>
    </row>
    <row r="8084" customFormat="false" ht="17.15" hidden="false" customHeight="false" outlineLevel="0" collapsed="false">
      <c r="A8084" s="1" t="s">
        <v>730</v>
      </c>
      <c r="B8084" s="0" t="s">
        <v>340</v>
      </c>
      <c r="C8084" s="27" t="n">
        <f aca="false">mix_g2*Sens!C8076</f>
        <v>288</v>
      </c>
      <c r="D8084" s="27" t="n">
        <f aca="false">mix_g2*Sens!D8076</f>
        <v>733.5</v>
      </c>
      <c r="E8084" s="27" t="n">
        <f aca="false">mix_g2*Sens!E8076</f>
        <v>1462.5</v>
      </c>
      <c r="F8084" s="27" t="n">
        <f aca="false">Sens!E8084</f>
        <v>1462.5</v>
      </c>
      <c r="G8084" s="27" t="n">
        <f aca="false">Sens!F8084</f>
        <v>1462.5</v>
      </c>
      <c r="H8084" s="27" t="n">
        <f aca="false">Sens!G8084</f>
        <v>1462.5</v>
      </c>
      <c r="I8084" s="27" t="n">
        <f aca="false">Sens!H8084</f>
        <v>1462.5</v>
      </c>
      <c r="J8084" s="27" t="n">
        <f aca="false">Sens!I8084</f>
        <v>1462.5</v>
      </c>
      <c r="K8084" s="27" t="n">
        <f aca="false">Sens!J8084</f>
        <v>1462.5</v>
      </c>
    </row>
    <row r="8085" customFormat="false" ht="17.15" hidden="false" customHeight="false" outlineLevel="0" collapsed="false">
      <c r="A8085" s="1" t="s">
        <v>731</v>
      </c>
      <c r="B8085" s="0" t="s">
        <v>340</v>
      </c>
      <c r="C8085" s="27" t="n">
        <f aca="false">mix_g3*Sens!C8076</f>
        <v>224</v>
      </c>
      <c r="D8085" s="27" t="n">
        <f aca="false">mix_g3*Sens!D8076</f>
        <v>570.5</v>
      </c>
      <c r="E8085" s="27" t="n">
        <f aca="false">mix_g3*Sens!E8076</f>
        <v>1137.5</v>
      </c>
      <c r="F8085" s="27" t="n">
        <f aca="false">Sens!E8085+Sens!F8082*a_g3_27</f>
        <v>2906.54</v>
      </c>
      <c r="G8085" s="27" t="n">
        <f aca="false">Sens!F8085+Sens!G8082*a_g3_28</f>
        <v>3664.7</v>
      </c>
      <c r="H8085" s="27" t="n">
        <f aca="false">Sens!G8085+Sens!H8082*a_g3_29</f>
        <v>3917.42</v>
      </c>
      <c r="I8085" s="27" t="n">
        <f aca="false">Sens!H8085+Sens!I8082*a_g3_29</f>
        <v>4170.14</v>
      </c>
      <c r="J8085" s="27" t="n">
        <f aca="false">Sens!I8085+Sens!J8082*a_g3_29</f>
        <v>4422.86</v>
      </c>
      <c r="K8085" s="27" t="n">
        <f aca="false">Sens!J8085+Sens!K8082*a_g3_29</f>
        <v>4675.58</v>
      </c>
    </row>
    <row r="8086" customFormat="false" ht="17.15" hidden="false" customHeight="false" outlineLevel="0" collapsed="false">
      <c r="A8086" s="1" t="s">
        <v>732</v>
      </c>
      <c r="B8086" s="0" t="s">
        <v>340</v>
      </c>
      <c r="C8086" s="27" t="n">
        <f aca="false">0</f>
        <v>0</v>
      </c>
      <c r="D8086" s="27" t="n">
        <f aca="false">0</f>
        <v>0</v>
      </c>
      <c r="E8086" s="27" t="n">
        <f aca="false">0</f>
        <v>0</v>
      </c>
      <c r="F8086" s="27" t="n">
        <f aca="false">Sens!E8086+Sens!F8082*(1-a_g3_27)</f>
        <v>758.16</v>
      </c>
      <c r="G8086" s="27" t="n">
        <f aca="false">Sens!F8086+Sens!G8082*(1-a_g3_28)</f>
        <v>2527.2</v>
      </c>
      <c r="H8086" s="27" t="n">
        <f aca="false">Sens!G8086+Sens!H8082*(1-a_g3_29)</f>
        <v>4801.68</v>
      </c>
      <c r="I8086" s="27" t="n">
        <f aca="false">Sens!H8086+Sens!I8082*(1-a_g3_29)</f>
        <v>7076.16</v>
      </c>
      <c r="J8086" s="27" t="n">
        <f aca="false">Sens!I8086+Sens!J8082*(1-a_g3_29)</f>
        <v>9350.64</v>
      </c>
      <c r="K8086" s="27" t="n">
        <f aca="false">Sens!J8086+Sens!K8082*(1-a_g3_29)</f>
        <v>11625.12</v>
      </c>
    </row>
    <row r="8087" customFormat="false" ht="17.15" hidden="false" customHeight="false" outlineLevel="0" collapsed="false">
      <c r="A8087" s="1" t="s">
        <v>733</v>
      </c>
      <c r="B8087" s="0" t="s">
        <v>291</v>
      </c>
      <c r="C8087" s="18" t="n">
        <f aca="false">(Sens!C8083*tk_hold_h100+Sens!C8084*tk_hold_gb200+Sens!C8085*tk_hold_gb300+Sens!C8086*tk_hold_vr200)/Sens!C8076</f>
        <v>9.7235358126469</v>
      </c>
      <c r="D8087" s="18" t="n">
        <f aca="false">(Sens!D8083*tk_hold_h100+Sens!D8084*tk_hold_gb200+Sens!D8085*tk_hold_gb300+Sens!D8086*tk_hold_vr200)/Sens!D8076</f>
        <v>9.7235358126469</v>
      </c>
      <c r="E8087" s="18" t="n">
        <f aca="false">(Sens!E8083*tk_hold_h100+Sens!E8084*tk_hold_gb200+Sens!E8085*tk_hold_gb300+Sens!E8086*tk_hold_vr200)/Sens!E8076</f>
        <v>9.7235358126469</v>
      </c>
      <c r="F8087" s="18" t="n">
        <f aca="false">(Sens!F8083*tk_hold_h100+Sens!F8084*tk_hold_gb200+Sens!F8085*tk_hold_gb300+Sens!F8086*tk_hold_vr200)/Sens!F8076</f>
        <v>10.4079573161931</v>
      </c>
      <c r="G8087" s="18" t="n">
        <f aca="false">(Sens!G8083*tk_hold_h100+Sens!G8084*tk_hold_gb200+Sens!G8085*tk_hold_gb300+Sens!G8086*tk_hold_vr200)/Sens!G8076</f>
        <v>10.8388131109316</v>
      </c>
      <c r="H8087" s="18" t="n">
        <f aca="false">(Sens!H8083*tk_hold_h100+Sens!H8084*tk_hold_gb200+Sens!H8085*tk_hold_gb300+Sens!H8086*tk_hold_vr200)/Sens!H8076</f>
        <v>11.1311018388216</v>
      </c>
      <c r="I8087" s="18" t="n">
        <f aca="false">(Sens!I8083*tk_hold_h100+Sens!I8084*tk_hold_gb200+Sens!I8085*tk_hold_gb300+Sens!I8086*tk_hold_vr200)/Sens!I8076</f>
        <v>11.3128009818501</v>
      </c>
      <c r="J8087" s="18" t="n">
        <f aca="false">(Sens!J8083*tk_hold_h100+Sens!J8084*tk_hold_gb200+Sens!J8085*tk_hold_gb300+Sens!J8086*tk_hold_vr200)/Sens!J8076</f>
        <v>11.4366894646418</v>
      </c>
      <c r="K8087" s="18" t="n">
        <f aca="false">(Sens!K8083*tk_hold_h100+Sens!K8084*tk_hold_gb200+Sens!K8085*tk_hold_gb300+Sens!K8086*tk_hold_vr200)/Sens!K8076</f>
        <v>11.526570716348</v>
      </c>
    </row>
    <row r="8088" customFormat="false" ht="17.15" hidden="false" customHeight="false" outlineLevel="0" collapsed="false">
      <c r="A8088" s="0" t="s">
        <v>734</v>
      </c>
      <c r="B8088" s="0" t="s">
        <v>182</v>
      </c>
      <c r="C8088" s="18" t="n">
        <f aca="false">k_B</f>
        <v>1.17213932619116</v>
      </c>
      <c r="D8088" s="18" t="n">
        <f aca="false">k_B</f>
        <v>1.17213932619116</v>
      </c>
      <c r="E8088" s="18" t="n">
        <f aca="false">k_B</f>
        <v>1.17213932619116</v>
      </c>
      <c r="F8088" s="18" t="n">
        <f aca="false">(k_B+((ls_B*k_long+(1-ls_B)*k_spot)-k_B)*MIN(1,1/3))*1</f>
        <v>1.17213932619116</v>
      </c>
      <c r="G8088" s="18" t="n">
        <f aca="false">(k_B+((ls_B*k_long+(1-ls_B)*k_spot)-k_B)*MIN(1,2/3))*1</f>
        <v>1.17213932619116</v>
      </c>
      <c r="H8088" s="18" t="n">
        <f aca="false">(k_B+((ls_B*k_long+(1-ls_B)*k_spot)-k_B)*MIN(1,3/3))*1</f>
        <v>1.17213932619116</v>
      </c>
      <c r="I8088" s="18" t="n">
        <f aca="false">(k_B+((ls_B*k_long+(1-ls_B)*k_spot)-k_B)*MIN(1,4/3))*1</f>
        <v>1.17213932619116</v>
      </c>
      <c r="J8088" s="18" t="n">
        <f aca="false">(k_B+((ls_B*k_long+(1-ls_B)*k_spot)-k_B)*MIN(1,5/3))*1</f>
        <v>1.17213932619116</v>
      </c>
      <c r="K8088" s="18" t="n">
        <f aca="false">(k_B+((ls_B*k_long+(1-ls_B)*k_spot)-k_B)*MIN(1,6/3))*1</f>
        <v>1.17213932619116</v>
      </c>
      <c r="L8088" s="1" t="s">
        <v>735</v>
      </c>
    </row>
    <row r="8089" customFormat="false" ht="17.15" hidden="false" customHeight="false" outlineLevel="0" collapsed="false">
      <c r="A8089" s="1" t="s">
        <v>736</v>
      </c>
      <c r="B8089" s="0" t="s">
        <v>291</v>
      </c>
      <c r="C8089" s="18" t="n">
        <f aca="false">Sens!C8087*Sens!C8088*chip_f</f>
        <v>11.3973387156315</v>
      </c>
      <c r="D8089" s="18" t="n">
        <f aca="false">Sens!D8087*Sens!D8088*chip_f</f>
        <v>11.3973387156315</v>
      </c>
      <c r="E8089" s="18" t="n">
        <f aca="false">Sens!E8087*Sens!E8088*chip_f</f>
        <v>11.3973387156315</v>
      </c>
      <c r="F8089" s="18" t="n">
        <f aca="false">Sens!F8087*Sens!F8088*chip_f</f>
        <v>12.1995760756289</v>
      </c>
      <c r="G8089" s="18" t="n">
        <f aca="false">Sens!G8087*Sens!G8088*chip_f</f>
        <v>12.7045990965592</v>
      </c>
      <c r="H8089" s="18" t="n">
        <f aca="false">Sens!H8087*Sens!H8088*chip_f</f>
        <v>13.0472022091214</v>
      </c>
      <c r="I8089" s="18" t="n">
        <f aca="false">Sens!I8087*Sens!I8088*chip_f</f>
        <v>13.2601789202004</v>
      </c>
      <c r="J8089" s="18" t="n">
        <f aca="false">Sens!J8087*Sens!J8088*chip_f</f>
        <v>13.4053934829427</v>
      </c>
      <c r="K8089" s="18" t="n">
        <f aca="false">Sens!K8087*Sens!K8088*chip_f</f>
        <v>13.5107468327548</v>
      </c>
      <c r="L8089" s="1" t="s">
        <v>737</v>
      </c>
    </row>
    <row r="8090" customFormat="false" ht="17.15" hidden="false" customHeight="false" outlineLevel="0" collapsed="false">
      <c r="A8090" s="0" t="s">
        <v>738</v>
      </c>
      <c r="B8090" s="0" t="s">
        <v>95</v>
      </c>
      <c r="D8090" s="6" t="n">
        <f aca="false">(Sens!C8076+Sens!D8076)/2*Sens!D8089/1000</f>
        <v>12.9359794422418</v>
      </c>
      <c r="E8090" s="6" t="n">
        <f aca="false">(Sens!D8076+Sens!E8076)/2*Sens!E8089/1000</f>
        <v>27.8095064661409</v>
      </c>
      <c r="F8090" s="6" t="n">
        <f aca="false">(Sens!E8076+Sens!F8076)/2*Sens!F8089/1000</f>
        <v>55.0640065749585</v>
      </c>
      <c r="G8090" s="6" t="n">
        <f aca="false">(Sens!F8076+Sens!G8076)/2*Sens!G8089/1000</f>
        <v>89.4505413190538</v>
      </c>
      <c r="H8090" s="6" t="n">
        <f aca="false">(Sens!G8076+Sens!H8076)/2*Sens!H8089/1000</f>
        <v>124.835630736874</v>
      </c>
      <c r="I8090" s="6" t="n">
        <f aca="false">(Sens!H8076+Sens!I8076)/2*Sens!I8089/1000</f>
        <v>160.384516075608</v>
      </c>
      <c r="J8090" s="6" t="n">
        <f aca="false">(Sens!I8076+Sens!J8076)/2*Sens!J8089/1000</f>
        <v>196.019025664981</v>
      </c>
      <c r="K8090" s="6" t="n">
        <f aca="false">(Sens!J8076+Sens!K8076)/2*Sens!K8089/1000</f>
        <v>231.703903883012</v>
      </c>
      <c r="L8090" s="11" t="s">
        <v>739</v>
      </c>
    </row>
    <row r="8091" customFormat="false" ht="17.15" hidden="false" customHeight="false" outlineLevel="0" collapsed="false">
      <c r="A8091" s="1" t="s">
        <v>740</v>
      </c>
      <c r="B8091" s="0" t="s">
        <v>291</v>
      </c>
      <c r="C8091" s="18" t="n">
        <f aca="false">(Sens!C8083*tk_opex_h100+Sens!C8084*tk_opex_gb200+Sens!C8085*tk_opex_gb300+Sens!C8086*tk_opex_vr200)/Sens!C8076</f>
        <v>1.88636041306092</v>
      </c>
      <c r="D8091" s="18" t="n">
        <f aca="false">(Sens!D8083*tk_opex_h100+Sens!D8084*tk_opex_gb200+Sens!D8085*tk_opex_gb300+Sens!D8086*tk_opex_vr200)/Sens!D8076</f>
        <v>1.88636041306092</v>
      </c>
      <c r="E8091" s="18" t="n">
        <f aca="false">(Sens!E8083*tk_opex_h100+Sens!E8084*tk_opex_gb200+Sens!E8085*tk_opex_gb300+Sens!E8086*tk_opex_vr200)/Sens!E8076</f>
        <v>1.88636041306092</v>
      </c>
      <c r="F8091" s="18" t="n">
        <f aca="false">(Sens!F8083*tk_opex_h100+Sens!F8084*tk_opex_gb200+Sens!F8085*tk_opex_gb300+Sens!F8086*tk_opex_vr200)/Sens!F8076</f>
        <v>1.9430236476499</v>
      </c>
      <c r="G8091" s="18" t="n">
        <f aca="false">(Sens!G8083*tk_opex_h100+Sens!G8084*tk_opex_gb200+Sens!G8085*tk_opex_gb300+Sens!G8086*tk_opex_vr200)/Sens!G8076</f>
        <v>1.9786941852423</v>
      </c>
      <c r="H8091" s="18" t="n">
        <f aca="false">(Sens!H8083*tk_opex_h100+Sens!H8084*tk_opex_gb200+Sens!H8085*tk_opex_gb300+Sens!H8086*tk_opex_vr200)/Sens!H8076</f>
        <v>2.00289275976156</v>
      </c>
      <c r="I8091" s="18" t="n">
        <f aca="false">(Sens!I8083*tk_opex_h100+Sens!I8084*tk_opex_gb200+Sens!I8085*tk_opex_gb300+Sens!I8086*tk_opex_vr200)/Sens!I8076</f>
        <v>2.01793562605478</v>
      </c>
      <c r="J8091" s="18" t="n">
        <f aca="false">(Sens!J8083*tk_opex_h100+Sens!J8084*tk_opex_gb200+Sens!J8085*tk_opex_gb300+Sens!J8086*tk_opex_vr200)/Sens!J8076</f>
        <v>2.02819234961902</v>
      </c>
      <c r="K8091" s="18" t="n">
        <f aca="false">(Sens!K8083*tk_opex_h100+Sens!K8084*tk_opex_gb200+Sens!K8085*tk_opex_gb300+Sens!K8086*tk_opex_vr200)/Sens!K8076</f>
        <v>2.0356336155994</v>
      </c>
    </row>
    <row r="8092" customFormat="false" ht="17.15" hidden="false" customHeight="false" outlineLevel="0" collapsed="false">
      <c r="A8092" s="0" t="s">
        <v>741</v>
      </c>
      <c r="B8092" s="0" t="s">
        <v>95</v>
      </c>
      <c r="D8092" s="6" t="n">
        <f aca="false">(Sens!C8079+Sens!D8079)/2*Sens!D8091/1000</f>
        <v>2.70378325872065</v>
      </c>
      <c r="E8092" s="6" t="n">
        <f aca="false">(Sens!D8079+Sens!E8079)/2*Sens!E8091/1000</f>
        <v>6.17783035277451</v>
      </c>
      <c r="F8092" s="6" t="n">
        <f aca="false">(Sens!E8079+Sens!F8079)/2*Sens!F8091/1000</f>
        <v>12.5020618235287</v>
      </c>
      <c r="G8092" s="6" t="n">
        <f aca="false">(Sens!F8079+Sens!G8079)/2*Sens!G8091/1000</f>
        <v>20.7261620256847</v>
      </c>
      <c r="H8092" s="6" t="n">
        <f aca="false">(Sens!G8079+Sens!H8079)/2*Sens!H8091/1000</f>
        <v>29.4158183316982</v>
      </c>
      <c r="I8092" s="6" t="n">
        <f aca="false">(Sens!H8079+Sens!I8079)/2*Sens!I8091/1000</f>
        <v>38.1362927516005</v>
      </c>
      <c r="J8092" s="6" t="n">
        <f aca="false">(Sens!I8079+Sens!J8079)/2*Sens!J8091/1000</f>
        <v>46.8728773279286</v>
      </c>
      <c r="K8092" s="6" t="n">
        <f aca="false">(Sens!J8079+Sens!K8079)/2*Sens!K8091/1000</f>
        <v>55.618938734484</v>
      </c>
    </row>
    <row r="8093" customFormat="false" ht="17.15" hidden="false" customHeight="false" outlineLevel="0" collapsed="false">
      <c r="A8093" s="0" t="s">
        <v>742</v>
      </c>
      <c r="B8093" s="0" t="s">
        <v>95</v>
      </c>
      <c r="D8093" s="6" t="n">
        <f aca="false">(Sens!C8077+Sens!D8077)/2*rent_mw/1000</f>
        <v>2.44475</v>
      </c>
      <c r="E8093" s="6" t="n">
        <f aca="false">(Sens!D8077+Sens!E8077)/2*rent_mw/1000</f>
        <v>4.22275</v>
      </c>
      <c r="F8093" s="6" t="n">
        <f aca="false">(Sens!E8077+Sens!F8077)/2*rent_mw/1000</f>
        <v>5.80517</v>
      </c>
      <c r="G8093" s="6" t="n">
        <f aca="false">(Sens!F8077+Sens!G8077)/2*rent_mw/1000</f>
        <v>6.72084</v>
      </c>
      <c r="H8093" s="6" t="n">
        <f aca="false">(Sens!G8077+Sens!H8077)/2*rent_mw/1000</f>
        <v>6.72084</v>
      </c>
      <c r="I8093" s="6" t="n">
        <f aca="false">(Sens!H8077+Sens!I8077)/2*rent_mw/1000</f>
        <v>6.72084</v>
      </c>
      <c r="J8093" s="6" t="n">
        <f aca="false">(Sens!I8077+Sens!J8077)/2*rent_mw/1000</f>
        <v>6.72084</v>
      </c>
      <c r="K8093" s="6" t="n">
        <f aca="false">(Sens!J8077+Sens!K8077)/2*rent_mw/1000</f>
        <v>6.72084</v>
      </c>
    </row>
    <row r="8094" customFormat="false" ht="17.15" hidden="false" customHeight="false" outlineLevel="0" collapsed="false">
      <c r="A8094" s="0" t="s">
        <v>743</v>
      </c>
      <c r="B8094" s="0" t="s">
        <v>95</v>
      </c>
      <c r="D8094" s="6" t="n">
        <f aca="false">(Sens!C8079+Sens!D8079)/2*(1-self_build)*fac_rent/1000</f>
        <v>0.853242375631075</v>
      </c>
      <c r="E8094" s="6" t="n">
        <f aca="false">(Sens!D8079+Sens!E8079)/2*(1-self_build)*fac_rent/1000</f>
        <v>1.94955961408728</v>
      </c>
      <c r="F8094" s="6" t="n">
        <f aca="false">(Sens!E8079+Sens!F8079)/2*(1-self_build)*fac_rent/1000</f>
        <v>3.83026455274573</v>
      </c>
      <c r="G8094" s="6" t="n">
        <f aca="false">(Sens!F8079+Sens!G8079)/2*(1-self_build)*fac_rent/1000</f>
        <v>6.23541590972812</v>
      </c>
      <c r="H8094" s="6" t="n">
        <f aca="false">(Sens!G8079+Sens!H8079)/2*(1-self_build)*fac_rent/1000</f>
        <v>8.74275792332679</v>
      </c>
      <c r="I8094" s="6" t="n">
        <f aca="false">(Sens!H8079+Sens!I8079)/2*(1-self_build)*fac_rent/1000</f>
        <v>11.2500999369255</v>
      </c>
      <c r="J8094" s="6" t="n">
        <f aca="false">(Sens!I8079+Sens!J8079)/2*(1-self_build)*fac_rent/1000</f>
        <v>13.7574419505241</v>
      </c>
      <c r="K8094" s="6" t="n">
        <f aca="false">(Sens!J8079+Sens!K8079)/2*(1-self_build)*fac_rent/1000</f>
        <v>16.2647839641228</v>
      </c>
      <c r="L8094" s="11" t="s">
        <v>744</v>
      </c>
    </row>
    <row r="8095" customFormat="false" ht="17.15" hidden="false" customHeight="false" outlineLevel="0" collapsed="false">
      <c r="A8095" s="1" t="s">
        <v>745</v>
      </c>
      <c r="B8095" s="0" t="s">
        <v>126</v>
      </c>
      <c r="D8095" s="7" t="n">
        <f aca="false">(Sens!C8078+Sens!D8078)/(Sens!C8079+Sens!D8079)</f>
        <v>0.6</v>
      </c>
      <c r="E8095" s="7" t="n">
        <f aca="false">(Sens!D8078+Sens!E8078)/(Sens!D8079+Sens!E8079)</f>
        <v>0.6</v>
      </c>
      <c r="F8095" s="7" t="n">
        <f aca="false">(Sens!E8078+Sens!F8078)/(Sens!E8079+Sens!F8079)</f>
        <v>0.6</v>
      </c>
      <c r="G8095" s="7" t="n">
        <f aca="false">(Sens!F8078+Sens!G8078)/(Sens!F8079+Sens!G8079)</f>
        <v>0.6</v>
      </c>
      <c r="H8095" s="7" t="n">
        <f aca="false">(Sens!G8078+Sens!H8078)/(Sens!G8079+Sens!H8079)</f>
        <v>0.6</v>
      </c>
      <c r="I8095" s="7" t="n">
        <f aca="false">(Sens!H8078+Sens!I8078)/(Sens!H8079+Sens!I8079)</f>
        <v>0.6</v>
      </c>
      <c r="J8095" s="7" t="n">
        <f aca="false">(Sens!I8078+Sens!J8078)/(Sens!I8079+Sens!J8079)</f>
        <v>0.6</v>
      </c>
      <c r="K8095" s="7" t="n">
        <f aca="false">(Sens!J8078+Sens!K8078)/(Sens!J8079+Sens!K8079)</f>
        <v>0.6</v>
      </c>
    </row>
    <row r="8096" customFormat="false" ht="17.15" hidden="false" customHeight="false" outlineLevel="0" collapsed="false">
      <c r="A8096" s="0" t="s">
        <v>746</v>
      </c>
      <c r="B8096" s="0" t="s">
        <v>95</v>
      </c>
      <c r="D8096" s="6" t="n">
        <f aca="false">Sens!D8090-Sens!D8095*(Sens!D8092+Sens!D8094)-Sens!D8093</f>
        <v>8.35701406163072</v>
      </c>
      <c r="E8096" s="6" t="n">
        <f aca="false">Sens!E8090-Sens!E8095*(Sens!E8092+Sens!E8094)-Sens!E8093</f>
        <v>18.7103224860238</v>
      </c>
      <c r="F8096" s="6" t="n">
        <f aca="false">Sens!F8090-Sens!F8095*(Sens!F8092+Sens!F8094)-Sens!F8093</f>
        <v>39.4594407491938</v>
      </c>
      <c r="G8096" s="6" t="n">
        <f aca="false">Sens!G8090-Sens!G8095*(Sens!G8092+Sens!G8094)-Sens!G8093</f>
        <v>66.5527545578061</v>
      </c>
      <c r="H8096" s="6" t="n">
        <f aca="false">Sens!H8090-Sens!H8095*(Sens!H8092+Sens!H8094)-Sens!H8093</f>
        <v>95.219644983859</v>
      </c>
      <c r="I8096" s="6" t="n">
        <f aca="false">Sens!I8090-Sens!I8095*(Sens!I8092+Sens!I8094)-Sens!I8093</f>
        <v>124.031840462493</v>
      </c>
      <c r="J8096" s="6" t="n">
        <f aca="false">Sens!J8090-Sens!J8095*(Sens!J8092+Sens!J8094)-Sens!J8093</f>
        <v>152.919994097909</v>
      </c>
      <c r="K8096" s="6" t="n">
        <f aca="false">Sens!K8090-Sens!K8095*(Sens!K8092+Sens!K8094)-Sens!K8093</f>
        <v>181.852830263848</v>
      </c>
    </row>
    <row r="8097" customFormat="false" ht="17.15" hidden="false" customHeight="false" outlineLevel="0" collapsed="false">
      <c r="A8097" s="1" t="s">
        <v>747</v>
      </c>
      <c r="B8097" s="0" t="s">
        <v>95</v>
      </c>
      <c r="D8097" s="6" t="n">
        <f aca="false">(1-Sens!D8095)*(Sens!D8092+Sens!D8094)</f>
        <v>1.42281025374069</v>
      </c>
      <c r="E8097" s="6" t="n">
        <f aca="false">(1-Sens!E8095)*(Sens!E8092+Sens!E8094)</f>
        <v>3.25095598674472</v>
      </c>
      <c r="F8097" s="6" t="n">
        <f aca="false">(1-Sens!F8095)*(Sens!F8092+Sens!F8094)</f>
        <v>6.53293055050977</v>
      </c>
      <c r="G8097" s="6" t="n">
        <f aca="false">(1-Sens!G8095)*(Sens!G8092+Sens!G8094)</f>
        <v>10.7846311741651</v>
      </c>
      <c r="H8097" s="6" t="n">
        <f aca="false">(1-Sens!H8095)*(Sens!H8092+Sens!H8094)</f>
        <v>15.26343050201</v>
      </c>
      <c r="I8097" s="6" t="n">
        <f aca="false">(1-Sens!I8095)*(Sens!I8092+Sens!I8094)</f>
        <v>19.7545570754104</v>
      </c>
      <c r="J8097" s="6" t="n">
        <f aca="false">(1-Sens!J8095)*(Sens!J8092+Sens!J8094)</f>
        <v>24.2521277113811</v>
      </c>
      <c r="K8097" s="6" t="n">
        <f aca="false">(1-Sens!K8095)*(Sens!K8092+Sens!K8094)</f>
        <v>28.7534890794427</v>
      </c>
    </row>
    <row r="8098" customFormat="false" ht="17.15" hidden="false" customHeight="false" outlineLevel="0" collapsed="false">
      <c r="A8098" s="1" t="s">
        <v>748</v>
      </c>
      <c r="B8098" s="0" t="s">
        <v>302</v>
      </c>
      <c r="C8098" s="8" t="n">
        <f aca="false">cxit_open</f>
        <v>27.5918995</v>
      </c>
      <c r="D8098" s="8" t="n">
        <f aca="false">cxit_open</f>
        <v>27.5918995</v>
      </c>
      <c r="E8098" s="8" t="n">
        <f aca="false">cxit_open</f>
        <v>27.5918995</v>
      </c>
      <c r="F8098" s="8" t="n">
        <f aca="false">(a_g3_27*tk_cxit_gb300+(1-a_g3_27)*tk_cxit_vr200)</f>
        <v>33.8419624</v>
      </c>
      <c r="G8098" s="8" t="n">
        <f aca="false">(a_g3_28*tk_cxit_gb300+(1-a_g3_28)*tk_cxit_vr200)</f>
        <v>35.9816136</v>
      </c>
      <c r="H8098" s="8" t="n">
        <f aca="false">(a_g3_29*tk_cxit_gb300+(1-a_g3_29)*tk_cxit_vr200)</f>
        <v>37.0514392</v>
      </c>
      <c r="I8098" s="8" t="n">
        <f aca="false">(a_g3_29*tk_cxit_gb300+(1-a_g3_29)*tk_cxit_vr200)</f>
        <v>37.0514392</v>
      </c>
      <c r="J8098" s="8" t="n">
        <f aca="false">(a_g3_29*tk_cxit_gb300+(1-a_g3_29)*tk_cxit_vr200)</f>
        <v>37.0514392</v>
      </c>
      <c r="K8098" s="8" t="n">
        <f aca="false">(a_g3_29*tk_cxit_gb300+(1-a_g3_29)*tk_cxit_vr200)</f>
        <v>37.0514392</v>
      </c>
      <c r="L8098" s="11" t="s">
        <v>749</v>
      </c>
    </row>
    <row r="8099" customFormat="false" ht="17.15" hidden="false" customHeight="false" outlineLevel="0" collapsed="false">
      <c r="A8099" s="0" t="s">
        <v>750</v>
      </c>
      <c r="B8099" s="0" t="s">
        <v>340</v>
      </c>
      <c r="F8099" s="27" t="n">
        <f aca="false">Sens!C8081*IF(3=life_it,1,0)+Sens!D8081*IF(2=life_it,1,0)+Sens!E8081*IF(1=life_it,1,0)</f>
        <v>0</v>
      </c>
      <c r="G8099" s="27" t="n">
        <f aca="false">Sens!C8081*IF(4=life_it,1,0)+Sens!D8081*IF(3=life_it,1,0)+Sens!E8081*IF(2=life_it,1,0)+Sens!F8081*IF(1=life_it,1,0)</f>
        <v>0</v>
      </c>
      <c r="H8099" s="27" t="n">
        <f aca="false">Sens!C8081*IF(5=life_it,1,0)+Sens!D8081*IF(4=life_it,1,0)+Sens!E8081*IF(3=life_it,1,0)+Sens!F8081*IF(2=life_it,1,0)+Sens!G8081*IF(1=life_it,1,0)</f>
        <v>0</v>
      </c>
      <c r="I8099" s="27" t="n">
        <f aca="false">Sens!C8081*IF(6=life_it,1,0)+Sens!D8081*IF(5=life_it,1,0)+Sens!E8081*IF(4=life_it,1,0)+Sens!F8081*IF(3=life_it,1,0)+Sens!G8081*IF(2=life_it,1,0)+Sens!H8081*IF(1=life_it,1,0)</f>
        <v>816.666666666667</v>
      </c>
      <c r="J8099" s="27" t="n">
        <f aca="false">Sens!C8081*IF(7=life_it,1,0)+Sens!D8081*IF(6=life_it,1,0)+Sens!E8081*IF(5=life_it,1,0)+Sens!F8081*IF(4=life_it,1,0)+Sens!G8081*IF(3=life_it,1,0)+Sens!H8081*IF(2=life_it,1,0)+Sens!I8081*IF(1=life_it,1,0)</f>
        <v>1233.33333333333</v>
      </c>
      <c r="K8099" s="27" t="n">
        <f aca="false">Sens!C8081*IF(8=life_it,1,0)+Sens!D8081*IF(7=life_it,1,0)+Sens!E8081*IF(6=life_it,1,0)+Sens!F8081*IF(5=life_it,1,0)+Sens!G8081*IF(4=life_it,1,0)+Sens!H8081*IF(3=life_it,1,0)+Sens!I8081*IF(2=life_it,1,0)+Sens!J8081*IF(1=life_it,1,0)</f>
        <v>2450</v>
      </c>
      <c r="L8099" s="1" t="s">
        <v>751</v>
      </c>
    </row>
    <row r="8100" customFormat="false" ht="17.15" hidden="false" customHeight="false" outlineLevel="0" collapsed="false">
      <c r="A8100" s="0" t="s">
        <v>752</v>
      </c>
      <c r="B8100" s="0" t="s">
        <v>95</v>
      </c>
      <c r="C8100" s="6" t="n">
        <f aca="false">Sens!C8081*Sens!C8098/1000</f>
        <v>22.5333845916667</v>
      </c>
      <c r="D8100" s="6" t="n">
        <f aca="false">Sens!D8081*Sens!D8098/1000</f>
        <v>34.0300093833333</v>
      </c>
      <c r="E8100" s="6" t="n">
        <f aca="false">Sens!E8081*Sens!E8098/1000</f>
        <v>67.600153775</v>
      </c>
      <c r="F8100" s="6" t="n">
        <f aca="false">(Sens!F8081+Sens!F8099)*Sens!F8098/1000</f>
        <v>130.923271871467</v>
      </c>
      <c r="G8100" s="6" t="n">
        <f aca="false">(Sens!G8081+Sens!G8099)*Sens!G8098/1000</f>
        <v>151.5545564832</v>
      </c>
      <c r="H8100" s="6" t="n">
        <f aca="false">(Sens!H8081+Sens!H8099)*Sens!H8098/1000</f>
        <v>156.0606619104</v>
      </c>
      <c r="I8100" s="6" t="n">
        <f aca="false">(Sens!I8081+Sens!I8099)*Sens!I8098/1000</f>
        <v>186.319337257067</v>
      </c>
      <c r="J8100" s="6" t="n">
        <f aca="false">(Sens!J8081+Sens!J8099)*Sens!J8098/1000</f>
        <v>201.757436923733</v>
      </c>
      <c r="K8100" s="6" t="n">
        <f aca="false">(Sens!K8081+Sens!K8099)*Sens!K8098/1000</f>
        <v>246.8366879504</v>
      </c>
    </row>
    <row r="8101" customFormat="false" ht="17.15" hidden="false" customHeight="false" outlineLevel="0" collapsed="false">
      <c r="A8101" s="0" t="s">
        <v>753</v>
      </c>
      <c r="B8101" s="0" t="s">
        <v>95</v>
      </c>
      <c r="C8101" s="6" t="n">
        <f aca="false">Sens!C8081*self_build*tk_cxfac/1000</f>
        <v>6.2083</v>
      </c>
      <c r="D8101" s="6" t="n">
        <f aca="false">Sens!D8081*self_build*tk_cxfac/1000</f>
        <v>9.3758</v>
      </c>
      <c r="E8101" s="6" t="n">
        <f aca="false">Sens!E8081*self_build*tk_cxfac/1000</f>
        <v>18.6249</v>
      </c>
      <c r="F8101" s="6" t="n">
        <f aca="false">Sens!F8081*self_build*tk_cxfac/1000</f>
        <v>29.409604</v>
      </c>
      <c r="G8101" s="6" t="n">
        <f aca="false">Sens!G8081*self_build*tk_cxfac/1000</f>
        <v>32.019624</v>
      </c>
      <c r="H8101" s="6" t="n">
        <f aca="false">Sens!H8081*self_build*tk_cxfac/1000</f>
        <v>32.019624</v>
      </c>
      <c r="I8101" s="6" t="n">
        <f aca="false">Sens!I8081*self_build*tk_cxfac/1000</f>
        <v>32.019624</v>
      </c>
      <c r="J8101" s="6" t="n">
        <f aca="false">Sens!J8081*self_build*tk_cxfac/1000</f>
        <v>32.019624</v>
      </c>
      <c r="K8101" s="6" t="n">
        <f aca="false">Sens!K8081*self_build*tk_cxfac/1000</f>
        <v>32.019624</v>
      </c>
    </row>
    <row r="8102" customFormat="false" ht="17.15" hidden="false" customHeight="false" outlineLevel="0" collapsed="false">
      <c r="A8102" s="0" t="s">
        <v>754</v>
      </c>
      <c r="B8102" s="0" t="s">
        <v>95</v>
      </c>
      <c r="F8102" s="6" t="n">
        <f aca="false">MAX(0,capex_floor27-Sens!F8100-Sens!F8101-Sens!F8189)</f>
        <v>8.27784289897088</v>
      </c>
      <c r="G8102" s="6" t="n">
        <f aca="false">0</f>
        <v>0</v>
      </c>
      <c r="H8102" s="6" t="n">
        <f aca="false">0</f>
        <v>0</v>
      </c>
      <c r="I8102" s="6" t="n">
        <f aca="false">0</f>
        <v>0</v>
      </c>
      <c r="J8102" s="6" t="n">
        <f aca="false">0</f>
        <v>0</v>
      </c>
      <c r="K8102" s="6" t="n">
        <f aca="false">0</f>
        <v>0</v>
      </c>
      <c r="L8102" s="1" t="s">
        <v>755</v>
      </c>
    </row>
    <row r="8103" customFormat="false" ht="17.15" hidden="false" customHeight="false" outlineLevel="0" collapsed="false">
      <c r="A8103" s="0" t="s">
        <v>756</v>
      </c>
      <c r="B8103" s="0" t="s">
        <v>95</v>
      </c>
      <c r="C8103" s="6" t="n">
        <f aca="false">Sens!C8100</f>
        <v>22.5333845916667</v>
      </c>
      <c r="D8103" s="6" t="n">
        <f aca="false">Sens!D8100</f>
        <v>34.0300093833333</v>
      </c>
      <c r="E8103" s="6" t="n">
        <f aca="false">Sens!E8100</f>
        <v>67.600153775</v>
      </c>
      <c r="F8103" s="6" t="n">
        <f aca="false">Sens!F8100+Sens!F8102</f>
        <v>139.201114770438</v>
      </c>
      <c r="G8103" s="6" t="n">
        <f aca="false">Sens!G8100+Sens!G8102</f>
        <v>151.5545564832</v>
      </c>
      <c r="H8103" s="6" t="n">
        <f aca="false">Sens!H8100+Sens!H8102</f>
        <v>156.0606619104</v>
      </c>
      <c r="I8103" s="6" t="n">
        <f aca="false">Sens!I8100+Sens!I8102</f>
        <v>186.319337257067</v>
      </c>
      <c r="J8103" s="6" t="n">
        <f aca="false">Sens!J8100+Sens!J8102</f>
        <v>201.757436923733</v>
      </c>
      <c r="K8103" s="6" t="n">
        <f aca="false">Sens!K8100+Sens!K8102</f>
        <v>246.8366879504</v>
      </c>
    </row>
    <row r="8104" customFormat="false" ht="17.15" hidden="false" customHeight="false" outlineLevel="0" collapsed="false">
      <c r="A8104" s="0" t="s">
        <v>757</v>
      </c>
      <c r="B8104" s="0" t="s">
        <v>95</v>
      </c>
      <c r="C8104" s="6" t="n">
        <f aca="false">Sens!C8103+Sens!C8101</f>
        <v>28.7416845916667</v>
      </c>
      <c r="D8104" s="6" t="n">
        <f aca="false">Sens!D8103+Sens!D8101</f>
        <v>43.4058093833333</v>
      </c>
      <c r="E8104" s="6" t="n">
        <f aca="false">Sens!E8103+Sens!E8101</f>
        <v>86.225053775</v>
      </c>
      <c r="F8104" s="6" t="n">
        <f aca="false">Sens!F8103+Sens!F8101</f>
        <v>168.610718770438</v>
      </c>
      <c r="G8104" s="6" t="n">
        <f aca="false">Sens!G8103+Sens!G8101</f>
        <v>183.5741804832</v>
      </c>
      <c r="H8104" s="6" t="n">
        <f aca="false">Sens!H8103+Sens!H8101</f>
        <v>188.0802859104</v>
      </c>
      <c r="I8104" s="6" t="n">
        <f aca="false">Sens!I8103+Sens!I8101</f>
        <v>218.338961257067</v>
      </c>
      <c r="J8104" s="6" t="n">
        <f aca="false">Sens!J8103+Sens!J8101</f>
        <v>233.777060923733</v>
      </c>
      <c r="K8104" s="6" t="n">
        <f aca="false">Sens!K8103+Sens!K8101</f>
        <v>278.8563119504</v>
      </c>
      <c r="L8104" s="11" t="s">
        <v>758</v>
      </c>
    </row>
    <row r="8105" customFormat="false" ht="17.15" hidden="false" customHeight="false" outlineLevel="0" collapsed="false">
      <c r="A8105" s="0" t="s">
        <v>759</v>
      </c>
      <c r="B8105" s="0" t="s">
        <v>95</v>
      </c>
      <c r="E8105" s="6" t="n">
        <f aca="false">(Sens!C8103*IF(2&lt;life_it,1,IF(2=life_it,0.5,0))+Sens!D8103*IF(1&lt;life_it,1,IF(1=life_it,0.5,0))+Sens!E8103*0.5)/life_it</f>
        <v>15.0605784770833</v>
      </c>
      <c r="F8105" s="6" t="n">
        <f aca="false">(Sens!C8103*IF(3&lt;life_it,1,IF(3=life_it,0.5,0))+Sens!D8103*IF(2&lt;life_it,1,IF(2=life_it,0.5,0))+Sens!E8103*IF(1&lt;life_it,1,IF(1=life_it,0.5,0))+Sens!F8103*0.5)/life_it</f>
        <v>32.2940175225365</v>
      </c>
      <c r="G8105" s="6" t="n">
        <f aca="false">(Sens!C8103*IF(4&lt;life_it,1,IF(4=life_it,0.5,0))+Sens!D8103*IF(3&lt;life_it,1,IF(3=life_it,0.5,0))+Sens!E8103*IF(2&lt;life_it,1,IF(2=life_it,0.5,0))+Sens!F8103*IF(1&lt;life_it,1,IF(1=life_it,0.5,0))+Sens!G8103*0.5)/life_it</f>
        <v>56.5236567936729</v>
      </c>
      <c r="H8105" s="6" t="n">
        <f aca="false">(Sens!C8103*IF(5&lt;life_it,1,IF(5=life_it,0.5,0))+Sens!D8103*IF(4&lt;life_it,1,IF(4=life_it,0.5,0))+Sens!E8103*IF(3&lt;life_it,1,IF(3=life_it,0.5,0))+Sens!F8103*IF(2&lt;life_it,1,IF(2=life_it,0.5,0))+Sens!G8103*IF(1&lt;life_it,1,IF(1=life_it,0.5,0))+Sens!H8103*0.5)/life_it</f>
        <v>82.1582583264729</v>
      </c>
      <c r="I8105" s="6" t="n">
        <f aca="false">(Sens!C8103*IF(6&lt;life_it,1,IF(6=life_it,0.5,0))+Sens!D8103*IF(5&lt;life_it,1,IF(5=life_it,0.5,0))+Sens!E8103*IF(4&lt;life_it,1,IF(4=life_it,0.5,0))+Sens!F8103*IF(3&lt;life_it,1,IF(3=life_it,0.5,0))+Sens!G8103*IF(2&lt;life_it,1,IF(2=life_it,0.5,0))+Sens!H8103*IF(1&lt;life_it,1,IF(1=life_it,0.5,0))+Sens!I8103*0.5)/life_it</f>
        <v>108.812142874456</v>
      </c>
      <c r="J8105" s="6" t="n">
        <f aca="false">(Sens!C8103*IF(7&lt;life_it,1,IF(7=life_it,0.5,0))+Sens!D8103*IF(6&lt;life_it,1,IF(6=life_it,0.5,0))+Sens!E8103*IF(5&lt;life_it,1,IF(5=life_it,0.5,0))+Sens!F8103*IF(4&lt;life_it,1,IF(4=life_it,0.5,0))+Sens!G8103*IF(3&lt;life_it,1,IF(3=life_it,0.5,0))+Sens!H8103*IF(2&lt;life_it,1,IF(2=life_it,0.5,0))+Sens!I8103*IF(1&lt;life_it,1,IF(1=life_it,0.5,0))+Sens!J8103*0.5)/life_it</f>
        <v>136.438257891606</v>
      </c>
      <c r="K8105" s="6" t="n">
        <f aca="false">(Sens!C8103*IF(8&lt;life_it,1,IF(8=life_it,0.5,0))+Sens!D8103*IF(7&lt;life_it,1,IF(7=life_it,0.5,0))+Sens!E8103*IF(6&lt;life_it,1,IF(6=life_it,0.5,0))+Sens!F8103*IF(5&lt;life_it,1,IF(5=life_it,0.5,0))+Sens!G8103*IF(4&lt;life_it,1,IF(4=life_it,0.5,0))+Sens!H8103*IF(3&lt;life_it,1,IF(3=life_it,0.5,0))+Sens!I8103*IF(2&lt;life_it,1,IF(2=life_it,0.5,0))+Sens!J8103*IF(1&lt;life_it,1,IF(1=life_it,0.5,0))+Sens!K8103*0.5)/life_it</f>
        <v>165.351921367923</v>
      </c>
    </row>
    <row r="8106" customFormat="false" ht="17.15" hidden="false" customHeight="false" outlineLevel="0" collapsed="false">
      <c r="A8106" s="0" t="s">
        <v>760</v>
      </c>
      <c r="B8106" s="0" t="s">
        <v>95</v>
      </c>
      <c r="E8106" s="6" t="n">
        <f aca="false">(Sens!C8101*IF(2&lt;life_fac,1,IF(2=life_fac,0.5,0))+Sens!D8101*IF(1&lt;life_fac,1,IF(1=life_fac,0.5,0))+Sens!E8101*0.5)/life_fac</f>
        <v>1.2448275</v>
      </c>
      <c r="F8106" s="6" t="n">
        <f aca="false">(Sens!C8101*IF(3&lt;life_fac,1,IF(3=life_fac,0.5,0))+Sens!D8101*IF(2&lt;life_fac,1,IF(2=life_fac,0.5,0))+Sens!E8101*IF(1&lt;life_fac,1,IF(1=life_fac,0.5,0))+Sens!F8101*0.5)/life_fac</f>
        <v>2.4456901</v>
      </c>
      <c r="G8106" s="6" t="n">
        <f aca="false">(Sens!C8101*IF(4&lt;life_fac,1,IF(4=life_fac,0.5,0))+Sens!D8101*IF(3&lt;life_fac,1,IF(3=life_fac,0.5,0))+Sens!E8101*IF(2&lt;life_fac,1,IF(2=life_fac,0.5,0))+Sens!F8101*IF(1&lt;life_fac,1,IF(1=life_fac,0.5,0))+Sens!G8101*0.5)/life_fac</f>
        <v>3.9814208</v>
      </c>
      <c r="H8106" s="6" t="n">
        <f aca="false">(Sens!C8101*IF(5&lt;life_fac,1,IF(5=life_fac,0.5,0))+Sens!D8101*IF(4&lt;life_fac,1,IF(4=life_fac,0.5,0))+Sens!E8101*IF(3&lt;life_fac,1,IF(3=life_fac,0.5,0))+Sens!F8101*IF(2&lt;life_fac,1,IF(2=life_fac,0.5,0))+Sens!G8101*IF(1&lt;life_fac,1,IF(1=life_fac,0.5,0))+Sens!H8101*0.5)/life_fac</f>
        <v>5.582402</v>
      </c>
      <c r="I8106" s="6" t="n">
        <f aca="false">(Sens!C8101*IF(6&lt;life_fac,1,IF(6=life_fac,0.5,0))+Sens!D8101*IF(5&lt;life_fac,1,IF(5=life_fac,0.5,0))+Sens!E8101*IF(4&lt;life_fac,1,IF(4=life_fac,0.5,0))+Sens!F8101*IF(3&lt;life_fac,1,IF(3=life_fac,0.5,0))+Sens!G8101*IF(2&lt;life_fac,1,IF(2=life_fac,0.5,0))+Sens!H8101*IF(1&lt;life_fac,1,IF(1=life_fac,0.5,0))+Sens!I8101*0.5)/life_fac</f>
        <v>7.1833832</v>
      </c>
      <c r="J8106" s="6" t="n">
        <f aca="false">(Sens!C8101*IF(7&lt;life_fac,1,IF(7=life_fac,0.5,0))+Sens!D8101*IF(6&lt;life_fac,1,IF(6=life_fac,0.5,0))+Sens!E8101*IF(5&lt;life_fac,1,IF(5=life_fac,0.5,0))+Sens!F8101*IF(4&lt;life_fac,1,IF(4=life_fac,0.5,0))+Sens!G8101*IF(3&lt;life_fac,1,IF(3=life_fac,0.5,0))+Sens!H8101*IF(2&lt;life_fac,1,IF(2=life_fac,0.5,0))+Sens!I8101*IF(1&lt;life_fac,1,IF(1=life_fac,0.5,0))+Sens!J8101*0.5)/life_fac</f>
        <v>8.7843644</v>
      </c>
      <c r="K8106" s="6" t="n">
        <f aca="false">(Sens!C8101*IF(8&lt;life_fac,1,IF(8=life_fac,0.5,0))+Sens!D8101*IF(7&lt;life_fac,1,IF(7=life_fac,0.5,0))+Sens!E8101*IF(6&lt;life_fac,1,IF(6=life_fac,0.5,0))+Sens!F8101*IF(5&lt;life_fac,1,IF(5=life_fac,0.5,0))+Sens!G8101*IF(4&lt;life_fac,1,IF(4=life_fac,0.5,0))+Sens!H8101*IF(3&lt;life_fac,1,IF(3=life_fac,0.5,0))+Sens!I8101*IF(2&lt;life_fac,1,IF(2=life_fac,0.5,0))+Sens!J8101*IF(1&lt;life_fac,1,IF(1=life_fac,0.5,0))+Sens!K8101*0.5)/life_fac</f>
        <v>10.3853456</v>
      </c>
    </row>
    <row r="8107" customFormat="false" ht="17.15" hidden="false" customHeight="false" outlineLevel="0" collapsed="false">
      <c r="A8107" s="0" t="s">
        <v>761</v>
      </c>
      <c r="B8107" s="0" t="s">
        <v>95</v>
      </c>
      <c r="E8107" s="6" t="n">
        <f aca="false">Sens!E8105+Sens!E8106</f>
        <v>16.3054059770833</v>
      </c>
      <c r="F8107" s="6" t="n">
        <f aca="false">Sens!F8105+Sens!F8106</f>
        <v>34.7397076225365</v>
      </c>
      <c r="G8107" s="6" t="n">
        <f aca="false">Sens!G8105+Sens!G8106</f>
        <v>60.5050775936729</v>
      </c>
      <c r="H8107" s="6" t="n">
        <f aca="false">Sens!H8105+Sens!H8106</f>
        <v>87.7406603264729</v>
      </c>
      <c r="I8107" s="6" t="n">
        <f aca="false">Sens!I8105+Sens!I8106</f>
        <v>115.995526074456</v>
      </c>
      <c r="J8107" s="6" t="n">
        <f aca="false">Sens!J8105+Sens!J8106</f>
        <v>145.222622291606</v>
      </c>
      <c r="K8107" s="6" t="n">
        <f aca="false">Sens!K8105+Sens!K8106</f>
        <v>175.737266967923</v>
      </c>
    </row>
    <row r="8108" customFormat="false" ht="17.15" hidden="false" customHeight="false" outlineLevel="0" collapsed="false">
      <c r="A8108" s="0" t="s">
        <v>762</v>
      </c>
      <c r="B8108" s="0" t="s">
        <v>95</v>
      </c>
      <c r="E8108" s="6" t="n">
        <f aca="false">Sens!E8096-Sens!E8095*Sens!E8107</f>
        <v>8.92707889977379</v>
      </c>
      <c r="F8108" s="6" t="n">
        <f aca="false">Sens!F8096-Sens!F8095*Sens!F8107</f>
        <v>18.615616175672</v>
      </c>
      <c r="G8108" s="6" t="n">
        <f aca="false">Sens!G8096-Sens!G8095*Sens!G8107</f>
        <v>30.2497080016024</v>
      </c>
      <c r="H8108" s="6" t="n">
        <f aca="false">Sens!H8096-Sens!H8095*Sens!H8107</f>
        <v>42.5752487879752</v>
      </c>
      <c r="I8108" s="6" t="n">
        <f aca="false">Sens!I8096-Sens!I8095*Sens!I8107</f>
        <v>54.434524817819</v>
      </c>
      <c r="J8108" s="6" t="n">
        <f aca="false">Sens!J8096-Sens!J8095*Sens!J8107</f>
        <v>65.7864207229457</v>
      </c>
      <c r="K8108" s="6" t="n">
        <f aca="false">Sens!K8096-Sens!K8095*Sens!K8107</f>
        <v>76.4104700830945</v>
      </c>
    </row>
    <row r="8109" customFormat="false" ht="17.15" hidden="false" customHeight="false" outlineLevel="0" collapsed="false">
      <c r="A8109" s="3" t="s">
        <v>1345</v>
      </c>
    </row>
    <row r="8110" customFormat="false" ht="15" hidden="false" customHeight="false" outlineLevel="0" collapsed="false">
      <c r="A8110" s="4" t="s">
        <v>43</v>
      </c>
      <c r="B8110" s="4" t="s">
        <v>63</v>
      </c>
      <c r="C8110" s="19" t="s">
        <v>710</v>
      </c>
      <c r="D8110" s="19" t="s">
        <v>711</v>
      </c>
      <c r="E8110" s="19" t="s">
        <v>712</v>
      </c>
      <c r="F8110" s="19" t="s">
        <v>713</v>
      </c>
      <c r="G8110" s="19" t="s">
        <v>714</v>
      </c>
      <c r="H8110" s="19" t="s">
        <v>715</v>
      </c>
      <c r="I8110" s="19" t="s">
        <v>716</v>
      </c>
      <c r="J8110" s="19" t="s">
        <v>717</v>
      </c>
      <c r="K8110" s="19" t="s">
        <v>718</v>
      </c>
      <c r="L8110" s="4" t="s">
        <v>47</v>
      </c>
    </row>
    <row r="8111" customFormat="false" ht="17.15" hidden="false" customHeight="false" outlineLevel="0" collapsed="false">
      <c r="A8111" s="0" t="s">
        <v>780</v>
      </c>
      <c r="B8111" s="0" t="s">
        <v>95</v>
      </c>
      <c r="D8111" s="6" t="n">
        <f aca="false">Sens!D8090</f>
        <v>12.9359794422418</v>
      </c>
      <c r="E8111" s="6" t="n">
        <f aca="false">Sens!E8090</f>
        <v>27.8095064661409</v>
      </c>
      <c r="F8111" s="6" t="n">
        <f aca="false">Sens!F8090</f>
        <v>55.0640065749585</v>
      </c>
      <c r="G8111" s="6" t="n">
        <f aca="false">Sens!G8090</f>
        <v>89.4505413190538</v>
      </c>
      <c r="H8111" s="6" t="n">
        <f aca="false">Sens!H8090</f>
        <v>124.835630736874</v>
      </c>
      <c r="I8111" s="6" t="n">
        <f aca="false">Sens!I8090</f>
        <v>160.384516075608</v>
      </c>
      <c r="J8111" s="6" t="n">
        <f aca="false">Sens!J8090</f>
        <v>196.019025664981</v>
      </c>
      <c r="K8111" s="6" t="n">
        <f aca="false">Sens!K8090</f>
        <v>231.703903883012</v>
      </c>
    </row>
    <row r="8112" customFormat="false" ht="17.15" hidden="false" customHeight="false" outlineLevel="0" collapsed="false">
      <c r="A8112" s="0" t="s">
        <v>781</v>
      </c>
      <c r="B8112" s="0" t="s">
        <v>95</v>
      </c>
      <c r="D8112" s="6" t="n">
        <f aca="false">Q!L6-Sens!D8111</f>
        <v>59.6740205577583</v>
      </c>
      <c r="E8112" s="6" t="n">
        <f aca="false">Q!M6-Sens!E8111</f>
        <v>74.1284935338591</v>
      </c>
      <c r="F8112" s="6" t="n">
        <f aca="false">Sens!E8112*(1+Sens!F8113)</f>
        <v>90.0799497373663</v>
      </c>
      <c r="G8112" s="6" t="n">
        <f aca="false">Sens!F8112*(1+Sens!G8113)</f>
        <v>107.02842520331</v>
      </c>
      <c r="H8112" s="6" t="n">
        <f aca="false">Sens!G8112*(1+Sens!H8113)</f>
        <v>124.271982585636</v>
      </c>
      <c r="I8112" s="6" t="n">
        <f aca="false">Sens!H8112*(1+Sens!I8113)</f>
        <v>140.933702381855</v>
      </c>
      <c r="J8112" s="6" t="n">
        <f aca="false">Sens!I8112*(1+Sens!J8113)</f>
        <v>156.018867314332</v>
      </c>
      <c r="K8112" s="6" t="n">
        <f aca="false">Sens!J8112*(1+Sens!K8113)</f>
        <v>168.500376699478</v>
      </c>
    </row>
    <row r="8113" customFormat="false" ht="15" hidden="false" customHeight="false" outlineLevel="0" collapsed="false">
      <c r="A8113" s="1" t="s">
        <v>782</v>
      </c>
      <c r="B8113" s="0" t="s">
        <v>126</v>
      </c>
      <c r="E8113" s="7" t="n">
        <f aca="false">Sens!E8112/Sens!D8112-1</f>
        <v>0.242223883039864</v>
      </c>
      <c r="F8113" s="7" t="n">
        <f aca="false">Sens!$E$8113+(glt_azo-Sens!$E$8113)*MIN(1,1/n_conv)</f>
        <v>0.215186569199887</v>
      </c>
      <c r="G8113" s="7" t="n">
        <f aca="false">Sens!$E$8113+(glt_azo-Sens!$E$8113)*MIN(1,2/n_conv)</f>
        <v>0.18814925535991</v>
      </c>
      <c r="H8113" s="7" t="n">
        <f aca="false">Sens!$E$8113+(glt_azo-Sens!$E$8113)*MIN(1,3/n_conv)</f>
        <v>0.161111941519932</v>
      </c>
      <c r="I8113" s="7" t="n">
        <f aca="false">Sens!$E$8113+(glt_azo-Sens!$E$8113)*MIN(1,4/n_conv)</f>
        <v>0.134074627679955</v>
      </c>
      <c r="J8113" s="7" t="n">
        <f aca="false">Sens!$E$8113+(glt_azo-Sens!$E$8113)*MIN(1,5/n_conv)</f>
        <v>0.107037313839977</v>
      </c>
      <c r="K8113" s="7" t="n">
        <f aca="false">Sens!$E$8113+(glt_azo-Sens!$E$8113)*MIN(1,6/n_conv)</f>
        <v>0.08</v>
      </c>
    </row>
    <row r="8114" customFormat="false" ht="15" hidden="false" customHeight="false" outlineLevel="0" collapsed="false">
      <c r="A8114" s="0" t="s">
        <v>783</v>
      </c>
      <c r="B8114" s="0" t="s">
        <v>95</v>
      </c>
      <c r="D8114" s="6" t="n">
        <f aca="false">Sens!D8111+Sens!D8112</f>
        <v>72.61</v>
      </c>
      <c r="E8114" s="6" t="n">
        <f aca="false">Sens!E8111+Sens!E8112</f>
        <v>101.938</v>
      </c>
      <c r="F8114" s="6" t="n">
        <f aca="false">Sens!F8111+Sens!F8112</f>
        <v>145.143956312325</v>
      </c>
      <c r="G8114" s="6" t="n">
        <f aca="false">Sens!G8111+Sens!G8112</f>
        <v>196.478966522364</v>
      </c>
      <c r="H8114" s="6" t="n">
        <f aca="false">Sens!H8111+Sens!H8112</f>
        <v>249.10761332251</v>
      </c>
      <c r="I8114" s="6" t="n">
        <f aca="false">Sens!I8111+Sens!I8112</f>
        <v>301.318218457463</v>
      </c>
      <c r="J8114" s="6" t="n">
        <f aca="false">Sens!J8111+Sens!J8112</f>
        <v>352.037892979313</v>
      </c>
      <c r="K8114" s="6" t="n">
        <f aca="false">Sens!K8111+Sens!K8112</f>
        <v>400.20428058249</v>
      </c>
    </row>
    <row r="8115" customFormat="false" ht="17.15" hidden="false" customHeight="false" outlineLevel="0" collapsed="false">
      <c r="A8115" s="0" t="s">
        <v>784</v>
      </c>
      <c r="B8115" s="1" t="s">
        <v>451</v>
      </c>
      <c r="C8115" s="27" t="n">
        <f aca="false">cop_s24</f>
        <v>1</v>
      </c>
      <c r="D8115" s="27" t="n">
        <f aca="false">cop_s25</f>
        <v>5</v>
      </c>
      <c r="E8115" s="27" t="n">
        <f aca="false">cop_s26</f>
        <v>30</v>
      </c>
      <c r="F8115" s="27" t="n">
        <f aca="false">Sens!E8115+IF(2027&lt;=2029,cop_add_B,cop_add_B*cop_tail)</f>
        <v>50</v>
      </c>
      <c r="G8115" s="27" t="n">
        <f aca="false">Sens!F8115+IF(2028&lt;=2029,cop_add_B,cop_add_B*cop_tail)</f>
        <v>70</v>
      </c>
      <c r="H8115" s="27" t="n">
        <f aca="false">Sens!G8115+IF(2029&lt;=2029,cop_add_B,cop_add_B*cop_tail)</f>
        <v>90</v>
      </c>
      <c r="I8115" s="27" t="n">
        <f aca="false">Sens!H8115+IF(2030&lt;=2029,cop_add_B,cop_add_B*cop_tail)</f>
        <v>100</v>
      </c>
      <c r="J8115" s="27" t="n">
        <f aca="false">Sens!I8115+IF(2031&lt;=2029,cop_add_B,cop_add_B*cop_tail)</f>
        <v>110</v>
      </c>
      <c r="K8115" s="27" t="n">
        <f aca="false">Sens!J8115+IF(2032&lt;=2029,cop_add_B,cop_add_B*cop_tail)</f>
        <v>120</v>
      </c>
    </row>
    <row r="8116" customFormat="false" ht="17.15" hidden="false" customHeight="false" outlineLevel="0" collapsed="false">
      <c r="A8116" s="0" t="s">
        <v>785</v>
      </c>
      <c r="B8116" s="0" t="s">
        <v>95</v>
      </c>
      <c r="D8116" s="6" t="n">
        <f aca="false">(Sens!C8115+Sens!D8115)/2*cop_px*12/1000</f>
        <v>0.9</v>
      </c>
      <c r="E8116" s="6" t="n">
        <f aca="false">(Sens!D8115+Sens!E8115)/2*cop_px*12/1000</f>
        <v>5.25</v>
      </c>
      <c r="F8116" s="6" t="n">
        <f aca="false">(Sens!E8115+Sens!F8115)/2*cop_px*12/1000</f>
        <v>12</v>
      </c>
      <c r="G8116" s="6" t="n">
        <f aca="false">(Sens!F8115+Sens!G8115)/2*cop_px*12/1000</f>
        <v>18</v>
      </c>
      <c r="H8116" s="6" t="n">
        <f aca="false">(Sens!G8115+Sens!H8115)/2*cop_px*12/1000</f>
        <v>24</v>
      </c>
      <c r="I8116" s="6" t="n">
        <f aca="false">(Sens!H8115+Sens!I8115)/2*cop_px*12/1000</f>
        <v>28.5</v>
      </c>
      <c r="J8116" s="6" t="n">
        <f aca="false">(Sens!I8115+Sens!J8115)/2*cop_px*12/1000</f>
        <v>31.5</v>
      </c>
      <c r="K8116" s="6" t="n">
        <f aca="false">(Sens!J8115+Sens!K8115)/2*cop_px*12/1000</f>
        <v>34.5</v>
      </c>
      <c r="L8116" s="1" t="s">
        <v>786</v>
      </c>
    </row>
    <row r="8117" customFormat="false" ht="17.15" hidden="false" customHeight="false" outlineLevel="0" collapsed="false">
      <c r="A8117" s="0" t="s">
        <v>787</v>
      </c>
      <c r="B8117" s="0" t="s">
        <v>95</v>
      </c>
      <c r="D8117" s="6" t="n">
        <f aca="false">Q!L7-Sens!D8116</f>
        <v>83.705</v>
      </c>
      <c r="E8117" s="6" t="n">
        <f aca="false">Q!M7-Sens!E8116</f>
        <v>95.049</v>
      </c>
      <c r="F8117" s="6" t="n">
        <f aca="false">Sens!E8117*(1+Sens!F8118)</f>
        <v>106.89238776686</v>
      </c>
      <c r="G8117" s="6" t="n">
        <f aca="false">Sens!F8117*(1+Sens!G8118)</f>
        <v>119.044168448684</v>
      </c>
      <c r="H8117" s="6" t="n">
        <f aca="false">Sens!G8117*(1+Sens!H8118)</f>
        <v>131.277359388781</v>
      </c>
      <c r="I8117" s="6" t="n">
        <f aca="false">Sens!H8117*(1+Sens!I8118)</f>
        <v>143.334028071957</v>
      </c>
      <c r="J8117" s="6" t="n">
        <f aca="false">Sens!I8117*(1+Sens!J8118)</f>
        <v>154.932702785465</v>
      </c>
      <c r="K8117" s="6" t="n">
        <f aca="false">Sens!J8117*(1+Sens!K8118)</f>
        <v>165.777991980448</v>
      </c>
    </row>
    <row r="8118" customFormat="false" ht="15" hidden="false" customHeight="false" outlineLevel="0" collapsed="false">
      <c r="A8118" s="1" t="s">
        <v>782</v>
      </c>
      <c r="B8118" s="0" t="s">
        <v>126</v>
      </c>
      <c r="E8118" s="7" t="n">
        <f aca="false">Sens!E8117/Sens!D8117-1</f>
        <v>0.135523564900544</v>
      </c>
      <c r="F8118" s="7" t="n">
        <f aca="false">Sens!$E$8118+(glt_m365b-Sens!$E$8118)*MIN(1,1/n_conv)</f>
        <v>0.124602970750453</v>
      </c>
      <c r="G8118" s="7" t="n">
        <f aca="false">Sens!$E$8118+(glt_m365b-Sens!$E$8118)*MIN(1,2/n_conv)</f>
        <v>0.113682376600363</v>
      </c>
      <c r="H8118" s="7" t="n">
        <f aca="false">Sens!$E$8118+(glt_m365b-Sens!$E$8118)*MIN(1,3/n_conv)</f>
        <v>0.102761782450272</v>
      </c>
      <c r="I8118" s="7" t="n">
        <f aca="false">Sens!$E$8118+(glt_m365b-Sens!$E$8118)*MIN(1,4/n_conv)</f>
        <v>0.0918411883001813</v>
      </c>
      <c r="J8118" s="7" t="n">
        <f aca="false">Sens!$E$8118+(glt_m365b-Sens!$E$8118)*MIN(1,5/n_conv)</f>
        <v>0.0809205941500906</v>
      </c>
      <c r="K8118" s="7" t="n">
        <f aca="false">Sens!$E$8118+(glt_m365b-Sens!$E$8118)*MIN(1,6/n_conv)</f>
        <v>0.07</v>
      </c>
    </row>
    <row r="8119" customFormat="false" ht="15" hidden="false" customHeight="false" outlineLevel="0" collapsed="false">
      <c r="A8119" s="0" t="s">
        <v>788</v>
      </c>
      <c r="B8119" s="0" t="s">
        <v>95</v>
      </c>
      <c r="D8119" s="6" t="n">
        <f aca="false">Sens!D8117+Sens!D8116</f>
        <v>84.605</v>
      </c>
      <c r="E8119" s="6" t="n">
        <f aca="false">Sens!E8117+Sens!E8116</f>
        <v>100.299</v>
      </c>
      <c r="F8119" s="6" t="n">
        <f aca="false">Sens!F8117+Sens!F8116</f>
        <v>118.89238776686</v>
      </c>
      <c r="G8119" s="6" t="n">
        <f aca="false">Sens!G8117+Sens!G8116</f>
        <v>137.044168448684</v>
      </c>
      <c r="H8119" s="6" t="n">
        <f aca="false">Sens!H8117+Sens!H8116</f>
        <v>155.277359388781</v>
      </c>
      <c r="I8119" s="6" t="n">
        <f aca="false">Sens!I8117+Sens!I8116</f>
        <v>171.834028071957</v>
      </c>
      <c r="J8119" s="6" t="n">
        <f aca="false">Sens!J8117+Sens!J8116</f>
        <v>186.432702785465</v>
      </c>
      <c r="K8119" s="6" t="n">
        <f aca="false">Sens!K8117+Sens!K8116</f>
        <v>200.277991980448</v>
      </c>
    </row>
    <row r="8120" customFormat="false" ht="15" hidden="false" customHeight="false" outlineLevel="0" collapsed="false">
      <c r="A8120" s="0" t="s">
        <v>789</v>
      </c>
      <c r="B8120" s="0" t="s">
        <v>95</v>
      </c>
      <c r="D8120" s="6" t="n">
        <f aca="false">Q!L8</f>
        <v>35.391</v>
      </c>
      <c r="E8120" s="6" t="n">
        <f aca="false">Q!M8</f>
        <v>37.285</v>
      </c>
      <c r="F8120" s="6" t="n">
        <f aca="false">Sens!E8120*(1+Sens!F8121)</f>
        <v>39.0720834331704</v>
      </c>
      <c r="G8120" s="6" t="n">
        <f aca="false">Sens!F8120*(1+Sens!G8121)</f>
        <v>40.726562953769</v>
      </c>
      <c r="H8120" s="6" t="n">
        <f aca="false">Sens!G8120*(1+Sens!H8121)</f>
        <v>42.2235987259198</v>
      </c>
      <c r="I8120" s="6" t="n">
        <f aca="false">Sens!H8120*(1+Sens!I8121)</f>
        <v>43.5397988077414</v>
      </c>
      <c r="J8120" s="6" t="n">
        <f aca="false">Sens!I8120*(1+Sens!J8121)</f>
        <v>44.653811225693</v>
      </c>
      <c r="K8120" s="6" t="n">
        <f aca="false">Sens!J8120*(1+Sens!K8121)</f>
        <v>45.5468874502068</v>
      </c>
    </row>
    <row r="8121" customFormat="false" ht="15" hidden="false" customHeight="false" outlineLevel="0" collapsed="false">
      <c r="A8121" s="1" t="s">
        <v>782</v>
      </c>
      <c r="B8121" s="0" t="s">
        <v>126</v>
      </c>
      <c r="E8121" s="7" t="n">
        <f aca="false">Sens!E8120/Sens!D8120-1</f>
        <v>0.0535164307309768</v>
      </c>
      <c r="F8121" s="7" t="n">
        <f aca="false">Sens!$E$8121+(glt_lic-Sens!$E$8121)*MIN(1,1/n_conv)</f>
        <v>0.0479303589424807</v>
      </c>
      <c r="G8121" s="7" t="n">
        <f aca="false">Sens!$E$8121+(glt_lic-Sens!$E$8121)*MIN(1,2/n_conv)</f>
        <v>0.0423442871539845</v>
      </c>
      <c r="H8121" s="7" t="n">
        <f aca="false">Sens!$E$8121+(glt_lic-Sens!$E$8121)*MIN(1,3/n_conv)</f>
        <v>0.0367582153654884</v>
      </c>
      <c r="I8121" s="7" t="n">
        <f aca="false">Sens!$E$8121+(glt_lic-Sens!$E$8121)*MIN(1,4/n_conv)</f>
        <v>0.0311721435769923</v>
      </c>
      <c r="J8121" s="7" t="n">
        <f aca="false">Sens!$E$8121+(glt_lic-Sens!$E$8121)*MIN(1,5/n_conv)</f>
        <v>0.0255860717884961</v>
      </c>
      <c r="K8121" s="7" t="n">
        <f aca="false">Sens!$E$8121+(glt_lic-Sens!$E$8121)*MIN(1,6/n_conv)</f>
        <v>0.02</v>
      </c>
    </row>
    <row r="8122" customFormat="false" ht="15" hidden="false" customHeight="false" outlineLevel="0" collapsed="false">
      <c r="A8122" s="0" t="s">
        <v>790</v>
      </c>
      <c r="B8122" s="0" t="s">
        <v>95</v>
      </c>
      <c r="D8122" s="6" t="n">
        <f aca="false">Q!L9</f>
        <v>18.417</v>
      </c>
      <c r="E8122" s="6" t="n">
        <f aca="false">Q!M9</f>
        <v>20.345</v>
      </c>
      <c r="F8122" s="6" t="n">
        <f aca="false">Sens!E8122*(1+Sens!F8123)</f>
        <v>22.3572203267814</v>
      </c>
      <c r="G8122" s="6" t="n">
        <f aca="false">Sens!F8122*(1+Sens!G8123)</f>
        <v>24.4392124437232</v>
      </c>
      <c r="H8122" s="6" t="n">
        <f aca="false">Sens!G8122*(1+Sens!H8123)</f>
        <v>26.5738052080665</v>
      </c>
      <c r="I8122" s="6" t="n">
        <f aca="false">Sens!H8122*(1+Sens!I8123)</f>
        <v>28.7412169166967</v>
      </c>
      <c r="J8122" s="6" t="n">
        <f aca="false">Sens!I8122*(1+Sens!J8123)</f>
        <v>30.9192545395413</v>
      </c>
      <c r="K8122" s="6" t="n">
        <f aca="false">Sens!J8122*(1+Sens!K8123)</f>
        <v>33.0836023573092</v>
      </c>
    </row>
    <row r="8123" customFormat="false" ht="15" hidden="false" customHeight="false" outlineLevel="0" collapsed="false">
      <c r="A8123" s="1" t="s">
        <v>782</v>
      </c>
      <c r="B8123" s="0" t="s">
        <v>126</v>
      </c>
      <c r="E8123" s="7" t="n">
        <f aca="false">Sens!E8122/Sens!D8122-1</f>
        <v>0.104685888038225</v>
      </c>
      <c r="F8123" s="7" t="n">
        <f aca="false">Sens!$E$8123+(glt_ind-Sens!$E$8123)*MIN(1,1/n_conv)</f>
        <v>0.0989049066985211</v>
      </c>
      <c r="G8123" s="7" t="n">
        <f aca="false">Sens!$E$8123+(glt_ind-Sens!$E$8123)*MIN(1,2/n_conv)</f>
        <v>0.0931239253588169</v>
      </c>
      <c r="H8123" s="7" t="n">
        <f aca="false">Sens!$E$8123+(glt_ind-Sens!$E$8123)*MIN(1,3/n_conv)</f>
        <v>0.0873429440191127</v>
      </c>
      <c r="I8123" s="7" t="n">
        <f aca="false">Sens!$E$8123+(glt_ind-Sens!$E$8123)*MIN(1,4/n_conv)</f>
        <v>0.0815619626794085</v>
      </c>
      <c r="J8123" s="7" t="n">
        <f aca="false">Sens!$E$8123+(glt_ind-Sens!$E$8123)*MIN(1,5/n_conv)</f>
        <v>0.0757809813397042</v>
      </c>
      <c r="K8123" s="7" t="n">
        <f aca="false">Sens!$E$8123+(glt_ind-Sens!$E$8123)*MIN(1,6/n_conv)</f>
        <v>0.07</v>
      </c>
    </row>
    <row r="8124" customFormat="false" ht="15" hidden="false" customHeight="false" outlineLevel="0" collapsed="false">
      <c r="A8124" s="0" t="s">
        <v>791</v>
      </c>
      <c r="B8124" s="0" t="s">
        <v>95</v>
      </c>
      <c r="D8124" s="6" t="n">
        <f aca="false">Q!L10</f>
        <v>7.76</v>
      </c>
      <c r="E8124" s="6" t="n">
        <f aca="false">Q!M10</f>
        <v>8.26</v>
      </c>
      <c r="F8124" s="6" t="n">
        <f aca="false">Sens!E8124*(1+Sens!F8125)</f>
        <v>8.79988041237113</v>
      </c>
      <c r="G8124" s="6" t="n">
        <f aca="false">Sens!F8124*(1+Sens!G8125)</f>
        <v>9.38321269125306</v>
      </c>
      <c r="H8124" s="6" t="n">
        <f aca="false">Sens!G8124*(1+Sens!H8125)</f>
        <v>10.0139193587476</v>
      </c>
      <c r="I8124" s="6" t="n">
        <f aca="false">Sens!H8124*(1+Sens!I8125)</f>
        <v>10.6963111830911</v>
      </c>
      <c r="J8124" s="6" t="n">
        <f aca="false">Sens!I8124*(1+Sens!J8125)</f>
        <v>11.4351285534696</v>
      </c>
      <c r="K8124" s="6" t="n">
        <f aca="false">Sens!J8124*(1+Sens!K8125)</f>
        <v>12.2355875522124</v>
      </c>
    </row>
    <row r="8125" customFormat="false" ht="15" hidden="false" customHeight="false" outlineLevel="0" collapsed="false">
      <c r="A8125" s="1" t="s">
        <v>782</v>
      </c>
      <c r="B8125" s="0" t="s">
        <v>126</v>
      </c>
      <c r="E8125" s="7" t="n">
        <f aca="false">Sens!E8124/Sens!D8124-1</f>
        <v>0.0644329896907216</v>
      </c>
      <c r="F8125" s="7" t="n">
        <f aca="false">Sens!$E$8125+(glt_fro-Sens!$E$8125)*MIN(1,1/n_conv)</f>
        <v>0.065360824742268</v>
      </c>
      <c r="G8125" s="7" t="n">
        <f aca="false">Sens!$E$8125+(glt_fro-Sens!$E$8125)*MIN(1,2/n_conv)</f>
        <v>0.0662886597938144</v>
      </c>
      <c r="H8125" s="7" t="n">
        <f aca="false">Sens!$E$8125+(glt_fro-Sens!$E$8125)*MIN(1,3/n_conv)</f>
        <v>0.0672164948453608</v>
      </c>
      <c r="I8125" s="7" t="n">
        <f aca="false">Sens!$E$8125+(glt_fro-Sens!$E$8125)*MIN(1,4/n_conv)</f>
        <v>0.0681443298969072</v>
      </c>
      <c r="J8125" s="7" t="n">
        <f aca="false">Sens!$E$8125+(glt_fro-Sens!$E$8125)*MIN(1,5/n_conv)</f>
        <v>0.0690721649484536</v>
      </c>
      <c r="K8125" s="7" t="n">
        <f aca="false">Sens!$E$8125+(glt_fro-Sens!$E$8125)*MIN(1,6/n_conv)</f>
        <v>0.07</v>
      </c>
    </row>
    <row r="8126" customFormat="false" ht="15" hidden="false" customHeight="false" outlineLevel="0" collapsed="false">
      <c r="A8126" s="0" t="s">
        <v>626</v>
      </c>
      <c r="B8126" s="0" t="s">
        <v>95</v>
      </c>
      <c r="D8126" s="6" t="n">
        <f aca="false">Sens!D8114+Sens!D8119+Sens!D8120+Sens!D8122+Sens!D8124</f>
        <v>218.783</v>
      </c>
      <c r="E8126" s="6" t="n">
        <f aca="false">Sens!E8114+Sens!E8119+Sens!E8120+Sens!E8122+Sens!E8124</f>
        <v>268.127</v>
      </c>
      <c r="F8126" s="6" t="n">
        <f aca="false">Sens!F8114+Sens!F8119+Sens!F8120+Sens!F8122+Sens!F8124</f>
        <v>334.265528251508</v>
      </c>
      <c r="G8126" s="6" t="n">
        <f aca="false">Sens!G8114+Sens!G8119+Sens!G8120+Sens!G8122+Sens!G8124</f>
        <v>408.072123059793</v>
      </c>
      <c r="H8126" s="6" t="n">
        <f aca="false">Sens!H8114+Sens!H8119+Sens!H8120+Sens!H8122+Sens!H8124</f>
        <v>483.196296004025</v>
      </c>
      <c r="I8126" s="6" t="n">
        <f aca="false">Sens!I8114+Sens!I8119+Sens!I8120+Sens!I8122+Sens!I8124</f>
        <v>556.129573436949</v>
      </c>
      <c r="J8126" s="6" t="n">
        <f aca="false">Sens!J8114+Sens!J8119+Sens!J8120+Sens!J8122+Sens!J8124</f>
        <v>625.478790083482</v>
      </c>
      <c r="K8126" s="6" t="n">
        <f aca="false">Sens!K8114+Sens!K8119+Sens!K8120+Sens!K8122+Sens!K8124</f>
        <v>691.348349922667</v>
      </c>
    </row>
    <row r="8127" customFormat="false" ht="15" hidden="false" customHeight="false" outlineLevel="0" collapsed="false">
      <c r="A8127" s="0" t="s">
        <v>792</v>
      </c>
      <c r="B8127" s="0" t="s">
        <v>95</v>
      </c>
      <c r="D8127" s="6" t="n">
        <f aca="false">Q!L13</f>
        <v>22.171</v>
      </c>
      <c r="E8127" s="6" t="n">
        <f aca="false">Q!M13</f>
        <v>24.835</v>
      </c>
      <c r="F8127" s="6" t="n">
        <f aca="false">Sens!E8127*(1+Sens!F8128)</f>
        <v>27.7356651218559</v>
      </c>
      <c r="G8127" s="6" t="n">
        <f aca="false">Sens!F8127*(1+Sens!G8128)</f>
        <v>30.8819427955575</v>
      </c>
      <c r="H8127" s="6" t="n">
        <f aca="false">Sens!G8127*(1+Sens!H8128)</f>
        <v>34.2813801456859</v>
      </c>
      <c r="I8127" s="6" t="n">
        <f aca="false">Sens!H8127*(1+Sens!I8128)</f>
        <v>37.9398543169022</v>
      </c>
      <c r="J8127" s="6" t="n">
        <f aca="false">Sens!I8127*(1+Sens!J8128)</f>
        <v>41.8612984476003</v>
      </c>
      <c r="K8127" s="6" t="n">
        <f aca="false">Sens!J8127*(1+Sens!K8128)</f>
        <v>46.0474282923604</v>
      </c>
    </row>
    <row r="8128" customFormat="false" ht="15" hidden="false" customHeight="false" outlineLevel="0" collapsed="false">
      <c r="A8128" s="1" t="s">
        <v>782</v>
      </c>
      <c r="B8128" s="0" t="s">
        <v>126</v>
      </c>
      <c r="E8128" s="7" t="n">
        <f aca="false">Sens!E8127/Sens!D8127-1</f>
        <v>0.120156961796942</v>
      </c>
      <c r="F8128" s="7" t="n">
        <f aca="false">Sens!$E$8128+(glt_srch_hi-Sens!$E$8128)*MIN(1,1/n_conv)</f>
        <v>0.116797468164118</v>
      </c>
      <c r="G8128" s="7" t="n">
        <f aca="false">Sens!$E$8128+(glt_srch_hi-Sens!$E$8128)*MIN(1,2/n_conv)</f>
        <v>0.113437974531295</v>
      </c>
      <c r="H8128" s="7" t="n">
        <f aca="false">Sens!$E$8128+(glt_srch_hi-Sens!$E$8128)*MIN(1,3/n_conv)</f>
        <v>0.110078480898471</v>
      </c>
      <c r="I8128" s="7" t="n">
        <f aca="false">Sens!$E$8128+(glt_srch_hi-Sens!$E$8128)*MIN(1,4/n_conv)</f>
        <v>0.106718987265647</v>
      </c>
      <c r="J8128" s="7" t="n">
        <f aca="false">Sens!$E$8128+(glt_srch_hi-Sens!$E$8128)*MIN(1,5/n_conv)</f>
        <v>0.103359493632824</v>
      </c>
      <c r="K8128" s="7" t="n">
        <f aca="false">Sens!$E$8128+(glt_srch_hi-Sens!$E$8128)*MIN(1,6/n_conv)</f>
        <v>0.1</v>
      </c>
    </row>
    <row r="8129" customFormat="false" ht="15" hidden="false" customHeight="false" outlineLevel="0" collapsed="false">
      <c r="A8129" s="0" t="s">
        <v>793</v>
      </c>
      <c r="B8129" s="0" t="s">
        <v>95</v>
      </c>
      <c r="D8129" s="6" t="n">
        <f aca="false">Q!L14</f>
        <v>23.455</v>
      </c>
      <c r="E8129" s="6" t="n">
        <f aca="false">Q!M14</f>
        <v>21.79</v>
      </c>
      <c r="F8129" s="6" t="n">
        <f aca="false">Sens!E8129*(1+Sens!F8130)</f>
        <v>20.5736277908051</v>
      </c>
      <c r="G8129" s="6" t="n">
        <f aca="false">Sens!F8129*(1+Sens!G8130)</f>
        <v>19.7371452817919</v>
      </c>
      <c r="H8129" s="6" t="n">
        <f aca="false">Sens!G8129*(1+Sens!H8130)</f>
        <v>19.2339764043138</v>
      </c>
      <c r="I8129" s="6" t="n">
        <f aca="false">Sens!H8129*(1+Sens!I8130)</f>
        <v>19.0353086852681</v>
      </c>
      <c r="J8129" s="6" t="n">
        <f aca="false">Sens!I8129*(1+Sens!J8130)</f>
        <v>19.1273539319129</v>
      </c>
      <c r="K8129" s="6" t="n">
        <f aca="false">Sens!J8129*(1+Sens!K8130)</f>
        <v>19.5099010105511</v>
      </c>
    </row>
    <row r="8130" customFormat="false" ht="15" hidden="false" customHeight="false" outlineLevel="0" collapsed="false">
      <c r="A8130" s="1" t="s">
        <v>782</v>
      </c>
      <c r="B8130" s="0" t="s">
        <v>126</v>
      </c>
      <c r="E8130" s="7" t="n">
        <f aca="false">Sens!E8129/Sens!D8129-1</f>
        <v>-0.0709869963760392</v>
      </c>
      <c r="F8130" s="7" t="n">
        <f aca="false">Sens!$E$8130+(glt_xbox-Sens!$E$8130)*MIN(1,1/n_conv)</f>
        <v>-0.0558224969800327</v>
      </c>
      <c r="G8130" s="7" t="n">
        <f aca="false">Sens!$E$8130+(glt_xbox-Sens!$E$8130)*MIN(1,2/n_conv)</f>
        <v>-0.0406579975840262</v>
      </c>
      <c r="H8130" s="7" t="n">
        <f aca="false">Sens!$E$8130+(glt_xbox-Sens!$E$8130)*MIN(1,3/n_conv)</f>
        <v>-0.0254934981880196</v>
      </c>
      <c r="I8130" s="7" t="n">
        <f aca="false">Sens!$E$8130+(glt_xbox-Sens!$E$8130)*MIN(1,4/n_conv)</f>
        <v>-0.0103289987920131</v>
      </c>
      <c r="J8130" s="7" t="n">
        <f aca="false">Sens!$E$8130+(glt_xbox-Sens!$E$8130)*MIN(1,5/n_conv)</f>
        <v>0.00483550060399347</v>
      </c>
      <c r="K8130" s="7" t="n">
        <f aca="false">Sens!$E$8130+(glt_xbox-Sens!$E$8130)*MIN(1,6/n_conv)</f>
        <v>0.02</v>
      </c>
    </row>
    <row r="8131" customFormat="false" ht="15" hidden="false" customHeight="false" outlineLevel="0" collapsed="false">
      <c r="A8131" s="0" t="s">
        <v>794</v>
      </c>
      <c r="B8131" s="0" t="s">
        <v>95</v>
      </c>
      <c r="D8131" s="6" t="n">
        <f aca="false">Q!L15</f>
        <v>17.315</v>
      </c>
      <c r="E8131" s="6" t="n">
        <f aca="false">Q!M15</f>
        <v>17.087</v>
      </c>
      <c r="F8131" s="6" t="n">
        <f aca="false">Sens!E8131*(1+Sens!F8132)</f>
        <v>16.9564585436519</v>
      </c>
      <c r="G8131" s="6" t="n">
        <f aca="false">Sens!F8131*(1+Sens!G8132)</f>
        <v>16.9206490624268</v>
      </c>
      <c r="H8131" s="6" t="n">
        <f aca="false">Sens!G8131*(1+Sens!H8132)</f>
        <v>16.9784519149849</v>
      </c>
      <c r="I8131" s="6" t="n">
        <f aca="false">Sens!H8131*(1+Sens!I8132)</f>
        <v>17.1303084701817</v>
      </c>
      <c r="J8131" s="6" t="n">
        <f aca="false">Sens!I8131*(1+Sens!J8132)</f>
        <v>17.3782189407267</v>
      </c>
      <c r="K8131" s="6" t="n">
        <f aca="false">Sens!J8131*(1+Sens!K8132)</f>
        <v>17.7257833195413</v>
      </c>
    </row>
    <row r="8132" customFormat="false" ht="15" hidden="false" customHeight="false" outlineLevel="0" collapsed="false">
      <c r="A8132" s="1" t="s">
        <v>782</v>
      </c>
      <c r="B8132" s="0" t="s">
        <v>126</v>
      </c>
      <c r="E8132" s="7" t="n">
        <f aca="false">Sens!E8131/Sens!D8131-1</f>
        <v>-0.0131677736066995</v>
      </c>
      <c r="F8132" s="7" t="n">
        <f aca="false">Sens!$E$8132+(glt_win-Sens!$E$8132)*MIN(1,1/n_conv)</f>
        <v>-0.00763981133891627</v>
      </c>
      <c r="G8132" s="7" t="n">
        <f aca="false">Sens!$E$8132+(glt_win-Sens!$E$8132)*MIN(1,2/n_conv)</f>
        <v>-0.00211184907113301</v>
      </c>
      <c r="H8132" s="7" t="n">
        <f aca="false">Sens!$E$8132+(glt_win-Sens!$E$8132)*MIN(1,3/n_conv)</f>
        <v>0.00341611319665024</v>
      </c>
      <c r="I8132" s="7" t="n">
        <f aca="false">Sens!$E$8132+(glt_win-Sens!$E$8132)*MIN(1,4/n_conv)</f>
        <v>0.00894407546443349</v>
      </c>
      <c r="J8132" s="7" t="n">
        <f aca="false">Sens!$E$8132+(glt_win-Sens!$E$8132)*MIN(1,5/n_conv)</f>
        <v>0.0144720377322168</v>
      </c>
      <c r="K8132" s="7" t="n">
        <f aca="false">Sens!$E$8132+(glt_win-Sens!$E$8132)*MIN(1,6/n_conv)</f>
        <v>0.02</v>
      </c>
    </row>
    <row r="8133" customFormat="false" ht="15" hidden="false" customHeight="false" outlineLevel="0" collapsed="false">
      <c r="A8133" s="0" t="s">
        <v>640</v>
      </c>
      <c r="B8133" s="0" t="s">
        <v>95</v>
      </c>
      <c r="D8133" s="6" t="n">
        <f aca="false">Sens!D8127+Sens!D8129+Sens!D8131</f>
        <v>62.941</v>
      </c>
      <c r="E8133" s="6" t="n">
        <f aca="false">Sens!E8127+Sens!E8129+Sens!E8131</f>
        <v>63.712</v>
      </c>
      <c r="F8133" s="6" t="n">
        <f aca="false">Sens!F8127+Sens!F8129+Sens!F8131</f>
        <v>65.2657514563129</v>
      </c>
      <c r="G8133" s="6" t="n">
        <f aca="false">Sens!G8127+Sens!G8129+Sens!G8131</f>
        <v>67.5397371397762</v>
      </c>
      <c r="H8133" s="6" t="n">
        <f aca="false">Sens!H8127+Sens!H8129+Sens!H8131</f>
        <v>70.4938084649846</v>
      </c>
      <c r="I8133" s="6" t="n">
        <f aca="false">Sens!I8127+Sens!I8129+Sens!I8131</f>
        <v>74.105471472352</v>
      </c>
      <c r="J8133" s="6" t="n">
        <f aca="false">Sens!J8127+Sens!J8129+Sens!J8131</f>
        <v>78.3668713202399</v>
      </c>
      <c r="K8133" s="6" t="n">
        <f aca="false">Sens!K8127+Sens!K8129+Sens!K8131</f>
        <v>83.2831126224528</v>
      </c>
    </row>
    <row r="8134" customFormat="false" ht="15" hidden="false" customHeight="false" outlineLevel="0" collapsed="false">
      <c r="A8134" s="1" t="s">
        <v>795</v>
      </c>
      <c r="B8134" s="0" t="s">
        <v>95</v>
      </c>
      <c r="D8134" s="6" t="n">
        <f aca="false">Sens!D8126+Sens!D8133</f>
        <v>281.724</v>
      </c>
      <c r="E8134" s="6" t="n">
        <f aca="false">Sens!E8126+Sens!E8133</f>
        <v>331.839</v>
      </c>
      <c r="F8134" s="6" t="n">
        <f aca="false">Sens!F8126+Sens!F8133</f>
        <v>399.531279707821</v>
      </c>
      <c r="G8134" s="6" t="n">
        <f aca="false">Sens!G8126+Sens!G8133</f>
        <v>475.611860199569</v>
      </c>
      <c r="H8134" s="6" t="n">
        <f aca="false">Sens!H8126+Sens!H8133</f>
        <v>553.69010446901</v>
      </c>
      <c r="I8134" s="6" t="n">
        <f aca="false">Sens!I8126+Sens!I8133</f>
        <v>630.235044909302</v>
      </c>
      <c r="J8134" s="6" t="n">
        <f aca="false">Sens!J8126+Sens!J8133</f>
        <v>703.845661403722</v>
      </c>
      <c r="K8134" s="6" t="n">
        <f aca="false">Sens!K8126+Sens!K8133</f>
        <v>774.63146254512</v>
      </c>
    </row>
    <row r="8135" customFormat="false" ht="15" hidden="false" customHeight="false" outlineLevel="0" collapsed="false">
      <c r="A8135" s="22" t="s">
        <v>796</v>
      </c>
      <c r="B8135" s="28" t="s">
        <v>95</v>
      </c>
      <c r="C8135" s="28"/>
      <c r="D8135" s="23" t="n">
        <f aca="false">(Sens!D8114+Sens!D8119+Sens!D8120+Sens!D8122+Sens!D8124-Sens!D8126)+(Sens!D8127+Sens!D8129+Sens!D8131-Sens!D8133)+(Sens!D8126-Q!L5)+(Sens!D8133-Q!L12)+(Sens!D8114-Q!L6)+(Sens!D8119-Q!L7)</f>
        <v>0</v>
      </c>
      <c r="E8135" s="23" t="n">
        <f aca="false">(Sens!E8114+Sens!E8119+Sens!E8120+Sens!E8122+Sens!E8124-Sens!E8126)+(Sens!E8127+Sens!E8129+Sens!E8131-Sens!E8133)+(Sens!E8126-Q!M5)+(Sens!E8133-Q!M12)+(Sens!E8114-Q!M6)+(Sens!E8119-Q!M7)</f>
        <v>0</v>
      </c>
      <c r="F8135" s="23" t="n">
        <f aca="false">(Sens!F8114+Sens!F8119+Sens!F8120+Sens!F8122+Sens!F8124-Sens!F8126)+(Sens!F8127+Sens!F8129+Sens!F8131-Sens!F8133)</f>
        <v>0</v>
      </c>
      <c r="G8135" s="23" t="n">
        <f aca="false">(Sens!G8114+Sens!G8119+Sens!G8120+Sens!G8122+Sens!G8124-Sens!G8126)+(Sens!G8127+Sens!G8129+Sens!G8131-Sens!G8133)</f>
        <v>0</v>
      </c>
      <c r="H8135" s="23" t="n">
        <f aca="false">(Sens!H8114+Sens!H8119+Sens!H8120+Sens!H8122+Sens!H8124-Sens!H8126)+(Sens!H8127+Sens!H8129+Sens!H8131-Sens!H8133)</f>
        <v>0</v>
      </c>
      <c r="I8135" s="23" t="n">
        <f aca="false">(Sens!I8114+Sens!I8119+Sens!I8120+Sens!I8122+Sens!I8124-Sens!I8126)+(Sens!I8127+Sens!I8129+Sens!I8131-Sens!I8133)</f>
        <v>0</v>
      </c>
      <c r="J8135" s="23" t="n">
        <f aca="false">(Sens!J8114+Sens!J8119+Sens!J8120+Sens!J8122+Sens!J8124-Sens!J8126)+(Sens!J8127+Sens!J8129+Sens!J8131-Sens!J8133)</f>
        <v>0</v>
      </c>
      <c r="K8135" s="23" t="n">
        <f aca="false">(Sens!K8114+Sens!K8119+Sens!K8120+Sens!K8122+Sens!K8124-Sens!K8126)+(Sens!K8127+Sens!K8129+Sens!K8131-Sens!K8133)</f>
        <v>0</v>
      </c>
    </row>
    <row r="8136" customFormat="false" ht="17.15" hidden="false" customHeight="false" outlineLevel="0" collapsed="false">
      <c r="A8136" s="3" t="s">
        <v>1346</v>
      </c>
    </row>
    <row r="8137" customFormat="false" ht="15" hidden="false" customHeight="false" outlineLevel="0" collapsed="false">
      <c r="A8137" s="4" t="s">
        <v>43</v>
      </c>
      <c r="B8137" s="4" t="s">
        <v>63</v>
      </c>
      <c r="C8137" s="19" t="s">
        <v>710</v>
      </c>
      <c r="D8137" s="19" t="s">
        <v>711</v>
      </c>
      <c r="E8137" s="19" t="s">
        <v>712</v>
      </c>
      <c r="F8137" s="19" t="s">
        <v>713</v>
      </c>
      <c r="G8137" s="19" t="s">
        <v>714</v>
      </c>
      <c r="H8137" s="19" t="s">
        <v>715</v>
      </c>
      <c r="I8137" s="19" t="s">
        <v>716</v>
      </c>
      <c r="J8137" s="19" t="s">
        <v>717</v>
      </c>
      <c r="K8137" s="19" t="s">
        <v>718</v>
      </c>
      <c r="L8137" s="4" t="s">
        <v>47</v>
      </c>
    </row>
    <row r="8138" customFormat="false" ht="15" hidden="false" customHeight="false" outlineLevel="0" collapsed="false">
      <c r="A8138" s="0" t="s">
        <v>783</v>
      </c>
      <c r="B8138" s="0" t="s">
        <v>95</v>
      </c>
      <c r="D8138" s="6" t="n">
        <f aca="false">Sens!D8114</f>
        <v>72.61</v>
      </c>
      <c r="E8138" s="6" t="n">
        <f aca="false">Sens!E8114</f>
        <v>101.938</v>
      </c>
      <c r="F8138" s="6" t="n">
        <f aca="false">Sens!F8114</f>
        <v>145.143956312325</v>
      </c>
      <c r="G8138" s="6" t="n">
        <f aca="false">Sens!G8114</f>
        <v>196.478966522364</v>
      </c>
      <c r="H8138" s="6" t="n">
        <f aca="false">Sens!H8114</f>
        <v>249.10761332251</v>
      </c>
      <c r="I8138" s="6" t="n">
        <f aca="false">Sens!I8114</f>
        <v>301.318218457463</v>
      </c>
      <c r="J8138" s="6" t="n">
        <f aca="false">Sens!J8114</f>
        <v>352.037892979313</v>
      </c>
      <c r="K8138" s="6" t="n">
        <f aca="false">Sens!K8114</f>
        <v>400.20428058249</v>
      </c>
    </row>
    <row r="8139" customFormat="false" ht="17.15" hidden="false" customHeight="false" outlineLevel="0" collapsed="false">
      <c r="A8139" s="0" t="s">
        <v>780</v>
      </c>
      <c r="B8139" s="0" t="s">
        <v>95</v>
      </c>
      <c r="D8139" s="6" t="n">
        <f aca="false">Sens!D8111</f>
        <v>12.9359794422418</v>
      </c>
      <c r="E8139" s="6" t="n">
        <f aca="false">Sens!E8111</f>
        <v>27.8095064661409</v>
      </c>
      <c r="F8139" s="6" t="n">
        <f aca="false">Sens!F8111</f>
        <v>55.0640065749585</v>
      </c>
      <c r="G8139" s="6" t="n">
        <f aca="false">Sens!G8111</f>
        <v>89.4505413190538</v>
      </c>
      <c r="H8139" s="6" t="n">
        <f aca="false">Sens!H8111</f>
        <v>124.835630736874</v>
      </c>
      <c r="I8139" s="6" t="n">
        <f aca="false">Sens!I8111</f>
        <v>160.384516075608</v>
      </c>
      <c r="J8139" s="6" t="n">
        <f aca="false">Sens!J8111</f>
        <v>196.019025664981</v>
      </c>
      <c r="K8139" s="6" t="n">
        <f aca="false">Sens!K8111</f>
        <v>231.703903883012</v>
      </c>
    </row>
    <row r="8140" customFormat="false" ht="17.15" hidden="false" customHeight="false" outlineLevel="0" collapsed="false">
      <c r="A8140" s="0" t="s">
        <v>807</v>
      </c>
      <c r="B8140" s="0" t="s">
        <v>95</v>
      </c>
      <c r="D8140" s="6" t="n">
        <f aca="false">Sens!D8112</f>
        <v>59.6740205577583</v>
      </c>
      <c r="E8140" s="6" t="n">
        <f aca="false">Sens!E8112</f>
        <v>74.1284935338591</v>
      </c>
      <c r="F8140" s="6" t="n">
        <f aca="false">Sens!F8112</f>
        <v>90.0799497373663</v>
      </c>
      <c r="G8140" s="6" t="n">
        <f aca="false">Sens!G8112</f>
        <v>107.02842520331</v>
      </c>
      <c r="H8140" s="6" t="n">
        <f aca="false">Sens!H8112</f>
        <v>124.271982585636</v>
      </c>
      <c r="I8140" s="6" t="n">
        <f aca="false">Sens!I8112</f>
        <v>140.933702381855</v>
      </c>
      <c r="J8140" s="6" t="n">
        <f aca="false">Sens!J8112</f>
        <v>156.018867314332</v>
      </c>
      <c r="K8140" s="6" t="n">
        <f aca="false">Sens!K8112</f>
        <v>168.500376699478</v>
      </c>
    </row>
    <row r="8141" customFormat="false" ht="15" hidden="false" customHeight="false" outlineLevel="0" collapsed="false">
      <c r="A8141" s="0" t="s">
        <v>788</v>
      </c>
      <c r="B8141" s="0" t="s">
        <v>95</v>
      </c>
      <c r="D8141" s="6" t="n">
        <f aca="false">Sens!D8119</f>
        <v>84.605</v>
      </c>
      <c r="E8141" s="6" t="n">
        <f aca="false">Sens!E8119</f>
        <v>100.299</v>
      </c>
      <c r="F8141" s="6" t="n">
        <f aca="false">Sens!F8119</f>
        <v>118.89238776686</v>
      </c>
      <c r="G8141" s="6" t="n">
        <f aca="false">Sens!G8119</f>
        <v>137.044168448684</v>
      </c>
      <c r="H8141" s="6" t="n">
        <f aca="false">Sens!H8119</f>
        <v>155.277359388781</v>
      </c>
      <c r="I8141" s="6" t="n">
        <f aca="false">Sens!I8119</f>
        <v>171.834028071957</v>
      </c>
      <c r="J8141" s="6" t="n">
        <f aca="false">Sens!J8119</f>
        <v>186.432702785465</v>
      </c>
      <c r="K8141" s="6" t="n">
        <f aca="false">Sens!K8119</f>
        <v>200.277991980448</v>
      </c>
    </row>
    <row r="8142" customFormat="false" ht="17.15" hidden="false" customHeight="false" outlineLevel="0" collapsed="false">
      <c r="A8142" s="0" t="s">
        <v>808</v>
      </c>
      <c r="B8142" s="0" t="s">
        <v>95</v>
      </c>
      <c r="D8142" s="6" t="n">
        <f aca="false">Sens!D8117</f>
        <v>83.705</v>
      </c>
      <c r="E8142" s="6" t="n">
        <f aca="false">Sens!E8117</f>
        <v>95.049</v>
      </c>
      <c r="F8142" s="6" t="n">
        <f aca="false">Sens!F8117</f>
        <v>106.89238776686</v>
      </c>
      <c r="G8142" s="6" t="n">
        <f aca="false">Sens!G8117</f>
        <v>119.044168448684</v>
      </c>
      <c r="H8142" s="6" t="n">
        <f aca="false">Sens!H8117</f>
        <v>131.277359388781</v>
      </c>
      <c r="I8142" s="6" t="n">
        <f aca="false">Sens!I8117</f>
        <v>143.334028071957</v>
      </c>
      <c r="J8142" s="6" t="n">
        <f aca="false">Sens!J8117</f>
        <v>154.932702785465</v>
      </c>
      <c r="K8142" s="6" t="n">
        <f aca="false">Sens!K8117</f>
        <v>165.777991980448</v>
      </c>
    </row>
    <row r="8143" customFormat="false" ht="17.15" hidden="false" customHeight="false" outlineLevel="0" collapsed="false">
      <c r="A8143" s="0" t="s">
        <v>809</v>
      </c>
      <c r="B8143" s="0" t="s">
        <v>95</v>
      </c>
      <c r="D8143" s="6" t="n">
        <f aca="false">Sens!D8116</f>
        <v>0.9</v>
      </c>
      <c r="E8143" s="6" t="n">
        <f aca="false">Sens!E8116</f>
        <v>5.25</v>
      </c>
      <c r="F8143" s="6" t="n">
        <f aca="false">Sens!F8116</f>
        <v>12</v>
      </c>
      <c r="G8143" s="6" t="n">
        <f aca="false">Sens!G8116</f>
        <v>18</v>
      </c>
      <c r="H8143" s="6" t="n">
        <f aca="false">Sens!H8116</f>
        <v>24</v>
      </c>
      <c r="I8143" s="6" t="n">
        <f aca="false">Sens!I8116</f>
        <v>28.5</v>
      </c>
      <c r="J8143" s="6" t="n">
        <f aca="false">Sens!J8116</f>
        <v>31.5</v>
      </c>
      <c r="K8143" s="6" t="n">
        <f aca="false">Sens!K8116</f>
        <v>34.5</v>
      </c>
    </row>
    <row r="8144" customFormat="false" ht="15" hidden="false" customHeight="false" outlineLevel="0" collapsed="false">
      <c r="A8144" s="0" t="s">
        <v>789</v>
      </c>
      <c r="B8144" s="0" t="s">
        <v>95</v>
      </c>
      <c r="D8144" s="6" t="n">
        <f aca="false">Sens!D8120</f>
        <v>35.391</v>
      </c>
      <c r="E8144" s="6" t="n">
        <f aca="false">Sens!E8120</f>
        <v>37.285</v>
      </c>
      <c r="F8144" s="6" t="n">
        <f aca="false">Sens!F8120</f>
        <v>39.0720834331704</v>
      </c>
      <c r="G8144" s="6" t="n">
        <f aca="false">Sens!G8120</f>
        <v>40.726562953769</v>
      </c>
      <c r="H8144" s="6" t="n">
        <f aca="false">Sens!H8120</f>
        <v>42.2235987259198</v>
      </c>
      <c r="I8144" s="6" t="n">
        <f aca="false">Sens!I8120</f>
        <v>43.5397988077414</v>
      </c>
      <c r="J8144" s="6" t="n">
        <f aca="false">Sens!J8120</f>
        <v>44.653811225693</v>
      </c>
      <c r="K8144" s="6" t="n">
        <f aca="false">Sens!K8120</f>
        <v>45.5468874502068</v>
      </c>
    </row>
    <row r="8145" customFormat="false" ht="15" hidden="false" customHeight="false" outlineLevel="0" collapsed="false">
      <c r="A8145" s="0" t="s">
        <v>790</v>
      </c>
      <c r="B8145" s="0" t="s">
        <v>95</v>
      </c>
      <c r="D8145" s="6" t="n">
        <f aca="false">Sens!D8122</f>
        <v>18.417</v>
      </c>
      <c r="E8145" s="6" t="n">
        <f aca="false">Sens!E8122</f>
        <v>20.345</v>
      </c>
      <c r="F8145" s="6" t="n">
        <f aca="false">Sens!F8122</f>
        <v>22.3572203267814</v>
      </c>
      <c r="G8145" s="6" t="n">
        <f aca="false">Sens!G8122</f>
        <v>24.4392124437232</v>
      </c>
      <c r="H8145" s="6" t="n">
        <f aca="false">Sens!H8122</f>
        <v>26.5738052080665</v>
      </c>
      <c r="I8145" s="6" t="n">
        <f aca="false">Sens!I8122</f>
        <v>28.7412169166967</v>
      </c>
      <c r="J8145" s="6" t="n">
        <f aca="false">Sens!J8122</f>
        <v>30.9192545395413</v>
      </c>
      <c r="K8145" s="6" t="n">
        <f aca="false">Sens!K8122</f>
        <v>33.0836023573092</v>
      </c>
    </row>
    <row r="8146" customFormat="false" ht="15" hidden="false" customHeight="false" outlineLevel="0" collapsed="false">
      <c r="A8146" s="0" t="s">
        <v>791</v>
      </c>
      <c r="B8146" s="0" t="s">
        <v>95</v>
      </c>
      <c r="D8146" s="6" t="n">
        <f aca="false">Sens!D8124</f>
        <v>7.76</v>
      </c>
      <c r="E8146" s="6" t="n">
        <f aca="false">Sens!E8124</f>
        <v>8.26</v>
      </c>
      <c r="F8146" s="6" t="n">
        <f aca="false">Sens!F8124</f>
        <v>8.79988041237113</v>
      </c>
      <c r="G8146" s="6" t="n">
        <f aca="false">Sens!G8124</f>
        <v>9.38321269125306</v>
      </c>
      <c r="H8146" s="6" t="n">
        <f aca="false">Sens!H8124</f>
        <v>10.0139193587476</v>
      </c>
      <c r="I8146" s="6" t="n">
        <f aca="false">Sens!I8124</f>
        <v>10.6963111830911</v>
      </c>
      <c r="J8146" s="6" t="n">
        <f aca="false">Sens!J8124</f>
        <v>11.4351285534696</v>
      </c>
      <c r="K8146" s="6" t="n">
        <f aca="false">Sens!K8124</f>
        <v>12.2355875522124</v>
      </c>
    </row>
    <row r="8147" customFormat="false" ht="15" hidden="false" customHeight="false" outlineLevel="0" collapsed="false">
      <c r="A8147" s="0" t="s">
        <v>626</v>
      </c>
      <c r="B8147" s="0" t="s">
        <v>95</v>
      </c>
      <c r="D8147" s="6" t="n">
        <f aca="false">Sens!D8126</f>
        <v>218.783</v>
      </c>
      <c r="E8147" s="6" t="n">
        <f aca="false">Sens!E8126</f>
        <v>268.127</v>
      </c>
      <c r="F8147" s="6" t="n">
        <f aca="false">Sens!F8126</f>
        <v>334.265528251508</v>
      </c>
      <c r="G8147" s="6" t="n">
        <f aca="false">Sens!G8126</f>
        <v>408.072123059793</v>
      </c>
      <c r="H8147" s="6" t="n">
        <f aca="false">Sens!H8126</f>
        <v>483.196296004025</v>
      </c>
      <c r="I8147" s="6" t="n">
        <f aca="false">Sens!I8126</f>
        <v>556.129573436949</v>
      </c>
      <c r="J8147" s="6" t="n">
        <f aca="false">Sens!J8126</f>
        <v>625.478790083482</v>
      </c>
      <c r="K8147" s="6" t="n">
        <f aca="false">Sens!K8126</f>
        <v>691.348349922667</v>
      </c>
    </row>
    <row r="8148" customFormat="false" ht="15" hidden="false" customHeight="false" outlineLevel="0" collapsed="false">
      <c r="A8148" s="0" t="s">
        <v>792</v>
      </c>
      <c r="B8148" s="0" t="s">
        <v>95</v>
      </c>
      <c r="D8148" s="6" t="n">
        <f aca="false">Sens!D8127</f>
        <v>22.171</v>
      </c>
      <c r="E8148" s="6" t="n">
        <f aca="false">Sens!E8127</f>
        <v>24.835</v>
      </c>
      <c r="F8148" s="6" t="n">
        <f aca="false">Sens!F8127</f>
        <v>27.7356651218559</v>
      </c>
      <c r="G8148" s="6" t="n">
        <f aca="false">Sens!G8127</f>
        <v>30.8819427955575</v>
      </c>
      <c r="H8148" s="6" t="n">
        <f aca="false">Sens!H8127</f>
        <v>34.2813801456859</v>
      </c>
      <c r="I8148" s="6" t="n">
        <f aca="false">Sens!I8127</f>
        <v>37.9398543169022</v>
      </c>
      <c r="J8148" s="6" t="n">
        <f aca="false">Sens!J8127</f>
        <v>41.8612984476003</v>
      </c>
      <c r="K8148" s="6" t="n">
        <f aca="false">Sens!K8127</f>
        <v>46.0474282923604</v>
      </c>
    </row>
    <row r="8149" customFormat="false" ht="15" hidden="false" customHeight="false" outlineLevel="0" collapsed="false">
      <c r="A8149" s="0" t="s">
        <v>793</v>
      </c>
      <c r="B8149" s="0" t="s">
        <v>95</v>
      </c>
      <c r="D8149" s="6" t="n">
        <f aca="false">Sens!D8129</f>
        <v>23.455</v>
      </c>
      <c r="E8149" s="6" t="n">
        <f aca="false">Sens!E8129</f>
        <v>21.79</v>
      </c>
      <c r="F8149" s="6" t="n">
        <f aca="false">Sens!F8129</f>
        <v>20.5736277908051</v>
      </c>
      <c r="G8149" s="6" t="n">
        <f aca="false">Sens!G8129</f>
        <v>19.7371452817919</v>
      </c>
      <c r="H8149" s="6" t="n">
        <f aca="false">Sens!H8129</f>
        <v>19.2339764043138</v>
      </c>
      <c r="I8149" s="6" t="n">
        <f aca="false">Sens!I8129</f>
        <v>19.0353086852681</v>
      </c>
      <c r="J8149" s="6" t="n">
        <f aca="false">Sens!J8129</f>
        <v>19.1273539319129</v>
      </c>
      <c r="K8149" s="6" t="n">
        <f aca="false">Sens!K8129</f>
        <v>19.5099010105511</v>
      </c>
    </row>
    <row r="8150" customFormat="false" ht="15" hidden="false" customHeight="false" outlineLevel="0" collapsed="false">
      <c r="A8150" s="0" t="s">
        <v>794</v>
      </c>
      <c r="B8150" s="0" t="s">
        <v>95</v>
      </c>
      <c r="D8150" s="6" t="n">
        <f aca="false">Sens!D8131</f>
        <v>17.315</v>
      </c>
      <c r="E8150" s="6" t="n">
        <f aca="false">Sens!E8131</f>
        <v>17.087</v>
      </c>
      <c r="F8150" s="6" t="n">
        <f aca="false">Sens!F8131</f>
        <v>16.9564585436519</v>
      </c>
      <c r="G8150" s="6" t="n">
        <f aca="false">Sens!G8131</f>
        <v>16.9206490624268</v>
      </c>
      <c r="H8150" s="6" t="n">
        <f aca="false">Sens!H8131</f>
        <v>16.9784519149849</v>
      </c>
      <c r="I8150" s="6" t="n">
        <f aca="false">Sens!I8131</f>
        <v>17.1303084701817</v>
      </c>
      <c r="J8150" s="6" t="n">
        <f aca="false">Sens!J8131</f>
        <v>17.3782189407267</v>
      </c>
      <c r="K8150" s="6" t="n">
        <f aca="false">Sens!K8131</f>
        <v>17.7257833195413</v>
      </c>
    </row>
    <row r="8151" customFormat="false" ht="15" hidden="false" customHeight="false" outlineLevel="0" collapsed="false">
      <c r="A8151" s="0" t="s">
        <v>640</v>
      </c>
      <c r="B8151" s="0" t="s">
        <v>95</v>
      </c>
      <c r="D8151" s="6" t="n">
        <f aca="false">Sens!D8133</f>
        <v>62.941</v>
      </c>
      <c r="E8151" s="6" t="n">
        <f aca="false">Sens!E8133</f>
        <v>63.712</v>
      </c>
      <c r="F8151" s="6" t="n">
        <f aca="false">Sens!F8133</f>
        <v>65.2657514563129</v>
      </c>
      <c r="G8151" s="6" t="n">
        <f aca="false">Sens!G8133</f>
        <v>67.5397371397762</v>
      </c>
      <c r="H8151" s="6" t="n">
        <f aca="false">Sens!H8133</f>
        <v>70.4938084649846</v>
      </c>
      <c r="I8151" s="6" t="n">
        <f aca="false">Sens!I8133</f>
        <v>74.105471472352</v>
      </c>
      <c r="J8151" s="6" t="n">
        <f aca="false">Sens!J8133</f>
        <v>78.3668713202399</v>
      </c>
      <c r="K8151" s="6" t="n">
        <f aca="false">Sens!K8133</f>
        <v>83.2831126224528</v>
      </c>
    </row>
    <row r="8152" customFormat="false" ht="15" hidden="false" customHeight="false" outlineLevel="0" collapsed="false">
      <c r="A8152" s="1" t="s">
        <v>810</v>
      </c>
      <c r="B8152" s="0" t="s">
        <v>95</v>
      </c>
      <c r="D8152" s="6" t="n">
        <f aca="false">Sens!D8134</f>
        <v>281.724</v>
      </c>
      <c r="E8152" s="6" t="n">
        <f aca="false">Sens!E8134</f>
        <v>331.839</v>
      </c>
      <c r="F8152" s="6" t="n">
        <f aca="false">Sens!F8134</f>
        <v>399.531279707821</v>
      </c>
      <c r="G8152" s="6" t="n">
        <f aca="false">Sens!G8134</f>
        <v>475.611860199569</v>
      </c>
      <c r="H8152" s="6" t="n">
        <f aca="false">Sens!H8134</f>
        <v>553.69010446901</v>
      </c>
      <c r="I8152" s="6" t="n">
        <f aca="false">Sens!I8134</f>
        <v>630.235044909302</v>
      </c>
      <c r="J8152" s="6" t="n">
        <f aca="false">Sens!J8134</f>
        <v>703.845661403722</v>
      </c>
      <c r="K8152" s="6" t="n">
        <f aca="false">Sens!K8134</f>
        <v>774.63146254512</v>
      </c>
    </row>
    <row r="8153" customFormat="false" ht="15" hidden="false" customHeight="false" outlineLevel="0" collapsed="false">
      <c r="A8153" s="1" t="s">
        <v>811</v>
      </c>
      <c r="B8153" s="0" t="s">
        <v>126</v>
      </c>
      <c r="E8153" s="7" t="n">
        <f aca="false">Sens!E8152/Sens!D8152-1</f>
        <v>0.177886867998467</v>
      </c>
      <c r="F8153" s="7" t="n">
        <f aca="false">Sens!F8152/Sens!E8152-1</f>
        <v>0.20399133226601</v>
      </c>
      <c r="G8153" s="7" t="n">
        <f aca="false">Sens!G8152/Sens!F8152-1</f>
        <v>0.190424590904088</v>
      </c>
      <c r="H8153" s="7" t="n">
        <f aca="false">Sens!H8152/Sens!G8152-1</f>
        <v>0.164163787330027</v>
      </c>
      <c r="I8153" s="7" t="n">
        <f aca="false">Sens!I8152/Sens!H8152-1</f>
        <v>0.138245093821387</v>
      </c>
      <c r="J8153" s="7" t="n">
        <f aca="false">Sens!J8152/Sens!I8152-1</f>
        <v>0.116798672319172</v>
      </c>
      <c r="K8153" s="7" t="n">
        <f aca="false">Sens!K8152/Sens!J8152-1</f>
        <v>0.100570061056035</v>
      </c>
    </row>
    <row r="8154" customFormat="false" ht="17.15" hidden="false" customHeight="false" outlineLevel="0" collapsed="false">
      <c r="A8154" s="22" t="s">
        <v>812</v>
      </c>
      <c r="B8154" s="28" t="s">
        <v>95</v>
      </c>
      <c r="C8154" s="28"/>
      <c r="D8154" s="23" t="n">
        <f aca="false">(Sens!D8147+Sens!D8151-Sens!D8152)+(Sens!D8139+Sens!D8140-Sens!D8138)+(Sens!D8142+Sens!D8143-Sens!D8141)+(Sens!D8152-Q!L18)</f>
        <v>0</v>
      </c>
      <c r="E8154" s="23" t="n">
        <f aca="false">(Sens!E8147+Sens!E8151-Sens!E8152)+(Sens!E8139+Sens!E8140-Sens!E8138)+(Sens!E8142+Sens!E8143-Sens!E8141)+(Sens!E8152-Q!M18)</f>
        <v>0</v>
      </c>
      <c r="F8154" s="23" t="n">
        <f aca="false">(Sens!F8147+Sens!F8151-Sens!F8152)+(Sens!F8139+Sens!F8140-Sens!F8138)+(Sens!F8142+Sens!F8143-Sens!F8141)</f>
        <v>0</v>
      </c>
      <c r="G8154" s="23" t="n">
        <f aca="false">(Sens!G8147+Sens!G8151-Sens!G8152)+(Sens!G8139+Sens!G8140-Sens!G8138)+(Sens!G8142+Sens!G8143-Sens!G8141)</f>
        <v>0</v>
      </c>
      <c r="H8154" s="23" t="n">
        <f aca="false">(Sens!H8147+Sens!H8151-Sens!H8152)+(Sens!H8139+Sens!H8140-Sens!H8138)+(Sens!H8142+Sens!H8143-Sens!H8141)</f>
        <v>0</v>
      </c>
      <c r="I8154" s="23" t="n">
        <f aca="false">(Sens!I8147+Sens!I8151-Sens!I8152)+(Sens!I8139+Sens!I8140-Sens!I8138)+(Sens!I8142+Sens!I8143-Sens!I8141)</f>
        <v>0</v>
      </c>
      <c r="J8154" s="23" t="n">
        <f aca="false">(Sens!J8147+Sens!J8151-Sens!J8152)+(Sens!J8139+Sens!J8140-Sens!J8138)+(Sens!J8142+Sens!J8143-Sens!J8141)</f>
        <v>0</v>
      </c>
      <c r="K8154" s="23" t="n">
        <f aca="false">(Sens!K8147+Sens!K8151-Sens!K8152)+(Sens!K8139+Sens!K8140-Sens!K8138)+(Sens!K8142+Sens!K8143-Sens!K8141)</f>
        <v>0</v>
      </c>
    </row>
    <row r="8155" customFormat="false" ht="17.15" hidden="false" customHeight="false" outlineLevel="0" collapsed="false">
      <c r="A8155" s="0" t="s">
        <v>813</v>
      </c>
      <c r="B8155" s="0" t="s">
        <v>126</v>
      </c>
      <c r="E8155" s="7" t="n">
        <f aca="false">(Q!M21+Sens!E8092+Sens!E8093+Sens!E8094+Sens!E8107-Sens!E8090)/(Q!M5-Sens!E8090)</f>
        <v>0.570957350878296</v>
      </c>
      <c r="F8155" s="7" t="n">
        <f aca="false">Sens!$E$8155+dm_seg</f>
        <v>0.570957350878296</v>
      </c>
      <c r="G8155" s="7" t="n">
        <f aca="false">Sens!$E$8155+dm_seg</f>
        <v>0.570957350878296</v>
      </c>
      <c r="H8155" s="7" t="n">
        <f aca="false">Sens!$E$8155+dm_seg</f>
        <v>0.570957350878296</v>
      </c>
      <c r="I8155" s="7" t="n">
        <f aca="false">Sens!$E$8155+dm_seg</f>
        <v>0.570957350878296</v>
      </c>
      <c r="J8155" s="7" t="n">
        <f aca="false">Sens!$E$8155+dm_seg</f>
        <v>0.570957350878296</v>
      </c>
      <c r="K8155" s="7" t="n">
        <f aca="false">Sens!$E$8155+dm_seg</f>
        <v>0.570957350878296</v>
      </c>
      <c r="L8155" s="11" t="s">
        <v>814</v>
      </c>
    </row>
    <row r="8156" customFormat="false" ht="17.15" hidden="false" customHeight="false" outlineLevel="0" collapsed="false">
      <c r="A8156" s="0" t="s">
        <v>654</v>
      </c>
      <c r="B8156" s="0" t="s">
        <v>95</v>
      </c>
      <c r="D8156" s="6" t="n">
        <f aca="false">Q!L21</f>
        <v>110.814</v>
      </c>
      <c r="E8156" s="6" t="n">
        <f aca="false">Q!M21</f>
        <v>136.365</v>
      </c>
      <c r="F8156" s="6" t="n">
        <f aca="false">Sens!F8155*(Sens!F8126-Sens!F8090)+Sens!F8090-(Sens!F8092+Sens!F8093+Sens!F8094)-Sens!F8107</f>
        <v>157.598963753779</v>
      </c>
      <c r="G8156" s="6" t="n">
        <f aca="false">Sens!G8155*(Sens!G8126-Sens!G8090)+Sens!G8090-(Sens!G8092+Sens!G8093+Sens!G8094)-Sens!G8107</f>
        <v>177.182380033313</v>
      </c>
      <c r="H8156" s="6" t="n">
        <f aca="false">Sens!H8155*(Sens!H8126-Sens!H8090)+Sens!H8090-(Sens!H8092+Sens!H8093+Sens!H8094)-Sens!H8107</f>
        <v>196.824210255292</v>
      </c>
      <c r="I8156" s="6" t="n">
        <f aca="false">Sens!I8155*(Sens!I8126-Sens!I8090)+Sens!I8090-(Sens!I8092+Sens!I8093+Sens!I8094)-Sens!I8107</f>
        <v>214.235306886837</v>
      </c>
      <c r="J8156" s="6" t="n">
        <f aca="false">Sens!J8155*(Sens!J8126-Sens!J8090)+Sens!J8090-(Sens!J8092+Sens!J8093+Sens!J8094)-Sens!J8107</f>
        <v>228.648453496126</v>
      </c>
      <c r="K8156" s="6" t="n">
        <f aca="false">Sens!K8155*(Sens!K8126-Sens!K8090)+Sens!K8090-(Sens!K8092+Sens!K8093+Sens!K8094)-Sens!K8107</f>
        <v>239.799449473206</v>
      </c>
      <c r="L8156" s="1" t="s">
        <v>815</v>
      </c>
    </row>
    <row r="8157" customFormat="false" ht="17.15" hidden="false" customHeight="false" outlineLevel="0" collapsed="false">
      <c r="A8157" s="0" t="s">
        <v>816</v>
      </c>
      <c r="B8157" s="0" t="s">
        <v>126</v>
      </c>
      <c r="E8157" s="7" t="n">
        <f aca="false">Q!M22/Q!M12</f>
        <v>0.296207935710698</v>
      </c>
      <c r="F8157" s="7" t="n">
        <f aca="false">Sens!$E$8157+dm_seg</f>
        <v>0.296207935710698</v>
      </c>
      <c r="G8157" s="7" t="n">
        <f aca="false">Sens!$E$8157+dm_seg</f>
        <v>0.296207935710698</v>
      </c>
      <c r="H8157" s="7" t="n">
        <f aca="false">Sens!$E$8157+dm_seg</f>
        <v>0.296207935710698</v>
      </c>
      <c r="I8157" s="7" t="n">
        <f aca="false">Sens!$E$8157+dm_seg</f>
        <v>0.296207935710698</v>
      </c>
      <c r="J8157" s="7" t="n">
        <f aca="false">Sens!$E$8157+dm_seg</f>
        <v>0.296207935710698</v>
      </c>
      <c r="K8157" s="7" t="n">
        <f aca="false">Sens!$E$8157+dm_seg</f>
        <v>0.296207935710698</v>
      </c>
      <c r="L8157" s="11" t="s">
        <v>817</v>
      </c>
    </row>
    <row r="8158" customFormat="false" ht="17.15" hidden="false" customHeight="false" outlineLevel="0" collapsed="false">
      <c r="A8158" s="0" t="s">
        <v>656</v>
      </c>
      <c r="B8158" s="0" t="s">
        <v>95</v>
      </c>
      <c r="D8158" s="6" t="n">
        <f aca="false">Q!L22</f>
        <v>17.714</v>
      </c>
      <c r="E8158" s="6" t="n">
        <f aca="false">Q!M22</f>
        <v>18.872</v>
      </c>
      <c r="F8158" s="6" t="n">
        <f aca="false">Sens!F8133*Sens!F8157</f>
        <v>19.3322335114819</v>
      </c>
      <c r="G8158" s="6" t="n">
        <f aca="false">Sens!G8133*Sens!G8157</f>
        <v>20.0058061166163</v>
      </c>
      <c r="H8158" s="6" t="n">
        <f aca="false">Sens!H8133*Sens!H8157</f>
        <v>20.8808254857984</v>
      </c>
      <c r="I8158" s="6" t="n">
        <f aca="false">Sens!I8133*Sens!I8157</f>
        <v>21.9506287296934</v>
      </c>
      <c r="J8158" s="6" t="n">
        <f aca="false">Sens!J8133*Sens!J8157</f>
        <v>23.2128891818742</v>
      </c>
      <c r="K8158" s="6" t="n">
        <f aca="false">Sens!K8133*Sens!K8157</f>
        <v>24.6691188694583</v>
      </c>
    </row>
    <row r="8159" customFormat="false" ht="15" hidden="false" customHeight="false" outlineLevel="0" collapsed="false">
      <c r="A8159" s="1" t="s">
        <v>818</v>
      </c>
      <c r="B8159" s="0" t="s">
        <v>95</v>
      </c>
      <c r="D8159" s="6" t="n">
        <f aca="false">Sens!D8156+Sens!D8158</f>
        <v>128.528</v>
      </c>
      <c r="E8159" s="6" t="n">
        <f aca="false">Sens!E8156+Sens!E8158</f>
        <v>155.237</v>
      </c>
      <c r="F8159" s="6" t="n">
        <f aca="false">Sens!F8156+Sens!F8158</f>
        <v>176.931197265261</v>
      </c>
      <c r="G8159" s="6" t="n">
        <f aca="false">Sens!G8156+Sens!G8158</f>
        <v>197.188186149929</v>
      </c>
      <c r="H8159" s="6" t="n">
        <f aca="false">Sens!H8156+Sens!H8158</f>
        <v>217.705035741091</v>
      </c>
      <c r="I8159" s="6" t="n">
        <f aca="false">Sens!I8156+Sens!I8158</f>
        <v>236.18593561653</v>
      </c>
      <c r="J8159" s="6" t="n">
        <f aca="false">Sens!J8156+Sens!J8158</f>
        <v>251.861342678</v>
      </c>
      <c r="K8159" s="6" t="n">
        <f aca="false">Sens!K8156+Sens!K8158</f>
        <v>264.468568342664</v>
      </c>
    </row>
    <row r="8160" customFormat="false" ht="15" hidden="false" customHeight="false" outlineLevel="0" collapsed="false">
      <c r="A8160" s="22" t="s">
        <v>819</v>
      </c>
      <c r="B8160" s="28" t="s">
        <v>95</v>
      </c>
      <c r="C8160" s="28"/>
      <c r="D8160" s="23" t="n">
        <f aca="false">Sens!D8159-Q!L23</f>
        <v>0</v>
      </c>
      <c r="E8160" s="23" t="n">
        <f aca="false">Sens!E8159-Q!M23</f>
        <v>0</v>
      </c>
      <c r="F8160" s="28"/>
      <c r="G8160" s="28"/>
      <c r="H8160" s="28"/>
      <c r="I8160" s="28"/>
      <c r="J8160" s="28"/>
      <c r="K8160" s="28"/>
    </row>
    <row r="8161" customFormat="false" ht="15" hidden="false" customHeight="false" outlineLevel="0" collapsed="false">
      <c r="A8161" s="1" t="s">
        <v>820</v>
      </c>
      <c r="B8161" s="0" t="s">
        <v>126</v>
      </c>
      <c r="D8161" s="7" t="n">
        <f aca="false">Sens!D8159/Sens!D8152</f>
        <v>0.456219562408598</v>
      </c>
      <c r="E8161" s="7" t="n">
        <f aca="false">Sens!E8159/Sens!E8152</f>
        <v>0.467808184089272</v>
      </c>
      <c r="F8161" s="7" t="n">
        <f aca="false">Sens!F8159/Sens!F8152</f>
        <v>0.442846921509255</v>
      </c>
      <c r="G8161" s="7" t="n">
        <f aca="false">Sens!G8159/Sens!G8152</f>
        <v>0.41459896745886</v>
      </c>
      <c r="H8161" s="7" t="n">
        <f aca="false">Sens!H8159/Sens!H8152</f>
        <v>0.393189320133996</v>
      </c>
      <c r="I8161" s="7" t="n">
        <f aca="false">Sens!I8159/Sens!I8152</f>
        <v>0.37475849292151</v>
      </c>
      <c r="J8161" s="7" t="n">
        <f aca="false">Sens!J8159/Sens!J8152</f>
        <v>0.357836037769556</v>
      </c>
      <c r="K8161" s="7" t="n">
        <f aca="false">Sens!K8159/Sens!K8152</f>
        <v>0.341412118058992</v>
      </c>
    </row>
    <row r="8162" customFormat="false" ht="17.15" hidden="false" customHeight="false" outlineLevel="0" collapsed="false">
      <c r="A8162" s="1" t="s">
        <v>821</v>
      </c>
      <c r="B8162" s="0" t="s">
        <v>95</v>
      </c>
      <c r="E8162" s="6" t="n">
        <f aca="false">Sens!E8107</f>
        <v>16.3054059770833</v>
      </c>
      <c r="F8162" s="6" t="n">
        <f aca="false">Sens!F8107</f>
        <v>34.7397076225365</v>
      </c>
      <c r="G8162" s="6" t="n">
        <f aca="false">Sens!G8107</f>
        <v>60.5050775936729</v>
      </c>
      <c r="H8162" s="6" t="n">
        <f aca="false">Sens!H8107</f>
        <v>87.7406603264729</v>
      </c>
      <c r="I8162" s="6" t="n">
        <f aca="false">Sens!I8107</f>
        <v>115.995526074456</v>
      </c>
      <c r="J8162" s="6" t="n">
        <f aca="false">Sens!J8107</f>
        <v>145.222622291606</v>
      </c>
      <c r="K8162" s="6" t="n">
        <f aca="false">Sens!K8107</f>
        <v>175.737266967923</v>
      </c>
    </row>
    <row r="8163" customFormat="false" ht="17.15" hidden="false" customHeight="false" outlineLevel="0" collapsed="false">
      <c r="A8163" s="1" t="s">
        <v>822</v>
      </c>
      <c r="B8163" s="0" t="s">
        <v>95</v>
      </c>
      <c r="E8163" s="6" t="n">
        <f aca="false">Sens!E8183</f>
        <v>22.2285940229167</v>
      </c>
      <c r="F8163" s="6" t="n">
        <f aca="false">Sens!F8183</f>
        <v>23.5646627435813</v>
      </c>
      <c r="G8163" s="6" t="n">
        <f aca="false">Sens!G8183</f>
        <v>25.3268008347557</v>
      </c>
      <c r="H8163" s="6" t="n">
        <f aca="false">Sens!H8183</f>
        <v>27.48260814329</v>
      </c>
      <c r="I8163" s="6" t="n">
        <f aca="false">Sens!I8183</f>
        <v>29.9676445814336</v>
      </c>
      <c r="J8163" s="6" t="n">
        <f aca="false">Sens!J8183</f>
        <v>32.7010711415467</v>
      </c>
      <c r="K8163" s="6" t="n">
        <f aca="false">Sens!K8183</f>
        <v>35.6015276849633</v>
      </c>
    </row>
    <row r="8164" customFormat="false" ht="17.15" hidden="false" customHeight="false" outlineLevel="0" collapsed="false">
      <c r="A8164" s="1" t="s">
        <v>823</v>
      </c>
      <c r="B8164" s="0" t="s">
        <v>95</v>
      </c>
      <c r="D8164" s="6" t="n">
        <f aca="false">Q!L27</f>
        <v>-4.901</v>
      </c>
      <c r="E8164" s="6" t="n">
        <f aca="false">Q!M27</f>
        <v>10.697</v>
      </c>
      <c r="F8164" s="6" t="n">
        <f aca="false">oie_f</f>
        <v>-0.4</v>
      </c>
      <c r="G8164" s="6" t="n">
        <f aca="false">oie_f</f>
        <v>-0.4</v>
      </c>
      <c r="H8164" s="6" t="n">
        <f aca="false">oie_f</f>
        <v>-0.4</v>
      </c>
      <c r="I8164" s="6" t="n">
        <f aca="false">oie_f</f>
        <v>-0.4</v>
      </c>
      <c r="J8164" s="6" t="n">
        <f aca="false">oie_f</f>
        <v>-0.4</v>
      </c>
      <c r="K8164" s="6" t="n">
        <f aca="false">oie_f</f>
        <v>-0.4</v>
      </c>
      <c r="L8164" s="11" t="s">
        <v>824</v>
      </c>
    </row>
    <row r="8165" customFormat="false" ht="15" hidden="false" customHeight="false" outlineLevel="0" collapsed="false">
      <c r="A8165" s="1" t="s">
        <v>666</v>
      </c>
      <c r="B8165" s="0" t="s">
        <v>95</v>
      </c>
      <c r="D8165" s="6" t="n">
        <f aca="false">Sens!D8159+Sens!D8164</f>
        <v>123.627</v>
      </c>
      <c r="E8165" s="6" t="n">
        <f aca="false">Sens!E8159+Sens!E8164</f>
        <v>165.934</v>
      </c>
      <c r="F8165" s="6" t="n">
        <f aca="false">Sens!F8159+Sens!F8164</f>
        <v>176.531197265261</v>
      </c>
      <c r="G8165" s="6" t="n">
        <f aca="false">Sens!G8159+Sens!G8164</f>
        <v>196.788186149929</v>
      </c>
      <c r="H8165" s="6" t="n">
        <f aca="false">Sens!H8159+Sens!H8164</f>
        <v>217.305035741091</v>
      </c>
      <c r="I8165" s="6" t="n">
        <f aca="false">Sens!I8159+Sens!I8164</f>
        <v>235.78593561653</v>
      </c>
      <c r="J8165" s="6" t="n">
        <f aca="false">Sens!J8159+Sens!J8164</f>
        <v>251.461342678</v>
      </c>
      <c r="K8165" s="6" t="n">
        <f aca="false">Sens!K8159+Sens!K8164</f>
        <v>264.068568342664</v>
      </c>
    </row>
    <row r="8166" customFormat="false" ht="15" hidden="false" customHeight="false" outlineLevel="0" collapsed="false">
      <c r="A8166" s="1" t="s">
        <v>668</v>
      </c>
      <c r="B8166" s="0" t="s">
        <v>95</v>
      </c>
      <c r="D8166" s="6" t="n">
        <f aca="false">Q!L29</f>
        <v>21.795</v>
      </c>
      <c r="E8166" s="6" t="n">
        <f aca="false">Q!M29</f>
        <v>32.185</v>
      </c>
      <c r="F8166" s="6" t="n">
        <f aca="false">Sens!F8165*tax_f</f>
        <v>35.3062394530522</v>
      </c>
      <c r="G8166" s="6" t="n">
        <f aca="false">Sens!G8165*tax_f</f>
        <v>39.3576372299858</v>
      </c>
      <c r="H8166" s="6" t="n">
        <f aca="false">Sens!H8165*tax_f</f>
        <v>43.4610071482182</v>
      </c>
      <c r="I8166" s="6" t="n">
        <f aca="false">Sens!I8165*tax_f</f>
        <v>47.157187123306</v>
      </c>
      <c r="J8166" s="6" t="n">
        <f aca="false">Sens!J8165*tax_f</f>
        <v>50.2922685356001</v>
      </c>
      <c r="K8166" s="6" t="n">
        <f aca="false">Sens!K8165*tax_f</f>
        <v>52.8137136685328</v>
      </c>
    </row>
    <row r="8167" customFormat="false" ht="15" hidden="false" customHeight="false" outlineLevel="0" collapsed="false">
      <c r="A8167" s="1" t="s">
        <v>825</v>
      </c>
      <c r="B8167" s="0" t="s">
        <v>95</v>
      </c>
      <c r="D8167" s="6" t="n">
        <f aca="false">Sens!D8165-Sens!D8166</f>
        <v>101.832</v>
      </c>
      <c r="E8167" s="6" t="n">
        <f aca="false">Sens!E8165-Sens!E8166</f>
        <v>133.749</v>
      </c>
      <c r="F8167" s="6" t="n">
        <f aca="false">Sens!F8165-Sens!F8166</f>
        <v>141.224957812209</v>
      </c>
      <c r="G8167" s="6" t="n">
        <f aca="false">Sens!G8165-Sens!G8166</f>
        <v>157.430548919943</v>
      </c>
      <c r="H8167" s="6" t="n">
        <f aca="false">Sens!H8165-Sens!H8166</f>
        <v>173.844028592873</v>
      </c>
      <c r="I8167" s="6" t="n">
        <f aca="false">Sens!I8165-Sens!I8166</f>
        <v>188.628748493224</v>
      </c>
      <c r="J8167" s="6" t="n">
        <f aca="false">Sens!J8165-Sens!J8166</f>
        <v>201.1690741424</v>
      </c>
      <c r="K8167" s="6" t="n">
        <f aca="false">Sens!K8165-Sens!K8166</f>
        <v>211.254854674131</v>
      </c>
    </row>
    <row r="8168" customFormat="false" ht="17.15" hidden="false" customHeight="false" outlineLevel="0" collapsed="false">
      <c r="A8168" s="1" t="s">
        <v>826</v>
      </c>
      <c r="B8168" s="1" t="s">
        <v>79</v>
      </c>
      <c r="D8168" s="18" t="n">
        <f aca="false">Q!L31</f>
        <v>7.465</v>
      </c>
      <c r="E8168" s="18" t="n">
        <f aca="false">Q!M31</f>
        <v>7.453</v>
      </c>
      <c r="F8168" s="18" t="n">
        <f aca="false">Sens!F8205</f>
        <v>7.4735</v>
      </c>
      <c r="G8168" s="18" t="n">
        <f aca="false">Sens!G8205</f>
        <v>7.51788909456545</v>
      </c>
      <c r="H8168" s="18" t="n">
        <f aca="false">Sens!H8205</f>
        <v>7.54502977498085</v>
      </c>
      <c r="I8168" s="18" t="n">
        <f aca="false">Sens!I8205</f>
        <v>7.55681060698816</v>
      </c>
      <c r="J8168" s="18" t="n">
        <f aca="false">Sens!J8205</f>
        <v>7.57105211810605</v>
      </c>
      <c r="K8168" s="18" t="n">
        <f aca="false">Sens!K8205</f>
        <v>7.58757203580779</v>
      </c>
    </row>
    <row r="8169" customFormat="false" ht="17.15" hidden="false" customHeight="false" outlineLevel="0" collapsed="false">
      <c r="A8169" s="0" t="s">
        <v>827</v>
      </c>
      <c r="B8169" s="0" t="s">
        <v>73</v>
      </c>
      <c r="D8169" s="8" t="n">
        <f aca="false">Sens!D8167/Sens!D8168</f>
        <v>13.641259209645</v>
      </c>
      <c r="E8169" s="8" t="n">
        <f aca="false">Sens!E8167/Sens!E8168</f>
        <v>17.9456594659869</v>
      </c>
      <c r="F8169" s="8" t="n">
        <f aca="false">Sens!F8167/Sens!F8168</f>
        <v>18.8967629373398</v>
      </c>
      <c r="G8169" s="8" t="n">
        <f aca="false">Sens!G8167/Sens!G8168</f>
        <v>20.9407916157937</v>
      </c>
      <c r="H8169" s="8" t="n">
        <f aca="false">Sens!H8167/Sens!H8168</f>
        <v>23.0408671373751</v>
      </c>
      <c r="I8169" s="8" t="n">
        <f aca="false">Sens!I8167/Sens!I8168</f>
        <v>24.9614233177671</v>
      </c>
      <c r="J8169" s="8" t="n">
        <f aca="false">Sens!J8167/Sens!J8168</f>
        <v>26.5708214663201</v>
      </c>
      <c r="K8169" s="8" t="n">
        <f aca="false">Sens!K8167/Sens!K8168</f>
        <v>27.8422206309427</v>
      </c>
      <c r="L8169" s="1" t="s">
        <v>828</v>
      </c>
    </row>
    <row r="8170" customFormat="false" ht="17.15" hidden="false" customHeight="false" outlineLevel="0" collapsed="false">
      <c r="A8170" s="0" t="s">
        <v>829</v>
      </c>
      <c r="B8170" s="0" t="s">
        <v>126</v>
      </c>
      <c r="E8170" s="7" t="n">
        <f aca="false">Sens!E8169/Sens!D8169-1</f>
        <v>0.315542736208578</v>
      </c>
      <c r="F8170" s="7" t="n">
        <f aca="false">Sens!F8169/Sens!E8169-1</f>
        <v>0.0529990816528982</v>
      </c>
      <c r="G8170" s="7" t="n">
        <f aca="false">Sens!G8169/Sens!F8169-1</f>
        <v>0.108168191834326</v>
      </c>
      <c r="H8170" s="7" t="n">
        <f aca="false">Sens!H8169/Sens!G8169-1</f>
        <v>0.10028634829628</v>
      </c>
      <c r="I8170" s="7" t="n">
        <f aca="false">Sens!I8169/Sens!H8169-1</f>
        <v>0.0833543359692683</v>
      </c>
      <c r="J8170" s="7" t="n">
        <f aca="false">Sens!J8169/Sens!I8169-1</f>
        <v>0.0644754158472787</v>
      </c>
      <c r="K8170" s="7" t="n">
        <f aca="false">Sens!K8169/Sens!J8169-1</f>
        <v>0.0478494489240435</v>
      </c>
    </row>
    <row r="8171" customFormat="false" ht="17.15" hidden="false" customHeight="false" outlineLevel="0" collapsed="false">
      <c r="A8171" s="0" t="s">
        <v>763</v>
      </c>
      <c r="B8171" s="0" t="s">
        <v>95</v>
      </c>
      <c r="E8171" s="6" t="n">
        <f aca="false">Sens!E8116</f>
        <v>5.25</v>
      </c>
      <c r="F8171" s="6" t="n">
        <f aca="false">Sens!F8116</f>
        <v>12</v>
      </c>
      <c r="G8171" s="6" t="n">
        <f aca="false">Sens!G8116</f>
        <v>18</v>
      </c>
      <c r="H8171" s="6" t="n">
        <f aca="false">Sens!H8116</f>
        <v>24</v>
      </c>
      <c r="I8171" s="6" t="n">
        <f aca="false">Sens!I8116</f>
        <v>28.5</v>
      </c>
      <c r="J8171" s="6" t="n">
        <f aca="false">Sens!J8116</f>
        <v>31.5</v>
      </c>
      <c r="K8171" s="6" t="n">
        <f aca="false">Sens!K8116</f>
        <v>34.5</v>
      </c>
    </row>
    <row r="8172" customFormat="false" ht="17.15" hidden="false" customHeight="false" outlineLevel="0" collapsed="false">
      <c r="A8172" s="0" t="s">
        <v>764</v>
      </c>
      <c r="B8172" s="0" t="s">
        <v>95</v>
      </c>
      <c r="E8172" s="6" t="n">
        <f aca="false">Sens!E8096+Sens!E8171*Sens!E8155-Sens!E8097-Sens!E8107</f>
        <v>2.1514866143068</v>
      </c>
      <c r="F8172" s="6" t="n">
        <f aca="false">Sens!F8096+Sens!F8171*Sens!F8155-Sens!F8097-Sens!F8107</f>
        <v>5.03829078668717</v>
      </c>
      <c r="G8172" s="6" t="n">
        <f aca="false">Sens!G8096+Sens!G8171*Sens!G8155-Sens!G8097-Sens!G8107</f>
        <v>5.54027810577739</v>
      </c>
      <c r="H8172" s="6" t="n">
        <f aca="false">Sens!H8096+Sens!H8171*Sens!H8155-Sens!H8097-Sens!H8107</f>
        <v>5.91853057645518</v>
      </c>
      <c r="I8172" s="6" t="n">
        <f aca="false">Sens!I8096+Sens!I8171*Sens!I8155-Sens!I8097-Sens!I8107</f>
        <v>4.55404181265757</v>
      </c>
      <c r="J8172" s="6" t="n">
        <f aca="false">Sens!J8096+Sens!J8171*Sens!J8155-Sens!J8097-Sens!J8107</f>
        <v>1.43040064758844</v>
      </c>
      <c r="K8172" s="6" t="n">
        <f aca="false">Sens!K8096+Sens!K8171*Sens!K8155-Sens!K8097-Sens!K8107</f>
        <v>-2.93989717821617</v>
      </c>
    </row>
    <row r="8173" customFormat="false" ht="17.15" hidden="false" customHeight="false" outlineLevel="0" collapsed="false">
      <c r="A8173" s="0" t="s">
        <v>765</v>
      </c>
      <c r="B8173" s="0" t="s">
        <v>95</v>
      </c>
      <c r="E8173" s="6" t="n">
        <f aca="false">Sens!E8079*(cxit_open+self_build*tk_cxfac)/1000*ai_net_open</f>
        <v>126.6980382</v>
      </c>
      <c r="F8173" s="6" t="n">
        <f aca="false">Sens!E8173+Sens!F8104-Sens!F8107</f>
        <v>260.569049347901</v>
      </c>
      <c r="G8173" s="6" t="n">
        <f aca="false">Sens!F8173+Sens!G8104-Sens!G8107</f>
        <v>383.638152237428</v>
      </c>
      <c r="H8173" s="6" t="n">
        <f aca="false">Sens!G8173+Sens!H8104-Sens!H8107</f>
        <v>483.977777821355</v>
      </c>
      <c r="I8173" s="6" t="n">
        <f aca="false">Sens!H8173+Sens!I8104-Sens!I8107</f>
        <v>586.321213003966</v>
      </c>
      <c r="J8173" s="6" t="n">
        <f aca="false">Sens!I8173+Sens!J8104-Sens!J8107</f>
        <v>674.875651636093</v>
      </c>
      <c r="K8173" s="6" t="n">
        <f aca="false">Sens!J8173+Sens!K8104-Sens!K8107</f>
        <v>777.99469661857</v>
      </c>
      <c r="L8173" s="1" t="s">
        <v>766</v>
      </c>
    </row>
    <row r="8174" customFormat="false" ht="17.15" hidden="false" customHeight="false" outlineLevel="0" collapsed="false">
      <c r="A8174" s="0" t="s">
        <v>767</v>
      </c>
      <c r="B8174" s="0" t="s">
        <v>126</v>
      </c>
      <c r="F8174" s="7" t="n">
        <f aca="false">Sens!F8172*(1-tax_f)/((Sens!E8173+Sens!F8173)/2)</f>
        <v>0.0208157768059812</v>
      </c>
      <c r="G8174" s="7" t="n">
        <f aca="false">Sens!G8172*(1-tax_f)/((Sens!F8173+Sens!G8173)/2)</f>
        <v>0.0137602388601514</v>
      </c>
      <c r="H8174" s="7" t="n">
        <f aca="false">Sens!H8172*(1-tax_f)/((Sens!G8173+Sens!H8173)/2)</f>
        <v>0.0109145632234838</v>
      </c>
      <c r="I8174" s="7" t="n">
        <f aca="false">Sens!I8172*(1-tax_f)/((Sens!H8173+Sens!I8173)/2)</f>
        <v>0.00680787981929557</v>
      </c>
      <c r="J8174" s="7" t="n">
        <f aca="false">Sens!J8172*(1-tax_f)/((Sens!I8173+Sens!J8173)/2)</f>
        <v>0.00181465804451923</v>
      </c>
      <c r="K8174" s="7" t="n">
        <f aca="false">Sens!K8172*(1-tax_f)/((Sens!J8173+Sens!K8173)/2)</f>
        <v>-0.00323761544916696</v>
      </c>
    </row>
    <row r="8175" customFormat="false" ht="17.15" hidden="false" customHeight="false" outlineLevel="0" collapsed="false">
      <c r="A8175" s="1" t="s">
        <v>768</v>
      </c>
      <c r="B8175" s="0" t="s">
        <v>126</v>
      </c>
      <c r="F8175" s="7" t="n">
        <f aca="false">Sens!F8108*(1-tax_f)/(Sens!F8095*(Sens!E8173+Sens!F8173)/2)</f>
        <v>0.128184513301779</v>
      </c>
      <c r="G8175" s="7" t="n">
        <f aca="false">Sens!G8108*(1-tax_f)/(Sens!G8095*(Sens!F8173+Sens!G8173)/2)</f>
        <v>0.125217302454493</v>
      </c>
      <c r="H8175" s="7" t="n">
        <f aca="false">Sens!H8108*(1-tax_f)/(Sens!H8095*(Sens!G8173+Sens!H8173)/2)</f>
        <v>0.130857436838719</v>
      </c>
      <c r="I8175" s="7" t="n">
        <f aca="false">Sens!I8108*(1-tax_f)/(Sens!I8095*(Sens!H8173+Sens!I8173)/2)</f>
        <v>0.135624469509762</v>
      </c>
      <c r="J8175" s="7" t="n">
        <f aca="false">Sens!J8108*(1-tax_f)/(Sens!J8095*(Sens!I8173+Sens!J8173)/2)</f>
        <v>0.139098391519754</v>
      </c>
      <c r="K8175" s="7" t="n">
        <f aca="false">Sens!K8108*(1-tax_f)/(Sens!K8095*(Sens!J8173+Sens!K8173)/2)</f>
        <v>0.140247375686136</v>
      </c>
    </row>
    <row r="8176" customFormat="false" ht="17.15" hidden="false" customHeight="false" outlineLevel="0" collapsed="false">
      <c r="A8176" s="0" t="s">
        <v>769</v>
      </c>
      <c r="B8176" s="0" t="s">
        <v>208</v>
      </c>
      <c r="F8176" s="7" t="n">
        <f aca="false">Sens!F8174-wacc</f>
        <v>-0.0881474443442728</v>
      </c>
      <c r="G8176" s="7" t="n">
        <f aca="false">Sens!G8174-wacc</f>
        <v>-0.0952029822901026</v>
      </c>
      <c r="H8176" s="7" t="n">
        <f aca="false">Sens!H8174-wacc</f>
        <v>-0.0980486579267702</v>
      </c>
      <c r="I8176" s="7" t="n">
        <f aca="false">Sens!I8174-wacc</f>
        <v>-0.102155341330958</v>
      </c>
      <c r="J8176" s="7" t="n">
        <f aca="false">Sens!J8174-wacc</f>
        <v>-0.107148563105735</v>
      </c>
      <c r="K8176" s="7" t="n">
        <f aca="false">Sens!K8174-wacc</f>
        <v>-0.112200836599421</v>
      </c>
    </row>
    <row r="8177" customFormat="false" ht="17.15" hidden="false" customHeight="false" outlineLevel="0" collapsed="false">
      <c r="A8177" s="0" t="s">
        <v>770</v>
      </c>
      <c r="B8177" s="0" t="s">
        <v>95</v>
      </c>
      <c r="F8177" s="6" t="n">
        <f aca="false">Sens!F8172*(1-tax_f)-wacc*(Sens!E8173+Sens!F8173)/2</f>
        <v>-17.0683020229986</v>
      </c>
      <c r="G8177" s="6" t="n">
        <f aca="false">Sens!G8172*(1-tax_f)-wacc*(Sens!F8173+Sens!G8173)/2</f>
        <v>-30.6652234018423</v>
      </c>
      <c r="H8177" s="6" t="n">
        <f aca="false">Sens!H8172*(1-tax_f)-wacc*(Sens!G8173+Sens!H8173)/2</f>
        <v>-42.5342887690751</v>
      </c>
      <c r="I8177" s="6" t="n">
        <f aca="false">Sens!I8172*(1-tax_f)-wacc*(Sens!H8173+Sens!I8173)/2</f>
        <v>-54.6683793669705</v>
      </c>
      <c r="J8177" s="6" t="n">
        <f aca="false">Sens!J8172*(1-tax_f)-wacc*(Sens!I8173+Sens!J8173)/2</f>
        <v>-67.5677159198201</v>
      </c>
      <c r="K8177" s="6" t="n">
        <f aca="false">Sens!K8172*(1-tax_f)-wacc*(Sens!J8173+Sens!K8173)/2</f>
        <v>-81.5066342723326</v>
      </c>
    </row>
    <row r="8178" customFormat="false" ht="17.15" hidden="false" customHeight="false" outlineLevel="0" collapsed="false">
      <c r="A8178" s="1" t="s">
        <v>771</v>
      </c>
      <c r="B8178" s="0" t="s">
        <v>95</v>
      </c>
      <c r="F8178" s="6" t="n">
        <f aca="false">(Sens!E8080+Sens!F8080)/2*Sens!F8087/1000</f>
        <v>26.7873066765967</v>
      </c>
      <c r="G8178" s="6" t="n">
        <f aca="false">(Sens!F8080+Sens!G8080)/2*Sens!G8087/1000</f>
        <v>45.4131817597218</v>
      </c>
      <c r="H8178" s="6" t="n">
        <f aca="false">(Sens!G8080+Sens!H8080)/2*Sens!H8087/1000</f>
        <v>65.3915129357971</v>
      </c>
      <c r="I8178" s="6" t="n">
        <f aca="false">(Sens!H8080+Sens!I8080)/2*Sens!I8087/1000</f>
        <v>85.5187419289299</v>
      </c>
      <c r="J8178" s="6" t="n">
        <f aca="false">(Sens!I8080+Sens!J8080)/2*Sens!J8087/1000</f>
        <v>105.723807195006</v>
      </c>
      <c r="K8178" s="6" t="n">
        <f aca="false">(Sens!J8080+Sens!K8080)/2*Sens!K8087/1000</f>
        <v>125.974659797015</v>
      </c>
      <c r="L8178" s="1" t="s">
        <v>772</v>
      </c>
    </row>
    <row r="8179" customFormat="false" ht="17.15" hidden="false" customHeight="false" outlineLevel="0" collapsed="false">
      <c r="A8179" s="1" t="s">
        <v>773</v>
      </c>
      <c r="B8179" s="0" t="s">
        <v>126</v>
      </c>
      <c r="F8179" s="7" t="n">
        <f aca="false">(Sens!F8096+Sens!F8178-Sens!F8097-Sens!F8107)*(1-tax_f)/((Sens!E8173+Sens!F8173)/2)</f>
        <v>0.103180921098668</v>
      </c>
      <c r="G8179" s="7" t="n">
        <f aca="false">(Sens!G8096+Sens!G8178-Sens!G8097-Sens!G8107)*(1-tax_f)/((Sens!F8173+Sens!G8173)/2)</f>
        <v>0.101026446024421</v>
      </c>
      <c r="H8179" s="7" t="n">
        <f aca="false">(Sens!H8096+Sens!H8178-Sens!H8097-Sens!H8107)*(1-tax_f)/((Sens!G8173+Sens!H8173)/2)</f>
        <v>0.106235148701837</v>
      </c>
      <c r="I8179" s="7" t="n">
        <f aca="false">(Sens!I8096+Sens!I8178-Sens!I8097-Sens!I8107)*(1-tax_f)/((Sens!H8173+Sens!I8173)/2)</f>
        <v>0.11032505851046</v>
      </c>
      <c r="J8179" s="7" t="n">
        <f aca="false">(Sens!J8096+Sens!J8178-Sens!J8097-Sens!J8107)*(1-tax_f)/((Sens!I8173+Sens!J8173)/2)</f>
        <v>0.113123086540976</v>
      </c>
      <c r="K8179" s="7" t="n">
        <f aca="false">(Sens!K8096+Sens!K8178-Sens!K8097-Sens!K8107)*(1-tax_f)/((Sens!J8173+Sens!K8173)/2)</f>
        <v>0.113801465230685</v>
      </c>
      <c r="L8179" s="1" t="s">
        <v>774</v>
      </c>
    </row>
    <row r="8180" customFormat="false" ht="17.15" hidden="false" customHeight="false" outlineLevel="0" collapsed="false">
      <c r="A8180" s="3" t="s">
        <v>1347</v>
      </c>
    </row>
    <row r="8181" customFormat="false" ht="15" hidden="false" customHeight="false" outlineLevel="0" collapsed="false">
      <c r="A8181" s="4" t="s">
        <v>43</v>
      </c>
      <c r="B8181" s="4" t="s">
        <v>63</v>
      </c>
      <c r="C8181" s="19" t="s">
        <v>710</v>
      </c>
      <c r="D8181" s="19" t="s">
        <v>711</v>
      </c>
      <c r="E8181" s="19" t="s">
        <v>712</v>
      </c>
      <c r="F8181" s="19" t="s">
        <v>713</v>
      </c>
      <c r="G8181" s="19" t="s">
        <v>714</v>
      </c>
      <c r="H8181" s="19" t="s">
        <v>715</v>
      </c>
      <c r="I8181" s="19" t="s">
        <v>716</v>
      </c>
      <c r="J8181" s="19" t="s">
        <v>717</v>
      </c>
      <c r="K8181" s="19" t="s">
        <v>718</v>
      </c>
      <c r="L8181" s="4" t="s">
        <v>47</v>
      </c>
    </row>
    <row r="8182" customFormat="false" ht="15" hidden="false" customHeight="false" outlineLevel="0" collapsed="false">
      <c r="A8182" s="1" t="s">
        <v>825</v>
      </c>
      <c r="B8182" s="0" t="s">
        <v>95</v>
      </c>
      <c r="F8182" s="6" t="n">
        <f aca="false">Sens!F8167</f>
        <v>141.224957812209</v>
      </c>
      <c r="G8182" s="6" t="n">
        <f aca="false">Sens!G8167</f>
        <v>157.430548919943</v>
      </c>
      <c r="H8182" s="6" t="n">
        <f aca="false">Sens!H8167</f>
        <v>173.844028592873</v>
      </c>
      <c r="I8182" s="6" t="n">
        <f aca="false">Sens!I8167</f>
        <v>188.628748493224</v>
      </c>
      <c r="J8182" s="6" t="n">
        <f aca="false">Sens!J8167</f>
        <v>201.1690741424</v>
      </c>
      <c r="K8182" s="6" t="n">
        <f aca="false">Sens!K8167</f>
        <v>211.254854674131</v>
      </c>
    </row>
    <row r="8183" customFormat="false" ht="17.15" hidden="false" customHeight="false" outlineLevel="0" collapsed="false">
      <c r="A8183" s="1" t="s">
        <v>843</v>
      </c>
      <c r="B8183" s="0" t="s">
        <v>95</v>
      </c>
      <c r="E8183" s="6" t="n">
        <f aca="false">Q!M38-Sens!E8107</f>
        <v>22.2285940229167</v>
      </c>
      <c r="F8183" s="6" t="n">
        <f aca="false">Sens!E8183*(1-1/life_nonai)+Sens!F8189/life_nonai</f>
        <v>23.5646627435813</v>
      </c>
      <c r="G8183" s="6" t="n">
        <f aca="false">Sens!F8183*(1-1/life_nonai)+Sens!G8189/life_nonai</f>
        <v>25.3268008347557</v>
      </c>
      <c r="H8183" s="6" t="n">
        <f aca="false">Sens!G8183*(1-1/life_nonai)+Sens!H8189/life_nonai</f>
        <v>27.48260814329</v>
      </c>
      <c r="I8183" s="6" t="n">
        <f aca="false">Sens!H8183*(1-1/life_nonai)+Sens!I8189/life_nonai</f>
        <v>29.9676445814336</v>
      </c>
      <c r="J8183" s="6" t="n">
        <f aca="false">Sens!I8183*(1-1/life_nonai)+Sens!J8189/life_nonai</f>
        <v>32.7010711415467</v>
      </c>
      <c r="K8183" s="6" t="n">
        <f aca="false">Sens!J8183*(1-1/life_nonai)+Sens!K8189/life_nonai</f>
        <v>35.6015276849633</v>
      </c>
      <c r="L8183" s="11" t="s">
        <v>844</v>
      </c>
    </row>
    <row r="8184" customFormat="false" ht="17.15" hidden="false" customHeight="false" outlineLevel="0" collapsed="false">
      <c r="A8184" s="1" t="s">
        <v>845</v>
      </c>
      <c r="B8184" s="0" t="s">
        <v>95</v>
      </c>
      <c r="E8184" s="6" t="n">
        <f aca="false">Sens!E8107+Sens!E8183</f>
        <v>38.534</v>
      </c>
      <c r="F8184" s="6" t="n">
        <f aca="false">Sens!F8107+Sens!F8183</f>
        <v>58.3043703661177</v>
      </c>
      <c r="G8184" s="6" t="n">
        <f aca="false">Sens!G8107+Sens!G8183</f>
        <v>85.8318784284286</v>
      </c>
      <c r="H8184" s="6" t="n">
        <f aca="false">Sens!H8107+Sens!H8183</f>
        <v>115.223268469763</v>
      </c>
      <c r="I8184" s="6" t="n">
        <f aca="false">Sens!I8107+Sens!I8183</f>
        <v>145.96317065589</v>
      </c>
      <c r="J8184" s="6" t="n">
        <f aca="false">Sens!J8107+Sens!J8183</f>
        <v>177.923693433153</v>
      </c>
      <c r="K8184" s="6" t="n">
        <f aca="false">Sens!K8107+Sens!K8183</f>
        <v>211.338794652886</v>
      </c>
    </row>
    <row r="8185" customFormat="false" ht="15" hidden="false" customHeight="false" outlineLevel="0" collapsed="false">
      <c r="A8185" s="1" t="s">
        <v>685</v>
      </c>
      <c r="B8185" s="0" t="s">
        <v>95</v>
      </c>
      <c r="F8185" s="6" t="n">
        <f aca="false">Sens!F8134*sbc_r</f>
        <v>14.9355124767599</v>
      </c>
      <c r="G8185" s="6" t="n">
        <f aca="false">Sens!G8134*sbc_r</f>
        <v>17.7796013300898</v>
      </c>
      <c r="H8185" s="6" t="n">
        <f aca="false">Sens!H8134*sbc_r</f>
        <v>20.6983680216553</v>
      </c>
      <c r="I8185" s="6" t="n">
        <f aca="false">Sens!I8134*sbc_r</f>
        <v>23.5598158507586</v>
      </c>
      <c r="J8185" s="6" t="n">
        <f aca="false">Sens!J8134*sbc_r</f>
        <v>26.3115710622114</v>
      </c>
      <c r="K8185" s="6" t="n">
        <f aca="false">Sens!K8134*sbc_r</f>
        <v>28.9577273704182</v>
      </c>
    </row>
    <row r="8186" customFormat="false" ht="17.15" hidden="false" customHeight="false" outlineLevel="0" collapsed="false">
      <c r="A8186" s="1" t="s">
        <v>846</v>
      </c>
      <c r="B8186" s="0" t="s">
        <v>95</v>
      </c>
      <c r="F8186" s="6" t="n">
        <f aca="false">wc27</f>
        <v>-4.895</v>
      </c>
      <c r="G8186" s="6" t="n">
        <f aca="false">0</f>
        <v>0</v>
      </c>
      <c r="H8186" s="6" t="n">
        <f aca="false">0</f>
        <v>0</v>
      </c>
      <c r="I8186" s="6" t="n">
        <f aca="false">0</f>
        <v>0</v>
      </c>
      <c r="J8186" s="6" t="n">
        <f aca="false">0</f>
        <v>0</v>
      </c>
      <c r="K8186" s="6" t="n">
        <f aca="false">0</f>
        <v>0</v>
      </c>
      <c r="L8186" s="11" t="s">
        <v>847</v>
      </c>
    </row>
    <row r="8187" customFormat="false" ht="15" hidden="false" customHeight="false" outlineLevel="0" collapsed="false">
      <c r="A8187" s="1" t="s">
        <v>678</v>
      </c>
      <c r="B8187" s="0" t="s">
        <v>95</v>
      </c>
      <c r="E8187" s="6" t="n">
        <f aca="false">Q!M35</f>
        <v>182.935</v>
      </c>
      <c r="F8187" s="6" t="n">
        <f aca="false">Sens!F8182+Sens!F8184+Sens!F8185+Sens!F8186</f>
        <v>209.569840655087</v>
      </c>
      <c r="G8187" s="6" t="n">
        <f aca="false">Sens!G8182+Sens!G8184+Sens!G8185+Sens!G8186</f>
        <v>261.042028678462</v>
      </c>
      <c r="H8187" s="6" t="n">
        <f aca="false">Sens!H8182+Sens!H8184+Sens!H8185+Sens!H8186</f>
        <v>309.765665084291</v>
      </c>
      <c r="I8187" s="6" t="n">
        <f aca="false">Sens!I8182+Sens!I8184+Sens!I8185+Sens!I8186</f>
        <v>358.151734999873</v>
      </c>
      <c r="J8187" s="6" t="n">
        <f aca="false">Sens!J8182+Sens!J8184+Sens!J8185+Sens!J8186</f>
        <v>405.404338637765</v>
      </c>
      <c r="K8187" s="6" t="n">
        <f aca="false">Sens!K8182+Sens!K8184+Sens!K8185+Sens!K8186</f>
        <v>451.551376697436</v>
      </c>
    </row>
    <row r="8188" customFormat="false" ht="17.15" hidden="false" customHeight="false" outlineLevel="0" collapsed="false">
      <c r="A8188" s="0" t="s">
        <v>848</v>
      </c>
      <c r="B8188" s="0" t="s">
        <v>95</v>
      </c>
      <c r="F8188" s="6" t="n">
        <f aca="false">Sens!F8104</f>
        <v>168.610718770438</v>
      </c>
      <c r="G8188" s="6" t="n">
        <f aca="false">Sens!G8104</f>
        <v>183.5741804832</v>
      </c>
      <c r="H8188" s="6" t="n">
        <f aca="false">Sens!H8104</f>
        <v>188.0802859104</v>
      </c>
      <c r="I8188" s="6" t="n">
        <f aca="false">Sens!I8104</f>
        <v>218.338961257067</v>
      </c>
      <c r="J8188" s="6" t="n">
        <f aca="false">Sens!J8104</f>
        <v>233.777060923733</v>
      </c>
      <c r="K8188" s="6" t="n">
        <f aca="false">Sens!K8104</f>
        <v>278.8563119504</v>
      </c>
    </row>
    <row r="8189" customFormat="false" ht="17.15" hidden="false" customHeight="false" outlineLevel="0" collapsed="false">
      <c r="A8189" s="1" t="s">
        <v>849</v>
      </c>
      <c r="B8189" s="0" t="s">
        <v>95</v>
      </c>
      <c r="E8189" s="6" t="n">
        <f aca="false">Sens!E8112*cx_azo+Sens!E8119*cx_m365+Sens!E8120*cx_lic+(Sens!E8122+Sens!E8124)*cx_ind+Sens!E8127*cx_srch+(Sens!E8129+Sens!E8131)*cx_dev</f>
        <v>30.1846587067718</v>
      </c>
      <c r="F8189" s="6" t="n">
        <f aca="false">Sens!F8112*cx_azo+Sens!F8119*cx_m365+Sens!F8120*cx_lic+(Sens!F8122+Sens!F8124)*cx_ind+Sens!F8127*cx_srch+(Sens!F8129+Sens!F8131)*cx_dev</f>
        <v>35.5892812295625</v>
      </c>
      <c r="G8189" s="6" t="n">
        <f aca="false">Sens!G8112*cx_azo+Sens!G8119*cx_m365+Sens!G8120*cx_lic+(Sens!G8122+Sens!G8124)*cx_ind+Sens!G8127*cx_srch+(Sens!G8129+Sens!G8131)*cx_dev</f>
        <v>41.1860436553257</v>
      </c>
      <c r="H8189" s="6" t="n">
        <f aca="false">Sens!H8112*cx_azo+Sens!H8119*cx_m365+Sens!H8120*cx_lic+(Sens!H8122+Sens!H8124)*cx_ind+Sens!H8127*cx_srch+(Sens!H8129+Sens!H8131)*cx_dev</f>
        <v>46.8848739200982</v>
      </c>
      <c r="I8189" s="6" t="n">
        <f aca="false">Sens!I8112*cx_azo+Sens!I8119*cx_m365+Sens!I8120*cx_lic+(Sens!I8122+Sens!I8124)*cx_ind+Sens!I8127*cx_srch+(Sens!I8129+Sens!I8131)*cx_dev</f>
        <v>52.3329725247266</v>
      </c>
      <c r="J8189" s="6" t="n">
        <f aca="false">Sens!J8112*cx_azo+Sens!J8119*cx_m365+Sens!J8120*cx_lic+(Sens!J8122+Sens!J8124)*cx_ind+Sens!J8127*cx_srch+(Sens!J8129+Sens!J8131)*cx_dev</f>
        <v>57.3019101825644</v>
      </c>
      <c r="K8189" s="6" t="n">
        <f aca="false">Sens!K8112*cx_azo+Sens!K8119*cx_m365+Sens!K8120*cx_lic+(Sens!K8122+Sens!K8124)*cx_ind+Sens!K8127*cx_srch+(Sens!K8129+Sens!K8131)*cx_dev</f>
        <v>61.7056365757122</v>
      </c>
    </row>
    <row r="8190" customFormat="false" ht="17.15" hidden="false" customHeight="false" outlineLevel="0" collapsed="false">
      <c r="A8190" s="1" t="s">
        <v>850</v>
      </c>
      <c r="B8190" s="0" t="s">
        <v>95</v>
      </c>
      <c r="E8190" s="6" t="n">
        <f aca="false">Q!M42</f>
        <v>145.3</v>
      </c>
      <c r="F8190" s="6" t="n">
        <f aca="false">Sens!F8188+Sens!F8189</f>
        <v>204.2</v>
      </c>
      <c r="G8190" s="6" t="n">
        <f aca="false">Sens!G8188+Sens!G8189</f>
        <v>224.760224138526</v>
      </c>
      <c r="H8190" s="6" t="n">
        <f aca="false">Sens!H8188+Sens!H8189</f>
        <v>234.965159830498</v>
      </c>
      <c r="I8190" s="6" t="n">
        <f aca="false">Sens!I8188+Sens!I8189</f>
        <v>270.671933781793</v>
      </c>
      <c r="J8190" s="6" t="n">
        <f aca="false">Sens!J8188+Sens!J8189</f>
        <v>291.078971106298</v>
      </c>
      <c r="K8190" s="6" t="n">
        <f aca="false">Sens!K8188+Sens!K8189</f>
        <v>340.561948526112</v>
      </c>
      <c r="L8190" s="1" t="s">
        <v>851</v>
      </c>
    </row>
    <row r="8191" customFormat="false" ht="15" hidden="false" customHeight="false" outlineLevel="0" collapsed="false">
      <c r="A8191" s="1" t="s">
        <v>852</v>
      </c>
      <c r="B8191" s="0" t="s">
        <v>95</v>
      </c>
      <c r="E8191" s="6" t="n">
        <f aca="false">fl_liab</f>
        <v>66.594</v>
      </c>
      <c r="F8191" s="6" t="n">
        <f aca="false">Sens!E8191-Sens!F8192</f>
        <v>62.46973</v>
      </c>
      <c r="G8191" s="6" t="n">
        <f aca="false">Sens!F8191-Sens!G8192</f>
        <v>57.98686785</v>
      </c>
      <c r="H8191" s="6" t="n">
        <f aca="false">Sens!G8191-Sens!H8192</f>
        <v>53.92827690325</v>
      </c>
      <c r="I8191" s="6" t="n">
        <f aca="false">Sens!H8191-Sens!I8192</f>
        <v>49.7850493638962</v>
      </c>
      <c r="J8191" s="6" t="n">
        <f aca="false">Sens!I8191-Sens!J8192</f>
        <v>45.4823765852716</v>
      </c>
      <c r="K8191" s="6" t="n">
        <f aca="false">Sens!J8191-Sens!K8192</f>
        <v>40.9860835316088</v>
      </c>
    </row>
    <row r="8192" customFormat="false" ht="15" hidden="false" customHeight="false" outlineLevel="0" collapsed="false">
      <c r="A8192" s="1" t="s">
        <v>853</v>
      </c>
      <c r="B8192" s="0" t="s">
        <v>95</v>
      </c>
      <c r="F8192" s="6" t="n">
        <f aca="false">fl_pay_27-Sens!E8191*fl_rate</f>
        <v>4.12427</v>
      </c>
      <c r="G8192" s="6" t="n">
        <f aca="false">fl_pay_28-Sens!F8191*fl_rate</f>
        <v>4.48286215</v>
      </c>
      <c r="H8192" s="6" t="n">
        <f aca="false">fl_pay_29-Sens!G8191*fl_rate</f>
        <v>4.05859094675</v>
      </c>
      <c r="I8192" s="6" t="n">
        <f aca="false">fl_pay_30-Sens!H8191*fl_rate</f>
        <v>4.14322753935375</v>
      </c>
      <c r="J8192" s="6" t="n">
        <f aca="false">fl_pay_31-Sens!I8191*fl_rate</f>
        <v>4.30267277862467</v>
      </c>
      <c r="K8192" s="6" t="n">
        <f aca="false">fl_pay_32-Sens!J8191*fl_rate</f>
        <v>4.49629305366278</v>
      </c>
    </row>
    <row r="8193" customFormat="false" ht="17.15" hidden="false" customHeight="false" outlineLevel="0" collapsed="false">
      <c r="A8193" s="1" t="s">
        <v>854</v>
      </c>
      <c r="B8193" s="0" t="s">
        <v>95</v>
      </c>
      <c r="E8193" s="6" t="n">
        <f aca="false">Q!M35-Q!M36-Q!M43</f>
        <v>63.886</v>
      </c>
      <c r="F8193" s="6" t="n">
        <f aca="false">Sens!F8187-Sens!F8190-Sens!F8192</f>
        <v>1.24557065508653</v>
      </c>
      <c r="G8193" s="6" t="n">
        <f aca="false">Sens!G8187-Sens!G8190-Sens!G8192</f>
        <v>31.798942389936</v>
      </c>
      <c r="H8193" s="6" t="n">
        <f aca="false">Sens!H8187-Sens!H8190-Sens!H8192</f>
        <v>70.7419143070426</v>
      </c>
      <c r="I8193" s="6" t="n">
        <f aca="false">Sens!I8187-Sens!I8190-Sens!I8192</f>
        <v>83.3365736787254</v>
      </c>
      <c r="J8193" s="6" t="n">
        <f aca="false">Sens!J8187-Sens!J8190-Sens!J8192</f>
        <v>110.022694752842</v>
      </c>
      <c r="K8193" s="6" t="n">
        <f aca="false">Sens!K8187-Sens!K8190-Sens!K8192</f>
        <v>106.493135117661</v>
      </c>
      <c r="L8193" s="11" t="s">
        <v>855</v>
      </c>
    </row>
    <row r="8194" customFormat="false" ht="15" hidden="false" customHeight="false" outlineLevel="0" collapsed="false">
      <c r="A8194" s="1" t="s">
        <v>856</v>
      </c>
      <c r="B8194" s="0" t="s">
        <v>73</v>
      </c>
      <c r="F8194" s="8" t="n">
        <f aca="false">dps_27</f>
        <v>3.85</v>
      </c>
      <c r="G8194" s="8" t="n">
        <f aca="false">Sens!F8194*(1+dps_g)</f>
        <v>4.158</v>
      </c>
      <c r="H8194" s="8" t="n">
        <f aca="false">Sens!G8194*(1+dps_g)</f>
        <v>4.49064</v>
      </c>
      <c r="I8194" s="8" t="n">
        <f aca="false">Sens!H8194*(1+dps_g)</f>
        <v>4.8498912</v>
      </c>
      <c r="J8194" s="8" t="n">
        <f aca="false">Sens!I8194*(1+dps_g)</f>
        <v>5.237882496</v>
      </c>
      <c r="K8194" s="8" t="n">
        <f aca="false">Sens!J8194*(1+dps_g)</f>
        <v>5.65691309568</v>
      </c>
    </row>
    <row r="8195" customFormat="false" ht="17.15" hidden="false" customHeight="false" outlineLevel="0" collapsed="false">
      <c r="A8195" s="1" t="s">
        <v>857</v>
      </c>
      <c r="B8195" s="0" t="s">
        <v>95</v>
      </c>
      <c r="E8195" s="6" t="n">
        <f aca="false">Q!M41</f>
        <v>26.445</v>
      </c>
      <c r="F8195" s="6" t="n">
        <f aca="false">Sens!F8194*Sens!E8204</f>
        <v>28.59395</v>
      </c>
      <c r="G8195" s="6" t="n">
        <f aca="false">Sens!G8194*Sens!F8204</f>
        <v>31.068576</v>
      </c>
      <c r="H8195" s="6" t="n">
        <f aca="false">Sens!H8194*Sens!G8204</f>
        <v>33.7506541672388</v>
      </c>
      <c r="I8195" s="6" t="n">
        <f aca="false">Sens!I8194*Sens!H8204</f>
        <v>36.5016457406173</v>
      </c>
      <c r="J8195" s="6" t="n">
        <f aca="false">Sens!J8194*Sens!I8204</f>
        <v>39.4901762481862</v>
      </c>
      <c r="K8195" s="6" t="n">
        <f aca="false">Sens!K8194*Sens!J8204</f>
        <v>42.7366455733461</v>
      </c>
      <c r="L8195" s="1" t="s">
        <v>858</v>
      </c>
    </row>
    <row r="8196" customFormat="false" ht="15" hidden="false" customHeight="false" outlineLevel="0" collapsed="false">
      <c r="A8196" s="1" t="s">
        <v>859</v>
      </c>
      <c r="B8196" s="0" t="s">
        <v>95</v>
      </c>
      <c r="E8196" s="6" t="n">
        <f aca="false">Sens!E8193-Sens!E8195</f>
        <v>37.441</v>
      </c>
      <c r="F8196" s="6" t="n">
        <f aca="false">Sens!F8193-Sens!F8195</f>
        <v>-27.3483793449135</v>
      </c>
      <c r="G8196" s="6" t="n">
        <f aca="false">Sens!G8193-Sens!G8195</f>
        <v>0.73036638993602</v>
      </c>
      <c r="H8196" s="6" t="n">
        <f aca="false">Sens!H8193-Sens!H8195</f>
        <v>36.9912601398038</v>
      </c>
      <c r="I8196" s="6" t="n">
        <f aca="false">Sens!I8193-Sens!I8195</f>
        <v>46.8349279381081</v>
      </c>
      <c r="J8196" s="6" t="n">
        <f aca="false">Sens!J8193-Sens!J8195</f>
        <v>70.5325185046561</v>
      </c>
      <c r="K8196" s="6" t="n">
        <f aca="false">Sens!K8193-Sens!K8195</f>
        <v>63.7564895443144</v>
      </c>
    </row>
    <row r="8197" customFormat="false" ht="15" hidden="false" customHeight="false" outlineLevel="0" collapsed="false">
      <c r="A8197" s="1" t="s">
        <v>860</v>
      </c>
      <c r="B8197" s="0" t="s">
        <v>95</v>
      </c>
      <c r="F8197" s="6" t="n">
        <f aca="false">debt_mat_27</f>
        <v>9.25</v>
      </c>
      <c r="G8197" s="6" t="n">
        <f aca="false">debt_mat_28</f>
        <v>0</v>
      </c>
      <c r="H8197" s="6" t="n">
        <f aca="false">debt_mat_29</f>
        <v>2.001</v>
      </c>
      <c r="I8197" s="6" t="n">
        <f aca="false">debt_mat_30</f>
        <v>0</v>
      </c>
      <c r="J8197" s="6" t="n">
        <f aca="false">debt_mat_31</f>
        <v>0.5</v>
      </c>
      <c r="K8197" s="6" t="n">
        <f aca="false">debt_mat_32</f>
        <v>0</v>
      </c>
    </row>
    <row r="8198" customFormat="false" ht="15" hidden="false" customHeight="false" outlineLevel="0" collapsed="false">
      <c r="A8198" s="1" t="s">
        <v>861</v>
      </c>
      <c r="B8198" s="0" t="s">
        <v>95</v>
      </c>
      <c r="E8198" s="6" t="n">
        <f aca="false">Q!M40</f>
        <v>22.271</v>
      </c>
      <c r="F8198" s="6" t="n">
        <f aca="false">MAX(0,MIN(bb_target,Sens!E8200+Sens!F8196-Sens!F8197-min_cash))</f>
        <v>0</v>
      </c>
      <c r="G8198" s="6" t="n">
        <f aca="false">MAX(0,MIN(bb_target,Sens!F8200+Sens!G8196-Sens!G8197-min_cash))</f>
        <v>0.730366389936023</v>
      </c>
      <c r="H8198" s="6" t="n">
        <f aca="false">MAX(0,MIN(bb_target,Sens!G8200+Sens!H8196-Sens!H8197-min_cash))</f>
        <v>22.271</v>
      </c>
      <c r="I8198" s="6" t="n">
        <f aca="false">MAX(0,MIN(bb_target,Sens!H8200+Sens!I8196-Sens!I8197-min_cash))</f>
        <v>22.271</v>
      </c>
      <c r="J8198" s="6" t="n">
        <f aca="false">MAX(0,MIN(bb_target,Sens!I8200+Sens!J8196-Sens!J8197-min_cash))</f>
        <v>22.271</v>
      </c>
      <c r="K8198" s="6" t="n">
        <f aca="false">MAX(0,MIN(bb_target,Sens!J8200+Sens!K8196-Sens!K8197-min_cash))</f>
        <v>22.271</v>
      </c>
    </row>
    <row r="8199" customFormat="false" ht="15" hidden="false" customHeight="false" outlineLevel="0" collapsed="false">
      <c r="A8199" s="1" t="s">
        <v>862</v>
      </c>
      <c r="B8199" s="0" t="s">
        <v>95</v>
      </c>
      <c r="F8199" s="6" t="n">
        <f aca="false">MAX(0,min_cash-(Sens!E8200+Sens!F8196-Sens!F8197-Sens!F8198))</f>
        <v>9.75537934491346</v>
      </c>
      <c r="G8199" s="6" t="n">
        <f aca="false">MAX(0,min_cash-(Sens!F8200+Sens!G8196-Sens!G8197-Sens!G8198))</f>
        <v>0</v>
      </c>
      <c r="H8199" s="6" t="n">
        <f aca="false">MAX(0,min_cash-(Sens!G8200+Sens!H8196-Sens!H8197-Sens!H8198))</f>
        <v>0</v>
      </c>
      <c r="I8199" s="6" t="n">
        <f aca="false">MAX(0,min_cash-(Sens!H8200+Sens!I8196-Sens!I8197-Sens!I8198))</f>
        <v>0</v>
      </c>
      <c r="J8199" s="6" t="n">
        <f aca="false">MAX(0,min_cash-(Sens!I8200+Sens!J8196-Sens!J8197-Sens!J8198))</f>
        <v>0</v>
      </c>
      <c r="K8199" s="6" t="n">
        <f aca="false">MAX(0,min_cash-(Sens!J8200+Sens!K8196-Sens!K8197-Sens!K8198))</f>
        <v>0</v>
      </c>
    </row>
    <row r="8200" customFormat="false" ht="15" hidden="false" customHeight="false" outlineLevel="0" collapsed="false">
      <c r="A8200" s="1" t="s">
        <v>863</v>
      </c>
      <c r="B8200" s="0" t="s">
        <v>95</v>
      </c>
      <c r="E8200" s="6" t="n">
        <f aca="false">cash_open</f>
        <v>76.843</v>
      </c>
      <c r="F8200" s="6" t="n">
        <f aca="false">Sens!E8200+Sens!F8196-Sens!F8197-Sens!F8198+Sens!F8199</f>
        <v>50</v>
      </c>
      <c r="G8200" s="6" t="n">
        <f aca="false">Sens!F8200+Sens!G8196-Sens!G8197-Sens!G8198+Sens!G8199</f>
        <v>50</v>
      </c>
      <c r="H8200" s="6" t="n">
        <f aca="false">Sens!G8200+Sens!H8196-Sens!H8197-Sens!H8198+Sens!H8199</f>
        <v>62.7192601398038</v>
      </c>
      <c r="I8200" s="6" t="n">
        <f aca="false">Sens!H8200+Sens!I8196-Sens!I8197-Sens!I8198+Sens!I8199</f>
        <v>87.2831880779119</v>
      </c>
      <c r="J8200" s="6" t="n">
        <f aca="false">Sens!I8200+Sens!J8196-Sens!J8197-Sens!J8198+Sens!J8199</f>
        <v>135.044706582568</v>
      </c>
      <c r="K8200" s="6" t="n">
        <f aca="false">Sens!J8200+Sens!K8196-Sens!K8197-Sens!K8198+Sens!K8199</f>
        <v>176.530196126882</v>
      </c>
    </row>
    <row r="8201" customFormat="false" ht="15" hidden="false" customHeight="false" outlineLevel="0" collapsed="false">
      <c r="A8201" s="1" t="s">
        <v>864</v>
      </c>
      <c r="B8201" s="0" t="s">
        <v>95</v>
      </c>
      <c r="E8201" s="6" t="n">
        <f aca="false">debt_face</f>
        <v>46.136</v>
      </c>
      <c r="F8201" s="6" t="n">
        <f aca="false">Sens!E8201-Sens!F8197+Sens!F8199</f>
        <v>46.6413793449135</v>
      </c>
      <c r="G8201" s="6" t="n">
        <f aca="false">Sens!F8201-Sens!G8197+Sens!G8199</f>
        <v>46.6413793449135</v>
      </c>
      <c r="H8201" s="6" t="n">
        <f aca="false">Sens!G8201-Sens!H8197+Sens!H8199</f>
        <v>44.6403793449135</v>
      </c>
      <c r="I8201" s="6" t="n">
        <f aca="false">Sens!H8201-Sens!I8197+Sens!I8199</f>
        <v>44.6403793449135</v>
      </c>
      <c r="J8201" s="6" t="n">
        <f aca="false">Sens!I8201-Sens!J8197+Sens!J8199</f>
        <v>44.1403793449135</v>
      </c>
      <c r="K8201" s="6" t="n">
        <f aca="false">Sens!J8201-Sens!K8197+Sens!K8199</f>
        <v>44.1403793449135</v>
      </c>
    </row>
    <row r="8202" customFormat="false" ht="15" hidden="false" customHeight="false" outlineLevel="0" collapsed="false">
      <c r="A8202" s="1" t="s">
        <v>865</v>
      </c>
      <c r="B8202" s="0" t="s">
        <v>95</v>
      </c>
      <c r="E8202" s="6" t="n">
        <f aca="false">Sens!E8200-Sens!E8201</f>
        <v>30.707</v>
      </c>
      <c r="F8202" s="6" t="n">
        <f aca="false">Sens!F8200-Sens!F8201</f>
        <v>3.35862065508653</v>
      </c>
      <c r="G8202" s="6" t="n">
        <f aca="false">Sens!G8200-Sens!G8201</f>
        <v>3.35862065508653</v>
      </c>
      <c r="H8202" s="6" t="n">
        <f aca="false">Sens!H8200-Sens!H8201</f>
        <v>18.0788807948903</v>
      </c>
      <c r="I8202" s="6" t="n">
        <f aca="false">Sens!I8200-Sens!I8201</f>
        <v>42.6428087329984</v>
      </c>
      <c r="J8202" s="6" t="n">
        <f aca="false">Sens!J8200-Sens!J8201</f>
        <v>90.9043272376545</v>
      </c>
      <c r="K8202" s="6" t="n">
        <f aca="false">Sens!K8200-Sens!K8201</f>
        <v>132.389816781969</v>
      </c>
    </row>
    <row r="8203" customFormat="false" ht="15" hidden="false" customHeight="false" outlineLevel="0" collapsed="false">
      <c r="A8203" s="1" t="s">
        <v>866</v>
      </c>
      <c r="B8203" s="0" t="s">
        <v>73</v>
      </c>
      <c r="F8203" s="27" t="n">
        <f aca="false">px*(1+bb_g)^(1-0.5)</f>
        <v>553.494156066711</v>
      </c>
      <c r="G8203" s="27" t="n">
        <f aca="false">px*(1+bb_g)^(2-0.5)</f>
        <v>597.773688552047</v>
      </c>
      <c r="H8203" s="27" t="n">
        <f aca="false">px*(1+bb_g)^(3-0.5)</f>
        <v>645.595583636211</v>
      </c>
      <c r="I8203" s="27" t="n">
        <f aca="false">px*(1+bb_g)^(4-0.5)</f>
        <v>697.243230327108</v>
      </c>
      <c r="J8203" s="27" t="n">
        <f aca="false">px*(1+bb_g)^(5-0.5)</f>
        <v>753.022688753277</v>
      </c>
      <c r="K8203" s="27" t="n">
        <f aca="false">px*(1+bb_g)^(6-0.5)</f>
        <v>813.264503853539</v>
      </c>
    </row>
    <row r="8204" customFormat="false" ht="15" hidden="false" customHeight="false" outlineLevel="0" collapsed="false">
      <c r="A8204" s="1" t="s">
        <v>867</v>
      </c>
      <c r="B8204" s="1" t="s">
        <v>79</v>
      </c>
      <c r="E8204" s="18" t="n">
        <f aca="false">sh_out26</f>
        <v>7.427</v>
      </c>
      <c r="F8204" s="18" t="n">
        <f aca="false">Sens!E8204+sh_iss-Sens!F8198/Sens!F8203</f>
        <v>7.472</v>
      </c>
      <c r="G8204" s="18" t="n">
        <f aca="false">Sens!F8204+sh_iss-Sens!G8198/Sens!G8203</f>
        <v>7.5157781891309</v>
      </c>
      <c r="H8204" s="18" t="n">
        <f aca="false">Sens!G8204+sh_iss-Sens!H8198/Sens!H8203</f>
        <v>7.5262813608308</v>
      </c>
      <c r="I8204" s="18" t="n">
        <f aca="false">Sens!H8204+sh_iss-Sens!I8198/Sens!I8203</f>
        <v>7.53933985314552</v>
      </c>
      <c r="J8204" s="18" t="n">
        <f aca="false">Sens!I8204+sh_iss-Sens!J8198/Sens!J8203</f>
        <v>7.55476438306657</v>
      </c>
      <c r="K8204" s="18" t="n">
        <f aca="false">Sens!J8204+sh_iss-Sens!K8198/Sens!K8203</f>
        <v>7.57237968854901</v>
      </c>
    </row>
    <row r="8205" customFormat="false" ht="15" hidden="false" customHeight="false" outlineLevel="0" collapsed="false">
      <c r="A8205" s="1" t="s">
        <v>868</v>
      </c>
      <c r="B8205" s="1" t="s">
        <v>79</v>
      </c>
      <c r="E8205" s="18" t="n">
        <f aca="false">sh_dil26</f>
        <v>7.453</v>
      </c>
      <c r="F8205" s="18" t="n">
        <f aca="false">(Sens!E8204+Sens!F8204)/2+dil_gap</f>
        <v>7.4735</v>
      </c>
      <c r="G8205" s="18" t="n">
        <f aca="false">(Sens!F8204+Sens!G8204)/2+dil_gap</f>
        <v>7.51788909456545</v>
      </c>
      <c r="H8205" s="18" t="n">
        <f aca="false">(Sens!G8204+Sens!H8204)/2+dil_gap</f>
        <v>7.54502977498085</v>
      </c>
      <c r="I8205" s="18" t="n">
        <f aca="false">(Sens!H8204+Sens!I8204)/2+dil_gap</f>
        <v>7.55681060698816</v>
      </c>
      <c r="J8205" s="18" t="n">
        <f aca="false">(Sens!I8204+Sens!J8204)/2+dil_gap</f>
        <v>7.57105211810605</v>
      </c>
      <c r="K8205" s="18" t="n">
        <f aca="false">(Sens!J8204+Sens!K8204)/2+dil_gap</f>
        <v>7.58757203580779</v>
      </c>
    </row>
    <row r="8206" customFormat="false" ht="17.15" hidden="false" customHeight="false" outlineLevel="0" collapsed="false">
      <c r="A8206" s="1" t="s">
        <v>869</v>
      </c>
      <c r="B8206" s="0" t="s">
        <v>95</v>
      </c>
      <c r="C8206" s="6" t="n">
        <f aca="false">SUM(Sens!F8196:J8196)</f>
        <v>127.740693627591</v>
      </c>
    </row>
    <row r="8207" customFormat="false" ht="17.15" hidden="false" customHeight="false" outlineLevel="0" collapsed="false">
      <c r="A8207" s="1" t="s">
        <v>836</v>
      </c>
      <c r="B8207" s="1" t="s">
        <v>870</v>
      </c>
      <c r="C8207" s="30" t="str">
        <f aca="false">IF(SUM(Sens!F8199:J8199)&gt;0.05,"需要舉債 "&amp;TEXT(SUM(Sens!F8199:J8199),"0.0")&amp;" 十億美元","不需舉債")&amp;"；"&amp;IF(SUM(Sens!F8198:J8198)&lt;5*bb_target-0.05,"回購較每年 "&amp;TEXT(bb_target,"0.0")&amp;" 的目標少 "&amp;TEXT(5*bb_target-SUM(Sens!F8198:J8198),"0.0")&amp;" 十億美元（"&amp;TEXT(COUNTIF(Sens!F8198:J8198,"&lt;"&amp;(bb_target-0.05)),"0")&amp;" 年減少）","回購不減")</f>
        <v>需要舉債 9.8 十億美元；回購較每年 22.3 的目標少 43.8 十億美元（2 年減少）</v>
      </c>
    </row>
    <row r="8208" customFormat="false" ht="17.15" hidden="false" customHeight="false" outlineLevel="0" collapsed="false">
      <c r="A8208" s="3" t="s">
        <v>1348</v>
      </c>
    </row>
    <row r="8209" customFormat="false" ht="15" hidden="false" customHeight="false" outlineLevel="0" collapsed="false">
      <c r="A8209" s="4" t="s">
        <v>43</v>
      </c>
      <c r="B8209" s="4" t="s">
        <v>63</v>
      </c>
      <c r="C8209" s="19" t="s">
        <v>710</v>
      </c>
      <c r="D8209" s="19" t="s">
        <v>711</v>
      </c>
      <c r="E8209" s="19" t="s">
        <v>712</v>
      </c>
      <c r="F8209" s="19" t="s">
        <v>713</v>
      </c>
      <c r="G8209" s="19" t="s">
        <v>714</v>
      </c>
      <c r="H8209" s="19" t="s">
        <v>715</v>
      </c>
      <c r="I8209" s="19" t="s">
        <v>716</v>
      </c>
      <c r="J8209" s="19" t="s">
        <v>717</v>
      </c>
      <c r="K8209" s="19" t="s">
        <v>718</v>
      </c>
      <c r="L8209" s="4" t="s">
        <v>47</v>
      </c>
    </row>
    <row r="8210" customFormat="false" ht="17.15" hidden="false" customHeight="false" outlineLevel="0" collapsed="false">
      <c r="A8210" s="1" t="s">
        <v>938</v>
      </c>
      <c r="B8210" s="1" t="s">
        <v>213</v>
      </c>
      <c r="F8210" s="34" t="n">
        <f aca="false">1-0.5</f>
        <v>0.5</v>
      </c>
      <c r="G8210" s="34" t="n">
        <f aca="false">2-0.5</f>
        <v>1.5</v>
      </c>
      <c r="H8210" s="34" t="n">
        <f aca="false">3-0.5</f>
        <v>2.5</v>
      </c>
      <c r="I8210" s="34" t="n">
        <f aca="false">4-0.5</f>
        <v>3.5</v>
      </c>
      <c r="J8210" s="34" t="n">
        <f aca="false">5-0.5</f>
        <v>4.5</v>
      </c>
      <c r="K8210" s="34" t="n">
        <f aca="false">6-0.5</f>
        <v>5.5</v>
      </c>
    </row>
    <row r="8211" customFormat="false" ht="15" hidden="false" customHeight="false" outlineLevel="0" collapsed="false">
      <c r="A8211" s="1" t="s">
        <v>939</v>
      </c>
      <c r="B8211" s="0" t="s">
        <v>182</v>
      </c>
      <c r="F8211" s="18" t="n">
        <f aca="false">1/(1+wacc)^Sens!F8210</f>
        <v>0.949601579913219</v>
      </c>
      <c r="G8211" s="18" t="n">
        <f aca="false">1/(1+wacc)^Sens!G8210</f>
        <v>0.856296729956707</v>
      </c>
      <c r="H8211" s="18" t="n">
        <f aca="false">1/(1+wacc)^Sens!H8210</f>
        <v>0.772159719660069</v>
      </c>
      <c r="I8211" s="18" t="n">
        <f aca="false">1/(1+wacc)^Sens!I8210</f>
        <v>0.696289746073958</v>
      </c>
      <c r="J8211" s="18" t="n">
        <f aca="false">1/(1+wacc)^Sens!J8210</f>
        <v>0.627874516299776</v>
      </c>
      <c r="K8211" s="18" t="n">
        <f aca="false">1/(1+wacc)^Sens!K8210</f>
        <v>0.566181550771831</v>
      </c>
    </row>
    <row r="8212" customFormat="false" ht="15" hidden="false" customHeight="false" outlineLevel="0" collapsed="false">
      <c r="A8212" s="1" t="s">
        <v>940</v>
      </c>
      <c r="B8212" s="0" t="s">
        <v>95</v>
      </c>
      <c r="F8212" s="6" t="n">
        <f aca="false">Sens!F8193*Sens!F8211</f>
        <v>1.18279586196372</v>
      </c>
      <c r="G8212" s="6" t="n">
        <f aca="false">Sens!G8193*Sens!G8211</f>
        <v>27.2293303845839</v>
      </c>
      <c r="H8212" s="6" t="n">
        <f aca="false">Sens!H8193*Sens!H8211</f>
        <v>54.6240567195426</v>
      </c>
      <c r="I8212" s="6" t="n">
        <f aca="false">Sens!I8193*Sens!I8211</f>
        <v>58.0264017254334</v>
      </c>
      <c r="J8212" s="6" t="n">
        <f aca="false">Sens!J8193*Sens!J8211</f>
        <v>69.0804462499388</v>
      </c>
      <c r="K8212" s="6" t="n">
        <f aca="false">Sens!K8193*Sens!K8211</f>
        <v>60.2944483874712</v>
      </c>
    </row>
    <row r="8213" customFormat="false" ht="17.15" hidden="false" customHeight="false" outlineLevel="0" collapsed="false">
      <c r="A8213" s="1" t="s">
        <v>941</v>
      </c>
      <c r="B8213" s="0" t="s">
        <v>95</v>
      </c>
      <c r="C8213" s="6" t="n">
        <f aca="false">SUM(Sens!F8212:K8212)</f>
        <v>270.437479328934</v>
      </c>
    </row>
    <row r="8214" customFormat="false" ht="17.15" hidden="false" customHeight="false" outlineLevel="0" collapsed="false">
      <c r="A8214" s="1" t="s">
        <v>942</v>
      </c>
      <c r="B8214" s="0" t="s">
        <v>95</v>
      </c>
      <c r="C8214" s="6" t="n">
        <f aca="false">Sens!K8159*(1+g_tv)*(1-tax_f)</f>
        <v>217.922100314355</v>
      </c>
    </row>
    <row r="8215" customFormat="false" ht="17.15" hidden="false" customHeight="false" outlineLevel="0" collapsed="false">
      <c r="A8215" s="1" t="s">
        <v>943</v>
      </c>
      <c r="B8215" s="0" t="s">
        <v>95</v>
      </c>
      <c r="C8215" s="6" t="n">
        <f aca="false">Sens!$C$8214*(1-g_tv/(wacc+ronic_prem))</f>
        <v>157.923295759784</v>
      </c>
    </row>
    <row r="8216" customFormat="false" ht="17.15" hidden="false" customHeight="false" outlineLevel="0" collapsed="false">
      <c r="A8216" s="1" t="s">
        <v>944</v>
      </c>
      <c r="B8216" s="0" t="s">
        <v>95</v>
      </c>
      <c r="C8216" s="6" t="n">
        <f aca="false">Sens!$C$8215/(wacc-g_tv)</f>
        <v>1999.96015181905</v>
      </c>
    </row>
    <row r="8217" customFormat="false" ht="15" hidden="false" customHeight="false" outlineLevel="0" collapsed="false">
      <c r="A8217" s="1" t="s">
        <v>945</v>
      </c>
      <c r="B8217" s="0" t="s">
        <v>95</v>
      </c>
      <c r="C8217" s="6" t="n">
        <f aca="false">Sens!$C$8216/(1+wacc)^6</f>
        <v>1075.27236601053</v>
      </c>
    </row>
    <row r="8218" customFormat="false" ht="17.15" hidden="false" customHeight="false" outlineLevel="0" collapsed="false">
      <c r="A8218" s="0" t="s">
        <v>877</v>
      </c>
      <c r="B8218" s="0" t="s">
        <v>95</v>
      </c>
      <c r="C8218" s="6" t="n">
        <f aca="false">Sens!$C$8213+Sens!$C$8217</f>
        <v>1345.70984533947</v>
      </c>
    </row>
    <row r="8219" customFormat="false" ht="15" hidden="false" customHeight="false" outlineLevel="0" collapsed="false">
      <c r="A8219" s="1" t="s">
        <v>878</v>
      </c>
      <c r="B8219" s="0" t="s">
        <v>126</v>
      </c>
      <c r="C8219" s="7" t="n">
        <f aca="false">Sens!$C$8217/Sens!$C$8218</f>
        <v>0.799037303423523</v>
      </c>
    </row>
    <row r="8220" customFormat="false" ht="17.15" hidden="false" customHeight="false" outlineLevel="0" collapsed="false">
      <c r="A8220" s="1" t="s">
        <v>946</v>
      </c>
      <c r="B8220" s="0" t="s">
        <v>95</v>
      </c>
      <c r="C8220" s="6" t="n">
        <f aca="false">Sens!$C$8218+Sens!E8202+oai_v</f>
        <v>1546.81684533947</v>
      </c>
    </row>
    <row r="8221" customFormat="false" ht="17.15" hidden="false" customHeight="false" outlineLevel="0" collapsed="false">
      <c r="A8221" s="0" t="s">
        <v>883</v>
      </c>
      <c r="B8221" s="0" t="s">
        <v>73</v>
      </c>
      <c r="C8221" s="5" t="n">
        <f aca="false">Sens!$C$8220/sh_dil26</f>
        <v>207.542847892052</v>
      </c>
    </row>
    <row r="8222" customFormat="false" ht="17.15" hidden="false" customHeight="false" outlineLevel="0" collapsed="false">
      <c r="A8222" s="0" t="s">
        <v>947</v>
      </c>
      <c r="B8222" s="0" t="s">
        <v>73</v>
      </c>
      <c r="C8222" s="5" t="n">
        <f aca="false">Sens!$C$8221*(1+wacc)^t_roll</f>
        <v>238.05051973256</v>
      </c>
    </row>
    <row r="8223" customFormat="false" ht="17.15" hidden="false" customHeight="false" outlineLevel="0" collapsed="false">
      <c r="A8223" s="1" t="s">
        <v>948</v>
      </c>
      <c r="B8223" s="0" t="s">
        <v>126</v>
      </c>
      <c r="F8223" s="7" t="n">
        <f aca="false">Sens!F8183/(Sens!F8134-Sens!F8090)</f>
        <v>0.0684090030651251</v>
      </c>
      <c r="G8223" s="7" t="n">
        <f aca="false">Sens!G8183/(Sens!G8134-Sens!G8090)</f>
        <v>0.0655860636383217</v>
      </c>
      <c r="H8223" s="7" t="n">
        <f aca="false">Sens!H8183/(Sens!H8134-Sens!H8090)</f>
        <v>0.0640837622704986</v>
      </c>
      <c r="I8223" s="7" t="n">
        <f aca="false">Sens!I8183/(Sens!I8134-Sens!I8090)</f>
        <v>0.0637812298643616</v>
      </c>
      <c r="J8223" s="7" t="n">
        <f aca="false">Sens!J8183/(Sens!J8134-Sens!J8090)</f>
        <v>0.064394162968581</v>
      </c>
      <c r="K8223" s="7" t="n">
        <f aca="false">Sens!K8183/(Sens!K8134-Sens!K8090)</f>
        <v>0.0655732557998957</v>
      </c>
    </row>
    <row r="8224" customFormat="false" ht="17.15" hidden="false" customHeight="false" outlineLevel="0" collapsed="false">
      <c r="A8224" s="0" t="s">
        <v>949</v>
      </c>
      <c r="B8224" s="0" t="s">
        <v>95</v>
      </c>
      <c r="F8224" s="6" t="n">
        <f aca="false">Sens!F8119*(al_m365+Sens!F8223)</f>
        <v>79.468742379279</v>
      </c>
      <c r="G8224" s="6" t="n">
        <f aca="false">Sens!G8119*(al_m365+Sens!G8223)</f>
        <v>91.2146886223466</v>
      </c>
      <c r="H8224" s="6" t="n">
        <f aca="false">Sens!H8119*(al_m365+Sens!H8223)</f>
        <v>103.11717301833</v>
      </c>
      <c r="I8224" s="6" t="n">
        <f aca="false">Sens!I8119*(al_m365+Sens!I8223)</f>
        <v>114.060202486151</v>
      </c>
      <c r="J8224" s="6" t="n">
        <f aca="false">Sens!J8119*(al_m365+Sens!J8223)</f>
        <v>123.864799517119</v>
      </c>
      <c r="K8224" s="6" t="n">
        <f aca="false">Sens!K8119*(al_m365+Sens!K8223)</f>
        <v>133.299675187492</v>
      </c>
    </row>
    <row r="8225" customFormat="false" ht="17.15" hidden="false" customHeight="false" outlineLevel="0" collapsed="false">
      <c r="A8225" s="0" t="s">
        <v>950</v>
      </c>
      <c r="B8225" s="0" t="s">
        <v>95</v>
      </c>
      <c r="F8225" s="6" t="n">
        <f aca="false">Sens!F8120*(al_lic+Sens!F8223)</f>
        <v>31.9769448502184</v>
      </c>
      <c r="G8225" s="6" t="n">
        <f aca="false">Sens!G8120*(al_lic+Sens!G8223)</f>
        <v>33.2160171649828</v>
      </c>
      <c r="H8225" s="6" t="n">
        <f aca="false">Sens!H8120*(al_lic+Sens!H8223)</f>
        <v>34.3735461073966</v>
      </c>
      <c r="I8225" s="6" t="n">
        <f aca="false">Sens!I8120*(al_lic+Sens!I8223)</f>
        <v>35.4318710218107</v>
      </c>
      <c r="J8225" s="6" t="n">
        <f aca="false">Sens!J8120*(al_lic+Sens!J8223)</f>
        <v>36.3658032165053</v>
      </c>
      <c r="K8225" s="6" t="n">
        <f aca="false">Sens!K8120*(al_lic+Sens!K8223)</f>
        <v>37.1468232893166</v>
      </c>
    </row>
    <row r="8226" customFormat="false" ht="17.15" hidden="false" customHeight="false" outlineLevel="0" collapsed="false">
      <c r="A8226" s="0" t="s">
        <v>951</v>
      </c>
      <c r="B8226" s="0" t="s">
        <v>95</v>
      </c>
      <c r="F8226" s="6" t="n">
        <f aca="false">Sens!F8122*(al_ind+Sens!F8223)</f>
        <v>8.23660125189689</v>
      </c>
      <c r="G8226" s="6" t="n">
        <f aca="false">Sens!G8122*(al_ind+Sens!G8223)</f>
        <v>8.93463547572146</v>
      </c>
      <c r="H8226" s="6" t="n">
        <f aca="false">Sens!H8122*(al_ind+Sens!H8223)</f>
        <v>9.67509097799624</v>
      </c>
      <c r="I8226" s="6" t="n">
        <f aca="false">Sens!I8122*(al_ind+Sens!I8223)</f>
        <v>10.4555152377543</v>
      </c>
      <c r="J8226" s="6" t="n">
        <f aca="false">Sens!J8122*(al_ind+Sens!J8223)</f>
        <v>11.2667958775487</v>
      </c>
      <c r="K8226" s="6" t="n">
        <f aca="false">Sens!K8122*(al_ind+Sens!K8223)</f>
        <v>12.0944802273506</v>
      </c>
    </row>
    <row r="8227" customFormat="false" ht="17.15" hidden="false" customHeight="false" outlineLevel="0" collapsed="false">
      <c r="A8227" s="0" t="s">
        <v>952</v>
      </c>
      <c r="B8227" s="0" t="s">
        <v>95</v>
      </c>
      <c r="F8227" s="6" t="n">
        <f aca="false">Sens!F8124*(al_fro+Sens!F8223)</f>
        <v>3.24195516981397</v>
      </c>
      <c r="G8227" s="6" t="n">
        <f aca="false">Sens!G8124*(al_fro+Sens!G8223)</f>
        <v>3.43037179207635</v>
      </c>
      <c r="H8227" s="6" t="n">
        <f aca="false">Sens!H8124*(al_fro+Sens!H8223)</f>
        <v>3.6459054352062</v>
      </c>
      <c r="I8227" s="6" t="n">
        <f aca="false">Sens!I8124*(al_fro+Sens!I8223)</f>
        <v>3.89111723719681</v>
      </c>
      <c r="J8227" s="6" t="n">
        <f aca="false">Sens!J8124*(al_fro+Sens!J8223)</f>
        <v>4.16689409767967</v>
      </c>
      <c r="K8227" s="6" t="n">
        <f aca="false">Sens!K8124*(al_fro+Sens!K8223)</f>
        <v>4.47300357808698</v>
      </c>
    </row>
    <row r="8228" customFormat="false" ht="17.15" hidden="false" customHeight="false" outlineLevel="0" collapsed="false">
      <c r="A8228" s="0" t="s">
        <v>953</v>
      </c>
      <c r="B8228" s="0" t="s">
        <v>95</v>
      </c>
      <c r="F8228" s="6" t="n">
        <f aca="false">Sens!F8127*(al_srch+Sens!F8223)</f>
        <v>10.2180687368911</v>
      </c>
      <c r="G8228" s="6" t="n">
        <f aca="false">Sens!G8127*(al_srch+Sens!G8223)</f>
        <v>11.2900079041317</v>
      </c>
      <c r="H8228" s="6" t="n">
        <f aca="false">Sens!H8127*(al_srch+Sens!H8223)</f>
        <v>12.4812938592665</v>
      </c>
      <c r="I8228" s="6" t="n">
        <f aca="false">Sens!I8127*(al_srch+Sens!I8223)</f>
        <v>13.8018068642774</v>
      </c>
      <c r="J8228" s="6" t="n">
        <f aca="false">Sens!J8127*(al_srch+Sens!J8223)</f>
        <v>15.2540128085913</v>
      </c>
      <c r="K8228" s="6" t="n">
        <f aca="false">Sens!K8127*(al_srch+Sens!K8223)</f>
        <v>16.8337082820504</v>
      </c>
    </row>
    <row r="8229" customFormat="false" ht="17.15" hidden="false" customHeight="false" outlineLevel="0" collapsed="false">
      <c r="A8229" s="0" t="s">
        <v>954</v>
      </c>
      <c r="B8229" s="0" t="s">
        <v>95</v>
      </c>
      <c r="F8229" s="6" t="n">
        <f aca="false">Sens!F8096</f>
        <v>39.4594407491938</v>
      </c>
      <c r="G8229" s="6" t="n">
        <f aca="false">Sens!G8096</f>
        <v>66.5527545578061</v>
      </c>
      <c r="H8229" s="6" t="n">
        <f aca="false">Sens!H8096</f>
        <v>95.219644983859</v>
      </c>
      <c r="I8229" s="6" t="n">
        <f aca="false">Sens!I8096</f>
        <v>124.031840462493</v>
      </c>
      <c r="J8229" s="6" t="n">
        <f aca="false">Sens!J8096</f>
        <v>152.919994097909</v>
      </c>
      <c r="K8229" s="6" t="n">
        <f aca="false">Sens!K8096</f>
        <v>181.852830263848</v>
      </c>
    </row>
    <row r="8230" customFormat="false" ht="17.15" hidden="false" customHeight="false" outlineLevel="0" collapsed="false">
      <c r="A8230" s="0" t="s">
        <v>955</v>
      </c>
      <c r="B8230" s="0" t="s">
        <v>95</v>
      </c>
      <c r="F8230" s="6" t="n">
        <f aca="false">Sens!F8156+Sens!F8107+Sens!F8223*(Sens!F8126-Sens!F8090)</f>
        <v>211.438569128474</v>
      </c>
      <c r="G8230" s="6" t="n">
        <f aca="false">Sens!G8156+Sens!G8107+Sens!G8223*(Sens!G8126-Sens!G8090)</f>
        <v>258.584592963577</v>
      </c>
      <c r="H8230" s="6" t="n">
        <f aca="false">Sens!H8156+Sens!H8107+Sens!H8223*(Sens!H8126-Sens!H8090)</f>
        <v>307.529970261843</v>
      </c>
      <c r="I8230" s="6" t="n">
        <f aca="false">Sens!I8156+Sens!I8107+Sens!I8223*(Sens!I8126-Sens!I8090)</f>
        <v>355.471939432542</v>
      </c>
      <c r="J8230" s="6" t="n">
        <f aca="false">Sens!J8156+Sens!J8107+Sens!J8223*(Sens!J8126-Sens!J8090)</f>
        <v>401.525777846146</v>
      </c>
      <c r="K8230" s="6" t="n">
        <f aca="false">Sens!K8156+Sens!K8107+Sens!K8223*(Sens!K8126-Sens!K8090)</f>
        <v>445.677099278288</v>
      </c>
    </row>
    <row r="8231" customFormat="false" ht="17.15" hidden="false" customHeight="false" outlineLevel="0" collapsed="false">
      <c r="A8231" s="0" t="s">
        <v>956</v>
      </c>
      <c r="B8231" s="0" t="s">
        <v>95</v>
      </c>
      <c r="F8231" s="6" t="n">
        <f aca="false">Sens!F8230-Sens!F8224-Sens!F8225-Sens!F8226-Sens!F8227-Sens!F8229</f>
        <v>49.0548847280723</v>
      </c>
      <c r="G8231" s="6" t="n">
        <f aca="false">Sens!G8230-Sens!G8224-Sens!G8225-Sens!G8226-Sens!G8227-Sens!G8229</f>
        <v>55.2361253506434</v>
      </c>
      <c r="H8231" s="6" t="n">
        <f aca="false">Sens!H8230-Sens!H8224-Sens!H8225-Sens!H8226-Sens!H8227-Sens!H8229</f>
        <v>61.498609739055</v>
      </c>
      <c r="I8231" s="6" t="n">
        <f aca="false">Sens!I8230-Sens!I8224-Sens!I8225-Sens!I8226-Sens!I8227-Sens!I8229</f>
        <v>67.6013929871363</v>
      </c>
      <c r="J8231" s="6" t="n">
        <f aca="false">Sens!J8230-Sens!J8224-Sens!J8225-Sens!J8226-Sens!J8227-Sens!J8229</f>
        <v>72.9414910393835</v>
      </c>
      <c r="K8231" s="6" t="n">
        <f aca="false">Sens!K8230-Sens!K8224-Sens!K8225-Sens!K8226-Sens!K8227-Sens!K8229</f>
        <v>76.8102867321936</v>
      </c>
    </row>
    <row r="8232" customFormat="false" ht="17.15" hidden="false" customHeight="false" outlineLevel="0" collapsed="false">
      <c r="A8232" s="0" t="s">
        <v>957</v>
      </c>
      <c r="B8232" s="0" t="s">
        <v>95</v>
      </c>
      <c r="F8232" s="6" t="n">
        <f aca="false">Sens!F8158+Sens!F8223*Sens!F8133</f>
        <v>23.7969985029045</v>
      </c>
      <c r="G8232" s="6" t="n">
        <f aca="false">Sens!G8158+Sens!G8223*Sens!G8133</f>
        <v>24.4354716147812</v>
      </c>
      <c r="H8232" s="6" t="n">
        <f aca="false">Sens!H8158+Sens!H8223*Sens!H8133</f>
        <v>25.3983339490106</v>
      </c>
      <c r="I8232" s="6" t="n">
        <f aca="false">Sens!I8158+Sens!I8223*Sens!I8133</f>
        <v>26.6771668398784</v>
      </c>
      <c r="J8232" s="6" t="n">
        <f aca="false">Sens!J8158+Sens!J8223*Sens!J8133</f>
        <v>28.2592582650075</v>
      </c>
      <c r="K8232" s="6" t="n">
        <f aca="false">Sens!K8158+Sens!K8223*Sens!K8133</f>
        <v>30.1302637172619</v>
      </c>
    </row>
    <row r="8233" customFormat="false" ht="17.15" hidden="false" customHeight="false" outlineLevel="0" collapsed="false">
      <c r="A8233" s="0" t="s">
        <v>958</v>
      </c>
      <c r="B8233" s="0" t="s">
        <v>95</v>
      </c>
      <c r="F8233" s="6" t="n">
        <f aca="false">(Sens!F8232-Sens!F8228)*Sens!F8129/(Sens!F8129+Sens!F8131)</f>
        <v>7.44383704086905</v>
      </c>
      <c r="G8233" s="6" t="n">
        <f aca="false">(Sens!G8232-Sens!G8228)*Sens!G8129/(Sens!G8129+Sens!G8131)</f>
        <v>7.07772880761251</v>
      </c>
      <c r="H8233" s="6" t="n">
        <f aca="false">(Sens!H8232-Sens!H8228)*Sens!H8129/(Sens!H8129+Sens!H8131)</f>
        <v>6.86079492126489</v>
      </c>
      <c r="I8233" s="6" t="n">
        <f aca="false">(Sens!I8232-Sens!I8228)*Sens!I8129/(Sens!I8129+Sens!I8131)</f>
        <v>6.77678056802021</v>
      </c>
      <c r="J8233" s="6" t="n">
        <f aca="false">(Sens!J8232-Sens!J8228)*Sens!J8129/(Sens!J8129+Sens!J8131)</f>
        <v>6.81419063560881</v>
      </c>
      <c r="K8233" s="6" t="n">
        <f aca="false">(Sens!K8232-Sens!K8228)*Sens!K8129/(Sens!K8129+Sens!K8131)</f>
        <v>6.96682456598855</v>
      </c>
    </row>
    <row r="8234" customFormat="false" ht="17.15" hidden="false" customHeight="false" outlineLevel="0" collapsed="false">
      <c r="A8234" s="0" t="s">
        <v>959</v>
      </c>
      <c r="B8234" s="0" t="s">
        <v>95</v>
      </c>
      <c r="F8234" s="6" t="n">
        <f aca="false">Sens!F8232-Sens!F8228-Sens!F8233</f>
        <v>6.13509272514439</v>
      </c>
      <c r="G8234" s="6" t="n">
        <f aca="false">Sens!G8232-Sens!G8228-Sens!G8233</f>
        <v>6.06773490303696</v>
      </c>
      <c r="H8234" s="6" t="n">
        <f aca="false">Sens!H8232-Sens!H8228-Sens!H8233</f>
        <v>6.05624516847918</v>
      </c>
      <c r="I8234" s="6" t="n">
        <f aca="false">Sens!I8232-Sens!I8228-Sens!I8233</f>
        <v>6.09857940758079</v>
      </c>
      <c r="J8234" s="6" t="n">
        <f aca="false">Sens!J8232-Sens!J8228-Sens!J8233</f>
        <v>6.19105482080745</v>
      </c>
      <c r="K8234" s="6" t="n">
        <f aca="false">Sens!K8232-Sens!K8228-Sens!K8233</f>
        <v>6.32973086922298</v>
      </c>
    </row>
    <row r="8235" customFormat="false" ht="17.15" hidden="false" customHeight="false" outlineLevel="0" collapsed="false">
      <c r="A8235" s="1" t="s">
        <v>960</v>
      </c>
      <c r="B8235" s="0" t="s">
        <v>95</v>
      </c>
      <c r="C8235" s="6" t="n">
        <f aca="false">(w_ntm28*Sens!G8229+(1-w_ntm28)*Sens!H8229)*m_ai*1</f>
        <v>454.922440830797</v>
      </c>
    </row>
    <row r="8236" customFormat="false" ht="17.15" hidden="false" customHeight="false" outlineLevel="0" collapsed="false">
      <c r="A8236" s="1" t="s">
        <v>961</v>
      </c>
      <c r="B8236" s="0" t="s">
        <v>95</v>
      </c>
      <c r="C8236" s="6" t="n">
        <f aca="false">(w_ntm28*Sens!G8231+(1-w_ntm28)*Sens!H8231)*m_cloud*1</f>
        <v>791.343003143826</v>
      </c>
    </row>
    <row r="8237" customFormat="false" ht="17.15" hidden="false" customHeight="false" outlineLevel="0" collapsed="false">
      <c r="A8237" s="1" t="s">
        <v>962</v>
      </c>
      <c r="B8237" s="0" t="s">
        <v>95</v>
      </c>
      <c r="C8237" s="6" t="n">
        <f aca="false">(w_ntm28*Sens!G8224+(1-w_ntm28)*Sens!H8224)*m_sw*1</f>
        <v>1026.67624291379</v>
      </c>
    </row>
    <row r="8238" customFormat="false" ht="17.15" hidden="false" customHeight="false" outlineLevel="0" collapsed="false">
      <c r="A8238" s="1" t="s">
        <v>963</v>
      </c>
      <c r="B8238" s="0" t="s">
        <v>95</v>
      </c>
      <c r="C8238" s="6" t="n">
        <f aca="false">(w_ntm28*Sens!G8225+(1-w_ntm28)*Sens!H8225)*m_sw*1</f>
        <v>362.774505612532</v>
      </c>
    </row>
    <row r="8239" customFormat="false" ht="17.15" hidden="false" customHeight="false" outlineLevel="0" collapsed="false">
      <c r="A8239" s="1" t="s">
        <v>964</v>
      </c>
      <c r="B8239" s="0" t="s">
        <v>95</v>
      </c>
      <c r="C8239" s="6" t="n">
        <f aca="false">(w_ntm28*Sens!G8226+(1-w_ntm28)*Sens!H8226)*m_sw*1</f>
        <v>99.0793685955972</v>
      </c>
    </row>
    <row r="8240" customFormat="false" ht="17.15" hidden="false" customHeight="false" outlineLevel="0" collapsed="false">
      <c r="A8240" s="1" t="s">
        <v>965</v>
      </c>
      <c r="B8240" s="0" t="s">
        <v>95</v>
      </c>
      <c r="C8240" s="6" t="n">
        <f aca="false">(w_ntm28*Sens!G8227+(1-w_ntm28)*Sens!H8227)*m_sw*1</f>
        <v>37.8005525456703</v>
      </c>
    </row>
    <row r="8241" customFormat="false" ht="17.15" hidden="false" customHeight="false" outlineLevel="0" collapsed="false">
      <c r="A8241" s="1" t="s">
        <v>966</v>
      </c>
      <c r="B8241" s="0" t="s">
        <v>95</v>
      </c>
      <c r="C8241" s="6" t="n">
        <f aca="false">(w_ntm28*Sens!G8228+(1-w_ntm28)*Sens!H8228)*m_ads*1</f>
        <v>106.360488653354</v>
      </c>
    </row>
    <row r="8242" customFormat="false" ht="17.15" hidden="false" customHeight="false" outlineLevel="0" collapsed="false">
      <c r="A8242" s="1" t="s">
        <v>967</v>
      </c>
      <c r="B8242" s="0" t="s">
        <v>95</v>
      </c>
      <c r="C8242" s="6" t="n">
        <f aca="false">(w_ntm28*Sens!G8233+(1-w_ntm28)*Sens!H8233)*m_game*1</f>
        <v>88.505947036915</v>
      </c>
    </row>
    <row r="8243" customFormat="false" ht="17.15" hidden="false" customHeight="false" outlineLevel="0" collapsed="false">
      <c r="A8243" s="1" t="s">
        <v>968</v>
      </c>
      <c r="B8243" s="0" t="s">
        <v>95</v>
      </c>
      <c r="C8243" s="6" t="n">
        <f aca="false">(w_ntm28*Sens!G8234+(1-w_ntm28)*Sens!H8234)*m_pc*1</f>
        <v>87.7463753834708</v>
      </c>
    </row>
    <row r="8244" customFormat="false" ht="17.15" hidden="false" customHeight="false" outlineLevel="0" collapsed="false">
      <c r="A8244" s="1" t="s">
        <v>969</v>
      </c>
      <c r="B8244" s="0" t="s">
        <v>95</v>
      </c>
      <c r="C8244" s="6" t="n">
        <f aca="false">Sens!$C$8235+Sens!$C$8236+Sens!$C$8237+Sens!$C$8238+Sens!$C$8239+Sens!$C$8240+Sens!$C$8241+Sens!$C$8242+Sens!$C$8243</f>
        <v>3055.20892471595</v>
      </c>
    </row>
    <row r="8245" customFormat="false" ht="17.15" hidden="false" customHeight="false" outlineLevel="0" collapsed="false">
      <c r="A8245" s="1" t="s">
        <v>903</v>
      </c>
      <c r="B8245" s="0" t="s">
        <v>95</v>
      </c>
      <c r="C8245" s="6" t="n">
        <f aca="false">Sens!F8202+oai_v-Sens!F8191</f>
        <v>111.288890655087</v>
      </c>
      <c r="L8245" s="1" t="s">
        <v>970</v>
      </c>
    </row>
    <row r="8246" customFormat="false" ht="15" hidden="false" customHeight="false" outlineLevel="0" collapsed="false">
      <c r="A8246" s="1" t="s">
        <v>904</v>
      </c>
      <c r="B8246" s="0" t="s">
        <v>73</v>
      </c>
      <c r="C8246" s="5" t="n">
        <f aca="false">(Sens!$C$8244+Sens!$C$8245)/Sens!F8204</f>
        <v>423.78182753895</v>
      </c>
    </row>
    <row r="8247" customFormat="false" ht="17.15" hidden="false" customHeight="false" outlineLevel="0" collapsed="false">
      <c r="A8247" s="1" t="s">
        <v>971</v>
      </c>
      <c r="B8247" s="0" t="s">
        <v>73</v>
      </c>
      <c r="C8247" s="5" t="n">
        <f aca="false">w_dcf*Sens!$C$8222+(1-w_dcf)*Sens!$C$8246</f>
        <v>330.916173635755</v>
      </c>
    </row>
    <row r="8248" customFormat="false" ht="17.15" hidden="false" customHeight="false" outlineLevel="0" collapsed="false">
      <c r="A8248" s="3" t="s">
        <v>1349</v>
      </c>
    </row>
    <row r="8249" customFormat="false" ht="15" hidden="false" customHeight="false" outlineLevel="0" collapsed="false">
      <c r="A8249" s="4" t="s">
        <v>43</v>
      </c>
      <c r="B8249" s="4" t="s">
        <v>63</v>
      </c>
      <c r="C8249" s="19" t="s">
        <v>710</v>
      </c>
      <c r="D8249" s="19" t="s">
        <v>711</v>
      </c>
      <c r="E8249" s="19" t="s">
        <v>712</v>
      </c>
      <c r="F8249" s="19" t="s">
        <v>713</v>
      </c>
      <c r="G8249" s="19" t="s">
        <v>714</v>
      </c>
      <c r="H8249" s="19" t="s">
        <v>715</v>
      </c>
      <c r="I8249" s="19" t="s">
        <v>716</v>
      </c>
      <c r="J8249" s="19" t="s">
        <v>717</v>
      </c>
      <c r="K8249" s="19" t="s">
        <v>718</v>
      </c>
      <c r="L8249" s="4" t="s">
        <v>47</v>
      </c>
    </row>
    <row r="8250" customFormat="false" ht="17.15" hidden="false" customHeight="false" outlineLevel="0" collapsed="false">
      <c r="A8250" s="1" t="s">
        <v>719</v>
      </c>
      <c r="B8250" s="0" t="s">
        <v>340</v>
      </c>
      <c r="C8250" s="27" t="n">
        <f aca="false">mw_ext_24</f>
        <v>640</v>
      </c>
      <c r="D8250" s="27" t="n">
        <f aca="false">mw_ext_25</f>
        <v>1630</v>
      </c>
      <c r="E8250" s="27" t="n">
        <f aca="false">mw_ext_26</f>
        <v>3250</v>
      </c>
      <c r="F8250" s="27" t="n">
        <f aca="false">MIN(1000000000,Sens!E8250+pace)</f>
        <v>5777.2</v>
      </c>
      <c r="G8250" s="27" t="n">
        <f aca="false">MIN(1000000000,Sens!F8250+pace)</f>
        <v>8304.4</v>
      </c>
      <c r="H8250" s="27" t="n">
        <f aca="false">MIN(1000000000,Sens!G8250+pace)</f>
        <v>10831.6</v>
      </c>
      <c r="I8250" s="27" t="n">
        <f aca="false">MIN(1000000000,Sens!H8250+pace)</f>
        <v>13358.8</v>
      </c>
      <c r="J8250" s="27" t="n">
        <f aca="false">MIN(1000000000,Sens!I8250+pace)</f>
        <v>15886</v>
      </c>
      <c r="K8250" s="27" t="n">
        <f aca="false">MIN(1000000000,Sens!J8250+pace)</f>
        <v>18413.2</v>
      </c>
      <c r="L8250" s="11" t="s">
        <v>720</v>
      </c>
    </row>
    <row r="8251" customFormat="false" ht="17.15" hidden="false" customHeight="false" outlineLevel="0" collapsed="false">
      <c r="A8251" s="1" t="s">
        <v>721</v>
      </c>
      <c r="B8251" s="0" t="s">
        <v>340</v>
      </c>
      <c r="C8251" s="27" t="n">
        <f aca="false">rent_ext_24</f>
        <v>150</v>
      </c>
      <c r="D8251" s="27" t="n">
        <f aca="false">rent_ext_25</f>
        <v>400</v>
      </c>
      <c r="E8251" s="27" t="n">
        <f aca="false">rent_ext_26</f>
        <v>550</v>
      </c>
      <c r="F8251" s="27" t="n">
        <f aca="false">rent_ext_f</f>
        <v>756</v>
      </c>
      <c r="G8251" s="27" t="n">
        <f aca="false">rent_ext_f</f>
        <v>756</v>
      </c>
      <c r="H8251" s="27" t="n">
        <f aca="false">rent_ext_f</f>
        <v>756</v>
      </c>
      <c r="I8251" s="27" t="n">
        <f aca="false">rent_ext_f</f>
        <v>756</v>
      </c>
      <c r="J8251" s="27" t="n">
        <f aca="false">rent_ext_f</f>
        <v>756</v>
      </c>
      <c r="K8251" s="27" t="n">
        <f aca="false">rent_ext_f</f>
        <v>756</v>
      </c>
      <c r="L8251" s="1" t="s">
        <v>722</v>
      </c>
    </row>
    <row r="8252" customFormat="false" ht="17.15" hidden="false" customHeight="false" outlineLevel="0" collapsed="false">
      <c r="A8252" s="1" t="s">
        <v>723</v>
      </c>
      <c r="B8252" s="0" t="s">
        <v>340</v>
      </c>
      <c r="C8252" s="27" t="n">
        <f aca="false">Sens!C8250-Sens!C8251</f>
        <v>490</v>
      </c>
      <c r="D8252" s="27" t="n">
        <f aca="false">Sens!D8250-Sens!D8251</f>
        <v>1230</v>
      </c>
      <c r="E8252" s="27" t="n">
        <f aca="false">Sens!E8250-Sens!E8251</f>
        <v>2700</v>
      </c>
      <c r="F8252" s="27" t="n">
        <f aca="false">Sens!F8250-Sens!F8251</f>
        <v>5021.2</v>
      </c>
      <c r="G8252" s="27" t="n">
        <f aca="false">Sens!G8250-Sens!G8251</f>
        <v>7548.4</v>
      </c>
      <c r="H8252" s="27" t="n">
        <f aca="false">Sens!H8250-Sens!H8251</f>
        <v>10075.6</v>
      </c>
      <c r="I8252" s="27" t="n">
        <f aca="false">Sens!I8250-Sens!I8251</f>
        <v>12602.8</v>
      </c>
      <c r="J8252" s="27" t="n">
        <f aca="false">Sens!J8250-Sens!J8251</f>
        <v>15130</v>
      </c>
      <c r="K8252" s="27" t="n">
        <f aca="false">Sens!K8250-Sens!K8251</f>
        <v>17657.2</v>
      </c>
    </row>
    <row r="8253" customFormat="false" ht="17.15" hidden="false" customHeight="false" outlineLevel="0" collapsed="false">
      <c r="A8253" s="1" t="s">
        <v>724</v>
      </c>
      <c r="B8253" s="0" t="s">
        <v>340</v>
      </c>
      <c r="C8253" s="27" t="n">
        <f aca="false">Sens!C8252/ext_sh</f>
        <v>816.666666666667</v>
      </c>
      <c r="D8253" s="27" t="n">
        <f aca="false">Sens!D8252/ext_sh</f>
        <v>2050</v>
      </c>
      <c r="E8253" s="27" t="n">
        <f aca="false">Sens!E8252/ext_sh</f>
        <v>4500</v>
      </c>
      <c r="F8253" s="27" t="n">
        <f aca="false">Sens!F8252/ext_sh</f>
        <v>8368.66666666667</v>
      </c>
      <c r="G8253" s="27" t="n">
        <f aca="false">Sens!G8252/ext_sh</f>
        <v>12580.6666666667</v>
      </c>
      <c r="H8253" s="27" t="n">
        <f aca="false">Sens!H8252/ext_sh</f>
        <v>16792.6666666667</v>
      </c>
      <c r="I8253" s="27" t="n">
        <f aca="false">Sens!I8252/ext_sh</f>
        <v>21004.6666666667</v>
      </c>
      <c r="J8253" s="27" t="n">
        <f aca="false">Sens!J8252/ext_sh</f>
        <v>25216.6666666667</v>
      </c>
      <c r="K8253" s="27" t="n">
        <f aca="false">Sens!K8252/ext_sh</f>
        <v>29428.6666666667</v>
      </c>
      <c r="L8253" s="1" t="s">
        <v>725</v>
      </c>
    </row>
    <row r="8254" customFormat="false" ht="17.15" hidden="false" customHeight="false" outlineLevel="0" collapsed="false">
      <c r="A8254" s="1" t="s">
        <v>726</v>
      </c>
      <c r="B8254" s="0" t="s">
        <v>340</v>
      </c>
      <c r="C8254" s="27" t="n">
        <f aca="false">Sens!C8253-Sens!C8252</f>
        <v>326.666666666667</v>
      </c>
      <c r="D8254" s="27" t="n">
        <f aca="false">Sens!D8253-Sens!D8252</f>
        <v>820</v>
      </c>
      <c r="E8254" s="27" t="n">
        <f aca="false">Sens!E8253-Sens!E8252</f>
        <v>1800</v>
      </c>
      <c r="F8254" s="27" t="n">
        <f aca="false">Sens!F8253-Sens!F8252</f>
        <v>3347.46666666667</v>
      </c>
      <c r="G8254" s="27" t="n">
        <f aca="false">Sens!G8253-Sens!G8252</f>
        <v>5032.26666666667</v>
      </c>
      <c r="H8254" s="27" t="n">
        <f aca="false">Sens!H8253-Sens!H8252</f>
        <v>6717.06666666667</v>
      </c>
      <c r="I8254" s="27" t="n">
        <f aca="false">Sens!I8253-Sens!I8252</f>
        <v>8401.86666666667</v>
      </c>
      <c r="J8254" s="27" t="n">
        <f aca="false">Sens!J8253-Sens!J8252</f>
        <v>10086.6666666667</v>
      </c>
      <c r="K8254" s="27" t="n">
        <f aca="false">Sens!K8253-Sens!K8252</f>
        <v>11771.4666666667</v>
      </c>
    </row>
    <row r="8255" customFormat="false" ht="17.15" hidden="false" customHeight="false" outlineLevel="0" collapsed="false">
      <c r="A8255" s="1" t="s">
        <v>727</v>
      </c>
      <c r="B8255" s="0" t="s">
        <v>340</v>
      </c>
      <c r="C8255" s="27" t="n">
        <f aca="false">Sens!C8253</f>
        <v>816.666666666667</v>
      </c>
      <c r="D8255" s="27" t="n">
        <f aca="false">Sens!D8253-Sens!C8253</f>
        <v>1233.33333333333</v>
      </c>
      <c r="E8255" s="27" t="n">
        <f aca="false">Sens!E8253-Sens!D8253</f>
        <v>2450</v>
      </c>
      <c r="F8255" s="27" t="n">
        <f aca="false">Sens!F8253-Sens!E8253</f>
        <v>3868.66666666667</v>
      </c>
      <c r="G8255" s="27" t="n">
        <f aca="false">Sens!G8253-Sens!F8253</f>
        <v>4212</v>
      </c>
      <c r="H8255" s="27" t="n">
        <f aca="false">Sens!H8253-Sens!G8253</f>
        <v>4212</v>
      </c>
      <c r="I8255" s="27" t="n">
        <f aca="false">Sens!I8253-Sens!H8253</f>
        <v>4212</v>
      </c>
      <c r="J8255" s="27" t="n">
        <f aca="false">Sens!J8253-Sens!I8253</f>
        <v>4212</v>
      </c>
      <c r="K8255" s="27" t="n">
        <f aca="false">Sens!K8253-Sens!J8253</f>
        <v>4212</v>
      </c>
    </row>
    <row r="8256" customFormat="false" ht="17.15" hidden="false" customHeight="false" outlineLevel="0" collapsed="false">
      <c r="A8256" s="1" t="s">
        <v>728</v>
      </c>
      <c r="B8256" s="0" t="s">
        <v>340</v>
      </c>
      <c r="D8256" s="27" t="n">
        <f aca="false">Sens!D8250-Sens!C8250</f>
        <v>990</v>
      </c>
      <c r="E8256" s="27" t="n">
        <f aca="false">Sens!E8250-Sens!D8250</f>
        <v>1620</v>
      </c>
      <c r="F8256" s="27" t="n">
        <f aca="false">Sens!F8250-Sens!E8250</f>
        <v>2527.2</v>
      </c>
      <c r="G8256" s="27" t="n">
        <f aca="false">Sens!G8250-Sens!F8250</f>
        <v>2527.2</v>
      </c>
      <c r="H8256" s="27" t="n">
        <f aca="false">Sens!H8250-Sens!G8250</f>
        <v>2527.2</v>
      </c>
      <c r="I8256" s="27" t="n">
        <f aca="false">Sens!I8250-Sens!H8250</f>
        <v>2527.2</v>
      </c>
      <c r="J8256" s="27" t="n">
        <f aca="false">Sens!J8250-Sens!I8250</f>
        <v>2527.2</v>
      </c>
      <c r="K8256" s="27" t="n">
        <f aca="false">Sens!K8250-Sens!J8250</f>
        <v>2527.2</v>
      </c>
    </row>
    <row r="8257" customFormat="false" ht="17.15" hidden="false" customHeight="false" outlineLevel="0" collapsed="false">
      <c r="A8257" s="1" t="s">
        <v>729</v>
      </c>
      <c r="B8257" s="0" t="s">
        <v>340</v>
      </c>
      <c r="C8257" s="27" t="n">
        <f aca="false">mix_h*Sens!C8250</f>
        <v>128</v>
      </c>
      <c r="D8257" s="27" t="n">
        <f aca="false">mix_h*Sens!D8250</f>
        <v>326</v>
      </c>
      <c r="E8257" s="27" t="n">
        <f aca="false">mix_h*Sens!E8250</f>
        <v>650</v>
      </c>
      <c r="F8257" s="27" t="n">
        <f aca="false">Sens!E8257</f>
        <v>650</v>
      </c>
      <c r="G8257" s="27" t="n">
        <f aca="false">Sens!F8257</f>
        <v>650</v>
      </c>
      <c r="H8257" s="27" t="n">
        <f aca="false">Sens!G8257</f>
        <v>650</v>
      </c>
      <c r="I8257" s="27" t="n">
        <f aca="false">Sens!H8257</f>
        <v>650</v>
      </c>
      <c r="J8257" s="27" t="n">
        <f aca="false">Sens!I8257</f>
        <v>650</v>
      </c>
      <c r="K8257" s="27" t="n">
        <f aca="false">Sens!J8257</f>
        <v>650</v>
      </c>
    </row>
    <row r="8258" customFormat="false" ht="17.15" hidden="false" customHeight="false" outlineLevel="0" collapsed="false">
      <c r="A8258" s="1" t="s">
        <v>730</v>
      </c>
      <c r="B8258" s="0" t="s">
        <v>340</v>
      </c>
      <c r="C8258" s="27" t="n">
        <f aca="false">mix_g2*Sens!C8250</f>
        <v>288</v>
      </c>
      <c r="D8258" s="27" t="n">
        <f aca="false">mix_g2*Sens!D8250</f>
        <v>733.5</v>
      </c>
      <c r="E8258" s="27" t="n">
        <f aca="false">mix_g2*Sens!E8250</f>
        <v>1462.5</v>
      </c>
      <c r="F8258" s="27" t="n">
        <f aca="false">Sens!E8258</f>
        <v>1462.5</v>
      </c>
      <c r="G8258" s="27" t="n">
        <f aca="false">Sens!F8258</f>
        <v>1462.5</v>
      </c>
      <c r="H8258" s="27" t="n">
        <f aca="false">Sens!G8258</f>
        <v>1462.5</v>
      </c>
      <c r="I8258" s="27" t="n">
        <f aca="false">Sens!H8258</f>
        <v>1462.5</v>
      </c>
      <c r="J8258" s="27" t="n">
        <f aca="false">Sens!I8258</f>
        <v>1462.5</v>
      </c>
      <c r="K8258" s="27" t="n">
        <f aca="false">Sens!J8258</f>
        <v>1462.5</v>
      </c>
    </row>
    <row r="8259" customFormat="false" ht="17.15" hidden="false" customHeight="false" outlineLevel="0" collapsed="false">
      <c r="A8259" s="1" t="s">
        <v>731</v>
      </c>
      <c r="B8259" s="0" t="s">
        <v>340</v>
      </c>
      <c r="C8259" s="27" t="n">
        <f aca="false">mix_g3*Sens!C8250</f>
        <v>224</v>
      </c>
      <c r="D8259" s="27" t="n">
        <f aca="false">mix_g3*Sens!D8250</f>
        <v>570.5</v>
      </c>
      <c r="E8259" s="27" t="n">
        <f aca="false">mix_g3*Sens!E8250</f>
        <v>1137.5</v>
      </c>
      <c r="F8259" s="27" t="n">
        <f aca="false">Sens!E8259+Sens!F8256*a_g3_27</f>
        <v>2906.54</v>
      </c>
      <c r="G8259" s="27" t="n">
        <f aca="false">Sens!F8259+Sens!G8256*a_g3_28</f>
        <v>3664.7</v>
      </c>
      <c r="H8259" s="27" t="n">
        <f aca="false">Sens!G8259+Sens!H8256*a_g3_29</f>
        <v>3917.42</v>
      </c>
      <c r="I8259" s="27" t="n">
        <f aca="false">Sens!H8259+Sens!I8256*a_g3_29</f>
        <v>4170.14</v>
      </c>
      <c r="J8259" s="27" t="n">
        <f aca="false">Sens!I8259+Sens!J8256*a_g3_29</f>
        <v>4422.86</v>
      </c>
      <c r="K8259" s="27" t="n">
        <f aca="false">Sens!J8259+Sens!K8256*a_g3_29</f>
        <v>4675.58</v>
      </c>
    </row>
    <row r="8260" customFormat="false" ht="17.15" hidden="false" customHeight="false" outlineLevel="0" collapsed="false">
      <c r="A8260" s="1" t="s">
        <v>732</v>
      </c>
      <c r="B8260" s="0" t="s">
        <v>340</v>
      </c>
      <c r="C8260" s="27" t="n">
        <f aca="false">0</f>
        <v>0</v>
      </c>
      <c r="D8260" s="27" t="n">
        <f aca="false">0</f>
        <v>0</v>
      </c>
      <c r="E8260" s="27" t="n">
        <f aca="false">0</f>
        <v>0</v>
      </c>
      <c r="F8260" s="27" t="n">
        <f aca="false">Sens!E8260+Sens!F8256*(1-a_g3_27)</f>
        <v>758.16</v>
      </c>
      <c r="G8260" s="27" t="n">
        <f aca="false">Sens!F8260+Sens!G8256*(1-a_g3_28)</f>
        <v>2527.2</v>
      </c>
      <c r="H8260" s="27" t="n">
        <f aca="false">Sens!G8260+Sens!H8256*(1-a_g3_29)</f>
        <v>4801.68</v>
      </c>
      <c r="I8260" s="27" t="n">
        <f aca="false">Sens!H8260+Sens!I8256*(1-a_g3_29)</f>
        <v>7076.16</v>
      </c>
      <c r="J8260" s="27" t="n">
        <f aca="false">Sens!I8260+Sens!J8256*(1-a_g3_29)</f>
        <v>9350.64</v>
      </c>
      <c r="K8260" s="27" t="n">
        <f aca="false">Sens!J8260+Sens!K8256*(1-a_g3_29)</f>
        <v>11625.12</v>
      </c>
    </row>
    <row r="8261" customFormat="false" ht="17.15" hidden="false" customHeight="false" outlineLevel="0" collapsed="false">
      <c r="A8261" s="1" t="s">
        <v>733</v>
      </c>
      <c r="B8261" s="0" t="s">
        <v>291</v>
      </c>
      <c r="C8261" s="18" t="n">
        <f aca="false">(Sens!C8257*tk_hold_h100+Sens!C8258*tk_hold_gb200+Sens!C8259*tk_hold_gb300+Sens!C8260*tk_hold_vr200)/Sens!C8250</f>
        <v>9.7235358126469</v>
      </c>
      <c r="D8261" s="18" t="n">
        <f aca="false">(Sens!D8257*tk_hold_h100+Sens!D8258*tk_hold_gb200+Sens!D8259*tk_hold_gb300+Sens!D8260*tk_hold_vr200)/Sens!D8250</f>
        <v>9.7235358126469</v>
      </c>
      <c r="E8261" s="18" t="n">
        <f aca="false">(Sens!E8257*tk_hold_h100+Sens!E8258*tk_hold_gb200+Sens!E8259*tk_hold_gb300+Sens!E8260*tk_hold_vr200)/Sens!E8250</f>
        <v>9.7235358126469</v>
      </c>
      <c r="F8261" s="18" t="n">
        <f aca="false">(Sens!F8257*tk_hold_h100+Sens!F8258*tk_hold_gb200+Sens!F8259*tk_hold_gb300+Sens!F8260*tk_hold_vr200)/Sens!F8250</f>
        <v>10.4079573161931</v>
      </c>
      <c r="G8261" s="18" t="n">
        <f aca="false">(Sens!G8257*tk_hold_h100+Sens!G8258*tk_hold_gb200+Sens!G8259*tk_hold_gb300+Sens!G8260*tk_hold_vr200)/Sens!G8250</f>
        <v>10.8388131109316</v>
      </c>
      <c r="H8261" s="18" t="n">
        <f aca="false">(Sens!H8257*tk_hold_h100+Sens!H8258*tk_hold_gb200+Sens!H8259*tk_hold_gb300+Sens!H8260*tk_hold_vr200)/Sens!H8250</f>
        <v>11.1311018388216</v>
      </c>
      <c r="I8261" s="18" t="n">
        <f aca="false">(Sens!I8257*tk_hold_h100+Sens!I8258*tk_hold_gb200+Sens!I8259*tk_hold_gb300+Sens!I8260*tk_hold_vr200)/Sens!I8250</f>
        <v>11.3128009818501</v>
      </c>
      <c r="J8261" s="18" t="n">
        <f aca="false">(Sens!J8257*tk_hold_h100+Sens!J8258*tk_hold_gb200+Sens!J8259*tk_hold_gb300+Sens!J8260*tk_hold_vr200)/Sens!J8250</f>
        <v>11.4366894646418</v>
      </c>
      <c r="K8261" s="18" t="n">
        <f aca="false">(Sens!K8257*tk_hold_h100+Sens!K8258*tk_hold_gb200+Sens!K8259*tk_hold_gb300+Sens!K8260*tk_hold_vr200)/Sens!K8250</f>
        <v>11.526570716348</v>
      </c>
    </row>
    <row r="8262" customFormat="false" ht="17.15" hidden="false" customHeight="false" outlineLevel="0" collapsed="false">
      <c r="A8262" s="0" t="s">
        <v>734</v>
      </c>
      <c r="B8262" s="0" t="s">
        <v>182</v>
      </c>
      <c r="C8262" s="18" t="n">
        <f aca="false">k_B</f>
        <v>1.17213932619116</v>
      </c>
      <c r="D8262" s="18" t="n">
        <f aca="false">k_B</f>
        <v>1.17213932619116</v>
      </c>
      <c r="E8262" s="18" t="n">
        <f aca="false">k_B</f>
        <v>1.17213932619116</v>
      </c>
      <c r="F8262" s="18" t="n">
        <f aca="false">(k_B+((ls_C*k_long+(1-ls_C)*k_spot)-k_B)*MIN(1,1/3))*1</f>
        <v>1.07843258004497</v>
      </c>
      <c r="G8262" s="18" t="n">
        <f aca="false">(k_B+((ls_C*k_long+(1-ls_C)*k_spot)-k_B)*MIN(1,2/3))*1</f>
        <v>0.984725833898784</v>
      </c>
      <c r="H8262" s="18" t="n">
        <f aca="false">(k_B+((ls_C*k_long+(1-ls_C)*k_spot)-k_B)*MIN(1,3/3))*1</f>
        <v>0.891019087752599</v>
      </c>
      <c r="I8262" s="18" t="n">
        <f aca="false">(k_B+((ls_C*k_long+(1-ls_C)*k_spot)-k_B)*MIN(1,4/3))*1</f>
        <v>0.891019087752599</v>
      </c>
      <c r="J8262" s="18" t="n">
        <f aca="false">(k_B+((ls_C*k_long+(1-ls_C)*k_spot)-k_B)*MIN(1,5/3))*1</f>
        <v>0.891019087752599</v>
      </c>
      <c r="K8262" s="18" t="n">
        <f aca="false">(k_B+((ls_C*k_long+(1-ls_C)*k_spot)-k_B)*MIN(1,6/3))*1</f>
        <v>0.891019087752599</v>
      </c>
      <c r="L8262" s="1" t="s">
        <v>735</v>
      </c>
    </row>
    <row r="8263" customFormat="false" ht="17.15" hidden="false" customHeight="false" outlineLevel="0" collapsed="false">
      <c r="A8263" s="1" t="s">
        <v>736</v>
      </c>
      <c r="B8263" s="0" t="s">
        <v>291</v>
      </c>
      <c r="C8263" s="18" t="n">
        <f aca="false">Sens!C8261*Sens!C8262*chip_f</f>
        <v>11.3973387156315</v>
      </c>
      <c r="D8263" s="18" t="n">
        <f aca="false">Sens!D8261*Sens!D8262*chip_f</f>
        <v>11.3973387156315</v>
      </c>
      <c r="E8263" s="18" t="n">
        <f aca="false">Sens!E8261*Sens!E8262*chip_f</f>
        <v>11.3973387156315</v>
      </c>
      <c r="F8263" s="18" t="n">
        <f aca="false">Sens!F8261*Sens!F8262*chip_f</f>
        <v>11.2242802615</v>
      </c>
      <c r="G8263" s="18" t="n">
        <f aca="false">Sens!G8261*Sens!G8262*chip_f</f>
        <v>10.6732592791352</v>
      </c>
      <c r="H8263" s="18" t="n">
        <f aca="false">Sens!H8261*Sens!H8262*chip_f</f>
        <v>9.91802420610807</v>
      </c>
      <c r="I8263" s="18" t="n">
        <f aca="false">Sens!I8261*Sens!I8262*chip_f</f>
        <v>10.0799216107748</v>
      </c>
      <c r="J8263" s="18" t="n">
        <f aca="false">Sens!J8261*Sens!J8262*chip_f</f>
        <v>10.1903086136949</v>
      </c>
      <c r="K8263" s="18" t="n">
        <f aca="false">Sens!K8261*Sens!K8262*chip_f</f>
        <v>10.2703945245962</v>
      </c>
      <c r="L8263" s="1" t="s">
        <v>737</v>
      </c>
    </row>
    <row r="8264" customFormat="false" ht="17.15" hidden="false" customHeight="false" outlineLevel="0" collapsed="false">
      <c r="A8264" s="0" t="s">
        <v>738</v>
      </c>
      <c r="B8264" s="0" t="s">
        <v>95</v>
      </c>
      <c r="D8264" s="6" t="n">
        <f aca="false">(Sens!C8250+Sens!D8250)/2*Sens!D8263/1000</f>
        <v>12.9359794422418</v>
      </c>
      <c r="E8264" s="6" t="n">
        <f aca="false">(Sens!D8250+Sens!E8250)/2*Sens!E8263/1000</f>
        <v>27.8095064661409</v>
      </c>
      <c r="F8264" s="6" t="n">
        <f aca="false">(Sens!E8250+Sens!F8250)/2*Sens!F8263/1000</f>
        <v>50.6619113883066</v>
      </c>
      <c r="G8264" s="6" t="n">
        <f aca="false">(Sens!F8250+Sens!G8250)/2*Sens!G8263/1000</f>
        <v>75.1482839325348</v>
      </c>
      <c r="H8264" s="6" t="n">
        <f aca="false">(Sens!G8250+Sens!H8250)/2*Sens!H8263/1000</f>
        <v>94.895655604042</v>
      </c>
      <c r="I8264" s="6" t="n">
        <f aca="false">(Sens!H8250+Sens!I8250)/2*Sens!I8263/1000</f>
        <v>121.918667866643</v>
      </c>
      <c r="J8264" s="6" t="n">
        <f aca="false">(Sens!I8250+Sens!J8250)/2*Sens!J8263/1000</f>
        <v>149.006768672892</v>
      </c>
      <c r="K8264" s="6" t="n">
        <f aca="false">(Sens!J8250+Sens!K8250)/2*Sens!K8263/1000</f>
        <v>176.133157939015</v>
      </c>
      <c r="L8264" s="11" t="s">
        <v>739</v>
      </c>
    </row>
    <row r="8265" customFormat="false" ht="17.15" hidden="false" customHeight="false" outlineLevel="0" collapsed="false">
      <c r="A8265" s="1" t="s">
        <v>740</v>
      </c>
      <c r="B8265" s="0" t="s">
        <v>291</v>
      </c>
      <c r="C8265" s="18" t="n">
        <f aca="false">(Sens!C8257*tk_opex_h100+Sens!C8258*tk_opex_gb200+Sens!C8259*tk_opex_gb300+Sens!C8260*tk_opex_vr200)/Sens!C8250</f>
        <v>1.88636041306092</v>
      </c>
      <c r="D8265" s="18" t="n">
        <f aca="false">(Sens!D8257*tk_opex_h100+Sens!D8258*tk_opex_gb200+Sens!D8259*tk_opex_gb300+Sens!D8260*tk_opex_vr200)/Sens!D8250</f>
        <v>1.88636041306092</v>
      </c>
      <c r="E8265" s="18" t="n">
        <f aca="false">(Sens!E8257*tk_opex_h100+Sens!E8258*tk_opex_gb200+Sens!E8259*tk_opex_gb300+Sens!E8260*tk_opex_vr200)/Sens!E8250</f>
        <v>1.88636041306092</v>
      </c>
      <c r="F8265" s="18" t="n">
        <f aca="false">(Sens!F8257*tk_opex_h100+Sens!F8258*tk_opex_gb200+Sens!F8259*tk_opex_gb300+Sens!F8260*tk_opex_vr200)/Sens!F8250</f>
        <v>1.9430236476499</v>
      </c>
      <c r="G8265" s="18" t="n">
        <f aca="false">(Sens!G8257*tk_opex_h100+Sens!G8258*tk_opex_gb200+Sens!G8259*tk_opex_gb300+Sens!G8260*tk_opex_vr200)/Sens!G8250</f>
        <v>1.9786941852423</v>
      </c>
      <c r="H8265" s="18" t="n">
        <f aca="false">(Sens!H8257*tk_opex_h100+Sens!H8258*tk_opex_gb200+Sens!H8259*tk_opex_gb300+Sens!H8260*tk_opex_vr200)/Sens!H8250</f>
        <v>2.00289275976156</v>
      </c>
      <c r="I8265" s="18" t="n">
        <f aca="false">(Sens!I8257*tk_opex_h100+Sens!I8258*tk_opex_gb200+Sens!I8259*tk_opex_gb300+Sens!I8260*tk_opex_vr200)/Sens!I8250</f>
        <v>2.01793562605478</v>
      </c>
      <c r="J8265" s="18" t="n">
        <f aca="false">(Sens!J8257*tk_opex_h100+Sens!J8258*tk_opex_gb200+Sens!J8259*tk_opex_gb300+Sens!J8260*tk_opex_vr200)/Sens!J8250</f>
        <v>2.02819234961902</v>
      </c>
      <c r="K8265" s="18" t="n">
        <f aca="false">(Sens!K8257*tk_opex_h100+Sens!K8258*tk_opex_gb200+Sens!K8259*tk_opex_gb300+Sens!K8260*tk_opex_vr200)/Sens!K8250</f>
        <v>2.0356336155994</v>
      </c>
    </row>
    <row r="8266" customFormat="false" ht="17.15" hidden="false" customHeight="false" outlineLevel="0" collapsed="false">
      <c r="A8266" s="0" t="s">
        <v>741</v>
      </c>
      <c r="B8266" s="0" t="s">
        <v>95</v>
      </c>
      <c r="D8266" s="6" t="n">
        <f aca="false">(Sens!C8253+Sens!D8253)/2*Sens!D8265/1000</f>
        <v>2.70378325872065</v>
      </c>
      <c r="E8266" s="6" t="n">
        <f aca="false">(Sens!D8253+Sens!E8253)/2*Sens!E8265/1000</f>
        <v>6.17783035277451</v>
      </c>
      <c r="F8266" s="6" t="n">
        <f aca="false">(Sens!E8253+Sens!F8253)/2*Sens!F8265/1000</f>
        <v>12.5020618235287</v>
      </c>
      <c r="G8266" s="6" t="n">
        <f aca="false">(Sens!F8253+Sens!G8253)/2*Sens!G8265/1000</f>
        <v>20.7261620256847</v>
      </c>
      <c r="H8266" s="6" t="n">
        <f aca="false">(Sens!G8253+Sens!H8253)/2*Sens!H8265/1000</f>
        <v>29.4158183316982</v>
      </c>
      <c r="I8266" s="6" t="n">
        <f aca="false">(Sens!H8253+Sens!I8253)/2*Sens!I8265/1000</f>
        <v>38.1362927516005</v>
      </c>
      <c r="J8266" s="6" t="n">
        <f aca="false">(Sens!I8253+Sens!J8253)/2*Sens!J8265/1000</f>
        <v>46.8728773279286</v>
      </c>
      <c r="K8266" s="6" t="n">
        <f aca="false">(Sens!J8253+Sens!K8253)/2*Sens!K8265/1000</f>
        <v>55.618938734484</v>
      </c>
    </row>
    <row r="8267" customFormat="false" ht="17.15" hidden="false" customHeight="false" outlineLevel="0" collapsed="false">
      <c r="A8267" s="0" t="s">
        <v>742</v>
      </c>
      <c r="B8267" s="0" t="s">
        <v>95</v>
      </c>
      <c r="D8267" s="6" t="n">
        <f aca="false">(Sens!C8251+Sens!D8251)/2*rent_mw/1000</f>
        <v>2.44475</v>
      </c>
      <c r="E8267" s="6" t="n">
        <f aca="false">(Sens!D8251+Sens!E8251)/2*rent_mw/1000</f>
        <v>4.22275</v>
      </c>
      <c r="F8267" s="6" t="n">
        <f aca="false">(Sens!E8251+Sens!F8251)/2*rent_mw/1000</f>
        <v>5.80517</v>
      </c>
      <c r="G8267" s="6" t="n">
        <f aca="false">(Sens!F8251+Sens!G8251)/2*rent_mw/1000</f>
        <v>6.72084</v>
      </c>
      <c r="H8267" s="6" t="n">
        <f aca="false">(Sens!G8251+Sens!H8251)/2*rent_mw/1000</f>
        <v>6.72084</v>
      </c>
      <c r="I8267" s="6" t="n">
        <f aca="false">(Sens!H8251+Sens!I8251)/2*rent_mw/1000</f>
        <v>6.72084</v>
      </c>
      <c r="J8267" s="6" t="n">
        <f aca="false">(Sens!I8251+Sens!J8251)/2*rent_mw/1000</f>
        <v>6.72084</v>
      </c>
      <c r="K8267" s="6" t="n">
        <f aca="false">(Sens!J8251+Sens!K8251)/2*rent_mw/1000</f>
        <v>6.72084</v>
      </c>
    </row>
    <row r="8268" customFormat="false" ht="17.15" hidden="false" customHeight="false" outlineLevel="0" collapsed="false">
      <c r="A8268" s="0" t="s">
        <v>743</v>
      </c>
      <c r="B8268" s="0" t="s">
        <v>95</v>
      </c>
      <c r="D8268" s="6" t="n">
        <f aca="false">(Sens!C8253+Sens!D8253)/2*(1-self_build)*fac_rent/1000</f>
        <v>0.853242375631075</v>
      </c>
      <c r="E8268" s="6" t="n">
        <f aca="false">(Sens!D8253+Sens!E8253)/2*(1-self_build)*fac_rent/1000</f>
        <v>1.94955961408728</v>
      </c>
      <c r="F8268" s="6" t="n">
        <f aca="false">(Sens!E8253+Sens!F8253)/2*(1-self_build)*fac_rent/1000</f>
        <v>3.83026455274573</v>
      </c>
      <c r="G8268" s="6" t="n">
        <f aca="false">(Sens!F8253+Sens!G8253)/2*(1-self_build)*fac_rent/1000</f>
        <v>6.23541590972812</v>
      </c>
      <c r="H8268" s="6" t="n">
        <f aca="false">(Sens!G8253+Sens!H8253)/2*(1-self_build)*fac_rent/1000</f>
        <v>8.74275792332679</v>
      </c>
      <c r="I8268" s="6" t="n">
        <f aca="false">(Sens!H8253+Sens!I8253)/2*(1-self_build)*fac_rent/1000</f>
        <v>11.2500999369255</v>
      </c>
      <c r="J8268" s="6" t="n">
        <f aca="false">(Sens!I8253+Sens!J8253)/2*(1-self_build)*fac_rent/1000</f>
        <v>13.7574419505241</v>
      </c>
      <c r="K8268" s="6" t="n">
        <f aca="false">(Sens!J8253+Sens!K8253)/2*(1-self_build)*fac_rent/1000</f>
        <v>16.2647839641228</v>
      </c>
      <c r="L8268" s="11" t="s">
        <v>744</v>
      </c>
    </row>
    <row r="8269" customFormat="false" ht="17.15" hidden="false" customHeight="false" outlineLevel="0" collapsed="false">
      <c r="A8269" s="1" t="s">
        <v>745</v>
      </c>
      <c r="B8269" s="0" t="s">
        <v>126</v>
      </c>
      <c r="D8269" s="7" t="n">
        <f aca="false">(Sens!C8252+Sens!D8252)/(Sens!C8253+Sens!D8253)</f>
        <v>0.6</v>
      </c>
      <c r="E8269" s="7" t="n">
        <f aca="false">(Sens!D8252+Sens!E8252)/(Sens!D8253+Sens!E8253)</f>
        <v>0.6</v>
      </c>
      <c r="F8269" s="7" t="n">
        <f aca="false">(Sens!E8252+Sens!F8252)/(Sens!E8253+Sens!F8253)</f>
        <v>0.6</v>
      </c>
      <c r="G8269" s="7" t="n">
        <f aca="false">(Sens!F8252+Sens!G8252)/(Sens!F8253+Sens!G8253)</f>
        <v>0.6</v>
      </c>
      <c r="H8269" s="7" t="n">
        <f aca="false">(Sens!G8252+Sens!H8252)/(Sens!G8253+Sens!H8253)</f>
        <v>0.6</v>
      </c>
      <c r="I8269" s="7" t="n">
        <f aca="false">(Sens!H8252+Sens!I8252)/(Sens!H8253+Sens!I8253)</f>
        <v>0.6</v>
      </c>
      <c r="J8269" s="7" t="n">
        <f aca="false">(Sens!I8252+Sens!J8252)/(Sens!I8253+Sens!J8253)</f>
        <v>0.6</v>
      </c>
      <c r="K8269" s="7" t="n">
        <f aca="false">(Sens!J8252+Sens!K8252)/(Sens!J8253+Sens!K8253)</f>
        <v>0.6</v>
      </c>
    </row>
    <row r="8270" customFormat="false" ht="17.15" hidden="false" customHeight="false" outlineLevel="0" collapsed="false">
      <c r="A8270" s="0" t="s">
        <v>746</v>
      </c>
      <c r="B8270" s="0" t="s">
        <v>95</v>
      </c>
      <c r="D8270" s="6" t="n">
        <f aca="false">Sens!D8264-Sens!D8269*(Sens!D8266+Sens!D8268)-Sens!D8267</f>
        <v>8.35701406163072</v>
      </c>
      <c r="E8270" s="6" t="n">
        <f aca="false">Sens!E8264-Sens!E8269*(Sens!E8266+Sens!E8268)-Sens!E8267</f>
        <v>18.7103224860238</v>
      </c>
      <c r="F8270" s="6" t="n">
        <f aca="false">Sens!F8264-Sens!F8269*(Sens!F8266+Sens!F8268)-Sens!F8267</f>
        <v>35.0573455625419</v>
      </c>
      <c r="G8270" s="6" t="n">
        <f aca="false">Sens!G8264-Sens!G8269*(Sens!G8266+Sens!G8268)-Sens!G8267</f>
        <v>52.2504971712871</v>
      </c>
      <c r="H8270" s="6" t="n">
        <f aca="false">Sens!H8264-Sens!H8269*(Sens!H8266+Sens!H8268)-Sens!H8267</f>
        <v>65.2796698510271</v>
      </c>
      <c r="I8270" s="6" t="n">
        <f aca="false">Sens!I8264-Sens!I8269*(Sens!I8266+Sens!I8268)-Sens!I8267</f>
        <v>85.5659922535278</v>
      </c>
      <c r="J8270" s="6" t="n">
        <f aca="false">Sens!J8264-Sens!J8269*(Sens!J8266+Sens!J8268)-Sens!J8267</f>
        <v>105.90773710582</v>
      </c>
      <c r="K8270" s="6" t="n">
        <f aca="false">Sens!K8264-Sens!K8269*(Sens!K8266+Sens!K8268)-Sens!K8267</f>
        <v>126.282084319851</v>
      </c>
    </row>
    <row r="8271" customFormat="false" ht="17.15" hidden="false" customHeight="false" outlineLevel="0" collapsed="false">
      <c r="A8271" s="1" t="s">
        <v>747</v>
      </c>
      <c r="B8271" s="0" t="s">
        <v>95</v>
      </c>
      <c r="D8271" s="6" t="n">
        <f aca="false">(1-Sens!D8269)*(Sens!D8266+Sens!D8268)</f>
        <v>1.42281025374069</v>
      </c>
      <c r="E8271" s="6" t="n">
        <f aca="false">(1-Sens!E8269)*(Sens!E8266+Sens!E8268)</f>
        <v>3.25095598674472</v>
      </c>
      <c r="F8271" s="6" t="n">
        <f aca="false">(1-Sens!F8269)*(Sens!F8266+Sens!F8268)</f>
        <v>6.53293055050977</v>
      </c>
      <c r="G8271" s="6" t="n">
        <f aca="false">(1-Sens!G8269)*(Sens!G8266+Sens!G8268)</f>
        <v>10.7846311741651</v>
      </c>
      <c r="H8271" s="6" t="n">
        <f aca="false">(1-Sens!H8269)*(Sens!H8266+Sens!H8268)</f>
        <v>15.26343050201</v>
      </c>
      <c r="I8271" s="6" t="n">
        <f aca="false">(1-Sens!I8269)*(Sens!I8266+Sens!I8268)</f>
        <v>19.7545570754104</v>
      </c>
      <c r="J8271" s="6" t="n">
        <f aca="false">(1-Sens!J8269)*(Sens!J8266+Sens!J8268)</f>
        <v>24.2521277113811</v>
      </c>
      <c r="K8271" s="6" t="n">
        <f aca="false">(1-Sens!K8269)*(Sens!K8266+Sens!K8268)</f>
        <v>28.7534890794427</v>
      </c>
    </row>
    <row r="8272" customFormat="false" ht="17.15" hidden="false" customHeight="false" outlineLevel="0" collapsed="false">
      <c r="A8272" s="1" t="s">
        <v>748</v>
      </c>
      <c r="B8272" s="0" t="s">
        <v>302</v>
      </c>
      <c r="C8272" s="8" t="n">
        <f aca="false">cxit_open</f>
        <v>27.5918995</v>
      </c>
      <c r="D8272" s="8" t="n">
        <f aca="false">cxit_open</f>
        <v>27.5918995</v>
      </c>
      <c r="E8272" s="8" t="n">
        <f aca="false">cxit_open</f>
        <v>27.5918995</v>
      </c>
      <c r="F8272" s="8" t="n">
        <f aca="false">(a_g3_27*tk_cxit_gb300+(1-a_g3_27)*tk_cxit_vr200)</f>
        <v>33.8419624</v>
      </c>
      <c r="G8272" s="8" t="n">
        <f aca="false">(a_g3_28*tk_cxit_gb300+(1-a_g3_28)*tk_cxit_vr200)</f>
        <v>35.9816136</v>
      </c>
      <c r="H8272" s="8" t="n">
        <f aca="false">(a_g3_29*tk_cxit_gb300+(1-a_g3_29)*tk_cxit_vr200)</f>
        <v>37.0514392</v>
      </c>
      <c r="I8272" s="8" t="n">
        <f aca="false">(a_g3_29*tk_cxit_gb300+(1-a_g3_29)*tk_cxit_vr200)</f>
        <v>37.0514392</v>
      </c>
      <c r="J8272" s="8" t="n">
        <f aca="false">(a_g3_29*tk_cxit_gb300+(1-a_g3_29)*tk_cxit_vr200)</f>
        <v>37.0514392</v>
      </c>
      <c r="K8272" s="8" t="n">
        <f aca="false">(a_g3_29*tk_cxit_gb300+(1-a_g3_29)*tk_cxit_vr200)</f>
        <v>37.0514392</v>
      </c>
      <c r="L8272" s="11" t="s">
        <v>749</v>
      </c>
    </row>
    <row r="8273" customFormat="false" ht="17.15" hidden="false" customHeight="false" outlineLevel="0" collapsed="false">
      <c r="A8273" s="0" t="s">
        <v>750</v>
      </c>
      <c r="B8273" s="0" t="s">
        <v>340</v>
      </c>
      <c r="F8273" s="27" t="n">
        <f aca="false">Sens!C8255*IF(3=life_it,1,0)+Sens!D8255*IF(2=life_it,1,0)+Sens!E8255*IF(1=life_it,1,0)</f>
        <v>0</v>
      </c>
      <c r="G8273" s="27" t="n">
        <f aca="false">Sens!C8255*IF(4=life_it,1,0)+Sens!D8255*IF(3=life_it,1,0)+Sens!E8255*IF(2=life_it,1,0)+Sens!F8255*IF(1=life_it,1,0)</f>
        <v>0</v>
      </c>
      <c r="H8273" s="27" t="n">
        <f aca="false">Sens!C8255*IF(5=life_it,1,0)+Sens!D8255*IF(4=life_it,1,0)+Sens!E8255*IF(3=life_it,1,0)+Sens!F8255*IF(2=life_it,1,0)+Sens!G8255*IF(1=life_it,1,0)</f>
        <v>0</v>
      </c>
      <c r="I8273" s="27" t="n">
        <f aca="false">Sens!C8255*IF(6=life_it,1,0)+Sens!D8255*IF(5=life_it,1,0)+Sens!E8255*IF(4=life_it,1,0)+Sens!F8255*IF(3=life_it,1,0)+Sens!G8255*IF(2=life_it,1,0)+Sens!H8255*IF(1=life_it,1,0)</f>
        <v>816.666666666667</v>
      </c>
      <c r="J8273" s="27" t="n">
        <f aca="false">Sens!C8255*IF(7=life_it,1,0)+Sens!D8255*IF(6=life_it,1,0)+Sens!E8255*IF(5=life_it,1,0)+Sens!F8255*IF(4=life_it,1,0)+Sens!G8255*IF(3=life_it,1,0)+Sens!H8255*IF(2=life_it,1,0)+Sens!I8255*IF(1=life_it,1,0)</f>
        <v>1233.33333333333</v>
      </c>
      <c r="K8273" s="27" t="n">
        <f aca="false">Sens!C8255*IF(8=life_it,1,0)+Sens!D8255*IF(7=life_it,1,0)+Sens!E8255*IF(6=life_it,1,0)+Sens!F8255*IF(5=life_it,1,0)+Sens!G8255*IF(4=life_it,1,0)+Sens!H8255*IF(3=life_it,1,0)+Sens!I8255*IF(2=life_it,1,0)+Sens!J8255*IF(1=life_it,1,0)</f>
        <v>2450</v>
      </c>
      <c r="L8273" s="1" t="s">
        <v>751</v>
      </c>
    </row>
    <row r="8274" customFormat="false" ht="17.15" hidden="false" customHeight="false" outlineLevel="0" collapsed="false">
      <c r="A8274" s="0" t="s">
        <v>752</v>
      </c>
      <c r="B8274" s="0" t="s">
        <v>95</v>
      </c>
      <c r="C8274" s="6" t="n">
        <f aca="false">Sens!C8255*Sens!C8272/1000</f>
        <v>22.5333845916667</v>
      </c>
      <c r="D8274" s="6" t="n">
        <f aca="false">Sens!D8255*Sens!D8272/1000</f>
        <v>34.0300093833333</v>
      </c>
      <c r="E8274" s="6" t="n">
        <f aca="false">Sens!E8255*Sens!E8272/1000</f>
        <v>67.600153775</v>
      </c>
      <c r="F8274" s="6" t="n">
        <f aca="false">(Sens!F8255+Sens!F8273)*Sens!F8272/1000</f>
        <v>130.923271871467</v>
      </c>
      <c r="G8274" s="6" t="n">
        <f aca="false">(Sens!G8255+Sens!G8273)*Sens!G8272/1000</f>
        <v>151.5545564832</v>
      </c>
      <c r="H8274" s="6" t="n">
        <f aca="false">(Sens!H8255+Sens!H8273)*Sens!H8272/1000</f>
        <v>156.0606619104</v>
      </c>
      <c r="I8274" s="6" t="n">
        <f aca="false">(Sens!I8255+Sens!I8273)*Sens!I8272/1000</f>
        <v>186.319337257067</v>
      </c>
      <c r="J8274" s="6" t="n">
        <f aca="false">(Sens!J8255+Sens!J8273)*Sens!J8272/1000</f>
        <v>201.757436923733</v>
      </c>
      <c r="K8274" s="6" t="n">
        <f aca="false">(Sens!K8255+Sens!K8273)*Sens!K8272/1000</f>
        <v>246.8366879504</v>
      </c>
    </row>
    <row r="8275" customFormat="false" ht="17.15" hidden="false" customHeight="false" outlineLevel="0" collapsed="false">
      <c r="A8275" s="0" t="s">
        <v>753</v>
      </c>
      <c r="B8275" s="0" t="s">
        <v>95</v>
      </c>
      <c r="C8275" s="6" t="n">
        <f aca="false">Sens!C8255*self_build*tk_cxfac/1000</f>
        <v>6.2083</v>
      </c>
      <c r="D8275" s="6" t="n">
        <f aca="false">Sens!D8255*self_build*tk_cxfac/1000</f>
        <v>9.3758</v>
      </c>
      <c r="E8275" s="6" t="n">
        <f aca="false">Sens!E8255*self_build*tk_cxfac/1000</f>
        <v>18.6249</v>
      </c>
      <c r="F8275" s="6" t="n">
        <f aca="false">Sens!F8255*self_build*tk_cxfac/1000</f>
        <v>29.409604</v>
      </c>
      <c r="G8275" s="6" t="n">
        <f aca="false">Sens!G8255*self_build*tk_cxfac/1000</f>
        <v>32.019624</v>
      </c>
      <c r="H8275" s="6" t="n">
        <f aca="false">Sens!H8255*self_build*tk_cxfac/1000</f>
        <v>32.019624</v>
      </c>
      <c r="I8275" s="6" t="n">
        <f aca="false">Sens!I8255*self_build*tk_cxfac/1000</f>
        <v>32.019624</v>
      </c>
      <c r="J8275" s="6" t="n">
        <f aca="false">Sens!J8255*self_build*tk_cxfac/1000</f>
        <v>32.019624</v>
      </c>
      <c r="K8275" s="6" t="n">
        <f aca="false">Sens!K8255*self_build*tk_cxfac/1000</f>
        <v>32.019624</v>
      </c>
    </row>
    <row r="8276" customFormat="false" ht="17.15" hidden="false" customHeight="false" outlineLevel="0" collapsed="false">
      <c r="A8276" s="0" t="s">
        <v>754</v>
      </c>
      <c r="B8276" s="0" t="s">
        <v>95</v>
      </c>
      <c r="F8276" s="6" t="n">
        <f aca="false">MAX(0,capex_floor27-Sens!F8274-Sens!F8275-Sens!F8363)</f>
        <v>8.42784289897089</v>
      </c>
      <c r="G8276" s="6" t="n">
        <f aca="false">0</f>
        <v>0</v>
      </c>
      <c r="H8276" s="6" t="n">
        <f aca="false">0</f>
        <v>0</v>
      </c>
      <c r="I8276" s="6" t="n">
        <f aca="false">0</f>
        <v>0</v>
      </c>
      <c r="J8276" s="6" t="n">
        <f aca="false">0</f>
        <v>0</v>
      </c>
      <c r="K8276" s="6" t="n">
        <f aca="false">0</f>
        <v>0</v>
      </c>
      <c r="L8276" s="1" t="s">
        <v>755</v>
      </c>
    </row>
    <row r="8277" customFormat="false" ht="17.15" hidden="false" customHeight="false" outlineLevel="0" collapsed="false">
      <c r="A8277" s="0" t="s">
        <v>756</v>
      </c>
      <c r="B8277" s="0" t="s">
        <v>95</v>
      </c>
      <c r="C8277" s="6" t="n">
        <f aca="false">Sens!C8274</f>
        <v>22.5333845916667</v>
      </c>
      <c r="D8277" s="6" t="n">
        <f aca="false">Sens!D8274</f>
        <v>34.0300093833333</v>
      </c>
      <c r="E8277" s="6" t="n">
        <f aca="false">Sens!E8274</f>
        <v>67.600153775</v>
      </c>
      <c r="F8277" s="6" t="n">
        <f aca="false">Sens!F8274+Sens!F8276</f>
        <v>139.351114770438</v>
      </c>
      <c r="G8277" s="6" t="n">
        <f aca="false">Sens!G8274+Sens!G8276</f>
        <v>151.5545564832</v>
      </c>
      <c r="H8277" s="6" t="n">
        <f aca="false">Sens!H8274+Sens!H8276</f>
        <v>156.0606619104</v>
      </c>
      <c r="I8277" s="6" t="n">
        <f aca="false">Sens!I8274+Sens!I8276</f>
        <v>186.319337257067</v>
      </c>
      <c r="J8277" s="6" t="n">
        <f aca="false">Sens!J8274+Sens!J8276</f>
        <v>201.757436923733</v>
      </c>
      <c r="K8277" s="6" t="n">
        <f aca="false">Sens!K8274+Sens!K8276</f>
        <v>246.8366879504</v>
      </c>
    </row>
    <row r="8278" customFormat="false" ht="17.15" hidden="false" customHeight="false" outlineLevel="0" collapsed="false">
      <c r="A8278" s="0" t="s">
        <v>757</v>
      </c>
      <c r="B8278" s="0" t="s">
        <v>95</v>
      </c>
      <c r="C8278" s="6" t="n">
        <f aca="false">Sens!C8277+Sens!C8275</f>
        <v>28.7416845916667</v>
      </c>
      <c r="D8278" s="6" t="n">
        <f aca="false">Sens!D8277+Sens!D8275</f>
        <v>43.4058093833333</v>
      </c>
      <c r="E8278" s="6" t="n">
        <f aca="false">Sens!E8277+Sens!E8275</f>
        <v>86.225053775</v>
      </c>
      <c r="F8278" s="6" t="n">
        <f aca="false">Sens!F8277+Sens!F8275</f>
        <v>168.760718770438</v>
      </c>
      <c r="G8278" s="6" t="n">
        <f aca="false">Sens!G8277+Sens!G8275</f>
        <v>183.5741804832</v>
      </c>
      <c r="H8278" s="6" t="n">
        <f aca="false">Sens!H8277+Sens!H8275</f>
        <v>188.0802859104</v>
      </c>
      <c r="I8278" s="6" t="n">
        <f aca="false">Sens!I8277+Sens!I8275</f>
        <v>218.338961257067</v>
      </c>
      <c r="J8278" s="6" t="n">
        <f aca="false">Sens!J8277+Sens!J8275</f>
        <v>233.777060923733</v>
      </c>
      <c r="K8278" s="6" t="n">
        <f aca="false">Sens!K8277+Sens!K8275</f>
        <v>278.8563119504</v>
      </c>
      <c r="L8278" s="11" t="s">
        <v>758</v>
      </c>
    </row>
    <row r="8279" customFormat="false" ht="17.15" hidden="false" customHeight="false" outlineLevel="0" collapsed="false">
      <c r="A8279" s="0" t="s">
        <v>759</v>
      </c>
      <c r="B8279" s="0" t="s">
        <v>95</v>
      </c>
      <c r="E8279" s="6" t="n">
        <f aca="false">(Sens!C8277*IF(2&lt;life_it,1,IF(2=life_it,0.5,0))+Sens!D8277*IF(1&lt;life_it,1,IF(1=life_it,0.5,0))+Sens!E8277*0.5)/life_it</f>
        <v>15.0605784770833</v>
      </c>
      <c r="F8279" s="6" t="n">
        <f aca="false">(Sens!C8277*IF(3&lt;life_it,1,IF(3=life_it,0.5,0))+Sens!D8277*IF(2&lt;life_it,1,IF(2=life_it,0.5,0))+Sens!E8277*IF(1&lt;life_it,1,IF(1=life_it,0.5,0))+Sens!F8277*0.5)/life_it</f>
        <v>32.3065175225365</v>
      </c>
      <c r="G8279" s="6" t="n">
        <f aca="false">(Sens!C8277*IF(4&lt;life_it,1,IF(4=life_it,0.5,0))+Sens!D8277*IF(3&lt;life_it,1,IF(3=life_it,0.5,0))+Sens!E8277*IF(2&lt;life_it,1,IF(2=life_it,0.5,0))+Sens!F8277*IF(1&lt;life_it,1,IF(1=life_it,0.5,0))+Sens!G8277*0.5)/life_it</f>
        <v>56.5486567936729</v>
      </c>
      <c r="H8279" s="6" t="n">
        <f aca="false">(Sens!C8277*IF(5&lt;life_it,1,IF(5=life_it,0.5,0))+Sens!D8277*IF(4&lt;life_it,1,IF(4=life_it,0.5,0))+Sens!E8277*IF(3&lt;life_it,1,IF(3=life_it,0.5,0))+Sens!F8277*IF(2&lt;life_it,1,IF(2=life_it,0.5,0))+Sens!G8277*IF(1&lt;life_it,1,IF(1=life_it,0.5,0))+Sens!H8277*0.5)/life_it</f>
        <v>82.1832583264729</v>
      </c>
      <c r="I8279" s="6" t="n">
        <f aca="false">(Sens!C8277*IF(6&lt;life_it,1,IF(6=life_it,0.5,0))+Sens!D8277*IF(5&lt;life_it,1,IF(5=life_it,0.5,0))+Sens!E8277*IF(4&lt;life_it,1,IF(4=life_it,0.5,0))+Sens!F8277*IF(3&lt;life_it,1,IF(3=life_it,0.5,0))+Sens!G8277*IF(2&lt;life_it,1,IF(2=life_it,0.5,0))+Sens!H8277*IF(1&lt;life_it,1,IF(1=life_it,0.5,0))+Sens!I8277*0.5)/life_it</f>
        <v>108.837142874456</v>
      </c>
      <c r="J8279" s="6" t="n">
        <f aca="false">(Sens!C8277*IF(7&lt;life_it,1,IF(7=life_it,0.5,0))+Sens!D8277*IF(6&lt;life_it,1,IF(6=life_it,0.5,0))+Sens!E8277*IF(5&lt;life_it,1,IF(5=life_it,0.5,0))+Sens!F8277*IF(4&lt;life_it,1,IF(4=life_it,0.5,0))+Sens!G8277*IF(3&lt;life_it,1,IF(3=life_it,0.5,0))+Sens!H8277*IF(2&lt;life_it,1,IF(2=life_it,0.5,0))+Sens!I8277*IF(1&lt;life_it,1,IF(1=life_it,0.5,0))+Sens!J8277*0.5)/life_it</f>
        <v>136.463257891606</v>
      </c>
      <c r="K8279" s="6" t="n">
        <f aca="false">(Sens!C8277*IF(8&lt;life_it,1,IF(8=life_it,0.5,0))+Sens!D8277*IF(7&lt;life_it,1,IF(7=life_it,0.5,0))+Sens!E8277*IF(6&lt;life_it,1,IF(6=life_it,0.5,0))+Sens!F8277*IF(5&lt;life_it,1,IF(5=life_it,0.5,0))+Sens!G8277*IF(4&lt;life_it,1,IF(4=life_it,0.5,0))+Sens!H8277*IF(3&lt;life_it,1,IF(3=life_it,0.5,0))+Sens!I8277*IF(2&lt;life_it,1,IF(2=life_it,0.5,0))+Sens!J8277*IF(1&lt;life_it,1,IF(1=life_it,0.5,0))+Sens!K8277*0.5)/life_it</f>
        <v>165.376921367923</v>
      </c>
    </row>
    <row r="8280" customFormat="false" ht="17.15" hidden="false" customHeight="false" outlineLevel="0" collapsed="false">
      <c r="A8280" s="0" t="s">
        <v>760</v>
      </c>
      <c r="B8280" s="0" t="s">
        <v>95</v>
      </c>
      <c r="E8280" s="6" t="n">
        <f aca="false">(Sens!C8275*IF(2&lt;life_fac,1,IF(2=life_fac,0.5,0))+Sens!D8275*IF(1&lt;life_fac,1,IF(1=life_fac,0.5,0))+Sens!E8275*0.5)/life_fac</f>
        <v>1.2448275</v>
      </c>
      <c r="F8280" s="6" t="n">
        <f aca="false">(Sens!C8275*IF(3&lt;life_fac,1,IF(3=life_fac,0.5,0))+Sens!D8275*IF(2&lt;life_fac,1,IF(2=life_fac,0.5,0))+Sens!E8275*IF(1&lt;life_fac,1,IF(1=life_fac,0.5,0))+Sens!F8275*0.5)/life_fac</f>
        <v>2.4456901</v>
      </c>
      <c r="G8280" s="6" t="n">
        <f aca="false">(Sens!C8275*IF(4&lt;life_fac,1,IF(4=life_fac,0.5,0))+Sens!D8275*IF(3&lt;life_fac,1,IF(3=life_fac,0.5,0))+Sens!E8275*IF(2&lt;life_fac,1,IF(2=life_fac,0.5,0))+Sens!F8275*IF(1&lt;life_fac,1,IF(1=life_fac,0.5,0))+Sens!G8275*0.5)/life_fac</f>
        <v>3.9814208</v>
      </c>
      <c r="H8280" s="6" t="n">
        <f aca="false">(Sens!C8275*IF(5&lt;life_fac,1,IF(5=life_fac,0.5,0))+Sens!D8275*IF(4&lt;life_fac,1,IF(4=life_fac,0.5,0))+Sens!E8275*IF(3&lt;life_fac,1,IF(3=life_fac,0.5,0))+Sens!F8275*IF(2&lt;life_fac,1,IF(2=life_fac,0.5,0))+Sens!G8275*IF(1&lt;life_fac,1,IF(1=life_fac,0.5,0))+Sens!H8275*0.5)/life_fac</f>
        <v>5.582402</v>
      </c>
      <c r="I8280" s="6" t="n">
        <f aca="false">(Sens!C8275*IF(6&lt;life_fac,1,IF(6=life_fac,0.5,0))+Sens!D8275*IF(5&lt;life_fac,1,IF(5=life_fac,0.5,0))+Sens!E8275*IF(4&lt;life_fac,1,IF(4=life_fac,0.5,0))+Sens!F8275*IF(3&lt;life_fac,1,IF(3=life_fac,0.5,0))+Sens!G8275*IF(2&lt;life_fac,1,IF(2=life_fac,0.5,0))+Sens!H8275*IF(1&lt;life_fac,1,IF(1=life_fac,0.5,0))+Sens!I8275*0.5)/life_fac</f>
        <v>7.1833832</v>
      </c>
      <c r="J8280" s="6" t="n">
        <f aca="false">(Sens!C8275*IF(7&lt;life_fac,1,IF(7=life_fac,0.5,0))+Sens!D8275*IF(6&lt;life_fac,1,IF(6=life_fac,0.5,0))+Sens!E8275*IF(5&lt;life_fac,1,IF(5=life_fac,0.5,0))+Sens!F8275*IF(4&lt;life_fac,1,IF(4=life_fac,0.5,0))+Sens!G8275*IF(3&lt;life_fac,1,IF(3=life_fac,0.5,0))+Sens!H8275*IF(2&lt;life_fac,1,IF(2=life_fac,0.5,0))+Sens!I8275*IF(1&lt;life_fac,1,IF(1=life_fac,0.5,0))+Sens!J8275*0.5)/life_fac</f>
        <v>8.7843644</v>
      </c>
      <c r="K8280" s="6" t="n">
        <f aca="false">(Sens!C8275*IF(8&lt;life_fac,1,IF(8=life_fac,0.5,0))+Sens!D8275*IF(7&lt;life_fac,1,IF(7=life_fac,0.5,0))+Sens!E8275*IF(6&lt;life_fac,1,IF(6=life_fac,0.5,0))+Sens!F8275*IF(5&lt;life_fac,1,IF(5=life_fac,0.5,0))+Sens!G8275*IF(4&lt;life_fac,1,IF(4=life_fac,0.5,0))+Sens!H8275*IF(3&lt;life_fac,1,IF(3=life_fac,0.5,0))+Sens!I8275*IF(2&lt;life_fac,1,IF(2=life_fac,0.5,0))+Sens!J8275*IF(1&lt;life_fac,1,IF(1=life_fac,0.5,0))+Sens!K8275*0.5)/life_fac</f>
        <v>10.3853456</v>
      </c>
    </row>
    <row r="8281" customFormat="false" ht="17.15" hidden="false" customHeight="false" outlineLevel="0" collapsed="false">
      <c r="A8281" s="0" t="s">
        <v>761</v>
      </c>
      <c r="B8281" s="0" t="s">
        <v>95</v>
      </c>
      <c r="E8281" s="6" t="n">
        <f aca="false">Sens!E8279+Sens!E8280</f>
        <v>16.3054059770833</v>
      </c>
      <c r="F8281" s="6" t="n">
        <f aca="false">Sens!F8279+Sens!F8280</f>
        <v>34.7522076225365</v>
      </c>
      <c r="G8281" s="6" t="n">
        <f aca="false">Sens!G8279+Sens!G8280</f>
        <v>60.5300775936729</v>
      </c>
      <c r="H8281" s="6" t="n">
        <f aca="false">Sens!H8279+Sens!H8280</f>
        <v>87.7656603264729</v>
      </c>
      <c r="I8281" s="6" t="n">
        <f aca="false">Sens!I8279+Sens!I8280</f>
        <v>116.020526074456</v>
      </c>
      <c r="J8281" s="6" t="n">
        <f aca="false">Sens!J8279+Sens!J8280</f>
        <v>145.247622291606</v>
      </c>
      <c r="K8281" s="6" t="n">
        <f aca="false">Sens!K8279+Sens!K8280</f>
        <v>175.762266967923</v>
      </c>
    </row>
    <row r="8282" customFormat="false" ht="17.15" hidden="false" customHeight="false" outlineLevel="0" collapsed="false">
      <c r="A8282" s="0" t="s">
        <v>762</v>
      </c>
      <c r="B8282" s="0" t="s">
        <v>95</v>
      </c>
      <c r="E8282" s="6" t="n">
        <f aca="false">Sens!E8270-Sens!E8269*Sens!E8281</f>
        <v>8.92707889977379</v>
      </c>
      <c r="F8282" s="6" t="n">
        <f aca="false">Sens!F8270-Sens!F8269*Sens!F8281</f>
        <v>14.2060209890201</v>
      </c>
      <c r="G8282" s="6" t="n">
        <f aca="false">Sens!G8270-Sens!G8269*Sens!G8281</f>
        <v>15.9324506150833</v>
      </c>
      <c r="H8282" s="6" t="n">
        <f aca="false">Sens!H8270-Sens!H8269*Sens!H8281</f>
        <v>12.6202736551433</v>
      </c>
      <c r="I8282" s="6" t="n">
        <f aca="false">Sens!I8270-Sens!I8269*Sens!I8281</f>
        <v>15.9536766088541</v>
      </c>
      <c r="J8282" s="6" t="n">
        <f aca="false">Sens!J8270-Sens!J8269*Sens!J8281</f>
        <v>18.7591637308565</v>
      </c>
      <c r="K8282" s="6" t="n">
        <f aca="false">Sens!K8270-Sens!K8269*Sens!K8281</f>
        <v>20.8247241390974</v>
      </c>
    </row>
    <row r="8283" customFormat="false" ht="17.15" hidden="false" customHeight="false" outlineLevel="0" collapsed="false">
      <c r="A8283" s="3" t="s">
        <v>1350</v>
      </c>
    </row>
    <row r="8284" customFormat="false" ht="15" hidden="false" customHeight="false" outlineLevel="0" collapsed="false">
      <c r="A8284" s="4" t="s">
        <v>43</v>
      </c>
      <c r="B8284" s="4" t="s">
        <v>63</v>
      </c>
      <c r="C8284" s="19" t="s">
        <v>710</v>
      </c>
      <c r="D8284" s="19" t="s">
        <v>711</v>
      </c>
      <c r="E8284" s="19" t="s">
        <v>712</v>
      </c>
      <c r="F8284" s="19" t="s">
        <v>713</v>
      </c>
      <c r="G8284" s="19" t="s">
        <v>714</v>
      </c>
      <c r="H8284" s="19" t="s">
        <v>715</v>
      </c>
      <c r="I8284" s="19" t="s">
        <v>716</v>
      </c>
      <c r="J8284" s="19" t="s">
        <v>717</v>
      </c>
      <c r="K8284" s="19" t="s">
        <v>718</v>
      </c>
      <c r="L8284" s="4" t="s">
        <v>47</v>
      </c>
    </row>
    <row r="8285" customFormat="false" ht="17.15" hidden="false" customHeight="false" outlineLevel="0" collapsed="false">
      <c r="A8285" s="0" t="s">
        <v>780</v>
      </c>
      <c r="B8285" s="0" t="s">
        <v>95</v>
      </c>
      <c r="D8285" s="6" t="n">
        <f aca="false">Sens!D8264</f>
        <v>12.9359794422418</v>
      </c>
      <c r="E8285" s="6" t="n">
        <f aca="false">Sens!E8264</f>
        <v>27.8095064661409</v>
      </c>
      <c r="F8285" s="6" t="n">
        <f aca="false">Sens!F8264</f>
        <v>50.6619113883066</v>
      </c>
      <c r="G8285" s="6" t="n">
        <f aca="false">Sens!G8264</f>
        <v>75.1482839325348</v>
      </c>
      <c r="H8285" s="6" t="n">
        <f aca="false">Sens!H8264</f>
        <v>94.895655604042</v>
      </c>
      <c r="I8285" s="6" t="n">
        <f aca="false">Sens!I8264</f>
        <v>121.918667866643</v>
      </c>
      <c r="J8285" s="6" t="n">
        <f aca="false">Sens!J8264</f>
        <v>149.006768672892</v>
      </c>
      <c r="K8285" s="6" t="n">
        <f aca="false">Sens!K8264</f>
        <v>176.133157939015</v>
      </c>
    </row>
    <row r="8286" customFormat="false" ht="17.15" hidden="false" customHeight="false" outlineLevel="0" collapsed="false">
      <c r="A8286" s="0" t="s">
        <v>781</v>
      </c>
      <c r="B8286" s="0" t="s">
        <v>95</v>
      </c>
      <c r="D8286" s="6" t="n">
        <f aca="false">Q!L6-Sens!D8285</f>
        <v>59.6740205577583</v>
      </c>
      <c r="E8286" s="6" t="n">
        <f aca="false">Q!M6-Sens!E8285</f>
        <v>74.1284935338591</v>
      </c>
      <c r="F8286" s="6" t="n">
        <f aca="false">Sens!E8286*(1+Sens!F8287)</f>
        <v>90.0799497373663</v>
      </c>
      <c r="G8286" s="6" t="n">
        <f aca="false">Sens!F8286*(1+Sens!G8287)</f>
        <v>107.02842520331</v>
      </c>
      <c r="H8286" s="6" t="n">
        <f aca="false">Sens!G8286*(1+Sens!H8287)</f>
        <v>124.271982585636</v>
      </c>
      <c r="I8286" s="6" t="n">
        <f aca="false">Sens!H8286*(1+Sens!I8287)</f>
        <v>140.933702381855</v>
      </c>
      <c r="J8286" s="6" t="n">
        <f aca="false">Sens!I8286*(1+Sens!J8287)</f>
        <v>156.018867314332</v>
      </c>
      <c r="K8286" s="6" t="n">
        <f aca="false">Sens!J8286*(1+Sens!K8287)</f>
        <v>168.500376699478</v>
      </c>
    </row>
    <row r="8287" customFormat="false" ht="15" hidden="false" customHeight="false" outlineLevel="0" collapsed="false">
      <c r="A8287" s="1" t="s">
        <v>782</v>
      </c>
      <c r="B8287" s="0" t="s">
        <v>126</v>
      </c>
      <c r="E8287" s="7" t="n">
        <f aca="false">Sens!E8286/Sens!D8286-1</f>
        <v>0.242223883039864</v>
      </c>
      <c r="F8287" s="7" t="n">
        <f aca="false">Sens!$E$8287+(glt_azo-Sens!$E$8287)*MIN(1,1/n_conv)</f>
        <v>0.215186569199887</v>
      </c>
      <c r="G8287" s="7" t="n">
        <f aca="false">Sens!$E$8287+(glt_azo-Sens!$E$8287)*MIN(1,2/n_conv)</f>
        <v>0.18814925535991</v>
      </c>
      <c r="H8287" s="7" t="n">
        <f aca="false">Sens!$E$8287+(glt_azo-Sens!$E$8287)*MIN(1,3/n_conv)</f>
        <v>0.161111941519932</v>
      </c>
      <c r="I8287" s="7" t="n">
        <f aca="false">Sens!$E$8287+(glt_azo-Sens!$E$8287)*MIN(1,4/n_conv)</f>
        <v>0.134074627679955</v>
      </c>
      <c r="J8287" s="7" t="n">
        <f aca="false">Sens!$E$8287+(glt_azo-Sens!$E$8287)*MIN(1,5/n_conv)</f>
        <v>0.107037313839977</v>
      </c>
      <c r="K8287" s="7" t="n">
        <f aca="false">Sens!$E$8287+(glt_azo-Sens!$E$8287)*MIN(1,6/n_conv)</f>
        <v>0.08</v>
      </c>
    </row>
    <row r="8288" customFormat="false" ht="15" hidden="false" customHeight="false" outlineLevel="0" collapsed="false">
      <c r="A8288" s="0" t="s">
        <v>783</v>
      </c>
      <c r="B8288" s="0" t="s">
        <v>95</v>
      </c>
      <c r="D8288" s="6" t="n">
        <f aca="false">Sens!D8285+Sens!D8286</f>
        <v>72.61</v>
      </c>
      <c r="E8288" s="6" t="n">
        <f aca="false">Sens!E8285+Sens!E8286</f>
        <v>101.938</v>
      </c>
      <c r="F8288" s="6" t="n">
        <f aca="false">Sens!F8285+Sens!F8286</f>
        <v>140.741861125673</v>
      </c>
      <c r="G8288" s="6" t="n">
        <f aca="false">Sens!G8285+Sens!G8286</f>
        <v>182.176709135845</v>
      </c>
      <c r="H8288" s="6" t="n">
        <f aca="false">Sens!H8285+Sens!H8286</f>
        <v>219.167638189678</v>
      </c>
      <c r="I8288" s="6" t="n">
        <f aca="false">Sens!I8285+Sens!I8286</f>
        <v>262.852370248498</v>
      </c>
      <c r="J8288" s="6" t="n">
        <f aca="false">Sens!J8285+Sens!J8286</f>
        <v>305.025635987223</v>
      </c>
      <c r="K8288" s="6" t="n">
        <f aca="false">Sens!K8285+Sens!K8286</f>
        <v>344.633534638493</v>
      </c>
    </row>
    <row r="8289" customFormat="false" ht="17.15" hidden="false" customHeight="false" outlineLevel="0" collapsed="false">
      <c r="A8289" s="0" t="s">
        <v>784</v>
      </c>
      <c r="B8289" s="1" t="s">
        <v>451</v>
      </c>
      <c r="C8289" s="27" t="n">
        <f aca="false">cop_s24</f>
        <v>1</v>
      </c>
      <c r="D8289" s="27" t="n">
        <f aca="false">cop_s25</f>
        <v>5</v>
      </c>
      <c r="E8289" s="27" t="n">
        <f aca="false">cop_s26</f>
        <v>30</v>
      </c>
      <c r="F8289" s="27" t="n">
        <f aca="false">Sens!E8289+IF(2027&lt;=2029,cop_add_C,cop_add_C*cop_tail)</f>
        <v>40</v>
      </c>
      <c r="G8289" s="27" t="n">
        <f aca="false">Sens!F8289+IF(2028&lt;=2029,cop_add_C,cop_add_C*cop_tail)</f>
        <v>50</v>
      </c>
      <c r="H8289" s="27" t="n">
        <f aca="false">Sens!G8289+IF(2029&lt;=2029,cop_add_C,cop_add_C*cop_tail)</f>
        <v>60</v>
      </c>
      <c r="I8289" s="27" t="n">
        <f aca="false">Sens!H8289+IF(2030&lt;=2029,cop_add_C,cop_add_C*cop_tail)</f>
        <v>65</v>
      </c>
      <c r="J8289" s="27" t="n">
        <f aca="false">Sens!I8289+IF(2031&lt;=2029,cop_add_C,cop_add_C*cop_tail)</f>
        <v>70</v>
      </c>
      <c r="K8289" s="27" t="n">
        <f aca="false">Sens!J8289+IF(2032&lt;=2029,cop_add_C,cop_add_C*cop_tail)</f>
        <v>75</v>
      </c>
    </row>
    <row r="8290" customFormat="false" ht="17.15" hidden="false" customHeight="false" outlineLevel="0" collapsed="false">
      <c r="A8290" s="0" t="s">
        <v>785</v>
      </c>
      <c r="B8290" s="0" t="s">
        <v>95</v>
      </c>
      <c r="D8290" s="6" t="n">
        <f aca="false">(Sens!C8289+Sens!D8289)/2*cop_px*12/1000</f>
        <v>0.9</v>
      </c>
      <c r="E8290" s="6" t="n">
        <f aca="false">(Sens!D8289+Sens!E8289)/2*cop_px*12/1000</f>
        <v>5.25</v>
      </c>
      <c r="F8290" s="6" t="n">
        <f aca="false">(Sens!E8289+Sens!F8289)/2*cop_px*12/1000</f>
        <v>10.5</v>
      </c>
      <c r="G8290" s="6" t="n">
        <f aca="false">(Sens!F8289+Sens!G8289)/2*cop_px*12/1000</f>
        <v>13.5</v>
      </c>
      <c r="H8290" s="6" t="n">
        <f aca="false">(Sens!G8289+Sens!H8289)/2*cop_px*12/1000</f>
        <v>16.5</v>
      </c>
      <c r="I8290" s="6" t="n">
        <f aca="false">(Sens!H8289+Sens!I8289)/2*cop_px*12/1000</f>
        <v>18.75</v>
      </c>
      <c r="J8290" s="6" t="n">
        <f aca="false">(Sens!I8289+Sens!J8289)/2*cop_px*12/1000</f>
        <v>20.25</v>
      </c>
      <c r="K8290" s="6" t="n">
        <f aca="false">(Sens!J8289+Sens!K8289)/2*cop_px*12/1000</f>
        <v>21.75</v>
      </c>
      <c r="L8290" s="1" t="s">
        <v>786</v>
      </c>
    </row>
    <row r="8291" customFormat="false" ht="17.15" hidden="false" customHeight="false" outlineLevel="0" collapsed="false">
      <c r="A8291" s="0" t="s">
        <v>787</v>
      </c>
      <c r="B8291" s="0" t="s">
        <v>95</v>
      </c>
      <c r="D8291" s="6" t="n">
        <f aca="false">Q!L7-Sens!D8290</f>
        <v>83.705</v>
      </c>
      <c r="E8291" s="6" t="n">
        <f aca="false">Q!M7-Sens!E8290</f>
        <v>95.049</v>
      </c>
      <c r="F8291" s="6" t="n">
        <f aca="false">Sens!E8291*(1+Sens!F8292)</f>
        <v>106.89238776686</v>
      </c>
      <c r="G8291" s="6" t="n">
        <f aca="false">Sens!F8291*(1+Sens!G8292)</f>
        <v>119.044168448684</v>
      </c>
      <c r="H8291" s="6" t="n">
        <f aca="false">Sens!G8291*(1+Sens!H8292)</f>
        <v>131.277359388781</v>
      </c>
      <c r="I8291" s="6" t="n">
        <f aca="false">Sens!H8291*(1+Sens!I8292)</f>
        <v>143.334028071957</v>
      </c>
      <c r="J8291" s="6" t="n">
        <f aca="false">Sens!I8291*(1+Sens!J8292)</f>
        <v>154.932702785465</v>
      </c>
      <c r="K8291" s="6" t="n">
        <f aca="false">Sens!J8291*(1+Sens!K8292)</f>
        <v>165.777991980448</v>
      </c>
    </row>
    <row r="8292" customFormat="false" ht="15" hidden="false" customHeight="false" outlineLevel="0" collapsed="false">
      <c r="A8292" s="1" t="s">
        <v>782</v>
      </c>
      <c r="B8292" s="0" t="s">
        <v>126</v>
      </c>
      <c r="E8292" s="7" t="n">
        <f aca="false">Sens!E8291/Sens!D8291-1</f>
        <v>0.135523564900544</v>
      </c>
      <c r="F8292" s="7" t="n">
        <f aca="false">Sens!$E$8292+(glt_m365b-Sens!$E$8292)*MIN(1,1/n_conv)</f>
        <v>0.124602970750453</v>
      </c>
      <c r="G8292" s="7" t="n">
        <f aca="false">Sens!$E$8292+(glt_m365b-Sens!$E$8292)*MIN(1,2/n_conv)</f>
        <v>0.113682376600363</v>
      </c>
      <c r="H8292" s="7" t="n">
        <f aca="false">Sens!$E$8292+(glt_m365b-Sens!$E$8292)*MIN(1,3/n_conv)</f>
        <v>0.102761782450272</v>
      </c>
      <c r="I8292" s="7" t="n">
        <f aca="false">Sens!$E$8292+(glt_m365b-Sens!$E$8292)*MIN(1,4/n_conv)</f>
        <v>0.0918411883001813</v>
      </c>
      <c r="J8292" s="7" t="n">
        <f aca="false">Sens!$E$8292+(glt_m365b-Sens!$E$8292)*MIN(1,5/n_conv)</f>
        <v>0.0809205941500906</v>
      </c>
      <c r="K8292" s="7" t="n">
        <f aca="false">Sens!$E$8292+(glt_m365b-Sens!$E$8292)*MIN(1,6/n_conv)</f>
        <v>0.07</v>
      </c>
    </row>
    <row r="8293" customFormat="false" ht="15" hidden="false" customHeight="false" outlineLevel="0" collapsed="false">
      <c r="A8293" s="0" t="s">
        <v>788</v>
      </c>
      <c r="B8293" s="0" t="s">
        <v>95</v>
      </c>
      <c r="D8293" s="6" t="n">
        <f aca="false">Sens!D8291+Sens!D8290</f>
        <v>84.605</v>
      </c>
      <c r="E8293" s="6" t="n">
        <f aca="false">Sens!E8291+Sens!E8290</f>
        <v>100.299</v>
      </c>
      <c r="F8293" s="6" t="n">
        <f aca="false">Sens!F8291+Sens!F8290</f>
        <v>117.39238776686</v>
      </c>
      <c r="G8293" s="6" t="n">
        <f aca="false">Sens!G8291+Sens!G8290</f>
        <v>132.544168448684</v>
      </c>
      <c r="H8293" s="6" t="n">
        <f aca="false">Sens!H8291+Sens!H8290</f>
        <v>147.777359388781</v>
      </c>
      <c r="I8293" s="6" t="n">
        <f aca="false">Sens!I8291+Sens!I8290</f>
        <v>162.084028071957</v>
      </c>
      <c r="J8293" s="6" t="n">
        <f aca="false">Sens!J8291+Sens!J8290</f>
        <v>175.182702785465</v>
      </c>
      <c r="K8293" s="6" t="n">
        <f aca="false">Sens!K8291+Sens!K8290</f>
        <v>187.527991980448</v>
      </c>
    </row>
    <row r="8294" customFormat="false" ht="15" hidden="false" customHeight="false" outlineLevel="0" collapsed="false">
      <c r="A8294" s="0" t="s">
        <v>789</v>
      </c>
      <c r="B8294" s="0" t="s">
        <v>95</v>
      </c>
      <c r="D8294" s="6" t="n">
        <f aca="false">Q!L8</f>
        <v>35.391</v>
      </c>
      <c r="E8294" s="6" t="n">
        <f aca="false">Q!M8</f>
        <v>37.285</v>
      </c>
      <c r="F8294" s="6" t="n">
        <f aca="false">Sens!E8294*(1+Sens!F8295)</f>
        <v>39.0720834331704</v>
      </c>
      <c r="G8294" s="6" t="n">
        <f aca="false">Sens!F8294*(1+Sens!G8295)</f>
        <v>40.726562953769</v>
      </c>
      <c r="H8294" s="6" t="n">
        <f aca="false">Sens!G8294*(1+Sens!H8295)</f>
        <v>42.2235987259198</v>
      </c>
      <c r="I8294" s="6" t="n">
        <f aca="false">Sens!H8294*(1+Sens!I8295)</f>
        <v>43.5397988077414</v>
      </c>
      <c r="J8294" s="6" t="n">
        <f aca="false">Sens!I8294*(1+Sens!J8295)</f>
        <v>44.653811225693</v>
      </c>
      <c r="K8294" s="6" t="n">
        <f aca="false">Sens!J8294*(1+Sens!K8295)</f>
        <v>45.5468874502068</v>
      </c>
    </row>
    <row r="8295" customFormat="false" ht="15" hidden="false" customHeight="false" outlineLevel="0" collapsed="false">
      <c r="A8295" s="1" t="s">
        <v>782</v>
      </c>
      <c r="B8295" s="0" t="s">
        <v>126</v>
      </c>
      <c r="E8295" s="7" t="n">
        <f aca="false">Sens!E8294/Sens!D8294-1</f>
        <v>0.0535164307309768</v>
      </c>
      <c r="F8295" s="7" t="n">
        <f aca="false">Sens!$E$8295+(glt_lic-Sens!$E$8295)*MIN(1,1/n_conv)</f>
        <v>0.0479303589424807</v>
      </c>
      <c r="G8295" s="7" t="n">
        <f aca="false">Sens!$E$8295+(glt_lic-Sens!$E$8295)*MIN(1,2/n_conv)</f>
        <v>0.0423442871539845</v>
      </c>
      <c r="H8295" s="7" t="n">
        <f aca="false">Sens!$E$8295+(glt_lic-Sens!$E$8295)*MIN(1,3/n_conv)</f>
        <v>0.0367582153654884</v>
      </c>
      <c r="I8295" s="7" t="n">
        <f aca="false">Sens!$E$8295+(glt_lic-Sens!$E$8295)*MIN(1,4/n_conv)</f>
        <v>0.0311721435769923</v>
      </c>
      <c r="J8295" s="7" t="n">
        <f aca="false">Sens!$E$8295+(glt_lic-Sens!$E$8295)*MIN(1,5/n_conv)</f>
        <v>0.0255860717884961</v>
      </c>
      <c r="K8295" s="7" t="n">
        <f aca="false">Sens!$E$8295+(glt_lic-Sens!$E$8295)*MIN(1,6/n_conv)</f>
        <v>0.02</v>
      </c>
    </row>
    <row r="8296" customFormat="false" ht="15" hidden="false" customHeight="false" outlineLevel="0" collapsed="false">
      <c r="A8296" s="0" t="s">
        <v>790</v>
      </c>
      <c r="B8296" s="0" t="s">
        <v>95</v>
      </c>
      <c r="D8296" s="6" t="n">
        <f aca="false">Q!L9</f>
        <v>18.417</v>
      </c>
      <c r="E8296" s="6" t="n">
        <f aca="false">Q!M9</f>
        <v>20.345</v>
      </c>
      <c r="F8296" s="6" t="n">
        <f aca="false">Sens!E8296*(1+Sens!F8297)</f>
        <v>22.3572203267814</v>
      </c>
      <c r="G8296" s="6" t="n">
        <f aca="false">Sens!F8296*(1+Sens!G8297)</f>
        <v>24.4392124437232</v>
      </c>
      <c r="H8296" s="6" t="n">
        <f aca="false">Sens!G8296*(1+Sens!H8297)</f>
        <v>26.5738052080665</v>
      </c>
      <c r="I8296" s="6" t="n">
        <f aca="false">Sens!H8296*(1+Sens!I8297)</f>
        <v>28.7412169166967</v>
      </c>
      <c r="J8296" s="6" t="n">
        <f aca="false">Sens!I8296*(1+Sens!J8297)</f>
        <v>30.9192545395413</v>
      </c>
      <c r="K8296" s="6" t="n">
        <f aca="false">Sens!J8296*(1+Sens!K8297)</f>
        <v>33.0836023573092</v>
      </c>
    </row>
    <row r="8297" customFormat="false" ht="15" hidden="false" customHeight="false" outlineLevel="0" collapsed="false">
      <c r="A8297" s="1" t="s">
        <v>782</v>
      </c>
      <c r="B8297" s="0" t="s">
        <v>126</v>
      </c>
      <c r="E8297" s="7" t="n">
        <f aca="false">Sens!E8296/Sens!D8296-1</f>
        <v>0.104685888038225</v>
      </c>
      <c r="F8297" s="7" t="n">
        <f aca="false">Sens!$E$8297+(glt_ind-Sens!$E$8297)*MIN(1,1/n_conv)</f>
        <v>0.0989049066985211</v>
      </c>
      <c r="G8297" s="7" t="n">
        <f aca="false">Sens!$E$8297+(glt_ind-Sens!$E$8297)*MIN(1,2/n_conv)</f>
        <v>0.0931239253588169</v>
      </c>
      <c r="H8297" s="7" t="n">
        <f aca="false">Sens!$E$8297+(glt_ind-Sens!$E$8297)*MIN(1,3/n_conv)</f>
        <v>0.0873429440191127</v>
      </c>
      <c r="I8297" s="7" t="n">
        <f aca="false">Sens!$E$8297+(glt_ind-Sens!$E$8297)*MIN(1,4/n_conv)</f>
        <v>0.0815619626794085</v>
      </c>
      <c r="J8297" s="7" t="n">
        <f aca="false">Sens!$E$8297+(glt_ind-Sens!$E$8297)*MIN(1,5/n_conv)</f>
        <v>0.0757809813397042</v>
      </c>
      <c r="K8297" s="7" t="n">
        <f aca="false">Sens!$E$8297+(glt_ind-Sens!$E$8297)*MIN(1,6/n_conv)</f>
        <v>0.07</v>
      </c>
    </row>
    <row r="8298" customFormat="false" ht="15" hidden="false" customHeight="false" outlineLevel="0" collapsed="false">
      <c r="A8298" s="0" t="s">
        <v>791</v>
      </c>
      <c r="B8298" s="0" t="s">
        <v>95</v>
      </c>
      <c r="D8298" s="6" t="n">
        <f aca="false">Q!L10</f>
        <v>7.76</v>
      </c>
      <c r="E8298" s="6" t="n">
        <f aca="false">Q!M10</f>
        <v>8.26</v>
      </c>
      <c r="F8298" s="6" t="n">
        <f aca="false">Sens!E8298*(1+Sens!F8299)</f>
        <v>8.79988041237113</v>
      </c>
      <c r="G8298" s="6" t="n">
        <f aca="false">Sens!F8298*(1+Sens!G8299)</f>
        <v>9.38321269125306</v>
      </c>
      <c r="H8298" s="6" t="n">
        <f aca="false">Sens!G8298*(1+Sens!H8299)</f>
        <v>10.0139193587476</v>
      </c>
      <c r="I8298" s="6" t="n">
        <f aca="false">Sens!H8298*(1+Sens!I8299)</f>
        <v>10.6963111830911</v>
      </c>
      <c r="J8298" s="6" t="n">
        <f aca="false">Sens!I8298*(1+Sens!J8299)</f>
        <v>11.4351285534696</v>
      </c>
      <c r="K8298" s="6" t="n">
        <f aca="false">Sens!J8298*(1+Sens!K8299)</f>
        <v>12.2355875522124</v>
      </c>
    </row>
    <row r="8299" customFormat="false" ht="15" hidden="false" customHeight="false" outlineLevel="0" collapsed="false">
      <c r="A8299" s="1" t="s">
        <v>782</v>
      </c>
      <c r="B8299" s="0" t="s">
        <v>126</v>
      </c>
      <c r="E8299" s="7" t="n">
        <f aca="false">Sens!E8298/Sens!D8298-1</f>
        <v>0.0644329896907216</v>
      </c>
      <c r="F8299" s="7" t="n">
        <f aca="false">Sens!$E$8299+(glt_fro-Sens!$E$8299)*MIN(1,1/n_conv)</f>
        <v>0.065360824742268</v>
      </c>
      <c r="G8299" s="7" t="n">
        <f aca="false">Sens!$E$8299+(glt_fro-Sens!$E$8299)*MIN(1,2/n_conv)</f>
        <v>0.0662886597938144</v>
      </c>
      <c r="H8299" s="7" t="n">
        <f aca="false">Sens!$E$8299+(glt_fro-Sens!$E$8299)*MIN(1,3/n_conv)</f>
        <v>0.0672164948453608</v>
      </c>
      <c r="I8299" s="7" t="n">
        <f aca="false">Sens!$E$8299+(glt_fro-Sens!$E$8299)*MIN(1,4/n_conv)</f>
        <v>0.0681443298969072</v>
      </c>
      <c r="J8299" s="7" t="n">
        <f aca="false">Sens!$E$8299+(glt_fro-Sens!$E$8299)*MIN(1,5/n_conv)</f>
        <v>0.0690721649484536</v>
      </c>
      <c r="K8299" s="7" t="n">
        <f aca="false">Sens!$E$8299+(glt_fro-Sens!$E$8299)*MIN(1,6/n_conv)</f>
        <v>0.07</v>
      </c>
    </row>
    <row r="8300" customFormat="false" ht="15" hidden="false" customHeight="false" outlineLevel="0" collapsed="false">
      <c r="A8300" s="0" t="s">
        <v>626</v>
      </c>
      <c r="B8300" s="0" t="s">
        <v>95</v>
      </c>
      <c r="D8300" s="6" t="n">
        <f aca="false">Sens!D8288+Sens!D8293+Sens!D8294+Sens!D8296+Sens!D8298</f>
        <v>218.783</v>
      </c>
      <c r="E8300" s="6" t="n">
        <f aca="false">Sens!E8288+Sens!E8293+Sens!E8294+Sens!E8296+Sens!E8298</f>
        <v>268.127</v>
      </c>
      <c r="F8300" s="6" t="n">
        <f aca="false">Sens!F8288+Sens!F8293+Sens!F8294+Sens!F8296+Sens!F8298</f>
        <v>328.363433064856</v>
      </c>
      <c r="G8300" s="6" t="n">
        <f aca="false">Sens!G8288+Sens!G8293+Sens!G8294+Sens!G8296+Sens!G8298</f>
        <v>389.269865673274</v>
      </c>
      <c r="H8300" s="6" t="n">
        <f aca="false">Sens!H8288+Sens!H8293+Sens!H8294+Sens!H8296+Sens!H8298</f>
        <v>445.756320871193</v>
      </c>
      <c r="I8300" s="6" t="n">
        <f aca="false">Sens!I8288+Sens!I8293+Sens!I8294+Sens!I8296+Sens!I8298</f>
        <v>507.913725227984</v>
      </c>
      <c r="J8300" s="6" t="n">
        <f aca="false">Sens!J8288+Sens!J8293+Sens!J8294+Sens!J8296+Sens!J8298</f>
        <v>567.216533091392</v>
      </c>
      <c r="K8300" s="6" t="n">
        <f aca="false">Sens!K8288+Sens!K8293+Sens!K8294+Sens!K8296+Sens!K8298</f>
        <v>623.027603978669</v>
      </c>
    </row>
    <row r="8301" customFormat="false" ht="15" hidden="false" customHeight="false" outlineLevel="0" collapsed="false">
      <c r="A8301" s="0" t="s">
        <v>792</v>
      </c>
      <c r="B8301" s="0" t="s">
        <v>95</v>
      </c>
      <c r="D8301" s="6" t="n">
        <f aca="false">Q!L13</f>
        <v>22.171</v>
      </c>
      <c r="E8301" s="6" t="n">
        <f aca="false">Q!M13</f>
        <v>24.835</v>
      </c>
      <c r="F8301" s="6" t="n">
        <f aca="false">Sens!E8301*(1+Sens!F8302)</f>
        <v>27.7356651218559</v>
      </c>
      <c r="G8301" s="6" t="n">
        <f aca="false">Sens!F8301*(1+Sens!G8302)</f>
        <v>30.8819427955575</v>
      </c>
      <c r="H8301" s="6" t="n">
        <f aca="false">Sens!G8301*(1+Sens!H8302)</f>
        <v>34.2813801456859</v>
      </c>
      <c r="I8301" s="6" t="n">
        <f aca="false">Sens!H8301*(1+Sens!I8302)</f>
        <v>37.9398543169022</v>
      </c>
      <c r="J8301" s="6" t="n">
        <f aca="false">Sens!I8301*(1+Sens!J8302)</f>
        <v>41.8612984476003</v>
      </c>
      <c r="K8301" s="6" t="n">
        <f aca="false">Sens!J8301*(1+Sens!K8302)</f>
        <v>46.0474282923604</v>
      </c>
    </row>
    <row r="8302" customFormat="false" ht="15" hidden="false" customHeight="false" outlineLevel="0" collapsed="false">
      <c r="A8302" s="1" t="s">
        <v>782</v>
      </c>
      <c r="B8302" s="0" t="s">
        <v>126</v>
      </c>
      <c r="E8302" s="7" t="n">
        <f aca="false">Sens!E8301/Sens!D8301-1</f>
        <v>0.120156961796942</v>
      </c>
      <c r="F8302" s="7" t="n">
        <f aca="false">Sens!$E$8302+(glt_srch_hi-Sens!$E$8302)*MIN(1,1/n_conv)</f>
        <v>0.116797468164118</v>
      </c>
      <c r="G8302" s="7" t="n">
        <f aca="false">Sens!$E$8302+(glt_srch_hi-Sens!$E$8302)*MIN(1,2/n_conv)</f>
        <v>0.113437974531295</v>
      </c>
      <c r="H8302" s="7" t="n">
        <f aca="false">Sens!$E$8302+(glt_srch_hi-Sens!$E$8302)*MIN(1,3/n_conv)</f>
        <v>0.110078480898471</v>
      </c>
      <c r="I8302" s="7" t="n">
        <f aca="false">Sens!$E$8302+(glt_srch_hi-Sens!$E$8302)*MIN(1,4/n_conv)</f>
        <v>0.106718987265647</v>
      </c>
      <c r="J8302" s="7" t="n">
        <f aca="false">Sens!$E$8302+(glt_srch_hi-Sens!$E$8302)*MIN(1,5/n_conv)</f>
        <v>0.103359493632824</v>
      </c>
      <c r="K8302" s="7" t="n">
        <f aca="false">Sens!$E$8302+(glt_srch_hi-Sens!$E$8302)*MIN(1,6/n_conv)</f>
        <v>0.1</v>
      </c>
    </row>
    <row r="8303" customFormat="false" ht="15" hidden="false" customHeight="false" outlineLevel="0" collapsed="false">
      <c r="A8303" s="0" t="s">
        <v>793</v>
      </c>
      <c r="B8303" s="0" t="s">
        <v>95</v>
      </c>
      <c r="D8303" s="6" t="n">
        <f aca="false">Q!L14</f>
        <v>23.455</v>
      </c>
      <c r="E8303" s="6" t="n">
        <f aca="false">Q!M14</f>
        <v>21.79</v>
      </c>
      <c r="F8303" s="6" t="n">
        <f aca="false">Sens!E8303*(1+Sens!F8304)</f>
        <v>20.5736277908051</v>
      </c>
      <c r="G8303" s="6" t="n">
        <f aca="false">Sens!F8303*(1+Sens!G8304)</f>
        <v>19.7371452817919</v>
      </c>
      <c r="H8303" s="6" t="n">
        <f aca="false">Sens!G8303*(1+Sens!H8304)</f>
        <v>19.2339764043138</v>
      </c>
      <c r="I8303" s="6" t="n">
        <f aca="false">Sens!H8303*(1+Sens!I8304)</f>
        <v>19.0353086852681</v>
      </c>
      <c r="J8303" s="6" t="n">
        <f aca="false">Sens!I8303*(1+Sens!J8304)</f>
        <v>19.1273539319129</v>
      </c>
      <c r="K8303" s="6" t="n">
        <f aca="false">Sens!J8303*(1+Sens!K8304)</f>
        <v>19.5099010105511</v>
      </c>
    </row>
    <row r="8304" customFormat="false" ht="15" hidden="false" customHeight="false" outlineLevel="0" collapsed="false">
      <c r="A8304" s="1" t="s">
        <v>782</v>
      </c>
      <c r="B8304" s="0" t="s">
        <v>126</v>
      </c>
      <c r="E8304" s="7" t="n">
        <f aca="false">Sens!E8303/Sens!D8303-1</f>
        <v>-0.0709869963760392</v>
      </c>
      <c r="F8304" s="7" t="n">
        <f aca="false">Sens!$E$8304+(glt_xbox-Sens!$E$8304)*MIN(1,1/n_conv)</f>
        <v>-0.0558224969800327</v>
      </c>
      <c r="G8304" s="7" t="n">
        <f aca="false">Sens!$E$8304+(glt_xbox-Sens!$E$8304)*MIN(1,2/n_conv)</f>
        <v>-0.0406579975840262</v>
      </c>
      <c r="H8304" s="7" t="n">
        <f aca="false">Sens!$E$8304+(glt_xbox-Sens!$E$8304)*MIN(1,3/n_conv)</f>
        <v>-0.0254934981880196</v>
      </c>
      <c r="I8304" s="7" t="n">
        <f aca="false">Sens!$E$8304+(glt_xbox-Sens!$E$8304)*MIN(1,4/n_conv)</f>
        <v>-0.0103289987920131</v>
      </c>
      <c r="J8304" s="7" t="n">
        <f aca="false">Sens!$E$8304+(glt_xbox-Sens!$E$8304)*MIN(1,5/n_conv)</f>
        <v>0.00483550060399347</v>
      </c>
      <c r="K8304" s="7" t="n">
        <f aca="false">Sens!$E$8304+(glt_xbox-Sens!$E$8304)*MIN(1,6/n_conv)</f>
        <v>0.02</v>
      </c>
    </row>
    <row r="8305" customFormat="false" ht="15" hidden="false" customHeight="false" outlineLevel="0" collapsed="false">
      <c r="A8305" s="0" t="s">
        <v>794</v>
      </c>
      <c r="B8305" s="0" t="s">
        <v>95</v>
      </c>
      <c r="D8305" s="6" t="n">
        <f aca="false">Q!L15</f>
        <v>17.315</v>
      </c>
      <c r="E8305" s="6" t="n">
        <f aca="false">Q!M15</f>
        <v>17.087</v>
      </c>
      <c r="F8305" s="6" t="n">
        <f aca="false">Sens!E8305*(1+Sens!F8306)</f>
        <v>16.9564585436519</v>
      </c>
      <c r="G8305" s="6" t="n">
        <f aca="false">Sens!F8305*(1+Sens!G8306)</f>
        <v>16.9206490624268</v>
      </c>
      <c r="H8305" s="6" t="n">
        <f aca="false">Sens!G8305*(1+Sens!H8306)</f>
        <v>16.9784519149849</v>
      </c>
      <c r="I8305" s="6" t="n">
        <f aca="false">Sens!H8305*(1+Sens!I8306)</f>
        <v>17.1303084701817</v>
      </c>
      <c r="J8305" s="6" t="n">
        <f aca="false">Sens!I8305*(1+Sens!J8306)</f>
        <v>17.3782189407267</v>
      </c>
      <c r="K8305" s="6" t="n">
        <f aca="false">Sens!J8305*(1+Sens!K8306)</f>
        <v>17.7257833195413</v>
      </c>
    </row>
    <row r="8306" customFormat="false" ht="15" hidden="false" customHeight="false" outlineLevel="0" collapsed="false">
      <c r="A8306" s="1" t="s">
        <v>782</v>
      </c>
      <c r="B8306" s="0" t="s">
        <v>126</v>
      </c>
      <c r="E8306" s="7" t="n">
        <f aca="false">Sens!E8305/Sens!D8305-1</f>
        <v>-0.0131677736066995</v>
      </c>
      <c r="F8306" s="7" t="n">
        <f aca="false">Sens!$E$8306+(glt_win-Sens!$E$8306)*MIN(1,1/n_conv)</f>
        <v>-0.00763981133891627</v>
      </c>
      <c r="G8306" s="7" t="n">
        <f aca="false">Sens!$E$8306+(glt_win-Sens!$E$8306)*MIN(1,2/n_conv)</f>
        <v>-0.00211184907113301</v>
      </c>
      <c r="H8306" s="7" t="n">
        <f aca="false">Sens!$E$8306+(glt_win-Sens!$E$8306)*MIN(1,3/n_conv)</f>
        <v>0.00341611319665024</v>
      </c>
      <c r="I8306" s="7" t="n">
        <f aca="false">Sens!$E$8306+(glt_win-Sens!$E$8306)*MIN(1,4/n_conv)</f>
        <v>0.00894407546443349</v>
      </c>
      <c r="J8306" s="7" t="n">
        <f aca="false">Sens!$E$8306+(glt_win-Sens!$E$8306)*MIN(1,5/n_conv)</f>
        <v>0.0144720377322168</v>
      </c>
      <c r="K8306" s="7" t="n">
        <f aca="false">Sens!$E$8306+(glt_win-Sens!$E$8306)*MIN(1,6/n_conv)</f>
        <v>0.02</v>
      </c>
    </row>
    <row r="8307" customFormat="false" ht="15" hidden="false" customHeight="false" outlineLevel="0" collapsed="false">
      <c r="A8307" s="0" t="s">
        <v>640</v>
      </c>
      <c r="B8307" s="0" t="s">
        <v>95</v>
      </c>
      <c r="D8307" s="6" t="n">
        <f aca="false">Sens!D8301+Sens!D8303+Sens!D8305</f>
        <v>62.941</v>
      </c>
      <c r="E8307" s="6" t="n">
        <f aca="false">Sens!E8301+Sens!E8303+Sens!E8305</f>
        <v>63.712</v>
      </c>
      <c r="F8307" s="6" t="n">
        <f aca="false">Sens!F8301+Sens!F8303+Sens!F8305</f>
        <v>65.2657514563129</v>
      </c>
      <c r="G8307" s="6" t="n">
        <f aca="false">Sens!G8301+Sens!G8303+Sens!G8305</f>
        <v>67.5397371397762</v>
      </c>
      <c r="H8307" s="6" t="n">
        <f aca="false">Sens!H8301+Sens!H8303+Sens!H8305</f>
        <v>70.4938084649846</v>
      </c>
      <c r="I8307" s="6" t="n">
        <f aca="false">Sens!I8301+Sens!I8303+Sens!I8305</f>
        <v>74.105471472352</v>
      </c>
      <c r="J8307" s="6" t="n">
        <f aca="false">Sens!J8301+Sens!J8303+Sens!J8305</f>
        <v>78.3668713202399</v>
      </c>
      <c r="K8307" s="6" t="n">
        <f aca="false">Sens!K8301+Sens!K8303+Sens!K8305</f>
        <v>83.2831126224528</v>
      </c>
    </row>
    <row r="8308" customFormat="false" ht="15" hidden="false" customHeight="false" outlineLevel="0" collapsed="false">
      <c r="A8308" s="1" t="s">
        <v>795</v>
      </c>
      <c r="B8308" s="0" t="s">
        <v>95</v>
      </c>
      <c r="D8308" s="6" t="n">
        <f aca="false">Sens!D8300+Sens!D8307</f>
        <v>281.724</v>
      </c>
      <c r="E8308" s="6" t="n">
        <f aca="false">Sens!E8300+Sens!E8307</f>
        <v>331.839</v>
      </c>
      <c r="F8308" s="6" t="n">
        <f aca="false">Sens!F8300+Sens!F8307</f>
        <v>393.629184521169</v>
      </c>
      <c r="G8308" s="6" t="n">
        <f aca="false">Sens!G8300+Sens!G8307</f>
        <v>456.80960281305</v>
      </c>
      <c r="H8308" s="6" t="n">
        <f aca="false">Sens!H8300+Sens!H8307</f>
        <v>516.250129336178</v>
      </c>
      <c r="I8308" s="6" t="n">
        <f aca="false">Sens!I8300+Sens!I8307</f>
        <v>582.019196700336</v>
      </c>
      <c r="J8308" s="6" t="n">
        <f aca="false">Sens!J8300+Sens!J8307</f>
        <v>645.583404411632</v>
      </c>
      <c r="K8308" s="6" t="n">
        <f aca="false">Sens!K8300+Sens!K8307</f>
        <v>706.310716601122</v>
      </c>
    </row>
    <row r="8309" customFormat="false" ht="15" hidden="false" customHeight="false" outlineLevel="0" collapsed="false">
      <c r="A8309" s="22" t="s">
        <v>796</v>
      </c>
      <c r="B8309" s="28" t="s">
        <v>95</v>
      </c>
      <c r="C8309" s="28"/>
      <c r="D8309" s="23" t="n">
        <f aca="false">(Sens!D8288+Sens!D8293+Sens!D8294+Sens!D8296+Sens!D8298-Sens!D8300)+(Sens!D8301+Sens!D8303+Sens!D8305-Sens!D8307)+(Sens!D8300-Q!L5)+(Sens!D8307-Q!L12)+(Sens!D8288-Q!L6)+(Sens!D8293-Q!L7)</f>
        <v>0</v>
      </c>
      <c r="E8309" s="23" t="n">
        <f aca="false">(Sens!E8288+Sens!E8293+Sens!E8294+Sens!E8296+Sens!E8298-Sens!E8300)+(Sens!E8301+Sens!E8303+Sens!E8305-Sens!E8307)+(Sens!E8300-Q!M5)+(Sens!E8307-Q!M12)+(Sens!E8288-Q!M6)+(Sens!E8293-Q!M7)</f>
        <v>0</v>
      </c>
      <c r="F8309" s="23" t="n">
        <f aca="false">(Sens!F8288+Sens!F8293+Sens!F8294+Sens!F8296+Sens!F8298-Sens!F8300)+(Sens!F8301+Sens!F8303+Sens!F8305-Sens!F8307)</f>
        <v>0</v>
      </c>
      <c r="G8309" s="23" t="n">
        <f aca="false">(Sens!G8288+Sens!G8293+Sens!G8294+Sens!G8296+Sens!G8298-Sens!G8300)+(Sens!G8301+Sens!G8303+Sens!G8305-Sens!G8307)</f>
        <v>0</v>
      </c>
      <c r="H8309" s="23" t="n">
        <f aca="false">(Sens!H8288+Sens!H8293+Sens!H8294+Sens!H8296+Sens!H8298-Sens!H8300)+(Sens!H8301+Sens!H8303+Sens!H8305-Sens!H8307)</f>
        <v>0</v>
      </c>
      <c r="I8309" s="23" t="n">
        <f aca="false">(Sens!I8288+Sens!I8293+Sens!I8294+Sens!I8296+Sens!I8298-Sens!I8300)+(Sens!I8301+Sens!I8303+Sens!I8305-Sens!I8307)</f>
        <v>0</v>
      </c>
      <c r="J8309" s="23" t="n">
        <f aca="false">(Sens!J8288+Sens!J8293+Sens!J8294+Sens!J8296+Sens!J8298-Sens!J8300)+(Sens!J8301+Sens!J8303+Sens!J8305-Sens!J8307)</f>
        <v>0</v>
      </c>
      <c r="K8309" s="23" t="n">
        <f aca="false">(Sens!K8288+Sens!K8293+Sens!K8294+Sens!K8296+Sens!K8298-Sens!K8300)+(Sens!K8301+Sens!K8303+Sens!K8305-Sens!K8307)</f>
        <v>0</v>
      </c>
    </row>
    <row r="8310" customFormat="false" ht="17.15" hidden="false" customHeight="false" outlineLevel="0" collapsed="false">
      <c r="A8310" s="3" t="s">
        <v>1351</v>
      </c>
    </row>
    <row r="8311" customFormat="false" ht="15" hidden="false" customHeight="false" outlineLevel="0" collapsed="false">
      <c r="A8311" s="4" t="s">
        <v>43</v>
      </c>
      <c r="B8311" s="4" t="s">
        <v>63</v>
      </c>
      <c r="C8311" s="19" t="s">
        <v>710</v>
      </c>
      <c r="D8311" s="19" t="s">
        <v>711</v>
      </c>
      <c r="E8311" s="19" t="s">
        <v>712</v>
      </c>
      <c r="F8311" s="19" t="s">
        <v>713</v>
      </c>
      <c r="G8311" s="19" t="s">
        <v>714</v>
      </c>
      <c r="H8311" s="19" t="s">
        <v>715</v>
      </c>
      <c r="I8311" s="19" t="s">
        <v>716</v>
      </c>
      <c r="J8311" s="19" t="s">
        <v>717</v>
      </c>
      <c r="K8311" s="19" t="s">
        <v>718</v>
      </c>
      <c r="L8311" s="4" t="s">
        <v>47</v>
      </c>
    </row>
    <row r="8312" customFormat="false" ht="15" hidden="false" customHeight="false" outlineLevel="0" collapsed="false">
      <c r="A8312" s="0" t="s">
        <v>783</v>
      </c>
      <c r="B8312" s="0" t="s">
        <v>95</v>
      </c>
      <c r="D8312" s="6" t="n">
        <f aca="false">Sens!D8288</f>
        <v>72.61</v>
      </c>
      <c r="E8312" s="6" t="n">
        <f aca="false">Sens!E8288</f>
        <v>101.938</v>
      </c>
      <c r="F8312" s="6" t="n">
        <f aca="false">Sens!F8288</f>
        <v>140.741861125673</v>
      </c>
      <c r="G8312" s="6" t="n">
        <f aca="false">Sens!G8288</f>
        <v>182.176709135845</v>
      </c>
      <c r="H8312" s="6" t="n">
        <f aca="false">Sens!H8288</f>
        <v>219.167638189678</v>
      </c>
      <c r="I8312" s="6" t="n">
        <f aca="false">Sens!I8288</f>
        <v>262.852370248498</v>
      </c>
      <c r="J8312" s="6" t="n">
        <f aca="false">Sens!J8288</f>
        <v>305.025635987223</v>
      </c>
      <c r="K8312" s="6" t="n">
        <f aca="false">Sens!K8288</f>
        <v>344.633534638493</v>
      </c>
    </row>
    <row r="8313" customFormat="false" ht="17.15" hidden="false" customHeight="false" outlineLevel="0" collapsed="false">
      <c r="A8313" s="0" t="s">
        <v>780</v>
      </c>
      <c r="B8313" s="0" t="s">
        <v>95</v>
      </c>
      <c r="D8313" s="6" t="n">
        <f aca="false">Sens!D8285</f>
        <v>12.9359794422418</v>
      </c>
      <c r="E8313" s="6" t="n">
        <f aca="false">Sens!E8285</f>
        <v>27.8095064661409</v>
      </c>
      <c r="F8313" s="6" t="n">
        <f aca="false">Sens!F8285</f>
        <v>50.6619113883066</v>
      </c>
      <c r="G8313" s="6" t="n">
        <f aca="false">Sens!G8285</f>
        <v>75.1482839325348</v>
      </c>
      <c r="H8313" s="6" t="n">
        <f aca="false">Sens!H8285</f>
        <v>94.895655604042</v>
      </c>
      <c r="I8313" s="6" t="n">
        <f aca="false">Sens!I8285</f>
        <v>121.918667866643</v>
      </c>
      <c r="J8313" s="6" t="n">
        <f aca="false">Sens!J8285</f>
        <v>149.006768672892</v>
      </c>
      <c r="K8313" s="6" t="n">
        <f aca="false">Sens!K8285</f>
        <v>176.133157939015</v>
      </c>
    </row>
    <row r="8314" customFormat="false" ht="17.15" hidden="false" customHeight="false" outlineLevel="0" collapsed="false">
      <c r="A8314" s="0" t="s">
        <v>807</v>
      </c>
      <c r="B8314" s="0" t="s">
        <v>95</v>
      </c>
      <c r="D8314" s="6" t="n">
        <f aca="false">Sens!D8286</f>
        <v>59.6740205577583</v>
      </c>
      <c r="E8314" s="6" t="n">
        <f aca="false">Sens!E8286</f>
        <v>74.1284935338591</v>
      </c>
      <c r="F8314" s="6" t="n">
        <f aca="false">Sens!F8286</f>
        <v>90.0799497373663</v>
      </c>
      <c r="G8314" s="6" t="n">
        <f aca="false">Sens!G8286</f>
        <v>107.02842520331</v>
      </c>
      <c r="H8314" s="6" t="n">
        <f aca="false">Sens!H8286</f>
        <v>124.271982585636</v>
      </c>
      <c r="I8314" s="6" t="n">
        <f aca="false">Sens!I8286</f>
        <v>140.933702381855</v>
      </c>
      <c r="J8314" s="6" t="n">
        <f aca="false">Sens!J8286</f>
        <v>156.018867314332</v>
      </c>
      <c r="K8314" s="6" t="n">
        <f aca="false">Sens!K8286</f>
        <v>168.500376699478</v>
      </c>
    </row>
    <row r="8315" customFormat="false" ht="15" hidden="false" customHeight="false" outlineLevel="0" collapsed="false">
      <c r="A8315" s="0" t="s">
        <v>788</v>
      </c>
      <c r="B8315" s="0" t="s">
        <v>95</v>
      </c>
      <c r="D8315" s="6" t="n">
        <f aca="false">Sens!D8293</f>
        <v>84.605</v>
      </c>
      <c r="E8315" s="6" t="n">
        <f aca="false">Sens!E8293</f>
        <v>100.299</v>
      </c>
      <c r="F8315" s="6" t="n">
        <f aca="false">Sens!F8293</f>
        <v>117.39238776686</v>
      </c>
      <c r="G8315" s="6" t="n">
        <f aca="false">Sens!G8293</f>
        <v>132.544168448684</v>
      </c>
      <c r="H8315" s="6" t="n">
        <f aca="false">Sens!H8293</f>
        <v>147.777359388781</v>
      </c>
      <c r="I8315" s="6" t="n">
        <f aca="false">Sens!I8293</f>
        <v>162.084028071957</v>
      </c>
      <c r="J8315" s="6" t="n">
        <f aca="false">Sens!J8293</f>
        <v>175.182702785465</v>
      </c>
      <c r="K8315" s="6" t="n">
        <f aca="false">Sens!K8293</f>
        <v>187.527991980448</v>
      </c>
    </row>
    <row r="8316" customFormat="false" ht="17.15" hidden="false" customHeight="false" outlineLevel="0" collapsed="false">
      <c r="A8316" s="0" t="s">
        <v>808</v>
      </c>
      <c r="B8316" s="0" t="s">
        <v>95</v>
      </c>
      <c r="D8316" s="6" t="n">
        <f aca="false">Sens!D8291</f>
        <v>83.705</v>
      </c>
      <c r="E8316" s="6" t="n">
        <f aca="false">Sens!E8291</f>
        <v>95.049</v>
      </c>
      <c r="F8316" s="6" t="n">
        <f aca="false">Sens!F8291</f>
        <v>106.89238776686</v>
      </c>
      <c r="G8316" s="6" t="n">
        <f aca="false">Sens!G8291</f>
        <v>119.044168448684</v>
      </c>
      <c r="H8316" s="6" t="n">
        <f aca="false">Sens!H8291</f>
        <v>131.277359388781</v>
      </c>
      <c r="I8316" s="6" t="n">
        <f aca="false">Sens!I8291</f>
        <v>143.334028071957</v>
      </c>
      <c r="J8316" s="6" t="n">
        <f aca="false">Sens!J8291</f>
        <v>154.932702785465</v>
      </c>
      <c r="K8316" s="6" t="n">
        <f aca="false">Sens!K8291</f>
        <v>165.777991980448</v>
      </c>
    </row>
    <row r="8317" customFormat="false" ht="17.15" hidden="false" customHeight="false" outlineLevel="0" collapsed="false">
      <c r="A8317" s="0" t="s">
        <v>809</v>
      </c>
      <c r="B8317" s="0" t="s">
        <v>95</v>
      </c>
      <c r="D8317" s="6" t="n">
        <f aca="false">Sens!D8290</f>
        <v>0.9</v>
      </c>
      <c r="E8317" s="6" t="n">
        <f aca="false">Sens!E8290</f>
        <v>5.25</v>
      </c>
      <c r="F8317" s="6" t="n">
        <f aca="false">Sens!F8290</f>
        <v>10.5</v>
      </c>
      <c r="G8317" s="6" t="n">
        <f aca="false">Sens!G8290</f>
        <v>13.5</v>
      </c>
      <c r="H8317" s="6" t="n">
        <f aca="false">Sens!H8290</f>
        <v>16.5</v>
      </c>
      <c r="I8317" s="6" t="n">
        <f aca="false">Sens!I8290</f>
        <v>18.75</v>
      </c>
      <c r="J8317" s="6" t="n">
        <f aca="false">Sens!J8290</f>
        <v>20.25</v>
      </c>
      <c r="K8317" s="6" t="n">
        <f aca="false">Sens!K8290</f>
        <v>21.75</v>
      </c>
    </row>
    <row r="8318" customFormat="false" ht="15" hidden="false" customHeight="false" outlineLevel="0" collapsed="false">
      <c r="A8318" s="0" t="s">
        <v>789</v>
      </c>
      <c r="B8318" s="0" t="s">
        <v>95</v>
      </c>
      <c r="D8318" s="6" t="n">
        <f aca="false">Sens!D8294</f>
        <v>35.391</v>
      </c>
      <c r="E8318" s="6" t="n">
        <f aca="false">Sens!E8294</f>
        <v>37.285</v>
      </c>
      <c r="F8318" s="6" t="n">
        <f aca="false">Sens!F8294</f>
        <v>39.0720834331704</v>
      </c>
      <c r="G8318" s="6" t="n">
        <f aca="false">Sens!G8294</f>
        <v>40.726562953769</v>
      </c>
      <c r="H8318" s="6" t="n">
        <f aca="false">Sens!H8294</f>
        <v>42.2235987259198</v>
      </c>
      <c r="I8318" s="6" t="n">
        <f aca="false">Sens!I8294</f>
        <v>43.5397988077414</v>
      </c>
      <c r="J8318" s="6" t="n">
        <f aca="false">Sens!J8294</f>
        <v>44.653811225693</v>
      </c>
      <c r="K8318" s="6" t="n">
        <f aca="false">Sens!K8294</f>
        <v>45.5468874502068</v>
      </c>
    </row>
    <row r="8319" customFormat="false" ht="15" hidden="false" customHeight="false" outlineLevel="0" collapsed="false">
      <c r="A8319" s="0" t="s">
        <v>790</v>
      </c>
      <c r="B8319" s="0" t="s">
        <v>95</v>
      </c>
      <c r="D8319" s="6" t="n">
        <f aca="false">Sens!D8296</f>
        <v>18.417</v>
      </c>
      <c r="E8319" s="6" t="n">
        <f aca="false">Sens!E8296</f>
        <v>20.345</v>
      </c>
      <c r="F8319" s="6" t="n">
        <f aca="false">Sens!F8296</f>
        <v>22.3572203267814</v>
      </c>
      <c r="G8319" s="6" t="n">
        <f aca="false">Sens!G8296</f>
        <v>24.4392124437232</v>
      </c>
      <c r="H8319" s="6" t="n">
        <f aca="false">Sens!H8296</f>
        <v>26.5738052080665</v>
      </c>
      <c r="I8319" s="6" t="n">
        <f aca="false">Sens!I8296</f>
        <v>28.7412169166967</v>
      </c>
      <c r="J8319" s="6" t="n">
        <f aca="false">Sens!J8296</f>
        <v>30.9192545395413</v>
      </c>
      <c r="K8319" s="6" t="n">
        <f aca="false">Sens!K8296</f>
        <v>33.0836023573092</v>
      </c>
    </row>
    <row r="8320" customFormat="false" ht="15" hidden="false" customHeight="false" outlineLevel="0" collapsed="false">
      <c r="A8320" s="0" t="s">
        <v>791</v>
      </c>
      <c r="B8320" s="0" t="s">
        <v>95</v>
      </c>
      <c r="D8320" s="6" t="n">
        <f aca="false">Sens!D8298</f>
        <v>7.76</v>
      </c>
      <c r="E8320" s="6" t="n">
        <f aca="false">Sens!E8298</f>
        <v>8.26</v>
      </c>
      <c r="F8320" s="6" t="n">
        <f aca="false">Sens!F8298</f>
        <v>8.79988041237113</v>
      </c>
      <c r="G8320" s="6" t="n">
        <f aca="false">Sens!G8298</f>
        <v>9.38321269125306</v>
      </c>
      <c r="H8320" s="6" t="n">
        <f aca="false">Sens!H8298</f>
        <v>10.0139193587476</v>
      </c>
      <c r="I8320" s="6" t="n">
        <f aca="false">Sens!I8298</f>
        <v>10.6963111830911</v>
      </c>
      <c r="J8320" s="6" t="n">
        <f aca="false">Sens!J8298</f>
        <v>11.4351285534696</v>
      </c>
      <c r="K8320" s="6" t="n">
        <f aca="false">Sens!K8298</f>
        <v>12.2355875522124</v>
      </c>
    </row>
    <row r="8321" customFormat="false" ht="15" hidden="false" customHeight="false" outlineLevel="0" collapsed="false">
      <c r="A8321" s="0" t="s">
        <v>626</v>
      </c>
      <c r="B8321" s="0" t="s">
        <v>95</v>
      </c>
      <c r="D8321" s="6" t="n">
        <f aca="false">Sens!D8300</f>
        <v>218.783</v>
      </c>
      <c r="E8321" s="6" t="n">
        <f aca="false">Sens!E8300</f>
        <v>268.127</v>
      </c>
      <c r="F8321" s="6" t="n">
        <f aca="false">Sens!F8300</f>
        <v>328.363433064856</v>
      </c>
      <c r="G8321" s="6" t="n">
        <f aca="false">Sens!G8300</f>
        <v>389.269865673274</v>
      </c>
      <c r="H8321" s="6" t="n">
        <f aca="false">Sens!H8300</f>
        <v>445.756320871193</v>
      </c>
      <c r="I8321" s="6" t="n">
        <f aca="false">Sens!I8300</f>
        <v>507.913725227984</v>
      </c>
      <c r="J8321" s="6" t="n">
        <f aca="false">Sens!J8300</f>
        <v>567.216533091392</v>
      </c>
      <c r="K8321" s="6" t="n">
        <f aca="false">Sens!K8300</f>
        <v>623.027603978669</v>
      </c>
    </row>
    <row r="8322" customFormat="false" ht="15" hidden="false" customHeight="false" outlineLevel="0" collapsed="false">
      <c r="A8322" s="0" t="s">
        <v>792</v>
      </c>
      <c r="B8322" s="0" t="s">
        <v>95</v>
      </c>
      <c r="D8322" s="6" t="n">
        <f aca="false">Sens!D8301</f>
        <v>22.171</v>
      </c>
      <c r="E8322" s="6" t="n">
        <f aca="false">Sens!E8301</f>
        <v>24.835</v>
      </c>
      <c r="F8322" s="6" t="n">
        <f aca="false">Sens!F8301</f>
        <v>27.7356651218559</v>
      </c>
      <c r="G8322" s="6" t="n">
        <f aca="false">Sens!G8301</f>
        <v>30.8819427955575</v>
      </c>
      <c r="H8322" s="6" t="n">
        <f aca="false">Sens!H8301</f>
        <v>34.2813801456859</v>
      </c>
      <c r="I8322" s="6" t="n">
        <f aca="false">Sens!I8301</f>
        <v>37.9398543169022</v>
      </c>
      <c r="J8322" s="6" t="n">
        <f aca="false">Sens!J8301</f>
        <v>41.8612984476003</v>
      </c>
      <c r="K8322" s="6" t="n">
        <f aca="false">Sens!K8301</f>
        <v>46.0474282923604</v>
      </c>
    </row>
    <row r="8323" customFormat="false" ht="15" hidden="false" customHeight="false" outlineLevel="0" collapsed="false">
      <c r="A8323" s="0" t="s">
        <v>793</v>
      </c>
      <c r="B8323" s="0" t="s">
        <v>95</v>
      </c>
      <c r="D8323" s="6" t="n">
        <f aca="false">Sens!D8303</f>
        <v>23.455</v>
      </c>
      <c r="E8323" s="6" t="n">
        <f aca="false">Sens!E8303</f>
        <v>21.79</v>
      </c>
      <c r="F8323" s="6" t="n">
        <f aca="false">Sens!F8303</f>
        <v>20.5736277908051</v>
      </c>
      <c r="G8323" s="6" t="n">
        <f aca="false">Sens!G8303</f>
        <v>19.7371452817919</v>
      </c>
      <c r="H8323" s="6" t="n">
        <f aca="false">Sens!H8303</f>
        <v>19.2339764043138</v>
      </c>
      <c r="I8323" s="6" t="n">
        <f aca="false">Sens!I8303</f>
        <v>19.0353086852681</v>
      </c>
      <c r="J8323" s="6" t="n">
        <f aca="false">Sens!J8303</f>
        <v>19.1273539319129</v>
      </c>
      <c r="K8323" s="6" t="n">
        <f aca="false">Sens!K8303</f>
        <v>19.5099010105511</v>
      </c>
    </row>
    <row r="8324" customFormat="false" ht="15" hidden="false" customHeight="false" outlineLevel="0" collapsed="false">
      <c r="A8324" s="0" t="s">
        <v>794</v>
      </c>
      <c r="B8324" s="0" t="s">
        <v>95</v>
      </c>
      <c r="D8324" s="6" t="n">
        <f aca="false">Sens!D8305</f>
        <v>17.315</v>
      </c>
      <c r="E8324" s="6" t="n">
        <f aca="false">Sens!E8305</f>
        <v>17.087</v>
      </c>
      <c r="F8324" s="6" t="n">
        <f aca="false">Sens!F8305</f>
        <v>16.9564585436519</v>
      </c>
      <c r="G8324" s="6" t="n">
        <f aca="false">Sens!G8305</f>
        <v>16.9206490624268</v>
      </c>
      <c r="H8324" s="6" t="n">
        <f aca="false">Sens!H8305</f>
        <v>16.9784519149849</v>
      </c>
      <c r="I8324" s="6" t="n">
        <f aca="false">Sens!I8305</f>
        <v>17.1303084701817</v>
      </c>
      <c r="J8324" s="6" t="n">
        <f aca="false">Sens!J8305</f>
        <v>17.3782189407267</v>
      </c>
      <c r="K8324" s="6" t="n">
        <f aca="false">Sens!K8305</f>
        <v>17.7257833195413</v>
      </c>
    </row>
    <row r="8325" customFormat="false" ht="15" hidden="false" customHeight="false" outlineLevel="0" collapsed="false">
      <c r="A8325" s="0" t="s">
        <v>640</v>
      </c>
      <c r="B8325" s="0" t="s">
        <v>95</v>
      </c>
      <c r="D8325" s="6" t="n">
        <f aca="false">Sens!D8307</f>
        <v>62.941</v>
      </c>
      <c r="E8325" s="6" t="n">
        <f aca="false">Sens!E8307</f>
        <v>63.712</v>
      </c>
      <c r="F8325" s="6" t="n">
        <f aca="false">Sens!F8307</f>
        <v>65.2657514563129</v>
      </c>
      <c r="G8325" s="6" t="n">
        <f aca="false">Sens!G8307</f>
        <v>67.5397371397762</v>
      </c>
      <c r="H8325" s="6" t="n">
        <f aca="false">Sens!H8307</f>
        <v>70.4938084649846</v>
      </c>
      <c r="I8325" s="6" t="n">
        <f aca="false">Sens!I8307</f>
        <v>74.105471472352</v>
      </c>
      <c r="J8325" s="6" t="n">
        <f aca="false">Sens!J8307</f>
        <v>78.3668713202399</v>
      </c>
      <c r="K8325" s="6" t="n">
        <f aca="false">Sens!K8307</f>
        <v>83.2831126224528</v>
      </c>
    </row>
    <row r="8326" customFormat="false" ht="15" hidden="false" customHeight="false" outlineLevel="0" collapsed="false">
      <c r="A8326" s="1" t="s">
        <v>810</v>
      </c>
      <c r="B8326" s="0" t="s">
        <v>95</v>
      </c>
      <c r="D8326" s="6" t="n">
        <f aca="false">Sens!D8308</f>
        <v>281.724</v>
      </c>
      <c r="E8326" s="6" t="n">
        <f aca="false">Sens!E8308</f>
        <v>331.839</v>
      </c>
      <c r="F8326" s="6" t="n">
        <f aca="false">Sens!F8308</f>
        <v>393.629184521169</v>
      </c>
      <c r="G8326" s="6" t="n">
        <f aca="false">Sens!G8308</f>
        <v>456.80960281305</v>
      </c>
      <c r="H8326" s="6" t="n">
        <f aca="false">Sens!H8308</f>
        <v>516.250129336178</v>
      </c>
      <c r="I8326" s="6" t="n">
        <f aca="false">Sens!I8308</f>
        <v>582.019196700336</v>
      </c>
      <c r="J8326" s="6" t="n">
        <f aca="false">Sens!J8308</f>
        <v>645.583404411632</v>
      </c>
      <c r="K8326" s="6" t="n">
        <f aca="false">Sens!K8308</f>
        <v>706.310716601122</v>
      </c>
    </row>
    <row r="8327" customFormat="false" ht="15" hidden="false" customHeight="false" outlineLevel="0" collapsed="false">
      <c r="A8327" s="1" t="s">
        <v>811</v>
      </c>
      <c r="B8327" s="0" t="s">
        <v>126</v>
      </c>
      <c r="E8327" s="7" t="n">
        <f aca="false">Sens!E8326/Sens!D8326-1</f>
        <v>0.177886867998467</v>
      </c>
      <c r="F8327" s="7" t="n">
        <f aca="false">Sens!F8326/Sens!E8326-1</f>
        <v>0.186205311977099</v>
      </c>
      <c r="G8327" s="7" t="n">
        <f aca="false">Sens!G8326/Sens!F8326-1</f>
        <v>0.160507454163333</v>
      </c>
      <c r="H8327" s="7" t="n">
        <f aca="false">Sens!H8326/Sens!G8326-1</f>
        <v>0.130121009184331</v>
      </c>
      <c r="I8327" s="7" t="n">
        <f aca="false">Sens!I8326/Sens!H8326-1</f>
        <v>0.127397677263012</v>
      </c>
      <c r="J8327" s="7" t="n">
        <f aca="false">Sens!J8326/Sens!I8326-1</f>
        <v>0.109213249445487</v>
      </c>
      <c r="K8327" s="7" t="n">
        <f aca="false">Sens!K8326/Sens!J8326-1</f>
        <v>0.0940657888268288</v>
      </c>
    </row>
    <row r="8328" customFormat="false" ht="17.15" hidden="false" customHeight="false" outlineLevel="0" collapsed="false">
      <c r="A8328" s="22" t="s">
        <v>812</v>
      </c>
      <c r="B8328" s="28" t="s">
        <v>95</v>
      </c>
      <c r="C8328" s="28"/>
      <c r="D8328" s="23" t="n">
        <f aca="false">(Sens!D8321+Sens!D8325-Sens!D8326)+(Sens!D8313+Sens!D8314-Sens!D8312)+(Sens!D8316+Sens!D8317-Sens!D8315)+(Sens!D8326-Q!L18)</f>
        <v>0</v>
      </c>
      <c r="E8328" s="23" t="n">
        <f aca="false">(Sens!E8321+Sens!E8325-Sens!E8326)+(Sens!E8313+Sens!E8314-Sens!E8312)+(Sens!E8316+Sens!E8317-Sens!E8315)+(Sens!E8326-Q!M18)</f>
        <v>0</v>
      </c>
      <c r="F8328" s="23" t="n">
        <f aca="false">(Sens!F8321+Sens!F8325-Sens!F8326)+(Sens!F8313+Sens!F8314-Sens!F8312)+(Sens!F8316+Sens!F8317-Sens!F8315)</f>
        <v>0</v>
      </c>
      <c r="G8328" s="23" t="n">
        <f aca="false">(Sens!G8321+Sens!G8325-Sens!G8326)+(Sens!G8313+Sens!G8314-Sens!G8312)+(Sens!G8316+Sens!G8317-Sens!G8315)</f>
        <v>0</v>
      </c>
      <c r="H8328" s="23" t="n">
        <f aca="false">(Sens!H8321+Sens!H8325-Sens!H8326)+(Sens!H8313+Sens!H8314-Sens!H8312)+(Sens!H8316+Sens!H8317-Sens!H8315)</f>
        <v>0</v>
      </c>
      <c r="I8328" s="23" t="n">
        <f aca="false">(Sens!I8321+Sens!I8325-Sens!I8326)+(Sens!I8313+Sens!I8314-Sens!I8312)+(Sens!I8316+Sens!I8317-Sens!I8315)</f>
        <v>0</v>
      </c>
      <c r="J8328" s="23" t="n">
        <f aca="false">(Sens!J8321+Sens!J8325-Sens!J8326)+(Sens!J8313+Sens!J8314-Sens!J8312)+(Sens!J8316+Sens!J8317-Sens!J8315)</f>
        <v>0</v>
      </c>
      <c r="K8328" s="23" t="n">
        <f aca="false">(Sens!K8321+Sens!K8325-Sens!K8326)+(Sens!K8313+Sens!K8314-Sens!K8312)+(Sens!K8316+Sens!K8317-Sens!K8315)</f>
        <v>0</v>
      </c>
    </row>
    <row r="8329" customFormat="false" ht="17.15" hidden="false" customHeight="false" outlineLevel="0" collapsed="false">
      <c r="A8329" s="0" t="s">
        <v>813</v>
      </c>
      <c r="B8329" s="0" t="s">
        <v>126</v>
      </c>
      <c r="E8329" s="7" t="n">
        <f aca="false">(Q!M21+Sens!E8266+Sens!E8267+Sens!E8268+Sens!E8281-Sens!E8264)/(Q!M5-Sens!E8264)</f>
        <v>0.570957350878296</v>
      </c>
      <c r="F8329" s="7" t="n">
        <f aca="false">Sens!$E$8329+dm_seg</f>
        <v>0.570957350878296</v>
      </c>
      <c r="G8329" s="7" t="n">
        <f aca="false">Sens!$E$8329+dm_seg</f>
        <v>0.570957350878296</v>
      </c>
      <c r="H8329" s="7" t="n">
        <f aca="false">Sens!$E$8329+dm_seg</f>
        <v>0.570957350878296</v>
      </c>
      <c r="I8329" s="7" t="n">
        <f aca="false">Sens!$E$8329+dm_seg</f>
        <v>0.570957350878296</v>
      </c>
      <c r="J8329" s="7" t="n">
        <f aca="false">Sens!$E$8329+dm_seg</f>
        <v>0.570957350878296</v>
      </c>
      <c r="K8329" s="7" t="n">
        <f aca="false">Sens!$E$8329+dm_seg</f>
        <v>0.570957350878296</v>
      </c>
      <c r="L8329" s="11" t="s">
        <v>814</v>
      </c>
    </row>
    <row r="8330" customFormat="false" ht="17.15" hidden="false" customHeight="false" outlineLevel="0" collapsed="false">
      <c r="A8330" s="0" t="s">
        <v>654</v>
      </c>
      <c r="B8330" s="0" t="s">
        <v>95</v>
      </c>
      <c r="D8330" s="6" t="n">
        <f aca="false">Q!L21</f>
        <v>110.814</v>
      </c>
      <c r="E8330" s="6" t="n">
        <f aca="false">Q!M21</f>
        <v>136.365</v>
      </c>
      <c r="F8330" s="6" t="n">
        <f aca="false">Sens!F8329*(Sens!F8300-Sens!F8264)+Sens!F8264-(Sens!F8266+Sens!F8267+Sens!F8268)-Sens!F8281</f>
        <v>152.32793254081</v>
      </c>
      <c r="G8330" s="6" t="n">
        <f aca="false">Sens!G8329*(Sens!G8300-Sens!G8264)+Sens!G8264-(Sens!G8266+Sens!G8267+Sens!G8268)-Sens!G8281</f>
        <v>160.285814567842</v>
      </c>
      <c r="H8330" s="6" t="n">
        <f aca="false">Sens!H8329*(Sens!H8300-Sens!H8264)+Sens!H8264-(Sens!H8266+Sens!H8267+Sens!H8268)-Sens!H8281</f>
        <v>162.577054990873</v>
      </c>
      <c r="I8330" s="6" t="n">
        <f aca="false">Sens!I8329*(Sens!I8300-Sens!I8264)+Sens!I8264-(Sens!I8266+Sens!I8267+Sens!I8268)-Sens!I8281</f>
        <v>170.177624506808</v>
      </c>
      <c r="J8330" s="6" t="n">
        <f aca="false">Sens!J8329*(Sens!J8300-Sens!J8264)+Sens!J8264-(Sens!J8266+Sens!J8267+Sens!J8268)-Sens!J8281</f>
        <v>175.187926306656</v>
      </c>
      <c r="K8330" s="6" t="n">
        <f aca="false">Sens!K8329*(Sens!K8300-Sens!K8264)+Sens!K8264-(Sens!K8266+Sens!K8267+Sens!K8268)-Sens!K8281</f>
        <v>176.92399730551</v>
      </c>
      <c r="L8330" s="1" t="s">
        <v>815</v>
      </c>
    </row>
    <row r="8331" customFormat="false" ht="17.15" hidden="false" customHeight="false" outlineLevel="0" collapsed="false">
      <c r="A8331" s="0" t="s">
        <v>816</v>
      </c>
      <c r="B8331" s="0" t="s">
        <v>126</v>
      </c>
      <c r="E8331" s="7" t="n">
        <f aca="false">Q!M22/Q!M12</f>
        <v>0.296207935710698</v>
      </c>
      <c r="F8331" s="7" t="n">
        <f aca="false">Sens!$E$8331+dm_seg</f>
        <v>0.296207935710698</v>
      </c>
      <c r="G8331" s="7" t="n">
        <f aca="false">Sens!$E$8331+dm_seg</f>
        <v>0.296207935710698</v>
      </c>
      <c r="H8331" s="7" t="n">
        <f aca="false">Sens!$E$8331+dm_seg</f>
        <v>0.296207935710698</v>
      </c>
      <c r="I8331" s="7" t="n">
        <f aca="false">Sens!$E$8331+dm_seg</f>
        <v>0.296207935710698</v>
      </c>
      <c r="J8331" s="7" t="n">
        <f aca="false">Sens!$E$8331+dm_seg</f>
        <v>0.296207935710698</v>
      </c>
      <c r="K8331" s="7" t="n">
        <f aca="false">Sens!$E$8331+dm_seg</f>
        <v>0.296207935710698</v>
      </c>
      <c r="L8331" s="11" t="s">
        <v>817</v>
      </c>
    </row>
    <row r="8332" customFormat="false" ht="17.15" hidden="false" customHeight="false" outlineLevel="0" collapsed="false">
      <c r="A8332" s="0" t="s">
        <v>656</v>
      </c>
      <c r="B8332" s="0" t="s">
        <v>95</v>
      </c>
      <c r="D8332" s="6" t="n">
        <f aca="false">Q!L22</f>
        <v>17.714</v>
      </c>
      <c r="E8332" s="6" t="n">
        <f aca="false">Q!M22</f>
        <v>18.872</v>
      </c>
      <c r="F8332" s="6" t="n">
        <f aca="false">Sens!F8307*Sens!F8331</f>
        <v>19.3322335114819</v>
      </c>
      <c r="G8332" s="6" t="n">
        <f aca="false">Sens!G8307*Sens!G8331</f>
        <v>20.0058061166163</v>
      </c>
      <c r="H8332" s="6" t="n">
        <f aca="false">Sens!H8307*Sens!H8331</f>
        <v>20.8808254857984</v>
      </c>
      <c r="I8332" s="6" t="n">
        <f aca="false">Sens!I8307*Sens!I8331</f>
        <v>21.9506287296934</v>
      </c>
      <c r="J8332" s="6" t="n">
        <f aca="false">Sens!J8307*Sens!J8331</f>
        <v>23.2128891818742</v>
      </c>
      <c r="K8332" s="6" t="n">
        <f aca="false">Sens!K8307*Sens!K8331</f>
        <v>24.6691188694583</v>
      </c>
    </row>
    <row r="8333" customFormat="false" ht="15" hidden="false" customHeight="false" outlineLevel="0" collapsed="false">
      <c r="A8333" s="1" t="s">
        <v>818</v>
      </c>
      <c r="B8333" s="0" t="s">
        <v>95</v>
      </c>
      <c r="D8333" s="6" t="n">
        <f aca="false">Sens!D8330+Sens!D8332</f>
        <v>128.528</v>
      </c>
      <c r="E8333" s="6" t="n">
        <f aca="false">Sens!E8330+Sens!E8332</f>
        <v>155.237</v>
      </c>
      <c r="F8333" s="6" t="n">
        <f aca="false">Sens!F8330+Sens!F8332</f>
        <v>171.660166052292</v>
      </c>
      <c r="G8333" s="6" t="n">
        <f aca="false">Sens!G8330+Sens!G8332</f>
        <v>180.291620684458</v>
      </c>
      <c r="H8333" s="6" t="n">
        <f aca="false">Sens!H8330+Sens!H8332</f>
        <v>183.457880476672</v>
      </c>
      <c r="I8333" s="6" t="n">
        <f aca="false">Sens!I8330+Sens!I8332</f>
        <v>192.128253236502</v>
      </c>
      <c r="J8333" s="6" t="n">
        <f aca="false">Sens!J8330+Sens!J8332</f>
        <v>198.40081548853</v>
      </c>
      <c r="K8333" s="6" t="n">
        <f aca="false">Sens!K8330+Sens!K8332</f>
        <v>201.593116174968</v>
      </c>
    </row>
    <row r="8334" customFormat="false" ht="15" hidden="false" customHeight="false" outlineLevel="0" collapsed="false">
      <c r="A8334" s="22" t="s">
        <v>819</v>
      </c>
      <c r="B8334" s="28" t="s">
        <v>95</v>
      </c>
      <c r="C8334" s="28"/>
      <c r="D8334" s="23" t="n">
        <f aca="false">Sens!D8333-Q!L23</f>
        <v>0</v>
      </c>
      <c r="E8334" s="23" t="n">
        <f aca="false">Sens!E8333-Q!M23</f>
        <v>0</v>
      </c>
      <c r="F8334" s="28"/>
      <c r="G8334" s="28"/>
      <c r="H8334" s="28"/>
      <c r="I8334" s="28"/>
      <c r="J8334" s="28"/>
      <c r="K8334" s="28"/>
    </row>
    <row r="8335" customFormat="false" ht="15" hidden="false" customHeight="false" outlineLevel="0" collapsed="false">
      <c r="A8335" s="1" t="s">
        <v>820</v>
      </c>
      <c r="B8335" s="0" t="s">
        <v>126</v>
      </c>
      <c r="D8335" s="7" t="n">
        <f aca="false">Sens!D8333/Sens!D8326</f>
        <v>0.456219562408598</v>
      </c>
      <c r="E8335" s="7" t="n">
        <f aca="false">Sens!E8333/Sens!E8326</f>
        <v>0.467808184089272</v>
      </c>
      <c r="F8335" s="7" t="n">
        <f aca="false">Sens!F8333/Sens!F8326</f>
        <v>0.436096135150925</v>
      </c>
      <c r="G8335" s="7" t="n">
        <f aca="false">Sens!G8333/Sens!G8326</f>
        <v>0.394675636357501</v>
      </c>
      <c r="H8335" s="7" t="n">
        <f aca="false">Sens!H8333/Sens!H8326</f>
        <v>0.355366265404276</v>
      </c>
      <c r="I8335" s="7" t="n">
        <f aca="false">Sens!I8333/Sens!I8326</f>
        <v>0.330106385366225</v>
      </c>
      <c r="J8335" s="7" t="n">
        <f aca="false">Sens!J8333/Sens!J8326</f>
        <v>0.307320191524049</v>
      </c>
      <c r="K8335" s="7" t="n">
        <f aca="false">Sens!K8333/Sens!K8326</f>
        <v>0.285417043004906</v>
      </c>
    </row>
    <row r="8336" customFormat="false" ht="17.15" hidden="false" customHeight="false" outlineLevel="0" collapsed="false">
      <c r="A8336" s="1" t="s">
        <v>821</v>
      </c>
      <c r="B8336" s="0" t="s">
        <v>95</v>
      </c>
      <c r="E8336" s="6" t="n">
        <f aca="false">Sens!E8281</f>
        <v>16.3054059770833</v>
      </c>
      <c r="F8336" s="6" t="n">
        <f aca="false">Sens!F8281</f>
        <v>34.7522076225365</v>
      </c>
      <c r="G8336" s="6" t="n">
        <f aca="false">Sens!G8281</f>
        <v>60.5300775936729</v>
      </c>
      <c r="H8336" s="6" t="n">
        <f aca="false">Sens!H8281</f>
        <v>87.7656603264729</v>
      </c>
      <c r="I8336" s="6" t="n">
        <f aca="false">Sens!I8281</f>
        <v>116.020526074456</v>
      </c>
      <c r="J8336" s="6" t="n">
        <f aca="false">Sens!J8281</f>
        <v>145.247622291606</v>
      </c>
      <c r="K8336" s="6" t="n">
        <f aca="false">Sens!K8281</f>
        <v>175.762266967923</v>
      </c>
    </row>
    <row r="8337" customFormat="false" ht="17.15" hidden="false" customHeight="false" outlineLevel="0" collapsed="false">
      <c r="A8337" s="1" t="s">
        <v>822</v>
      </c>
      <c r="B8337" s="0" t="s">
        <v>95</v>
      </c>
      <c r="E8337" s="6" t="n">
        <f aca="false">Sens!E8357</f>
        <v>22.2285940229167</v>
      </c>
      <c r="F8337" s="6" t="n">
        <f aca="false">Sens!F8357</f>
        <v>23.5496627435812</v>
      </c>
      <c r="G8337" s="6" t="n">
        <f aca="false">Sens!G8357</f>
        <v>25.2683008347557</v>
      </c>
      <c r="H8337" s="6" t="n">
        <f aca="false">Sens!H8357</f>
        <v>27.35495814329</v>
      </c>
      <c r="I8337" s="6" t="n">
        <f aca="false">Sens!I8357</f>
        <v>29.7552595814336</v>
      </c>
      <c r="J8337" s="6" t="n">
        <f aca="false">Sens!J8357</f>
        <v>32.3974246415467</v>
      </c>
      <c r="K8337" s="6" t="n">
        <f aca="false">Sens!K8357</f>
        <v>35.2007458349633</v>
      </c>
    </row>
    <row r="8338" customFormat="false" ht="17.15" hidden="false" customHeight="false" outlineLevel="0" collapsed="false">
      <c r="A8338" s="1" t="s">
        <v>823</v>
      </c>
      <c r="B8338" s="0" t="s">
        <v>95</v>
      </c>
      <c r="D8338" s="6" t="n">
        <f aca="false">Q!L27</f>
        <v>-4.901</v>
      </c>
      <c r="E8338" s="6" t="n">
        <f aca="false">Q!M27</f>
        <v>10.697</v>
      </c>
      <c r="F8338" s="6" t="n">
        <f aca="false">oie_f</f>
        <v>-0.4</v>
      </c>
      <c r="G8338" s="6" t="n">
        <f aca="false">oie_f</f>
        <v>-0.4</v>
      </c>
      <c r="H8338" s="6" t="n">
        <f aca="false">oie_f</f>
        <v>-0.4</v>
      </c>
      <c r="I8338" s="6" t="n">
        <f aca="false">oie_f</f>
        <v>-0.4</v>
      </c>
      <c r="J8338" s="6" t="n">
        <f aca="false">oie_f</f>
        <v>-0.4</v>
      </c>
      <c r="K8338" s="6" t="n">
        <f aca="false">oie_f</f>
        <v>-0.4</v>
      </c>
      <c r="L8338" s="11" t="s">
        <v>824</v>
      </c>
    </row>
    <row r="8339" customFormat="false" ht="15" hidden="false" customHeight="false" outlineLevel="0" collapsed="false">
      <c r="A8339" s="1" t="s">
        <v>666</v>
      </c>
      <c r="B8339" s="0" t="s">
        <v>95</v>
      </c>
      <c r="D8339" s="6" t="n">
        <f aca="false">Sens!D8333+Sens!D8338</f>
        <v>123.627</v>
      </c>
      <c r="E8339" s="6" t="n">
        <f aca="false">Sens!E8333+Sens!E8338</f>
        <v>165.934</v>
      </c>
      <c r="F8339" s="6" t="n">
        <f aca="false">Sens!F8333+Sens!F8338</f>
        <v>171.260166052292</v>
      </c>
      <c r="G8339" s="6" t="n">
        <f aca="false">Sens!G8333+Sens!G8338</f>
        <v>179.891620684458</v>
      </c>
      <c r="H8339" s="6" t="n">
        <f aca="false">Sens!H8333+Sens!H8338</f>
        <v>183.057880476672</v>
      </c>
      <c r="I8339" s="6" t="n">
        <f aca="false">Sens!I8333+Sens!I8338</f>
        <v>191.728253236502</v>
      </c>
      <c r="J8339" s="6" t="n">
        <f aca="false">Sens!J8333+Sens!J8338</f>
        <v>198.00081548853</v>
      </c>
      <c r="K8339" s="6" t="n">
        <f aca="false">Sens!K8333+Sens!K8338</f>
        <v>201.193116174968</v>
      </c>
    </row>
    <row r="8340" customFormat="false" ht="15" hidden="false" customHeight="false" outlineLevel="0" collapsed="false">
      <c r="A8340" s="1" t="s">
        <v>668</v>
      </c>
      <c r="B8340" s="0" t="s">
        <v>95</v>
      </c>
      <c r="D8340" s="6" t="n">
        <f aca="false">Q!L29</f>
        <v>21.795</v>
      </c>
      <c r="E8340" s="6" t="n">
        <f aca="false">Q!M29</f>
        <v>32.185</v>
      </c>
      <c r="F8340" s="6" t="n">
        <f aca="false">Sens!F8339*tax_f</f>
        <v>34.2520332104584</v>
      </c>
      <c r="G8340" s="6" t="n">
        <f aca="false">Sens!G8339*tax_f</f>
        <v>35.9783241368916</v>
      </c>
      <c r="H8340" s="6" t="n">
        <f aca="false">Sens!H8339*tax_f</f>
        <v>36.6115760953344</v>
      </c>
      <c r="I8340" s="6" t="n">
        <f aca="false">Sens!I8339*tax_f</f>
        <v>38.3456506473003</v>
      </c>
      <c r="J8340" s="6" t="n">
        <f aca="false">Sens!J8339*tax_f</f>
        <v>39.6001630977061</v>
      </c>
      <c r="K8340" s="6" t="n">
        <f aca="false">Sens!K8339*tax_f</f>
        <v>40.2386232349937</v>
      </c>
    </row>
    <row r="8341" customFormat="false" ht="15" hidden="false" customHeight="false" outlineLevel="0" collapsed="false">
      <c r="A8341" s="1" t="s">
        <v>825</v>
      </c>
      <c r="B8341" s="0" t="s">
        <v>95</v>
      </c>
      <c r="D8341" s="6" t="n">
        <f aca="false">Sens!D8339-Sens!D8340</f>
        <v>101.832</v>
      </c>
      <c r="E8341" s="6" t="n">
        <f aca="false">Sens!E8339-Sens!E8340</f>
        <v>133.749</v>
      </c>
      <c r="F8341" s="6" t="n">
        <f aca="false">Sens!F8339-Sens!F8340</f>
        <v>137.008132841833</v>
      </c>
      <c r="G8341" s="6" t="n">
        <f aca="false">Sens!G8339-Sens!G8340</f>
        <v>143.913296547566</v>
      </c>
      <c r="H8341" s="6" t="n">
        <f aca="false">Sens!H8339-Sens!H8340</f>
        <v>146.446304381337</v>
      </c>
      <c r="I8341" s="6" t="n">
        <f aca="false">Sens!I8339-Sens!I8340</f>
        <v>153.382602589201</v>
      </c>
      <c r="J8341" s="6" t="n">
        <f aca="false">Sens!J8339-Sens!J8340</f>
        <v>158.400652390824</v>
      </c>
      <c r="K8341" s="6" t="n">
        <f aca="false">Sens!K8339-Sens!K8340</f>
        <v>160.954492939975</v>
      </c>
    </row>
    <row r="8342" customFormat="false" ht="17.15" hidden="false" customHeight="false" outlineLevel="0" collapsed="false">
      <c r="A8342" s="1" t="s">
        <v>826</v>
      </c>
      <c r="B8342" s="1" t="s">
        <v>79</v>
      </c>
      <c r="D8342" s="18" t="n">
        <f aca="false">Q!L31</f>
        <v>7.465</v>
      </c>
      <c r="E8342" s="18" t="n">
        <f aca="false">Q!M31</f>
        <v>7.453</v>
      </c>
      <c r="F8342" s="18" t="n">
        <f aca="false">Sens!F8379</f>
        <v>7.4735</v>
      </c>
      <c r="G8342" s="18" t="n">
        <f aca="false">Sens!G8379</f>
        <v>7.5185</v>
      </c>
      <c r="H8342" s="18" t="n">
        <f aca="false">Sens!H8379</f>
        <v>7.55820659628605</v>
      </c>
      <c r="I8342" s="18" t="n">
        <f aca="false">Sens!I8379</f>
        <v>7.59041790482229</v>
      </c>
      <c r="J8342" s="18" t="n">
        <f aca="false">Sens!J8379</f>
        <v>7.61313488203301</v>
      </c>
      <c r="K8342" s="18" t="n">
        <f aca="false">Sens!K8379</f>
        <v>7.6341224033702</v>
      </c>
    </row>
    <row r="8343" customFormat="false" ht="17.15" hidden="false" customHeight="false" outlineLevel="0" collapsed="false">
      <c r="A8343" s="0" t="s">
        <v>827</v>
      </c>
      <c r="B8343" s="0" t="s">
        <v>73</v>
      </c>
      <c r="D8343" s="8" t="n">
        <f aca="false">Sens!D8341/Sens!D8342</f>
        <v>13.641259209645</v>
      </c>
      <c r="E8343" s="8" t="n">
        <f aca="false">Sens!E8341/Sens!E8342</f>
        <v>17.9456594659869</v>
      </c>
      <c r="F8343" s="8" t="n">
        <f aca="false">Sens!F8341/Sens!F8342</f>
        <v>18.3325259706742</v>
      </c>
      <c r="G8343" s="8" t="n">
        <f aca="false">Sens!G8341/Sens!G8342</f>
        <v>19.1412245191948</v>
      </c>
      <c r="H8343" s="8" t="n">
        <f aca="false">Sens!H8341/Sens!H8342</f>
        <v>19.375800663255</v>
      </c>
      <c r="I8343" s="8" t="n">
        <f aca="false">Sens!I8341/Sens!I8342</f>
        <v>20.2073989222326</v>
      </c>
      <c r="J8343" s="8" t="n">
        <f aca="false">Sens!J8341/Sens!J8342</f>
        <v>20.8062322348511</v>
      </c>
      <c r="K8343" s="8" t="n">
        <f aca="false">Sens!K8341/Sens!K8342</f>
        <v>21.0835619912145</v>
      </c>
      <c r="L8343" s="1" t="s">
        <v>828</v>
      </c>
    </row>
    <row r="8344" customFormat="false" ht="17.15" hidden="false" customHeight="false" outlineLevel="0" collapsed="false">
      <c r="A8344" s="0" t="s">
        <v>829</v>
      </c>
      <c r="B8344" s="0" t="s">
        <v>126</v>
      </c>
      <c r="E8344" s="7" t="n">
        <f aca="false">Sens!E8343/Sens!D8343-1</f>
        <v>0.315542736208578</v>
      </c>
      <c r="F8344" s="7" t="n">
        <f aca="false">Sens!F8343/Sens!E8343-1</f>
        <v>0.0215576644269084</v>
      </c>
      <c r="G8344" s="7" t="n">
        <f aca="false">Sens!G8343/Sens!F8343-1</f>
        <v>0.044112772555964</v>
      </c>
      <c r="H8344" s="7" t="n">
        <f aca="false">Sens!H8343/Sens!G8343-1</f>
        <v>0.0122550228604721</v>
      </c>
      <c r="I8344" s="7" t="n">
        <f aca="false">Sens!I8343/Sens!H8343-1</f>
        <v>0.042919426837144</v>
      </c>
      <c r="J8344" s="7" t="n">
        <f aca="false">Sens!J8343/Sens!I8343-1</f>
        <v>0.0296343589258079</v>
      </c>
      <c r="K8344" s="7" t="n">
        <f aca="false">Sens!K8343/Sens!J8343-1</f>
        <v>0.0133291675894518</v>
      </c>
    </row>
    <row r="8345" customFormat="false" ht="17.15" hidden="false" customHeight="false" outlineLevel="0" collapsed="false">
      <c r="A8345" s="0" t="s">
        <v>763</v>
      </c>
      <c r="B8345" s="0" t="s">
        <v>95</v>
      </c>
      <c r="E8345" s="6" t="n">
        <f aca="false">Sens!E8290</f>
        <v>5.25</v>
      </c>
      <c r="F8345" s="6" t="n">
        <f aca="false">Sens!F8290</f>
        <v>10.5</v>
      </c>
      <c r="G8345" s="6" t="n">
        <f aca="false">Sens!G8290</f>
        <v>13.5</v>
      </c>
      <c r="H8345" s="6" t="n">
        <f aca="false">Sens!H8290</f>
        <v>16.5</v>
      </c>
      <c r="I8345" s="6" t="n">
        <f aca="false">Sens!I8290</f>
        <v>18.75</v>
      </c>
      <c r="J8345" s="6" t="n">
        <f aca="false">Sens!J8290</f>
        <v>20.25</v>
      </c>
      <c r="K8345" s="6" t="n">
        <f aca="false">Sens!K8290</f>
        <v>21.75</v>
      </c>
    </row>
    <row r="8346" customFormat="false" ht="17.15" hidden="false" customHeight="false" outlineLevel="0" collapsed="false">
      <c r="A8346" s="0" t="s">
        <v>764</v>
      </c>
      <c r="B8346" s="0" t="s">
        <v>95</v>
      </c>
      <c r="E8346" s="6" t="n">
        <f aca="false">Sens!E8270+Sens!E8345*Sens!E8329-Sens!E8271-Sens!E8281</f>
        <v>2.1514866143068</v>
      </c>
      <c r="F8346" s="6" t="n">
        <f aca="false">Sens!F8270+Sens!F8345*Sens!F8329-Sens!F8271-Sens!F8281</f>
        <v>-0.232740426282192</v>
      </c>
      <c r="G8346" s="6" t="n">
        <f aca="false">Sens!G8270+Sens!G8345*Sens!G8329-Sens!G8271-Sens!G8281</f>
        <v>-11.356287359694</v>
      </c>
      <c r="H8346" s="6" t="n">
        <f aca="false">Sens!H8270+Sens!H8345*Sens!H8329-Sens!H8271-Sens!H8281</f>
        <v>-28.3286246879639</v>
      </c>
      <c r="I8346" s="6" t="n">
        <f aca="false">Sens!I8270+Sens!I8345*Sens!I8329-Sens!I8271-Sens!I8281</f>
        <v>-39.5036405673707</v>
      </c>
      <c r="J8346" s="6" t="n">
        <f aca="false">Sens!J8270+Sens!J8345*Sens!J8329-Sens!J8271-Sens!J8281</f>
        <v>-52.0301265418816</v>
      </c>
      <c r="K8346" s="6" t="n">
        <f aca="false">Sens!K8270+Sens!K8345*Sens!K8329-Sens!K8271-Sens!K8281</f>
        <v>-65.8153493459116</v>
      </c>
    </row>
    <row r="8347" customFormat="false" ht="17.15" hidden="false" customHeight="false" outlineLevel="0" collapsed="false">
      <c r="A8347" s="0" t="s">
        <v>765</v>
      </c>
      <c r="B8347" s="0" t="s">
        <v>95</v>
      </c>
      <c r="E8347" s="6" t="n">
        <f aca="false">Sens!E8253*(cxit_open+self_build*tk_cxfac)/1000*ai_net_open</f>
        <v>126.6980382</v>
      </c>
      <c r="F8347" s="6" t="n">
        <f aca="false">Sens!E8347+Sens!F8278-Sens!F8281</f>
        <v>260.706549347901</v>
      </c>
      <c r="G8347" s="6" t="n">
        <f aca="false">Sens!F8347+Sens!G8278-Sens!G8281</f>
        <v>383.750652237428</v>
      </c>
      <c r="H8347" s="6" t="n">
        <f aca="false">Sens!G8347+Sens!H8278-Sens!H8281</f>
        <v>484.065277821355</v>
      </c>
      <c r="I8347" s="6" t="n">
        <f aca="false">Sens!H8347+Sens!I8278-Sens!I8281</f>
        <v>586.383713003966</v>
      </c>
      <c r="J8347" s="6" t="n">
        <f aca="false">Sens!I8347+Sens!J8278-Sens!J8281</f>
        <v>674.913151636093</v>
      </c>
      <c r="K8347" s="6" t="n">
        <f aca="false">Sens!J8347+Sens!K8278-Sens!K8281</f>
        <v>778.00719661857</v>
      </c>
      <c r="L8347" s="1" t="s">
        <v>766</v>
      </c>
    </row>
    <row r="8348" customFormat="false" ht="17.15" hidden="false" customHeight="false" outlineLevel="0" collapsed="false">
      <c r="A8348" s="0" t="s">
        <v>767</v>
      </c>
      <c r="B8348" s="0" t="s">
        <v>126</v>
      </c>
      <c r="F8348" s="7" t="n">
        <f aca="false">Sens!F8346*(1-tax_f)/((Sens!E8347+Sens!F8347)/2)</f>
        <v>-0.000961229407242016</v>
      </c>
      <c r="G8348" s="7" t="n">
        <f aca="false">Sens!G8346*(1-tax_f)/((Sens!F8347+Sens!G8347)/2)</f>
        <v>-0.0281943622180231</v>
      </c>
      <c r="H8348" s="7" t="n">
        <f aca="false">Sens!H8346*(1-tax_f)/((Sens!G8347+Sens!H8347)/2)</f>
        <v>-0.0522297389697284</v>
      </c>
      <c r="I8348" s="7" t="n">
        <f aca="false">Sens!I8346*(1-tax_f)/((Sens!H8347+Sens!I8347)/2)</f>
        <v>-0.0590460876225977</v>
      </c>
      <c r="J8348" s="7" t="n">
        <f aca="false">Sens!J8346*(1-tax_f)/((Sens!I8347+Sens!J8347)/2)</f>
        <v>-0.0660020688236369</v>
      </c>
      <c r="K8348" s="7" t="n">
        <f aca="false">Sens!K8346*(1-tax_f)/((Sens!J8347+Sens!K8347)/2)</f>
        <v>-0.0724778609370822</v>
      </c>
    </row>
    <row r="8349" customFormat="false" ht="17.15" hidden="false" customHeight="false" outlineLevel="0" collapsed="false">
      <c r="A8349" s="1" t="s">
        <v>768</v>
      </c>
      <c r="B8349" s="0" t="s">
        <v>126</v>
      </c>
      <c r="F8349" s="7" t="n">
        <f aca="false">Sens!F8282*(1-tax_f)/(Sens!F8269*(Sens!E8347+Sens!F8347)/2)</f>
        <v>0.0977859422810855</v>
      </c>
      <c r="G8349" s="7" t="n">
        <f aca="false">Sens!G8282*(1-tax_f)/(Sens!G8269*(Sens!F8347+Sens!G8347)/2)</f>
        <v>0.0659260768116813</v>
      </c>
      <c r="H8349" s="7" t="n">
        <f aca="false">Sens!H8282*(1-tax_f)/(Sens!H8269*(Sens!G8347+Sens!H8347)/2)</f>
        <v>0.0387801858835462</v>
      </c>
      <c r="I8349" s="7" t="n">
        <f aca="false">Sens!I8282*(1-tax_f)/(Sens!I8269*(Sens!H8347+Sens!I8347)/2)</f>
        <v>0.0397432647311947</v>
      </c>
      <c r="J8349" s="7" t="n">
        <f aca="false">Sens!J8282*(1-tax_f)/(Sens!J8269*(Sens!I8347+Sens!J8347)/2)</f>
        <v>0.0396611123186238</v>
      </c>
      <c r="K8349" s="7" t="n">
        <f aca="false">Sens!K8282*(1-tax_f)/(Sens!K8269*(Sens!J8347+Sens!K8347)/2)</f>
        <v>0.0382213641449573</v>
      </c>
    </row>
    <row r="8350" customFormat="false" ht="17.15" hidden="false" customHeight="false" outlineLevel="0" collapsed="false">
      <c r="A8350" s="0" t="s">
        <v>769</v>
      </c>
      <c r="B8350" s="0" t="s">
        <v>208</v>
      </c>
      <c r="F8350" s="7" t="n">
        <f aca="false">Sens!F8348-wacc</f>
        <v>-0.109924450557496</v>
      </c>
      <c r="G8350" s="7" t="n">
        <f aca="false">Sens!G8348-wacc</f>
        <v>-0.137157583368277</v>
      </c>
      <c r="H8350" s="7" t="n">
        <f aca="false">Sens!H8348-wacc</f>
        <v>-0.161192960119982</v>
      </c>
      <c r="I8350" s="7" t="n">
        <f aca="false">Sens!I8348-wacc</f>
        <v>-0.168009308772852</v>
      </c>
      <c r="J8350" s="7" t="n">
        <f aca="false">Sens!J8348-wacc</f>
        <v>-0.174965289973891</v>
      </c>
      <c r="K8350" s="7" t="n">
        <f aca="false">Sens!K8348-wacc</f>
        <v>-0.181441082087336</v>
      </c>
    </row>
    <row r="8351" customFormat="false" ht="17.15" hidden="false" customHeight="false" outlineLevel="0" collapsed="false">
      <c r="A8351" s="0" t="s">
        <v>770</v>
      </c>
      <c r="B8351" s="0" t="s">
        <v>95</v>
      </c>
      <c r="F8351" s="6" t="n">
        <f aca="false">Sens!F8346*(1-tax_f)-wacc*(Sens!E8347+Sens!F8347)/2</f>
        <v>-21.2926182148282</v>
      </c>
      <c r="G8351" s="6" t="n">
        <f aca="false">Sens!G8346*(1-tax_f)-wacc*(Sens!F8347+Sens!G8347)/2</f>
        <v>-44.1960961768632</v>
      </c>
      <c r="H8351" s="6" t="n">
        <f aca="false">Sens!H8346*(1-tax_f)-wacc*(Sens!G8347+Sens!H8347)/2</f>
        <v>-69.9429093027254</v>
      </c>
      <c r="I8351" s="6" t="n">
        <f aca="false">Sens!I8346*(1-tax_f)-wacc*(Sens!H8347+Sens!I8347)/2</f>
        <v>-89.9226975125794</v>
      </c>
      <c r="J8351" s="6" t="n">
        <f aca="false">Sens!J8346*(1-tax_f)-wacc*(Sens!I8347+Sens!J8347)/2</f>
        <v>-110.341585832454</v>
      </c>
      <c r="K8351" s="6" t="n">
        <f aca="false">Sens!K8346*(1-tax_f)-wacc*(Sens!J8347+Sens!K8347)/2</f>
        <v>-131.809720087018</v>
      </c>
    </row>
    <row r="8352" customFormat="false" ht="17.15" hidden="false" customHeight="false" outlineLevel="0" collapsed="false">
      <c r="A8352" s="1" t="s">
        <v>771</v>
      </c>
      <c r="B8352" s="0" t="s">
        <v>95</v>
      </c>
      <c r="F8352" s="6" t="n">
        <f aca="false">(Sens!E8254+Sens!F8254)/2*Sens!F8261/1000</f>
        <v>26.7873066765967</v>
      </c>
      <c r="G8352" s="6" t="n">
        <f aca="false">(Sens!F8254+Sens!G8254)/2*Sens!G8261/1000</f>
        <v>45.4131817597218</v>
      </c>
      <c r="H8352" s="6" t="n">
        <f aca="false">(Sens!G8254+Sens!H8254)/2*Sens!H8261/1000</f>
        <v>65.3915129357971</v>
      </c>
      <c r="I8352" s="6" t="n">
        <f aca="false">(Sens!H8254+Sens!I8254)/2*Sens!I8261/1000</f>
        <v>85.5187419289299</v>
      </c>
      <c r="J8352" s="6" t="n">
        <f aca="false">(Sens!I8254+Sens!J8254)/2*Sens!J8261/1000</f>
        <v>105.723807195006</v>
      </c>
      <c r="K8352" s="6" t="n">
        <f aca="false">(Sens!J8254+Sens!K8254)/2*Sens!K8261/1000</f>
        <v>125.974659797015</v>
      </c>
      <c r="L8352" s="1" t="s">
        <v>772</v>
      </c>
    </row>
    <row r="8353" customFormat="false" ht="17.15" hidden="false" customHeight="false" outlineLevel="0" collapsed="false">
      <c r="A8353" s="1" t="s">
        <v>773</v>
      </c>
      <c r="B8353" s="0" t="s">
        <v>126</v>
      </c>
      <c r="F8353" s="7" t="n">
        <f aca="false">(Sens!F8270+Sens!F8352-Sens!F8271-Sens!F8281)*(1-tax_f)/((Sens!E8347+Sens!F8347)/2)</f>
        <v>0.0849118042560105</v>
      </c>
      <c r="G8353" s="7" t="n">
        <f aca="false">(Sens!G8270+Sens!G8352-Sens!G8271-Sens!G8281)*(1-tax_f)/((Sens!F8347+Sens!G8347)/2)</f>
        <v>0.0654168378557429</v>
      </c>
      <c r="H8353" s="7" t="n">
        <f aca="false">(Sens!H8270+Sens!H8352-Sens!H8271-Sens!H8281)*(1-tax_f)/((Sens!G8347+Sens!H8347)/2)</f>
        <v>0.0509639724294416</v>
      </c>
      <c r="I8353" s="7" t="n">
        <f aca="false">(Sens!I8270+Sens!I8352-Sens!I8271-Sens!I8281)*(1-tax_f)/((Sens!H8347+Sens!I8347)/2)</f>
        <v>0.052777331882566</v>
      </c>
      <c r="J8353" s="7" t="n">
        <f aca="false">(Sens!J8270+Sens!J8352-Sens!J8271-Sens!J8281)*(1-tax_f)/((Sens!I8347+Sens!J8347)/2)</f>
        <v>0.0534456817949668</v>
      </c>
      <c r="K8353" s="7" t="n">
        <f aca="false">(Sens!K8270+Sens!K8352-Sens!K8271-Sens!K8281)*(1-tax_f)/((Sens!J8347+Sens!K8347)/2)</f>
        <v>0.0525738255389979</v>
      </c>
      <c r="L8353" s="1" t="s">
        <v>774</v>
      </c>
    </row>
    <row r="8354" customFormat="false" ht="17.15" hidden="false" customHeight="false" outlineLevel="0" collapsed="false">
      <c r="A8354" s="3" t="s">
        <v>1352</v>
      </c>
    </row>
    <row r="8355" customFormat="false" ht="15" hidden="false" customHeight="false" outlineLevel="0" collapsed="false">
      <c r="A8355" s="4" t="s">
        <v>43</v>
      </c>
      <c r="B8355" s="4" t="s">
        <v>63</v>
      </c>
      <c r="C8355" s="19" t="s">
        <v>710</v>
      </c>
      <c r="D8355" s="19" t="s">
        <v>711</v>
      </c>
      <c r="E8355" s="19" t="s">
        <v>712</v>
      </c>
      <c r="F8355" s="19" t="s">
        <v>713</v>
      </c>
      <c r="G8355" s="19" t="s">
        <v>714</v>
      </c>
      <c r="H8355" s="19" t="s">
        <v>715</v>
      </c>
      <c r="I8355" s="19" t="s">
        <v>716</v>
      </c>
      <c r="J8355" s="19" t="s">
        <v>717</v>
      </c>
      <c r="K8355" s="19" t="s">
        <v>718</v>
      </c>
      <c r="L8355" s="4" t="s">
        <v>47</v>
      </c>
    </row>
    <row r="8356" customFormat="false" ht="15" hidden="false" customHeight="false" outlineLevel="0" collapsed="false">
      <c r="A8356" s="1" t="s">
        <v>825</v>
      </c>
      <c r="B8356" s="0" t="s">
        <v>95</v>
      </c>
      <c r="F8356" s="6" t="n">
        <f aca="false">Sens!F8341</f>
        <v>137.008132841833</v>
      </c>
      <c r="G8356" s="6" t="n">
        <f aca="false">Sens!G8341</f>
        <v>143.913296547566</v>
      </c>
      <c r="H8356" s="6" t="n">
        <f aca="false">Sens!H8341</f>
        <v>146.446304381337</v>
      </c>
      <c r="I8356" s="6" t="n">
        <f aca="false">Sens!I8341</f>
        <v>153.382602589201</v>
      </c>
      <c r="J8356" s="6" t="n">
        <f aca="false">Sens!J8341</f>
        <v>158.400652390824</v>
      </c>
      <c r="K8356" s="6" t="n">
        <f aca="false">Sens!K8341</f>
        <v>160.954492939975</v>
      </c>
    </row>
    <row r="8357" customFormat="false" ht="17.15" hidden="false" customHeight="false" outlineLevel="0" collapsed="false">
      <c r="A8357" s="1" t="s">
        <v>843</v>
      </c>
      <c r="B8357" s="0" t="s">
        <v>95</v>
      </c>
      <c r="E8357" s="6" t="n">
        <f aca="false">Q!M38-Sens!E8281</f>
        <v>22.2285940229167</v>
      </c>
      <c r="F8357" s="6" t="n">
        <f aca="false">Sens!E8357*(1-1/life_nonai)+Sens!F8363/life_nonai</f>
        <v>23.5496627435812</v>
      </c>
      <c r="G8357" s="6" t="n">
        <f aca="false">Sens!F8357*(1-1/life_nonai)+Sens!G8363/life_nonai</f>
        <v>25.2683008347557</v>
      </c>
      <c r="H8357" s="6" t="n">
        <f aca="false">Sens!G8357*(1-1/life_nonai)+Sens!H8363/life_nonai</f>
        <v>27.35495814329</v>
      </c>
      <c r="I8357" s="6" t="n">
        <f aca="false">Sens!H8357*(1-1/life_nonai)+Sens!I8363/life_nonai</f>
        <v>29.7552595814336</v>
      </c>
      <c r="J8357" s="6" t="n">
        <f aca="false">Sens!I8357*(1-1/life_nonai)+Sens!J8363/life_nonai</f>
        <v>32.3974246415467</v>
      </c>
      <c r="K8357" s="6" t="n">
        <f aca="false">Sens!J8357*(1-1/life_nonai)+Sens!K8363/life_nonai</f>
        <v>35.2007458349633</v>
      </c>
      <c r="L8357" s="11" t="s">
        <v>844</v>
      </c>
    </row>
    <row r="8358" customFormat="false" ht="17.15" hidden="false" customHeight="false" outlineLevel="0" collapsed="false">
      <c r="A8358" s="1" t="s">
        <v>845</v>
      </c>
      <c r="B8358" s="0" t="s">
        <v>95</v>
      </c>
      <c r="E8358" s="6" t="n">
        <f aca="false">Sens!E8281+Sens!E8357</f>
        <v>38.534</v>
      </c>
      <c r="F8358" s="6" t="n">
        <f aca="false">Sens!F8281+Sens!F8357</f>
        <v>58.3018703661177</v>
      </c>
      <c r="G8358" s="6" t="n">
        <f aca="false">Sens!G8281+Sens!G8357</f>
        <v>85.7983784284286</v>
      </c>
      <c r="H8358" s="6" t="n">
        <f aca="false">Sens!H8281+Sens!H8357</f>
        <v>115.120618469763</v>
      </c>
      <c r="I8358" s="6" t="n">
        <f aca="false">Sens!I8281+Sens!I8357</f>
        <v>145.77578565589</v>
      </c>
      <c r="J8358" s="6" t="n">
        <f aca="false">Sens!J8281+Sens!J8357</f>
        <v>177.645046933153</v>
      </c>
      <c r="K8358" s="6" t="n">
        <f aca="false">Sens!K8281+Sens!K8357</f>
        <v>210.963012802886</v>
      </c>
    </row>
    <row r="8359" customFormat="false" ht="15" hidden="false" customHeight="false" outlineLevel="0" collapsed="false">
      <c r="A8359" s="1" t="s">
        <v>685</v>
      </c>
      <c r="B8359" s="0" t="s">
        <v>95</v>
      </c>
      <c r="F8359" s="6" t="n">
        <f aca="false">Sens!F8308*sbc_r</f>
        <v>14.7148768950759</v>
      </c>
      <c r="G8359" s="6" t="n">
        <f aca="false">Sens!G8308*sbc_r</f>
        <v>17.0767243238314</v>
      </c>
      <c r="H8359" s="6" t="n">
        <f aca="false">Sens!H8308*sbc_r</f>
        <v>19.298764926411</v>
      </c>
      <c r="I8359" s="6" t="n">
        <f aca="false">Sens!I8308*sbc_r</f>
        <v>21.7573827520806</v>
      </c>
      <c r="J8359" s="6" t="n">
        <f aca="false">Sens!J8308*sbc_r</f>
        <v>24.1335772218645</v>
      </c>
      <c r="K8359" s="6" t="n">
        <f aca="false">Sens!K8308*sbc_r</f>
        <v>26.4037212004524</v>
      </c>
    </row>
    <row r="8360" customFormat="false" ht="17.15" hidden="false" customHeight="false" outlineLevel="0" collapsed="false">
      <c r="A8360" s="1" t="s">
        <v>846</v>
      </c>
      <c r="B8360" s="0" t="s">
        <v>95</v>
      </c>
      <c r="F8360" s="6" t="n">
        <f aca="false">wc27</f>
        <v>-4.895</v>
      </c>
      <c r="G8360" s="6" t="n">
        <f aca="false">0</f>
        <v>0</v>
      </c>
      <c r="H8360" s="6" t="n">
        <f aca="false">0</f>
        <v>0</v>
      </c>
      <c r="I8360" s="6" t="n">
        <f aca="false">0</f>
        <v>0</v>
      </c>
      <c r="J8360" s="6" t="n">
        <f aca="false">0</f>
        <v>0</v>
      </c>
      <c r="K8360" s="6" t="n">
        <f aca="false">0</f>
        <v>0</v>
      </c>
      <c r="L8360" s="11" t="s">
        <v>847</v>
      </c>
    </row>
    <row r="8361" customFormat="false" ht="15" hidden="false" customHeight="false" outlineLevel="0" collapsed="false">
      <c r="A8361" s="1" t="s">
        <v>678</v>
      </c>
      <c r="B8361" s="0" t="s">
        <v>95</v>
      </c>
      <c r="E8361" s="6" t="n">
        <f aca="false">Q!M35</f>
        <v>182.935</v>
      </c>
      <c r="F8361" s="6" t="n">
        <f aca="false">Sens!F8356+Sens!F8358+Sens!F8359+Sens!F8360</f>
        <v>205.129880103027</v>
      </c>
      <c r="G8361" s="6" t="n">
        <f aca="false">Sens!G8356+Sens!G8358+Sens!G8359+Sens!G8360</f>
        <v>246.788399299826</v>
      </c>
      <c r="H8361" s="6" t="n">
        <f aca="false">Sens!H8356+Sens!H8358+Sens!H8359+Sens!H8360</f>
        <v>280.865687777511</v>
      </c>
      <c r="I8361" s="6" t="n">
        <f aca="false">Sens!I8356+Sens!I8358+Sens!I8359+Sens!I8360</f>
        <v>320.915770997172</v>
      </c>
      <c r="J8361" s="6" t="n">
        <f aca="false">Sens!J8356+Sens!J8358+Sens!J8359+Sens!J8360</f>
        <v>360.179276545842</v>
      </c>
      <c r="K8361" s="6" t="n">
        <f aca="false">Sens!K8356+Sens!K8358+Sens!K8359+Sens!K8360</f>
        <v>398.321226943313</v>
      </c>
    </row>
    <row r="8362" customFormat="false" ht="17.15" hidden="false" customHeight="false" outlineLevel="0" collapsed="false">
      <c r="A8362" s="0" t="s">
        <v>848</v>
      </c>
      <c r="B8362" s="0" t="s">
        <v>95</v>
      </c>
      <c r="F8362" s="6" t="n">
        <f aca="false">Sens!F8278</f>
        <v>168.760718770438</v>
      </c>
      <c r="G8362" s="6" t="n">
        <f aca="false">Sens!G8278</f>
        <v>183.5741804832</v>
      </c>
      <c r="H8362" s="6" t="n">
        <f aca="false">Sens!H8278</f>
        <v>188.0802859104</v>
      </c>
      <c r="I8362" s="6" t="n">
        <f aca="false">Sens!I8278</f>
        <v>218.338961257067</v>
      </c>
      <c r="J8362" s="6" t="n">
        <f aca="false">Sens!J8278</f>
        <v>233.777060923733</v>
      </c>
      <c r="K8362" s="6" t="n">
        <f aca="false">Sens!K8278</f>
        <v>278.8563119504</v>
      </c>
    </row>
    <row r="8363" customFormat="false" ht="17.15" hidden="false" customHeight="false" outlineLevel="0" collapsed="false">
      <c r="A8363" s="1" t="s">
        <v>849</v>
      </c>
      <c r="B8363" s="0" t="s">
        <v>95</v>
      </c>
      <c r="E8363" s="6" t="n">
        <f aca="false">Sens!E8286*cx_azo+Sens!E8293*cx_m365+Sens!E8294*cx_lic+(Sens!E8296+Sens!E8298)*cx_ind+Sens!E8301*cx_srch+(Sens!E8303+Sens!E8305)*cx_dev</f>
        <v>30.1846587067718</v>
      </c>
      <c r="F8363" s="6" t="n">
        <f aca="false">Sens!F8286*cx_azo+Sens!F8293*cx_m365+Sens!F8294*cx_lic+(Sens!F8296+Sens!F8298)*cx_ind+Sens!F8301*cx_srch+(Sens!F8303+Sens!F8305)*cx_dev</f>
        <v>35.4392812295625</v>
      </c>
      <c r="G8363" s="6" t="n">
        <f aca="false">Sens!G8286*cx_azo+Sens!G8293*cx_m365+Sens!G8294*cx_lic+(Sens!G8296+Sens!G8298)*cx_ind+Sens!G8301*cx_srch+(Sens!G8303+Sens!G8305)*cx_dev</f>
        <v>40.7360436553257</v>
      </c>
      <c r="H8363" s="6" t="n">
        <f aca="false">Sens!H8286*cx_azo+Sens!H8293*cx_m365+Sens!H8294*cx_lic+(Sens!H8296+Sens!H8298)*cx_ind+Sens!H8301*cx_srch+(Sens!H8303+Sens!H8305)*cx_dev</f>
        <v>46.1348739200982</v>
      </c>
      <c r="I8363" s="6" t="n">
        <f aca="false">Sens!I8286*cx_azo+Sens!I8293*cx_m365+Sens!I8294*cx_lic+(Sens!I8296+Sens!I8298)*cx_ind+Sens!I8301*cx_srch+(Sens!I8303+Sens!I8305)*cx_dev</f>
        <v>51.3579725247266</v>
      </c>
      <c r="J8363" s="6" t="n">
        <f aca="false">Sens!J8286*cx_azo+Sens!J8293*cx_m365+Sens!J8294*cx_lic+(Sens!J8296+Sens!J8298)*cx_ind+Sens!J8301*cx_srch+(Sens!J8303+Sens!J8305)*cx_dev</f>
        <v>56.1769101825644</v>
      </c>
      <c r="K8363" s="6" t="n">
        <f aca="false">Sens!K8286*cx_azo+Sens!K8293*cx_m365+Sens!K8294*cx_lic+(Sens!K8296+Sens!K8298)*cx_ind+Sens!K8301*cx_srch+(Sens!K8303+Sens!K8305)*cx_dev</f>
        <v>60.4306365757122</v>
      </c>
    </row>
    <row r="8364" customFormat="false" ht="17.15" hidden="false" customHeight="false" outlineLevel="0" collapsed="false">
      <c r="A8364" s="1" t="s">
        <v>850</v>
      </c>
      <c r="B8364" s="0" t="s">
        <v>95</v>
      </c>
      <c r="E8364" s="6" t="n">
        <f aca="false">Q!M42</f>
        <v>145.3</v>
      </c>
      <c r="F8364" s="6" t="n">
        <f aca="false">Sens!F8362+Sens!F8363</f>
        <v>204.2</v>
      </c>
      <c r="G8364" s="6" t="n">
        <f aca="false">Sens!G8362+Sens!G8363</f>
        <v>224.310224138526</v>
      </c>
      <c r="H8364" s="6" t="n">
        <f aca="false">Sens!H8362+Sens!H8363</f>
        <v>234.215159830498</v>
      </c>
      <c r="I8364" s="6" t="n">
        <f aca="false">Sens!I8362+Sens!I8363</f>
        <v>269.696933781793</v>
      </c>
      <c r="J8364" s="6" t="n">
        <f aca="false">Sens!J8362+Sens!J8363</f>
        <v>289.953971106298</v>
      </c>
      <c r="K8364" s="6" t="n">
        <f aca="false">Sens!K8362+Sens!K8363</f>
        <v>339.286948526112</v>
      </c>
      <c r="L8364" s="1" t="s">
        <v>851</v>
      </c>
    </row>
    <row r="8365" customFormat="false" ht="15" hidden="false" customHeight="false" outlineLevel="0" collapsed="false">
      <c r="A8365" s="1" t="s">
        <v>852</v>
      </c>
      <c r="B8365" s="0" t="s">
        <v>95</v>
      </c>
      <c r="E8365" s="6" t="n">
        <f aca="false">fl_liab</f>
        <v>66.594</v>
      </c>
      <c r="F8365" s="6" t="n">
        <f aca="false">Sens!E8365-Sens!F8366</f>
        <v>62.46973</v>
      </c>
      <c r="G8365" s="6" t="n">
        <f aca="false">Sens!F8365-Sens!G8366</f>
        <v>57.98686785</v>
      </c>
      <c r="H8365" s="6" t="n">
        <f aca="false">Sens!G8365-Sens!H8366</f>
        <v>53.92827690325</v>
      </c>
      <c r="I8365" s="6" t="n">
        <f aca="false">Sens!H8365-Sens!I8366</f>
        <v>49.7850493638962</v>
      </c>
      <c r="J8365" s="6" t="n">
        <f aca="false">Sens!I8365-Sens!J8366</f>
        <v>45.4823765852716</v>
      </c>
      <c r="K8365" s="6" t="n">
        <f aca="false">Sens!J8365-Sens!K8366</f>
        <v>40.9860835316088</v>
      </c>
    </row>
    <row r="8366" customFormat="false" ht="15" hidden="false" customHeight="false" outlineLevel="0" collapsed="false">
      <c r="A8366" s="1" t="s">
        <v>853</v>
      </c>
      <c r="B8366" s="0" t="s">
        <v>95</v>
      </c>
      <c r="F8366" s="6" t="n">
        <f aca="false">fl_pay_27-Sens!E8365*fl_rate</f>
        <v>4.12427</v>
      </c>
      <c r="G8366" s="6" t="n">
        <f aca="false">fl_pay_28-Sens!F8365*fl_rate</f>
        <v>4.48286215</v>
      </c>
      <c r="H8366" s="6" t="n">
        <f aca="false">fl_pay_29-Sens!G8365*fl_rate</f>
        <v>4.05859094675</v>
      </c>
      <c r="I8366" s="6" t="n">
        <f aca="false">fl_pay_30-Sens!H8365*fl_rate</f>
        <v>4.14322753935375</v>
      </c>
      <c r="J8366" s="6" t="n">
        <f aca="false">fl_pay_31-Sens!I8365*fl_rate</f>
        <v>4.30267277862467</v>
      </c>
      <c r="K8366" s="6" t="n">
        <f aca="false">fl_pay_32-Sens!J8365*fl_rate</f>
        <v>4.49629305366278</v>
      </c>
    </row>
    <row r="8367" customFormat="false" ht="17.15" hidden="false" customHeight="false" outlineLevel="0" collapsed="false">
      <c r="A8367" s="1" t="s">
        <v>854</v>
      </c>
      <c r="B8367" s="0" t="s">
        <v>95</v>
      </c>
      <c r="E8367" s="6" t="n">
        <f aca="false">Q!M35-Q!M36-Q!M43</f>
        <v>63.886</v>
      </c>
      <c r="F8367" s="6" t="n">
        <f aca="false">Sens!F8361-Sens!F8364-Sens!F8366</f>
        <v>-3.19438989697296</v>
      </c>
      <c r="G8367" s="6" t="n">
        <f aca="false">Sens!G8361-Sens!G8364-Sens!G8366</f>
        <v>17.9953130113006</v>
      </c>
      <c r="H8367" s="6" t="n">
        <f aca="false">Sens!H8361-Sens!H8364-Sens!H8366</f>
        <v>42.591937000263</v>
      </c>
      <c r="I8367" s="6" t="n">
        <f aca="false">Sens!I8361-Sens!I8364-Sens!I8366</f>
        <v>47.0756096760247</v>
      </c>
      <c r="J8367" s="6" t="n">
        <f aca="false">Sens!J8361-Sens!J8364-Sens!J8366</f>
        <v>65.9226326609194</v>
      </c>
      <c r="K8367" s="6" t="n">
        <f aca="false">Sens!K8361-Sens!K8364-Sens!K8366</f>
        <v>54.5379853635382</v>
      </c>
      <c r="L8367" s="11" t="s">
        <v>855</v>
      </c>
    </row>
    <row r="8368" customFormat="false" ht="15" hidden="false" customHeight="false" outlineLevel="0" collapsed="false">
      <c r="A8368" s="1" t="s">
        <v>856</v>
      </c>
      <c r="B8368" s="0" t="s">
        <v>73</v>
      </c>
      <c r="F8368" s="8" t="n">
        <f aca="false">dps_27</f>
        <v>3.85</v>
      </c>
      <c r="G8368" s="8" t="n">
        <f aca="false">Sens!F8368*(1+dps_g)</f>
        <v>4.158</v>
      </c>
      <c r="H8368" s="8" t="n">
        <f aca="false">Sens!G8368*(1+dps_g)</f>
        <v>4.49064</v>
      </c>
      <c r="I8368" s="8" t="n">
        <f aca="false">Sens!H8368*(1+dps_g)</f>
        <v>4.8498912</v>
      </c>
      <c r="J8368" s="8" t="n">
        <f aca="false">Sens!I8368*(1+dps_g)</f>
        <v>5.237882496</v>
      </c>
      <c r="K8368" s="8" t="n">
        <f aca="false">Sens!J8368*(1+dps_g)</f>
        <v>5.65691309568</v>
      </c>
    </row>
    <row r="8369" customFormat="false" ht="17.15" hidden="false" customHeight="false" outlineLevel="0" collapsed="false">
      <c r="A8369" s="1" t="s">
        <v>857</v>
      </c>
      <c r="B8369" s="0" t="s">
        <v>95</v>
      </c>
      <c r="E8369" s="6" t="n">
        <f aca="false">Q!M41</f>
        <v>26.445</v>
      </c>
      <c r="F8369" s="6" t="n">
        <f aca="false">Sens!F8368*Sens!E8378</f>
        <v>28.59395</v>
      </c>
      <c r="G8369" s="6" t="n">
        <f aca="false">Sens!G8368*Sens!F8378</f>
        <v>31.068576</v>
      </c>
      <c r="H8369" s="6" t="n">
        <f aca="false">Sens!H8368*Sens!G8378</f>
        <v>33.75614088</v>
      </c>
      <c r="I8369" s="6" t="n">
        <f aca="false">Sens!I8368*Sens!H8378</f>
        <v>36.6235323902193</v>
      </c>
      <c r="J8369" s="6" t="n">
        <f aca="false">Sens!J8368*Sens!I8378</f>
        <v>39.7106008207425</v>
      </c>
      <c r="K8369" s="6" t="n">
        <f aca="false">Sens!K8368*Sens!J8378</f>
        <v>42.974704111707</v>
      </c>
      <c r="L8369" s="1" t="s">
        <v>858</v>
      </c>
    </row>
    <row r="8370" customFormat="false" ht="15" hidden="false" customHeight="false" outlineLevel="0" collapsed="false">
      <c r="A8370" s="1" t="s">
        <v>859</v>
      </c>
      <c r="B8370" s="0" t="s">
        <v>95</v>
      </c>
      <c r="E8370" s="6" t="n">
        <f aca="false">Sens!E8367-Sens!E8369</f>
        <v>37.441</v>
      </c>
      <c r="F8370" s="6" t="n">
        <f aca="false">Sens!F8367-Sens!F8369</f>
        <v>-31.788339896973</v>
      </c>
      <c r="G8370" s="6" t="n">
        <f aca="false">Sens!G8367-Sens!G8369</f>
        <v>-13.0732629886994</v>
      </c>
      <c r="H8370" s="6" t="n">
        <f aca="false">Sens!H8367-Sens!H8369</f>
        <v>8.83579612026304</v>
      </c>
      <c r="I8370" s="6" t="n">
        <f aca="false">Sens!I8367-Sens!I8369</f>
        <v>10.4520772858054</v>
      </c>
      <c r="J8370" s="6" t="n">
        <f aca="false">Sens!J8367-Sens!J8369</f>
        <v>26.2120318401769</v>
      </c>
      <c r="K8370" s="6" t="n">
        <f aca="false">Sens!K8367-Sens!K8369</f>
        <v>11.5632812518312</v>
      </c>
    </row>
    <row r="8371" customFormat="false" ht="15" hidden="false" customHeight="false" outlineLevel="0" collapsed="false">
      <c r="A8371" s="1" t="s">
        <v>860</v>
      </c>
      <c r="B8371" s="0" t="s">
        <v>95</v>
      </c>
      <c r="F8371" s="6" t="n">
        <f aca="false">debt_mat_27</f>
        <v>9.25</v>
      </c>
      <c r="G8371" s="6" t="n">
        <f aca="false">debt_mat_28</f>
        <v>0</v>
      </c>
      <c r="H8371" s="6" t="n">
        <f aca="false">debt_mat_29</f>
        <v>2.001</v>
      </c>
      <c r="I8371" s="6" t="n">
        <f aca="false">debt_mat_30</f>
        <v>0</v>
      </c>
      <c r="J8371" s="6" t="n">
        <f aca="false">debt_mat_31</f>
        <v>0.5</v>
      </c>
      <c r="K8371" s="6" t="n">
        <f aca="false">debt_mat_32</f>
        <v>0</v>
      </c>
    </row>
    <row r="8372" customFormat="false" ht="15" hidden="false" customHeight="false" outlineLevel="0" collapsed="false">
      <c r="A8372" s="1" t="s">
        <v>861</v>
      </c>
      <c r="B8372" s="0" t="s">
        <v>95</v>
      </c>
      <c r="E8372" s="6" t="n">
        <f aca="false">Q!M40</f>
        <v>22.271</v>
      </c>
      <c r="F8372" s="6" t="n">
        <f aca="false">MAX(0,MIN(bb_target,Sens!E8374+Sens!F8370-Sens!F8371-min_cash))</f>
        <v>0</v>
      </c>
      <c r="G8372" s="6" t="n">
        <f aca="false">MAX(0,MIN(bb_target,Sens!F8374+Sens!G8370-Sens!G8371-min_cash))</f>
        <v>0</v>
      </c>
      <c r="H8372" s="6" t="n">
        <f aca="false">MAX(0,MIN(bb_target,Sens!G8374+Sens!H8370-Sens!H8371-min_cash))</f>
        <v>6.83479612026304</v>
      </c>
      <c r="I8372" s="6" t="n">
        <f aca="false">MAX(0,MIN(bb_target,Sens!H8374+Sens!I8370-Sens!I8371-min_cash))</f>
        <v>10.4520772858054</v>
      </c>
      <c r="J8372" s="6" t="n">
        <f aca="false">MAX(0,MIN(bb_target,Sens!I8374+Sens!J8370-Sens!J8371-min_cash))</f>
        <v>22.271</v>
      </c>
      <c r="K8372" s="6" t="n">
        <f aca="false">MAX(0,MIN(bb_target,Sens!J8374+Sens!K8370-Sens!K8371-min_cash))</f>
        <v>15.0043130920081</v>
      </c>
    </row>
    <row r="8373" customFormat="false" ht="15" hidden="false" customHeight="false" outlineLevel="0" collapsed="false">
      <c r="A8373" s="1" t="s">
        <v>862</v>
      </c>
      <c r="B8373" s="0" t="s">
        <v>95</v>
      </c>
      <c r="F8373" s="6" t="n">
        <f aca="false">MAX(0,min_cash-(Sens!E8374+Sens!F8370-Sens!F8371-Sens!F8372))</f>
        <v>14.195339896973</v>
      </c>
      <c r="G8373" s="6" t="n">
        <f aca="false">MAX(0,min_cash-(Sens!F8374+Sens!G8370-Sens!G8371-Sens!G8372))</f>
        <v>13.0732629886994</v>
      </c>
      <c r="H8373" s="6" t="n">
        <f aca="false">MAX(0,min_cash-(Sens!G8374+Sens!H8370-Sens!H8371-Sens!H8372))</f>
        <v>0</v>
      </c>
      <c r="I8373" s="6" t="n">
        <f aca="false">MAX(0,min_cash-(Sens!H8374+Sens!I8370-Sens!I8371-Sens!I8372))</f>
        <v>0</v>
      </c>
      <c r="J8373" s="6" t="n">
        <f aca="false">MAX(0,min_cash-(Sens!I8374+Sens!J8370-Sens!J8371-Sens!J8372))</f>
        <v>0</v>
      </c>
      <c r="K8373" s="6" t="n">
        <f aca="false">MAX(0,min_cash-(Sens!J8374+Sens!K8370-Sens!K8371-Sens!K8372))</f>
        <v>0</v>
      </c>
    </row>
    <row r="8374" customFormat="false" ht="15" hidden="false" customHeight="false" outlineLevel="0" collapsed="false">
      <c r="A8374" s="1" t="s">
        <v>863</v>
      </c>
      <c r="B8374" s="0" t="s">
        <v>95</v>
      </c>
      <c r="E8374" s="6" t="n">
        <f aca="false">cash_open</f>
        <v>76.843</v>
      </c>
      <c r="F8374" s="6" t="n">
        <f aca="false">Sens!E8374+Sens!F8370-Sens!F8371-Sens!F8372+Sens!F8373</f>
        <v>50</v>
      </c>
      <c r="G8374" s="6" t="n">
        <f aca="false">Sens!F8374+Sens!G8370-Sens!G8371-Sens!G8372+Sens!G8373</f>
        <v>50</v>
      </c>
      <c r="H8374" s="6" t="n">
        <f aca="false">Sens!G8374+Sens!H8370-Sens!H8371-Sens!H8372+Sens!H8373</f>
        <v>50</v>
      </c>
      <c r="I8374" s="6" t="n">
        <f aca="false">Sens!H8374+Sens!I8370-Sens!I8371-Sens!I8372+Sens!I8373</f>
        <v>50</v>
      </c>
      <c r="J8374" s="6" t="n">
        <f aca="false">Sens!I8374+Sens!J8370-Sens!J8371-Sens!J8372+Sens!J8373</f>
        <v>53.4410318401769</v>
      </c>
      <c r="K8374" s="6" t="n">
        <f aca="false">Sens!J8374+Sens!K8370-Sens!K8371-Sens!K8372+Sens!K8373</f>
        <v>50</v>
      </c>
    </row>
    <row r="8375" customFormat="false" ht="15" hidden="false" customHeight="false" outlineLevel="0" collapsed="false">
      <c r="A8375" s="1" t="s">
        <v>864</v>
      </c>
      <c r="B8375" s="0" t="s">
        <v>95</v>
      </c>
      <c r="E8375" s="6" t="n">
        <f aca="false">debt_face</f>
        <v>46.136</v>
      </c>
      <c r="F8375" s="6" t="n">
        <f aca="false">Sens!E8375-Sens!F8371+Sens!F8373</f>
        <v>51.081339896973</v>
      </c>
      <c r="G8375" s="6" t="n">
        <f aca="false">Sens!F8375-Sens!G8371+Sens!G8373</f>
        <v>64.1546028856724</v>
      </c>
      <c r="H8375" s="6" t="n">
        <f aca="false">Sens!G8375-Sens!H8371+Sens!H8373</f>
        <v>62.1536028856724</v>
      </c>
      <c r="I8375" s="6" t="n">
        <f aca="false">Sens!H8375-Sens!I8371+Sens!I8373</f>
        <v>62.1536028856724</v>
      </c>
      <c r="J8375" s="6" t="n">
        <f aca="false">Sens!I8375-Sens!J8371+Sens!J8373</f>
        <v>61.6536028856724</v>
      </c>
      <c r="K8375" s="6" t="n">
        <f aca="false">Sens!J8375-Sens!K8371+Sens!K8373</f>
        <v>61.6536028856724</v>
      </c>
    </row>
    <row r="8376" customFormat="false" ht="15" hidden="false" customHeight="false" outlineLevel="0" collapsed="false">
      <c r="A8376" s="1" t="s">
        <v>865</v>
      </c>
      <c r="B8376" s="0" t="s">
        <v>95</v>
      </c>
      <c r="E8376" s="6" t="n">
        <f aca="false">Sens!E8374-Sens!E8375</f>
        <v>30.707</v>
      </c>
      <c r="F8376" s="6" t="n">
        <f aca="false">Sens!F8374-Sens!F8375</f>
        <v>-1.08133989697296</v>
      </c>
      <c r="G8376" s="6" t="n">
        <f aca="false">Sens!G8374-Sens!G8375</f>
        <v>-14.1546028856723</v>
      </c>
      <c r="H8376" s="6" t="n">
        <f aca="false">Sens!H8374-Sens!H8375</f>
        <v>-12.1536028856723</v>
      </c>
      <c r="I8376" s="6" t="n">
        <f aca="false">Sens!I8374-Sens!I8375</f>
        <v>-12.1536028856723</v>
      </c>
      <c r="J8376" s="6" t="n">
        <f aca="false">Sens!J8374-Sens!J8375</f>
        <v>-8.21257104549547</v>
      </c>
      <c r="K8376" s="6" t="n">
        <f aca="false">Sens!K8374-Sens!K8375</f>
        <v>-11.6536028856723</v>
      </c>
    </row>
    <row r="8377" customFormat="false" ht="15" hidden="false" customHeight="false" outlineLevel="0" collapsed="false">
      <c r="A8377" s="1" t="s">
        <v>866</v>
      </c>
      <c r="B8377" s="0" t="s">
        <v>73</v>
      </c>
      <c r="F8377" s="27" t="n">
        <f aca="false">px*(1+bb_g)^(1-0.5)</f>
        <v>553.494156066711</v>
      </c>
      <c r="G8377" s="27" t="n">
        <f aca="false">px*(1+bb_g)^(2-0.5)</f>
        <v>597.773688552047</v>
      </c>
      <c r="H8377" s="27" t="n">
        <f aca="false">px*(1+bb_g)^(3-0.5)</f>
        <v>645.595583636211</v>
      </c>
      <c r="I8377" s="27" t="n">
        <f aca="false">px*(1+bb_g)^(4-0.5)</f>
        <v>697.243230327108</v>
      </c>
      <c r="J8377" s="27" t="n">
        <f aca="false">px*(1+bb_g)^(5-0.5)</f>
        <v>753.022688753277</v>
      </c>
      <c r="K8377" s="27" t="n">
        <f aca="false">px*(1+bb_g)^(6-0.5)</f>
        <v>813.264503853539</v>
      </c>
    </row>
    <row r="8378" customFormat="false" ht="15" hidden="false" customHeight="false" outlineLevel="0" collapsed="false">
      <c r="A8378" s="1" t="s">
        <v>867</v>
      </c>
      <c r="B8378" s="1" t="s">
        <v>79</v>
      </c>
      <c r="E8378" s="18" t="n">
        <f aca="false">sh_out26</f>
        <v>7.427</v>
      </c>
      <c r="F8378" s="18" t="n">
        <f aca="false">Sens!E8378+sh_iss-Sens!F8372/Sens!F8377</f>
        <v>7.472</v>
      </c>
      <c r="G8378" s="18" t="n">
        <f aca="false">Sens!F8378+sh_iss-Sens!G8372/Sens!G8377</f>
        <v>7.517</v>
      </c>
      <c r="H8378" s="18" t="n">
        <f aca="false">Sens!G8378+sh_iss-Sens!H8372/Sens!H8377</f>
        <v>7.55141319257209</v>
      </c>
      <c r="I8378" s="18" t="n">
        <f aca="false">Sens!H8378+sh_iss-Sens!I8372/Sens!I8377</f>
        <v>7.58142261707249</v>
      </c>
      <c r="J8378" s="18" t="n">
        <f aca="false">Sens!I8378+sh_iss-Sens!J8372/Sens!J8377</f>
        <v>7.59684714699353</v>
      </c>
      <c r="K8378" s="18" t="n">
        <f aca="false">Sens!J8378+sh_iss-Sens!K8372/Sens!K8377</f>
        <v>7.62339765974687</v>
      </c>
    </row>
    <row r="8379" customFormat="false" ht="15" hidden="false" customHeight="false" outlineLevel="0" collapsed="false">
      <c r="A8379" s="1" t="s">
        <v>868</v>
      </c>
      <c r="B8379" s="1" t="s">
        <v>79</v>
      </c>
      <c r="E8379" s="18" t="n">
        <f aca="false">sh_dil26</f>
        <v>7.453</v>
      </c>
      <c r="F8379" s="18" t="n">
        <f aca="false">(Sens!E8378+Sens!F8378)/2+dil_gap</f>
        <v>7.4735</v>
      </c>
      <c r="G8379" s="18" t="n">
        <f aca="false">(Sens!F8378+Sens!G8378)/2+dil_gap</f>
        <v>7.5185</v>
      </c>
      <c r="H8379" s="18" t="n">
        <f aca="false">(Sens!G8378+Sens!H8378)/2+dil_gap</f>
        <v>7.55820659628605</v>
      </c>
      <c r="I8379" s="18" t="n">
        <f aca="false">(Sens!H8378+Sens!I8378)/2+dil_gap</f>
        <v>7.59041790482229</v>
      </c>
      <c r="J8379" s="18" t="n">
        <f aca="false">(Sens!I8378+Sens!J8378)/2+dil_gap</f>
        <v>7.61313488203301</v>
      </c>
      <c r="K8379" s="18" t="n">
        <f aca="false">(Sens!J8378+Sens!K8378)/2+dil_gap</f>
        <v>7.6341224033702</v>
      </c>
    </row>
    <row r="8380" customFormat="false" ht="17.15" hidden="false" customHeight="false" outlineLevel="0" collapsed="false">
      <c r="A8380" s="1" t="s">
        <v>869</v>
      </c>
      <c r="B8380" s="0" t="s">
        <v>95</v>
      </c>
      <c r="C8380" s="6" t="n">
        <f aca="false">SUM(Sens!F8370:J8370)</f>
        <v>0.638302360572919</v>
      </c>
    </row>
    <row r="8381" customFormat="false" ht="17.15" hidden="false" customHeight="false" outlineLevel="0" collapsed="false">
      <c r="A8381" s="1" t="s">
        <v>836</v>
      </c>
      <c r="B8381" s="1" t="s">
        <v>870</v>
      </c>
      <c r="C8381" s="30" t="str">
        <f aca="false">IF(SUM(Sens!F8373:J8373)&gt;0.05,"需要舉債 "&amp;TEXT(SUM(Sens!F8373:J8373),"0.0")&amp;" 十億美元","不需舉債")&amp;"；"&amp;IF(SUM(Sens!F8372:J8372)&lt;5*bb_target-0.05,"回購較每年 "&amp;TEXT(bb_target,"0.0")&amp;" 的目標少 "&amp;TEXT(5*bb_target-SUM(Sens!F8372:J8372),"0.0")&amp;" 十億美元（"&amp;TEXT(COUNTIF(Sens!F8372:J8372,"&lt;"&amp;(bb_target-0.05)),"0")&amp;" 年減少）","回購不減")</f>
        <v>需要舉債 27.3 十億美元；回購較每年 22.3 的目標少 71.8 十億美元（4 年減少）</v>
      </c>
    </row>
    <row r="8382" customFormat="false" ht="17.15" hidden="false" customHeight="false" outlineLevel="0" collapsed="false">
      <c r="A8382" s="3" t="s">
        <v>1353</v>
      </c>
    </row>
    <row r="8383" customFormat="false" ht="15" hidden="false" customHeight="false" outlineLevel="0" collapsed="false">
      <c r="A8383" s="4" t="s">
        <v>43</v>
      </c>
      <c r="B8383" s="4" t="s">
        <v>63</v>
      </c>
      <c r="C8383" s="19" t="s">
        <v>710</v>
      </c>
      <c r="D8383" s="19" t="s">
        <v>711</v>
      </c>
      <c r="E8383" s="19" t="s">
        <v>712</v>
      </c>
      <c r="F8383" s="19" t="s">
        <v>713</v>
      </c>
      <c r="G8383" s="19" t="s">
        <v>714</v>
      </c>
      <c r="H8383" s="19" t="s">
        <v>715</v>
      </c>
      <c r="I8383" s="19" t="s">
        <v>716</v>
      </c>
      <c r="J8383" s="19" t="s">
        <v>717</v>
      </c>
      <c r="K8383" s="19" t="s">
        <v>718</v>
      </c>
      <c r="L8383" s="4" t="s">
        <v>47</v>
      </c>
    </row>
    <row r="8384" customFormat="false" ht="17.15" hidden="false" customHeight="false" outlineLevel="0" collapsed="false">
      <c r="A8384" s="1" t="s">
        <v>938</v>
      </c>
      <c r="B8384" s="1" t="s">
        <v>213</v>
      </c>
      <c r="F8384" s="34" t="n">
        <f aca="false">1-0.5</f>
        <v>0.5</v>
      </c>
      <c r="G8384" s="34" t="n">
        <f aca="false">2-0.5</f>
        <v>1.5</v>
      </c>
      <c r="H8384" s="34" t="n">
        <f aca="false">3-0.5</f>
        <v>2.5</v>
      </c>
      <c r="I8384" s="34" t="n">
        <f aca="false">4-0.5</f>
        <v>3.5</v>
      </c>
      <c r="J8384" s="34" t="n">
        <f aca="false">5-0.5</f>
        <v>4.5</v>
      </c>
      <c r="K8384" s="34" t="n">
        <f aca="false">6-0.5</f>
        <v>5.5</v>
      </c>
    </row>
    <row r="8385" customFormat="false" ht="15" hidden="false" customHeight="false" outlineLevel="0" collapsed="false">
      <c r="A8385" s="1" t="s">
        <v>939</v>
      </c>
      <c r="B8385" s="0" t="s">
        <v>182</v>
      </c>
      <c r="F8385" s="18" t="n">
        <f aca="false">1/(1+wacc)^Sens!F8384</f>
        <v>0.949601579913219</v>
      </c>
      <c r="G8385" s="18" t="n">
        <f aca="false">1/(1+wacc)^Sens!G8384</f>
        <v>0.856296729956707</v>
      </c>
      <c r="H8385" s="18" t="n">
        <f aca="false">1/(1+wacc)^Sens!H8384</f>
        <v>0.772159719660069</v>
      </c>
      <c r="I8385" s="18" t="n">
        <f aca="false">1/(1+wacc)^Sens!I8384</f>
        <v>0.696289746073958</v>
      </c>
      <c r="J8385" s="18" t="n">
        <f aca="false">1/(1+wacc)^Sens!J8384</f>
        <v>0.627874516299776</v>
      </c>
      <c r="K8385" s="18" t="n">
        <f aca="false">1/(1+wacc)^Sens!K8384</f>
        <v>0.566181550771831</v>
      </c>
    </row>
    <row r="8386" customFormat="false" ht="15" hidden="false" customHeight="false" outlineLevel="0" collapsed="false">
      <c r="A8386" s="1" t="s">
        <v>940</v>
      </c>
      <c r="B8386" s="0" t="s">
        <v>95</v>
      </c>
      <c r="F8386" s="6" t="n">
        <f aca="false">Sens!F8367*Sens!F8385</f>
        <v>-3.03339769302434</v>
      </c>
      <c r="G8386" s="6" t="n">
        <f aca="false">Sens!G8367*Sens!G8385</f>
        <v>15.4093276861241</v>
      </c>
      <c r="H8386" s="6" t="n">
        <f aca="false">Sens!H8367*Sens!H8385</f>
        <v>32.8877781339024</v>
      </c>
      <c r="I8386" s="6" t="n">
        <f aca="false">Sens!I8367*Sens!I8385</f>
        <v>32.778264307596</v>
      </c>
      <c r="J8386" s="6" t="n">
        <f aca="false">Sens!J8367*Sens!J8385</f>
        <v>41.3911410951826</v>
      </c>
      <c r="K8386" s="6" t="n">
        <f aca="false">Sens!K8367*Sens!K8385</f>
        <v>30.8784011290995</v>
      </c>
    </row>
    <row r="8387" customFormat="false" ht="17.15" hidden="false" customHeight="false" outlineLevel="0" collapsed="false">
      <c r="A8387" s="1" t="s">
        <v>941</v>
      </c>
      <c r="B8387" s="0" t="s">
        <v>95</v>
      </c>
      <c r="C8387" s="6" t="n">
        <f aca="false">SUM(Sens!F8386:K8386)</f>
        <v>150.31151465888</v>
      </c>
    </row>
    <row r="8388" customFormat="false" ht="17.15" hidden="false" customHeight="false" outlineLevel="0" collapsed="false">
      <c r="A8388" s="1" t="s">
        <v>942</v>
      </c>
      <c r="B8388" s="0" t="s">
        <v>95</v>
      </c>
      <c r="C8388" s="6" t="n">
        <f aca="false">Sens!K8333*(1+g_tv)*(1-tax_f)</f>
        <v>166.112727728174</v>
      </c>
    </row>
    <row r="8389" customFormat="false" ht="17.15" hidden="false" customHeight="false" outlineLevel="0" collapsed="false">
      <c r="A8389" s="1" t="s">
        <v>943</v>
      </c>
      <c r="B8389" s="0" t="s">
        <v>95</v>
      </c>
      <c r="C8389" s="6" t="n">
        <f aca="false">Sens!$C$8388*(1-g_tv/(wacc+ronic_prem))</f>
        <v>120.378196578682</v>
      </c>
    </row>
    <row r="8390" customFormat="false" ht="17.15" hidden="false" customHeight="false" outlineLevel="0" collapsed="false">
      <c r="A8390" s="1" t="s">
        <v>944</v>
      </c>
      <c r="B8390" s="0" t="s">
        <v>95</v>
      </c>
      <c r="C8390" s="6" t="n">
        <f aca="false">Sens!$C$8389/(wacc-g_tv)</f>
        <v>1524.48437164972</v>
      </c>
    </row>
    <row r="8391" customFormat="false" ht="15" hidden="false" customHeight="false" outlineLevel="0" collapsed="false">
      <c r="A8391" s="1" t="s">
        <v>945</v>
      </c>
      <c r="B8391" s="0" t="s">
        <v>95</v>
      </c>
      <c r="C8391" s="6" t="n">
        <f aca="false">Sens!$C$8390/(1+wacc)^6</f>
        <v>819.634289092666</v>
      </c>
    </row>
    <row r="8392" customFormat="false" ht="17.15" hidden="false" customHeight="false" outlineLevel="0" collapsed="false">
      <c r="A8392" s="0" t="s">
        <v>877</v>
      </c>
      <c r="B8392" s="0" t="s">
        <v>95</v>
      </c>
      <c r="C8392" s="6" t="n">
        <f aca="false">Sens!$C$8387+Sens!$C$8391</f>
        <v>969.945803751546</v>
      </c>
    </row>
    <row r="8393" customFormat="false" ht="15" hidden="false" customHeight="false" outlineLevel="0" collapsed="false">
      <c r="A8393" s="1" t="s">
        <v>878</v>
      </c>
      <c r="B8393" s="0" t="s">
        <v>126</v>
      </c>
      <c r="C8393" s="7" t="n">
        <f aca="false">Sens!$C$8391/Sens!$C$8392</f>
        <v>0.845031017117135</v>
      </c>
    </row>
    <row r="8394" customFormat="false" ht="17.15" hidden="false" customHeight="false" outlineLevel="0" collapsed="false">
      <c r="A8394" s="1" t="s">
        <v>946</v>
      </c>
      <c r="B8394" s="0" t="s">
        <v>95</v>
      </c>
      <c r="C8394" s="6" t="n">
        <f aca="false">Sens!$C$8392+Sens!E8376+oai_v</f>
        <v>1171.05280375155</v>
      </c>
    </row>
    <row r="8395" customFormat="false" ht="17.15" hidden="false" customHeight="false" outlineLevel="0" collapsed="false">
      <c r="A8395" s="0" t="s">
        <v>883</v>
      </c>
      <c r="B8395" s="0" t="s">
        <v>73</v>
      </c>
      <c r="C8395" s="5" t="n">
        <f aca="false">Sens!$C$8394/sh_dil26</f>
        <v>157.125023983838</v>
      </c>
    </row>
    <row r="8396" customFormat="false" ht="17.15" hidden="false" customHeight="false" outlineLevel="0" collapsed="false">
      <c r="A8396" s="0" t="s">
        <v>947</v>
      </c>
      <c r="B8396" s="0" t="s">
        <v>73</v>
      </c>
      <c r="C8396" s="5" t="n">
        <f aca="false">Sens!$C$8395*(1+wacc)^t_roll</f>
        <v>180.22154944023</v>
      </c>
    </row>
    <row r="8397" customFormat="false" ht="17.15" hidden="false" customHeight="false" outlineLevel="0" collapsed="false">
      <c r="A8397" s="1" t="s">
        <v>948</v>
      </c>
      <c r="B8397" s="0" t="s">
        <v>126</v>
      </c>
      <c r="F8397" s="7" t="n">
        <f aca="false">Sens!F8357/(Sens!F8308-Sens!F8264)</f>
        <v>0.0686644603972413</v>
      </c>
      <c r="G8397" s="7" t="n">
        <f aca="false">Sens!G8357/(Sens!G8308-Sens!G8264)</f>
        <v>0.0662060826831296</v>
      </c>
      <c r="H8397" s="7" t="n">
        <f aca="false">Sens!H8357/(Sens!H8308-Sens!H8264)</f>
        <v>0.0649214849933695</v>
      </c>
      <c r="I8397" s="7" t="n">
        <f aca="false">Sens!I8357/(Sens!I8308-Sens!I8264)</f>
        <v>0.0646712136081654</v>
      </c>
      <c r="J8397" s="7" t="n">
        <f aca="false">Sens!J8357/(Sens!J8308-Sens!J8264)</f>
        <v>0.0652415403985935</v>
      </c>
      <c r="K8397" s="7" t="n">
        <f aca="false">Sens!K8357/(Sens!K8308-Sens!K8264)</f>
        <v>0.0663942584137127</v>
      </c>
    </row>
    <row r="8398" customFormat="false" ht="17.15" hidden="false" customHeight="false" outlineLevel="0" collapsed="false">
      <c r="A8398" s="0" t="s">
        <v>949</v>
      </c>
      <c r="B8398" s="0" t="s">
        <v>95</v>
      </c>
      <c r="F8398" s="6" t="n">
        <f aca="false">Sens!F8293*(al_m365+Sens!F8397)</f>
        <v>78.496117620871</v>
      </c>
      <c r="G8398" s="6" t="n">
        <f aca="false">Sens!G8293*(al_m365+Sens!G8397)</f>
        <v>88.3017312446906</v>
      </c>
      <c r="H8398" s="6" t="n">
        <f aca="false">Sens!H8293*(al_m365+Sens!H8397)</f>
        <v>98.2603412531872</v>
      </c>
      <c r="I8398" s="6" t="n">
        <f aca="false">Sens!I8293*(al_m365+Sens!I8397)</f>
        <v>107.732587645087</v>
      </c>
      <c r="J8398" s="6" t="n">
        <f aca="false">Sens!J8293*(al_m365+Sens!J8397)</f>
        <v>116.538811052192</v>
      </c>
      <c r="K8398" s="6" t="n">
        <f aca="false">Sens!K8293*(al_m365+Sens!K8397)</f>
        <v>124.967577147623</v>
      </c>
    </row>
    <row r="8399" customFormat="false" ht="17.15" hidden="false" customHeight="false" outlineLevel="0" collapsed="false">
      <c r="A8399" s="0" t="s">
        <v>950</v>
      </c>
      <c r="B8399" s="0" t="s">
        <v>95</v>
      </c>
      <c r="F8399" s="6" t="n">
        <f aca="false">Sens!F8294*(al_lic+Sens!F8397)</f>
        <v>31.9869261004124</v>
      </c>
      <c r="G8399" s="6" t="n">
        <f aca="false">Sens!G8294*(al_lic+Sens!G8397)</f>
        <v>33.2412684096437</v>
      </c>
      <c r="H8399" s="6" t="n">
        <f aca="false">Sens!H8294*(al_lic+Sens!H8397)</f>
        <v>34.4089177754907</v>
      </c>
      <c r="I8399" s="6" t="n">
        <f aca="false">Sens!I8294*(al_lic+Sens!I8397)</f>
        <v>35.4706207349581</v>
      </c>
      <c r="J8399" s="6" t="n">
        <f aca="false">Sens!J8294*(al_lic+Sens!J8397)</f>
        <v>36.403641848302</v>
      </c>
      <c r="K8399" s="6" t="n">
        <f aca="false">Sens!K8294*(al_lic+Sens!K8397)</f>
        <v>37.1842174029645</v>
      </c>
    </row>
    <row r="8400" customFormat="false" ht="17.15" hidden="false" customHeight="false" outlineLevel="0" collapsed="false">
      <c r="A8400" s="0" t="s">
        <v>951</v>
      </c>
      <c r="B8400" s="0" t="s">
        <v>95</v>
      </c>
      <c r="F8400" s="6" t="n">
        <f aca="false">Sens!F8296*(al_ind+Sens!F8397)</f>
        <v>8.2423125677551</v>
      </c>
      <c r="G8400" s="6" t="n">
        <f aca="false">Sens!G8296*(al_ind+Sens!G8397)</f>
        <v>8.94978825287668</v>
      </c>
      <c r="H8400" s="6" t="n">
        <f aca="false">Sens!H8296*(al_ind+Sens!H8397)</f>
        <v>9.69735245845218</v>
      </c>
      <c r="I8400" s="6" t="n">
        <f aca="false">Sens!I8296*(al_ind+Sens!I8397)</f>
        <v>10.4810944535873</v>
      </c>
      <c r="J8400" s="6" t="n">
        <f aca="false">Sens!J8296*(al_ind+Sens!J8397)</f>
        <v>11.2929961559983</v>
      </c>
      <c r="K8400" s="6" t="n">
        <f aca="false">Sens!K8296*(al_ind+Sens!K8397)</f>
        <v>12.1216419513605</v>
      </c>
    </row>
    <row r="8401" customFormat="false" ht="17.15" hidden="false" customHeight="false" outlineLevel="0" collapsed="false">
      <c r="A8401" s="0" t="s">
        <v>952</v>
      </c>
      <c r="B8401" s="0" t="s">
        <v>95</v>
      </c>
      <c r="F8401" s="6" t="n">
        <f aca="false">Sens!F8298*(al_fro+Sens!F8397)</f>
        <v>3.24420316378706</v>
      </c>
      <c r="G8401" s="6" t="n">
        <f aca="false">Sens!G8298*(al_fro+Sens!G8397)</f>
        <v>3.43618956264641</v>
      </c>
      <c r="H8401" s="6" t="n">
        <f aca="false">Sens!H8298*(al_fro+Sens!H8397)</f>
        <v>3.65429432299802</v>
      </c>
      <c r="I8401" s="6" t="n">
        <f aca="false">Sens!I8298*(al_fro+Sens!I8397)</f>
        <v>3.90063678026843</v>
      </c>
      <c r="J8401" s="6" t="n">
        <f aca="false">Sens!J8298*(al_fro+Sens!J8397)</f>
        <v>4.17658396752517</v>
      </c>
      <c r="K8401" s="6" t="n">
        <f aca="false">Sens!K8298*(al_fro+Sens!K8397)</f>
        <v>4.48304902744893</v>
      </c>
    </row>
    <row r="8402" customFormat="false" ht="17.15" hidden="false" customHeight="false" outlineLevel="0" collapsed="false">
      <c r="A8402" s="0" t="s">
        <v>953</v>
      </c>
      <c r="B8402" s="0" t="s">
        <v>95</v>
      </c>
      <c r="F8402" s="6" t="n">
        <f aca="false">Sens!F8301*(al_srch+Sens!F8397)</f>
        <v>10.2251540159076</v>
      </c>
      <c r="G8402" s="6" t="n">
        <f aca="false">Sens!G8301*(al_srch+Sens!G8397)</f>
        <v>11.3091552968056</v>
      </c>
      <c r="H8402" s="6" t="n">
        <f aca="false">Sens!H8301*(al_srch+Sens!H8397)</f>
        <v>12.5100121503859</v>
      </c>
      <c r="I8402" s="6" t="n">
        <f aca="false">Sens!I8301*(al_srch+Sens!I8397)</f>
        <v>13.8355727178617</v>
      </c>
      <c r="J8402" s="6" t="n">
        <f aca="false">Sens!J8301*(al_srch+Sens!J8397)</f>
        <v>15.2894851280868</v>
      </c>
      <c r="K8402" s="6" t="n">
        <f aca="false">Sens!K8301*(al_srch+Sens!K8397)</f>
        <v>16.871513341038</v>
      </c>
    </row>
    <row r="8403" customFormat="false" ht="17.15" hidden="false" customHeight="false" outlineLevel="0" collapsed="false">
      <c r="A8403" s="0" t="s">
        <v>954</v>
      </c>
      <c r="B8403" s="0" t="s">
        <v>95</v>
      </c>
      <c r="F8403" s="6" t="n">
        <f aca="false">Sens!F8270</f>
        <v>35.0573455625419</v>
      </c>
      <c r="G8403" s="6" t="n">
        <f aca="false">Sens!G8270</f>
        <v>52.2504971712871</v>
      </c>
      <c r="H8403" s="6" t="n">
        <f aca="false">Sens!H8270</f>
        <v>65.2796698510271</v>
      </c>
      <c r="I8403" s="6" t="n">
        <f aca="false">Sens!I8270</f>
        <v>85.5659922535278</v>
      </c>
      <c r="J8403" s="6" t="n">
        <f aca="false">Sens!J8270</f>
        <v>105.90773710582</v>
      </c>
      <c r="K8403" s="6" t="n">
        <f aca="false">Sens!K8270</f>
        <v>126.282084319851</v>
      </c>
    </row>
    <row r="8404" customFormat="false" ht="17.15" hidden="false" customHeight="false" outlineLevel="0" collapsed="false">
      <c r="A8404" s="0" t="s">
        <v>955</v>
      </c>
      <c r="B8404" s="0" t="s">
        <v>95</v>
      </c>
      <c r="F8404" s="6" t="n">
        <f aca="false">Sens!F8330+Sens!F8281+Sens!F8397*(Sens!F8300-Sens!F8264)</f>
        <v>206.148365300759</v>
      </c>
      <c r="G8404" s="6" t="n">
        <f aca="false">Sens!G8330+Sens!G8281+Sens!G8397*(Sens!G8300-Sens!G8264)</f>
        <v>241.612651574797</v>
      </c>
      <c r="H8404" s="6" t="n">
        <f aca="false">Sens!H8330+Sens!H8281+Sens!H8397*(Sens!H8300-Sens!H8264)</f>
        <v>273.121110732251</v>
      </c>
      <c r="I8404" s="6" t="n">
        <f aca="false">Sens!I8330+Sens!I8281+Sens!I8397*(Sens!I8300-Sens!I8264)</f>
        <v>311.160919387576</v>
      </c>
      <c r="J8404" s="6" t="n">
        <f aca="false">Sens!J8330+Sens!J8281+Sens!J8397*(Sens!J8300-Sens!J8264)</f>
        <v>347.720197838658</v>
      </c>
      <c r="K8404" s="6" t="n">
        <f aca="false">Sens!K8330+Sens!K8281+Sens!K8397*(Sens!K8300-Sens!K8264)</f>
        <v>382.357489607443</v>
      </c>
    </row>
    <row r="8405" customFormat="false" ht="17.15" hidden="false" customHeight="false" outlineLevel="0" collapsed="false">
      <c r="A8405" s="0" t="s">
        <v>956</v>
      </c>
      <c r="B8405" s="0" t="s">
        <v>95</v>
      </c>
      <c r="F8405" s="6" t="n">
        <f aca="false">Sens!F8404-Sens!F8398-Sens!F8399-Sens!F8400-Sens!F8401-Sens!F8403</f>
        <v>49.1214602853918</v>
      </c>
      <c r="G8405" s="6" t="n">
        <f aca="false">Sens!G8404-Sens!G8398-Sens!G8399-Sens!G8400-Sens!G8401-Sens!G8403</f>
        <v>55.4331769336529</v>
      </c>
      <c r="H8405" s="6" t="n">
        <f aca="false">Sens!H8404-Sens!H8398-Sens!H8399-Sens!H8400-Sens!H8401-Sens!H8403</f>
        <v>61.8205350710961</v>
      </c>
      <c r="I8405" s="6" t="n">
        <f aca="false">Sens!I8404-Sens!I8398-Sens!I8399-Sens!I8400-Sens!I8401-Sens!I8403</f>
        <v>68.0099875201467</v>
      </c>
      <c r="J8405" s="6" t="n">
        <f aca="false">Sens!J8404-Sens!J8398-Sens!J8399-Sens!J8400-Sens!J8401-Sens!J8403</f>
        <v>73.4004277088208</v>
      </c>
      <c r="K8405" s="6" t="n">
        <f aca="false">Sens!K8404-Sens!K8398-Sens!K8399-Sens!K8400-Sens!K8401-Sens!K8403</f>
        <v>77.3189197581946</v>
      </c>
    </row>
    <row r="8406" customFormat="false" ht="17.15" hidden="false" customHeight="false" outlineLevel="0" collapsed="false">
      <c r="A8406" s="0" t="s">
        <v>957</v>
      </c>
      <c r="B8406" s="0" t="s">
        <v>95</v>
      </c>
      <c r="F8406" s="6" t="n">
        <f aca="false">Sens!F8332+Sens!F8397*Sens!F8307</f>
        <v>23.8136711176501</v>
      </c>
      <c r="G8406" s="6" t="n">
        <f aca="false">Sens!G8332+Sens!G8397*Sens!G8307</f>
        <v>24.4773475380891</v>
      </c>
      <c r="H8406" s="6" t="n">
        <f aca="false">Sens!H8332+Sens!H8397*Sens!H8307</f>
        <v>25.4573882141834</v>
      </c>
      <c r="I8406" s="6" t="n">
        <f aca="false">Sens!I8332+Sens!I8397*Sens!I8307</f>
        <v>26.7431195048157</v>
      </c>
      <c r="J8406" s="6" t="n">
        <f aca="false">Sens!J8332+Sens!J8397*Sens!J8307</f>
        <v>28.325664583025</v>
      </c>
      <c r="K8406" s="6" t="n">
        <f aca="false">Sens!K8332+Sens!K8397*Sens!K8307</f>
        <v>30.1986393704118</v>
      </c>
    </row>
    <row r="8407" customFormat="false" ht="17.15" hidden="false" customHeight="false" outlineLevel="0" collapsed="false">
      <c r="A8407" s="0" t="s">
        <v>958</v>
      </c>
      <c r="B8407" s="0" t="s">
        <v>95</v>
      </c>
      <c r="F8407" s="6" t="n">
        <f aca="false">(Sens!F8406-Sens!F8402)*Sens!F8303/(Sens!F8303+Sens!F8305)</f>
        <v>7.44909272493645</v>
      </c>
      <c r="G8407" s="6" t="n">
        <f aca="false">(Sens!G8406-Sens!G8402)*Sens!G8303/(Sens!G8303+Sens!G8305)</f>
        <v>7.08996621357736</v>
      </c>
      <c r="H8407" s="6" t="n">
        <f aca="false">(Sens!H8406-Sens!H8402)*Sens!H8303/(Sens!H8303+Sens!H8305)</f>
        <v>6.87690766034995</v>
      </c>
      <c r="I8407" s="6" t="n">
        <f aca="false">(Sens!I8406-Sens!I8402)*Sens!I8303/(Sens!I8303+Sens!I8305)</f>
        <v>6.79372168330839</v>
      </c>
      <c r="J8407" s="6" t="n">
        <f aca="false">(Sens!J8406-Sens!J8402)*Sens!J8303/(Sens!J8303+Sens!J8305)</f>
        <v>6.83039872362657</v>
      </c>
      <c r="K8407" s="6" t="n">
        <f aca="false">(Sens!K8406-Sens!K8402)*Sens!K8303/(Sens!K8303+Sens!K8305)</f>
        <v>6.98284224571352</v>
      </c>
    </row>
    <row r="8408" customFormat="false" ht="17.15" hidden="false" customHeight="false" outlineLevel="0" collapsed="false">
      <c r="A8408" s="0" t="s">
        <v>959</v>
      </c>
      <c r="B8408" s="0" t="s">
        <v>95</v>
      </c>
      <c r="F8408" s="6" t="n">
        <f aca="false">Sens!F8406-Sens!F8402-Sens!F8407</f>
        <v>6.1394243768061</v>
      </c>
      <c r="G8408" s="6" t="n">
        <f aca="false">Sens!G8406-Sens!G8402-Sens!G8407</f>
        <v>6.07822602770618</v>
      </c>
      <c r="H8408" s="6" t="n">
        <f aca="false">Sens!H8406-Sens!H8402-Sens!H8407</f>
        <v>6.07046840344753</v>
      </c>
      <c r="I8408" s="6" t="n">
        <f aca="false">Sens!I8406-Sens!I8402-Sens!I8407</f>
        <v>6.1138251036456</v>
      </c>
      <c r="J8408" s="6" t="n">
        <f aca="false">Sens!J8406-Sens!J8402-Sens!J8407</f>
        <v>6.20578073131164</v>
      </c>
      <c r="K8408" s="6" t="n">
        <f aca="false">Sens!K8406-Sens!K8402-Sens!K8407</f>
        <v>6.34428378366027</v>
      </c>
    </row>
    <row r="8409" customFormat="false" ht="17.15" hidden="false" customHeight="false" outlineLevel="0" collapsed="false">
      <c r="A8409" s="1" t="s">
        <v>960</v>
      </c>
      <c r="B8409" s="0" t="s">
        <v>95</v>
      </c>
      <c r="C8409" s="6" t="n">
        <f aca="false">(w_ntm28*Sens!G8403+(1-w_ntm28)*Sens!H8403)*m_ai*1</f>
        <v>338.776008390068</v>
      </c>
    </row>
    <row r="8410" customFormat="false" ht="17.15" hidden="false" customHeight="false" outlineLevel="0" collapsed="false">
      <c r="A8410" s="1" t="s">
        <v>961</v>
      </c>
      <c r="B8410" s="0" t="s">
        <v>95</v>
      </c>
      <c r="C8410" s="6" t="n">
        <f aca="false">(w_ntm28*Sens!G8405+(1-w_ntm28)*Sens!H8405)*m_cloud*1</f>
        <v>794.6241714045</v>
      </c>
    </row>
    <row r="8411" customFormat="false" ht="17.15" hidden="false" customHeight="false" outlineLevel="0" collapsed="false">
      <c r="A8411" s="1" t="s">
        <v>962</v>
      </c>
      <c r="B8411" s="0" t="s">
        <v>95</v>
      </c>
      <c r="C8411" s="6" t="n">
        <f aca="false">(w_ntm28*Sens!G8398+(1-w_ntm28)*Sens!H8398)*m_sw*1</f>
        <v>988.429252496982</v>
      </c>
    </row>
    <row r="8412" customFormat="false" ht="17.15" hidden="false" customHeight="false" outlineLevel="0" collapsed="false">
      <c r="A8412" s="1" t="s">
        <v>963</v>
      </c>
      <c r="B8412" s="0" t="s">
        <v>95</v>
      </c>
      <c r="C8412" s="6" t="n">
        <f aca="false">(w_ntm28*Sens!G8399+(1-w_ntm28)*Sens!H8399)*m_sw*1</f>
        <v>363.082554582605</v>
      </c>
    </row>
    <row r="8413" customFormat="false" ht="17.15" hidden="false" customHeight="false" outlineLevel="0" collapsed="false">
      <c r="A8413" s="1" t="s">
        <v>964</v>
      </c>
      <c r="B8413" s="0" t="s">
        <v>95</v>
      </c>
      <c r="C8413" s="6" t="n">
        <f aca="false">(w_ntm28*Sens!G8400+(1-w_ntm28)*Sens!H8400)*m_sw*1</f>
        <v>99.2678386751378</v>
      </c>
    </row>
    <row r="8414" customFormat="false" ht="17.15" hidden="false" customHeight="false" outlineLevel="0" collapsed="false">
      <c r="A8414" s="1" t="s">
        <v>965</v>
      </c>
      <c r="B8414" s="0" t="s">
        <v>95</v>
      </c>
      <c r="C8414" s="6" t="n">
        <f aca="false">(w_ntm28*Sens!G8401+(1-w_ntm28)*Sens!H8401)*m_sw*1</f>
        <v>37.8723615412171</v>
      </c>
    </row>
    <row r="8415" customFormat="false" ht="17.15" hidden="false" customHeight="false" outlineLevel="0" collapsed="false">
      <c r="A8415" s="1" t="s">
        <v>966</v>
      </c>
      <c r="B8415" s="0" t="s">
        <v>95</v>
      </c>
      <c r="C8415" s="6" t="n">
        <f aca="false">(w_ntm28*Sens!G8402+(1-w_ntm28)*Sens!H8402)*m_ads*1</f>
        <v>106.563109138726</v>
      </c>
    </row>
    <row r="8416" customFormat="false" ht="17.15" hidden="false" customHeight="false" outlineLevel="0" collapsed="false">
      <c r="A8416" s="1" t="s">
        <v>967</v>
      </c>
      <c r="B8416" s="0" t="s">
        <v>95</v>
      </c>
      <c r="C8416" s="6" t="n">
        <f aca="false">(w_ntm28*Sens!G8407+(1-w_ntm28)*Sens!H8407)*m_game*1</f>
        <v>88.6763289371617</v>
      </c>
    </row>
    <row r="8417" customFormat="false" ht="17.15" hidden="false" customHeight="false" outlineLevel="0" collapsed="false">
      <c r="A8417" s="1" t="s">
        <v>968</v>
      </c>
      <c r="B8417" s="0" t="s">
        <v>95</v>
      </c>
      <c r="C8417" s="6" t="n">
        <f aca="false">(w_ntm28*Sens!G8408+(1-w_ntm28)*Sens!H8408)*m_pc*1</f>
        <v>87.9156406671641</v>
      </c>
    </row>
    <row r="8418" customFormat="false" ht="17.15" hidden="false" customHeight="false" outlineLevel="0" collapsed="false">
      <c r="A8418" s="1" t="s">
        <v>969</v>
      </c>
      <c r="B8418" s="0" t="s">
        <v>95</v>
      </c>
      <c r="C8418" s="6" t="n">
        <f aca="false">Sens!$C$8409+Sens!$C$8410+Sens!$C$8411+Sens!$C$8412+Sens!$C$8413+Sens!$C$8414+Sens!$C$8415+Sens!$C$8416+Sens!$C$8417</f>
        <v>2905.20726583356</v>
      </c>
    </row>
    <row r="8419" customFormat="false" ht="17.15" hidden="false" customHeight="false" outlineLevel="0" collapsed="false">
      <c r="A8419" s="1" t="s">
        <v>903</v>
      </c>
      <c r="B8419" s="0" t="s">
        <v>95</v>
      </c>
      <c r="C8419" s="6" t="n">
        <f aca="false">Sens!F8376+oai_v-Sens!F8365</f>
        <v>106.848930103027</v>
      </c>
      <c r="L8419" s="1" t="s">
        <v>970</v>
      </c>
    </row>
    <row r="8420" customFormat="false" ht="15" hidden="false" customHeight="false" outlineLevel="0" collapsed="false">
      <c r="A8420" s="1" t="s">
        <v>904</v>
      </c>
      <c r="B8420" s="0" t="s">
        <v>73</v>
      </c>
      <c r="C8420" s="5" t="n">
        <f aca="false">(Sens!$C$8418+Sens!$C$8419)/Sens!F8378</f>
        <v>403.112445922991</v>
      </c>
    </row>
    <row r="8421" customFormat="false" ht="17.15" hidden="false" customHeight="false" outlineLevel="0" collapsed="false">
      <c r="A8421" s="1" t="s">
        <v>971</v>
      </c>
      <c r="B8421" s="0" t="s">
        <v>73</v>
      </c>
      <c r="C8421" s="5" t="n">
        <f aca="false">w_dcf*Sens!$C$8396+(1-w_dcf)*Sens!$C$8420</f>
        <v>291.66699768161</v>
      </c>
    </row>
    <row r="8422" customFormat="false" ht="17.15" hidden="false" customHeight="false" outlineLevel="0" collapsed="false">
      <c r="A8422" s="3" t="s">
        <v>1354</v>
      </c>
    </row>
    <row r="8423" customFormat="false" ht="15" hidden="false" customHeight="false" outlineLevel="0" collapsed="false">
      <c r="A8423" s="4" t="s">
        <v>43</v>
      </c>
      <c r="B8423" s="4" t="s">
        <v>63</v>
      </c>
      <c r="C8423" s="19" t="s">
        <v>710</v>
      </c>
      <c r="D8423" s="19" t="s">
        <v>711</v>
      </c>
      <c r="E8423" s="19" t="s">
        <v>712</v>
      </c>
      <c r="F8423" s="19" t="s">
        <v>713</v>
      </c>
      <c r="G8423" s="19" t="s">
        <v>714</v>
      </c>
      <c r="H8423" s="19" t="s">
        <v>715</v>
      </c>
      <c r="I8423" s="19" t="s">
        <v>716</v>
      </c>
      <c r="J8423" s="19" t="s">
        <v>717</v>
      </c>
      <c r="K8423" s="19" t="s">
        <v>718</v>
      </c>
      <c r="L8423" s="4" t="s">
        <v>47</v>
      </c>
    </row>
    <row r="8424" customFormat="false" ht="17.15" hidden="false" customHeight="false" outlineLevel="0" collapsed="false">
      <c r="A8424" s="1" t="s">
        <v>719</v>
      </c>
      <c r="B8424" s="0" t="s">
        <v>340</v>
      </c>
      <c r="C8424" s="27" t="n">
        <f aca="false">mw_ext_24</f>
        <v>640</v>
      </c>
      <c r="D8424" s="27" t="n">
        <f aca="false">mw_ext_25</f>
        <v>1630</v>
      </c>
      <c r="E8424" s="27" t="n">
        <f aca="false">mw_ext_26</f>
        <v>3250</v>
      </c>
      <c r="F8424" s="27" t="n">
        <f aca="false">MIN(1000000000,Sens!E8424+pace)</f>
        <v>5777.2</v>
      </c>
      <c r="G8424" s="27" t="n">
        <f aca="false">MIN(1000000000,Sens!F8424+pace)</f>
        <v>8304.4</v>
      </c>
      <c r="H8424" s="27" t="n">
        <f aca="false">MIN(1000000000,Sens!G8424+pace)</f>
        <v>10831.6</v>
      </c>
      <c r="I8424" s="27" t="n">
        <f aca="false">MIN(1000000000,Sens!H8424+pace)</f>
        <v>13358.8</v>
      </c>
      <c r="J8424" s="27" t="n">
        <f aca="false">MIN(1000000000,Sens!I8424+pace)</f>
        <v>15886</v>
      </c>
      <c r="K8424" s="27" t="n">
        <f aca="false">MIN(1000000000,Sens!J8424+pace)</f>
        <v>18413.2</v>
      </c>
      <c r="L8424" s="11" t="s">
        <v>720</v>
      </c>
    </row>
    <row r="8425" customFormat="false" ht="17.15" hidden="false" customHeight="false" outlineLevel="0" collapsed="false">
      <c r="A8425" s="1" t="s">
        <v>721</v>
      </c>
      <c r="B8425" s="0" t="s">
        <v>340</v>
      </c>
      <c r="C8425" s="27" t="n">
        <f aca="false">rent_ext_24</f>
        <v>150</v>
      </c>
      <c r="D8425" s="27" t="n">
        <f aca="false">rent_ext_25</f>
        <v>400</v>
      </c>
      <c r="E8425" s="27" t="n">
        <f aca="false">rent_ext_26</f>
        <v>550</v>
      </c>
      <c r="F8425" s="27" t="n">
        <f aca="false">rent_ext_f</f>
        <v>756</v>
      </c>
      <c r="G8425" s="27" t="n">
        <f aca="false">rent_ext_f</f>
        <v>756</v>
      </c>
      <c r="H8425" s="27" t="n">
        <f aca="false">rent_ext_f</f>
        <v>756</v>
      </c>
      <c r="I8425" s="27" t="n">
        <f aca="false">rent_ext_f</f>
        <v>756</v>
      </c>
      <c r="J8425" s="27" t="n">
        <f aca="false">rent_ext_f</f>
        <v>756</v>
      </c>
      <c r="K8425" s="27" t="n">
        <f aca="false">rent_ext_f</f>
        <v>756</v>
      </c>
      <c r="L8425" s="1" t="s">
        <v>722</v>
      </c>
    </row>
    <row r="8426" customFormat="false" ht="17.15" hidden="false" customHeight="false" outlineLevel="0" collapsed="false">
      <c r="A8426" s="1" t="s">
        <v>723</v>
      </c>
      <c r="B8426" s="0" t="s">
        <v>340</v>
      </c>
      <c r="C8426" s="27" t="n">
        <f aca="false">Sens!C8424-Sens!C8425</f>
        <v>490</v>
      </c>
      <c r="D8426" s="27" t="n">
        <f aca="false">Sens!D8424-Sens!D8425</f>
        <v>1230</v>
      </c>
      <c r="E8426" s="27" t="n">
        <f aca="false">Sens!E8424-Sens!E8425</f>
        <v>2700</v>
      </c>
      <c r="F8426" s="27" t="n">
        <f aca="false">Sens!F8424-Sens!F8425</f>
        <v>5021.2</v>
      </c>
      <c r="G8426" s="27" t="n">
        <f aca="false">Sens!G8424-Sens!G8425</f>
        <v>7548.4</v>
      </c>
      <c r="H8426" s="27" t="n">
        <f aca="false">Sens!H8424-Sens!H8425</f>
        <v>10075.6</v>
      </c>
      <c r="I8426" s="27" t="n">
        <f aca="false">Sens!I8424-Sens!I8425</f>
        <v>12602.8</v>
      </c>
      <c r="J8426" s="27" t="n">
        <f aca="false">Sens!J8424-Sens!J8425</f>
        <v>15130</v>
      </c>
      <c r="K8426" s="27" t="n">
        <f aca="false">Sens!K8424-Sens!K8425</f>
        <v>17657.2</v>
      </c>
    </row>
    <row r="8427" customFormat="false" ht="17.15" hidden="false" customHeight="false" outlineLevel="0" collapsed="false">
      <c r="A8427" s="1" t="s">
        <v>724</v>
      </c>
      <c r="B8427" s="0" t="s">
        <v>340</v>
      </c>
      <c r="C8427" s="27" t="n">
        <f aca="false">Sens!C8426/ext_sh</f>
        <v>816.666666666667</v>
      </c>
      <c r="D8427" s="27" t="n">
        <f aca="false">Sens!D8426/ext_sh</f>
        <v>2050</v>
      </c>
      <c r="E8427" s="27" t="n">
        <f aca="false">Sens!E8426/ext_sh</f>
        <v>4500</v>
      </c>
      <c r="F8427" s="27" t="n">
        <f aca="false">Sens!F8426/ext_sh</f>
        <v>8368.66666666667</v>
      </c>
      <c r="G8427" s="27" t="n">
        <f aca="false">Sens!G8426/ext_sh</f>
        <v>12580.6666666667</v>
      </c>
      <c r="H8427" s="27" t="n">
        <f aca="false">Sens!H8426/ext_sh</f>
        <v>16792.6666666667</v>
      </c>
      <c r="I8427" s="27" t="n">
        <f aca="false">Sens!I8426/ext_sh</f>
        <v>21004.6666666667</v>
      </c>
      <c r="J8427" s="27" t="n">
        <f aca="false">Sens!J8426/ext_sh</f>
        <v>25216.6666666667</v>
      </c>
      <c r="K8427" s="27" t="n">
        <f aca="false">Sens!K8426/ext_sh</f>
        <v>29428.6666666667</v>
      </c>
      <c r="L8427" s="1" t="s">
        <v>725</v>
      </c>
    </row>
    <row r="8428" customFormat="false" ht="17.15" hidden="false" customHeight="false" outlineLevel="0" collapsed="false">
      <c r="A8428" s="1" t="s">
        <v>726</v>
      </c>
      <c r="B8428" s="0" t="s">
        <v>340</v>
      </c>
      <c r="C8428" s="27" t="n">
        <f aca="false">Sens!C8427-Sens!C8426</f>
        <v>326.666666666667</v>
      </c>
      <c r="D8428" s="27" t="n">
        <f aca="false">Sens!D8427-Sens!D8426</f>
        <v>820</v>
      </c>
      <c r="E8428" s="27" t="n">
        <f aca="false">Sens!E8427-Sens!E8426</f>
        <v>1800</v>
      </c>
      <c r="F8428" s="27" t="n">
        <f aca="false">Sens!F8427-Sens!F8426</f>
        <v>3347.46666666667</v>
      </c>
      <c r="G8428" s="27" t="n">
        <f aca="false">Sens!G8427-Sens!G8426</f>
        <v>5032.26666666667</v>
      </c>
      <c r="H8428" s="27" t="n">
        <f aca="false">Sens!H8427-Sens!H8426</f>
        <v>6717.06666666667</v>
      </c>
      <c r="I8428" s="27" t="n">
        <f aca="false">Sens!I8427-Sens!I8426</f>
        <v>8401.86666666667</v>
      </c>
      <c r="J8428" s="27" t="n">
        <f aca="false">Sens!J8427-Sens!J8426</f>
        <v>10086.6666666667</v>
      </c>
      <c r="K8428" s="27" t="n">
        <f aca="false">Sens!K8427-Sens!K8426</f>
        <v>11771.4666666667</v>
      </c>
    </row>
    <row r="8429" customFormat="false" ht="17.15" hidden="false" customHeight="false" outlineLevel="0" collapsed="false">
      <c r="A8429" s="1" t="s">
        <v>727</v>
      </c>
      <c r="B8429" s="0" t="s">
        <v>340</v>
      </c>
      <c r="C8429" s="27" t="n">
        <f aca="false">Sens!C8427</f>
        <v>816.666666666667</v>
      </c>
      <c r="D8429" s="27" t="n">
        <f aca="false">Sens!D8427-Sens!C8427</f>
        <v>1233.33333333333</v>
      </c>
      <c r="E8429" s="27" t="n">
        <f aca="false">Sens!E8427-Sens!D8427</f>
        <v>2450</v>
      </c>
      <c r="F8429" s="27" t="n">
        <f aca="false">Sens!F8427-Sens!E8427</f>
        <v>3868.66666666667</v>
      </c>
      <c r="G8429" s="27" t="n">
        <f aca="false">Sens!G8427-Sens!F8427</f>
        <v>4212</v>
      </c>
      <c r="H8429" s="27" t="n">
        <f aca="false">Sens!H8427-Sens!G8427</f>
        <v>4212</v>
      </c>
      <c r="I8429" s="27" t="n">
        <f aca="false">Sens!I8427-Sens!H8427</f>
        <v>4212</v>
      </c>
      <c r="J8429" s="27" t="n">
        <f aca="false">Sens!J8427-Sens!I8427</f>
        <v>4212</v>
      </c>
      <c r="K8429" s="27" t="n">
        <f aca="false">Sens!K8427-Sens!J8427</f>
        <v>4212</v>
      </c>
    </row>
    <row r="8430" customFormat="false" ht="17.15" hidden="false" customHeight="false" outlineLevel="0" collapsed="false">
      <c r="A8430" s="1" t="s">
        <v>728</v>
      </c>
      <c r="B8430" s="0" t="s">
        <v>340</v>
      </c>
      <c r="D8430" s="27" t="n">
        <f aca="false">Sens!D8424-Sens!C8424</f>
        <v>990</v>
      </c>
      <c r="E8430" s="27" t="n">
        <f aca="false">Sens!E8424-Sens!D8424</f>
        <v>1620</v>
      </c>
      <c r="F8430" s="27" t="n">
        <f aca="false">Sens!F8424-Sens!E8424</f>
        <v>2527.2</v>
      </c>
      <c r="G8430" s="27" t="n">
        <f aca="false">Sens!G8424-Sens!F8424</f>
        <v>2527.2</v>
      </c>
      <c r="H8430" s="27" t="n">
        <f aca="false">Sens!H8424-Sens!G8424</f>
        <v>2527.2</v>
      </c>
      <c r="I8430" s="27" t="n">
        <f aca="false">Sens!I8424-Sens!H8424</f>
        <v>2527.2</v>
      </c>
      <c r="J8430" s="27" t="n">
        <f aca="false">Sens!J8424-Sens!I8424</f>
        <v>2527.2</v>
      </c>
      <c r="K8430" s="27" t="n">
        <f aca="false">Sens!K8424-Sens!J8424</f>
        <v>2527.2</v>
      </c>
    </row>
    <row r="8431" customFormat="false" ht="17.15" hidden="false" customHeight="false" outlineLevel="0" collapsed="false">
      <c r="A8431" s="1" t="s">
        <v>729</v>
      </c>
      <c r="B8431" s="0" t="s">
        <v>340</v>
      </c>
      <c r="C8431" s="27" t="n">
        <f aca="false">mix_h*Sens!C8424</f>
        <v>128</v>
      </c>
      <c r="D8431" s="27" t="n">
        <f aca="false">mix_h*Sens!D8424</f>
        <v>326</v>
      </c>
      <c r="E8431" s="27" t="n">
        <f aca="false">mix_h*Sens!E8424</f>
        <v>650</v>
      </c>
      <c r="F8431" s="27" t="n">
        <f aca="false">Sens!E8431</f>
        <v>650</v>
      </c>
      <c r="G8431" s="27" t="n">
        <f aca="false">Sens!F8431</f>
        <v>650</v>
      </c>
      <c r="H8431" s="27" t="n">
        <f aca="false">Sens!G8431</f>
        <v>650</v>
      </c>
      <c r="I8431" s="27" t="n">
        <f aca="false">Sens!H8431</f>
        <v>650</v>
      </c>
      <c r="J8431" s="27" t="n">
        <f aca="false">Sens!I8431</f>
        <v>650</v>
      </c>
      <c r="K8431" s="27" t="n">
        <f aca="false">Sens!J8431</f>
        <v>650</v>
      </c>
    </row>
    <row r="8432" customFormat="false" ht="17.15" hidden="false" customHeight="false" outlineLevel="0" collapsed="false">
      <c r="A8432" s="1" t="s">
        <v>730</v>
      </c>
      <c r="B8432" s="0" t="s">
        <v>340</v>
      </c>
      <c r="C8432" s="27" t="n">
        <f aca="false">mix_g2*Sens!C8424</f>
        <v>288</v>
      </c>
      <c r="D8432" s="27" t="n">
        <f aca="false">mix_g2*Sens!D8424</f>
        <v>733.5</v>
      </c>
      <c r="E8432" s="27" t="n">
        <f aca="false">mix_g2*Sens!E8424</f>
        <v>1462.5</v>
      </c>
      <c r="F8432" s="27" t="n">
        <f aca="false">Sens!E8432</f>
        <v>1462.5</v>
      </c>
      <c r="G8432" s="27" t="n">
        <f aca="false">Sens!F8432</f>
        <v>1462.5</v>
      </c>
      <c r="H8432" s="27" t="n">
        <f aca="false">Sens!G8432</f>
        <v>1462.5</v>
      </c>
      <c r="I8432" s="27" t="n">
        <f aca="false">Sens!H8432</f>
        <v>1462.5</v>
      </c>
      <c r="J8432" s="27" t="n">
        <f aca="false">Sens!I8432</f>
        <v>1462.5</v>
      </c>
      <c r="K8432" s="27" t="n">
        <f aca="false">Sens!J8432</f>
        <v>1462.5</v>
      </c>
    </row>
    <row r="8433" customFormat="false" ht="17.15" hidden="false" customHeight="false" outlineLevel="0" collapsed="false">
      <c r="A8433" s="1" t="s">
        <v>731</v>
      </c>
      <c r="B8433" s="0" t="s">
        <v>340</v>
      </c>
      <c r="C8433" s="27" t="n">
        <f aca="false">mix_g3*Sens!C8424</f>
        <v>224</v>
      </c>
      <c r="D8433" s="27" t="n">
        <f aca="false">mix_g3*Sens!D8424</f>
        <v>570.5</v>
      </c>
      <c r="E8433" s="27" t="n">
        <f aca="false">mix_g3*Sens!E8424</f>
        <v>1137.5</v>
      </c>
      <c r="F8433" s="27" t="n">
        <f aca="false">Sens!E8433+Sens!F8430*a_g3_27</f>
        <v>2906.54</v>
      </c>
      <c r="G8433" s="27" t="n">
        <f aca="false">Sens!F8433+Sens!G8430*a_g3_28</f>
        <v>3664.7</v>
      </c>
      <c r="H8433" s="27" t="n">
        <f aca="false">Sens!G8433+Sens!H8430*a_g3_29</f>
        <v>3917.42</v>
      </c>
      <c r="I8433" s="27" t="n">
        <f aca="false">Sens!H8433+Sens!I8430*a_g3_29</f>
        <v>4170.14</v>
      </c>
      <c r="J8433" s="27" t="n">
        <f aca="false">Sens!I8433+Sens!J8430*a_g3_29</f>
        <v>4422.86</v>
      </c>
      <c r="K8433" s="27" t="n">
        <f aca="false">Sens!J8433+Sens!K8430*a_g3_29</f>
        <v>4675.58</v>
      </c>
    </row>
    <row r="8434" customFormat="false" ht="17.15" hidden="false" customHeight="false" outlineLevel="0" collapsed="false">
      <c r="A8434" s="1" t="s">
        <v>732</v>
      </c>
      <c r="B8434" s="0" t="s">
        <v>340</v>
      </c>
      <c r="C8434" s="27" t="n">
        <f aca="false">0</f>
        <v>0</v>
      </c>
      <c r="D8434" s="27" t="n">
        <f aca="false">0</f>
        <v>0</v>
      </c>
      <c r="E8434" s="27" t="n">
        <f aca="false">0</f>
        <v>0</v>
      </c>
      <c r="F8434" s="27" t="n">
        <f aca="false">Sens!E8434+Sens!F8430*(1-a_g3_27)</f>
        <v>758.16</v>
      </c>
      <c r="G8434" s="27" t="n">
        <f aca="false">Sens!F8434+Sens!G8430*(1-a_g3_28)</f>
        <v>2527.2</v>
      </c>
      <c r="H8434" s="27" t="n">
        <f aca="false">Sens!G8434+Sens!H8430*(1-a_g3_29)</f>
        <v>4801.68</v>
      </c>
      <c r="I8434" s="27" t="n">
        <f aca="false">Sens!H8434+Sens!I8430*(1-a_g3_29)</f>
        <v>7076.16</v>
      </c>
      <c r="J8434" s="27" t="n">
        <f aca="false">Sens!I8434+Sens!J8430*(1-a_g3_29)</f>
        <v>9350.64</v>
      </c>
      <c r="K8434" s="27" t="n">
        <f aca="false">Sens!J8434+Sens!K8430*(1-a_g3_29)</f>
        <v>11625.12</v>
      </c>
    </row>
    <row r="8435" customFormat="false" ht="17.15" hidden="false" customHeight="false" outlineLevel="0" collapsed="false">
      <c r="A8435" s="1" t="s">
        <v>733</v>
      </c>
      <c r="B8435" s="0" t="s">
        <v>291</v>
      </c>
      <c r="C8435" s="18" t="n">
        <f aca="false">(Sens!C8431*tk_hold_h100+Sens!C8432*tk_hold_gb200+Sens!C8433*tk_hold_gb300+Sens!C8434*tk_hold_vr200)/Sens!C8424</f>
        <v>9.7235358126469</v>
      </c>
      <c r="D8435" s="18" t="n">
        <f aca="false">(Sens!D8431*tk_hold_h100+Sens!D8432*tk_hold_gb200+Sens!D8433*tk_hold_gb300+Sens!D8434*tk_hold_vr200)/Sens!D8424</f>
        <v>9.7235358126469</v>
      </c>
      <c r="E8435" s="18" t="n">
        <f aca="false">(Sens!E8431*tk_hold_h100+Sens!E8432*tk_hold_gb200+Sens!E8433*tk_hold_gb300+Sens!E8434*tk_hold_vr200)/Sens!E8424</f>
        <v>9.7235358126469</v>
      </c>
      <c r="F8435" s="18" t="n">
        <f aca="false">(Sens!F8431*tk_hold_h100+Sens!F8432*tk_hold_gb200+Sens!F8433*tk_hold_gb300+Sens!F8434*tk_hold_vr200)/Sens!F8424</f>
        <v>10.4079573161931</v>
      </c>
      <c r="G8435" s="18" t="n">
        <f aca="false">(Sens!G8431*tk_hold_h100+Sens!G8432*tk_hold_gb200+Sens!G8433*tk_hold_gb300+Sens!G8434*tk_hold_vr200)/Sens!G8424</f>
        <v>10.8388131109316</v>
      </c>
      <c r="H8435" s="18" t="n">
        <f aca="false">(Sens!H8431*tk_hold_h100+Sens!H8432*tk_hold_gb200+Sens!H8433*tk_hold_gb300+Sens!H8434*tk_hold_vr200)/Sens!H8424</f>
        <v>11.1311018388216</v>
      </c>
      <c r="I8435" s="18" t="n">
        <f aca="false">(Sens!I8431*tk_hold_h100+Sens!I8432*tk_hold_gb200+Sens!I8433*tk_hold_gb300+Sens!I8434*tk_hold_vr200)/Sens!I8424</f>
        <v>11.3128009818501</v>
      </c>
      <c r="J8435" s="18" t="n">
        <f aca="false">(Sens!J8431*tk_hold_h100+Sens!J8432*tk_hold_gb200+Sens!J8433*tk_hold_gb300+Sens!J8434*tk_hold_vr200)/Sens!J8424</f>
        <v>11.4366894646418</v>
      </c>
      <c r="K8435" s="18" t="n">
        <f aca="false">(Sens!K8431*tk_hold_h100+Sens!K8432*tk_hold_gb200+Sens!K8433*tk_hold_gb300+Sens!K8434*tk_hold_vr200)/Sens!K8424</f>
        <v>11.526570716348</v>
      </c>
    </row>
    <row r="8436" customFormat="false" ht="17.15" hidden="false" customHeight="false" outlineLevel="0" collapsed="false">
      <c r="A8436" s="0" t="s">
        <v>734</v>
      </c>
      <c r="B8436" s="0" t="s">
        <v>182</v>
      </c>
      <c r="C8436" s="18" t="n">
        <f aca="false">k_B</f>
        <v>1.17213932619116</v>
      </c>
      <c r="D8436" s="18" t="n">
        <f aca="false">k_B</f>
        <v>1.17213932619116</v>
      </c>
      <c r="E8436" s="18" t="n">
        <f aca="false">k_B</f>
        <v>1.17213932619116</v>
      </c>
      <c r="F8436" s="18" t="n">
        <f aca="false">(k_B+((ls_A*k_long+(1-ls_A)*k_spot)-k_B)*MIN(1,1/3))*1</f>
        <v>1.25022828131298</v>
      </c>
      <c r="G8436" s="18" t="n">
        <f aca="false">(k_B+((ls_A*k_long+(1-ls_A)*k_spot)-k_B)*MIN(1,2/3))*1</f>
        <v>1.3283172364348</v>
      </c>
      <c r="H8436" s="18" t="n">
        <f aca="false">(k_B+((ls_A*k_long+(1-ls_A)*k_spot)-k_B)*MIN(1,3/3))*1</f>
        <v>1.40640619155662</v>
      </c>
      <c r="I8436" s="18" t="n">
        <f aca="false">(k_B+((ls_A*k_long+(1-ls_A)*k_spot)-k_B)*MIN(1,4/3))*1</f>
        <v>1.40640619155662</v>
      </c>
      <c r="J8436" s="18" t="n">
        <f aca="false">(k_B+((ls_A*k_long+(1-ls_A)*k_spot)-k_B)*MIN(1,5/3))*1</f>
        <v>1.40640619155662</v>
      </c>
      <c r="K8436" s="18" t="n">
        <f aca="false">(k_B+((ls_A*k_long+(1-ls_A)*k_spot)-k_B)*MIN(1,6/3))*1</f>
        <v>1.40640619155662</v>
      </c>
      <c r="L8436" s="1" t="s">
        <v>735</v>
      </c>
    </row>
    <row r="8437" customFormat="false" ht="17.15" hidden="false" customHeight="false" outlineLevel="0" collapsed="false">
      <c r="A8437" s="1" t="s">
        <v>736</v>
      </c>
      <c r="B8437" s="0" t="s">
        <v>291</v>
      </c>
      <c r="C8437" s="18" t="n">
        <f aca="false">Sens!C8435*Sens!C8436*chip_f</f>
        <v>11.3973387156315</v>
      </c>
      <c r="D8437" s="18" t="n">
        <f aca="false">Sens!D8435*Sens!D8436*chip_f</f>
        <v>11.3973387156315</v>
      </c>
      <c r="E8437" s="18" t="n">
        <f aca="false">Sens!E8435*Sens!E8436*chip_f</f>
        <v>11.3973387156315</v>
      </c>
      <c r="F8437" s="18" t="n">
        <f aca="false">Sens!F8435*Sens!F8436*chip_f</f>
        <v>13.0123225874029</v>
      </c>
      <c r="G8437" s="18" t="n">
        <f aca="false">Sens!G8435*Sens!G8436*chip_f</f>
        <v>14.3973822777458</v>
      </c>
      <c r="H8437" s="18" t="n">
        <f aca="false">Sens!H8435*Sens!H8436*chip_f</f>
        <v>15.6548505449659</v>
      </c>
      <c r="I8437" s="18" t="n">
        <f aca="false">Sens!I8435*Sens!I8436*chip_f</f>
        <v>15.9103933447218</v>
      </c>
      <c r="J8437" s="18" t="n">
        <f aca="false">Sens!J8435*Sens!J8436*chip_f</f>
        <v>16.0846308739825</v>
      </c>
      <c r="K8437" s="18" t="n">
        <f aca="false">Sens!K8435*Sens!K8436*chip_f</f>
        <v>16.211040422887</v>
      </c>
      <c r="L8437" s="1" t="s">
        <v>737</v>
      </c>
    </row>
    <row r="8438" customFormat="false" ht="17.15" hidden="false" customHeight="false" outlineLevel="0" collapsed="false">
      <c r="A8438" s="0" t="s">
        <v>738</v>
      </c>
      <c r="B8438" s="0" t="s">
        <v>95</v>
      </c>
      <c r="D8438" s="6" t="n">
        <f aca="false">(Sens!C8424+Sens!D8424)/2*Sens!D8437/1000</f>
        <v>12.9359794422418</v>
      </c>
      <c r="E8438" s="6" t="n">
        <f aca="false">(Sens!D8424+Sens!E8424)/2*Sens!E8437/1000</f>
        <v>27.8095064661409</v>
      </c>
      <c r="F8438" s="6" t="n">
        <f aca="false">(Sens!E8424+Sens!F8424)/2*Sens!F8437/1000</f>
        <v>58.7324192305018</v>
      </c>
      <c r="G8438" s="6" t="n">
        <f aca="false">(Sens!F8424+Sens!G8424)/2*Sens!G8437/1000</f>
        <v>101.369089141153</v>
      </c>
      <c r="H8438" s="6" t="n">
        <f aca="false">(Sens!G8424+Sens!H8424)/2*Sens!H8437/1000</f>
        <v>149.785610014234</v>
      </c>
      <c r="I8438" s="6" t="n">
        <f aca="false">(Sens!H8424+Sens!I8424)/2*Sens!I8437/1000</f>
        <v>192.439389583079</v>
      </c>
      <c r="J8438" s="6" t="n">
        <f aca="false">(Sens!I8424+Sens!J8424)/2*Sens!J8437/1000</f>
        <v>235.195906491722</v>
      </c>
      <c r="K8438" s="6" t="n">
        <f aca="false">(Sens!J8424+Sens!K8424)/2*Sens!K8437/1000</f>
        <v>278.012858836343</v>
      </c>
      <c r="L8438" s="11" t="s">
        <v>739</v>
      </c>
    </row>
    <row r="8439" customFormat="false" ht="17.15" hidden="false" customHeight="false" outlineLevel="0" collapsed="false">
      <c r="A8439" s="1" t="s">
        <v>740</v>
      </c>
      <c r="B8439" s="0" t="s">
        <v>291</v>
      </c>
      <c r="C8439" s="18" t="n">
        <f aca="false">(Sens!C8431*tk_opex_h100+Sens!C8432*tk_opex_gb200+Sens!C8433*tk_opex_gb300+Sens!C8434*tk_opex_vr200)/Sens!C8424</f>
        <v>1.88636041306092</v>
      </c>
      <c r="D8439" s="18" t="n">
        <f aca="false">(Sens!D8431*tk_opex_h100+Sens!D8432*tk_opex_gb200+Sens!D8433*tk_opex_gb300+Sens!D8434*tk_opex_vr200)/Sens!D8424</f>
        <v>1.88636041306092</v>
      </c>
      <c r="E8439" s="18" t="n">
        <f aca="false">(Sens!E8431*tk_opex_h100+Sens!E8432*tk_opex_gb200+Sens!E8433*tk_opex_gb300+Sens!E8434*tk_opex_vr200)/Sens!E8424</f>
        <v>1.88636041306092</v>
      </c>
      <c r="F8439" s="18" t="n">
        <f aca="false">(Sens!F8431*tk_opex_h100+Sens!F8432*tk_opex_gb200+Sens!F8433*tk_opex_gb300+Sens!F8434*tk_opex_vr200)/Sens!F8424</f>
        <v>1.9430236476499</v>
      </c>
      <c r="G8439" s="18" t="n">
        <f aca="false">(Sens!G8431*tk_opex_h100+Sens!G8432*tk_opex_gb200+Sens!G8433*tk_opex_gb300+Sens!G8434*tk_opex_vr200)/Sens!G8424</f>
        <v>1.9786941852423</v>
      </c>
      <c r="H8439" s="18" t="n">
        <f aca="false">(Sens!H8431*tk_opex_h100+Sens!H8432*tk_opex_gb200+Sens!H8433*tk_opex_gb300+Sens!H8434*tk_opex_vr200)/Sens!H8424</f>
        <v>2.00289275976156</v>
      </c>
      <c r="I8439" s="18" t="n">
        <f aca="false">(Sens!I8431*tk_opex_h100+Sens!I8432*tk_opex_gb200+Sens!I8433*tk_opex_gb300+Sens!I8434*tk_opex_vr200)/Sens!I8424</f>
        <v>2.01793562605478</v>
      </c>
      <c r="J8439" s="18" t="n">
        <f aca="false">(Sens!J8431*tk_opex_h100+Sens!J8432*tk_opex_gb200+Sens!J8433*tk_opex_gb300+Sens!J8434*tk_opex_vr200)/Sens!J8424</f>
        <v>2.02819234961902</v>
      </c>
      <c r="K8439" s="18" t="n">
        <f aca="false">(Sens!K8431*tk_opex_h100+Sens!K8432*tk_opex_gb200+Sens!K8433*tk_opex_gb300+Sens!K8434*tk_opex_vr200)/Sens!K8424</f>
        <v>2.0356336155994</v>
      </c>
    </row>
    <row r="8440" customFormat="false" ht="17.15" hidden="false" customHeight="false" outlineLevel="0" collapsed="false">
      <c r="A8440" s="0" t="s">
        <v>741</v>
      </c>
      <c r="B8440" s="0" t="s">
        <v>95</v>
      </c>
      <c r="D8440" s="6" t="n">
        <f aca="false">(Sens!C8427+Sens!D8427)/2*Sens!D8439/1000</f>
        <v>2.70378325872065</v>
      </c>
      <c r="E8440" s="6" t="n">
        <f aca="false">(Sens!D8427+Sens!E8427)/2*Sens!E8439/1000</f>
        <v>6.17783035277451</v>
      </c>
      <c r="F8440" s="6" t="n">
        <f aca="false">(Sens!E8427+Sens!F8427)/2*Sens!F8439/1000</f>
        <v>12.5020618235287</v>
      </c>
      <c r="G8440" s="6" t="n">
        <f aca="false">(Sens!F8427+Sens!G8427)/2*Sens!G8439/1000</f>
        <v>20.7261620256847</v>
      </c>
      <c r="H8440" s="6" t="n">
        <f aca="false">(Sens!G8427+Sens!H8427)/2*Sens!H8439/1000</f>
        <v>29.4158183316982</v>
      </c>
      <c r="I8440" s="6" t="n">
        <f aca="false">(Sens!H8427+Sens!I8427)/2*Sens!I8439/1000</f>
        <v>38.1362927516005</v>
      </c>
      <c r="J8440" s="6" t="n">
        <f aca="false">(Sens!I8427+Sens!J8427)/2*Sens!J8439/1000</f>
        <v>46.8728773279286</v>
      </c>
      <c r="K8440" s="6" t="n">
        <f aca="false">(Sens!J8427+Sens!K8427)/2*Sens!K8439/1000</f>
        <v>55.618938734484</v>
      </c>
    </row>
    <row r="8441" customFormat="false" ht="17.15" hidden="false" customHeight="false" outlineLevel="0" collapsed="false">
      <c r="A8441" s="0" t="s">
        <v>742</v>
      </c>
      <c r="B8441" s="0" t="s">
        <v>95</v>
      </c>
      <c r="D8441" s="6" t="n">
        <f aca="false">(Sens!C8425+Sens!D8425)/2*rent_mw/1000</f>
        <v>2.44475</v>
      </c>
      <c r="E8441" s="6" t="n">
        <f aca="false">(Sens!D8425+Sens!E8425)/2*rent_mw/1000</f>
        <v>4.22275</v>
      </c>
      <c r="F8441" s="6" t="n">
        <f aca="false">(Sens!E8425+Sens!F8425)/2*rent_mw/1000</f>
        <v>5.80517</v>
      </c>
      <c r="G8441" s="6" t="n">
        <f aca="false">(Sens!F8425+Sens!G8425)/2*rent_mw/1000</f>
        <v>6.72084</v>
      </c>
      <c r="H8441" s="6" t="n">
        <f aca="false">(Sens!G8425+Sens!H8425)/2*rent_mw/1000</f>
        <v>6.72084</v>
      </c>
      <c r="I8441" s="6" t="n">
        <f aca="false">(Sens!H8425+Sens!I8425)/2*rent_mw/1000</f>
        <v>6.72084</v>
      </c>
      <c r="J8441" s="6" t="n">
        <f aca="false">(Sens!I8425+Sens!J8425)/2*rent_mw/1000</f>
        <v>6.72084</v>
      </c>
      <c r="K8441" s="6" t="n">
        <f aca="false">(Sens!J8425+Sens!K8425)/2*rent_mw/1000</f>
        <v>6.72084</v>
      </c>
    </row>
    <row r="8442" customFormat="false" ht="17.15" hidden="false" customHeight="false" outlineLevel="0" collapsed="false">
      <c r="A8442" s="0" t="s">
        <v>743</v>
      </c>
      <c r="B8442" s="0" t="s">
        <v>95</v>
      </c>
      <c r="D8442" s="6" t="n">
        <f aca="false">(Sens!C8427+Sens!D8427)/2*(1-self_build)*fac_rent/1000</f>
        <v>0.853242375631075</v>
      </c>
      <c r="E8442" s="6" t="n">
        <f aca="false">(Sens!D8427+Sens!E8427)/2*(1-self_build)*fac_rent/1000</f>
        <v>1.94955961408728</v>
      </c>
      <c r="F8442" s="6" t="n">
        <f aca="false">(Sens!E8427+Sens!F8427)/2*(1-self_build)*fac_rent/1000</f>
        <v>3.83026455274573</v>
      </c>
      <c r="G8442" s="6" t="n">
        <f aca="false">(Sens!F8427+Sens!G8427)/2*(1-self_build)*fac_rent/1000</f>
        <v>6.23541590972812</v>
      </c>
      <c r="H8442" s="6" t="n">
        <f aca="false">(Sens!G8427+Sens!H8427)/2*(1-self_build)*fac_rent/1000</f>
        <v>8.74275792332679</v>
      </c>
      <c r="I8442" s="6" t="n">
        <f aca="false">(Sens!H8427+Sens!I8427)/2*(1-self_build)*fac_rent/1000</f>
        <v>11.2500999369255</v>
      </c>
      <c r="J8442" s="6" t="n">
        <f aca="false">(Sens!I8427+Sens!J8427)/2*(1-self_build)*fac_rent/1000</f>
        <v>13.7574419505241</v>
      </c>
      <c r="K8442" s="6" t="n">
        <f aca="false">(Sens!J8427+Sens!K8427)/2*(1-self_build)*fac_rent/1000</f>
        <v>16.2647839641228</v>
      </c>
      <c r="L8442" s="11" t="s">
        <v>744</v>
      </c>
    </row>
    <row r="8443" customFormat="false" ht="17.15" hidden="false" customHeight="false" outlineLevel="0" collapsed="false">
      <c r="A8443" s="1" t="s">
        <v>745</v>
      </c>
      <c r="B8443" s="0" t="s">
        <v>126</v>
      </c>
      <c r="D8443" s="7" t="n">
        <f aca="false">(Sens!C8426+Sens!D8426)/(Sens!C8427+Sens!D8427)</f>
        <v>0.6</v>
      </c>
      <c r="E8443" s="7" t="n">
        <f aca="false">(Sens!D8426+Sens!E8426)/(Sens!D8427+Sens!E8427)</f>
        <v>0.6</v>
      </c>
      <c r="F8443" s="7" t="n">
        <f aca="false">(Sens!E8426+Sens!F8426)/(Sens!E8427+Sens!F8427)</f>
        <v>0.6</v>
      </c>
      <c r="G8443" s="7" t="n">
        <f aca="false">(Sens!F8426+Sens!G8426)/(Sens!F8427+Sens!G8427)</f>
        <v>0.6</v>
      </c>
      <c r="H8443" s="7" t="n">
        <f aca="false">(Sens!G8426+Sens!H8426)/(Sens!G8427+Sens!H8427)</f>
        <v>0.6</v>
      </c>
      <c r="I8443" s="7" t="n">
        <f aca="false">(Sens!H8426+Sens!I8426)/(Sens!H8427+Sens!I8427)</f>
        <v>0.6</v>
      </c>
      <c r="J8443" s="7" t="n">
        <f aca="false">(Sens!I8426+Sens!J8426)/(Sens!I8427+Sens!J8427)</f>
        <v>0.6</v>
      </c>
      <c r="K8443" s="7" t="n">
        <f aca="false">(Sens!J8426+Sens!K8426)/(Sens!J8427+Sens!K8427)</f>
        <v>0.6</v>
      </c>
    </row>
    <row r="8444" customFormat="false" ht="17.15" hidden="false" customHeight="false" outlineLevel="0" collapsed="false">
      <c r="A8444" s="0" t="s">
        <v>746</v>
      </c>
      <c r="B8444" s="0" t="s">
        <v>95</v>
      </c>
      <c r="D8444" s="6" t="n">
        <f aca="false">Sens!D8438-Sens!D8443*(Sens!D8440+Sens!D8442)-Sens!D8441</f>
        <v>8.35701406163072</v>
      </c>
      <c r="E8444" s="6" t="n">
        <f aca="false">Sens!E8438-Sens!E8443*(Sens!E8440+Sens!E8442)-Sens!E8441</f>
        <v>18.7103224860238</v>
      </c>
      <c r="F8444" s="6" t="n">
        <f aca="false">Sens!F8438-Sens!F8443*(Sens!F8440+Sens!F8442)-Sens!F8441</f>
        <v>43.1278534047371</v>
      </c>
      <c r="G8444" s="6" t="n">
        <f aca="false">Sens!G8438-Sens!G8443*(Sens!G8440+Sens!G8442)-Sens!G8441</f>
        <v>78.4713023799053</v>
      </c>
      <c r="H8444" s="6" t="n">
        <f aca="false">Sens!H8438-Sens!H8443*(Sens!H8440+Sens!H8442)-Sens!H8441</f>
        <v>120.169624261219</v>
      </c>
      <c r="I8444" s="6" t="n">
        <f aca="false">Sens!I8438-Sens!I8443*(Sens!I8440+Sens!I8442)-Sens!I8441</f>
        <v>156.086713969963</v>
      </c>
      <c r="J8444" s="6" t="n">
        <f aca="false">Sens!J8438-Sens!J8443*(Sens!J8440+Sens!J8442)-Sens!J8441</f>
        <v>192.09687492465</v>
      </c>
      <c r="K8444" s="6" t="n">
        <f aca="false">Sens!K8438-Sens!K8443*(Sens!K8440+Sens!K8442)-Sens!K8441</f>
        <v>228.161785217179</v>
      </c>
    </row>
    <row r="8445" customFormat="false" ht="17.15" hidden="false" customHeight="false" outlineLevel="0" collapsed="false">
      <c r="A8445" s="1" t="s">
        <v>747</v>
      </c>
      <c r="B8445" s="0" t="s">
        <v>95</v>
      </c>
      <c r="D8445" s="6" t="n">
        <f aca="false">(1-Sens!D8443)*(Sens!D8440+Sens!D8442)</f>
        <v>1.42281025374069</v>
      </c>
      <c r="E8445" s="6" t="n">
        <f aca="false">(1-Sens!E8443)*(Sens!E8440+Sens!E8442)</f>
        <v>3.25095598674472</v>
      </c>
      <c r="F8445" s="6" t="n">
        <f aca="false">(1-Sens!F8443)*(Sens!F8440+Sens!F8442)</f>
        <v>6.53293055050977</v>
      </c>
      <c r="G8445" s="6" t="n">
        <f aca="false">(1-Sens!G8443)*(Sens!G8440+Sens!G8442)</f>
        <v>10.7846311741651</v>
      </c>
      <c r="H8445" s="6" t="n">
        <f aca="false">(1-Sens!H8443)*(Sens!H8440+Sens!H8442)</f>
        <v>15.26343050201</v>
      </c>
      <c r="I8445" s="6" t="n">
        <f aca="false">(1-Sens!I8443)*(Sens!I8440+Sens!I8442)</f>
        <v>19.7545570754104</v>
      </c>
      <c r="J8445" s="6" t="n">
        <f aca="false">(1-Sens!J8443)*(Sens!J8440+Sens!J8442)</f>
        <v>24.2521277113811</v>
      </c>
      <c r="K8445" s="6" t="n">
        <f aca="false">(1-Sens!K8443)*(Sens!K8440+Sens!K8442)</f>
        <v>28.7534890794427</v>
      </c>
    </row>
    <row r="8446" customFormat="false" ht="17.15" hidden="false" customHeight="false" outlineLevel="0" collapsed="false">
      <c r="A8446" s="1" t="s">
        <v>748</v>
      </c>
      <c r="B8446" s="0" t="s">
        <v>302</v>
      </c>
      <c r="C8446" s="8" t="n">
        <f aca="false">cxit_open</f>
        <v>27.5918995</v>
      </c>
      <c r="D8446" s="8" t="n">
        <f aca="false">cxit_open</f>
        <v>27.5918995</v>
      </c>
      <c r="E8446" s="8" t="n">
        <f aca="false">cxit_open</f>
        <v>27.5918995</v>
      </c>
      <c r="F8446" s="8" t="n">
        <f aca="false">(a_g3_27*tk_cxit_gb300+(1-a_g3_27)*tk_cxit_vr200)</f>
        <v>33.8419624</v>
      </c>
      <c r="G8446" s="8" t="n">
        <f aca="false">(a_g3_28*tk_cxit_gb300+(1-a_g3_28)*tk_cxit_vr200)</f>
        <v>35.9816136</v>
      </c>
      <c r="H8446" s="8" t="n">
        <f aca="false">(a_g3_29*tk_cxit_gb300+(1-a_g3_29)*tk_cxit_vr200)</f>
        <v>37.0514392</v>
      </c>
      <c r="I8446" s="8" t="n">
        <f aca="false">(a_g3_29*tk_cxit_gb300+(1-a_g3_29)*tk_cxit_vr200)</f>
        <v>37.0514392</v>
      </c>
      <c r="J8446" s="8" t="n">
        <f aca="false">(a_g3_29*tk_cxit_gb300+(1-a_g3_29)*tk_cxit_vr200)</f>
        <v>37.0514392</v>
      </c>
      <c r="K8446" s="8" t="n">
        <f aca="false">(a_g3_29*tk_cxit_gb300+(1-a_g3_29)*tk_cxit_vr200)</f>
        <v>37.0514392</v>
      </c>
      <c r="L8446" s="11" t="s">
        <v>749</v>
      </c>
    </row>
    <row r="8447" customFormat="false" ht="17.15" hidden="false" customHeight="false" outlineLevel="0" collapsed="false">
      <c r="A8447" s="0" t="s">
        <v>750</v>
      </c>
      <c r="B8447" s="0" t="s">
        <v>340</v>
      </c>
      <c r="F8447" s="27" t="n">
        <f aca="false">Sens!C8429*IF(3=life_it,1,0)+Sens!D8429*IF(2=life_it,1,0)+Sens!E8429*IF(1=life_it,1,0)</f>
        <v>0</v>
      </c>
      <c r="G8447" s="27" t="n">
        <f aca="false">Sens!C8429*IF(4=life_it,1,0)+Sens!D8429*IF(3=life_it,1,0)+Sens!E8429*IF(2=life_it,1,0)+Sens!F8429*IF(1=life_it,1,0)</f>
        <v>0</v>
      </c>
      <c r="H8447" s="27" t="n">
        <f aca="false">Sens!C8429*IF(5=life_it,1,0)+Sens!D8429*IF(4=life_it,1,0)+Sens!E8429*IF(3=life_it,1,0)+Sens!F8429*IF(2=life_it,1,0)+Sens!G8429*IF(1=life_it,1,0)</f>
        <v>0</v>
      </c>
      <c r="I8447" s="27" t="n">
        <f aca="false">Sens!C8429*IF(6=life_it,1,0)+Sens!D8429*IF(5=life_it,1,0)+Sens!E8429*IF(4=life_it,1,0)+Sens!F8429*IF(3=life_it,1,0)+Sens!G8429*IF(2=life_it,1,0)+Sens!H8429*IF(1=life_it,1,0)</f>
        <v>816.666666666667</v>
      </c>
      <c r="J8447" s="27" t="n">
        <f aca="false">Sens!C8429*IF(7=life_it,1,0)+Sens!D8429*IF(6=life_it,1,0)+Sens!E8429*IF(5=life_it,1,0)+Sens!F8429*IF(4=life_it,1,0)+Sens!G8429*IF(3=life_it,1,0)+Sens!H8429*IF(2=life_it,1,0)+Sens!I8429*IF(1=life_it,1,0)</f>
        <v>1233.33333333333</v>
      </c>
      <c r="K8447" s="27" t="n">
        <f aca="false">Sens!C8429*IF(8=life_it,1,0)+Sens!D8429*IF(7=life_it,1,0)+Sens!E8429*IF(6=life_it,1,0)+Sens!F8429*IF(5=life_it,1,0)+Sens!G8429*IF(4=life_it,1,0)+Sens!H8429*IF(3=life_it,1,0)+Sens!I8429*IF(2=life_it,1,0)+Sens!J8429*IF(1=life_it,1,0)</f>
        <v>2450</v>
      </c>
      <c r="L8447" s="1" t="s">
        <v>751</v>
      </c>
    </row>
    <row r="8448" customFormat="false" ht="17.15" hidden="false" customHeight="false" outlineLevel="0" collapsed="false">
      <c r="A8448" s="0" t="s">
        <v>752</v>
      </c>
      <c r="B8448" s="0" t="s">
        <v>95</v>
      </c>
      <c r="C8448" s="6" t="n">
        <f aca="false">Sens!C8429*Sens!C8446/1000</f>
        <v>22.5333845916667</v>
      </c>
      <c r="D8448" s="6" t="n">
        <f aca="false">Sens!D8429*Sens!D8446/1000</f>
        <v>34.0300093833333</v>
      </c>
      <c r="E8448" s="6" t="n">
        <f aca="false">Sens!E8429*Sens!E8446/1000</f>
        <v>67.600153775</v>
      </c>
      <c r="F8448" s="6" t="n">
        <f aca="false">(Sens!F8429+Sens!F8447)*Sens!F8446/1000</f>
        <v>130.923271871467</v>
      </c>
      <c r="G8448" s="6" t="n">
        <f aca="false">(Sens!G8429+Sens!G8447)*Sens!G8446/1000</f>
        <v>151.5545564832</v>
      </c>
      <c r="H8448" s="6" t="n">
        <f aca="false">(Sens!H8429+Sens!H8447)*Sens!H8446/1000</f>
        <v>156.0606619104</v>
      </c>
      <c r="I8448" s="6" t="n">
        <f aca="false">(Sens!I8429+Sens!I8447)*Sens!I8446/1000</f>
        <v>186.319337257067</v>
      </c>
      <c r="J8448" s="6" t="n">
        <f aca="false">(Sens!J8429+Sens!J8447)*Sens!J8446/1000</f>
        <v>201.757436923733</v>
      </c>
      <c r="K8448" s="6" t="n">
        <f aca="false">(Sens!K8429+Sens!K8447)*Sens!K8446/1000</f>
        <v>246.8366879504</v>
      </c>
    </row>
    <row r="8449" customFormat="false" ht="17.15" hidden="false" customHeight="false" outlineLevel="0" collapsed="false">
      <c r="A8449" s="0" t="s">
        <v>753</v>
      </c>
      <c r="B8449" s="0" t="s">
        <v>95</v>
      </c>
      <c r="C8449" s="6" t="n">
        <f aca="false">Sens!C8429*self_build*tk_cxfac/1000</f>
        <v>6.2083</v>
      </c>
      <c r="D8449" s="6" t="n">
        <f aca="false">Sens!D8429*self_build*tk_cxfac/1000</f>
        <v>9.3758</v>
      </c>
      <c r="E8449" s="6" t="n">
        <f aca="false">Sens!E8429*self_build*tk_cxfac/1000</f>
        <v>18.6249</v>
      </c>
      <c r="F8449" s="6" t="n">
        <f aca="false">Sens!F8429*self_build*tk_cxfac/1000</f>
        <v>29.409604</v>
      </c>
      <c r="G8449" s="6" t="n">
        <f aca="false">Sens!G8429*self_build*tk_cxfac/1000</f>
        <v>32.019624</v>
      </c>
      <c r="H8449" s="6" t="n">
        <f aca="false">Sens!H8429*self_build*tk_cxfac/1000</f>
        <v>32.019624</v>
      </c>
      <c r="I8449" s="6" t="n">
        <f aca="false">Sens!I8429*self_build*tk_cxfac/1000</f>
        <v>32.019624</v>
      </c>
      <c r="J8449" s="6" t="n">
        <f aca="false">Sens!J8429*self_build*tk_cxfac/1000</f>
        <v>32.019624</v>
      </c>
      <c r="K8449" s="6" t="n">
        <f aca="false">Sens!K8429*self_build*tk_cxfac/1000</f>
        <v>32.019624</v>
      </c>
    </row>
    <row r="8450" customFormat="false" ht="17.15" hidden="false" customHeight="false" outlineLevel="0" collapsed="false">
      <c r="A8450" s="0" t="s">
        <v>754</v>
      </c>
      <c r="B8450" s="0" t="s">
        <v>95</v>
      </c>
      <c r="F8450" s="6" t="n">
        <f aca="false">MAX(0,capex_floor27-Sens!F8448-Sens!F8449-Sens!F8537)</f>
        <v>8.14213489897089</v>
      </c>
      <c r="G8450" s="6" t="n">
        <f aca="false">0</f>
        <v>0</v>
      </c>
      <c r="H8450" s="6" t="n">
        <f aca="false">0</f>
        <v>0</v>
      </c>
      <c r="I8450" s="6" t="n">
        <f aca="false">0</f>
        <v>0</v>
      </c>
      <c r="J8450" s="6" t="n">
        <f aca="false">0</f>
        <v>0</v>
      </c>
      <c r="K8450" s="6" t="n">
        <f aca="false">0</f>
        <v>0</v>
      </c>
      <c r="L8450" s="1" t="s">
        <v>755</v>
      </c>
    </row>
    <row r="8451" customFormat="false" ht="17.15" hidden="false" customHeight="false" outlineLevel="0" collapsed="false">
      <c r="A8451" s="0" t="s">
        <v>756</v>
      </c>
      <c r="B8451" s="0" t="s">
        <v>95</v>
      </c>
      <c r="C8451" s="6" t="n">
        <f aca="false">Sens!C8448</f>
        <v>22.5333845916667</v>
      </c>
      <c r="D8451" s="6" t="n">
        <f aca="false">Sens!D8448</f>
        <v>34.0300093833333</v>
      </c>
      <c r="E8451" s="6" t="n">
        <f aca="false">Sens!E8448</f>
        <v>67.600153775</v>
      </c>
      <c r="F8451" s="6" t="n">
        <f aca="false">Sens!F8448+Sens!F8450</f>
        <v>139.065406770438</v>
      </c>
      <c r="G8451" s="6" t="n">
        <f aca="false">Sens!G8448+Sens!G8450</f>
        <v>151.5545564832</v>
      </c>
      <c r="H8451" s="6" t="n">
        <f aca="false">Sens!H8448+Sens!H8450</f>
        <v>156.0606619104</v>
      </c>
      <c r="I8451" s="6" t="n">
        <f aca="false">Sens!I8448+Sens!I8450</f>
        <v>186.319337257067</v>
      </c>
      <c r="J8451" s="6" t="n">
        <f aca="false">Sens!J8448+Sens!J8450</f>
        <v>201.757436923733</v>
      </c>
      <c r="K8451" s="6" t="n">
        <f aca="false">Sens!K8448+Sens!K8450</f>
        <v>246.8366879504</v>
      </c>
    </row>
    <row r="8452" customFormat="false" ht="17.15" hidden="false" customHeight="false" outlineLevel="0" collapsed="false">
      <c r="A8452" s="0" t="s">
        <v>757</v>
      </c>
      <c r="B8452" s="0" t="s">
        <v>95</v>
      </c>
      <c r="C8452" s="6" t="n">
        <f aca="false">Sens!C8451+Sens!C8449</f>
        <v>28.7416845916667</v>
      </c>
      <c r="D8452" s="6" t="n">
        <f aca="false">Sens!D8451+Sens!D8449</f>
        <v>43.4058093833333</v>
      </c>
      <c r="E8452" s="6" t="n">
        <f aca="false">Sens!E8451+Sens!E8449</f>
        <v>86.225053775</v>
      </c>
      <c r="F8452" s="6" t="n">
        <f aca="false">Sens!F8451+Sens!F8449</f>
        <v>168.475010770438</v>
      </c>
      <c r="G8452" s="6" t="n">
        <f aca="false">Sens!G8451+Sens!G8449</f>
        <v>183.5741804832</v>
      </c>
      <c r="H8452" s="6" t="n">
        <f aca="false">Sens!H8451+Sens!H8449</f>
        <v>188.0802859104</v>
      </c>
      <c r="I8452" s="6" t="n">
        <f aca="false">Sens!I8451+Sens!I8449</f>
        <v>218.338961257067</v>
      </c>
      <c r="J8452" s="6" t="n">
        <f aca="false">Sens!J8451+Sens!J8449</f>
        <v>233.777060923733</v>
      </c>
      <c r="K8452" s="6" t="n">
        <f aca="false">Sens!K8451+Sens!K8449</f>
        <v>278.8563119504</v>
      </c>
      <c r="L8452" s="11" t="s">
        <v>758</v>
      </c>
    </row>
    <row r="8453" customFormat="false" ht="17.15" hidden="false" customHeight="false" outlineLevel="0" collapsed="false">
      <c r="A8453" s="0" t="s">
        <v>759</v>
      </c>
      <c r="B8453" s="0" t="s">
        <v>95</v>
      </c>
      <c r="E8453" s="6" t="n">
        <f aca="false">(Sens!C8451*IF(2&lt;life_it,1,IF(2=life_it,0.5,0))+Sens!D8451*IF(1&lt;life_it,1,IF(1=life_it,0.5,0))+Sens!E8451*0.5)/life_it</f>
        <v>15.0605784770833</v>
      </c>
      <c r="F8453" s="6" t="n">
        <f aca="false">(Sens!C8451*IF(3&lt;life_it,1,IF(3=life_it,0.5,0))+Sens!D8451*IF(2&lt;life_it,1,IF(2=life_it,0.5,0))+Sens!E8451*IF(1&lt;life_it,1,IF(1=life_it,0.5,0))+Sens!F8451*0.5)/life_it</f>
        <v>32.2827085225365</v>
      </c>
      <c r="G8453" s="6" t="n">
        <f aca="false">(Sens!C8451*IF(4&lt;life_it,1,IF(4=life_it,0.5,0))+Sens!D8451*IF(3&lt;life_it,1,IF(3=life_it,0.5,0))+Sens!E8451*IF(2&lt;life_it,1,IF(2=life_it,0.5,0))+Sens!F8451*IF(1&lt;life_it,1,IF(1=life_it,0.5,0))+Sens!G8451*0.5)/life_it</f>
        <v>56.5010387936729</v>
      </c>
      <c r="H8453" s="6" t="n">
        <f aca="false">(Sens!C8451*IF(5&lt;life_it,1,IF(5=life_it,0.5,0))+Sens!D8451*IF(4&lt;life_it,1,IF(4=life_it,0.5,0))+Sens!E8451*IF(3&lt;life_it,1,IF(3=life_it,0.5,0))+Sens!F8451*IF(2&lt;life_it,1,IF(2=life_it,0.5,0))+Sens!G8451*IF(1&lt;life_it,1,IF(1=life_it,0.5,0))+Sens!H8451*0.5)/life_it</f>
        <v>82.1356403264729</v>
      </c>
      <c r="I8453" s="6" t="n">
        <f aca="false">(Sens!C8451*IF(6&lt;life_it,1,IF(6=life_it,0.5,0))+Sens!D8451*IF(5&lt;life_it,1,IF(5=life_it,0.5,0))+Sens!E8451*IF(4&lt;life_it,1,IF(4=life_it,0.5,0))+Sens!F8451*IF(3&lt;life_it,1,IF(3=life_it,0.5,0))+Sens!G8451*IF(2&lt;life_it,1,IF(2=life_it,0.5,0))+Sens!H8451*IF(1&lt;life_it,1,IF(1=life_it,0.5,0))+Sens!I8451*0.5)/life_it</f>
        <v>108.789524874456</v>
      </c>
      <c r="J8453" s="6" t="n">
        <f aca="false">(Sens!C8451*IF(7&lt;life_it,1,IF(7=life_it,0.5,0))+Sens!D8451*IF(6&lt;life_it,1,IF(6=life_it,0.5,0))+Sens!E8451*IF(5&lt;life_it,1,IF(5=life_it,0.5,0))+Sens!F8451*IF(4&lt;life_it,1,IF(4=life_it,0.5,0))+Sens!G8451*IF(3&lt;life_it,1,IF(3=life_it,0.5,0))+Sens!H8451*IF(2&lt;life_it,1,IF(2=life_it,0.5,0))+Sens!I8451*IF(1&lt;life_it,1,IF(1=life_it,0.5,0))+Sens!J8451*0.5)/life_it</f>
        <v>136.415639891606</v>
      </c>
      <c r="K8453" s="6" t="n">
        <f aca="false">(Sens!C8451*IF(8&lt;life_it,1,IF(8=life_it,0.5,0))+Sens!D8451*IF(7&lt;life_it,1,IF(7=life_it,0.5,0))+Sens!E8451*IF(6&lt;life_it,1,IF(6=life_it,0.5,0))+Sens!F8451*IF(5&lt;life_it,1,IF(5=life_it,0.5,0))+Sens!G8451*IF(4&lt;life_it,1,IF(4=life_it,0.5,0))+Sens!H8451*IF(3&lt;life_it,1,IF(3=life_it,0.5,0))+Sens!I8451*IF(2&lt;life_it,1,IF(2=life_it,0.5,0))+Sens!J8451*IF(1&lt;life_it,1,IF(1=life_it,0.5,0))+Sens!K8451*0.5)/life_it</f>
        <v>165.329303367923</v>
      </c>
    </row>
    <row r="8454" customFormat="false" ht="17.15" hidden="false" customHeight="false" outlineLevel="0" collapsed="false">
      <c r="A8454" s="0" t="s">
        <v>760</v>
      </c>
      <c r="B8454" s="0" t="s">
        <v>95</v>
      </c>
      <c r="E8454" s="6" t="n">
        <f aca="false">(Sens!C8449*IF(2&lt;life_fac,1,IF(2=life_fac,0.5,0))+Sens!D8449*IF(1&lt;life_fac,1,IF(1=life_fac,0.5,0))+Sens!E8449*0.5)/life_fac</f>
        <v>1.2448275</v>
      </c>
      <c r="F8454" s="6" t="n">
        <f aca="false">(Sens!C8449*IF(3&lt;life_fac,1,IF(3=life_fac,0.5,0))+Sens!D8449*IF(2&lt;life_fac,1,IF(2=life_fac,0.5,0))+Sens!E8449*IF(1&lt;life_fac,1,IF(1=life_fac,0.5,0))+Sens!F8449*0.5)/life_fac</f>
        <v>2.4456901</v>
      </c>
      <c r="G8454" s="6" t="n">
        <f aca="false">(Sens!C8449*IF(4&lt;life_fac,1,IF(4=life_fac,0.5,0))+Sens!D8449*IF(3&lt;life_fac,1,IF(3=life_fac,0.5,0))+Sens!E8449*IF(2&lt;life_fac,1,IF(2=life_fac,0.5,0))+Sens!F8449*IF(1&lt;life_fac,1,IF(1=life_fac,0.5,0))+Sens!G8449*0.5)/life_fac</f>
        <v>3.9814208</v>
      </c>
      <c r="H8454" s="6" t="n">
        <f aca="false">(Sens!C8449*IF(5&lt;life_fac,1,IF(5=life_fac,0.5,0))+Sens!D8449*IF(4&lt;life_fac,1,IF(4=life_fac,0.5,0))+Sens!E8449*IF(3&lt;life_fac,1,IF(3=life_fac,0.5,0))+Sens!F8449*IF(2&lt;life_fac,1,IF(2=life_fac,0.5,0))+Sens!G8449*IF(1&lt;life_fac,1,IF(1=life_fac,0.5,0))+Sens!H8449*0.5)/life_fac</f>
        <v>5.582402</v>
      </c>
      <c r="I8454" s="6" t="n">
        <f aca="false">(Sens!C8449*IF(6&lt;life_fac,1,IF(6=life_fac,0.5,0))+Sens!D8449*IF(5&lt;life_fac,1,IF(5=life_fac,0.5,0))+Sens!E8449*IF(4&lt;life_fac,1,IF(4=life_fac,0.5,0))+Sens!F8449*IF(3&lt;life_fac,1,IF(3=life_fac,0.5,0))+Sens!G8449*IF(2&lt;life_fac,1,IF(2=life_fac,0.5,0))+Sens!H8449*IF(1&lt;life_fac,1,IF(1=life_fac,0.5,0))+Sens!I8449*0.5)/life_fac</f>
        <v>7.1833832</v>
      </c>
      <c r="J8454" s="6" t="n">
        <f aca="false">(Sens!C8449*IF(7&lt;life_fac,1,IF(7=life_fac,0.5,0))+Sens!D8449*IF(6&lt;life_fac,1,IF(6=life_fac,0.5,0))+Sens!E8449*IF(5&lt;life_fac,1,IF(5=life_fac,0.5,0))+Sens!F8449*IF(4&lt;life_fac,1,IF(4=life_fac,0.5,0))+Sens!G8449*IF(3&lt;life_fac,1,IF(3=life_fac,0.5,0))+Sens!H8449*IF(2&lt;life_fac,1,IF(2=life_fac,0.5,0))+Sens!I8449*IF(1&lt;life_fac,1,IF(1=life_fac,0.5,0))+Sens!J8449*0.5)/life_fac</f>
        <v>8.7843644</v>
      </c>
      <c r="K8454" s="6" t="n">
        <f aca="false">(Sens!C8449*IF(8&lt;life_fac,1,IF(8=life_fac,0.5,0))+Sens!D8449*IF(7&lt;life_fac,1,IF(7=life_fac,0.5,0))+Sens!E8449*IF(6&lt;life_fac,1,IF(6=life_fac,0.5,0))+Sens!F8449*IF(5&lt;life_fac,1,IF(5=life_fac,0.5,0))+Sens!G8449*IF(4&lt;life_fac,1,IF(4=life_fac,0.5,0))+Sens!H8449*IF(3&lt;life_fac,1,IF(3=life_fac,0.5,0))+Sens!I8449*IF(2&lt;life_fac,1,IF(2=life_fac,0.5,0))+Sens!J8449*IF(1&lt;life_fac,1,IF(1=life_fac,0.5,0))+Sens!K8449*0.5)/life_fac</f>
        <v>10.3853456</v>
      </c>
    </row>
    <row r="8455" customFormat="false" ht="17.15" hidden="false" customHeight="false" outlineLevel="0" collapsed="false">
      <c r="A8455" s="0" t="s">
        <v>761</v>
      </c>
      <c r="B8455" s="0" t="s">
        <v>95</v>
      </c>
      <c r="E8455" s="6" t="n">
        <f aca="false">Sens!E8453+Sens!E8454</f>
        <v>16.3054059770833</v>
      </c>
      <c r="F8455" s="6" t="n">
        <f aca="false">Sens!F8453+Sens!F8454</f>
        <v>34.7283986225365</v>
      </c>
      <c r="G8455" s="6" t="n">
        <f aca="false">Sens!G8453+Sens!G8454</f>
        <v>60.4824595936729</v>
      </c>
      <c r="H8455" s="6" t="n">
        <f aca="false">Sens!H8453+Sens!H8454</f>
        <v>87.7180423264729</v>
      </c>
      <c r="I8455" s="6" t="n">
        <f aca="false">Sens!I8453+Sens!I8454</f>
        <v>115.972908074456</v>
      </c>
      <c r="J8455" s="6" t="n">
        <f aca="false">Sens!J8453+Sens!J8454</f>
        <v>145.200004291606</v>
      </c>
      <c r="K8455" s="6" t="n">
        <f aca="false">Sens!K8453+Sens!K8454</f>
        <v>175.714648967923</v>
      </c>
    </row>
    <row r="8456" customFormat="false" ht="17.15" hidden="false" customHeight="false" outlineLevel="0" collapsed="false">
      <c r="A8456" s="0" t="s">
        <v>762</v>
      </c>
      <c r="B8456" s="0" t="s">
        <v>95</v>
      </c>
      <c r="E8456" s="6" t="n">
        <f aca="false">Sens!E8444-Sens!E8443*Sens!E8455</f>
        <v>8.92707889977379</v>
      </c>
      <c r="F8456" s="6" t="n">
        <f aca="false">Sens!F8444-Sens!F8443*Sens!F8455</f>
        <v>22.2908142312152</v>
      </c>
      <c r="G8456" s="6" t="n">
        <f aca="false">Sens!G8444-Sens!G8443*Sens!G8455</f>
        <v>42.1818266237015</v>
      </c>
      <c r="H8456" s="6" t="n">
        <f aca="false">Sens!H8444-Sens!H8443*Sens!H8455</f>
        <v>67.5387988653351</v>
      </c>
      <c r="I8456" s="6" t="n">
        <f aca="false">Sens!I8444-Sens!I8443*Sens!I8455</f>
        <v>86.5029691252897</v>
      </c>
      <c r="J8456" s="6" t="n">
        <f aca="false">Sens!J8444-Sens!J8443*Sens!J8455</f>
        <v>104.976872349687</v>
      </c>
      <c r="K8456" s="6" t="n">
        <f aca="false">Sens!K8444-Sens!K8443*Sens!K8455</f>
        <v>122.732995836425</v>
      </c>
    </row>
    <row r="8457" customFormat="false" ht="17.15" hidden="false" customHeight="false" outlineLevel="0" collapsed="false">
      <c r="A8457" s="3" t="s">
        <v>1355</v>
      </c>
    </row>
    <row r="8458" customFormat="false" ht="15" hidden="false" customHeight="false" outlineLevel="0" collapsed="false">
      <c r="A8458" s="4" t="s">
        <v>43</v>
      </c>
      <c r="B8458" s="4" t="s">
        <v>63</v>
      </c>
      <c r="C8458" s="19" t="s">
        <v>710</v>
      </c>
      <c r="D8458" s="19" t="s">
        <v>711</v>
      </c>
      <c r="E8458" s="19" t="s">
        <v>712</v>
      </c>
      <c r="F8458" s="19" t="s">
        <v>713</v>
      </c>
      <c r="G8458" s="19" t="s">
        <v>714</v>
      </c>
      <c r="H8458" s="19" t="s">
        <v>715</v>
      </c>
      <c r="I8458" s="19" t="s">
        <v>716</v>
      </c>
      <c r="J8458" s="19" t="s">
        <v>717</v>
      </c>
      <c r="K8458" s="19" t="s">
        <v>718</v>
      </c>
      <c r="L8458" s="4" t="s">
        <v>47</v>
      </c>
    </row>
    <row r="8459" customFormat="false" ht="17.15" hidden="false" customHeight="false" outlineLevel="0" collapsed="false">
      <c r="A8459" s="0" t="s">
        <v>780</v>
      </c>
      <c r="B8459" s="0" t="s">
        <v>95</v>
      </c>
      <c r="D8459" s="6" t="n">
        <f aca="false">Sens!D8438</f>
        <v>12.9359794422418</v>
      </c>
      <c r="E8459" s="6" t="n">
        <f aca="false">Sens!E8438</f>
        <v>27.8095064661409</v>
      </c>
      <c r="F8459" s="6" t="n">
        <f aca="false">Sens!F8438</f>
        <v>58.7324192305018</v>
      </c>
      <c r="G8459" s="6" t="n">
        <f aca="false">Sens!G8438</f>
        <v>101.369089141153</v>
      </c>
      <c r="H8459" s="6" t="n">
        <f aca="false">Sens!H8438</f>
        <v>149.785610014234</v>
      </c>
      <c r="I8459" s="6" t="n">
        <f aca="false">Sens!I8438</f>
        <v>192.439389583079</v>
      </c>
      <c r="J8459" s="6" t="n">
        <f aca="false">Sens!J8438</f>
        <v>235.195906491722</v>
      </c>
      <c r="K8459" s="6" t="n">
        <f aca="false">Sens!K8438</f>
        <v>278.012858836343</v>
      </c>
    </row>
    <row r="8460" customFormat="false" ht="17.15" hidden="false" customHeight="false" outlineLevel="0" collapsed="false">
      <c r="A8460" s="0" t="s">
        <v>781</v>
      </c>
      <c r="B8460" s="0" t="s">
        <v>95</v>
      </c>
      <c r="D8460" s="6" t="n">
        <f aca="false">Q!L6-Sens!D8459</f>
        <v>59.6740205577583</v>
      </c>
      <c r="E8460" s="6" t="n">
        <f aca="false">Q!M6-Sens!E8459</f>
        <v>74.1284935338591</v>
      </c>
      <c r="F8460" s="6" t="n">
        <f aca="false">Sens!E8460*(1+Sens!F8461)</f>
        <v>90.0799497373663</v>
      </c>
      <c r="G8460" s="6" t="n">
        <f aca="false">Sens!F8460*(1+Sens!G8461)</f>
        <v>107.02842520331</v>
      </c>
      <c r="H8460" s="6" t="n">
        <f aca="false">Sens!G8460*(1+Sens!H8461)</f>
        <v>124.271982585636</v>
      </c>
      <c r="I8460" s="6" t="n">
        <f aca="false">Sens!H8460*(1+Sens!I8461)</f>
        <v>140.933702381855</v>
      </c>
      <c r="J8460" s="6" t="n">
        <f aca="false">Sens!I8460*(1+Sens!J8461)</f>
        <v>156.018867314332</v>
      </c>
      <c r="K8460" s="6" t="n">
        <f aca="false">Sens!J8460*(1+Sens!K8461)</f>
        <v>168.500376699478</v>
      </c>
    </row>
    <row r="8461" customFormat="false" ht="15" hidden="false" customHeight="false" outlineLevel="0" collapsed="false">
      <c r="A8461" s="1" t="s">
        <v>782</v>
      </c>
      <c r="B8461" s="0" t="s">
        <v>126</v>
      </c>
      <c r="E8461" s="7" t="n">
        <f aca="false">Sens!E8460/Sens!D8460-1</f>
        <v>0.242223883039864</v>
      </c>
      <c r="F8461" s="7" t="n">
        <f aca="false">Sens!$E$8461+(glt_azo-Sens!$E$8461)*MIN(1,1/n_conv)</f>
        <v>0.215186569199887</v>
      </c>
      <c r="G8461" s="7" t="n">
        <f aca="false">Sens!$E$8461+(glt_azo-Sens!$E$8461)*MIN(1,2/n_conv)</f>
        <v>0.18814925535991</v>
      </c>
      <c r="H8461" s="7" t="n">
        <f aca="false">Sens!$E$8461+(glt_azo-Sens!$E$8461)*MIN(1,3/n_conv)</f>
        <v>0.161111941519932</v>
      </c>
      <c r="I8461" s="7" t="n">
        <f aca="false">Sens!$E$8461+(glt_azo-Sens!$E$8461)*MIN(1,4/n_conv)</f>
        <v>0.134074627679955</v>
      </c>
      <c r="J8461" s="7" t="n">
        <f aca="false">Sens!$E$8461+(glt_azo-Sens!$E$8461)*MIN(1,5/n_conv)</f>
        <v>0.107037313839977</v>
      </c>
      <c r="K8461" s="7" t="n">
        <f aca="false">Sens!$E$8461+(glt_azo-Sens!$E$8461)*MIN(1,6/n_conv)</f>
        <v>0.08</v>
      </c>
    </row>
    <row r="8462" customFormat="false" ht="15" hidden="false" customHeight="false" outlineLevel="0" collapsed="false">
      <c r="A8462" s="0" t="s">
        <v>783</v>
      </c>
      <c r="B8462" s="0" t="s">
        <v>95</v>
      </c>
      <c r="D8462" s="6" t="n">
        <f aca="false">Sens!D8459+Sens!D8460</f>
        <v>72.61</v>
      </c>
      <c r="E8462" s="6" t="n">
        <f aca="false">Sens!E8459+Sens!E8460</f>
        <v>101.938</v>
      </c>
      <c r="F8462" s="6" t="n">
        <f aca="false">Sens!F8459+Sens!F8460</f>
        <v>148.812368967868</v>
      </c>
      <c r="G8462" s="6" t="n">
        <f aca="false">Sens!G8459+Sens!G8460</f>
        <v>208.397514344463</v>
      </c>
      <c r="H8462" s="6" t="n">
        <f aca="false">Sens!H8459+Sens!H8460</f>
        <v>274.05759259987</v>
      </c>
      <c r="I8462" s="6" t="n">
        <f aca="false">Sens!I8459+Sens!I8460</f>
        <v>333.373091964934</v>
      </c>
      <c r="J8462" s="6" t="n">
        <f aca="false">Sens!J8459+Sens!J8460</f>
        <v>391.214773806054</v>
      </c>
      <c r="K8462" s="6" t="n">
        <f aca="false">Sens!K8459+Sens!K8460</f>
        <v>446.513235535821</v>
      </c>
    </row>
    <row r="8463" customFormat="false" ht="17.15" hidden="false" customHeight="false" outlineLevel="0" collapsed="false">
      <c r="A8463" s="0" t="s">
        <v>784</v>
      </c>
      <c r="B8463" s="1" t="s">
        <v>451</v>
      </c>
      <c r="C8463" s="27" t="n">
        <f aca="false">cop_s24</f>
        <v>1</v>
      </c>
      <c r="D8463" s="27" t="n">
        <f aca="false">cop_s25</f>
        <v>5</v>
      </c>
      <c r="E8463" s="27" t="n">
        <f aca="false">cop_s26</f>
        <v>30</v>
      </c>
      <c r="F8463" s="27" t="n">
        <f aca="false">Sens!E8463+IF(2027&lt;=2029,cop_add_A,cop_add_A*cop_tail)</f>
        <v>60</v>
      </c>
      <c r="G8463" s="27" t="n">
        <f aca="false">Sens!F8463+IF(2028&lt;=2029,cop_add_A,cop_add_A*cop_tail)</f>
        <v>90</v>
      </c>
      <c r="H8463" s="27" t="n">
        <f aca="false">Sens!G8463+IF(2029&lt;=2029,cop_add_A,cop_add_A*cop_tail)</f>
        <v>120</v>
      </c>
      <c r="I8463" s="27" t="n">
        <f aca="false">Sens!H8463+IF(2030&lt;=2029,cop_add_A,cop_add_A*cop_tail)</f>
        <v>135</v>
      </c>
      <c r="J8463" s="27" t="n">
        <f aca="false">Sens!I8463+IF(2031&lt;=2029,cop_add_A,cop_add_A*cop_tail)</f>
        <v>150</v>
      </c>
      <c r="K8463" s="27" t="n">
        <f aca="false">Sens!J8463+IF(2032&lt;=2029,cop_add_A,cop_add_A*cop_tail)</f>
        <v>165</v>
      </c>
    </row>
    <row r="8464" customFormat="false" ht="17.15" hidden="false" customHeight="false" outlineLevel="0" collapsed="false">
      <c r="A8464" s="0" t="s">
        <v>785</v>
      </c>
      <c r="B8464" s="0" t="s">
        <v>95</v>
      </c>
      <c r="D8464" s="6" t="n">
        <f aca="false">(Sens!C8463+Sens!D8463)/2*cop_px*12/1000</f>
        <v>0.9</v>
      </c>
      <c r="E8464" s="6" t="n">
        <f aca="false">(Sens!D8463+Sens!E8463)/2*cop_px*12/1000</f>
        <v>5.25</v>
      </c>
      <c r="F8464" s="6" t="n">
        <f aca="false">(Sens!E8463+Sens!F8463)/2*cop_px*12/1000</f>
        <v>13.5</v>
      </c>
      <c r="G8464" s="6" t="n">
        <f aca="false">(Sens!F8463+Sens!G8463)/2*cop_px*12/1000</f>
        <v>22.5</v>
      </c>
      <c r="H8464" s="6" t="n">
        <f aca="false">(Sens!G8463+Sens!H8463)/2*cop_px*12/1000</f>
        <v>31.5</v>
      </c>
      <c r="I8464" s="6" t="n">
        <f aca="false">(Sens!H8463+Sens!I8463)/2*cop_px*12/1000</f>
        <v>38.25</v>
      </c>
      <c r="J8464" s="6" t="n">
        <f aca="false">(Sens!I8463+Sens!J8463)/2*cop_px*12/1000</f>
        <v>42.75</v>
      </c>
      <c r="K8464" s="6" t="n">
        <f aca="false">(Sens!J8463+Sens!K8463)/2*cop_px*12/1000</f>
        <v>47.25</v>
      </c>
      <c r="L8464" s="1" t="s">
        <v>786</v>
      </c>
    </row>
    <row r="8465" customFormat="false" ht="17.15" hidden="false" customHeight="false" outlineLevel="0" collapsed="false">
      <c r="A8465" s="0" t="s">
        <v>787</v>
      </c>
      <c r="B8465" s="0" t="s">
        <v>95</v>
      </c>
      <c r="D8465" s="6" t="n">
        <f aca="false">Q!L7-Sens!D8464</f>
        <v>83.705</v>
      </c>
      <c r="E8465" s="6" t="n">
        <f aca="false">Q!M7-Sens!E8464</f>
        <v>95.049</v>
      </c>
      <c r="F8465" s="6" t="n">
        <f aca="false">Sens!E8465*(1+Sens!F8466)</f>
        <v>106.89238776686</v>
      </c>
      <c r="G8465" s="6" t="n">
        <f aca="false">Sens!F8465*(1+Sens!G8466)</f>
        <v>119.044168448684</v>
      </c>
      <c r="H8465" s="6" t="n">
        <f aca="false">Sens!G8465*(1+Sens!H8466)</f>
        <v>131.277359388781</v>
      </c>
      <c r="I8465" s="6" t="n">
        <f aca="false">Sens!H8465*(1+Sens!I8466)</f>
        <v>143.334028071957</v>
      </c>
      <c r="J8465" s="6" t="n">
        <f aca="false">Sens!I8465*(1+Sens!J8466)</f>
        <v>154.932702785465</v>
      </c>
      <c r="K8465" s="6" t="n">
        <f aca="false">Sens!J8465*(1+Sens!K8466)</f>
        <v>165.777991980448</v>
      </c>
    </row>
    <row r="8466" customFormat="false" ht="15" hidden="false" customHeight="false" outlineLevel="0" collapsed="false">
      <c r="A8466" s="1" t="s">
        <v>782</v>
      </c>
      <c r="B8466" s="0" t="s">
        <v>126</v>
      </c>
      <c r="E8466" s="7" t="n">
        <f aca="false">Sens!E8465/Sens!D8465-1</f>
        <v>0.135523564900544</v>
      </c>
      <c r="F8466" s="7" t="n">
        <f aca="false">Sens!$E$8466+(glt_m365b-Sens!$E$8466)*MIN(1,1/n_conv)</f>
        <v>0.124602970750453</v>
      </c>
      <c r="G8466" s="7" t="n">
        <f aca="false">Sens!$E$8466+(glt_m365b-Sens!$E$8466)*MIN(1,2/n_conv)</f>
        <v>0.113682376600363</v>
      </c>
      <c r="H8466" s="7" t="n">
        <f aca="false">Sens!$E$8466+(glt_m365b-Sens!$E$8466)*MIN(1,3/n_conv)</f>
        <v>0.102761782450272</v>
      </c>
      <c r="I8466" s="7" t="n">
        <f aca="false">Sens!$E$8466+(glt_m365b-Sens!$E$8466)*MIN(1,4/n_conv)</f>
        <v>0.0918411883001813</v>
      </c>
      <c r="J8466" s="7" t="n">
        <f aca="false">Sens!$E$8466+(glt_m365b-Sens!$E$8466)*MIN(1,5/n_conv)</f>
        <v>0.0809205941500906</v>
      </c>
      <c r="K8466" s="7" t="n">
        <f aca="false">Sens!$E$8466+(glt_m365b-Sens!$E$8466)*MIN(1,6/n_conv)</f>
        <v>0.07</v>
      </c>
    </row>
    <row r="8467" customFormat="false" ht="15" hidden="false" customHeight="false" outlineLevel="0" collapsed="false">
      <c r="A8467" s="0" t="s">
        <v>788</v>
      </c>
      <c r="B8467" s="0" t="s">
        <v>95</v>
      </c>
      <c r="D8467" s="6" t="n">
        <f aca="false">Sens!D8465+Sens!D8464</f>
        <v>84.605</v>
      </c>
      <c r="E8467" s="6" t="n">
        <f aca="false">Sens!E8465+Sens!E8464</f>
        <v>100.299</v>
      </c>
      <c r="F8467" s="6" t="n">
        <f aca="false">Sens!F8465+Sens!F8464</f>
        <v>120.39238776686</v>
      </c>
      <c r="G8467" s="6" t="n">
        <f aca="false">Sens!G8465+Sens!G8464</f>
        <v>141.544168448684</v>
      </c>
      <c r="H8467" s="6" t="n">
        <f aca="false">Sens!H8465+Sens!H8464</f>
        <v>162.777359388781</v>
      </c>
      <c r="I8467" s="6" t="n">
        <f aca="false">Sens!I8465+Sens!I8464</f>
        <v>181.584028071957</v>
      </c>
      <c r="J8467" s="6" t="n">
        <f aca="false">Sens!J8465+Sens!J8464</f>
        <v>197.682702785465</v>
      </c>
      <c r="K8467" s="6" t="n">
        <f aca="false">Sens!K8465+Sens!K8464</f>
        <v>213.027991980448</v>
      </c>
    </row>
    <row r="8468" customFormat="false" ht="15" hidden="false" customHeight="false" outlineLevel="0" collapsed="false">
      <c r="A8468" s="0" t="s">
        <v>789</v>
      </c>
      <c r="B8468" s="0" t="s">
        <v>95</v>
      </c>
      <c r="D8468" s="6" t="n">
        <f aca="false">Q!L8</f>
        <v>35.391</v>
      </c>
      <c r="E8468" s="6" t="n">
        <f aca="false">Q!M8</f>
        <v>37.285</v>
      </c>
      <c r="F8468" s="6" t="n">
        <f aca="false">Sens!E8468*(1+Sens!F8469)</f>
        <v>39.0720834331704</v>
      </c>
      <c r="G8468" s="6" t="n">
        <f aca="false">Sens!F8468*(1+Sens!G8469)</f>
        <v>40.726562953769</v>
      </c>
      <c r="H8468" s="6" t="n">
        <f aca="false">Sens!G8468*(1+Sens!H8469)</f>
        <v>42.2235987259198</v>
      </c>
      <c r="I8468" s="6" t="n">
        <f aca="false">Sens!H8468*(1+Sens!I8469)</f>
        <v>43.5397988077414</v>
      </c>
      <c r="J8468" s="6" t="n">
        <f aca="false">Sens!I8468*(1+Sens!J8469)</f>
        <v>44.653811225693</v>
      </c>
      <c r="K8468" s="6" t="n">
        <f aca="false">Sens!J8468*(1+Sens!K8469)</f>
        <v>45.5468874502068</v>
      </c>
    </row>
    <row r="8469" customFormat="false" ht="15" hidden="false" customHeight="false" outlineLevel="0" collapsed="false">
      <c r="A8469" s="1" t="s">
        <v>782</v>
      </c>
      <c r="B8469" s="0" t="s">
        <v>126</v>
      </c>
      <c r="E8469" s="7" t="n">
        <f aca="false">Sens!E8468/Sens!D8468-1</f>
        <v>0.0535164307309768</v>
      </c>
      <c r="F8469" s="7" t="n">
        <f aca="false">Sens!$E$8469+(glt_lic-Sens!$E$8469)*MIN(1,1/n_conv)</f>
        <v>0.0479303589424807</v>
      </c>
      <c r="G8469" s="7" t="n">
        <f aca="false">Sens!$E$8469+(glt_lic-Sens!$E$8469)*MIN(1,2/n_conv)</f>
        <v>0.0423442871539845</v>
      </c>
      <c r="H8469" s="7" t="n">
        <f aca="false">Sens!$E$8469+(glt_lic-Sens!$E$8469)*MIN(1,3/n_conv)</f>
        <v>0.0367582153654884</v>
      </c>
      <c r="I8469" s="7" t="n">
        <f aca="false">Sens!$E$8469+(glt_lic-Sens!$E$8469)*MIN(1,4/n_conv)</f>
        <v>0.0311721435769923</v>
      </c>
      <c r="J8469" s="7" t="n">
        <f aca="false">Sens!$E$8469+(glt_lic-Sens!$E$8469)*MIN(1,5/n_conv)</f>
        <v>0.0255860717884961</v>
      </c>
      <c r="K8469" s="7" t="n">
        <f aca="false">Sens!$E$8469+(glt_lic-Sens!$E$8469)*MIN(1,6/n_conv)</f>
        <v>0.02</v>
      </c>
    </row>
    <row r="8470" customFormat="false" ht="15" hidden="false" customHeight="false" outlineLevel="0" collapsed="false">
      <c r="A8470" s="0" t="s">
        <v>790</v>
      </c>
      <c r="B8470" s="0" t="s">
        <v>95</v>
      </c>
      <c r="D8470" s="6" t="n">
        <f aca="false">Q!L9</f>
        <v>18.417</v>
      </c>
      <c r="E8470" s="6" t="n">
        <f aca="false">Q!M9</f>
        <v>20.345</v>
      </c>
      <c r="F8470" s="6" t="n">
        <f aca="false">Sens!E8470*(1+Sens!F8471)</f>
        <v>22.3572203267814</v>
      </c>
      <c r="G8470" s="6" t="n">
        <f aca="false">Sens!F8470*(1+Sens!G8471)</f>
        <v>24.4392124437232</v>
      </c>
      <c r="H8470" s="6" t="n">
        <f aca="false">Sens!G8470*(1+Sens!H8471)</f>
        <v>26.5738052080665</v>
      </c>
      <c r="I8470" s="6" t="n">
        <f aca="false">Sens!H8470*(1+Sens!I8471)</f>
        <v>28.7412169166967</v>
      </c>
      <c r="J8470" s="6" t="n">
        <f aca="false">Sens!I8470*(1+Sens!J8471)</f>
        <v>30.9192545395413</v>
      </c>
      <c r="K8470" s="6" t="n">
        <f aca="false">Sens!J8470*(1+Sens!K8471)</f>
        <v>33.0836023573092</v>
      </c>
    </row>
    <row r="8471" customFormat="false" ht="15" hidden="false" customHeight="false" outlineLevel="0" collapsed="false">
      <c r="A8471" s="1" t="s">
        <v>782</v>
      </c>
      <c r="B8471" s="0" t="s">
        <v>126</v>
      </c>
      <c r="E8471" s="7" t="n">
        <f aca="false">Sens!E8470/Sens!D8470-1</f>
        <v>0.104685888038225</v>
      </c>
      <c r="F8471" s="7" t="n">
        <f aca="false">Sens!$E$8471+(glt_ind-Sens!$E$8471)*MIN(1,1/n_conv)</f>
        <v>0.0989049066985211</v>
      </c>
      <c r="G8471" s="7" t="n">
        <f aca="false">Sens!$E$8471+(glt_ind-Sens!$E$8471)*MIN(1,2/n_conv)</f>
        <v>0.0931239253588169</v>
      </c>
      <c r="H8471" s="7" t="n">
        <f aca="false">Sens!$E$8471+(glt_ind-Sens!$E$8471)*MIN(1,3/n_conv)</f>
        <v>0.0873429440191127</v>
      </c>
      <c r="I8471" s="7" t="n">
        <f aca="false">Sens!$E$8471+(glt_ind-Sens!$E$8471)*MIN(1,4/n_conv)</f>
        <v>0.0815619626794085</v>
      </c>
      <c r="J8471" s="7" t="n">
        <f aca="false">Sens!$E$8471+(glt_ind-Sens!$E$8471)*MIN(1,5/n_conv)</f>
        <v>0.0757809813397042</v>
      </c>
      <c r="K8471" s="7" t="n">
        <f aca="false">Sens!$E$8471+(glt_ind-Sens!$E$8471)*MIN(1,6/n_conv)</f>
        <v>0.07</v>
      </c>
    </row>
    <row r="8472" customFormat="false" ht="15" hidden="false" customHeight="false" outlineLevel="0" collapsed="false">
      <c r="A8472" s="0" t="s">
        <v>791</v>
      </c>
      <c r="B8472" s="0" t="s">
        <v>95</v>
      </c>
      <c r="D8472" s="6" t="n">
        <f aca="false">Q!L10</f>
        <v>7.76</v>
      </c>
      <c r="E8472" s="6" t="n">
        <f aca="false">Q!M10</f>
        <v>8.26</v>
      </c>
      <c r="F8472" s="6" t="n">
        <f aca="false">Sens!E8472*(1+Sens!F8473)</f>
        <v>8.79988041237113</v>
      </c>
      <c r="G8472" s="6" t="n">
        <f aca="false">Sens!F8472*(1+Sens!G8473)</f>
        <v>9.38321269125306</v>
      </c>
      <c r="H8472" s="6" t="n">
        <f aca="false">Sens!G8472*(1+Sens!H8473)</f>
        <v>10.0139193587476</v>
      </c>
      <c r="I8472" s="6" t="n">
        <f aca="false">Sens!H8472*(1+Sens!I8473)</f>
        <v>10.6963111830911</v>
      </c>
      <c r="J8472" s="6" t="n">
        <f aca="false">Sens!I8472*(1+Sens!J8473)</f>
        <v>11.4351285534696</v>
      </c>
      <c r="K8472" s="6" t="n">
        <f aca="false">Sens!J8472*(1+Sens!K8473)</f>
        <v>12.2355875522124</v>
      </c>
    </row>
    <row r="8473" customFormat="false" ht="15" hidden="false" customHeight="false" outlineLevel="0" collapsed="false">
      <c r="A8473" s="1" t="s">
        <v>782</v>
      </c>
      <c r="B8473" s="0" t="s">
        <v>126</v>
      </c>
      <c r="E8473" s="7" t="n">
        <f aca="false">Sens!E8472/Sens!D8472-1</f>
        <v>0.0644329896907216</v>
      </c>
      <c r="F8473" s="7" t="n">
        <f aca="false">Sens!$E$8473+(glt_fro-Sens!$E$8473)*MIN(1,1/n_conv)</f>
        <v>0.065360824742268</v>
      </c>
      <c r="G8473" s="7" t="n">
        <f aca="false">Sens!$E$8473+(glt_fro-Sens!$E$8473)*MIN(1,2/n_conv)</f>
        <v>0.0662886597938144</v>
      </c>
      <c r="H8473" s="7" t="n">
        <f aca="false">Sens!$E$8473+(glt_fro-Sens!$E$8473)*MIN(1,3/n_conv)</f>
        <v>0.0672164948453608</v>
      </c>
      <c r="I8473" s="7" t="n">
        <f aca="false">Sens!$E$8473+(glt_fro-Sens!$E$8473)*MIN(1,4/n_conv)</f>
        <v>0.0681443298969072</v>
      </c>
      <c r="J8473" s="7" t="n">
        <f aca="false">Sens!$E$8473+(glt_fro-Sens!$E$8473)*MIN(1,5/n_conv)</f>
        <v>0.0690721649484536</v>
      </c>
      <c r="K8473" s="7" t="n">
        <f aca="false">Sens!$E$8473+(glt_fro-Sens!$E$8473)*MIN(1,6/n_conv)</f>
        <v>0.07</v>
      </c>
    </row>
    <row r="8474" customFormat="false" ht="15" hidden="false" customHeight="false" outlineLevel="0" collapsed="false">
      <c r="A8474" s="0" t="s">
        <v>626</v>
      </c>
      <c r="B8474" s="0" t="s">
        <v>95</v>
      </c>
      <c r="D8474" s="6" t="n">
        <f aca="false">Sens!D8462+Sens!D8467+Sens!D8468+Sens!D8470+Sens!D8472</f>
        <v>218.783</v>
      </c>
      <c r="E8474" s="6" t="n">
        <f aca="false">Sens!E8462+Sens!E8467+Sens!E8468+Sens!E8470+Sens!E8472</f>
        <v>268.127</v>
      </c>
      <c r="F8474" s="6" t="n">
        <f aca="false">Sens!F8462+Sens!F8467+Sens!F8468+Sens!F8470+Sens!F8472</f>
        <v>339.433940907051</v>
      </c>
      <c r="G8474" s="6" t="n">
        <f aca="false">Sens!G8462+Sens!G8467+Sens!G8468+Sens!G8470+Sens!G8472</f>
        <v>424.490670881892</v>
      </c>
      <c r="H8474" s="6" t="n">
        <f aca="false">Sens!H8462+Sens!H8467+Sens!H8468+Sens!H8470+Sens!H8472</f>
        <v>515.646275281385</v>
      </c>
      <c r="I8474" s="6" t="n">
        <f aca="false">Sens!I8462+Sens!I8467+Sens!I8468+Sens!I8470+Sens!I8472</f>
        <v>597.93444694442</v>
      </c>
      <c r="J8474" s="6" t="n">
        <f aca="false">Sens!J8462+Sens!J8467+Sens!J8468+Sens!J8470+Sens!J8472</f>
        <v>675.905670910223</v>
      </c>
      <c r="K8474" s="6" t="n">
        <f aca="false">Sens!K8462+Sens!K8467+Sens!K8468+Sens!K8470+Sens!K8472</f>
        <v>750.407304875998</v>
      </c>
    </row>
    <row r="8475" customFormat="false" ht="15" hidden="false" customHeight="false" outlineLevel="0" collapsed="false">
      <c r="A8475" s="0" t="s">
        <v>792</v>
      </c>
      <c r="B8475" s="0" t="s">
        <v>95</v>
      </c>
      <c r="D8475" s="6" t="n">
        <f aca="false">Q!L13</f>
        <v>22.171</v>
      </c>
      <c r="E8475" s="6" t="n">
        <f aca="false">Q!M13</f>
        <v>24.835</v>
      </c>
      <c r="F8475" s="6" t="n">
        <f aca="false">Sens!E8475*(1+Sens!F8476)</f>
        <v>27.6114901218559</v>
      </c>
      <c r="G8475" s="6" t="n">
        <f aca="false">Sens!F8475*(1+Sens!G8476)</f>
        <v>30.4675667338515</v>
      </c>
      <c r="H8475" s="6" t="n">
        <f aca="false">Sens!G8475*(1+Sens!H8476)</f>
        <v>33.3643766955789</v>
      </c>
      <c r="I8475" s="6" t="n">
        <f aca="false">Sens!H8475*(1+Sens!I8476)</f>
        <v>36.2577016533691</v>
      </c>
      <c r="J8475" s="6" t="n">
        <f aca="false">Sens!I8475*(1+Sens!J8476)</f>
        <v>39.0988367952171</v>
      </c>
      <c r="K8475" s="6" t="n">
        <f aca="false">Sens!J8475*(1+Sens!K8476)</f>
        <v>41.8357553708823</v>
      </c>
    </row>
    <row r="8476" customFormat="false" ht="15" hidden="false" customHeight="false" outlineLevel="0" collapsed="false">
      <c r="A8476" s="1" t="s">
        <v>782</v>
      </c>
      <c r="B8476" s="0" t="s">
        <v>126</v>
      </c>
      <c r="E8476" s="7" t="n">
        <f aca="false">Sens!E8475/Sens!D8475-1</f>
        <v>0.120156961796942</v>
      </c>
      <c r="F8476" s="7" t="n">
        <f aca="false">Sens!$E$8476+(glt_srch-Sens!$E$8476)*MIN(1,1/n_conv)</f>
        <v>0.111797468164118</v>
      </c>
      <c r="G8476" s="7" t="n">
        <f aca="false">Sens!$E$8476+(glt_srch-Sens!$E$8476)*MIN(1,2/n_conv)</f>
        <v>0.103437974531295</v>
      </c>
      <c r="H8476" s="7" t="n">
        <f aca="false">Sens!$E$8476+(glt_srch-Sens!$E$8476)*MIN(1,3/n_conv)</f>
        <v>0.095078480898471</v>
      </c>
      <c r="I8476" s="7" t="n">
        <f aca="false">Sens!$E$8476+(glt_srch-Sens!$E$8476)*MIN(1,4/n_conv)</f>
        <v>0.0867189872656474</v>
      </c>
      <c r="J8476" s="7" t="n">
        <f aca="false">Sens!$E$8476+(glt_srch-Sens!$E$8476)*MIN(1,5/n_conv)</f>
        <v>0.0783594936328237</v>
      </c>
      <c r="K8476" s="7" t="n">
        <f aca="false">Sens!$E$8476+(glt_srch-Sens!$E$8476)*MIN(1,6/n_conv)</f>
        <v>0.07</v>
      </c>
    </row>
    <row r="8477" customFormat="false" ht="15" hidden="false" customHeight="false" outlineLevel="0" collapsed="false">
      <c r="A8477" s="0" t="s">
        <v>793</v>
      </c>
      <c r="B8477" s="0" t="s">
        <v>95</v>
      </c>
      <c r="D8477" s="6" t="n">
        <f aca="false">Q!L14</f>
        <v>23.455</v>
      </c>
      <c r="E8477" s="6" t="n">
        <f aca="false">Q!M14</f>
        <v>21.79</v>
      </c>
      <c r="F8477" s="6" t="n">
        <f aca="false">Sens!E8477*(1+Sens!F8478)</f>
        <v>20.4283611241384</v>
      </c>
      <c r="G8477" s="6" t="n">
        <f aca="false">Sens!F8477*(1+Sens!G8478)</f>
        <v>19.3254067185857</v>
      </c>
      <c r="H8477" s="6" t="n">
        <f aca="false">Sens!G8477*(1+Sens!H8478)</f>
        <v>18.446226363051</v>
      </c>
      <c r="I8477" s="6" t="n">
        <f aca="false">Sens!H8477*(1+Sens!I8478)</f>
        <v>17.7637959435485</v>
      </c>
      <c r="J8477" s="6" t="n">
        <f aca="false">Sens!I8477*(1+Sens!J8478)</f>
        <v>17.2575662581111</v>
      </c>
      <c r="K8477" s="6" t="n">
        <f aca="false">Sens!J8477*(1+Sens!K8478)</f>
        <v>16.9124149329489</v>
      </c>
    </row>
    <row r="8478" customFormat="false" ht="15" hidden="false" customHeight="false" outlineLevel="0" collapsed="false">
      <c r="A8478" s="1" t="s">
        <v>782</v>
      </c>
      <c r="B8478" s="0" t="s">
        <v>126</v>
      </c>
      <c r="E8478" s="7" t="n">
        <f aca="false">Sens!E8477/Sens!D8477-1</f>
        <v>-0.0709869963760392</v>
      </c>
      <c r="F8478" s="7" t="n">
        <f aca="false">Sens!$E$8478+(glt_xbox_lo-Sens!$E$8478)*MIN(1,1/n_conv)</f>
        <v>-0.0624891636466994</v>
      </c>
      <c r="G8478" s="7" t="n">
        <f aca="false">Sens!$E$8478+(glt_xbox_lo-Sens!$E$8478)*MIN(1,2/n_conv)</f>
        <v>-0.0539913309173595</v>
      </c>
      <c r="H8478" s="7" t="n">
        <f aca="false">Sens!$E$8478+(glt_xbox_lo-Sens!$E$8478)*MIN(1,3/n_conv)</f>
        <v>-0.0454934981880196</v>
      </c>
      <c r="I8478" s="7" t="n">
        <f aca="false">Sens!$E$8478+(glt_xbox_lo-Sens!$E$8478)*MIN(1,4/n_conv)</f>
        <v>-0.0369956654586797</v>
      </c>
      <c r="J8478" s="7" t="n">
        <f aca="false">Sens!$E$8478+(glt_xbox_lo-Sens!$E$8478)*MIN(1,5/n_conv)</f>
        <v>-0.0284978327293399</v>
      </c>
      <c r="K8478" s="7" t="n">
        <f aca="false">Sens!$E$8478+(glt_xbox_lo-Sens!$E$8478)*MIN(1,6/n_conv)</f>
        <v>-0.02</v>
      </c>
    </row>
    <row r="8479" customFormat="false" ht="15" hidden="false" customHeight="false" outlineLevel="0" collapsed="false">
      <c r="A8479" s="0" t="s">
        <v>794</v>
      </c>
      <c r="B8479" s="0" t="s">
        <v>95</v>
      </c>
      <c r="D8479" s="6" t="n">
        <f aca="false">Q!L15</f>
        <v>17.315</v>
      </c>
      <c r="E8479" s="6" t="n">
        <f aca="false">Q!M15</f>
        <v>17.087</v>
      </c>
      <c r="F8479" s="6" t="n">
        <f aca="false">Sens!E8479*(1+Sens!F8480)</f>
        <v>16.9564585436519</v>
      </c>
      <c r="G8479" s="6" t="n">
        <f aca="false">Sens!F8479*(1+Sens!G8480)</f>
        <v>16.9206490624268</v>
      </c>
      <c r="H8479" s="6" t="n">
        <f aca="false">Sens!G8479*(1+Sens!H8480)</f>
        <v>16.9784519149849</v>
      </c>
      <c r="I8479" s="6" t="n">
        <f aca="false">Sens!H8479*(1+Sens!I8480)</f>
        <v>17.1303084701817</v>
      </c>
      <c r="J8479" s="6" t="n">
        <f aca="false">Sens!I8479*(1+Sens!J8480)</f>
        <v>17.3782189407267</v>
      </c>
      <c r="K8479" s="6" t="n">
        <f aca="false">Sens!J8479*(1+Sens!K8480)</f>
        <v>17.7257833195413</v>
      </c>
    </row>
    <row r="8480" customFormat="false" ht="15" hidden="false" customHeight="false" outlineLevel="0" collapsed="false">
      <c r="A8480" s="1" t="s">
        <v>782</v>
      </c>
      <c r="B8480" s="0" t="s">
        <v>126</v>
      </c>
      <c r="E8480" s="7" t="n">
        <f aca="false">Sens!E8479/Sens!D8479-1</f>
        <v>-0.0131677736066995</v>
      </c>
      <c r="F8480" s="7" t="n">
        <f aca="false">Sens!$E$8480+(glt_win-Sens!$E$8480)*MIN(1,1/n_conv)</f>
        <v>-0.00763981133891627</v>
      </c>
      <c r="G8480" s="7" t="n">
        <f aca="false">Sens!$E$8480+(glt_win-Sens!$E$8480)*MIN(1,2/n_conv)</f>
        <v>-0.00211184907113301</v>
      </c>
      <c r="H8480" s="7" t="n">
        <f aca="false">Sens!$E$8480+(glt_win-Sens!$E$8480)*MIN(1,3/n_conv)</f>
        <v>0.00341611319665024</v>
      </c>
      <c r="I8480" s="7" t="n">
        <f aca="false">Sens!$E$8480+(glt_win-Sens!$E$8480)*MIN(1,4/n_conv)</f>
        <v>0.00894407546443349</v>
      </c>
      <c r="J8480" s="7" t="n">
        <f aca="false">Sens!$E$8480+(glt_win-Sens!$E$8480)*MIN(1,5/n_conv)</f>
        <v>0.0144720377322168</v>
      </c>
      <c r="K8480" s="7" t="n">
        <f aca="false">Sens!$E$8480+(glt_win-Sens!$E$8480)*MIN(1,6/n_conv)</f>
        <v>0.02</v>
      </c>
    </row>
    <row r="8481" customFormat="false" ht="15" hidden="false" customHeight="false" outlineLevel="0" collapsed="false">
      <c r="A8481" s="0" t="s">
        <v>640</v>
      </c>
      <c r="B8481" s="0" t="s">
        <v>95</v>
      </c>
      <c r="D8481" s="6" t="n">
        <f aca="false">Sens!D8475+Sens!D8477+Sens!D8479</f>
        <v>62.941</v>
      </c>
      <c r="E8481" s="6" t="n">
        <f aca="false">Sens!E8475+Sens!E8477+Sens!E8479</f>
        <v>63.712</v>
      </c>
      <c r="F8481" s="6" t="n">
        <f aca="false">Sens!F8475+Sens!F8477+Sens!F8479</f>
        <v>64.9963097896462</v>
      </c>
      <c r="G8481" s="6" t="n">
        <f aca="false">Sens!G8475+Sens!G8477+Sens!G8479</f>
        <v>66.7136225148641</v>
      </c>
      <c r="H8481" s="6" t="n">
        <f aca="false">Sens!H8475+Sens!H8477+Sens!H8479</f>
        <v>68.7890549736148</v>
      </c>
      <c r="I8481" s="6" t="n">
        <f aca="false">Sens!I8475+Sens!I8477+Sens!I8479</f>
        <v>71.1518060670993</v>
      </c>
      <c r="J8481" s="6" t="n">
        <f aca="false">Sens!J8475+Sens!J8477+Sens!J8479</f>
        <v>73.7346219940549</v>
      </c>
      <c r="K8481" s="6" t="n">
        <f aca="false">Sens!K8475+Sens!K8477+Sens!K8479</f>
        <v>76.4739536233724</v>
      </c>
    </row>
    <row r="8482" customFormat="false" ht="15" hidden="false" customHeight="false" outlineLevel="0" collapsed="false">
      <c r="A8482" s="1" t="s">
        <v>795</v>
      </c>
      <c r="B8482" s="0" t="s">
        <v>95</v>
      </c>
      <c r="D8482" s="6" t="n">
        <f aca="false">Sens!D8474+Sens!D8481</f>
        <v>281.724</v>
      </c>
      <c r="E8482" s="6" t="n">
        <f aca="false">Sens!E8474+Sens!E8481</f>
        <v>331.839</v>
      </c>
      <c r="F8482" s="6" t="n">
        <f aca="false">Sens!F8474+Sens!F8481</f>
        <v>404.430250696697</v>
      </c>
      <c r="G8482" s="6" t="n">
        <f aca="false">Sens!G8474+Sens!G8481</f>
        <v>491.204293396756</v>
      </c>
      <c r="H8482" s="6" t="n">
        <f aca="false">Sens!H8474+Sens!H8481</f>
        <v>584.435330255</v>
      </c>
      <c r="I8482" s="6" t="n">
        <f aca="false">Sens!I8474+Sens!I8481</f>
        <v>669.086253011519</v>
      </c>
      <c r="J8482" s="6" t="n">
        <f aca="false">Sens!J8474+Sens!J8481</f>
        <v>749.640292904278</v>
      </c>
      <c r="K8482" s="6" t="n">
        <f aca="false">Sens!K8474+Sens!K8481</f>
        <v>826.88125849937</v>
      </c>
    </row>
    <row r="8483" customFormat="false" ht="15" hidden="false" customHeight="false" outlineLevel="0" collapsed="false">
      <c r="A8483" s="22" t="s">
        <v>796</v>
      </c>
      <c r="B8483" s="28" t="s">
        <v>95</v>
      </c>
      <c r="C8483" s="28"/>
      <c r="D8483" s="23" t="n">
        <f aca="false">(Sens!D8462+Sens!D8467+Sens!D8468+Sens!D8470+Sens!D8472-Sens!D8474)+(Sens!D8475+Sens!D8477+Sens!D8479-Sens!D8481)+(Sens!D8474-Q!L5)+(Sens!D8481-Q!L12)+(Sens!D8462-Q!L6)+(Sens!D8467-Q!L7)</f>
        <v>0</v>
      </c>
      <c r="E8483" s="23" t="n">
        <f aca="false">(Sens!E8462+Sens!E8467+Sens!E8468+Sens!E8470+Sens!E8472-Sens!E8474)+(Sens!E8475+Sens!E8477+Sens!E8479-Sens!E8481)+(Sens!E8474-Q!M5)+(Sens!E8481-Q!M12)+(Sens!E8462-Q!M6)+(Sens!E8467-Q!M7)</f>
        <v>0</v>
      </c>
      <c r="F8483" s="23" t="n">
        <f aca="false">(Sens!F8462+Sens!F8467+Sens!F8468+Sens!F8470+Sens!F8472-Sens!F8474)+(Sens!F8475+Sens!F8477+Sens!F8479-Sens!F8481)</f>
        <v>0</v>
      </c>
      <c r="G8483" s="23" t="n">
        <f aca="false">(Sens!G8462+Sens!G8467+Sens!G8468+Sens!G8470+Sens!G8472-Sens!G8474)+(Sens!G8475+Sens!G8477+Sens!G8479-Sens!G8481)</f>
        <v>0</v>
      </c>
      <c r="H8483" s="23" t="n">
        <f aca="false">(Sens!H8462+Sens!H8467+Sens!H8468+Sens!H8470+Sens!H8472-Sens!H8474)+(Sens!H8475+Sens!H8477+Sens!H8479-Sens!H8481)</f>
        <v>0</v>
      </c>
      <c r="I8483" s="23" t="n">
        <f aca="false">(Sens!I8462+Sens!I8467+Sens!I8468+Sens!I8470+Sens!I8472-Sens!I8474)+(Sens!I8475+Sens!I8477+Sens!I8479-Sens!I8481)</f>
        <v>0</v>
      </c>
      <c r="J8483" s="23" t="n">
        <f aca="false">(Sens!J8462+Sens!J8467+Sens!J8468+Sens!J8470+Sens!J8472-Sens!J8474)+(Sens!J8475+Sens!J8477+Sens!J8479-Sens!J8481)</f>
        <v>0</v>
      </c>
      <c r="K8483" s="23" t="n">
        <f aca="false">(Sens!K8462+Sens!K8467+Sens!K8468+Sens!K8470+Sens!K8472-Sens!K8474)+(Sens!K8475+Sens!K8477+Sens!K8479-Sens!K8481)</f>
        <v>0</v>
      </c>
    </row>
    <row r="8484" customFormat="false" ht="17.15" hidden="false" customHeight="false" outlineLevel="0" collapsed="false">
      <c r="A8484" s="3" t="s">
        <v>1356</v>
      </c>
    </row>
    <row r="8485" customFormat="false" ht="15" hidden="false" customHeight="false" outlineLevel="0" collapsed="false">
      <c r="A8485" s="4" t="s">
        <v>43</v>
      </c>
      <c r="B8485" s="4" t="s">
        <v>63</v>
      </c>
      <c r="C8485" s="19" t="s">
        <v>710</v>
      </c>
      <c r="D8485" s="19" t="s">
        <v>711</v>
      </c>
      <c r="E8485" s="19" t="s">
        <v>712</v>
      </c>
      <c r="F8485" s="19" t="s">
        <v>713</v>
      </c>
      <c r="G8485" s="19" t="s">
        <v>714</v>
      </c>
      <c r="H8485" s="19" t="s">
        <v>715</v>
      </c>
      <c r="I8485" s="19" t="s">
        <v>716</v>
      </c>
      <c r="J8485" s="19" t="s">
        <v>717</v>
      </c>
      <c r="K8485" s="19" t="s">
        <v>718</v>
      </c>
      <c r="L8485" s="4" t="s">
        <v>47</v>
      </c>
    </row>
    <row r="8486" customFormat="false" ht="15" hidden="false" customHeight="false" outlineLevel="0" collapsed="false">
      <c r="A8486" s="0" t="s">
        <v>783</v>
      </c>
      <c r="B8486" s="0" t="s">
        <v>95</v>
      </c>
      <c r="D8486" s="6" t="n">
        <f aca="false">Sens!D8462</f>
        <v>72.61</v>
      </c>
      <c r="E8486" s="6" t="n">
        <f aca="false">Sens!E8462</f>
        <v>101.938</v>
      </c>
      <c r="F8486" s="6" t="n">
        <f aca="false">Sens!F8462</f>
        <v>148.812368967868</v>
      </c>
      <c r="G8486" s="6" t="n">
        <f aca="false">Sens!G8462</f>
        <v>208.397514344463</v>
      </c>
      <c r="H8486" s="6" t="n">
        <f aca="false">Sens!H8462</f>
        <v>274.05759259987</v>
      </c>
      <c r="I8486" s="6" t="n">
        <f aca="false">Sens!I8462</f>
        <v>333.373091964934</v>
      </c>
      <c r="J8486" s="6" t="n">
        <f aca="false">Sens!J8462</f>
        <v>391.214773806054</v>
      </c>
      <c r="K8486" s="6" t="n">
        <f aca="false">Sens!K8462</f>
        <v>446.513235535821</v>
      </c>
    </row>
    <row r="8487" customFormat="false" ht="17.15" hidden="false" customHeight="false" outlineLevel="0" collapsed="false">
      <c r="A8487" s="0" t="s">
        <v>780</v>
      </c>
      <c r="B8487" s="0" t="s">
        <v>95</v>
      </c>
      <c r="D8487" s="6" t="n">
        <f aca="false">Sens!D8459</f>
        <v>12.9359794422418</v>
      </c>
      <c r="E8487" s="6" t="n">
        <f aca="false">Sens!E8459</f>
        <v>27.8095064661409</v>
      </c>
      <c r="F8487" s="6" t="n">
        <f aca="false">Sens!F8459</f>
        <v>58.7324192305018</v>
      </c>
      <c r="G8487" s="6" t="n">
        <f aca="false">Sens!G8459</f>
        <v>101.369089141153</v>
      </c>
      <c r="H8487" s="6" t="n">
        <f aca="false">Sens!H8459</f>
        <v>149.785610014234</v>
      </c>
      <c r="I8487" s="6" t="n">
        <f aca="false">Sens!I8459</f>
        <v>192.439389583079</v>
      </c>
      <c r="J8487" s="6" t="n">
        <f aca="false">Sens!J8459</f>
        <v>235.195906491722</v>
      </c>
      <c r="K8487" s="6" t="n">
        <f aca="false">Sens!K8459</f>
        <v>278.012858836343</v>
      </c>
    </row>
    <row r="8488" customFormat="false" ht="17.15" hidden="false" customHeight="false" outlineLevel="0" collapsed="false">
      <c r="A8488" s="0" t="s">
        <v>807</v>
      </c>
      <c r="B8488" s="0" t="s">
        <v>95</v>
      </c>
      <c r="D8488" s="6" t="n">
        <f aca="false">Sens!D8460</f>
        <v>59.6740205577583</v>
      </c>
      <c r="E8488" s="6" t="n">
        <f aca="false">Sens!E8460</f>
        <v>74.1284935338591</v>
      </c>
      <c r="F8488" s="6" t="n">
        <f aca="false">Sens!F8460</f>
        <v>90.0799497373663</v>
      </c>
      <c r="G8488" s="6" t="n">
        <f aca="false">Sens!G8460</f>
        <v>107.02842520331</v>
      </c>
      <c r="H8488" s="6" t="n">
        <f aca="false">Sens!H8460</f>
        <v>124.271982585636</v>
      </c>
      <c r="I8488" s="6" t="n">
        <f aca="false">Sens!I8460</f>
        <v>140.933702381855</v>
      </c>
      <c r="J8488" s="6" t="n">
        <f aca="false">Sens!J8460</f>
        <v>156.018867314332</v>
      </c>
      <c r="K8488" s="6" t="n">
        <f aca="false">Sens!K8460</f>
        <v>168.500376699478</v>
      </c>
    </row>
    <row r="8489" customFormat="false" ht="15" hidden="false" customHeight="false" outlineLevel="0" collapsed="false">
      <c r="A8489" s="0" t="s">
        <v>788</v>
      </c>
      <c r="B8489" s="0" t="s">
        <v>95</v>
      </c>
      <c r="D8489" s="6" t="n">
        <f aca="false">Sens!D8467</f>
        <v>84.605</v>
      </c>
      <c r="E8489" s="6" t="n">
        <f aca="false">Sens!E8467</f>
        <v>100.299</v>
      </c>
      <c r="F8489" s="6" t="n">
        <f aca="false">Sens!F8467</f>
        <v>120.39238776686</v>
      </c>
      <c r="G8489" s="6" t="n">
        <f aca="false">Sens!G8467</f>
        <v>141.544168448684</v>
      </c>
      <c r="H8489" s="6" t="n">
        <f aca="false">Sens!H8467</f>
        <v>162.777359388781</v>
      </c>
      <c r="I8489" s="6" t="n">
        <f aca="false">Sens!I8467</f>
        <v>181.584028071957</v>
      </c>
      <c r="J8489" s="6" t="n">
        <f aca="false">Sens!J8467</f>
        <v>197.682702785465</v>
      </c>
      <c r="K8489" s="6" t="n">
        <f aca="false">Sens!K8467</f>
        <v>213.027991980448</v>
      </c>
    </row>
    <row r="8490" customFormat="false" ht="17.15" hidden="false" customHeight="false" outlineLevel="0" collapsed="false">
      <c r="A8490" s="0" t="s">
        <v>808</v>
      </c>
      <c r="B8490" s="0" t="s">
        <v>95</v>
      </c>
      <c r="D8490" s="6" t="n">
        <f aca="false">Sens!D8465</f>
        <v>83.705</v>
      </c>
      <c r="E8490" s="6" t="n">
        <f aca="false">Sens!E8465</f>
        <v>95.049</v>
      </c>
      <c r="F8490" s="6" t="n">
        <f aca="false">Sens!F8465</f>
        <v>106.89238776686</v>
      </c>
      <c r="G8490" s="6" t="n">
        <f aca="false">Sens!G8465</f>
        <v>119.044168448684</v>
      </c>
      <c r="H8490" s="6" t="n">
        <f aca="false">Sens!H8465</f>
        <v>131.277359388781</v>
      </c>
      <c r="I8490" s="6" t="n">
        <f aca="false">Sens!I8465</f>
        <v>143.334028071957</v>
      </c>
      <c r="J8490" s="6" t="n">
        <f aca="false">Sens!J8465</f>
        <v>154.932702785465</v>
      </c>
      <c r="K8490" s="6" t="n">
        <f aca="false">Sens!K8465</f>
        <v>165.777991980448</v>
      </c>
    </row>
    <row r="8491" customFormat="false" ht="17.15" hidden="false" customHeight="false" outlineLevel="0" collapsed="false">
      <c r="A8491" s="0" t="s">
        <v>809</v>
      </c>
      <c r="B8491" s="0" t="s">
        <v>95</v>
      </c>
      <c r="D8491" s="6" t="n">
        <f aca="false">Sens!D8464</f>
        <v>0.9</v>
      </c>
      <c r="E8491" s="6" t="n">
        <f aca="false">Sens!E8464</f>
        <v>5.25</v>
      </c>
      <c r="F8491" s="6" t="n">
        <f aca="false">Sens!F8464</f>
        <v>13.5</v>
      </c>
      <c r="G8491" s="6" t="n">
        <f aca="false">Sens!G8464</f>
        <v>22.5</v>
      </c>
      <c r="H8491" s="6" t="n">
        <f aca="false">Sens!H8464</f>
        <v>31.5</v>
      </c>
      <c r="I8491" s="6" t="n">
        <f aca="false">Sens!I8464</f>
        <v>38.25</v>
      </c>
      <c r="J8491" s="6" t="n">
        <f aca="false">Sens!J8464</f>
        <v>42.75</v>
      </c>
      <c r="K8491" s="6" t="n">
        <f aca="false">Sens!K8464</f>
        <v>47.25</v>
      </c>
    </row>
    <row r="8492" customFormat="false" ht="15" hidden="false" customHeight="false" outlineLevel="0" collapsed="false">
      <c r="A8492" s="0" t="s">
        <v>789</v>
      </c>
      <c r="B8492" s="0" t="s">
        <v>95</v>
      </c>
      <c r="D8492" s="6" t="n">
        <f aca="false">Sens!D8468</f>
        <v>35.391</v>
      </c>
      <c r="E8492" s="6" t="n">
        <f aca="false">Sens!E8468</f>
        <v>37.285</v>
      </c>
      <c r="F8492" s="6" t="n">
        <f aca="false">Sens!F8468</f>
        <v>39.0720834331704</v>
      </c>
      <c r="G8492" s="6" t="n">
        <f aca="false">Sens!G8468</f>
        <v>40.726562953769</v>
      </c>
      <c r="H8492" s="6" t="n">
        <f aca="false">Sens!H8468</f>
        <v>42.2235987259198</v>
      </c>
      <c r="I8492" s="6" t="n">
        <f aca="false">Sens!I8468</f>
        <v>43.5397988077414</v>
      </c>
      <c r="J8492" s="6" t="n">
        <f aca="false">Sens!J8468</f>
        <v>44.653811225693</v>
      </c>
      <c r="K8492" s="6" t="n">
        <f aca="false">Sens!K8468</f>
        <v>45.5468874502068</v>
      </c>
    </row>
    <row r="8493" customFormat="false" ht="15" hidden="false" customHeight="false" outlineLevel="0" collapsed="false">
      <c r="A8493" s="0" t="s">
        <v>790</v>
      </c>
      <c r="B8493" s="0" t="s">
        <v>95</v>
      </c>
      <c r="D8493" s="6" t="n">
        <f aca="false">Sens!D8470</f>
        <v>18.417</v>
      </c>
      <c r="E8493" s="6" t="n">
        <f aca="false">Sens!E8470</f>
        <v>20.345</v>
      </c>
      <c r="F8493" s="6" t="n">
        <f aca="false">Sens!F8470</f>
        <v>22.3572203267814</v>
      </c>
      <c r="G8493" s="6" t="n">
        <f aca="false">Sens!G8470</f>
        <v>24.4392124437232</v>
      </c>
      <c r="H8493" s="6" t="n">
        <f aca="false">Sens!H8470</f>
        <v>26.5738052080665</v>
      </c>
      <c r="I8493" s="6" t="n">
        <f aca="false">Sens!I8470</f>
        <v>28.7412169166967</v>
      </c>
      <c r="J8493" s="6" t="n">
        <f aca="false">Sens!J8470</f>
        <v>30.9192545395413</v>
      </c>
      <c r="K8493" s="6" t="n">
        <f aca="false">Sens!K8470</f>
        <v>33.0836023573092</v>
      </c>
    </row>
    <row r="8494" customFormat="false" ht="15" hidden="false" customHeight="false" outlineLevel="0" collapsed="false">
      <c r="A8494" s="0" t="s">
        <v>791</v>
      </c>
      <c r="B8494" s="0" t="s">
        <v>95</v>
      </c>
      <c r="D8494" s="6" t="n">
        <f aca="false">Sens!D8472</f>
        <v>7.76</v>
      </c>
      <c r="E8494" s="6" t="n">
        <f aca="false">Sens!E8472</f>
        <v>8.26</v>
      </c>
      <c r="F8494" s="6" t="n">
        <f aca="false">Sens!F8472</f>
        <v>8.79988041237113</v>
      </c>
      <c r="G8494" s="6" t="n">
        <f aca="false">Sens!G8472</f>
        <v>9.38321269125306</v>
      </c>
      <c r="H8494" s="6" t="n">
        <f aca="false">Sens!H8472</f>
        <v>10.0139193587476</v>
      </c>
      <c r="I8494" s="6" t="n">
        <f aca="false">Sens!I8472</f>
        <v>10.6963111830911</v>
      </c>
      <c r="J8494" s="6" t="n">
        <f aca="false">Sens!J8472</f>
        <v>11.4351285534696</v>
      </c>
      <c r="K8494" s="6" t="n">
        <f aca="false">Sens!K8472</f>
        <v>12.2355875522124</v>
      </c>
    </row>
    <row r="8495" customFormat="false" ht="15" hidden="false" customHeight="false" outlineLevel="0" collapsed="false">
      <c r="A8495" s="0" t="s">
        <v>626</v>
      </c>
      <c r="B8495" s="0" t="s">
        <v>95</v>
      </c>
      <c r="D8495" s="6" t="n">
        <f aca="false">Sens!D8474</f>
        <v>218.783</v>
      </c>
      <c r="E8495" s="6" t="n">
        <f aca="false">Sens!E8474</f>
        <v>268.127</v>
      </c>
      <c r="F8495" s="6" t="n">
        <f aca="false">Sens!F8474</f>
        <v>339.433940907051</v>
      </c>
      <c r="G8495" s="6" t="n">
        <f aca="false">Sens!G8474</f>
        <v>424.490670881892</v>
      </c>
      <c r="H8495" s="6" t="n">
        <f aca="false">Sens!H8474</f>
        <v>515.646275281385</v>
      </c>
      <c r="I8495" s="6" t="n">
        <f aca="false">Sens!I8474</f>
        <v>597.93444694442</v>
      </c>
      <c r="J8495" s="6" t="n">
        <f aca="false">Sens!J8474</f>
        <v>675.905670910223</v>
      </c>
      <c r="K8495" s="6" t="n">
        <f aca="false">Sens!K8474</f>
        <v>750.407304875998</v>
      </c>
    </row>
    <row r="8496" customFormat="false" ht="15" hidden="false" customHeight="false" outlineLevel="0" collapsed="false">
      <c r="A8496" s="0" t="s">
        <v>792</v>
      </c>
      <c r="B8496" s="0" t="s">
        <v>95</v>
      </c>
      <c r="D8496" s="6" t="n">
        <f aca="false">Sens!D8475</f>
        <v>22.171</v>
      </c>
      <c r="E8496" s="6" t="n">
        <f aca="false">Sens!E8475</f>
        <v>24.835</v>
      </c>
      <c r="F8496" s="6" t="n">
        <f aca="false">Sens!F8475</f>
        <v>27.6114901218559</v>
      </c>
      <c r="G8496" s="6" t="n">
        <f aca="false">Sens!G8475</f>
        <v>30.4675667338515</v>
      </c>
      <c r="H8496" s="6" t="n">
        <f aca="false">Sens!H8475</f>
        <v>33.3643766955789</v>
      </c>
      <c r="I8496" s="6" t="n">
        <f aca="false">Sens!I8475</f>
        <v>36.2577016533691</v>
      </c>
      <c r="J8496" s="6" t="n">
        <f aca="false">Sens!J8475</f>
        <v>39.0988367952171</v>
      </c>
      <c r="K8496" s="6" t="n">
        <f aca="false">Sens!K8475</f>
        <v>41.8357553708823</v>
      </c>
    </row>
    <row r="8497" customFormat="false" ht="15" hidden="false" customHeight="false" outlineLevel="0" collapsed="false">
      <c r="A8497" s="0" t="s">
        <v>793</v>
      </c>
      <c r="B8497" s="0" t="s">
        <v>95</v>
      </c>
      <c r="D8497" s="6" t="n">
        <f aca="false">Sens!D8477</f>
        <v>23.455</v>
      </c>
      <c r="E8497" s="6" t="n">
        <f aca="false">Sens!E8477</f>
        <v>21.79</v>
      </c>
      <c r="F8497" s="6" t="n">
        <f aca="false">Sens!F8477</f>
        <v>20.4283611241384</v>
      </c>
      <c r="G8497" s="6" t="n">
        <f aca="false">Sens!G8477</f>
        <v>19.3254067185857</v>
      </c>
      <c r="H8497" s="6" t="n">
        <f aca="false">Sens!H8477</f>
        <v>18.446226363051</v>
      </c>
      <c r="I8497" s="6" t="n">
        <f aca="false">Sens!I8477</f>
        <v>17.7637959435485</v>
      </c>
      <c r="J8497" s="6" t="n">
        <f aca="false">Sens!J8477</f>
        <v>17.2575662581111</v>
      </c>
      <c r="K8497" s="6" t="n">
        <f aca="false">Sens!K8477</f>
        <v>16.9124149329489</v>
      </c>
    </row>
    <row r="8498" customFormat="false" ht="15" hidden="false" customHeight="false" outlineLevel="0" collapsed="false">
      <c r="A8498" s="0" t="s">
        <v>794</v>
      </c>
      <c r="B8498" s="0" t="s">
        <v>95</v>
      </c>
      <c r="D8498" s="6" t="n">
        <f aca="false">Sens!D8479</f>
        <v>17.315</v>
      </c>
      <c r="E8498" s="6" t="n">
        <f aca="false">Sens!E8479</f>
        <v>17.087</v>
      </c>
      <c r="F8498" s="6" t="n">
        <f aca="false">Sens!F8479</f>
        <v>16.9564585436519</v>
      </c>
      <c r="G8498" s="6" t="n">
        <f aca="false">Sens!G8479</f>
        <v>16.9206490624268</v>
      </c>
      <c r="H8498" s="6" t="n">
        <f aca="false">Sens!H8479</f>
        <v>16.9784519149849</v>
      </c>
      <c r="I8498" s="6" t="n">
        <f aca="false">Sens!I8479</f>
        <v>17.1303084701817</v>
      </c>
      <c r="J8498" s="6" t="n">
        <f aca="false">Sens!J8479</f>
        <v>17.3782189407267</v>
      </c>
      <c r="K8498" s="6" t="n">
        <f aca="false">Sens!K8479</f>
        <v>17.7257833195413</v>
      </c>
    </row>
    <row r="8499" customFormat="false" ht="15" hidden="false" customHeight="false" outlineLevel="0" collapsed="false">
      <c r="A8499" s="0" t="s">
        <v>640</v>
      </c>
      <c r="B8499" s="0" t="s">
        <v>95</v>
      </c>
      <c r="D8499" s="6" t="n">
        <f aca="false">Sens!D8481</f>
        <v>62.941</v>
      </c>
      <c r="E8499" s="6" t="n">
        <f aca="false">Sens!E8481</f>
        <v>63.712</v>
      </c>
      <c r="F8499" s="6" t="n">
        <f aca="false">Sens!F8481</f>
        <v>64.9963097896462</v>
      </c>
      <c r="G8499" s="6" t="n">
        <f aca="false">Sens!G8481</f>
        <v>66.7136225148641</v>
      </c>
      <c r="H8499" s="6" t="n">
        <f aca="false">Sens!H8481</f>
        <v>68.7890549736148</v>
      </c>
      <c r="I8499" s="6" t="n">
        <f aca="false">Sens!I8481</f>
        <v>71.1518060670993</v>
      </c>
      <c r="J8499" s="6" t="n">
        <f aca="false">Sens!J8481</f>
        <v>73.7346219940549</v>
      </c>
      <c r="K8499" s="6" t="n">
        <f aca="false">Sens!K8481</f>
        <v>76.4739536233724</v>
      </c>
    </row>
    <row r="8500" customFormat="false" ht="15" hidden="false" customHeight="false" outlineLevel="0" collapsed="false">
      <c r="A8500" s="1" t="s">
        <v>810</v>
      </c>
      <c r="B8500" s="0" t="s">
        <v>95</v>
      </c>
      <c r="D8500" s="6" t="n">
        <f aca="false">Sens!D8482</f>
        <v>281.724</v>
      </c>
      <c r="E8500" s="6" t="n">
        <f aca="false">Sens!E8482</f>
        <v>331.839</v>
      </c>
      <c r="F8500" s="6" t="n">
        <f aca="false">Sens!F8482</f>
        <v>404.430250696697</v>
      </c>
      <c r="G8500" s="6" t="n">
        <f aca="false">Sens!G8482</f>
        <v>491.204293396756</v>
      </c>
      <c r="H8500" s="6" t="n">
        <f aca="false">Sens!H8482</f>
        <v>584.435330255</v>
      </c>
      <c r="I8500" s="6" t="n">
        <f aca="false">Sens!I8482</f>
        <v>669.086253011519</v>
      </c>
      <c r="J8500" s="6" t="n">
        <f aca="false">Sens!J8482</f>
        <v>749.640292904278</v>
      </c>
      <c r="K8500" s="6" t="n">
        <f aca="false">Sens!K8482</f>
        <v>826.88125849937</v>
      </c>
    </row>
    <row r="8501" customFormat="false" ht="15" hidden="false" customHeight="false" outlineLevel="0" collapsed="false">
      <c r="A8501" s="1" t="s">
        <v>811</v>
      </c>
      <c r="B8501" s="0" t="s">
        <v>126</v>
      </c>
      <c r="E8501" s="7" t="n">
        <f aca="false">Sens!E8500/Sens!D8500-1</f>
        <v>0.177886867998467</v>
      </c>
      <c r="F8501" s="7" t="n">
        <f aca="false">Sens!F8500/Sens!E8500-1</f>
        <v>0.218754428191674</v>
      </c>
      <c r="G8501" s="7" t="n">
        <f aca="false">Sens!G8500/Sens!F8500-1</f>
        <v>0.214558734294916</v>
      </c>
      <c r="H8501" s="7" t="n">
        <f aca="false">Sens!H8500/Sens!G8500-1</f>
        <v>0.189800940487584</v>
      </c>
      <c r="I8501" s="7" t="n">
        <f aca="false">Sens!I8500/Sens!H8500-1</f>
        <v>0.144842240662598</v>
      </c>
      <c r="J8501" s="7" t="n">
        <f aca="false">Sens!J8500/Sens!I8500-1</f>
        <v>0.120394103944281</v>
      </c>
      <c r="K8501" s="7" t="n">
        <f aca="false">Sens!K8500/Sens!J8500-1</f>
        <v>0.10303737182515</v>
      </c>
    </row>
    <row r="8502" customFormat="false" ht="17.15" hidden="false" customHeight="false" outlineLevel="0" collapsed="false">
      <c r="A8502" s="22" t="s">
        <v>812</v>
      </c>
      <c r="B8502" s="28" t="s">
        <v>95</v>
      </c>
      <c r="C8502" s="28"/>
      <c r="D8502" s="23" t="n">
        <f aca="false">(Sens!D8495+Sens!D8499-Sens!D8500)+(Sens!D8487+Sens!D8488-Sens!D8486)+(Sens!D8490+Sens!D8491-Sens!D8489)+(Sens!D8500-Q!L18)</f>
        <v>0</v>
      </c>
      <c r="E8502" s="23" t="n">
        <f aca="false">(Sens!E8495+Sens!E8499-Sens!E8500)+(Sens!E8487+Sens!E8488-Sens!E8486)+(Sens!E8490+Sens!E8491-Sens!E8489)+(Sens!E8500-Q!M18)</f>
        <v>0</v>
      </c>
      <c r="F8502" s="23" t="n">
        <f aca="false">(Sens!F8495+Sens!F8499-Sens!F8500)+(Sens!F8487+Sens!F8488-Sens!F8486)+(Sens!F8490+Sens!F8491-Sens!F8489)</f>
        <v>0</v>
      </c>
      <c r="G8502" s="23" t="n">
        <f aca="false">(Sens!G8495+Sens!G8499-Sens!G8500)+(Sens!G8487+Sens!G8488-Sens!G8486)+(Sens!G8490+Sens!G8491-Sens!G8489)</f>
        <v>0</v>
      </c>
      <c r="H8502" s="23" t="n">
        <f aca="false">(Sens!H8495+Sens!H8499-Sens!H8500)+(Sens!H8487+Sens!H8488-Sens!H8486)+(Sens!H8490+Sens!H8491-Sens!H8489)</f>
        <v>0</v>
      </c>
      <c r="I8502" s="23" t="n">
        <f aca="false">(Sens!I8495+Sens!I8499-Sens!I8500)+(Sens!I8487+Sens!I8488-Sens!I8486)+(Sens!I8490+Sens!I8491-Sens!I8489)</f>
        <v>0</v>
      </c>
      <c r="J8502" s="23" t="n">
        <f aca="false">(Sens!J8495+Sens!J8499-Sens!J8500)+(Sens!J8487+Sens!J8488-Sens!J8486)+(Sens!J8490+Sens!J8491-Sens!J8489)</f>
        <v>0</v>
      </c>
      <c r="K8502" s="23" t="n">
        <f aca="false">(Sens!K8495+Sens!K8499-Sens!K8500)+(Sens!K8487+Sens!K8488-Sens!K8486)+(Sens!K8490+Sens!K8491-Sens!K8489)</f>
        <v>0</v>
      </c>
    </row>
    <row r="8503" customFormat="false" ht="17.15" hidden="false" customHeight="false" outlineLevel="0" collapsed="false">
      <c r="A8503" s="0" t="s">
        <v>813</v>
      </c>
      <c r="B8503" s="0" t="s">
        <v>126</v>
      </c>
      <c r="E8503" s="7" t="n">
        <f aca="false">(Q!M21+Sens!E8440+Sens!E8441+Sens!E8442+Sens!E8455-Sens!E8438)/(Q!M5-Sens!E8438)</f>
        <v>0.570957350878296</v>
      </c>
      <c r="F8503" s="7" t="n">
        <f aca="false">Sens!$E$8503+dm_seg</f>
        <v>0.570957350878296</v>
      </c>
      <c r="G8503" s="7" t="n">
        <f aca="false">Sens!$E$8503+dm_seg</f>
        <v>0.570957350878296</v>
      </c>
      <c r="H8503" s="7" t="n">
        <f aca="false">Sens!$E$8503+dm_seg</f>
        <v>0.570957350878296</v>
      </c>
      <c r="I8503" s="7" t="n">
        <f aca="false">Sens!$E$8503+dm_seg</f>
        <v>0.570957350878296</v>
      </c>
      <c r="J8503" s="7" t="n">
        <f aca="false">Sens!$E$8503+dm_seg</f>
        <v>0.570957350878296</v>
      </c>
      <c r="K8503" s="7" t="n">
        <f aca="false">Sens!$E$8503+dm_seg</f>
        <v>0.570957350878296</v>
      </c>
      <c r="L8503" s="11" t="s">
        <v>814</v>
      </c>
    </row>
    <row r="8504" customFormat="false" ht="17.15" hidden="false" customHeight="false" outlineLevel="0" collapsed="false">
      <c r="A8504" s="0" t="s">
        <v>654</v>
      </c>
      <c r="B8504" s="0" t="s">
        <v>95</v>
      </c>
      <c r="D8504" s="6" t="n">
        <f aca="false">Q!L21</f>
        <v>110.814</v>
      </c>
      <c r="E8504" s="6" t="n">
        <f aca="false">Q!M21</f>
        <v>136.365</v>
      </c>
      <c r="F8504" s="6" t="n">
        <f aca="false">Sens!F8503*(Sens!F8474-Sens!F8438)+Sens!F8438-(Sens!F8440+Sens!F8441+Sens!F8442)-Sens!F8455</f>
        <v>162.13512143564</v>
      </c>
      <c r="G8504" s="6" t="n">
        <f aca="false">Sens!G8503*(Sens!G8474-Sens!G8438)+Sens!G8438-(Sens!G8440+Sens!G8441+Sens!G8442)-Sens!G8455</f>
        <v>191.692853934364</v>
      </c>
      <c r="H8504" s="6" t="n">
        <f aca="false">Sens!H8503*(Sens!H8474-Sens!H8438)+Sens!H8438-(Sens!H8440+Sens!H8441+Sens!H8442)-Sens!H8455</f>
        <v>226.07898766424</v>
      </c>
      <c r="I8504" s="6" t="n">
        <f aca="false">Sens!I8503*(Sens!I8474-Sens!I8438)+Sens!I8438-(Sens!I8440+Sens!I8441+Sens!I8442)-Sens!I8455</f>
        <v>251.879632565371</v>
      </c>
      <c r="J8504" s="6" t="n">
        <f aca="false">Sens!J8503*(Sens!J8474-Sens!J8438)+Sens!J8438-(Sens!J8440+Sens!J8441+Sens!J8442)-Sens!J8455</f>
        <v>274.271222520248</v>
      </c>
      <c r="K8504" s="6" t="n">
        <f aca="false">Sens!K8503*(Sens!K8474-Sens!K8438)+Sens!K8438-(Sens!K8440+Sens!K8441+Sens!K8442)-Sens!K8455</f>
        <v>293.410728650235</v>
      </c>
      <c r="L8504" s="1" t="s">
        <v>815</v>
      </c>
    </row>
    <row r="8505" customFormat="false" ht="17.15" hidden="false" customHeight="false" outlineLevel="0" collapsed="false">
      <c r="A8505" s="0" t="s">
        <v>816</v>
      </c>
      <c r="B8505" s="0" t="s">
        <v>126</v>
      </c>
      <c r="E8505" s="7" t="n">
        <f aca="false">Q!M22/Q!M12</f>
        <v>0.296207935710698</v>
      </c>
      <c r="F8505" s="7" t="n">
        <f aca="false">Sens!$E$8505+dm_seg</f>
        <v>0.296207935710698</v>
      </c>
      <c r="G8505" s="7" t="n">
        <f aca="false">Sens!$E$8505+dm_seg</f>
        <v>0.296207935710698</v>
      </c>
      <c r="H8505" s="7" t="n">
        <f aca="false">Sens!$E$8505+dm_seg</f>
        <v>0.296207935710698</v>
      </c>
      <c r="I8505" s="7" t="n">
        <f aca="false">Sens!$E$8505+dm_seg</f>
        <v>0.296207935710698</v>
      </c>
      <c r="J8505" s="7" t="n">
        <f aca="false">Sens!$E$8505+dm_seg</f>
        <v>0.296207935710698</v>
      </c>
      <c r="K8505" s="7" t="n">
        <f aca="false">Sens!$E$8505+dm_seg</f>
        <v>0.296207935710698</v>
      </c>
      <c r="L8505" s="11" t="s">
        <v>817</v>
      </c>
    </row>
    <row r="8506" customFormat="false" ht="17.15" hidden="false" customHeight="false" outlineLevel="0" collapsed="false">
      <c r="A8506" s="0" t="s">
        <v>656</v>
      </c>
      <c r="B8506" s="0" t="s">
        <v>95</v>
      </c>
      <c r="D8506" s="6" t="n">
        <f aca="false">Q!L22</f>
        <v>17.714</v>
      </c>
      <c r="E8506" s="6" t="n">
        <f aca="false">Q!M22</f>
        <v>18.872</v>
      </c>
      <c r="F8506" s="6" t="n">
        <f aca="false">Sens!F8481*Sens!F8505</f>
        <v>19.2524227516042</v>
      </c>
      <c r="G8506" s="6" t="n">
        <f aca="false">Sens!G8481*Sens!G8505</f>
        <v>19.7611044089106</v>
      </c>
      <c r="H8506" s="6" t="n">
        <f aca="false">Sens!H8481*Sens!H8505</f>
        <v>20.3758639732242</v>
      </c>
      <c r="I8506" s="6" t="n">
        <f aca="false">Sens!I8481*Sens!I8505</f>
        <v>21.0757295972234</v>
      </c>
      <c r="J8506" s="6" t="n">
        <f aca="false">Sens!J8481*Sens!J8505</f>
        <v>21.8407801712676</v>
      </c>
      <c r="K8506" s="6" t="n">
        <f aca="false">Sens!K8481*Sens!K8505</f>
        <v>22.6521919384148</v>
      </c>
    </row>
    <row r="8507" customFormat="false" ht="15" hidden="false" customHeight="false" outlineLevel="0" collapsed="false">
      <c r="A8507" s="1" t="s">
        <v>818</v>
      </c>
      <c r="B8507" s="0" t="s">
        <v>95</v>
      </c>
      <c r="D8507" s="6" t="n">
        <f aca="false">Sens!D8504+Sens!D8506</f>
        <v>128.528</v>
      </c>
      <c r="E8507" s="6" t="n">
        <f aca="false">Sens!E8504+Sens!E8506</f>
        <v>155.237</v>
      </c>
      <c r="F8507" s="6" t="n">
        <f aca="false">Sens!F8504+Sens!F8506</f>
        <v>181.387544187244</v>
      </c>
      <c r="G8507" s="6" t="n">
        <f aca="false">Sens!G8504+Sens!G8506</f>
        <v>211.453958343275</v>
      </c>
      <c r="H8507" s="6" t="n">
        <f aca="false">Sens!H8504+Sens!H8506</f>
        <v>246.454851637464</v>
      </c>
      <c r="I8507" s="6" t="n">
        <f aca="false">Sens!I8504+Sens!I8506</f>
        <v>272.955362162594</v>
      </c>
      <c r="J8507" s="6" t="n">
        <f aca="false">Sens!J8504+Sens!J8506</f>
        <v>296.112002691516</v>
      </c>
      <c r="K8507" s="6" t="n">
        <f aca="false">Sens!K8504+Sens!K8506</f>
        <v>316.06292058865</v>
      </c>
    </row>
    <row r="8508" customFormat="false" ht="15" hidden="false" customHeight="false" outlineLevel="0" collapsed="false">
      <c r="A8508" s="22" t="s">
        <v>819</v>
      </c>
      <c r="B8508" s="28" t="s">
        <v>95</v>
      </c>
      <c r="C8508" s="28"/>
      <c r="D8508" s="23" t="n">
        <f aca="false">Sens!D8507-Q!L23</f>
        <v>0</v>
      </c>
      <c r="E8508" s="23" t="n">
        <f aca="false">Sens!E8507-Q!M23</f>
        <v>0</v>
      </c>
      <c r="F8508" s="28"/>
      <c r="G8508" s="28"/>
      <c r="H8508" s="28"/>
      <c r="I8508" s="28"/>
      <c r="J8508" s="28"/>
      <c r="K8508" s="28"/>
    </row>
    <row r="8509" customFormat="false" ht="15" hidden="false" customHeight="false" outlineLevel="0" collapsed="false">
      <c r="A8509" s="1" t="s">
        <v>820</v>
      </c>
      <c r="B8509" s="0" t="s">
        <v>126</v>
      </c>
      <c r="D8509" s="7" t="n">
        <f aca="false">Sens!D8507/Sens!D8500</f>
        <v>0.456219562408598</v>
      </c>
      <c r="E8509" s="7" t="n">
        <f aca="false">Sens!E8507/Sens!E8500</f>
        <v>0.467808184089272</v>
      </c>
      <c r="F8509" s="7" t="n">
        <f aca="false">Sens!F8507/Sens!F8500</f>
        <v>0.448501426079712</v>
      </c>
      <c r="G8509" s="7" t="n">
        <f aca="false">Sens!G8507/Sens!G8500</f>
        <v>0.430480680209526</v>
      </c>
      <c r="H8509" s="7" t="n">
        <f aca="false">Sens!H8507/Sens!H8500</f>
        <v>0.421697386997345</v>
      </c>
      <c r="I8509" s="7" t="n">
        <f aca="false">Sens!I8507/Sens!I8500</f>
        <v>0.407952429053859</v>
      </c>
      <c r="J8509" s="7" t="n">
        <f aca="false">Sens!J8507/Sens!J8500</f>
        <v>0.39500545194057</v>
      </c>
      <c r="K8509" s="7" t="n">
        <f aca="false">Sens!K8507/Sens!K8500</f>
        <v>0.382234954946546</v>
      </c>
    </row>
    <row r="8510" customFormat="false" ht="17.15" hidden="false" customHeight="false" outlineLevel="0" collapsed="false">
      <c r="A8510" s="1" t="s">
        <v>821</v>
      </c>
      <c r="B8510" s="0" t="s">
        <v>95</v>
      </c>
      <c r="E8510" s="6" t="n">
        <f aca="false">Sens!E8455</f>
        <v>16.3054059770833</v>
      </c>
      <c r="F8510" s="6" t="n">
        <f aca="false">Sens!F8455</f>
        <v>34.7283986225365</v>
      </c>
      <c r="G8510" s="6" t="n">
        <f aca="false">Sens!G8455</f>
        <v>60.4824595936729</v>
      </c>
      <c r="H8510" s="6" t="n">
        <f aca="false">Sens!H8455</f>
        <v>87.7180423264729</v>
      </c>
      <c r="I8510" s="6" t="n">
        <f aca="false">Sens!I8455</f>
        <v>115.972908074456</v>
      </c>
      <c r="J8510" s="6" t="n">
        <f aca="false">Sens!J8455</f>
        <v>145.200004291606</v>
      </c>
      <c r="K8510" s="6" t="n">
        <f aca="false">Sens!K8455</f>
        <v>175.714648967923</v>
      </c>
    </row>
    <row r="8511" customFormat="false" ht="17.15" hidden="false" customHeight="false" outlineLevel="0" collapsed="false">
      <c r="A8511" s="1" t="s">
        <v>822</v>
      </c>
      <c r="B8511" s="0" t="s">
        <v>95</v>
      </c>
      <c r="E8511" s="6" t="n">
        <f aca="false">Sens!E8531</f>
        <v>22.2285940229167</v>
      </c>
      <c r="F8511" s="6" t="n">
        <f aca="false">Sens!F8531</f>
        <v>23.5782335435813</v>
      </c>
      <c r="G8511" s="6" t="n">
        <f aca="false">Sens!G8531</f>
        <v>25.3794643305724</v>
      </c>
      <c r="H8511" s="6" t="n">
        <f aca="false">Sens!H8531</f>
        <v>27.5953060118004</v>
      </c>
      <c r="I8511" s="6" t="n">
        <f aca="false">Sens!I8531</f>
        <v>30.1493009035596</v>
      </c>
      <c r="J8511" s="6" t="n">
        <f aca="false">Sens!J8531</f>
        <v>32.9493527752196</v>
      </c>
      <c r="K8511" s="6" t="n">
        <f aca="false">Sens!K8531</f>
        <v>35.9109953136642</v>
      </c>
    </row>
    <row r="8512" customFormat="false" ht="17.15" hidden="false" customHeight="false" outlineLevel="0" collapsed="false">
      <c r="A8512" s="1" t="s">
        <v>823</v>
      </c>
      <c r="B8512" s="0" t="s">
        <v>95</v>
      </c>
      <c r="D8512" s="6" t="n">
        <f aca="false">Q!L27</f>
        <v>-4.901</v>
      </c>
      <c r="E8512" s="6" t="n">
        <f aca="false">Q!M27</f>
        <v>10.697</v>
      </c>
      <c r="F8512" s="6" t="n">
        <f aca="false">oie_f</f>
        <v>-0.4</v>
      </c>
      <c r="G8512" s="6" t="n">
        <f aca="false">oie_f</f>
        <v>-0.4</v>
      </c>
      <c r="H8512" s="6" t="n">
        <f aca="false">oie_f</f>
        <v>-0.4</v>
      </c>
      <c r="I8512" s="6" t="n">
        <f aca="false">oie_f</f>
        <v>-0.4</v>
      </c>
      <c r="J8512" s="6" t="n">
        <f aca="false">oie_f</f>
        <v>-0.4</v>
      </c>
      <c r="K8512" s="6" t="n">
        <f aca="false">oie_f</f>
        <v>-0.4</v>
      </c>
      <c r="L8512" s="11" t="s">
        <v>824</v>
      </c>
    </row>
    <row r="8513" customFormat="false" ht="15" hidden="false" customHeight="false" outlineLevel="0" collapsed="false">
      <c r="A8513" s="1" t="s">
        <v>666</v>
      </c>
      <c r="B8513" s="0" t="s">
        <v>95</v>
      </c>
      <c r="D8513" s="6" t="n">
        <f aca="false">Sens!D8507+Sens!D8512</f>
        <v>123.627</v>
      </c>
      <c r="E8513" s="6" t="n">
        <f aca="false">Sens!E8507+Sens!E8512</f>
        <v>165.934</v>
      </c>
      <c r="F8513" s="6" t="n">
        <f aca="false">Sens!F8507+Sens!F8512</f>
        <v>180.987544187244</v>
      </c>
      <c r="G8513" s="6" t="n">
        <f aca="false">Sens!G8507+Sens!G8512</f>
        <v>211.053958343275</v>
      </c>
      <c r="H8513" s="6" t="n">
        <f aca="false">Sens!H8507+Sens!H8512</f>
        <v>246.054851637464</v>
      </c>
      <c r="I8513" s="6" t="n">
        <f aca="false">Sens!I8507+Sens!I8512</f>
        <v>272.555362162594</v>
      </c>
      <c r="J8513" s="6" t="n">
        <f aca="false">Sens!J8507+Sens!J8512</f>
        <v>295.712002691516</v>
      </c>
      <c r="K8513" s="6" t="n">
        <f aca="false">Sens!K8507+Sens!K8512</f>
        <v>315.66292058865</v>
      </c>
    </row>
    <row r="8514" customFormat="false" ht="15" hidden="false" customHeight="false" outlineLevel="0" collapsed="false">
      <c r="A8514" s="1" t="s">
        <v>668</v>
      </c>
      <c r="B8514" s="0" t="s">
        <v>95</v>
      </c>
      <c r="D8514" s="6" t="n">
        <f aca="false">Q!L29</f>
        <v>21.795</v>
      </c>
      <c r="E8514" s="6" t="n">
        <f aca="false">Q!M29</f>
        <v>32.185</v>
      </c>
      <c r="F8514" s="6" t="n">
        <f aca="false">Sens!F8513*tax_f</f>
        <v>36.1975088374488</v>
      </c>
      <c r="G8514" s="6" t="n">
        <f aca="false">Sens!G8513*tax_f</f>
        <v>42.210791668655</v>
      </c>
      <c r="H8514" s="6" t="n">
        <f aca="false">Sens!H8513*tax_f</f>
        <v>49.2109703274927</v>
      </c>
      <c r="I8514" s="6" t="n">
        <f aca="false">Sens!I8513*tax_f</f>
        <v>54.5110724325188</v>
      </c>
      <c r="J8514" s="6" t="n">
        <f aca="false">Sens!J8513*tax_f</f>
        <v>59.1424005383032</v>
      </c>
      <c r="K8514" s="6" t="n">
        <f aca="false">Sens!K8513*tax_f</f>
        <v>63.1325841177299</v>
      </c>
    </row>
    <row r="8515" customFormat="false" ht="15" hidden="false" customHeight="false" outlineLevel="0" collapsed="false">
      <c r="A8515" s="1" t="s">
        <v>825</v>
      </c>
      <c r="B8515" s="0" t="s">
        <v>95</v>
      </c>
      <c r="D8515" s="6" t="n">
        <f aca="false">Sens!D8513-Sens!D8514</f>
        <v>101.832</v>
      </c>
      <c r="E8515" s="6" t="n">
        <f aca="false">Sens!E8513-Sens!E8514</f>
        <v>133.749</v>
      </c>
      <c r="F8515" s="6" t="n">
        <f aca="false">Sens!F8513-Sens!F8514</f>
        <v>144.790035349795</v>
      </c>
      <c r="G8515" s="6" t="n">
        <f aca="false">Sens!G8513-Sens!G8514</f>
        <v>168.84316667462</v>
      </c>
      <c r="H8515" s="6" t="n">
        <f aca="false">Sens!H8513-Sens!H8514</f>
        <v>196.843881309971</v>
      </c>
      <c r="I8515" s="6" t="n">
        <f aca="false">Sens!I8513-Sens!I8514</f>
        <v>218.044289730075</v>
      </c>
      <c r="J8515" s="6" t="n">
        <f aca="false">Sens!J8513-Sens!J8514</f>
        <v>236.569602153213</v>
      </c>
      <c r="K8515" s="6" t="n">
        <f aca="false">Sens!K8513-Sens!K8514</f>
        <v>252.53033647092</v>
      </c>
    </row>
    <row r="8516" customFormat="false" ht="17.15" hidden="false" customHeight="false" outlineLevel="0" collapsed="false">
      <c r="A8516" s="1" t="s">
        <v>826</v>
      </c>
      <c r="B8516" s="1" t="s">
        <v>79</v>
      </c>
      <c r="D8516" s="18" t="n">
        <f aca="false">Q!L31</f>
        <v>7.465</v>
      </c>
      <c r="E8516" s="18" t="n">
        <f aca="false">Q!M31</f>
        <v>7.453</v>
      </c>
      <c r="F8516" s="18" t="n">
        <f aca="false">Sens!F8553</f>
        <v>7.4735</v>
      </c>
      <c r="G8516" s="18" t="n">
        <f aca="false">Sens!G8553</f>
        <v>7.50816881815323</v>
      </c>
      <c r="H8516" s="18" t="n">
        <f aca="false">Sens!H8553</f>
        <v>7.52558922215641</v>
      </c>
      <c r="I8516" s="18" t="n">
        <f aca="false">Sens!I8553</f>
        <v>7.53737005416373</v>
      </c>
      <c r="J8516" s="18" t="n">
        <f aca="false">Sens!J8553</f>
        <v>7.55161156528161</v>
      </c>
      <c r="K8516" s="18" t="n">
        <f aca="false">Sens!K8553</f>
        <v>7.56813148298335</v>
      </c>
    </row>
    <row r="8517" customFormat="false" ht="17.15" hidden="false" customHeight="false" outlineLevel="0" collapsed="false">
      <c r="A8517" s="0" t="s">
        <v>827</v>
      </c>
      <c r="B8517" s="0" t="s">
        <v>73</v>
      </c>
      <c r="D8517" s="8" t="n">
        <f aca="false">Sens!D8515/Sens!D8516</f>
        <v>13.641259209645</v>
      </c>
      <c r="E8517" s="8" t="n">
        <f aca="false">Sens!E8515/Sens!E8516</f>
        <v>17.9456594659869</v>
      </c>
      <c r="F8517" s="8" t="n">
        <f aca="false">Sens!F8515/Sens!F8516</f>
        <v>19.3737921121021</v>
      </c>
      <c r="G8517" s="8" t="n">
        <f aca="false">Sens!G8515/Sens!G8516</f>
        <v>22.4879289163546</v>
      </c>
      <c r="H8517" s="8" t="n">
        <f aca="false">Sens!H8515/Sens!H8516</f>
        <v>26.1566072102945</v>
      </c>
      <c r="I8517" s="8" t="n">
        <f aca="false">Sens!I8515/Sens!I8516</f>
        <v>28.9284310261011</v>
      </c>
      <c r="J8517" s="8" t="n">
        <f aca="false">Sens!J8515/Sens!J8516</f>
        <v>31.3270353100306</v>
      </c>
      <c r="K8517" s="8" t="n">
        <f aca="false">Sens!K8515/Sens!K8516</f>
        <v>33.3675937103794</v>
      </c>
      <c r="L8517" s="1" t="s">
        <v>828</v>
      </c>
    </row>
    <row r="8518" customFormat="false" ht="17.15" hidden="false" customHeight="false" outlineLevel="0" collapsed="false">
      <c r="A8518" s="0" t="s">
        <v>829</v>
      </c>
      <c r="B8518" s="0" t="s">
        <v>126</v>
      </c>
      <c r="E8518" s="7" t="n">
        <f aca="false">Sens!E8517/Sens!D8517-1</f>
        <v>0.315542736208578</v>
      </c>
      <c r="F8518" s="7" t="n">
        <f aca="false">Sens!F8517/Sens!E8517-1</f>
        <v>0.0795809509715746</v>
      </c>
      <c r="G8518" s="7" t="n">
        <f aca="false">Sens!G8517/Sens!F8517-1</f>
        <v>0.160739662438474</v>
      </c>
      <c r="H8518" s="7" t="n">
        <f aca="false">Sens!H8517/Sens!G8517-1</f>
        <v>0.163139891965409</v>
      </c>
      <c r="I8518" s="7" t="n">
        <f aca="false">Sens!I8517/Sens!H8517-1</f>
        <v>0.105970311574496</v>
      </c>
      <c r="J8518" s="7" t="n">
        <f aca="false">Sens!J8517/Sens!I8517-1</f>
        <v>0.0829151184094754</v>
      </c>
      <c r="K8518" s="7" t="n">
        <f aca="false">Sens!K8517/Sens!J8517-1</f>
        <v>0.0651372969115729</v>
      </c>
    </row>
    <row r="8519" customFormat="false" ht="17.15" hidden="false" customHeight="false" outlineLevel="0" collapsed="false">
      <c r="A8519" s="0" t="s">
        <v>763</v>
      </c>
      <c r="B8519" s="0" t="s">
        <v>95</v>
      </c>
      <c r="E8519" s="6" t="n">
        <f aca="false">Sens!E8464</f>
        <v>5.25</v>
      </c>
      <c r="F8519" s="6" t="n">
        <f aca="false">Sens!F8464</f>
        <v>13.5</v>
      </c>
      <c r="G8519" s="6" t="n">
        <f aca="false">Sens!G8464</f>
        <v>22.5</v>
      </c>
      <c r="H8519" s="6" t="n">
        <f aca="false">Sens!H8464</f>
        <v>31.5</v>
      </c>
      <c r="I8519" s="6" t="n">
        <f aca="false">Sens!I8464</f>
        <v>38.25</v>
      </c>
      <c r="J8519" s="6" t="n">
        <f aca="false">Sens!J8464</f>
        <v>42.75</v>
      </c>
      <c r="K8519" s="6" t="n">
        <f aca="false">Sens!K8464</f>
        <v>47.25</v>
      </c>
    </row>
    <row r="8520" customFormat="false" ht="17.15" hidden="false" customHeight="false" outlineLevel="0" collapsed="false">
      <c r="A8520" s="0" t="s">
        <v>764</v>
      </c>
      <c r="B8520" s="0" t="s">
        <v>95</v>
      </c>
      <c r="E8520" s="6" t="n">
        <f aca="false">Sens!E8444+Sens!E8519*Sens!E8503-Sens!E8445-Sens!E8455</f>
        <v>2.1514866143068</v>
      </c>
      <c r="F8520" s="6" t="n">
        <f aca="false">Sens!F8444+Sens!F8519*Sens!F8503-Sens!F8445-Sens!F8455</f>
        <v>9.57444846854788</v>
      </c>
      <c r="G8520" s="6" t="n">
        <f aca="false">Sens!G8444+Sens!G8519*Sens!G8503-Sens!G8445-Sens!G8455</f>
        <v>20.0507520068289</v>
      </c>
      <c r="H8520" s="6" t="n">
        <f aca="false">Sens!H8444+Sens!H8519*Sens!H8503-Sens!H8445-Sens!H8455</f>
        <v>35.1733079854023</v>
      </c>
      <c r="I8520" s="6" t="n">
        <f aca="false">Sens!I8444+Sens!I8519*Sens!I8503-Sens!I8445-Sens!I8455</f>
        <v>42.1983674911917</v>
      </c>
      <c r="J8520" s="6" t="n">
        <f aca="false">Sens!J8444+Sens!J8519*Sens!J8503-Sens!J8445-Sens!J8455</f>
        <v>47.0531696717102</v>
      </c>
      <c r="K8520" s="6" t="n">
        <f aca="false">Sens!K8444+Sens!K8519*Sens!K8503-Sens!K8445-Sens!K8455</f>
        <v>50.671381998813</v>
      </c>
    </row>
    <row r="8521" customFormat="false" ht="17.15" hidden="false" customHeight="false" outlineLevel="0" collapsed="false">
      <c r="A8521" s="0" t="s">
        <v>765</v>
      </c>
      <c r="B8521" s="0" t="s">
        <v>95</v>
      </c>
      <c r="E8521" s="6" t="n">
        <f aca="false">Sens!E8427*(cxit_open+self_build*tk_cxfac)/1000*ai_net_open</f>
        <v>126.6980382</v>
      </c>
      <c r="F8521" s="6" t="n">
        <f aca="false">Sens!E8521+Sens!F8452-Sens!F8455</f>
        <v>260.444650347901</v>
      </c>
      <c r="G8521" s="6" t="n">
        <f aca="false">Sens!F8521+Sens!G8452-Sens!G8455</f>
        <v>383.536371237428</v>
      </c>
      <c r="H8521" s="6" t="n">
        <f aca="false">Sens!G8521+Sens!H8452-Sens!H8455</f>
        <v>483.898614821355</v>
      </c>
      <c r="I8521" s="6" t="n">
        <f aca="false">Sens!H8521+Sens!I8452-Sens!I8455</f>
        <v>586.264668003966</v>
      </c>
      <c r="J8521" s="6" t="n">
        <f aca="false">Sens!I8521+Sens!J8452-Sens!J8455</f>
        <v>674.841724636093</v>
      </c>
      <c r="K8521" s="6" t="n">
        <f aca="false">Sens!J8521+Sens!K8452-Sens!K8455</f>
        <v>777.98338761857</v>
      </c>
      <c r="L8521" s="1" t="s">
        <v>766</v>
      </c>
    </row>
    <row r="8522" customFormat="false" ht="17.15" hidden="false" customHeight="false" outlineLevel="0" collapsed="false">
      <c r="A8522" s="0" t="s">
        <v>767</v>
      </c>
      <c r="B8522" s="0" t="s">
        <v>126</v>
      </c>
      <c r="F8522" s="7" t="n">
        <f aca="false">Sens!F8520*(1-tax_f)/((Sens!E8521+Sens!F8521)/2)</f>
        <v>0.0395696935595909</v>
      </c>
      <c r="G8522" s="7" t="n">
        <f aca="false">Sens!G8520*(1-tax_f)/((Sens!F8521+Sens!G8521)/2)</f>
        <v>0.0498170010227162</v>
      </c>
      <c r="H8522" s="7" t="n">
        <f aca="false">Sens!H8520*(1-tax_f)/((Sens!G8521+Sens!H8521)/2)</f>
        <v>0.0648778221781684</v>
      </c>
      <c r="I8522" s="7" t="n">
        <f aca="false">Sens!I8520*(1-tax_f)/((Sens!H8521+Sens!I8521)/2)</f>
        <v>0.0630907349088404</v>
      </c>
      <c r="J8522" s="7" t="n">
        <f aca="false">Sens!J8520*(1-tax_f)/((Sens!I8521+Sens!J8521)/2)</f>
        <v>0.0596976368640327</v>
      </c>
      <c r="K8522" s="7" t="n">
        <f aca="false">Sens!K8520*(1-tax_f)/((Sens!J8521+Sens!K8521)/2)</f>
        <v>0.0558045221783649</v>
      </c>
    </row>
    <row r="8523" customFormat="false" ht="17.15" hidden="false" customHeight="false" outlineLevel="0" collapsed="false">
      <c r="A8523" s="1" t="s">
        <v>768</v>
      </c>
      <c r="B8523" s="0" t="s">
        <v>126</v>
      </c>
      <c r="F8523" s="7" t="n">
        <f aca="false">Sens!F8456*(1-tax_f)/(Sens!F8443*(Sens!E8521+Sens!F8521)/2)</f>
        <v>0.153540730695953</v>
      </c>
      <c r="G8523" s="7" t="n">
        <f aca="false">Sens!G8456*(1-tax_f)/(Sens!G8443*(Sens!F8521+Sens!G8521)/2)</f>
        <v>0.174671096237629</v>
      </c>
      <c r="H8523" s="7" t="n">
        <f aca="false">Sens!H8456*(1-tax_f)/(Sens!H8443*(Sens!G8521+Sens!H8521)/2)</f>
        <v>0.207627622283486</v>
      </c>
      <c r="I8523" s="7" t="n">
        <f aca="false">Sens!I8456*(1-tax_f)/(Sens!I8443*(Sens!H8521+Sens!I8521)/2)</f>
        <v>0.215550830453747</v>
      </c>
      <c r="J8523" s="7" t="n">
        <f aca="false">Sens!J8456*(1-tax_f)/(Sens!J8443*(Sens!I8521+Sens!J8521)/2)</f>
        <v>0.221978357971682</v>
      </c>
      <c r="K8523" s="7" t="n">
        <f aca="false">Sens!K8456*(1-tax_f)/(Sens!K8443*(Sens!J8521+Sens!K8521)/2)</f>
        <v>0.225276935356115</v>
      </c>
    </row>
    <row r="8524" customFormat="false" ht="17.15" hidden="false" customHeight="false" outlineLevel="0" collapsed="false">
      <c r="A8524" s="0" t="s">
        <v>769</v>
      </c>
      <c r="B8524" s="0" t="s">
        <v>208</v>
      </c>
      <c r="F8524" s="7" t="n">
        <f aca="false">Sens!F8522-wacc</f>
        <v>-0.069393527590663</v>
      </c>
      <c r="G8524" s="7" t="n">
        <f aca="false">Sens!G8522-wacc</f>
        <v>-0.0591462201275377</v>
      </c>
      <c r="H8524" s="7" t="n">
        <f aca="false">Sens!H8522-wacc</f>
        <v>-0.0440853989720856</v>
      </c>
      <c r="I8524" s="7" t="n">
        <f aca="false">Sens!I8522-wacc</f>
        <v>-0.0458724862414136</v>
      </c>
      <c r="J8524" s="7" t="n">
        <f aca="false">Sens!J8522-wacc</f>
        <v>-0.0492655842862213</v>
      </c>
      <c r="K8524" s="7" t="n">
        <f aca="false">Sens!K8522-wacc</f>
        <v>-0.053158698971889</v>
      </c>
    </row>
    <row r="8525" customFormat="false" ht="17.15" hidden="false" customHeight="false" outlineLevel="0" collapsed="false">
      <c r="A8525" s="0" t="s">
        <v>770</v>
      </c>
      <c r="B8525" s="0" t="s">
        <v>95</v>
      </c>
      <c r="F8525" s="6" t="n">
        <f aca="false">Sens!F8520*(1-tax_f)-wacc*(Sens!E8521+Sens!F8521)/2</f>
        <v>-13.4325984196361</v>
      </c>
      <c r="G8525" s="6" t="n">
        <f aca="false">Sens!G8520*(1-tax_f)-wacc*(Sens!F8521+Sens!G8521)/2</f>
        <v>-19.0445216303213</v>
      </c>
      <c r="H8525" s="6" t="n">
        <f aca="false">Sens!H8520*(1-tax_f)-wacc*(Sens!G8521+Sens!H8521)/2</f>
        <v>-19.1206087213735</v>
      </c>
      <c r="I8525" s="6" t="n">
        <f aca="false">Sens!I8520*(1-tax_f)-wacc*(Sens!H8521+Sens!I8521)/2</f>
        <v>-24.5455252337353</v>
      </c>
      <c r="J8525" s="6" t="n">
        <f aca="false">Sens!J8520*(1-tax_f)-wacc*(Sens!I8521+Sens!J8521)/2</f>
        <v>-31.0645716402507</v>
      </c>
      <c r="K8525" s="6" t="n">
        <f aca="false">Sens!K8520*(1-tax_f)-wacc*(Sens!J8521+Sens!K8521)/2</f>
        <v>-38.6151464005733</v>
      </c>
    </row>
    <row r="8526" customFormat="false" ht="17.15" hidden="false" customHeight="false" outlineLevel="0" collapsed="false">
      <c r="A8526" s="1" t="s">
        <v>771</v>
      </c>
      <c r="B8526" s="0" t="s">
        <v>95</v>
      </c>
      <c r="F8526" s="6" t="n">
        <f aca="false">(Sens!E8428+Sens!F8428)/2*Sens!F8435/1000</f>
        <v>26.7873066765967</v>
      </c>
      <c r="G8526" s="6" t="n">
        <f aca="false">(Sens!F8428+Sens!G8428)/2*Sens!G8435/1000</f>
        <v>45.4131817597218</v>
      </c>
      <c r="H8526" s="6" t="n">
        <f aca="false">(Sens!G8428+Sens!H8428)/2*Sens!H8435/1000</f>
        <v>65.3915129357971</v>
      </c>
      <c r="I8526" s="6" t="n">
        <f aca="false">(Sens!H8428+Sens!I8428)/2*Sens!I8435/1000</f>
        <v>85.5187419289299</v>
      </c>
      <c r="J8526" s="6" t="n">
        <f aca="false">(Sens!I8428+Sens!J8428)/2*Sens!J8435/1000</f>
        <v>105.723807195006</v>
      </c>
      <c r="K8526" s="6" t="n">
        <f aca="false">(Sens!J8428+Sens!K8428)/2*Sens!K8435/1000</f>
        <v>125.974659797015</v>
      </c>
      <c r="L8526" s="1" t="s">
        <v>772</v>
      </c>
    </row>
    <row r="8527" customFormat="false" ht="17.15" hidden="false" customHeight="false" outlineLevel="0" collapsed="false">
      <c r="A8527" s="1" t="s">
        <v>773</v>
      </c>
      <c r="B8527" s="0" t="s">
        <v>126</v>
      </c>
      <c r="F8527" s="7" t="n">
        <f aca="false">(Sens!F8444+Sens!F8526-Sens!F8445-Sens!F8455)*(1-tax_f)/((Sens!E8521+Sens!F8521)/2)</f>
        <v>0.118421788166064</v>
      </c>
      <c r="G8527" s="7" t="n">
        <f aca="false">(Sens!G8444+Sens!G8526-Sens!G8445-Sens!G8455)*(1-tax_f)/((Sens!F8521+Sens!G8521)/2)</f>
        <v>0.130730295727678</v>
      </c>
      <c r="H8527" s="7" t="n">
        <f aca="false">(Sens!H8444+Sens!H8526-Sens!H8445-Sens!H8455)*(1-tax_f)/((Sens!G8521+Sens!H8521)/2)</f>
        <v>0.15231973013906</v>
      </c>
      <c r="I8527" s="7" t="n">
        <f aca="false">(Sens!I8444+Sens!I8526-Sens!I8445-Sens!I8455)*(1-tax_f)/((Sens!H8521+Sens!I8521)/2)</f>
        <v>0.158298072749422</v>
      </c>
      <c r="J8527" s="7" t="n">
        <f aca="false">(Sens!J8444+Sens!J8526-Sens!J8445-Sens!J8455)*(1-tax_f)/((Sens!I8521+Sens!J8521)/2)</f>
        <v>0.162864672945395</v>
      </c>
      <c r="K8527" s="7" t="n">
        <f aca="false">(Sens!K8444+Sens!K8526-Sens!K8445-Sens!K8455)*(1-tax_f)/((Sens!J8521+Sens!K8521)/2)</f>
        <v>0.164830088031236</v>
      </c>
      <c r="L8527" s="1" t="s">
        <v>774</v>
      </c>
    </row>
    <row r="8528" customFormat="false" ht="17.15" hidden="false" customHeight="false" outlineLevel="0" collapsed="false">
      <c r="A8528" s="3" t="s">
        <v>1357</v>
      </c>
    </row>
    <row r="8529" customFormat="false" ht="15" hidden="false" customHeight="false" outlineLevel="0" collapsed="false">
      <c r="A8529" s="4" t="s">
        <v>43</v>
      </c>
      <c r="B8529" s="4" t="s">
        <v>63</v>
      </c>
      <c r="C8529" s="19" t="s">
        <v>710</v>
      </c>
      <c r="D8529" s="19" t="s">
        <v>711</v>
      </c>
      <c r="E8529" s="19" t="s">
        <v>712</v>
      </c>
      <c r="F8529" s="19" t="s">
        <v>713</v>
      </c>
      <c r="G8529" s="19" t="s">
        <v>714</v>
      </c>
      <c r="H8529" s="19" t="s">
        <v>715</v>
      </c>
      <c r="I8529" s="19" t="s">
        <v>716</v>
      </c>
      <c r="J8529" s="19" t="s">
        <v>717</v>
      </c>
      <c r="K8529" s="19" t="s">
        <v>718</v>
      </c>
      <c r="L8529" s="4" t="s">
        <v>47</v>
      </c>
    </row>
    <row r="8530" customFormat="false" ht="15" hidden="false" customHeight="false" outlineLevel="0" collapsed="false">
      <c r="A8530" s="1" t="s">
        <v>825</v>
      </c>
      <c r="B8530" s="0" t="s">
        <v>95</v>
      </c>
      <c r="F8530" s="6" t="n">
        <f aca="false">Sens!F8515</f>
        <v>144.790035349795</v>
      </c>
      <c r="G8530" s="6" t="n">
        <f aca="false">Sens!G8515</f>
        <v>168.84316667462</v>
      </c>
      <c r="H8530" s="6" t="n">
        <f aca="false">Sens!H8515</f>
        <v>196.843881309971</v>
      </c>
      <c r="I8530" s="6" t="n">
        <f aca="false">Sens!I8515</f>
        <v>218.044289730075</v>
      </c>
      <c r="J8530" s="6" t="n">
        <f aca="false">Sens!J8515</f>
        <v>236.569602153213</v>
      </c>
      <c r="K8530" s="6" t="n">
        <f aca="false">Sens!K8515</f>
        <v>252.53033647092</v>
      </c>
    </row>
    <row r="8531" customFormat="false" ht="17.15" hidden="false" customHeight="false" outlineLevel="0" collapsed="false">
      <c r="A8531" s="1" t="s">
        <v>843</v>
      </c>
      <c r="B8531" s="0" t="s">
        <v>95</v>
      </c>
      <c r="E8531" s="6" t="n">
        <f aca="false">Q!M38-Sens!E8455</f>
        <v>22.2285940229167</v>
      </c>
      <c r="F8531" s="6" t="n">
        <f aca="false">Sens!E8531*(1-1/life_nonai)+Sens!F8537/life_nonai</f>
        <v>23.5782335435813</v>
      </c>
      <c r="G8531" s="6" t="n">
        <f aca="false">Sens!F8531*(1-1/life_nonai)+Sens!G8537/life_nonai</f>
        <v>25.3794643305724</v>
      </c>
      <c r="H8531" s="6" t="n">
        <f aca="false">Sens!G8531*(1-1/life_nonai)+Sens!H8537/life_nonai</f>
        <v>27.5953060118004</v>
      </c>
      <c r="I8531" s="6" t="n">
        <f aca="false">Sens!H8531*(1-1/life_nonai)+Sens!I8537/life_nonai</f>
        <v>30.1493009035596</v>
      </c>
      <c r="J8531" s="6" t="n">
        <f aca="false">Sens!I8531*(1-1/life_nonai)+Sens!J8537/life_nonai</f>
        <v>32.9493527752196</v>
      </c>
      <c r="K8531" s="6" t="n">
        <f aca="false">Sens!J8531*(1-1/life_nonai)+Sens!K8537/life_nonai</f>
        <v>35.9109953136642</v>
      </c>
      <c r="L8531" s="11" t="s">
        <v>844</v>
      </c>
    </row>
    <row r="8532" customFormat="false" ht="17.15" hidden="false" customHeight="false" outlineLevel="0" collapsed="false">
      <c r="A8532" s="1" t="s">
        <v>845</v>
      </c>
      <c r="B8532" s="0" t="s">
        <v>95</v>
      </c>
      <c r="E8532" s="6" t="n">
        <f aca="false">Sens!E8455+Sens!E8531</f>
        <v>38.534</v>
      </c>
      <c r="F8532" s="6" t="n">
        <f aca="false">Sens!F8455+Sens!F8531</f>
        <v>58.3066321661177</v>
      </c>
      <c r="G8532" s="6" t="n">
        <f aca="false">Sens!G8455+Sens!G8531</f>
        <v>85.8619239242454</v>
      </c>
      <c r="H8532" s="6" t="n">
        <f aca="false">Sens!H8455+Sens!H8531</f>
        <v>115.313348338273</v>
      </c>
      <c r="I8532" s="6" t="n">
        <f aca="false">Sens!I8455+Sens!I8531</f>
        <v>146.122208978016</v>
      </c>
      <c r="J8532" s="6" t="n">
        <f aca="false">Sens!J8455+Sens!J8531</f>
        <v>178.149357066826</v>
      </c>
      <c r="K8532" s="6" t="n">
        <f aca="false">Sens!K8455+Sens!K8531</f>
        <v>211.625644281587</v>
      </c>
    </row>
    <row r="8533" customFormat="false" ht="15" hidden="false" customHeight="false" outlineLevel="0" collapsed="false">
      <c r="A8533" s="1" t="s">
        <v>685</v>
      </c>
      <c r="B8533" s="0" t="s">
        <v>95</v>
      </c>
      <c r="F8533" s="6" t="n">
        <f aca="false">Sens!F8482*sbc_r</f>
        <v>15.1186486817177</v>
      </c>
      <c r="G8533" s="6" t="n">
        <f aca="false">Sens!G8482*sbc_r</f>
        <v>18.3624868071166</v>
      </c>
      <c r="H8533" s="6" t="n">
        <f aca="false">Sens!H8482*sbc_r</f>
        <v>21.8477040727982</v>
      </c>
      <c r="I8533" s="6" t="n">
        <f aca="false">Sens!I8482*sbc_r</f>
        <v>25.0121744840356</v>
      </c>
      <c r="J8533" s="6" t="n">
        <f aca="false">Sens!J8482*sbc_r</f>
        <v>28.0234928187391</v>
      </c>
      <c r="K8533" s="6" t="n">
        <f aca="false">Sens!K8482*sbc_r</f>
        <v>30.9109598681429</v>
      </c>
    </row>
    <row r="8534" customFormat="false" ht="17.15" hidden="false" customHeight="false" outlineLevel="0" collapsed="false">
      <c r="A8534" s="1" t="s">
        <v>846</v>
      </c>
      <c r="B8534" s="0" t="s">
        <v>95</v>
      </c>
      <c r="F8534" s="6" t="n">
        <f aca="false">wc27</f>
        <v>-4.895</v>
      </c>
      <c r="G8534" s="6" t="n">
        <f aca="false">0</f>
        <v>0</v>
      </c>
      <c r="H8534" s="6" t="n">
        <f aca="false">0</f>
        <v>0</v>
      </c>
      <c r="I8534" s="6" t="n">
        <f aca="false">0</f>
        <v>0</v>
      </c>
      <c r="J8534" s="6" t="n">
        <f aca="false">0</f>
        <v>0</v>
      </c>
      <c r="K8534" s="6" t="n">
        <f aca="false">0</f>
        <v>0</v>
      </c>
      <c r="L8534" s="11" t="s">
        <v>847</v>
      </c>
    </row>
    <row r="8535" customFormat="false" ht="15" hidden="false" customHeight="false" outlineLevel="0" collapsed="false">
      <c r="A8535" s="1" t="s">
        <v>678</v>
      </c>
      <c r="B8535" s="0" t="s">
        <v>95</v>
      </c>
      <c r="E8535" s="6" t="n">
        <f aca="false">Q!M35</f>
        <v>182.935</v>
      </c>
      <c r="F8535" s="6" t="n">
        <f aca="false">Sens!F8530+Sens!F8532+Sens!F8533+Sens!F8534</f>
        <v>213.320316197631</v>
      </c>
      <c r="G8535" s="6" t="n">
        <f aca="false">Sens!G8530+Sens!G8532+Sens!G8533+Sens!G8534</f>
        <v>273.067577405982</v>
      </c>
      <c r="H8535" s="6" t="n">
        <f aca="false">Sens!H8530+Sens!H8532+Sens!H8533+Sens!H8534</f>
        <v>334.004933721042</v>
      </c>
      <c r="I8535" s="6" t="n">
        <f aca="false">Sens!I8530+Sens!I8532+Sens!I8533+Sens!I8534</f>
        <v>389.178673192127</v>
      </c>
      <c r="J8535" s="6" t="n">
        <f aca="false">Sens!J8530+Sens!J8532+Sens!J8533+Sens!J8534</f>
        <v>442.742452038778</v>
      </c>
      <c r="K8535" s="6" t="n">
        <f aca="false">Sens!K8530+Sens!K8532+Sens!K8533+Sens!K8534</f>
        <v>495.06694062065</v>
      </c>
    </row>
    <row r="8536" customFormat="false" ht="17.15" hidden="false" customHeight="false" outlineLevel="0" collapsed="false">
      <c r="A8536" s="0" t="s">
        <v>848</v>
      </c>
      <c r="B8536" s="0" t="s">
        <v>95</v>
      </c>
      <c r="F8536" s="6" t="n">
        <f aca="false">Sens!F8452</f>
        <v>168.475010770438</v>
      </c>
      <c r="G8536" s="6" t="n">
        <f aca="false">Sens!G8452</f>
        <v>183.5741804832</v>
      </c>
      <c r="H8536" s="6" t="n">
        <f aca="false">Sens!H8452</f>
        <v>188.0802859104</v>
      </c>
      <c r="I8536" s="6" t="n">
        <f aca="false">Sens!I8452</f>
        <v>218.338961257067</v>
      </c>
      <c r="J8536" s="6" t="n">
        <f aca="false">Sens!J8452</f>
        <v>233.777060923733</v>
      </c>
      <c r="K8536" s="6" t="n">
        <f aca="false">Sens!K8452</f>
        <v>278.8563119504</v>
      </c>
    </row>
    <row r="8537" customFormat="false" ht="17.15" hidden="false" customHeight="false" outlineLevel="0" collapsed="false">
      <c r="A8537" s="1" t="s">
        <v>849</v>
      </c>
      <c r="B8537" s="0" t="s">
        <v>95</v>
      </c>
      <c r="E8537" s="6" t="n">
        <f aca="false">Sens!E8460*cx_azo+Sens!E8467*cx_m365+Sens!E8468*cx_lic+(Sens!E8470+Sens!E8472)*cx_ind+Sens!E8475*cx_srch+(Sens!E8477+Sens!E8479)*cx_dev</f>
        <v>30.1846587067718</v>
      </c>
      <c r="F8537" s="6" t="n">
        <f aca="false">Sens!F8460*cx_azo+Sens!F8467*cx_m365+Sens!F8468*cx_lic+(Sens!F8470+Sens!F8472)*cx_ind+Sens!F8475*cx_srch+(Sens!F8477+Sens!F8479)*cx_dev</f>
        <v>35.7249892295625</v>
      </c>
      <c r="G8537" s="6" t="n">
        <f aca="false">Sens!G8460*cx_azo+Sens!G8467*cx_m365+Sens!G8468*cx_lic+(Sens!G8470+Sens!G8472)*cx_ind+Sens!G8475*cx_srch+(Sens!G8477+Sens!G8479)*cx_dev</f>
        <v>41.5905414134931</v>
      </c>
      <c r="H8537" s="6" t="n">
        <f aca="false">Sens!H8460*cx_azo+Sens!H8467*cx_m365+Sens!H8468*cx_lic+(Sens!H8470+Sens!H8472)*cx_ind+Sens!H8475*cx_srch+(Sens!H8477+Sens!H8479)*cx_dev</f>
        <v>47.5378811428518</v>
      </c>
      <c r="I8537" s="6" t="n">
        <f aca="false">Sens!I8460*cx_azo+Sens!I8467*cx_m365+Sens!I8468*cx_lic+(Sens!I8470+Sens!I8472)*cx_ind+Sens!I8475*cx_srch+(Sens!I8477+Sens!I8479)*cx_dev</f>
        <v>53.1352549293923</v>
      </c>
      <c r="J8537" s="6" t="n">
        <f aca="false">Sens!J8460*cx_azo+Sens!J8467*cx_m365+Sens!J8468*cx_lic+(Sens!J8470+Sens!J8472)*cx_ind+Sens!J8475*cx_srch+(Sens!J8477+Sens!J8479)*cx_dev</f>
        <v>58.1498196201597</v>
      </c>
      <c r="K8537" s="6" t="n">
        <f aca="false">Sens!K8460*cx_azo+Sens!K8467*cx_m365+Sens!K8468*cx_lic+(Sens!K8470+Sens!K8472)*cx_ind+Sens!K8475*cx_srch+(Sens!K8477+Sens!K8479)*cx_dev</f>
        <v>62.5657781596659</v>
      </c>
    </row>
    <row r="8538" customFormat="false" ht="17.15" hidden="false" customHeight="false" outlineLevel="0" collapsed="false">
      <c r="A8538" s="1" t="s">
        <v>850</v>
      </c>
      <c r="B8538" s="0" t="s">
        <v>95</v>
      </c>
      <c r="E8538" s="6" t="n">
        <f aca="false">Q!M42</f>
        <v>145.3</v>
      </c>
      <c r="F8538" s="6" t="n">
        <f aca="false">Sens!F8536+Sens!F8537</f>
        <v>204.2</v>
      </c>
      <c r="G8538" s="6" t="n">
        <f aca="false">Sens!G8536+Sens!G8537</f>
        <v>225.164721896693</v>
      </c>
      <c r="H8538" s="6" t="n">
        <f aca="false">Sens!H8536+Sens!H8537</f>
        <v>235.618167053252</v>
      </c>
      <c r="I8538" s="6" t="n">
        <f aca="false">Sens!I8536+Sens!I8537</f>
        <v>271.474216186459</v>
      </c>
      <c r="J8538" s="6" t="n">
        <f aca="false">Sens!J8536+Sens!J8537</f>
        <v>291.926880543893</v>
      </c>
      <c r="K8538" s="6" t="n">
        <f aca="false">Sens!K8536+Sens!K8537</f>
        <v>341.422090110066</v>
      </c>
      <c r="L8538" s="1" t="s">
        <v>851</v>
      </c>
    </row>
    <row r="8539" customFormat="false" ht="15" hidden="false" customHeight="false" outlineLevel="0" collapsed="false">
      <c r="A8539" s="1" t="s">
        <v>852</v>
      </c>
      <c r="B8539" s="0" t="s">
        <v>95</v>
      </c>
      <c r="E8539" s="6" t="n">
        <f aca="false">fl_liab</f>
        <v>66.594</v>
      </c>
      <c r="F8539" s="6" t="n">
        <f aca="false">Sens!E8539-Sens!F8540</f>
        <v>62.46973</v>
      </c>
      <c r="G8539" s="6" t="n">
        <f aca="false">Sens!F8539-Sens!G8540</f>
        <v>57.98686785</v>
      </c>
      <c r="H8539" s="6" t="n">
        <f aca="false">Sens!G8539-Sens!H8540</f>
        <v>53.92827690325</v>
      </c>
      <c r="I8539" s="6" t="n">
        <f aca="false">Sens!H8539-Sens!I8540</f>
        <v>49.7850493638962</v>
      </c>
      <c r="J8539" s="6" t="n">
        <f aca="false">Sens!I8539-Sens!J8540</f>
        <v>45.4823765852716</v>
      </c>
      <c r="K8539" s="6" t="n">
        <f aca="false">Sens!J8539-Sens!K8540</f>
        <v>40.9860835316088</v>
      </c>
    </row>
    <row r="8540" customFormat="false" ht="15" hidden="false" customHeight="false" outlineLevel="0" collapsed="false">
      <c r="A8540" s="1" t="s">
        <v>853</v>
      </c>
      <c r="B8540" s="0" t="s">
        <v>95</v>
      </c>
      <c r="F8540" s="6" t="n">
        <f aca="false">fl_pay_27-Sens!E8539*fl_rate</f>
        <v>4.12427</v>
      </c>
      <c r="G8540" s="6" t="n">
        <f aca="false">fl_pay_28-Sens!F8539*fl_rate</f>
        <v>4.48286215</v>
      </c>
      <c r="H8540" s="6" t="n">
        <f aca="false">fl_pay_29-Sens!G8539*fl_rate</f>
        <v>4.05859094675</v>
      </c>
      <c r="I8540" s="6" t="n">
        <f aca="false">fl_pay_30-Sens!H8539*fl_rate</f>
        <v>4.14322753935375</v>
      </c>
      <c r="J8540" s="6" t="n">
        <f aca="false">fl_pay_31-Sens!I8539*fl_rate</f>
        <v>4.30267277862467</v>
      </c>
      <c r="K8540" s="6" t="n">
        <f aca="false">fl_pay_32-Sens!J8539*fl_rate</f>
        <v>4.49629305366278</v>
      </c>
    </row>
    <row r="8541" customFormat="false" ht="17.15" hidden="false" customHeight="false" outlineLevel="0" collapsed="false">
      <c r="A8541" s="1" t="s">
        <v>854</v>
      </c>
      <c r="B8541" s="0" t="s">
        <v>95</v>
      </c>
      <c r="E8541" s="6" t="n">
        <f aca="false">Q!M35-Q!M36-Q!M43</f>
        <v>63.886</v>
      </c>
      <c r="F8541" s="6" t="n">
        <f aca="false">Sens!F8535-Sens!F8538-Sens!F8540</f>
        <v>4.99604619763067</v>
      </c>
      <c r="G8541" s="6" t="n">
        <f aca="false">Sens!G8535-Sens!G8538-Sens!G8540</f>
        <v>43.4199933592889</v>
      </c>
      <c r="H8541" s="6" t="n">
        <f aca="false">Sens!H8535-Sens!H8538-Sens!H8540</f>
        <v>94.3281757210406</v>
      </c>
      <c r="I8541" s="6" t="n">
        <f aca="false">Sens!I8535-Sens!I8538-Sens!I8540</f>
        <v>113.561229466314</v>
      </c>
      <c r="J8541" s="6" t="n">
        <f aca="false">Sens!J8535-Sens!J8538-Sens!J8540</f>
        <v>146.51289871626</v>
      </c>
      <c r="K8541" s="6" t="n">
        <f aca="false">Sens!K8535-Sens!K8538-Sens!K8540</f>
        <v>149.148557456921</v>
      </c>
      <c r="L8541" s="11" t="s">
        <v>855</v>
      </c>
    </row>
    <row r="8542" customFormat="false" ht="15" hidden="false" customHeight="false" outlineLevel="0" collapsed="false">
      <c r="A8542" s="1" t="s">
        <v>856</v>
      </c>
      <c r="B8542" s="0" t="s">
        <v>73</v>
      </c>
      <c r="F8542" s="8" t="n">
        <f aca="false">dps_27</f>
        <v>3.85</v>
      </c>
      <c r="G8542" s="8" t="n">
        <f aca="false">Sens!F8542*(1+dps_g)</f>
        <v>4.158</v>
      </c>
      <c r="H8542" s="8" t="n">
        <f aca="false">Sens!G8542*(1+dps_g)</f>
        <v>4.49064</v>
      </c>
      <c r="I8542" s="8" t="n">
        <f aca="false">Sens!H8542*(1+dps_g)</f>
        <v>4.8498912</v>
      </c>
      <c r="J8542" s="8" t="n">
        <f aca="false">Sens!I8542*(1+dps_g)</f>
        <v>5.237882496</v>
      </c>
      <c r="K8542" s="8" t="n">
        <f aca="false">Sens!J8542*(1+dps_g)</f>
        <v>5.65691309568</v>
      </c>
    </row>
    <row r="8543" customFormat="false" ht="17.15" hidden="false" customHeight="false" outlineLevel="0" collapsed="false">
      <c r="A8543" s="1" t="s">
        <v>857</v>
      </c>
      <c r="B8543" s="0" t="s">
        <v>95</v>
      </c>
      <c r="E8543" s="6" t="n">
        <f aca="false">Q!M41</f>
        <v>26.445</v>
      </c>
      <c r="F8543" s="6" t="n">
        <f aca="false">Sens!F8542*Sens!E8552</f>
        <v>28.59395</v>
      </c>
      <c r="G8543" s="6" t="n">
        <f aca="false">Sens!G8542*Sens!F8552</f>
        <v>31.068576</v>
      </c>
      <c r="H8543" s="6" t="n">
        <f aca="false">Sens!H8542*Sens!G8552</f>
        <v>33.6633536431033</v>
      </c>
      <c r="I8543" s="6" t="n">
        <f aca="false">Sens!I8542*Sens!H8552</f>
        <v>36.407361174551</v>
      </c>
      <c r="J8543" s="6" t="n">
        <f aca="false">Sens!J8542*Sens!I8552</f>
        <v>39.3883489168345</v>
      </c>
      <c r="K8543" s="6" t="n">
        <f aca="false">Sens!K8542*Sens!J8552</f>
        <v>42.6266720554863</v>
      </c>
      <c r="L8543" s="1" t="s">
        <v>858</v>
      </c>
    </row>
    <row r="8544" customFormat="false" ht="15" hidden="false" customHeight="false" outlineLevel="0" collapsed="false">
      <c r="A8544" s="1" t="s">
        <v>859</v>
      </c>
      <c r="B8544" s="0" t="s">
        <v>95</v>
      </c>
      <c r="E8544" s="6" t="n">
        <f aca="false">Sens!E8541-Sens!E8543</f>
        <v>37.441</v>
      </c>
      <c r="F8544" s="6" t="n">
        <f aca="false">Sens!F8541-Sens!F8543</f>
        <v>-23.5979038023693</v>
      </c>
      <c r="G8544" s="6" t="n">
        <f aca="false">Sens!G8541-Sens!G8543</f>
        <v>12.3514173592889</v>
      </c>
      <c r="H8544" s="6" t="n">
        <f aca="false">Sens!H8541-Sens!H8543</f>
        <v>60.6648220779374</v>
      </c>
      <c r="I8544" s="6" t="n">
        <f aca="false">Sens!I8541-Sens!I8543</f>
        <v>77.1538682917629</v>
      </c>
      <c r="J8544" s="6" t="n">
        <f aca="false">Sens!J8541-Sens!J8543</f>
        <v>107.124549799425</v>
      </c>
      <c r="K8544" s="6" t="n">
        <f aca="false">Sens!K8541-Sens!K8543</f>
        <v>106.521885401435</v>
      </c>
    </row>
    <row r="8545" customFormat="false" ht="15" hidden="false" customHeight="false" outlineLevel="0" collapsed="false">
      <c r="A8545" s="1" t="s">
        <v>860</v>
      </c>
      <c r="B8545" s="0" t="s">
        <v>95</v>
      </c>
      <c r="F8545" s="6" t="n">
        <f aca="false">debt_mat_27</f>
        <v>9.25</v>
      </c>
      <c r="G8545" s="6" t="n">
        <f aca="false">debt_mat_28</f>
        <v>0</v>
      </c>
      <c r="H8545" s="6" t="n">
        <f aca="false">debt_mat_29</f>
        <v>2.001</v>
      </c>
      <c r="I8545" s="6" t="n">
        <f aca="false">debt_mat_30</f>
        <v>0</v>
      </c>
      <c r="J8545" s="6" t="n">
        <f aca="false">debt_mat_31</f>
        <v>0.5</v>
      </c>
      <c r="K8545" s="6" t="n">
        <f aca="false">debt_mat_32</f>
        <v>0</v>
      </c>
    </row>
    <row r="8546" customFormat="false" ht="15" hidden="false" customHeight="false" outlineLevel="0" collapsed="false">
      <c r="A8546" s="1" t="s">
        <v>861</v>
      </c>
      <c r="B8546" s="0" t="s">
        <v>95</v>
      </c>
      <c r="E8546" s="6" t="n">
        <f aca="false">Q!M40</f>
        <v>22.271</v>
      </c>
      <c r="F8546" s="6" t="n">
        <f aca="false">MAX(0,MIN(bb_target,Sens!E8548+Sens!F8544-Sens!F8545-min_cash))</f>
        <v>0</v>
      </c>
      <c r="G8546" s="6" t="n">
        <f aca="false">MAX(0,MIN(bb_target,Sens!F8548+Sens!G8544-Sens!G8545-min_cash))</f>
        <v>12.3514173592889</v>
      </c>
      <c r="H8546" s="6" t="n">
        <f aca="false">MAX(0,MIN(bb_target,Sens!G8548+Sens!H8544-Sens!H8545-min_cash))</f>
        <v>22.271</v>
      </c>
      <c r="I8546" s="6" t="n">
        <f aca="false">MAX(0,MIN(bb_target,Sens!H8548+Sens!I8544-Sens!I8545-min_cash))</f>
        <v>22.271</v>
      </c>
      <c r="J8546" s="6" t="n">
        <f aca="false">MAX(0,MIN(bb_target,Sens!I8548+Sens!J8544-Sens!J8545-min_cash))</f>
        <v>22.271</v>
      </c>
      <c r="K8546" s="6" t="n">
        <f aca="false">MAX(0,MIN(bb_target,Sens!J8548+Sens!K8544-Sens!K8545-min_cash))</f>
        <v>22.271</v>
      </c>
    </row>
    <row r="8547" customFormat="false" ht="15" hidden="false" customHeight="false" outlineLevel="0" collapsed="false">
      <c r="A8547" s="1" t="s">
        <v>862</v>
      </c>
      <c r="B8547" s="0" t="s">
        <v>95</v>
      </c>
      <c r="F8547" s="6" t="n">
        <f aca="false">MAX(0,min_cash-(Sens!E8548+Sens!F8544-Sens!F8545-Sens!F8546))</f>
        <v>6.00490380236933</v>
      </c>
      <c r="G8547" s="6" t="n">
        <f aca="false">MAX(0,min_cash-(Sens!F8548+Sens!G8544-Sens!G8545-Sens!G8546))</f>
        <v>0</v>
      </c>
      <c r="H8547" s="6" t="n">
        <f aca="false">MAX(0,min_cash-(Sens!G8548+Sens!H8544-Sens!H8545-Sens!H8546))</f>
        <v>0</v>
      </c>
      <c r="I8547" s="6" t="n">
        <f aca="false">MAX(0,min_cash-(Sens!H8548+Sens!I8544-Sens!I8545-Sens!I8546))</f>
        <v>0</v>
      </c>
      <c r="J8547" s="6" t="n">
        <f aca="false">MAX(0,min_cash-(Sens!I8548+Sens!J8544-Sens!J8545-Sens!J8546))</f>
        <v>0</v>
      </c>
      <c r="K8547" s="6" t="n">
        <f aca="false">MAX(0,min_cash-(Sens!J8548+Sens!K8544-Sens!K8545-Sens!K8546))</f>
        <v>0</v>
      </c>
    </row>
    <row r="8548" customFormat="false" ht="15" hidden="false" customHeight="false" outlineLevel="0" collapsed="false">
      <c r="A8548" s="1" t="s">
        <v>863</v>
      </c>
      <c r="B8548" s="0" t="s">
        <v>95</v>
      </c>
      <c r="E8548" s="6" t="n">
        <f aca="false">cash_open</f>
        <v>76.843</v>
      </c>
      <c r="F8548" s="6" t="n">
        <f aca="false">Sens!E8548+Sens!F8544-Sens!F8545-Sens!F8546+Sens!F8547</f>
        <v>50</v>
      </c>
      <c r="G8548" s="6" t="n">
        <f aca="false">Sens!F8548+Sens!G8544-Sens!G8545-Sens!G8546+Sens!G8547</f>
        <v>50</v>
      </c>
      <c r="H8548" s="6" t="n">
        <f aca="false">Sens!G8548+Sens!H8544-Sens!H8545-Sens!H8546+Sens!H8547</f>
        <v>86.3928220779374</v>
      </c>
      <c r="I8548" s="6" t="n">
        <f aca="false">Sens!H8548+Sens!I8544-Sens!I8545-Sens!I8546+Sens!I8547</f>
        <v>141.2756903697</v>
      </c>
      <c r="J8548" s="6" t="n">
        <f aca="false">Sens!I8548+Sens!J8544-Sens!J8545-Sens!J8546+Sens!J8547</f>
        <v>225.629240169126</v>
      </c>
      <c r="K8548" s="6" t="n">
        <f aca="false">Sens!J8548+Sens!K8544-Sens!K8545-Sens!K8546+Sens!K8547</f>
        <v>309.88012557056</v>
      </c>
    </row>
    <row r="8549" customFormat="false" ht="15" hidden="false" customHeight="false" outlineLevel="0" collapsed="false">
      <c r="A8549" s="1" t="s">
        <v>864</v>
      </c>
      <c r="B8549" s="0" t="s">
        <v>95</v>
      </c>
      <c r="E8549" s="6" t="n">
        <f aca="false">debt_face</f>
        <v>46.136</v>
      </c>
      <c r="F8549" s="6" t="n">
        <f aca="false">Sens!E8549-Sens!F8545+Sens!F8547</f>
        <v>42.8909038023693</v>
      </c>
      <c r="G8549" s="6" t="n">
        <f aca="false">Sens!F8549-Sens!G8545+Sens!G8547</f>
        <v>42.8909038023693</v>
      </c>
      <c r="H8549" s="6" t="n">
        <f aca="false">Sens!G8549-Sens!H8545+Sens!H8547</f>
        <v>40.8899038023693</v>
      </c>
      <c r="I8549" s="6" t="n">
        <f aca="false">Sens!H8549-Sens!I8545+Sens!I8547</f>
        <v>40.8899038023693</v>
      </c>
      <c r="J8549" s="6" t="n">
        <f aca="false">Sens!I8549-Sens!J8545+Sens!J8547</f>
        <v>40.3899038023693</v>
      </c>
      <c r="K8549" s="6" t="n">
        <f aca="false">Sens!J8549-Sens!K8545+Sens!K8547</f>
        <v>40.3899038023693</v>
      </c>
    </row>
    <row r="8550" customFormat="false" ht="15" hidden="false" customHeight="false" outlineLevel="0" collapsed="false">
      <c r="A8550" s="1" t="s">
        <v>865</v>
      </c>
      <c r="B8550" s="0" t="s">
        <v>95</v>
      </c>
      <c r="E8550" s="6" t="n">
        <f aca="false">Sens!E8548-Sens!E8549</f>
        <v>30.707</v>
      </c>
      <c r="F8550" s="6" t="n">
        <f aca="false">Sens!F8548-Sens!F8549</f>
        <v>7.10909619763067</v>
      </c>
      <c r="G8550" s="6" t="n">
        <f aca="false">Sens!G8548-Sens!G8549</f>
        <v>7.10909619763067</v>
      </c>
      <c r="H8550" s="6" t="n">
        <f aca="false">Sens!H8548-Sens!H8549</f>
        <v>45.502918275568</v>
      </c>
      <c r="I8550" s="6" t="n">
        <f aca="false">Sens!I8548-Sens!I8549</f>
        <v>100.385786567331</v>
      </c>
      <c r="J8550" s="6" t="n">
        <f aca="false">Sens!J8548-Sens!J8549</f>
        <v>185.239336366756</v>
      </c>
      <c r="K8550" s="6" t="n">
        <f aca="false">Sens!K8548-Sens!K8549</f>
        <v>269.490221768191</v>
      </c>
    </row>
    <row r="8551" customFormat="false" ht="15" hidden="false" customHeight="false" outlineLevel="0" collapsed="false">
      <c r="A8551" s="1" t="s">
        <v>866</v>
      </c>
      <c r="B8551" s="0" t="s">
        <v>73</v>
      </c>
      <c r="F8551" s="27" t="n">
        <f aca="false">px*(1+bb_g)^(1-0.5)</f>
        <v>553.494156066711</v>
      </c>
      <c r="G8551" s="27" t="n">
        <f aca="false">px*(1+bb_g)^(2-0.5)</f>
        <v>597.773688552047</v>
      </c>
      <c r="H8551" s="27" t="n">
        <f aca="false">px*(1+bb_g)^(3-0.5)</f>
        <v>645.595583636211</v>
      </c>
      <c r="I8551" s="27" t="n">
        <f aca="false">px*(1+bb_g)^(4-0.5)</f>
        <v>697.243230327108</v>
      </c>
      <c r="J8551" s="27" t="n">
        <f aca="false">px*(1+bb_g)^(5-0.5)</f>
        <v>753.022688753277</v>
      </c>
      <c r="K8551" s="27" t="n">
        <f aca="false">px*(1+bb_g)^(6-0.5)</f>
        <v>813.264503853539</v>
      </c>
    </row>
    <row r="8552" customFormat="false" ht="15" hidden="false" customHeight="false" outlineLevel="0" collapsed="false">
      <c r="A8552" s="1" t="s">
        <v>867</v>
      </c>
      <c r="B8552" s="1" t="s">
        <v>79</v>
      </c>
      <c r="E8552" s="18" t="n">
        <f aca="false">sh_out26</f>
        <v>7.427</v>
      </c>
      <c r="F8552" s="18" t="n">
        <f aca="false">Sens!E8552+sh_iss-Sens!F8546/Sens!F8551</f>
        <v>7.472</v>
      </c>
      <c r="G8552" s="18" t="n">
        <f aca="false">Sens!F8552+sh_iss-Sens!G8546/Sens!G8551</f>
        <v>7.49633763630646</v>
      </c>
      <c r="H8552" s="18" t="n">
        <f aca="false">Sens!G8552+sh_iss-Sens!H8546/Sens!H8551</f>
        <v>7.50684080800637</v>
      </c>
      <c r="I8552" s="18" t="n">
        <f aca="false">Sens!H8552+sh_iss-Sens!I8546/Sens!I8551</f>
        <v>7.51989930032109</v>
      </c>
      <c r="J8552" s="18" t="n">
        <f aca="false">Sens!I8552+sh_iss-Sens!J8546/Sens!J8551</f>
        <v>7.53532383024213</v>
      </c>
      <c r="K8552" s="18" t="n">
        <f aca="false">Sens!J8552+sh_iss-Sens!K8546/Sens!K8551</f>
        <v>7.55293913572458</v>
      </c>
    </row>
    <row r="8553" customFormat="false" ht="15" hidden="false" customHeight="false" outlineLevel="0" collapsed="false">
      <c r="A8553" s="1" t="s">
        <v>868</v>
      </c>
      <c r="B8553" s="1" t="s">
        <v>79</v>
      </c>
      <c r="E8553" s="18" t="n">
        <f aca="false">sh_dil26</f>
        <v>7.453</v>
      </c>
      <c r="F8553" s="18" t="n">
        <f aca="false">(Sens!E8552+Sens!F8552)/2+dil_gap</f>
        <v>7.4735</v>
      </c>
      <c r="G8553" s="18" t="n">
        <f aca="false">(Sens!F8552+Sens!G8552)/2+dil_gap</f>
        <v>7.50816881815323</v>
      </c>
      <c r="H8553" s="18" t="n">
        <f aca="false">(Sens!G8552+Sens!H8552)/2+dil_gap</f>
        <v>7.52558922215641</v>
      </c>
      <c r="I8553" s="18" t="n">
        <f aca="false">(Sens!H8552+Sens!I8552)/2+dil_gap</f>
        <v>7.53737005416373</v>
      </c>
      <c r="J8553" s="18" t="n">
        <f aca="false">(Sens!I8552+Sens!J8552)/2+dil_gap</f>
        <v>7.55161156528161</v>
      </c>
      <c r="K8553" s="18" t="n">
        <f aca="false">(Sens!J8552+Sens!K8552)/2+dil_gap</f>
        <v>7.56813148298335</v>
      </c>
    </row>
    <row r="8554" customFormat="false" ht="17.15" hidden="false" customHeight="false" outlineLevel="0" collapsed="false">
      <c r="A8554" s="1" t="s">
        <v>869</v>
      </c>
      <c r="B8554" s="0" t="s">
        <v>95</v>
      </c>
      <c r="C8554" s="6" t="n">
        <f aca="false">SUM(Sens!F8544:J8544)</f>
        <v>233.696753726045</v>
      </c>
    </row>
    <row r="8555" customFormat="false" ht="17.15" hidden="false" customHeight="false" outlineLevel="0" collapsed="false">
      <c r="A8555" s="1" t="s">
        <v>836</v>
      </c>
      <c r="B8555" s="1" t="s">
        <v>870</v>
      </c>
      <c r="C8555" s="30" t="str">
        <f aca="false">IF(SUM(Sens!F8547:J8547)&gt;0.05,"需要舉債 "&amp;TEXT(SUM(Sens!F8547:J8547),"0.0")&amp;" 十億美元","不需舉債")&amp;"；"&amp;IF(SUM(Sens!F8546:J8546)&lt;5*bb_target-0.05,"回購較每年 "&amp;TEXT(bb_target,"0.0")&amp;" 的目標少 "&amp;TEXT(5*bb_target-SUM(Sens!F8546:J8546),"0.0")&amp;" 十億美元（"&amp;TEXT(COUNTIF(Sens!F8546:J8546,"&lt;"&amp;(bb_target-0.05)),"0")&amp;" 年減少）","回購不減")</f>
        <v>需要舉債 6.0 十億美元；回購較每年 22.3 的目標少 32.2 十億美元（2 年減少）</v>
      </c>
    </row>
    <row r="8556" customFormat="false" ht="17.15" hidden="false" customHeight="false" outlineLevel="0" collapsed="false">
      <c r="A8556" s="3" t="s">
        <v>1358</v>
      </c>
    </row>
    <row r="8557" customFormat="false" ht="15" hidden="false" customHeight="false" outlineLevel="0" collapsed="false">
      <c r="A8557" s="4" t="s">
        <v>43</v>
      </c>
      <c r="B8557" s="4" t="s">
        <v>63</v>
      </c>
      <c r="C8557" s="19" t="s">
        <v>710</v>
      </c>
      <c r="D8557" s="19" t="s">
        <v>711</v>
      </c>
      <c r="E8557" s="19" t="s">
        <v>712</v>
      </c>
      <c r="F8557" s="19" t="s">
        <v>713</v>
      </c>
      <c r="G8557" s="19" t="s">
        <v>714</v>
      </c>
      <c r="H8557" s="19" t="s">
        <v>715</v>
      </c>
      <c r="I8557" s="19" t="s">
        <v>716</v>
      </c>
      <c r="J8557" s="19" t="s">
        <v>717</v>
      </c>
      <c r="K8557" s="19" t="s">
        <v>718</v>
      </c>
      <c r="L8557" s="4" t="s">
        <v>47</v>
      </c>
    </row>
    <row r="8558" customFormat="false" ht="17.15" hidden="false" customHeight="false" outlineLevel="0" collapsed="false">
      <c r="A8558" s="1" t="s">
        <v>938</v>
      </c>
      <c r="B8558" s="1" t="s">
        <v>213</v>
      </c>
      <c r="F8558" s="34" t="n">
        <f aca="false">1-0.5</f>
        <v>0.5</v>
      </c>
      <c r="G8558" s="34" t="n">
        <f aca="false">2-0.5</f>
        <v>1.5</v>
      </c>
      <c r="H8558" s="34" t="n">
        <f aca="false">3-0.5</f>
        <v>2.5</v>
      </c>
      <c r="I8558" s="34" t="n">
        <f aca="false">4-0.5</f>
        <v>3.5</v>
      </c>
      <c r="J8558" s="34" t="n">
        <f aca="false">5-0.5</f>
        <v>4.5</v>
      </c>
      <c r="K8558" s="34" t="n">
        <f aca="false">6-0.5</f>
        <v>5.5</v>
      </c>
    </row>
    <row r="8559" customFormat="false" ht="15" hidden="false" customHeight="false" outlineLevel="0" collapsed="false">
      <c r="A8559" s="1" t="s">
        <v>939</v>
      </c>
      <c r="B8559" s="0" t="s">
        <v>182</v>
      </c>
      <c r="F8559" s="18" t="n">
        <f aca="false">1/(1+wacc)^Sens!F8558</f>
        <v>0.949601579913219</v>
      </c>
      <c r="G8559" s="18" t="n">
        <f aca="false">1/(1+wacc)^Sens!G8558</f>
        <v>0.856296729956707</v>
      </c>
      <c r="H8559" s="18" t="n">
        <f aca="false">1/(1+wacc)^Sens!H8558</f>
        <v>0.772159719660069</v>
      </c>
      <c r="I8559" s="18" t="n">
        <f aca="false">1/(1+wacc)^Sens!I8558</f>
        <v>0.696289746073958</v>
      </c>
      <c r="J8559" s="18" t="n">
        <f aca="false">1/(1+wacc)^Sens!J8558</f>
        <v>0.627874516299776</v>
      </c>
      <c r="K8559" s="18" t="n">
        <f aca="false">1/(1+wacc)^Sens!K8558</f>
        <v>0.566181550771831</v>
      </c>
    </row>
    <row r="8560" customFormat="false" ht="15" hidden="false" customHeight="false" outlineLevel="0" collapsed="false">
      <c r="A8560" s="1" t="s">
        <v>940</v>
      </c>
      <c r="B8560" s="0" t="s">
        <v>95</v>
      </c>
      <c r="F8560" s="6" t="n">
        <f aca="false">Sens!F8541*Sens!F8559</f>
        <v>4.74425336258951</v>
      </c>
      <c r="G8560" s="6" t="n">
        <f aca="false">Sens!G8541*Sens!G8559</f>
        <v>37.180398328301</v>
      </c>
      <c r="H8560" s="6" t="n">
        <f aca="false">Sens!H8541*Sens!H8559</f>
        <v>72.8364177208044</v>
      </c>
      <c r="I8560" s="6" t="n">
        <f aca="false">Sens!I8541*Sens!I8559</f>
        <v>79.0715196289461</v>
      </c>
      <c r="J8560" s="6" t="n">
        <f aca="false">Sens!J8541*Sens!J8559</f>
        <v>91.9917154131497</v>
      </c>
      <c r="K8560" s="6" t="n">
        <f aca="false">Sens!K8541*Sens!K8559</f>
        <v>84.4451615563412</v>
      </c>
    </row>
    <row r="8561" customFormat="false" ht="17.15" hidden="false" customHeight="false" outlineLevel="0" collapsed="false">
      <c r="A8561" s="1" t="s">
        <v>941</v>
      </c>
      <c r="B8561" s="0" t="s">
        <v>95</v>
      </c>
      <c r="C8561" s="6" t="n">
        <f aca="false">SUM(Sens!F8560:K8560)</f>
        <v>370.269466010132</v>
      </c>
    </row>
    <row r="8562" customFormat="false" ht="17.15" hidden="false" customHeight="false" outlineLevel="0" collapsed="false">
      <c r="A8562" s="1" t="s">
        <v>942</v>
      </c>
      <c r="B8562" s="0" t="s">
        <v>95</v>
      </c>
      <c r="C8562" s="6" t="n">
        <f aca="false">Sens!K8507*(1+g_tv)*(1-tax_f)</f>
        <v>260.435846565047</v>
      </c>
    </row>
    <row r="8563" customFormat="false" ht="17.15" hidden="false" customHeight="false" outlineLevel="0" collapsed="false">
      <c r="A8563" s="1" t="s">
        <v>943</v>
      </c>
      <c r="B8563" s="0" t="s">
        <v>95</v>
      </c>
      <c r="C8563" s="6" t="n">
        <f aca="false">Sens!$C$8562*(1-g_tv/(wacc+ronic_prem))</f>
        <v>188.732061430266</v>
      </c>
    </row>
    <row r="8564" customFormat="false" ht="17.15" hidden="false" customHeight="false" outlineLevel="0" collapsed="false">
      <c r="A8564" s="1" t="s">
        <v>944</v>
      </c>
      <c r="B8564" s="0" t="s">
        <v>95</v>
      </c>
      <c r="C8564" s="6" t="n">
        <f aca="false">Sens!$C$8563/(wacc-g_tv)</f>
        <v>2390.12617115936</v>
      </c>
    </row>
    <row r="8565" customFormat="false" ht="15" hidden="false" customHeight="false" outlineLevel="0" collapsed="false">
      <c r="A8565" s="1" t="s">
        <v>945</v>
      </c>
      <c r="B8565" s="0" t="s">
        <v>95</v>
      </c>
      <c r="C8565" s="6" t="n">
        <f aca="false">Sens!$C$8564/(1+wacc)^6</f>
        <v>1285.04391489433</v>
      </c>
    </row>
    <row r="8566" customFormat="false" ht="17.15" hidden="false" customHeight="false" outlineLevel="0" collapsed="false">
      <c r="A8566" s="0" t="s">
        <v>877</v>
      </c>
      <c r="B8566" s="0" t="s">
        <v>95</v>
      </c>
      <c r="C8566" s="6" t="n">
        <f aca="false">Sens!$C$8561+Sens!$C$8565</f>
        <v>1655.31338090446</v>
      </c>
    </row>
    <row r="8567" customFormat="false" ht="15" hidden="false" customHeight="false" outlineLevel="0" collapsed="false">
      <c r="A8567" s="1" t="s">
        <v>878</v>
      </c>
      <c r="B8567" s="0" t="s">
        <v>126</v>
      </c>
      <c r="C8567" s="7" t="n">
        <f aca="false">Sens!$C$8565/Sens!$C$8566</f>
        <v>0.776314581709104</v>
      </c>
    </row>
    <row r="8568" customFormat="false" ht="17.15" hidden="false" customHeight="false" outlineLevel="0" collapsed="false">
      <c r="A8568" s="1" t="s">
        <v>946</v>
      </c>
      <c r="B8568" s="0" t="s">
        <v>95</v>
      </c>
      <c r="C8568" s="6" t="n">
        <f aca="false">Sens!$C$8566+Sens!E8550+oai_v</f>
        <v>1856.42038090447</v>
      </c>
    </row>
    <row r="8569" customFormat="false" ht="17.15" hidden="false" customHeight="false" outlineLevel="0" collapsed="false">
      <c r="A8569" s="0" t="s">
        <v>883</v>
      </c>
      <c r="B8569" s="0" t="s">
        <v>73</v>
      </c>
      <c r="C8569" s="5" t="n">
        <f aca="false">Sens!$C$8568/sh_dil26</f>
        <v>249.083641608005</v>
      </c>
    </row>
    <row r="8570" customFormat="false" ht="17.15" hidden="false" customHeight="false" outlineLevel="0" collapsed="false">
      <c r="A8570" s="0" t="s">
        <v>947</v>
      </c>
      <c r="B8570" s="0" t="s">
        <v>73</v>
      </c>
      <c r="C8570" s="5" t="n">
        <f aca="false">Sens!$C$8569*(1+wacc)^t_roll</f>
        <v>285.697584589881</v>
      </c>
    </row>
    <row r="8571" customFormat="false" ht="17.15" hidden="false" customHeight="false" outlineLevel="0" collapsed="false">
      <c r="A8571" s="1" t="s">
        <v>948</v>
      </c>
      <c r="B8571" s="0" t="s">
        <v>126</v>
      </c>
      <c r="F8571" s="7" t="n">
        <f aca="false">Sens!F8531/(Sens!F8482-Sens!F8438)</f>
        <v>0.0682047481859512</v>
      </c>
      <c r="G8571" s="7" t="n">
        <f aca="false">Sens!G8531/(Sens!G8482-Sens!G8438)</f>
        <v>0.0651030590709091</v>
      </c>
      <c r="H8571" s="7" t="n">
        <f aca="false">Sens!H8531/(Sens!H8482-Sens!H8438)</f>
        <v>0.0634886087043021</v>
      </c>
      <c r="I8571" s="7" t="n">
        <f aca="false">Sens!I8531/(Sens!I8482-Sens!I8438)</f>
        <v>0.0632529094741141</v>
      </c>
      <c r="J8571" s="7" t="n">
        <f aca="false">Sens!J8531/(Sens!J8482-Sens!J8438)</f>
        <v>0.0640484251465737</v>
      </c>
      <c r="K8571" s="7" t="n">
        <f aca="false">Sens!K8531/(Sens!K8482-Sens!K8438)</f>
        <v>0.0654273325549648</v>
      </c>
    </row>
    <row r="8572" customFormat="false" ht="17.15" hidden="false" customHeight="false" outlineLevel="0" collapsed="false">
      <c r="A8572" s="0" t="s">
        <v>949</v>
      </c>
      <c r="B8572" s="0" t="s">
        <v>95</v>
      </c>
      <c r="F8572" s="6" t="n">
        <f aca="false">Sens!F8467*(al_m365+Sens!F8571)</f>
        <v>80.44676515126</v>
      </c>
      <c r="G8572" s="6" t="n">
        <f aca="false">Sens!G8467*(al_m365+Sens!G8571)</f>
        <v>94.1414594288677</v>
      </c>
      <c r="H8572" s="6" t="n">
        <f aca="false">Sens!H8467*(al_m365+Sens!H8571)</f>
        <v>108.000923709423</v>
      </c>
      <c r="I8572" s="6" t="n">
        <f aca="false">Sens!I8467*(al_m365+Sens!I8571)</f>
        <v>120.436134932755</v>
      </c>
      <c r="J8572" s="6" t="n">
        <f aca="false">Sens!J8467*(al_m365+Sens!J8571)</f>
        <v>131.270887463406</v>
      </c>
      <c r="K8572" s="6" t="n">
        <f aca="false">Sens!K8467*(al_m365+Sens!K8571)</f>
        <v>141.75464846309</v>
      </c>
    </row>
    <row r="8573" customFormat="false" ht="17.15" hidden="false" customHeight="false" outlineLevel="0" collapsed="false">
      <c r="A8573" s="0" t="s">
        <v>950</v>
      </c>
      <c r="B8573" s="0" t="s">
        <v>95</v>
      </c>
      <c r="F8573" s="6" t="n">
        <f aca="false">Sens!F8468*(al_lic+Sens!F8571)</f>
        <v>31.9689641865377</v>
      </c>
      <c r="G8573" s="6" t="n">
        <f aca="false">Sens!G8468*(al_lic+Sens!G8571)</f>
        <v>33.1963460490611</v>
      </c>
      <c r="H8573" s="6" t="n">
        <f aca="false">Sens!H8468*(al_lic+Sens!H8571)</f>
        <v>34.3484165820372</v>
      </c>
      <c r="I8573" s="6" t="n">
        <f aca="false">Sens!I8468*(al_lic+Sens!I8571)</f>
        <v>35.4088680583133</v>
      </c>
      <c r="J8573" s="6" t="n">
        <f aca="false">Sens!J8468*(al_lic+Sens!J8571)</f>
        <v>36.3503647050678</v>
      </c>
      <c r="K8573" s="6" t="n">
        <f aca="false">Sens!K8468*(al_lic+Sens!K8571)</f>
        <v>37.1401769397034</v>
      </c>
    </row>
    <row r="8574" customFormat="false" ht="17.15" hidden="false" customHeight="false" outlineLevel="0" collapsed="false">
      <c r="A8574" s="0" t="s">
        <v>951</v>
      </c>
      <c r="B8574" s="0" t="s">
        <v>95</v>
      </c>
      <c r="F8574" s="6" t="n">
        <f aca="false">Sens!F8470*(al_ind+Sens!F8571)</f>
        <v>8.23203468056038</v>
      </c>
      <c r="G8574" s="6" t="n">
        <f aca="false">Sens!G8470*(al_ind+Sens!G8571)</f>
        <v>8.92283122448718</v>
      </c>
      <c r="H8574" s="6" t="n">
        <f aca="false">Sens!H8470*(al_ind+Sens!H8571)</f>
        <v>9.65927548305925</v>
      </c>
      <c r="I8574" s="6" t="n">
        <f aca="false">Sens!I8470*(al_ind+Sens!I8571)</f>
        <v>10.4403306668167</v>
      </c>
      <c r="J8574" s="6" t="n">
        <f aca="false">Sens!J8470*(al_ind+Sens!J8571)</f>
        <v>11.2561059218261</v>
      </c>
      <c r="K8574" s="6" t="n">
        <f aca="false">Sens!K8470*(al_ind+Sens!K8571)</f>
        <v>12.0896525607407</v>
      </c>
    </row>
    <row r="8575" customFormat="false" ht="17.15" hidden="false" customHeight="false" outlineLevel="0" collapsed="false">
      <c r="A8575" s="0" t="s">
        <v>952</v>
      </c>
      <c r="B8575" s="0" t="s">
        <v>95</v>
      </c>
      <c r="F8575" s="6" t="n">
        <f aca="false">Sens!F8472*(al_fro+Sens!F8571)</f>
        <v>3.2401577513036</v>
      </c>
      <c r="G8575" s="6" t="n">
        <f aca="false">Sens!G8472*(al_fro+Sens!G8571)</f>
        <v>3.42583965748947</v>
      </c>
      <c r="H8575" s="6" t="n">
        <f aca="false">Sens!H8472*(al_fro+Sens!H8571)</f>
        <v>3.63994561538824</v>
      </c>
      <c r="I8575" s="6" t="n">
        <f aca="false">Sens!I8472*(al_fro+Sens!I8571)</f>
        <v>3.88546615789835</v>
      </c>
      <c r="J8575" s="6" t="n">
        <f aca="false">Sens!J8472*(al_fro+Sens!J8571)</f>
        <v>4.16294054123921</v>
      </c>
      <c r="K8575" s="6" t="n">
        <f aca="false">Sens!K8472*(al_fro+Sens!K8571)</f>
        <v>4.47121812144772</v>
      </c>
    </row>
    <row r="8576" customFormat="false" ht="17.15" hidden="false" customHeight="false" outlineLevel="0" collapsed="false">
      <c r="A8576" s="0" t="s">
        <v>953</v>
      </c>
      <c r="B8576" s="0" t="s">
        <v>95</v>
      </c>
      <c r="F8576" s="6" t="n">
        <f aca="false">Sens!F8475*(al_srch+Sens!F8571)</f>
        <v>10.1666817673568</v>
      </c>
      <c r="G8576" s="6" t="n">
        <f aca="false">Sens!G8475*(al_srch+Sens!G8571)</f>
        <v>11.1238018169763</v>
      </c>
      <c r="H8576" s="6" t="n">
        <f aca="false">Sens!H8475*(al_srch+Sens!H8571)</f>
        <v>12.1275708653622</v>
      </c>
      <c r="I8576" s="6" t="n">
        <f aca="false">Sens!I8475*(al_srch+Sens!I8571)</f>
        <v>13.1707156164307</v>
      </c>
      <c r="J8576" s="6" t="n">
        <f aca="false">Sens!J8475*(al_srch+Sens!J8571)</f>
        <v>14.2338699603617</v>
      </c>
      <c r="K8576" s="6" t="n">
        <f aca="false">Sens!K8475*(al_srch+Sens!K8571)</f>
        <v>15.2879284906035</v>
      </c>
    </row>
    <row r="8577" customFormat="false" ht="17.15" hidden="false" customHeight="false" outlineLevel="0" collapsed="false">
      <c r="A8577" s="0" t="s">
        <v>954</v>
      </c>
      <c r="B8577" s="0" t="s">
        <v>95</v>
      </c>
      <c r="F8577" s="6" t="n">
        <f aca="false">Sens!F8444</f>
        <v>43.1278534047371</v>
      </c>
      <c r="G8577" s="6" t="n">
        <f aca="false">Sens!G8444</f>
        <v>78.4713023799053</v>
      </c>
      <c r="H8577" s="6" t="n">
        <f aca="false">Sens!H8444</f>
        <v>120.169624261219</v>
      </c>
      <c r="I8577" s="6" t="n">
        <f aca="false">Sens!I8444</f>
        <v>156.086713969963</v>
      </c>
      <c r="J8577" s="6" t="n">
        <f aca="false">Sens!J8444</f>
        <v>192.09687492465</v>
      </c>
      <c r="K8577" s="6" t="n">
        <f aca="false">Sens!K8444</f>
        <v>228.161785217179</v>
      </c>
    </row>
    <row r="8578" customFormat="false" ht="17.15" hidden="false" customHeight="false" outlineLevel="0" collapsed="false">
      <c r="A8578" s="0" t="s">
        <v>955</v>
      </c>
      <c r="B8578" s="0" t="s">
        <v>95</v>
      </c>
      <c r="F8578" s="6" t="n">
        <f aca="false">Sens!F8504+Sens!F8455+Sens!F8571*(Sens!F8474-Sens!F8438)</f>
        <v>216.008696659539</v>
      </c>
      <c r="G8578" s="6" t="n">
        <f aca="false">Sens!G8504+Sens!G8455+Sens!G8571*(Sens!G8474-Sens!G8438)</f>
        <v>273.21151695119</v>
      </c>
      <c r="H8578" s="6" t="n">
        <f aca="false">Sens!H8504+Sens!H8455+Sens!H8571*(Sens!H8474-Sens!H8438)</f>
        <v>337.025014608154</v>
      </c>
      <c r="I8578" s="6" t="n">
        <f aca="false">Sens!I8504+Sens!I8455+Sens!I8571*(Sens!I8474-Sens!I8438)</f>
        <v>393.501282795305</v>
      </c>
      <c r="J8578" s="6" t="n">
        <f aca="false">Sens!J8504+Sens!J8455+Sens!J8571*(Sens!J8474-Sens!J8438)</f>
        <v>447.697993169577</v>
      </c>
      <c r="K8578" s="6" t="n">
        <f aca="false">Sens!K8504+Sens!K8455+Sens!K8571*(Sens!K8474-Sens!K8438)</f>
        <v>500.032886136313</v>
      </c>
    </row>
    <row r="8579" customFormat="false" ht="17.15" hidden="false" customHeight="false" outlineLevel="0" collapsed="false">
      <c r="A8579" s="0" t="s">
        <v>956</v>
      </c>
      <c r="B8579" s="0" t="s">
        <v>95</v>
      </c>
      <c r="F8579" s="6" t="n">
        <f aca="false">Sens!F8578-Sens!F8572-Sens!F8573-Sens!F8574-Sens!F8575-Sens!F8577</f>
        <v>48.9929214851401</v>
      </c>
      <c r="G8579" s="6" t="n">
        <f aca="false">Sens!G8578-Sens!G8572-Sens!G8573-Sens!G8574-Sens!G8575-Sens!G8577</f>
        <v>55.0537382113795</v>
      </c>
      <c r="H8579" s="6" t="n">
        <f aca="false">Sens!H8578-Sens!H8572-Sens!H8573-Sens!H8574-Sens!H8575-Sens!H8577</f>
        <v>61.2068289570281</v>
      </c>
      <c r="I8579" s="6" t="n">
        <f aca="false">Sens!I8578-Sens!I8572-Sens!I8573-Sens!I8574-Sens!I8575-Sens!I8577</f>
        <v>67.2437690095583</v>
      </c>
      <c r="J8579" s="6" t="n">
        <f aca="false">Sens!J8578-Sens!J8572-Sens!J8573-Sens!J8574-Sens!J8575-Sens!J8577</f>
        <v>72.5608196133869</v>
      </c>
      <c r="K8579" s="6" t="n">
        <f aca="false">Sens!K8578-Sens!K8572-Sens!K8573-Sens!K8574-Sens!K8575-Sens!K8577</f>
        <v>76.4154048341518</v>
      </c>
    </row>
    <row r="8580" customFormat="false" ht="17.15" hidden="false" customHeight="false" outlineLevel="0" collapsed="false">
      <c r="A8580" s="0" t="s">
        <v>957</v>
      </c>
      <c r="B8580" s="0" t="s">
        <v>95</v>
      </c>
      <c r="F8580" s="6" t="n">
        <f aca="false">Sens!F8506+Sens!F8571*Sens!F8481</f>
        <v>23.685479693823</v>
      </c>
      <c r="G8580" s="6" t="n">
        <f aca="false">Sens!G8506+Sens!G8571*Sens!G8481</f>
        <v>24.1043653163302</v>
      </c>
      <c r="H8580" s="6" t="n">
        <f aca="false">Sens!H8506+Sens!H8571*Sens!H8481</f>
        <v>24.7431853675827</v>
      </c>
      <c r="I8580" s="6" t="n">
        <f aca="false">Sens!I8506+Sens!I8571*Sens!I8481</f>
        <v>25.5762883453054</v>
      </c>
      <c r="J8580" s="6" t="n">
        <f aca="false">Sens!J8506+Sens!J8571*Sens!J8481</f>
        <v>26.5633665887648</v>
      </c>
      <c r="K8580" s="6" t="n">
        <f aca="false">Sens!K8506+Sens!K8571*Sens!K8481</f>
        <v>27.6556787339242</v>
      </c>
    </row>
    <row r="8581" customFormat="false" ht="17.15" hidden="false" customHeight="false" outlineLevel="0" collapsed="false">
      <c r="A8581" s="0" t="s">
        <v>958</v>
      </c>
      <c r="B8581" s="0" t="s">
        <v>95</v>
      </c>
      <c r="F8581" s="6" t="n">
        <f aca="false">(Sens!F8580-Sens!F8576)*Sens!F8477/(Sens!F8477+Sens!F8479)</f>
        <v>7.38713971232668</v>
      </c>
      <c r="G8581" s="6" t="n">
        <f aca="false">(Sens!G8580-Sens!G8576)*Sens!G8477/(Sens!G8477+Sens!G8479)</f>
        <v>6.92088183544795</v>
      </c>
      <c r="H8581" s="6" t="n">
        <f aca="false">(Sens!H8580-Sens!H8576)*Sens!H8477/(Sens!H8477+Sens!H8479)</f>
        <v>6.56916285845945</v>
      </c>
      <c r="I8581" s="6" t="n">
        <f aca="false">(Sens!I8580-Sens!I8576)*Sens!I8477/(Sens!I8477+Sens!I8479)</f>
        <v>6.3153952858543</v>
      </c>
      <c r="J8581" s="6" t="n">
        <f aca="false">(Sens!J8580-Sens!J8576)*Sens!J8477/(Sens!J8477+Sens!J8479)</f>
        <v>6.14327360480812</v>
      </c>
      <c r="K8581" s="6" t="n">
        <f aca="false">(Sens!K8580-Sens!K8576)*Sens!K8477/(Sens!K8477+Sens!K8479)</f>
        <v>6.03866639879517</v>
      </c>
    </row>
    <row r="8582" customFormat="false" ht="17.15" hidden="false" customHeight="false" outlineLevel="0" collapsed="false">
      <c r="A8582" s="0" t="s">
        <v>959</v>
      </c>
      <c r="B8582" s="0" t="s">
        <v>95</v>
      </c>
      <c r="F8582" s="6" t="n">
        <f aca="false">Sens!F8580-Sens!F8576-Sens!F8581</f>
        <v>6.13165821413954</v>
      </c>
      <c r="G8582" s="6" t="n">
        <f aca="false">Sens!G8580-Sens!G8576-Sens!G8581</f>
        <v>6.05968166390596</v>
      </c>
      <c r="H8582" s="6" t="n">
        <f aca="false">Sens!H8580-Sens!H8576-Sens!H8581</f>
        <v>6.04645164376105</v>
      </c>
      <c r="I8582" s="6" t="n">
        <f aca="false">Sens!I8580-Sens!I8576-Sens!I8581</f>
        <v>6.09017744302036</v>
      </c>
      <c r="J8582" s="6" t="n">
        <f aca="false">Sens!J8580-Sens!J8576-Sens!J8581</f>
        <v>6.18622302359498</v>
      </c>
      <c r="K8582" s="6" t="n">
        <f aca="false">Sens!K8580-Sens!K8576-Sens!K8581</f>
        <v>6.32908384452544</v>
      </c>
    </row>
    <row r="8583" customFormat="false" ht="17.15" hidden="false" customHeight="false" outlineLevel="0" collapsed="false">
      <c r="A8583" s="1" t="s">
        <v>960</v>
      </c>
      <c r="B8583" s="0" t="s">
        <v>95</v>
      </c>
      <c r="C8583" s="6" t="n">
        <f aca="false">(w_ntm28*Sens!G8577+(1-w_ntm28)*Sens!H8577)*m_ai*1</f>
        <v>551.711134531404</v>
      </c>
    </row>
    <row r="8584" customFormat="false" ht="17.15" hidden="false" customHeight="false" outlineLevel="0" collapsed="false">
      <c r="A8584" s="1" t="s">
        <v>961</v>
      </c>
      <c r="B8584" s="0" t="s">
        <v>95</v>
      </c>
      <c r="C8584" s="6" t="n">
        <f aca="false">(w_ntm28*Sens!G8579+(1-w_ntm28)*Sens!H8579)*m_cloud*1</f>
        <v>788.333660065851</v>
      </c>
    </row>
    <row r="8585" customFormat="false" ht="17.15" hidden="false" customHeight="false" outlineLevel="0" collapsed="false">
      <c r="A8585" s="1" t="s">
        <v>962</v>
      </c>
      <c r="B8585" s="0" t="s">
        <v>95</v>
      </c>
      <c r="C8585" s="6" t="n">
        <f aca="false">(w_ntm28*Sens!G8572+(1-w_ntm28)*Sens!H8572)*m_sw*1</f>
        <v>1065.11817629517</v>
      </c>
    </row>
    <row r="8586" customFormat="false" ht="17.15" hidden="false" customHeight="false" outlineLevel="0" collapsed="false">
      <c r="A8586" s="1" t="s">
        <v>963</v>
      </c>
      <c r="B8586" s="0" t="s">
        <v>95</v>
      </c>
      <c r="C8586" s="6" t="n">
        <f aca="false">(w_ntm28*Sens!G8573+(1-w_ntm28)*Sens!H8573)*m_sw*1</f>
        <v>362.54299948664</v>
      </c>
    </row>
    <row r="8587" customFormat="false" ht="17.15" hidden="false" customHeight="false" outlineLevel="0" collapsed="false">
      <c r="A8587" s="1" t="s">
        <v>964</v>
      </c>
      <c r="B8587" s="0" t="s">
        <v>95</v>
      </c>
      <c r="C8587" s="6" t="n">
        <f aca="false">(w_ntm28*Sens!G8574+(1-w_ntm28)*Sens!H8574)*m_sw*1</f>
        <v>98.9378773974047</v>
      </c>
    </row>
    <row r="8588" customFormat="false" ht="17.15" hidden="false" customHeight="false" outlineLevel="0" collapsed="false">
      <c r="A8588" s="1" t="s">
        <v>965</v>
      </c>
      <c r="B8588" s="0" t="s">
        <v>95</v>
      </c>
      <c r="C8588" s="6" t="n">
        <f aca="false">(w_ntm28*Sens!G8575+(1-w_ntm28)*Sens!H8575)*m_sw*1</f>
        <v>37.746620719369</v>
      </c>
    </row>
    <row r="8589" customFormat="false" ht="17.15" hidden="false" customHeight="false" outlineLevel="0" collapsed="false">
      <c r="A8589" s="1" t="s">
        <v>966</v>
      </c>
      <c r="B8589" s="0" t="s">
        <v>95</v>
      </c>
      <c r="C8589" s="6" t="n">
        <f aca="false">(w_ntm28*Sens!G8576+(1-w_ntm28)*Sens!H8576)*m_ads*1</f>
        <v>104.294085653021</v>
      </c>
    </row>
    <row r="8590" customFormat="false" ht="17.15" hidden="false" customHeight="false" outlineLevel="0" collapsed="false">
      <c r="A8590" s="1" t="s">
        <v>967</v>
      </c>
      <c r="B8590" s="0" t="s">
        <v>95</v>
      </c>
      <c r="C8590" s="6" t="n">
        <f aca="false">(w_ntm28*Sens!G8581+(1-w_ntm28)*Sens!H8581)*m_game*1</f>
        <v>85.97462563605</v>
      </c>
    </row>
    <row r="8591" customFormat="false" ht="17.15" hidden="false" customHeight="false" outlineLevel="0" collapsed="false">
      <c r="A8591" s="1" t="s">
        <v>968</v>
      </c>
      <c r="B8591" s="0" t="s">
        <v>95</v>
      </c>
      <c r="C8591" s="6" t="n">
        <f aca="false">(w_ntm28*Sens!G8582+(1-w_ntm28)*Sens!H8582)*m_pc*1</f>
        <v>87.6217040049477</v>
      </c>
    </row>
    <row r="8592" customFormat="false" ht="17.15" hidden="false" customHeight="false" outlineLevel="0" collapsed="false">
      <c r="A8592" s="1" t="s">
        <v>969</v>
      </c>
      <c r="B8592" s="0" t="s">
        <v>95</v>
      </c>
      <c r="C8592" s="6" t="n">
        <f aca="false">Sens!$C$8583+Sens!$C$8584+Sens!$C$8585+Sens!$C$8586+Sens!$C$8587+Sens!$C$8588+Sens!$C$8589+Sens!$C$8590+Sens!$C$8591</f>
        <v>3182.28088378985</v>
      </c>
    </row>
    <row r="8593" customFormat="false" ht="17.15" hidden="false" customHeight="false" outlineLevel="0" collapsed="false">
      <c r="A8593" s="1" t="s">
        <v>903</v>
      </c>
      <c r="B8593" s="0" t="s">
        <v>95</v>
      </c>
      <c r="C8593" s="6" t="n">
        <f aca="false">Sens!F8550+oai_v-Sens!F8539</f>
        <v>115.039366197631</v>
      </c>
      <c r="L8593" s="1" t="s">
        <v>970</v>
      </c>
    </row>
    <row r="8594" customFormat="false" ht="15" hidden="false" customHeight="false" outlineLevel="0" collapsed="false">
      <c r="A8594" s="1" t="s">
        <v>904</v>
      </c>
      <c r="B8594" s="0" t="s">
        <v>73</v>
      </c>
      <c r="C8594" s="5" t="n">
        <f aca="false">(Sens!$C$8592+Sens!$C$8593)/Sens!F8552</f>
        <v>441.290183349503</v>
      </c>
    </row>
    <row r="8595" customFormat="false" ht="17.15" hidden="false" customHeight="false" outlineLevel="0" collapsed="false">
      <c r="A8595" s="1" t="s">
        <v>971</v>
      </c>
      <c r="B8595" s="0" t="s">
        <v>73</v>
      </c>
      <c r="C8595" s="5" t="n">
        <f aca="false">w_dcf*Sens!$C$8570+(1-w_dcf)*Sens!$C$8594</f>
        <v>363.493883969692</v>
      </c>
    </row>
    <row r="8596" customFormat="false" ht="17.15" hidden="false" customHeight="false" outlineLevel="0" collapsed="false">
      <c r="A8596" s="3" t="s">
        <v>1359</v>
      </c>
    </row>
    <row r="8597" customFormat="false" ht="15" hidden="false" customHeight="false" outlineLevel="0" collapsed="false">
      <c r="A8597" s="4" t="s">
        <v>43</v>
      </c>
      <c r="B8597" s="4" t="s">
        <v>63</v>
      </c>
      <c r="C8597" s="19" t="s">
        <v>710</v>
      </c>
      <c r="D8597" s="19" t="s">
        <v>711</v>
      </c>
      <c r="E8597" s="19" t="s">
        <v>712</v>
      </c>
      <c r="F8597" s="19" t="s">
        <v>713</v>
      </c>
      <c r="G8597" s="19" t="s">
        <v>714</v>
      </c>
      <c r="H8597" s="19" t="s">
        <v>715</v>
      </c>
      <c r="I8597" s="19" t="s">
        <v>716</v>
      </c>
      <c r="J8597" s="19" t="s">
        <v>717</v>
      </c>
      <c r="K8597" s="19" t="s">
        <v>718</v>
      </c>
      <c r="L8597" s="4" t="s">
        <v>47</v>
      </c>
    </row>
    <row r="8598" customFormat="false" ht="17.15" hidden="false" customHeight="false" outlineLevel="0" collapsed="false">
      <c r="A8598" s="1" t="s">
        <v>719</v>
      </c>
      <c r="B8598" s="0" t="s">
        <v>340</v>
      </c>
      <c r="C8598" s="27" t="n">
        <f aca="false">mw_ext_24</f>
        <v>640</v>
      </c>
      <c r="D8598" s="27" t="n">
        <f aca="false">mw_ext_25</f>
        <v>1630</v>
      </c>
      <c r="E8598" s="27" t="n">
        <f aca="false">mw_ext_26</f>
        <v>3250</v>
      </c>
      <c r="F8598" s="27" t="n">
        <f aca="false">MIN(1000000000,Sens!E8598+pace)</f>
        <v>5777.2</v>
      </c>
      <c r="G8598" s="27" t="n">
        <f aca="false">MIN(1000000000,Sens!F8598+pace)</f>
        <v>8304.4</v>
      </c>
      <c r="H8598" s="27" t="n">
        <f aca="false">MIN(1000000000,Sens!G8598+pace)</f>
        <v>10831.6</v>
      </c>
      <c r="I8598" s="27" t="n">
        <f aca="false">MIN(1000000000,Sens!H8598+pace)</f>
        <v>13358.8</v>
      </c>
      <c r="J8598" s="27" t="n">
        <f aca="false">MIN(1000000000,Sens!I8598+pace)</f>
        <v>15886</v>
      </c>
      <c r="K8598" s="27" t="n">
        <f aca="false">MIN(1000000000,Sens!J8598+pace)</f>
        <v>18413.2</v>
      </c>
      <c r="L8598" s="11" t="s">
        <v>720</v>
      </c>
    </row>
    <row r="8599" customFormat="false" ht="17.15" hidden="false" customHeight="false" outlineLevel="0" collapsed="false">
      <c r="A8599" s="1" t="s">
        <v>721</v>
      </c>
      <c r="B8599" s="0" t="s">
        <v>340</v>
      </c>
      <c r="C8599" s="27" t="n">
        <f aca="false">rent_ext_24</f>
        <v>150</v>
      </c>
      <c r="D8599" s="27" t="n">
        <f aca="false">rent_ext_25</f>
        <v>400</v>
      </c>
      <c r="E8599" s="27" t="n">
        <f aca="false">rent_ext_26</f>
        <v>550</v>
      </c>
      <c r="F8599" s="27" t="n">
        <f aca="false">rent_ext_f</f>
        <v>756</v>
      </c>
      <c r="G8599" s="27" t="n">
        <f aca="false">rent_ext_f</f>
        <v>756</v>
      </c>
      <c r="H8599" s="27" t="n">
        <f aca="false">rent_ext_f</f>
        <v>756</v>
      </c>
      <c r="I8599" s="27" t="n">
        <f aca="false">rent_ext_f</f>
        <v>756</v>
      </c>
      <c r="J8599" s="27" t="n">
        <f aca="false">rent_ext_f</f>
        <v>756</v>
      </c>
      <c r="K8599" s="27" t="n">
        <f aca="false">rent_ext_f</f>
        <v>756</v>
      </c>
      <c r="L8599" s="1" t="s">
        <v>722</v>
      </c>
    </row>
    <row r="8600" customFormat="false" ht="17.15" hidden="false" customHeight="false" outlineLevel="0" collapsed="false">
      <c r="A8600" s="1" t="s">
        <v>723</v>
      </c>
      <c r="B8600" s="0" t="s">
        <v>340</v>
      </c>
      <c r="C8600" s="27" t="n">
        <f aca="false">Sens!C8598-Sens!C8599</f>
        <v>490</v>
      </c>
      <c r="D8600" s="27" t="n">
        <f aca="false">Sens!D8598-Sens!D8599</f>
        <v>1230</v>
      </c>
      <c r="E8600" s="27" t="n">
        <f aca="false">Sens!E8598-Sens!E8599</f>
        <v>2700</v>
      </c>
      <c r="F8600" s="27" t="n">
        <f aca="false">Sens!F8598-Sens!F8599</f>
        <v>5021.2</v>
      </c>
      <c r="G8600" s="27" t="n">
        <f aca="false">Sens!G8598-Sens!G8599</f>
        <v>7548.4</v>
      </c>
      <c r="H8600" s="27" t="n">
        <f aca="false">Sens!H8598-Sens!H8599</f>
        <v>10075.6</v>
      </c>
      <c r="I8600" s="27" t="n">
        <f aca="false">Sens!I8598-Sens!I8599</f>
        <v>12602.8</v>
      </c>
      <c r="J8600" s="27" t="n">
        <f aca="false">Sens!J8598-Sens!J8599</f>
        <v>15130</v>
      </c>
      <c r="K8600" s="27" t="n">
        <f aca="false">Sens!K8598-Sens!K8599</f>
        <v>17657.2</v>
      </c>
    </row>
    <row r="8601" customFormat="false" ht="17.15" hidden="false" customHeight="false" outlineLevel="0" collapsed="false">
      <c r="A8601" s="1" t="s">
        <v>724</v>
      </c>
      <c r="B8601" s="0" t="s">
        <v>340</v>
      </c>
      <c r="C8601" s="27" t="n">
        <f aca="false">Sens!C8600/ext_sh</f>
        <v>816.666666666667</v>
      </c>
      <c r="D8601" s="27" t="n">
        <f aca="false">Sens!D8600/ext_sh</f>
        <v>2050</v>
      </c>
      <c r="E8601" s="27" t="n">
        <f aca="false">Sens!E8600/ext_sh</f>
        <v>4500</v>
      </c>
      <c r="F8601" s="27" t="n">
        <f aca="false">Sens!F8600/ext_sh</f>
        <v>8368.66666666667</v>
      </c>
      <c r="G8601" s="27" t="n">
        <f aca="false">Sens!G8600/ext_sh</f>
        <v>12580.6666666667</v>
      </c>
      <c r="H8601" s="27" t="n">
        <f aca="false">Sens!H8600/ext_sh</f>
        <v>16792.6666666667</v>
      </c>
      <c r="I8601" s="27" t="n">
        <f aca="false">Sens!I8600/ext_sh</f>
        <v>21004.6666666667</v>
      </c>
      <c r="J8601" s="27" t="n">
        <f aca="false">Sens!J8600/ext_sh</f>
        <v>25216.6666666667</v>
      </c>
      <c r="K8601" s="27" t="n">
        <f aca="false">Sens!K8600/ext_sh</f>
        <v>29428.6666666667</v>
      </c>
      <c r="L8601" s="1" t="s">
        <v>725</v>
      </c>
    </row>
    <row r="8602" customFormat="false" ht="17.15" hidden="false" customHeight="false" outlineLevel="0" collapsed="false">
      <c r="A8602" s="1" t="s">
        <v>726</v>
      </c>
      <c r="B8602" s="0" t="s">
        <v>340</v>
      </c>
      <c r="C8602" s="27" t="n">
        <f aca="false">Sens!C8601-Sens!C8600</f>
        <v>326.666666666667</v>
      </c>
      <c r="D8602" s="27" t="n">
        <f aca="false">Sens!D8601-Sens!D8600</f>
        <v>820</v>
      </c>
      <c r="E8602" s="27" t="n">
        <f aca="false">Sens!E8601-Sens!E8600</f>
        <v>1800</v>
      </c>
      <c r="F8602" s="27" t="n">
        <f aca="false">Sens!F8601-Sens!F8600</f>
        <v>3347.46666666667</v>
      </c>
      <c r="G8602" s="27" t="n">
        <f aca="false">Sens!G8601-Sens!G8600</f>
        <v>5032.26666666667</v>
      </c>
      <c r="H8602" s="27" t="n">
        <f aca="false">Sens!H8601-Sens!H8600</f>
        <v>6717.06666666667</v>
      </c>
      <c r="I8602" s="27" t="n">
        <f aca="false">Sens!I8601-Sens!I8600</f>
        <v>8401.86666666667</v>
      </c>
      <c r="J8602" s="27" t="n">
        <f aca="false">Sens!J8601-Sens!J8600</f>
        <v>10086.6666666667</v>
      </c>
      <c r="K8602" s="27" t="n">
        <f aca="false">Sens!K8601-Sens!K8600</f>
        <v>11771.4666666667</v>
      </c>
    </row>
    <row r="8603" customFormat="false" ht="17.15" hidden="false" customHeight="false" outlineLevel="0" collapsed="false">
      <c r="A8603" s="1" t="s">
        <v>727</v>
      </c>
      <c r="B8603" s="0" t="s">
        <v>340</v>
      </c>
      <c r="C8603" s="27" t="n">
        <f aca="false">Sens!C8601</f>
        <v>816.666666666667</v>
      </c>
      <c r="D8603" s="27" t="n">
        <f aca="false">Sens!D8601-Sens!C8601</f>
        <v>1233.33333333333</v>
      </c>
      <c r="E8603" s="27" t="n">
        <f aca="false">Sens!E8601-Sens!D8601</f>
        <v>2450</v>
      </c>
      <c r="F8603" s="27" t="n">
        <f aca="false">Sens!F8601-Sens!E8601</f>
        <v>3868.66666666667</v>
      </c>
      <c r="G8603" s="27" t="n">
        <f aca="false">Sens!G8601-Sens!F8601</f>
        <v>4212</v>
      </c>
      <c r="H8603" s="27" t="n">
        <f aca="false">Sens!H8601-Sens!G8601</f>
        <v>4212</v>
      </c>
      <c r="I8603" s="27" t="n">
        <f aca="false">Sens!I8601-Sens!H8601</f>
        <v>4212</v>
      </c>
      <c r="J8603" s="27" t="n">
        <f aca="false">Sens!J8601-Sens!I8601</f>
        <v>4212</v>
      </c>
      <c r="K8603" s="27" t="n">
        <f aca="false">Sens!K8601-Sens!J8601</f>
        <v>4212</v>
      </c>
    </row>
    <row r="8604" customFormat="false" ht="17.15" hidden="false" customHeight="false" outlineLevel="0" collapsed="false">
      <c r="A8604" s="1" t="s">
        <v>728</v>
      </c>
      <c r="B8604" s="0" t="s">
        <v>340</v>
      </c>
      <c r="D8604" s="27" t="n">
        <f aca="false">Sens!D8598-Sens!C8598</f>
        <v>990</v>
      </c>
      <c r="E8604" s="27" t="n">
        <f aca="false">Sens!E8598-Sens!D8598</f>
        <v>1620</v>
      </c>
      <c r="F8604" s="27" t="n">
        <f aca="false">Sens!F8598-Sens!E8598</f>
        <v>2527.2</v>
      </c>
      <c r="G8604" s="27" t="n">
        <f aca="false">Sens!G8598-Sens!F8598</f>
        <v>2527.2</v>
      </c>
      <c r="H8604" s="27" t="n">
        <f aca="false">Sens!H8598-Sens!G8598</f>
        <v>2527.2</v>
      </c>
      <c r="I8604" s="27" t="n">
        <f aca="false">Sens!I8598-Sens!H8598</f>
        <v>2527.2</v>
      </c>
      <c r="J8604" s="27" t="n">
        <f aca="false">Sens!J8598-Sens!I8598</f>
        <v>2527.2</v>
      </c>
      <c r="K8604" s="27" t="n">
        <f aca="false">Sens!K8598-Sens!J8598</f>
        <v>2527.2</v>
      </c>
    </row>
    <row r="8605" customFormat="false" ht="17.15" hidden="false" customHeight="false" outlineLevel="0" collapsed="false">
      <c r="A8605" s="1" t="s">
        <v>729</v>
      </c>
      <c r="B8605" s="0" t="s">
        <v>340</v>
      </c>
      <c r="C8605" s="27" t="n">
        <f aca="false">mix_h*Sens!C8598</f>
        <v>128</v>
      </c>
      <c r="D8605" s="27" t="n">
        <f aca="false">mix_h*Sens!D8598</f>
        <v>326</v>
      </c>
      <c r="E8605" s="27" t="n">
        <f aca="false">mix_h*Sens!E8598</f>
        <v>650</v>
      </c>
      <c r="F8605" s="27" t="n">
        <f aca="false">Sens!E8605</f>
        <v>650</v>
      </c>
      <c r="G8605" s="27" t="n">
        <f aca="false">Sens!F8605</f>
        <v>650</v>
      </c>
      <c r="H8605" s="27" t="n">
        <f aca="false">Sens!G8605</f>
        <v>650</v>
      </c>
      <c r="I8605" s="27" t="n">
        <f aca="false">Sens!H8605</f>
        <v>650</v>
      </c>
      <c r="J8605" s="27" t="n">
        <f aca="false">Sens!I8605</f>
        <v>650</v>
      </c>
      <c r="K8605" s="27" t="n">
        <f aca="false">Sens!J8605</f>
        <v>650</v>
      </c>
    </row>
    <row r="8606" customFormat="false" ht="17.15" hidden="false" customHeight="false" outlineLevel="0" collapsed="false">
      <c r="A8606" s="1" t="s">
        <v>730</v>
      </c>
      <c r="B8606" s="0" t="s">
        <v>340</v>
      </c>
      <c r="C8606" s="27" t="n">
        <f aca="false">mix_g2*Sens!C8598</f>
        <v>288</v>
      </c>
      <c r="D8606" s="27" t="n">
        <f aca="false">mix_g2*Sens!D8598</f>
        <v>733.5</v>
      </c>
      <c r="E8606" s="27" t="n">
        <f aca="false">mix_g2*Sens!E8598</f>
        <v>1462.5</v>
      </c>
      <c r="F8606" s="27" t="n">
        <f aca="false">Sens!E8606</f>
        <v>1462.5</v>
      </c>
      <c r="G8606" s="27" t="n">
        <f aca="false">Sens!F8606</f>
        <v>1462.5</v>
      </c>
      <c r="H8606" s="27" t="n">
        <f aca="false">Sens!G8606</f>
        <v>1462.5</v>
      </c>
      <c r="I8606" s="27" t="n">
        <f aca="false">Sens!H8606</f>
        <v>1462.5</v>
      </c>
      <c r="J8606" s="27" t="n">
        <f aca="false">Sens!I8606</f>
        <v>1462.5</v>
      </c>
      <c r="K8606" s="27" t="n">
        <f aca="false">Sens!J8606</f>
        <v>1462.5</v>
      </c>
    </row>
    <row r="8607" customFormat="false" ht="17.15" hidden="false" customHeight="false" outlineLevel="0" collapsed="false">
      <c r="A8607" s="1" t="s">
        <v>731</v>
      </c>
      <c r="B8607" s="0" t="s">
        <v>340</v>
      </c>
      <c r="C8607" s="27" t="n">
        <f aca="false">mix_g3*Sens!C8598</f>
        <v>224</v>
      </c>
      <c r="D8607" s="27" t="n">
        <f aca="false">mix_g3*Sens!D8598</f>
        <v>570.5</v>
      </c>
      <c r="E8607" s="27" t="n">
        <f aca="false">mix_g3*Sens!E8598</f>
        <v>1137.5</v>
      </c>
      <c r="F8607" s="27" t="n">
        <f aca="false">Sens!E8607+Sens!F8604*a_g3_27</f>
        <v>2906.54</v>
      </c>
      <c r="G8607" s="27" t="n">
        <f aca="false">Sens!F8607+Sens!G8604*a_g3_28</f>
        <v>3664.7</v>
      </c>
      <c r="H8607" s="27" t="n">
        <f aca="false">Sens!G8607+Sens!H8604*a_g3_29</f>
        <v>3917.42</v>
      </c>
      <c r="I8607" s="27" t="n">
        <f aca="false">Sens!H8607+Sens!I8604*a_g3_29</f>
        <v>4170.14</v>
      </c>
      <c r="J8607" s="27" t="n">
        <f aca="false">Sens!I8607+Sens!J8604*a_g3_29</f>
        <v>4422.86</v>
      </c>
      <c r="K8607" s="27" t="n">
        <f aca="false">Sens!J8607+Sens!K8604*a_g3_29</f>
        <v>4675.58</v>
      </c>
    </row>
    <row r="8608" customFormat="false" ht="17.15" hidden="false" customHeight="false" outlineLevel="0" collapsed="false">
      <c r="A8608" s="1" t="s">
        <v>732</v>
      </c>
      <c r="B8608" s="0" t="s">
        <v>340</v>
      </c>
      <c r="C8608" s="27" t="n">
        <f aca="false">0</f>
        <v>0</v>
      </c>
      <c r="D8608" s="27" t="n">
        <f aca="false">0</f>
        <v>0</v>
      </c>
      <c r="E8608" s="27" t="n">
        <f aca="false">0</f>
        <v>0</v>
      </c>
      <c r="F8608" s="27" t="n">
        <f aca="false">Sens!E8608+Sens!F8604*(1-a_g3_27)</f>
        <v>758.16</v>
      </c>
      <c r="G8608" s="27" t="n">
        <f aca="false">Sens!F8608+Sens!G8604*(1-a_g3_28)</f>
        <v>2527.2</v>
      </c>
      <c r="H8608" s="27" t="n">
        <f aca="false">Sens!G8608+Sens!H8604*(1-a_g3_29)</f>
        <v>4801.68</v>
      </c>
      <c r="I8608" s="27" t="n">
        <f aca="false">Sens!H8608+Sens!I8604*(1-a_g3_29)</f>
        <v>7076.16</v>
      </c>
      <c r="J8608" s="27" t="n">
        <f aca="false">Sens!I8608+Sens!J8604*(1-a_g3_29)</f>
        <v>9350.64</v>
      </c>
      <c r="K8608" s="27" t="n">
        <f aca="false">Sens!J8608+Sens!K8604*(1-a_g3_29)</f>
        <v>11625.12</v>
      </c>
    </row>
    <row r="8609" customFormat="false" ht="17.15" hidden="false" customHeight="false" outlineLevel="0" collapsed="false">
      <c r="A8609" s="1" t="s">
        <v>733</v>
      </c>
      <c r="B8609" s="0" t="s">
        <v>291</v>
      </c>
      <c r="C8609" s="18" t="n">
        <f aca="false">(Sens!C8605*tk_hold_h100+Sens!C8606*tk_hold_gb200+Sens!C8607*tk_hold_gb300+Sens!C8608*tk_hold_vr200)/Sens!C8598</f>
        <v>9.7235358126469</v>
      </c>
      <c r="D8609" s="18" t="n">
        <f aca="false">(Sens!D8605*tk_hold_h100+Sens!D8606*tk_hold_gb200+Sens!D8607*tk_hold_gb300+Sens!D8608*tk_hold_vr200)/Sens!D8598</f>
        <v>9.7235358126469</v>
      </c>
      <c r="E8609" s="18" t="n">
        <f aca="false">(Sens!E8605*tk_hold_h100+Sens!E8606*tk_hold_gb200+Sens!E8607*tk_hold_gb300+Sens!E8608*tk_hold_vr200)/Sens!E8598</f>
        <v>9.7235358126469</v>
      </c>
      <c r="F8609" s="18" t="n">
        <f aca="false">(Sens!F8605*tk_hold_h100+Sens!F8606*tk_hold_gb200+Sens!F8607*tk_hold_gb300+Sens!F8608*tk_hold_vr200)/Sens!F8598</f>
        <v>10.4079573161931</v>
      </c>
      <c r="G8609" s="18" t="n">
        <f aca="false">(Sens!G8605*tk_hold_h100+Sens!G8606*tk_hold_gb200+Sens!G8607*tk_hold_gb300+Sens!G8608*tk_hold_vr200)/Sens!G8598</f>
        <v>10.8388131109316</v>
      </c>
      <c r="H8609" s="18" t="n">
        <f aca="false">(Sens!H8605*tk_hold_h100+Sens!H8606*tk_hold_gb200+Sens!H8607*tk_hold_gb300+Sens!H8608*tk_hold_vr200)/Sens!H8598</f>
        <v>11.1311018388216</v>
      </c>
      <c r="I8609" s="18" t="n">
        <f aca="false">(Sens!I8605*tk_hold_h100+Sens!I8606*tk_hold_gb200+Sens!I8607*tk_hold_gb300+Sens!I8608*tk_hold_vr200)/Sens!I8598</f>
        <v>11.3128009818501</v>
      </c>
      <c r="J8609" s="18" t="n">
        <f aca="false">(Sens!J8605*tk_hold_h100+Sens!J8606*tk_hold_gb200+Sens!J8607*tk_hold_gb300+Sens!J8608*tk_hold_vr200)/Sens!J8598</f>
        <v>11.4366894646418</v>
      </c>
      <c r="K8609" s="18" t="n">
        <f aca="false">(Sens!K8605*tk_hold_h100+Sens!K8606*tk_hold_gb200+Sens!K8607*tk_hold_gb300+Sens!K8608*tk_hold_vr200)/Sens!K8598</f>
        <v>11.526570716348</v>
      </c>
    </row>
    <row r="8610" customFormat="false" ht="17.15" hidden="false" customHeight="false" outlineLevel="0" collapsed="false">
      <c r="A8610" s="0" t="s">
        <v>734</v>
      </c>
      <c r="B8610" s="0" t="s">
        <v>182</v>
      </c>
      <c r="C8610" s="18" t="n">
        <f aca="false">k_B</f>
        <v>1.17213932619116</v>
      </c>
      <c r="D8610" s="18" t="n">
        <f aca="false">k_B</f>
        <v>1.17213932619116</v>
      </c>
      <c r="E8610" s="18" t="n">
        <f aca="false">k_B</f>
        <v>1.17213932619116</v>
      </c>
      <c r="F8610" s="18" t="n">
        <f aca="false">(k_B+((ls_B*k_long+(1-ls_B)*k_spot)-k_B)*MIN(1,1/3))*1</f>
        <v>1.17213932619116</v>
      </c>
      <c r="G8610" s="18" t="n">
        <f aca="false">(k_B+((ls_B*k_long+(1-ls_B)*k_spot)-k_B)*MIN(1,2/3))*1</f>
        <v>1.17213932619116</v>
      </c>
      <c r="H8610" s="18" t="n">
        <f aca="false">(k_B+((ls_B*k_long+(1-ls_B)*k_spot)-k_B)*MIN(1,3/3))*1</f>
        <v>1.17213932619116</v>
      </c>
      <c r="I8610" s="18" t="n">
        <f aca="false">(k_B+((ls_B*k_long+(1-ls_B)*k_spot)-k_B)*MIN(1,4/3))*1</f>
        <v>1.17213932619116</v>
      </c>
      <c r="J8610" s="18" t="n">
        <f aca="false">(k_B+((ls_B*k_long+(1-ls_B)*k_spot)-k_B)*MIN(1,5/3))*1</f>
        <v>1.17213932619116</v>
      </c>
      <c r="K8610" s="18" t="n">
        <f aca="false">(k_B+((ls_B*k_long+(1-ls_B)*k_spot)-k_B)*MIN(1,6/3))*1</f>
        <v>1.17213932619116</v>
      </c>
      <c r="L8610" s="1" t="s">
        <v>735</v>
      </c>
    </row>
    <row r="8611" customFormat="false" ht="17.15" hidden="false" customHeight="false" outlineLevel="0" collapsed="false">
      <c r="A8611" s="1" t="s">
        <v>736</v>
      </c>
      <c r="B8611" s="0" t="s">
        <v>291</v>
      </c>
      <c r="C8611" s="18" t="n">
        <f aca="false">Sens!C8609*Sens!C8610*chip_f</f>
        <v>11.3973387156315</v>
      </c>
      <c r="D8611" s="18" t="n">
        <f aca="false">Sens!D8609*Sens!D8610*chip_f</f>
        <v>11.3973387156315</v>
      </c>
      <c r="E8611" s="18" t="n">
        <f aca="false">Sens!E8609*Sens!E8610*chip_f</f>
        <v>11.3973387156315</v>
      </c>
      <c r="F8611" s="18" t="n">
        <f aca="false">Sens!F8609*Sens!F8610*chip_f</f>
        <v>12.1995760756289</v>
      </c>
      <c r="G8611" s="18" t="n">
        <f aca="false">Sens!G8609*Sens!G8610*chip_f</f>
        <v>12.7045990965592</v>
      </c>
      <c r="H8611" s="18" t="n">
        <f aca="false">Sens!H8609*Sens!H8610*chip_f</f>
        <v>13.0472022091214</v>
      </c>
      <c r="I8611" s="18" t="n">
        <f aca="false">Sens!I8609*Sens!I8610*chip_f</f>
        <v>13.2601789202004</v>
      </c>
      <c r="J8611" s="18" t="n">
        <f aca="false">Sens!J8609*Sens!J8610*chip_f</f>
        <v>13.4053934829427</v>
      </c>
      <c r="K8611" s="18" t="n">
        <f aca="false">Sens!K8609*Sens!K8610*chip_f</f>
        <v>13.5107468327548</v>
      </c>
      <c r="L8611" s="1" t="s">
        <v>737</v>
      </c>
    </row>
    <row r="8612" customFormat="false" ht="17.15" hidden="false" customHeight="false" outlineLevel="0" collapsed="false">
      <c r="A8612" s="0" t="s">
        <v>738</v>
      </c>
      <c r="B8612" s="0" t="s">
        <v>95</v>
      </c>
      <c r="D8612" s="6" t="n">
        <f aca="false">(Sens!C8598+Sens!D8598)/2*Sens!D8611/1000</f>
        <v>12.9359794422418</v>
      </c>
      <c r="E8612" s="6" t="n">
        <f aca="false">(Sens!D8598+Sens!E8598)/2*Sens!E8611/1000</f>
        <v>27.8095064661409</v>
      </c>
      <c r="F8612" s="6" t="n">
        <f aca="false">(Sens!E8598+Sens!F8598)/2*Sens!F8611/1000</f>
        <v>55.0640065749585</v>
      </c>
      <c r="G8612" s="6" t="n">
        <f aca="false">(Sens!F8598+Sens!G8598)/2*Sens!G8611/1000</f>
        <v>89.4505413190538</v>
      </c>
      <c r="H8612" s="6" t="n">
        <f aca="false">(Sens!G8598+Sens!H8598)/2*Sens!H8611/1000</f>
        <v>124.835630736874</v>
      </c>
      <c r="I8612" s="6" t="n">
        <f aca="false">(Sens!H8598+Sens!I8598)/2*Sens!I8611/1000</f>
        <v>160.384516075608</v>
      </c>
      <c r="J8612" s="6" t="n">
        <f aca="false">(Sens!I8598+Sens!J8598)/2*Sens!J8611/1000</f>
        <v>196.019025664981</v>
      </c>
      <c r="K8612" s="6" t="n">
        <f aca="false">(Sens!J8598+Sens!K8598)/2*Sens!K8611/1000</f>
        <v>231.703903883012</v>
      </c>
      <c r="L8612" s="11" t="s">
        <v>739</v>
      </c>
    </row>
    <row r="8613" customFormat="false" ht="17.15" hidden="false" customHeight="false" outlineLevel="0" collapsed="false">
      <c r="A8613" s="1" t="s">
        <v>740</v>
      </c>
      <c r="B8613" s="0" t="s">
        <v>291</v>
      </c>
      <c r="C8613" s="18" t="n">
        <f aca="false">(Sens!C8605*tk_opex_h100+Sens!C8606*tk_opex_gb200+Sens!C8607*tk_opex_gb300+Sens!C8608*tk_opex_vr200)/Sens!C8598</f>
        <v>1.88636041306092</v>
      </c>
      <c r="D8613" s="18" t="n">
        <f aca="false">(Sens!D8605*tk_opex_h100+Sens!D8606*tk_opex_gb200+Sens!D8607*tk_opex_gb300+Sens!D8608*tk_opex_vr200)/Sens!D8598</f>
        <v>1.88636041306092</v>
      </c>
      <c r="E8613" s="18" t="n">
        <f aca="false">(Sens!E8605*tk_opex_h100+Sens!E8606*tk_opex_gb200+Sens!E8607*tk_opex_gb300+Sens!E8608*tk_opex_vr200)/Sens!E8598</f>
        <v>1.88636041306092</v>
      </c>
      <c r="F8613" s="18" t="n">
        <f aca="false">(Sens!F8605*tk_opex_h100+Sens!F8606*tk_opex_gb200+Sens!F8607*tk_opex_gb300+Sens!F8608*tk_opex_vr200)/Sens!F8598</f>
        <v>1.9430236476499</v>
      </c>
      <c r="G8613" s="18" t="n">
        <f aca="false">(Sens!G8605*tk_opex_h100+Sens!G8606*tk_opex_gb200+Sens!G8607*tk_opex_gb300+Sens!G8608*tk_opex_vr200)/Sens!G8598</f>
        <v>1.9786941852423</v>
      </c>
      <c r="H8613" s="18" t="n">
        <f aca="false">(Sens!H8605*tk_opex_h100+Sens!H8606*tk_opex_gb200+Sens!H8607*tk_opex_gb300+Sens!H8608*tk_opex_vr200)/Sens!H8598</f>
        <v>2.00289275976156</v>
      </c>
      <c r="I8613" s="18" t="n">
        <f aca="false">(Sens!I8605*tk_opex_h100+Sens!I8606*tk_opex_gb200+Sens!I8607*tk_opex_gb300+Sens!I8608*tk_opex_vr200)/Sens!I8598</f>
        <v>2.01793562605478</v>
      </c>
      <c r="J8613" s="18" t="n">
        <f aca="false">(Sens!J8605*tk_opex_h100+Sens!J8606*tk_opex_gb200+Sens!J8607*tk_opex_gb300+Sens!J8608*tk_opex_vr200)/Sens!J8598</f>
        <v>2.02819234961902</v>
      </c>
      <c r="K8613" s="18" t="n">
        <f aca="false">(Sens!K8605*tk_opex_h100+Sens!K8606*tk_opex_gb200+Sens!K8607*tk_opex_gb300+Sens!K8608*tk_opex_vr200)/Sens!K8598</f>
        <v>2.0356336155994</v>
      </c>
    </row>
    <row r="8614" customFormat="false" ht="17.15" hidden="false" customHeight="false" outlineLevel="0" collapsed="false">
      <c r="A8614" s="0" t="s">
        <v>741</v>
      </c>
      <c r="B8614" s="0" t="s">
        <v>95</v>
      </c>
      <c r="D8614" s="6" t="n">
        <f aca="false">(Sens!C8601+Sens!D8601)/2*Sens!D8613/1000</f>
        <v>2.70378325872065</v>
      </c>
      <c r="E8614" s="6" t="n">
        <f aca="false">(Sens!D8601+Sens!E8601)/2*Sens!E8613/1000</f>
        <v>6.17783035277451</v>
      </c>
      <c r="F8614" s="6" t="n">
        <f aca="false">(Sens!E8601+Sens!F8601)/2*Sens!F8613/1000</f>
        <v>12.5020618235287</v>
      </c>
      <c r="G8614" s="6" t="n">
        <f aca="false">(Sens!F8601+Sens!G8601)/2*Sens!G8613/1000</f>
        <v>20.7261620256847</v>
      </c>
      <c r="H8614" s="6" t="n">
        <f aca="false">(Sens!G8601+Sens!H8601)/2*Sens!H8613/1000</f>
        <v>29.4158183316982</v>
      </c>
      <c r="I8614" s="6" t="n">
        <f aca="false">(Sens!H8601+Sens!I8601)/2*Sens!I8613/1000</f>
        <v>38.1362927516005</v>
      </c>
      <c r="J8614" s="6" t="n">
        <f aca="false">(Sens!I8601+Sens!J8601)/2*Sens!J8613/1000</f>
        <v>46.8728773279286</v>
      </c>
      <c r="K8614" s="6" t="n">
        <f aca="false">(Sens!J8601+Sens!K8601)/2*Sens!K8613/1000</f>
        <v>55.618938734484</v>
      </c>
    </row>
    <row r="8615" customFormat="false" ht="17.15" hidden="false" customHeight="false" outlineLevel="0" collapsed="false">
      <c r="A8615" s="0" t="s">
        <v>742</v>
      </c>
      <c r="B8615" s="0" t="s">
        <v>95</v>
      </c>
      <c r="D8615" s="6" t="n">
        <f aca="false">(Sens!C8599+Sens!D8599)/2*rent_mw/1000</f>
        <v>2.44475</v>
      </c>
      <c r="E8615" s="6" t="n">
        <f aca="false">(Sens!D8599+Sens!E8599)/2*rent_mw/1000</f>
        <v>4.22275</v>
      </c>
      <c r="F8615" s="6" t="n">
        <f aca="false">(Sens!E8599+Sens!F8599)/2*rent_mw/1000</f>
        <v>5.80517</v>
      </c>
      <c r="G8615" s="6" t="n">
        <f aca="false">(Sens!F8599+Sens!G8599)/2*rent_mw/1000</f>
        <v>6.72084</v>
      </c>
      <c r="H8615" s="6" t="n">
        <f aca="false">(Sens!G8599+Sens!H8599)/2*rent_mw/1000</f>
        <v>6.72084</v>
      </c>
      <c r="I8615" s="6" t="n">
        <f aca="false">(Sens!H8599+Sens!I8599)/2*rent_mw/1000</f>
        <v>6.72084</v>
      </c>
      <c r="J8615" s="6" t="n">
        <f aca="false">(Sens!I8599+Sens!J8599)/2*rent_mw/1000</f>
        <v>6.72084</v>
      </c>
      <c r="K8615" s="6" t="n">
        <f aca="false">(Sens!J8599+Sens!K8599)/2*rent_mw/1000</f>
        <v>6.72084</v>
      </c>
    </row>
    <row r="8616" customFormat="false" ht="17.15" hidden="false" customHeight="false" outlineLevel="0" collapsed="false">
      <c r="A8616" s="0" t="s">
        <v>743</v>
      </c>
      <c r="B8616" s="0" t="s">
        <v>95</v>
      </c>
      <c r="D8616" s="6" t="n">
        <f aca="false">(Sens!C8601+Sens!D8601)/2*(1-self_build)*fac_rent/1000</f>
        <v>0.853242375631075</v>
      </c>
      <c r="E8616" s="6" t="n">
        <f aca="false">(Sens!D8601+Sens!E8601)/2*(1-self_build)*fac_rent/1000</f>
        <v>1.94955961408728</v>
      </c>
      <c r="F8616" s="6" t="n">
        <f aca="false">(Sens!E8601+Sens!F8601)/2*(1-self_build)*fac_rent/1000</f>
        <v>3.83026455274573</v>
      </c>
      <c r="G8616" s="6" t="n">
        <f aca="false">(Sens!F8601+Sens!G8601)/2*(1-self_build)*fac_rent/1000</f>
        <v>6.23541590972812</v>
      </c>
      <c r="H8616" s="6" t="n">
        <f aca="false">(Sens!G8601+Sens!H8601)/2*(1-self_build)*fac_rent/1000</f>
        <v>8.74275792332679</v>
      </c>
      <c r="I8616" s="6" t="n">
        <f aca="false">(Sens!H8601+Sens!I8601)/2*(1-self_build)*fac_rent/1000</f>
        <v>11.2500999369255</v>
      </c>
      <c r="J8616" s="6" t="n">
        <f aca="false">(Sens!I8601+Sens!J8601)/2*(1-self_build)*fac_rent/1000</f>
        <v>13.7574419505241</v>
      </c>
      <c r="K8616" s="6" t="n">
        <f aca="false">(Sens!J8601+Sens!K8601)/2*(1-self_build)*fac_rent/1000</f>
        <v>16.2647839641228</v>
      </c>
      <c r="L8616" s="11" t="s">
        <v>744</v>
      </c>
    </row>
    <row r="8617" customFormat="false" ht="17.15" hidden="false" customHeight="false" outlineLevel="0" collapsed="false">
      <c r="A8617" s="1" t="s">
        <v>745</v>
      </c>
      <c r="B8617" s="0" t="s">
        <v>126</v>
      </c>
      <c r="D8617" s="7" t="n">
        <f aca="false">(Sens!C8600+Sens!D8600)/(Sens!C8601+Sens!D8601)</f>
        <v>0.6</v>
      </c>
      <c r="E8617" s="7" t="n">
        <f aca="false">(Sens!D8600+Sens!E8600)/(Sens!D8601+Sens!E8601)</f>
        <v>0.6</v>
      </c>
      <c r="F8617" s="7" t="n">
        <f aca="false">(Sens!E8600+Sens!F8600)/(Sens!E8601+Sens!F8601)</f>
        <v>0.6</v>
      </c>
      <c r="G8617" s="7" t="n">
        <f aca="false">(Sens!F8600+Sens!G8600)/(Sens!F8601+Sens!G8601)</f>
        <v>0.6</v>
      </c>
      <c r="H8617" s="7" t="n">
        <f aca="false">(Sens!G8600+Sens!H8600)/(Sens!G8601+Sens!H8601)</f>
        <v>0.6</v>
      </c>
      <c r="I8617" s="7" t="n">
        <f aca="false">(Sens!H8600+Sens!I8600)/(Sens!H8601+Sens!I8601)</f>
        <v>0.6</v>
      </c>
      <c r="J8617" s="7" t="n">
        <f aca="false">(Sens!I8600+Sens!J8600)/(Sens!I8601+Sens!J8601)</f>
        <v>0.6</v>
      </c>
      <c r="K8617" s="7" t="n">
        <f aca="false">(Sens!J8600+Sens!K8600)/(Sens!J8601+Sens!K8601)</f>
        <v>0.6</v>
      </c>
    </row>
    <row r="8618" customFormat="false" ht="17.15" hidden="false" customHeight="false" outlineLevel="0" collapsed="false">
      <c r="A8618" s="0" t="s">
        <v>746</v>
      </c>
      <c r="B8618" s="0" t="s">
        <v>95</v>
      </c>
      <c r="D8618" s="6" t="n">
        <f aca="false">Sens!D8612-Sens!D8617*(Sens!D8614+Sens!D8616)-Sens!D8615</f>
        <v>8.35701406163072</v>
      </c>
      <c r="E8618" s="6" t="n">
        <f aca="false">Sens!E8612-Sens!E8617*(Sens!E8614+Sens!E8616)-Sens!E8615</f>
        <v>18.7103224860238</v>
      </c>
      <c r="F8618" s="6" t="n">
        <f aca="false">Sens!F8612-Sens!F8617*(Sens!F8614+Sens!F8616)-Sens!F8615</f>
        <v>39.4594407491938</v>
      </c>
      <c r="G8618" s="6" t="n">
        <f aca="false">Sens!G8612-Sens!G8617*(Sens!G8614+Sens!G8616)-Sens!G8615</f>
        <v>66.5527545578061</v>
      </c>
      <c r="H8618" s="6" t="n">
        <f aca="false">Sens!H8612-Sens!H8617*(Sens!H8614+Sens!H8616)-Sens!H8615</f>
        <v>95.219644983859</v>
      </c>
      <c r="I8618" s="6" t="n">
        <f aca="false">Sens!I8612-Sens!I8617*(Sens!I8614+Sens!I8616)-Sens!I8615</f>
        <v>124.031840462493</v>
      </c>
      <c r="J8618" s="6" t="n">
        <f aca="false">Sens!J8612-Sens!J8617*(Sens!J8614+Sens!J8616)-Sens!J8615</f>
        <v>152.919994097909</v>
      </c>
      <c r="K8618" s="6" t="n">
        <f aca="false">Sens!K8612-Sens!K8617*(Sens!K8614+Sens!K8616)-Sens!K8615</f>
        <v>181.852830263848</v>
      </c>
    </row>
    <row r="8619" customFormat="false" ht="17.15" hidden="false" customHeight="false" outlineLevel="0" collapsed="false">
      <c r="A8619" s="1" t="s">
        <v>747</v>
      </c>
      <c r="B8619" s="0" t="s">
        <v>95</v>
      </c>
      <c r="D8619" s="6" t="n">
        <f aca="false">(1-Sens!D8617)*(Sens!D8614+Sens!D8616)</f>
        <v>1.42281025374069</v>
      </c>
      <c r="E8619" s="6" t="n">
        <f aca="false">(1-Sens!E8617)*(Sens!E8614+Sens!E8616)</f>
        <v>3.25095598674472</v>
      </c>
      <c r="F8619" s="6" t="n">
        <f aca="false">(1-Sens!F8617)*(Sens!F8614+Sens!F8616)</f>
        <v>6.53293055050977</v>
      </c>
      <c r="G8619" s="6" t="n">
        <f aca="false">(1-Sens!G8617)*(Sens!G8614+Sens!G8616)</f>
        <v>10.7846311741651</v>
      </c>
      <c r="H8619" s="6" t="n">
        <f aca="false">(1-Sens!H8617)*(Sens!H8614+Sens!H8616)</f>
        <v>15.26343050201</v>
      </c>
      <c r="I8619" s="6" t="n">
        <f aca="false">(1-Sens!I8617)*(Sens!I8614+Sens!I8616)</f>
        <v>19.7545570754104</v>
      </c>
      <c r="J8619" s="6" t="n">
        <f aca="false">(1-Sens!J8617)*(Sens!J8614+Sens!J8616)</f>
        <v>24.2521277113811</v>
      </c>
      <c r="K8619" s="6" t="n">
        <f aca="false">(1-Sens!K8617)*(Sens!K8614+Sens!K8616)</f>
        <v>28.7534890794427</v>
      </c>
    </row>
    <row r="8620" customFormat="false" ht="17.15" hidden="false" customHeight="false" outlineLevel="0" collapsed="false">
      <c r="A8620" s="1" t="s">
        <v>748</v>
      </c>
      <c r="B8620" s="0" t="s">
        <v>302</v>
      </c>
      <c r="C8620" s="8" t="n">
        <f aca="false">cxit_open</f>
        <v>27.5918995</v>
      </c>
      <c r="D8620" s="8" t="n">
        <f aca="false">cxit_open</f>
        <v>27.5918995</v>
      </c>
      <c r="E8620" s="8" t="n">
        <f aca="false">cxit_open</f>
        <v>27.5918995</v>
      </c>
      <c r="F8620" s="8" t="n">
        <f aca="false">(a_g3_27*tk_cxit_gb300+(1-a_g3_27)*tk_cxit_vr200)</f>
        <v>33.8419624</v>
      </c>
      <c r="G8620" s="8" t="n">
        <f aca="false">(a_g3_28*tk_cxit_gb300+(1-a_g3_28)*tk_cxit_vr200)</f>
        <v>35.9816136</v>
      </c>
      <c r="H8620" s="8" t="n">
        <f aca="false">(a_g3_29*tk_cxit_gb300+(1-a_g3_29)*tk_cxit_vr200)</f>
        <v>37.0514392</v>
      </c>
      <c r="I8620" s="8" t="n">
        <f aca="false">(a_g3_29*tk_cxit_gb300+(1-a_g3_29)*tk_cxit_vr200)</f>
        <v>37.0514392</v>
      </c>
      <c r="J8620" s="8" t="n">
        <f aca="false">(a_g3_29*tk_cxit_gb300+(1-a_g3_29)*tk_cxit_vr200)</f>
        <v>37.0514392</v>
      </c>
      <c r="K8620" s="8" t="n">
        <f aca="false">(a_g3_29*tk_cxit_gb300+(1-a_g3_29)*tk_cxit_vr200)</f>
        <v>37.0514392</v>
      </c>
      <c r="L8620" s="11" t="s">
        <v>749</v>
      </c>
    </row>
    <row r="8621" customFormat="false" ht="17.15" hidden="false" customHeight="false" outlineLevel="0" collapsed="false">
      <c r="A8621" s="0" t="s">
        <v>750</v>
      </c>
      <c r="B8621" s="0" t="s">
        <v>340</v>
      </c>
      <c r="F8621" s="27" t="n">
        <f aca="false">Sens!C8603*IF(3=life_it,1,0)+Sens!D8603*IF(2=life_it,1,0)+Sens!E8603*IF(1=life_it,1,0)</f>
        <v>0</v>
      </c>
      <c r="G8621" s="27" t="n">
        <f aca="false">Sens!C8603*IF(4=life_it,1,0)+Sens!D8603*IF(3=life_it,1,0)+Sens!E8603*IF(2=life_it,1,0)+Sens!F8603*IF(1=life_it,1,0)</f>
        <v>0</v>
      </c>
      <c r="H8621" s="27" t="n">
        <f aca="false">Sens!C8603*IF(5=life_it,1,0)+Sens!D8603*IF(4=life_it,1,0)+Sens!E8603*IF(3=life_it,1,0)+Sens!F8603*IF(2=life_it,1,0)+Sens!G8603*IF(1=life_it,1,0)</f>
        <v>0</v>
      </c>
      <c r="I8621" s="27" t="n">
        <f aca="false">Sens!C8603*IF(6=life_it,1,0)+Sens!D8603*IF(5=life_it,1,0)+Sens!E8603*IF(4=life_it,1,0)+Sens!F8603*IF(3=life_it,1,0)+Sens!G8603*IF(2=life_it,1,0)+Sens!H8603*IF(1=life_it,1,0)</f>
        <v>816.666666666667</v>
      </c>
      <c r="J8621" s="27" t="n">
        <f aca="false">Sens!C8603*IF(7=life_it,1,0)+Sens!D8603*IF(6=life_it,1,0)+Sens!E8603*IF(5=life_it,1,0)+Sens!F8603*IF(4=life_it,1,0)+Sens!G8603*IF(3=life_it,1,0)+Sens!H8603*IF(2=life_it,1,0)+Sens!I8603*IF(1=life_it,1,0)</f>
        <v>1233.33333333333</v>
      </c>
      <c r="K8621" s="27" t="n">
        <f aca="false">Sens!C8603*IF(8=life_it,1,0)+Sens!D8603*IF(7=life_it,1,0)+Sens!E8603*IF(6=life_it,1,0)+Sens!F8603*IF(5=life_it,1,0)+Sens!G8603*IF(4=life_it,1,0)+Sens!H8603*IF(3=life_it,1,0)+Sens!I8603*IF(2=life_it,1,0)+Sens!J8603*IF(1=life_it,1,0)</f>
        <v>2450</v>
      </c>
      <c r="L8621" s="1" t="s">
        <v>751</v>
      </c>
    </row>
    <row r="8622" customFormat="false" ht="17.15" hidden="false" customHeight="false" outlineLevel="0" collapsed="false">
      <c r="A8622" s="0" t="s">
        <v>752</v>
      </c>
      <c r="B8622" s="0" t="s">
        <v>95</v>
      </c>
      <c r="C8622" s="6" t="n">
        <f aca="false">Sens!C8603*Sens!C8620/1000</f>
        <v>22.5333845916667</v>
      </c>
      <c r="D8622" s="6" t="n">
        <f aca="false">Sens!D8603*Sens!D8620/1000</f>
        <v>34.0300093833333</v>
      </c>
      <c r="E8622" s="6" t="n">
        <f aca="false">Sens!E8603*Sens!E8620/1000</f>
        <v>67.600153775</v>
      </c>
      <c r="F8622" s="6" t="n">
        <f aca="false">(Sens!F8603+Sens!F8621)*Sens!F8620/1000</f>
        <v>130.923271871467</v>
      </c>
      <c r="G8622" s="6" t="n">
        <f aca="false">(Sens!G8603+Sens!G8621)*Sens!G8620/1000</f>
        <v>151.5545564832</v>
      </c>
      <c r="H8622" s="6" t="n">
        <f aca="false">(Sens!H8603+Sens!H8621)*Sens!H8620/1000</f>
        <v>156.0606619104</v>
      </c>
      <c r="I8622" s="6" t="n">
        <f aca="false">(Sens!I8603+Sens!I8621)*Sens!I8620/1000</f>
        <v>186.319337257067</v>
      </c>
      <c r="J8622" s="6" t="n">
        <f aca="false">(Sens!J8603+Sens!J8621)*Sens!J8620/1000</f>
        <v>201.757436923733</v>
      </c>
      <c r="K8622" s="6" t="n">
        <f aca="false">(Sens!K8603+Sens!K8621)*Sens!K8620/1000</f>
        <v>246.8366879504</v>
      </c>
    </row>
    <row r="8623" customFormat="false" ht="17.15" hidden="false" customHeight="false" outlineLevel="0" collapsed="false">
      <c r="A8623" s="0" t="s">
        <v>753</v>
      </c>
      <c r="B8623" s="0" t="s">
        <v>95</v>
      </c>
      <c r="C8623" s="6" t="n">
        <f aca="false">Sens!C8603*self_build*tk_cxfac/1000</f>
        <v>6.2083</v>
      </c>
      <c r="D8623" s="6" t="n">
        <f aca="false">Sens!D8603*self_build*tk_cxfac/1000</f>
        <v>9.3758</v>
      </c>
      <c r="E8623" s="6" t="n">
        <f aca="false">Sens!E8603*self_build*tk_cxfac/1000</f>
        <v>18.6249</v>
      </c>
      <c r="F8623" s="6" t="n">
        <f aca="false">Sens!F8603*self_build*tk_cxfac/1000</f>
        <v>29.409604</v>
      </c>
      <c r="G8623" s="6" t="n">
        <f aca="false">Sens!G8603*self_build*tk_cxfac/1000</f>
        <v>32.019624</v>
      </c>
      <c r="H8623" s="6" t="n">
        <f aca="false">Sens!H8603*self_build*tk_cxfac/1000</f>
        <v>32.019624</v>
      </c>
      <c r="I8623" s="6" t="n">
        <f aca="false">Sens!I8603*self_build*tk_cxfac/1000</f>
        <v>32.019624</v>
      </c>
      <c r="J8623" s="6" t="n">
        <f aca="false">Sens!J8603*self_build*tk_cxfac/1000</f>
        <v>32.019624</v>
      </c>
      <c r="K8623" s="6" t="n">
        <f aca="false">Sens!K8603*self_build*tk_cxfac/1000</f>
        <v>32.019624</v>
      </c>
    </row>
    <row r="8624" customFormat="false" ht="17.15" hidden="false" customHeight="false" outlineLevel="0" collapsed="false">
      <c r="A8624" s="0" t="s">
        <v>754</v>
      </c>
      <c r="B8624" s="0" t="s">
        <v>95</v>
      </c>
      <c r="F8624" s="6" t="n">
        <f aca="false">MAX(0,capex_floor27-Sens!F8622-Sens!F8623-Sens!F8711)</f>
        <v>8.29213489897089</v>
      </c>
      <c r="G8624" s="6" t="n">
        <f aca="false">0</f>
        <v>0</v>
      </c>
      <c r="H8624" s="6" t="n">
        <f aca="false">0</f>
        <v>0</v>
      </c>
      <c r="I8624" s="6" t="n">
        <f aca="false">0</f>
        <v>0</v>
      </c>
      <c r="J8624" s="6" t="n">
        <f aca="false">0</f>
        <v>0</v>
      </c>
      <c r="K8624" s="6" t="n">
        <f aca="false">0</f>
        <v>0</v>
      </c>
      <c r="L8624" s="1" t="s">
        <v>755</v>
      </c>
    </row>
    <row r="8625" customFormat="false" ht="17.15" hidden="false" customHeight="false" outlineLevel="0" collapsed="false">
      <c r="A8625" s="0" t="s">
        <v>756</v>
      </c>
      <c r="B8625" s="0" t="s">
        <v>95</v>
      </c>
      <c r="C8625" s="6" t="n">
        <f aca="false">Sens!C8622</f>
        <v>22.5333845916667</v>
      </c>
      <c r="D8625" s="6" t="n">
        <f aca="false">Sens!D8622</f>
        <v>34.0300093833333</v>
      </c>
      <c r="E8625" s="6" t="n">
        <f aca="false">Sens!E8622</f>
        <v>67.600153775</v>
      </c>
      <c r="F8625" s="6" t="n">
        <f aca="false">Sens!F8622+Sens!F8624</f>
        <v>139.215406770438</v>
      </c>
      <c r="G8625" s="6" t="n">
        <f aca="false">Sens!G8622+Sens!G8624</f>
        <v>151.5545564832</v>
      </c>
      <c r="H8625" s="6" t="n">
        <f aca="false">Sens!H8622+Sens!H8624</f>
        <v>156.0606619104</v>
      </c>
      <c r="I8625" s="6" t="n">
        <f aca="false">Sens!I8622+Sens!I8624</f>
        <v>186.319337257067</v>
      </c>
      <c r="J8625" s="6" t="n">
        <f aca="false">Sens!J8622+Sens!J8624</f>
        <v>201.757436923733</v>
      </c>
      <c r="K8625" s="6" t="n">
        <f aca="false">Sens!K8622+Sens!K8624</f>
        <v>246.8366879504</v>
      </c>
    </row>
    <row r="8626" customFormat="false" ht="17.15" hidden="false" customHeight="false" outlineLevel="0" collapsed="false">
      <c r="A8626" s="0" t="s">
        <v>757</v>
      </c>
      <c r="B8626" s="0" t="s">
        <v>95</v>
      </c>
      <c r="C8626" s="6" t="n">
        <f aca="false">Sens!C8625+Sens!C8623</f>
        <v>28.7416845916667</v>
      </c>
      <c r="D8626" s="6" t="n">
        <f aca="false">Sens!D8625+Sens!D8623</f>
        <v>43.4058093833333</v>
      </c>
      <c r="E8626" s="6" t="n">
        <f aca="false">Sens!E8625+Sens!E8623</f>
        <v>86.225053775</v>
      </c>
      <c r="F8626" s="6" t="n">
        <f aca="false">Sens!F8625+Sens!F8623</f>
        <v>168.625010770438</v>
      </c>
      <c r="G8626" s="6" t="n">
        <f aca="false">Sens!G8625+Sens!G8623</f>
        <v>183.5741804832</v>
      </c>
      <c r="H8626" s="6" t="n">
        <f aca="false">Sens!H8625+Sens!H8623</f>
        <v>188.0802859104</v>
      </c>
      <c r="I8626" s="6" t="n">
        <f aca="false">Sens!I8625+Sens!I8623</f>
        <v>218.338961257067</v>
      </c>
      <c r="J8626" s="6" t="n">
        <f aca="false">Sens!J8625+Sens!J8623</f>
        <v>233.777060923733</v>
      </c>
      <c r="K8626" s="6" t="n">
        <f aca="false">Sens!K8625+Sens!K8623</f>
        <v>278.8563119504</v>
      </c>
      <c r="L8626" s="11" t="s">
        <v>758</v>
      </c>
    </row>
    <row r="8627" customFormat="false" ht="17.15" hidden="false" customHeight="false" outlineLevel="0" collapsed="false">
      <c r="A8627" s="0" t="s">
        <v>759</v>
      </c>
      <c r="B8627" s="0" t="s">
        <v>95</v>
      </c>
      <c r="E8627" s="6" t="n">
        <f aca="false">(Sens!C8625*IF(2&lt;life_it,1,IF(2=life_it,0.5,0))+Sens!D8625*IF(1&lt;life_it,1,IF(1=life_it,0.5,0))+Sens!E8625*0.5)/life_it</f>
        <v>15.0605784770833</v>
      </c>
      <c r="F8627" s="6" t="n">
        <f aca="false">(Sens!C8625*IF(3&lt;life_it,1,IF(3=life_it,0.5,0))+Sens!D8625*IF(2&lt;life_it,1,IF(2=life_it,0.5,0))+Sens!E8625*IF(1&lt;life_it,1,IF(1=life_it,0.5,0))+Sens!F8625*0.5)/life_it</f>
        <v>32.2952085225365</v>
      </c>
      <c r="G8627" s="6" t="n">
        <f aca="false">(Sens!C8625*IF(4&lt;life_it,1,IF(4=life_it,0.5,0))+Sens!D8625*IF(3&lt;life_it,1,IF(3=life_it,0.5,0))+Sens!E8625*IF(2&lt;life_it,1,IF(2=life_it,0.5,0))+Sens!F8625*IF(1&lt;life_it,1,IF(1=life_it,0.5,0))+Sens!G8625*0.5)/life_it</f>
        <v>56.5260387936729</v>
      </c>
      <c r="H8627" s="6" t="n">
        <f aca="false">(Sens!C8625*IF(5&lt;life_it,1,IF(5=life_it,0.5,0))+Sens!D8625*IF(4&lt;life_it,1,IF(4=life_it,0.5,0))+Sens!E8625*IF(3&lt;life_it,1,IF(3=life_it,0.5,0))+Sens!F8625*IF(2&lt;life_it,1,IF(2=life_it,0.5,0))+Sens!G8625*IF(1&lt;life_it,1,IF(1=life_it,0.5,0))+Sens!H8625*0.5)/life_it</f>
        <v>82.1606403264729</v>
      </c>
      <c r="I8627" s="6" t="n">
        <f aca="false">(Sens!C8625*IF(6&lt;life_it,1,IF(6=life_it,0.5,0))+Sens!D8625*IF(5&lt;life_it,1,IF(5=life_it,0.5,0))+Sens!E8625*IF(4&lt;life_it,1,IF(4=life_it,0.5,0))+Sens!F8625*IF(3&lt;life_it,1,IF(3=life_it,0.5,0))+Sens!G8625*IF(2&lt;life_it,1,IF(2=life_it,0.5,0))+Sens!H8625*IF(1&lt;life_it,1,IF(1=life_it,0.5,0))+Sens!I8625*0.5)/life_it</f>
        <v>108.814524874456</v>
      </c>
      <c r="J8627" s="6" t="n">
        <f aca="false">(Sens!C8625*IF(7&lt;life_it,1,IF(7=life_it,0.5,0))+Sens!D8625*IF(6&lt;life_it,1,IF(6=life_it,0.5,0))+Sens!E8625*IF(5&lt;life_it,1,IF(5=life_it,0.5,0))+Sens!F8625*IF(4&lt;life_it,1,IF(4=life_it,0.5,0))+Sens!G8625*IF(3&lt;life_it,1,IF(3=life_it,0.5,0))+Sens!H8625*IF(2&lt;life_it,1,IF(2=life_it,0.5,0))+Sens!I8625*IF(1&lt;life_it,1,IF(1=life_it,0.5,0))+Sens!J8625*0.5)/life_it</f>
        <v>136.440639891606</v>
      </c>
      <c r="K8627" s="6" t="n">
        <f aca="false">(Sens!C8625*IF(8&lt;life_it,1,IF(8=life_it,0.5,0))+Sens!D8625*IF(7&lt;life_it,1,IF(7=life_it,0.5,0))+Sens!E8625*IF(6&lt;life_it,1,IF(6=life_it,0.5,0))+Sens!F8625*IF(5&lt;life_it,1,IF(5=life_it,0.5,0))+Sens!G8625*IF(4&lt;life_it,1,IF(4=life_it,0.5,0))+Sens!H8625*IF(3&lt;life_it,1,IF(3=life_it,0.5,0))+Sens!I8625*IF(2&lt;life_it,1,IF(2=life_it,0.5,0))+Sens!J8625*IF(1&lt;life_it,1,IF(1=life_it,0.5,0))+Sens!K8625*0.5)/life_it</f>
        <v>165.354303367923</v>
      </c>
    </row>
    <row r="8628" customFormat="false" ht="17.15" hidden="false" customHeight="false" outlineLevel="0" collapsed="false">
      <c r="A8628" s="0" t="s">
        <v>760</v>
      </c>
      <c r="B8628" s="0" t="s">
        <v>95</v>
      </c>
      <c r="E8628" s="6" t="n">
        <f aca="false">(Sens!C8623*IF(2&lt;life_fac,1,IF(2=life_fac,0.5,0))+Sens!D8623*IF(1&lt;life_fac,1,IF(1=life_fac,0.5,0))+Sens!E8623*0.5)/life_fac</f>
        <v>1.2448275</v>
      </c>
      <c r="F8628" s="6" t="n">
        <f aca="false">(Sens!C8623*IF(3&lt;life_fac,1,IF(3=life_fac,0.5,0))+Sens!D8623*IF(2&lt;life_fac,1,IF(2=life_fac,0.5,0))+Sens!E8623*IF(1&lt;life_fac,1,IF(1=life_fac,0.5,0))+Sens!F8623*0.5)/life_fac</f>
        <v>2.4456901</v>
      </c>
      <c r="G8628" s="6" t="n">
        <f aca="false">(Sens!C8623*IF(4&lt;life_fac,1,IF(4=life_fac,0.5,0))+Sens!D8623*IF(3&lt;life_fac,1,IF(3=life_fac,0.5,0))+Sens!E8623*IF(2&lt;life_fac,1,IF(2=life_fac,0.5,0))+Sens!F8623*IF(1&lt;life_fac,1,IF(1=life_fac,0.5,0))+Sens!G8623*0.5)/life_fac</f>
        <v>3.9814208</v>
      </c>
      <c r="H8628" s="6" t="n">
        <f aca="false">(Sens!C8623*IF(5&lt;life_fac,1,IF(5=life_fac,0.5,0))+Sens!D8623*IF(4&lt;life_fac,1,IF(4=life_fac,0.5,0))+Sens!E8623*IF(3&lt;life_fac,1,IF(3=life_fac,0.5,0))+Sens!F8623*IF(2&lt;life_fac,1,IF(2=life_fac,0.5,0))+Sens!G8623*IF(1&lt;life_fac,1,IF(1=life_fac,0.5,0))+Sens!H8623*0.5)/life_fac</f>
        <v>5.582402</v>
      </c>
      <c r="I8628" s="6" t="n">
        <f aca="false">(Sens!C8623*IF(6&lt;life_fac,1,IF(6=life_fac,0.5,0))+Sens!D8623*IF(5&lt;life_fac,1,IF(5=life_fac,0.5,0))+Sens!E8623*IF(4&lt;life_fac,1,IF(4=life_fac,0.5,0))+Sens!F8623*IF(3&lt;life_fac,1,IF(3=life_fac,0.5,0))+Sens!G8623*IF(2&lt;life_fac,1,IF(2=life_fac,0.5,0))+Sens!H8623*IF(1&lt;life_fac,1,IF(1=life_fac,0.5,0))+Sens!I8623*0.5)/life_fac</f>
        <v>7.1833832</v>
      </c>
      <c r="J8628" s="6" t="n">
        <f aca="false">(Sens!C8623*IF(7&lt;life_fac,1,IF(7=life_fac,0.5,0))+Sens!D8623*IF(6&lt;life_fac,1,IF(6=life_fac,0.5,0))+Sens!E8623*IF(5&lt;life_fac,1,IF(5=life_fac,0.5,0))+Sens!F8623*IF(4&lt;life_fac,1,IF(4=life_fac,0.5,0))+Sens!G8623*IF(3&lt;life_fac,1,IF(3=life_fac,0.5,0))+Sens!H8623*IF(2&lt;life_fac,1,IF(2=life_fac,0.5,0))+Sens!I8623*IF(1&lt;life_fac,1,IF(1=life_fac,0.5,0))+Sens!J8623*0.5)/life_fac</f>
        <v>8.7843644</v>
      </c>
      <c r="K8628" s="6" t="n">
        <f aca="false">(Sens!C8623*IF(8&lt;life_fac,1,IF(8=life_fac,0.5,0))+Sens!D8623*IF(7&lt;life_fac,1,IF(7=life_fac,0.5,0))+Sens!E8623*IF(6&lt;life_fac,1,IF(6=life_fac,0.5,0))+Sens!F8623*IF(5&lt;life_fac,1,IF(5=life_fac,0.5,0))+Sens!G8623*IF(4&lt;life_fac,1,IF(4=life_fac,0.5,0))+Sens!H8623*IF(3&lt;life_fac,1,IF(3=life_fac,0.5,0))+Sens!I8623*IF(2&lt;life_fac,1,IF(2=life_fac,0.5,0))+Sens!J8623*IF(1&lt;life_fac,1,IF(1=life_fac,0.5,0))+Sens!K8623*0.5)/life_fac</f>
        <v>10.3853456</v>
      </c>
    </row>
    <row r="8629" customFormat="false" ht="17.15" hidden="false" customHeight="false" outlineLevel="0" collapsed="false">
      <c r="A8629" s="0" t="s">
        <v>761</v>
      </c>
      <c r="B8629" s="0" t="s">
        <v>95</v>
      </c>
      <c r="E8629" s="6" t="n">
        <f aca="false">Sens!E8627+Sens!E8628</f>
        <v>16.3054059770833</v>
      </c>
      <c r="F8629" s="6" t="n">
        <f aca="false">Sens!F8627+Sens!F8628</f>
        <v>34.7408986225365</v>
      </c>
      <c r="G8629" s="6" t="n">
        <f aca="false">Sens!G8627+Sens!G8628</f>
        <v>60.5074595936729</v>
      </c>
      <c r="H8629" s="6" t="n">
        <f aca="false">Sens!H8627+Sens!H8628</f>
        <v>87.7430423264729</v>
      </c>
      <c r="I8629" s="6" t="n">
        <f aca="false">Sens!I8627+Sens!I8628</f>
        <v>115.997908074456</v>
      </c>
      <c r="J8629" s="6" t="n">
        <f aca="false">Sens!J8627+Sens!J8628</f>
        <v>145.225004291606</v>
      </c>
      <c r="K8629" s="6" t="n">
        <f aca="false">Sens!K8627+Sens!K8628</f>
        <v>175.739648967923</v>
      </c>
    </row>
    <row r="8630" customFormat="false" ht="17.15" hidden="false" customHeight="false" outlineLevel="0" collapsed="false">
      <c r="A8630" s="0" t="s">
        <v>762</v>
      </c>
      <c r="B8630" s="0" t="s">
        <v>95</v>
      </c>
      <c r="E8630" s="6" t="n">
        <f aca="false">Sens!E8618-Sens!E8617*Sens!E8629</f>
        <v>8.92707889977379</v>
      </c>
      <c r="F8630" s="6" t="n">
        <f aca="false">Sens!F8618-Sens!F8617*Sens!F8629</f>
        <v>18.614901575672</v>
      </c>
      <c r="G8630" s="6" t="n">
        <f aca="false">Sens!G8618-Sens!G8617*Sens!G8629</f>
        <v>30.2482788016024</v>
      </c>
      <c r="H8630" s="6" t="n">
        <f aca="false">Sens!H8618-Sens!H8617*Sens!H8629</f>
        <v>42.5738195879752</v>
      </c>
      <c r="I8630" s="6" t="n">
        <f aca="false">Sens!I8618-Sens!I8617*Sens!I8629</f>
        <v>54.4330956178191</v>
      </c>
      <c r="J8630" s="6" t="n">
        <f aca="false">Sens!J8618-Sens!J8617*Sens!J8629</f>
        <v>65.7849915229457</v>
      </c>
      <c r="K8630" s="6" t="n">
        <f aca="false">Sens!K8618-Sens!K8617*Sens!K8629</f>
        <v>76.4090408830945</v>
      </c>
    </row>
    <row r="8631" customFormat="false" ht="17.15" hidden="false" customHeight="false" outlineLevel="0" collapsed="false">
      <c r="A8631" s="3" t="s">
        <v>1360</v>
      </c>
    </row>
    <row r="8632" customFormat="false" ht="15" hidden="false" customHeight="false" outlineLevel="0" collapsed="false">
      <c r="A8632" s="4" t="s">
        <v>43</v>
      </c>
      <c r="B8632" s="4" t="s">
        <v>63</v>
      </c>
      <c r="C8632" s="19" t="s">
        <v>710</v>
      </c>
      <c r="D8632" s="19" t="s">
        <v>711</v>
      </c>
      <c r="E8632" s="19" t="s">
        <v>712</v>
      </c>
      <c r="F8632" s="19" t="s">
        <v>713</v>
      </c>
      <c r="G8632" s="19" t="s">
        <v>714</v>
      </c>
      <c r="H8632" s="19" t="s">
        <v>715</v>
      </c>
      <c r="I8632" s="19" t="s">
        <v>716</v>
      </c>
      <c r="J8632" s="19" t="s">
        <v>717</v>
      </c>
      <c r="K8632" s="19" t="s">
        <v>718</v>
      </c>
      <c r="L8632" s="4" t="s">
        <v>47</v>
      </c>
    </row>
    <row r="8633" customFormat="false" ht="17.15" hidden="false" customHeight="false" outlineLevel="0" collapsed="false">
      <c r="A8633" s="0" t="s">
        <v>780</v>
      </c>
      <c r="B8633" s="0" t="s">
        <v>95</v>
      </c>
      <c r="D8633" s="6" t="n">
        <f aca="false">Sens!D8612</f>
        <v>12.9359794422418</v>
      </c>
      <c r="E8633" s="6" t="n">
        <f aca="false">Sens!E8612</f>
        <v>27.8095064661409</v>
      </c>
      <c r="F8633" s="6" t="n">
        <f aca="false">Sens!F8612</f>
        <v>55.0640065749585</v>
      </c>
      <c r="G8633" s="6" t="n">
        <f aca="false">Sens!G8612</f>
        <v>89.4505413190538</v>
      </c>
      <c r="H8633" s="6" t="n">
        <f aca="false">Sens!H8612</f>
        <v>124.835630736874</v>
      </c>
      <c r="I8633" s="6" t="n">
        <f aca="false">Sens!I8612</f>
        <v>160.384516075608</v>
      </c>
      <c r="J8633" s="6" t="n">
        <f aca="false">Sens!J8612</f>
        <v>196.019025664981</v>
      </c>
      <c r="K8633" s="6" t="n">
        <f aca="false">Sens!K8612</f>
        <v>231.703903883012</v>
      </c>
    </row>
    <row r="8634" customFormat="false" ht="17.15" hidden="false" customHeight="false" outlineLevel="0" collapsed="false">
      <c r="A8634" s="0" t="s">
        <v>781</v>
      </c>
      <c r="B8634" s="0" t="s">
        <v>95</v>
      </c>
      <c r="D8634" s="6" t="n">
        <f aca="false">Q!L6-Sens!D8633</f>
        <v>59.6740205577583</v>
      </c>
      <c r="E8634" s="6" t="n">
        <f aca="false">Q!M6-Sens!E8633</f>
        <v>74.1284935338591</v>
      </c>
      <c r="F8634" s="6" t="n">
        <f aca="false">Sens!E8634*(1+Sens!F8635)</f>
        <v>90.0799497373663</v>
      </c>
      <c r="G8634" s="6" t="n">
        <f aca="false">Sens!F8634*(1+Sens!G8635)</f>
        <v>107.02842520331</v>
      </c>
      <c r="H8634" s="6" t="n">
        <f aca="false">Sens!G8634*(1+Sens!H8635)</f>
        <v>124.271982585636</v>
      </c>
      <c r="I8634" s="6" t="n">
        <f aca="false">Sens!H8634*(1+Sens!I8635)</f>
        <v>140.933702381855</v>
      </c>
      <c r="J8634" s="6" t="n">
        <f aca="false">Sens!I8634*(1+Sens!J8635)</f>
        <v>156.018867314332</v>
      </c>
      <c r="K8634" s="6" t="n">
        <f aca="false">Sens!J8634*(1+Sens!K8635)</f>
        <v>168.500376699478</v>
      </c>
    </row>
    <row r="8635" customFormat="false" ht="15" hidden="false" customHeight="false" outlineLevel="0" collapsed="false">
      <c r="A8635" s="1" t="s">
        <v>782</v>
      </c>
      <c r="B8635" s="0" t="s">
        <v>126</v>
      </c>
      <c r="E8635" s="7" t="n">
        <f aca="false">Sens!E8634/Sens!D8634-1</f>
        <v>0.242223883039864</v>
      </c>
      <c r="F8635" s="7" t="n">
        <f aca="false">Sens!$E$8635+(glt_azo-Sens!$E$8635)*MIN(1,1/n_conv)</f>
        <v>0.215186569199887</v>
      </c>
      <c r="G8635" s="7" t="n">
        <f aca="false">Sens!$E$8635+(glt_azo-Sens!$E$8635)*MIN(1,2/n_conv)</f>
        <v>0.18814925535991</v>
      </c>
      <c r="H8635" s="7" t="n">
        <f aca="false">Sens!$E$8635+(glt_azo-Sens!$E$8635)*MIN(1,3/n_conv)</f>
        <v>0.161111941519932</v>
      </c>
      <c r="I8635" s="7" t="n">
        <f aca="false">Sens!$E$8635+(glt_azo-Sens!$E$8635)*MIN(1,4/n_conv)</f>
        <v>0.134074627679955</v>
      </c>
      <c r="J8635" s="7" t="n">
        <f aca="false">Sens!$E$8635+(glt_azo-Sens!$E$8635)*MIN(1,5/n_conv)</f>
        <v>0.107037313839977</v>
      </c>
      <c r="K8635" s="7" t="n">
        <f aca="false">Sens!$E$8635+(glt_azo-Sens!$E$8635)*MIN(1,6/n_conv)</f>
        <v>0.08</v>
      </c>
    </row>
    <row r="8636" customFormat="false" ht="15" hidden="false" customHeight="false" outlineLevel="0" collapsed="false">
      <c r="A8636" s="0" t="s">
        <v>783</v>
      </c>
      <c r="B8636" s="0" t="s">
        <v>95</v>
      </c>
      <c r="D8636" s="6" t="n">
        <f aca="false">Sens!D8633+Sens!D8634</f>
        <v>72.61</v>
      </c>
      <c r="E8636" s="6" t="n">
        <f aca="false">Sens!E8633+Sens!E8634</f>
        <v>101.938</v>
      </c>
      <c r="F8636" s="6" t="n">
        <f aca="false">Sens!F8633+Sens!F8634</f>
        <v>145.143956312325</v>
      </c>
      <c r="G8636" s="6" t="n">
        <f aca="false">Sens!G8633+Sens!G8634</f>
        <v>196.478966522364</v>
      </c>
      <c r="H8636" s="6" t="n">
        <f aca="false">Sens!H8633+Sens!H8634</f>
        <v>249.10761332251</v>
      </c>
      <c r="I8636" s="6" t="n">
        <f aca="false">Sens!I8633+Sens!I8634</f>
        <v>301.318218457463</v>
      </c>
      <c r="J8636" s="6" t="n">
        <f aca="false">Sens!J8633+Sens!J8634</f>
        <v>352.037892979313</v>
      </c>
      <c r="K8636" s="6" t="n">
        <f aca="false">Sens!K8633+Sens!K8634</f>
        <v>400.20428058249</v>
      </c>
    </row>
    <row r="8637" customFormat="false" ht="17.15" hidden="false" customHeight="false" outlineLevel="0" collapsed="false">
      <c r="A8637" s="0" t="s">
        <v>784</v>
      </c>
      <c r="B8637" s="1" t="s">
        <v>451</v>
      </c>
      <c r="C8637" s="27" t="n">
        <f aca="false">cop_s24</f>
        <v>1</v>
      </c>
      <c r="D8637" s="27" t="n">
        <f aca="false">cop_s25</f>
        <v>5</v>
      </c>
      <c r="E8637" s="27" t="n">
        <f aca="false">cop_s26</f>
        <v>30</v>
      </c>
      <c r="F8637" s="27" t="n">
        <f aca="false">Sens!E8637+IF(2027&lt;=2029,cop_add_B,cop_add_B*cop_tail)</f>
        <v>50</v>
      </c>
      <c r="G8637" s="27" t="n">
        <f aca="false">Sens!F8637+IF(2028&lt;=2029,cop_add_B,cop_add_B*cop_tail)</f>
        <v>70</v>
      </c>
      <c r="H8637" s="27" t="n">
        <f aca="false">Sens!G8637+IF(2029&lt;=2029,cop_add_B,cop_add_B*cop_tail)</f>
        <v>90</v>
      </c>
      <c r="I8637" s="27" t="n">
        <f aca="false">Sens!H8637+IF(2030&lt;=2029,cop_add_B,cop_add_B*cop_tail)</f>
        <v>100</v>
      </c>
      <c r="J8637" s="27" t="n">
        <f aca="false">Sens!I8637+IF(2031&lt;=2029,cop_add_B,cop_add_B*cop_tail)</f>
        <v>110</v>
      </c>
      <c r="K8637" s="27" t="n">
        <f aca="false">Sens!J8637+IF(2032&lt;=2029,cop_add_B,cop_add_B*cop_tail)</f>
        <v>120</v>
      </c>
    </row>
    <row r="8638" customFormat="false" ht="17.15" hidden="false" customHeight="false" outlineLevel="0" collapsed="false">
      <c r="A8638" s="0" t="s">
        <v>785</v>
      </c>
      <c r="B8638" s="0" t="s">
        <v>95</v>
      </c>
      <c r="D8638" s="6" t="n">
        <f aca="false">(Sens!C8637+Sens!D8637)/2*cop_px*12/1000</f>
        <v>0.9</v>
      </c>
      <c r="E8638" s="6" t="n">
        <f aca="false">(Sens!D8637+Sens!E8637)/2*cop_px*12/1000</f>
        <v>5.25</v>
      </c>
      <c r="F8638" s="6" t="n">
        <f aca="false">(Sens!E8637+Sens!F8637)/2*cop_px*12/1000</f>
        <v>12</v>
      </c>
      <c r="G8638" s="6" t="n">
        <f aca="false">(Sens!F8637+Sens!G8637)/2*cop_px*12/1000</f>
        <v>18</v>
      </c>
      <c r="H8638" s="6" t="n">
        <f aca="false">(Sens!G8637+Sens!H8637)/2*cop_px*12/1000</f>
        <v>24</v>
      </c>
      <c r="I8638" s="6" t="n">
        <f aca="false">(Sens!H8637+Sens!I8637)/2*cop_px*12/1000</f>
        <v>28.5</v>
      </c>
      <c r="J8638" s="6" t="n">
        <f aca="false">(Sens!I8637+Sens!J8637)/2*cop_px*12/1000</f>
        <v>31.5</v>
      </c>
      <c r="K8638" s="6" t="n">
        <f aca="false">(Sens!J8637+Sens!K8637)/2*cop_px*12/1000</f>
        <v>34.5</v>
      </c>
      <c r="L8638" s="1" t="s">
        <v>786</v>
      </c>
    </row>
    <row r="8639" customFormat="false" ht="17.15" hidden="false" customHeight="false" outlineLevel="0" collapsed="false">
      <c r="A8639" s="0" t="s">
        <v>787</v>
      </c>
      <c r="B8639" s="0" t="s">
        <v>95</v>
      </c>
      <c r="D8639" s="6" t="n">
        <f aca="false">Q!L7-Sens!D8638</f>
        <v>83.705</v>
      </c>
      <c r="E8639" s="6" t="n">
        <f aca="false">Q!M7-Sens!E8638</f>
        <v>95.049</v>
      </c>
      <c r="F8639" s="6" t="n">
        <f aca="false">Sens!E8639*(1+Sens!F8640)</f>
        <v>106.89238776686</v>
      </c>
      <c r="G8639" s="6" t="n">
        <f aca="false">Sens!F8639*(1+Sens!G8640)</f>
        <v>119.044168448684</v>
      </c>
      <c r="H8639" s="6" t="n">
        <f aca="false">Sens!G8639*(1+Sens!H8640)</f>
        <v>131.277359388781</v>
      </c>
      <c r="I8639" s="6" t="n">
        <f aca="false">Sens!H8639*(1+Sens!I8640)</f>
        <v>143.334028071957</v>
      </c>
      <c r="J8639" s="6" t="n">
        <f aca="false">Sens!I8639*(1+Sens!J8640)</f>
        <v>154.932702785465</v>
      </c>
      <c r="K8639" s="6" t="n">
        <f aca="false">Sens!J8639*(1+Sens!K8640)</f>
        <v>165.777991980448</v>
      </c>
    </row>
    <row r="8640" customFormat="false" ht="15" hidden="false" customHeight="false" outlineLevel="0" collapsed="false">
      <c r="A8640" s="1" t="s">
        <v>782</v>
      </c>
      <c r="B8640" s="0" t="s">
        <v>126</v>
      </c>
      <c r="E8640" s="7" t="n">
        <f aca="false">Sens!E8639/Sens!D8639-1</f>
        <v>0.135523564900544</v>
      </c>
      <c r="F8640" s="7" t="n">
        <f aca="false">Sens!$E$8640+(glt_m365b-Sens!$E$8640)*MIN(1,1/n_conv)</f>
        <v>0.124602970750453</v>
      </c>
      <c r="G8640" s="7" t="n">
        <f aca="false">Sens!$E$8640+(glt_m365b-Sens!$E$8640)*MIN(1,2/n_conv)</f>
        <v>0.113682376600363</v>
      </c>
      <c r="H8640" s="7" t="n">
        <f aca="false">Sens!$E$8640+(glt_m365b-Sens!$E$8640)*MIN(1,3/n_conv)</f>
        <v>0.102761782450272</v>
      </c>
      <c r="I8640" s="7" t="n">
        <f aca="false">Sens!$E$8640+(glt_m365b-Sens!$E$8640)*MIN(1,4/n_conv)</f>
        <v>0.0918411883001813</v>
      </c>
      <c r="J8640" s="7" t="n">
        <f aca="false">Sens!$E$8640+(glt_m365b-Sens!$E$8640)*MIN(1,5/n_conv)</f>
        <v>0.0809205941500906</v>
      </c>
      <c r="K8640" s="7" t="n">
        <f aca="false">Sens!$E$8640+(glt_m365b-Sens!$E$8640)*MIN(1,6/n_conv)</f>
        <v>0.07</v>
      </c>
    </row>
    <row r="8641" customFormat="false" ht="15" hidden="false" customHeight="false" outlineLevel="0" collapsed="false">
      <c r="A8641" s="0" t="s">
        <v>788</v>
      </c>
      <c r="B8641" s="0" t="s">
        <v>95</v>
      </c>
      <c r="D8641" s="6" t="n">
        <f aca="false">Sens!D8639+Sens!D8638</f>
        <v>84.605</v>
      </c>
      <c r="E8641" s="6" t="n">
        <f aca="false">Sens!E8639+Sens!E8638</f>
        <v>100.299</v>
      </c>
      <c r="F8641" s="6" t="n">
        <f aca="false">Sens!F8639+Sens!F8638</f>
        <v>118.89238776686</v>
      </c>
      <c r="G8641" s="6" t="n">
        <f aca="false">Sens!G8639+Sens!G8638</f>
        <v>137.044168448684</v>
      </c>
      <c r="H8641" s="6" t="n">
        <f aca="false">Sens!H8639+Sens!H8638</f>
        <v>155.277359388781</v>
      </c>
      <c r="I8641" s="6" t="n">
        <f aca="false">Sens!I8639+Sens!I8638</f>
        <v>171.834028071957</v>
      </c>
      <c r="J8641" s="6" t="n">
        <f aca="false">Sens!J8639+Sens!J8638</f>
        <v>186.432702785465</v>
      </c>
      <c r="K8641" s="6" t="n">
        <f aca="false">Sens!K8639+Sens!K8638</f>
        <v>200.277991980448</v>
      </c>
    </row>
    <row r="8642" customFormat="false" ht="15" hidden="false" customHeight="false" outlineLevel="0" collapsed="false">
      <c r="A8642" s="0" t="s">
        <v>789</v>
      </c>
      <c r="B8642" s="0" t="s">
        <v>95</v>
      </c>
      <c r="D8642" s="6" t="n">
        <f aca="false">Q!L8</f>
        <v>35.391</v>
      </c>
      <c r="E8642" s="6" t="n">
        <f aca="false">Q!M8</f>
        <v>37.285</v>
      </c>
      <c r="F8642" s="6" t="n">
        <f aca="false">Sens!E8642*(1+Sens!F8643)</f>
        <v>39.0720834331704</v>
      </c>
      <c r="G8642" s="6" t="n">
        <f aca="false">Sens!F8642*(1+Sens!G8643)</f>
        <v>40.726562953769</v>
      </c>
      <c r="H8642" s="6" t="n">
        <f aca="false">Sens!G8642*(1+Sens!H8643)</f>
        <v>42.2235987259198</v>
      </c>
      <c r="I8642" s="6" t="n">
        <f aca="false">Sens!H8642*(1+Sens!I8643)</f>
        <v>43.5397988077414</v>
      </c>
      <c r="J8642" s="6" t="n">
        <f aca="false">Sens!I8642*(1+Sens!J8643)</f>
        <v>44.653811225693</v>
      </c>
      <c r="K8642" s="6" t="n">
        <f aca="false">Sens!J8642*(1+Sens!K8643)</f>
        <v>45.5468874502068</v>
      </c>
    </row>
    <row r="8643" customFormat="false" ht="15" hidden="false" customHeight="false" outlineLevel="0" collapsed="false">
      <c r="A8643" s="1" t="s">
        <v>782</v>
      </c>
      <c r="B8643" s="0" t="s">
        <v>126</v>
      </c>
      <c r="E8643" s="7" t="n">
        <f aca="false">Sens!E8642/Sens!D8642-1</f>
        <v>0.0535164307309768</v>
      </c>
      <c r="F8643" s="7" t="n">
        <f aca="false">Sens!$E$8643+(glt_lic-Sens!$E$8643)*MIN(1,1/n_conv)</f>
        <v>0.0479303589424807</v>
      </c>
      <c r="G8643" s="7" t="n">
        <f aca="false">Sens!$E$8643+(glt_lic-Sens!$E$8643)*MIN(1,2/n_conv)</f>
        <v>0.0423442871539845</v>
      </c>
      <c r="H8643" s="7" t="n">
        <f aca="false">Sens!$E$8643+(glt_lic-Sens!$E$8643)*MIN(1,3/n_conv)</f>
        <v>0.0367582153654884</v>
      </c>
      <c r="I8643" s="7" t="n">
        <f aca="false">Sens!$E$8643+(glt_lic-Sens!$E$8643)*MIN(1,4/n_conv)</f>
        <v>0.0311721435769923</v>
      </c>
      <c r="J8643" s="7" t="n">
        <f aca="false">Sens!$E$8643+(glt_lic-Sens!$E$8643)*MIN(1,5/n_conv)</f>
        <v>0.0255860717884961</v>
      </c>
      <c r="K8643" s="7" t="n">
        <f aca="false">Sens!$E$8643+(glt_lic-Sens!$E$8643)*MIN(1,6/n_conv)</f>
        <v>0.02</v>
      </c>
    </row>
    <row r="8644" customFormat="false" ht="15" hidden="false" customHeight="false" outlineLevel="0" collapsed="false">
      <c r="A8644" s="0" t="s">
        <v>790</v>
      </c>
      <c r="B8644" s="0" t="s">
        <v>95</v>
      </c>
      <c r="D8644" s="6" t="n">
        <f aca="false">Q!L9</f>
        <v>18.417</v>
      </c>
      <c r="E8644" s="6" t="n">
        <f aca="false">Q!M9</f>
        <v>20.345</v>
      </c>
      <c r="F8644" s="6" t="n">
        <f aca="false">Sens!E8644*(1+Sens!F8645)</f>
        <v>22.3572203267814</v>
      </c>
      <c r="G8644" s="6" t="n">
        <f aca="false">Sens!F8644*(1+Sens!G8645)</f>
        <v>24.4392124437232</v>
      </c>
      <c r="H8644" s="6" t="n">
        <f aca="false">Sens!G8644*(1+Sens!H8645)</f>
        <v>26.5738052080665</v>
      </c>
      <c r="I8644" s="6" t="n">
        <f aca="false">Sens!H8644*(1+Sens!I8645)</f>
        <v>28.7412169166967</v>
      </c>
      <c r="J8644" s="6" t="n">
        <f aca="false">Sens!I8644*(1+Sens!J8645)</f>
        <v>30.9192545395413</v>
      </c>
      <c r="K8644" s="6" t="n">
        <f aca="false">Sens!J8644*(1+Sens!K8645)</f>
        <v>33.0836023573092</v>
      </c>
    </row>
    <row r="8645" customFormat="false" ht="15" hidden="false" customHeight="false" outlineLevel="0" collapsed="false">
      <c r="A8645" s="1" t="s">
        <v>782</v>
      </c>
      <c r="B8645" s="0" t="s">
        <v>126</v>
      </c>
      <c r="E8645" s="7" t="n">
        <f aca="false">Sens!E8644/Sens!D8644-1</f>
        <v>0.104685888038225</v>
      </c>
      <c r="F8645" s="7" t="n">
        <f aca="false">Sens!$E$8645+(glt_ind-Sens!$E$8645)*MIN(1,1/n_conv)</f>
        <v>0.0989049066985211</v>
      </c>
      <c r="G8645" s="7" t="n">
        <f aca="false">Sens!$E$8645+(glt_ind-Sens!$E$8645)*MIN(1,2/n_conv)</f>
        <v>0.0931239253588169</v>
      </c>
      <c r="H8645" s="7" t="n">
        <f aca="false">Sens!$E$8645+(glt_ind-Sens!$E$8645)*MIN(1,3/n_conv)</f>
        <v>0.0873429440191127</v>
      </c>
      <c r="I8645" s="7" t="n">
        <f aca="false">Sens!$E$8645+(glt_ind-Sens!$E$8645)*MIN(1,4/n_conv)</f>
        <v>0.0815619626794085</v>
      </c>
      <c r="J8645" s="7" t="n">
        <f aca="false">Sens!$E$8645+(glt_ind-Sens!$E$8645)*MIN(1,5/n_conv)</f>
        <v>0.0757809813397042</v>
      </c>
      <c r="K8645" s="7" t="n">
        <f aca="false">Sens!$E$8645+(glt_ind-Sens!$E$8645)*MIN(1,6/n_conv)</f>
        <v>0.07</v>
      </c>
    </row>
    <row r="8646" customFormat="false" ht="15" hidden="false" customHeight="false" outlineLevel="0" collapsed="false">
      <c r="A8646" s="0" t="s">
        <v>791</v>
      </c>
      <c r="B8646" s="0" t="s">
        <v>95</v>
      </c>
      <c r="D8646" s="6" t="n">
        <f aca="false">Q!L10</f>
        <v>7.76</v>
      </c>
      <c r="E8646" s="6" t="n">
        <f aca="false">Q!M10</f>
        <v>8.26</v>
      </c>
      <c r="F8646" s="6" t="n">
        <f aca="false">Sens!E8646*(1+Sens!F8647)</f>
        <v>8.79988041237113</v>
      </c>
      <c r="G8646" s="6" t="n">
        <f aca="false">Sens!F8646*(1+Sens!G8647)</f>
        <v>9.38321269125306</v>
      </c>
      <c r="H8646" s="6" t="n">
        <f aca="false">Sens!G8646*(1+Sens!H8647)</f>
        <v>10.0139193587476</v>
      </c>
      <c r="I8646" s="6" t="n">
        <f aca="false">Sens!H8646*(1+Sens!I8647)</f>
        <v>10.6963111830911</v>
      </c>
      <c r="J8646" s="6" t="n">
        <f aca="false">Sens!I8646*(1+Sens!J8647)</f>
        <v>11.4351285534696</v>
      </c>
      <c r="K8646" s="6" t="n">
        <f aca="false">Sens!J8646*(1+Sens!K8647)</f>
        <v>12.2355875522124</v>
      </c>
    </row>
    <row r="8647" customFormat="false" ht="15" hidden="false" customHeight="false" outlineLevel="0" collapsed="false">
      <c r="A8647" s="1" t="s">
        <v>782</v>
      </c>
      <c r="B8647" s="0" t="s">
        <v>126</v>
      </c>
      <c r="E8647" s="7" t="n">
        <f aca="false">Sens!E8646/Sens!D8646-1</f>
        <v>0.0644329896907216</v>
      </c>
      <c r="F8647" s="7" t="n">
        <f aca="false">Sens!$E$8647+(glt_fro-Sens!$E$8647)*MIN(1,1/n_conv)</f>
        <v>0.065360824742268</v>
      </c>
      <c r="G8647" s="7" t="n">
        <f aca="false">Sens!$E$8647+(glt_fro-Sens!$E$8647)*MIN(1,2/n_conv)</f>
        <v>0.0662886597938144</v>
      </c>
      <c r="H8647" s="7" t="n">
        <f aca="false">Sens!$E$8647+(glt_fro-Sens!$E$8647)*MIN(1,3/n_conv)</f>
        <v>0.0672164948453608</v>
      </c>
      <c r="I8647" s="7" t="n">
        <f aca="false">Sens!$E$8647+(glt_fro-Sens!$E$8647)*MIN(1,4/n_conv)</f>
        <v>0.0681443298969072</v>
      </c>
      <c r="J8647" s="7" t="n">
        <f aca="false">Sens!$E$8647+(glt_fro-Sens!$E$8647)*MIN(1,5/n_conv)</f>
        <v>0.0690721649484536</v>
      </c>
      <c r="K8647" s="7" t="n">
        <f aca="false">Sens!$E$8647+(glt_fro-Sens!$E$8647)*MIN(1,6/n_conv)</f>
        <v>0.07</v>
      </c>
    </row>
    <row r="8648" customFormat="false" ht="15" hidden="false" customHeight="false" outlineLevel="0" collapsed="false">
      <c r="A8648" s="0" t="s">
        <v>626</v>
      </c>
      <c r="B8648" s="0" t="s">
        <v>95</v>
      </c>
      <c r="D8648" s="6" t="n">
        <f aca="false">Sens!D8636+Sens!D8641+Sens!D8642+Sens!D8644+Sens!D8646</f>
        <v>218.783</v>
      </c>
      <c r="E8648" s="6" t="n">
        <f aca="false">Sens!E8636+Sens!E8641+Sens!E8642+Sens!E8644+Sens!E8646</f>
        <v>268.127</v>
      </c>
      <c r="F8648" s="6" t="n">
        <f aca="false">Sens!F8636+Sens!F8641+Sens!F8642+Sens!F8644+Sens!F8646</f>
        <v>334.265528251508</v>
      </c>
      <c r="G8648" s="6" t="n">
        <f aca="false">Sens!G8636+Sens!G8641+Sens!G8642+Sens!G8644+Sens!G8646</f>
        <v>408.072123059793</v>
      </c>
      <c r="H8648" s="6" t="n">
        <f aca="false">Sens!H8636+Sens!H8641+Sens!H8642+Sens!H8644+Sens!H8646</f>
        <v>483.196296004025</v>
      </c>
      <c r="I8648" s="6" t="n">
        <f aca="false">Sens!I8636+Sens!I8641+Sens!I8642+Sens!I8644+Sens!I8646</f>
        <v>556.129573436949</v>
      </c>
      <c r="J8648" s="6" t="n">
        <f aca="false">Sens!J8636+Sens!J8641+Sens!J8642+Sens!J8644+Sens!J8646</f>
        <v>625.478790083482</v>
      </c>
      <c r="K8648" s="6" t="n">
        <f aca="false">Sens!K8636+Sens!K8641+Sens!K8642+Sens!K8644+Sens!K8646</f>
        <v>691.348349922667</v>
      </c>
    </row>
    <row r="8649" customFormat="false" ht="15" hidden="false" customHeight="false" outlineLevel="0" collapsed="false">
      <c r="A8649" s="0" t="s">
        <v>792</v>
      </c>
      <c r="B8649" s="0" t="s">
        <v>95</v>
      </c>
      <c r="D8649" s="6" t="n">
        <f aca="false">Q!L13</f>
        <v>22.171</v>
      </c>
      <c r="E8649" s="6" t="n">
        <f aca="false">Q!M13</f>
        <v>24.835</v>
      </c>
      <c r="F8649" s="6" t="n">
        <f aca="false">Sens!E8649*(1+Sens!F8650)</f>
        <v>27.6114901218559</v>
      </c>
      <c r="G8649" s="6" t="n">
        <f aca="false">Sens!F8649*(1+Sens!G8650)</f>
        <v>30.4675667338515</v>
      </c>
      <c r="H8649" s="6" t="n">
        <f aca="false">Sens!G8649*(1+Sens!H8650)</f>
        <v>33.3643766955789</v>
      </c>
      <c r="I8649" s="6" t="n">
        <f aca="false">Sens!H8649*(1+Sens!I8650)</f>
        <v>36.2577016533691</v>
      </c>
      <c r="J8649" s="6" t="n">
        <f aca="false">Sens!I8649*(1+Sens!J8650)</f>
        <v>39.0988367952171</v>
      </c>
      <c r="K8649" s="6" t="n">
        <f aca="false">Sens!J8649*(1+Sens!K8650)</f>
        <v>41.8357553708823</v>
      </c>
    </row>
    <row r="8650" customFormat="false" ht="15" hidden="false" customHeight="false" outlineLevel="0" collapsed="false">
      <c r="A8650" s="1" t="s">
        <v>782</v>
      </c>
      <c r="B8650" s="0" t="s">
        <v>126</v>
      </c>
      <c r="E8650" s="7" t="n">
        <f aca="false">Sens!E8649/Sens!D8649-1</f>
        <v>0.120156961796942</v>
      </c>
      <c r="F8650" s="7" t="n">
        <f aca="false">Sens!$E$8650+(glt_srch-Sens!$E$8650)*MIN(1,1/n_conv)</f>
        <v>0.111797468164118</v>
      </c>
      <c r="G8650" s="7" t="n">
        <f aca="false">Sens!$E$8650+(glt_srch-Sens!$E$8650)*MIN(1,2/n_conv)</f>
        <v>0.103437974531295</v>
      </c>
      <c r="H8650" s="7" t="n">
        <f aca="false">Sens!$E$8650+(glt_srch-Sens!$E$8650)*MIN(1,3/n_conv)</f>
        <v>0.095078480898471</v>
      </c>
      <c r="I8650" s="7" t="n">
        <f aca="false">Sens!$E$8650+(glt_srch-Sens!$E$8650)*MIN(1,4/n_conv)</f>
        <v>0.0867189872656474</v>
      </c>
      <c r="J8650" s="7" t="n">
        <f aca="false">Sens!$E$8650+(glt_srch-Sens!$E$8650)*MIN(1,5/n_conv)</f>
        <v>0.0783594936328237</v>
      </c>
      <c r="K8650" s="7" t="n">
        <f aca="false">Sens!$E$8650+(glt_srch-Sens!$E$8650)*MIN(1,6/n_conv)</f>
        <v>0.07</v>
      </c>
    </row>
    <row r="8651" customFormat="false" ht="15" hidden="false" customHeight="false" outlineLevel="0" collapsed="false">
      <c r="A8651" s="0" t="s">
        <v>793</v>
      </c>
      <c r="B8651" s="0" t="s">
        <v>95</v>
      </c>
      <c r="D8651" s="6" t="n">
        <f aca="false">Q!L14</f>
        <v>23.455</v>
      </c>
      <c r="E8651" s="6" t="n">
        <f aca="false">Q!M14</f>
        <v>21.79</v>
      </c>
      <c r="F8651" s="6" t="n">
        <f aca="false">Sens!E8651*(1+Sens!F8652)</f>
        <v>20.4283611241384</v>
      </c>
      <c r="G8651" s="6" t="n">
        <f aca="false">Sens!F8651*(1+Sens!G8652)</f>
        <v>19.3254067185857</v>
      </c>
      <c r="H8651" s="6" t="n">
        <f aca="false">Sens!G8651*(1+Sens!H8652)</f>
        <v>18.446226363051</v>
      </c>
      <c r="I8651" s="6" t="n">
        <f aca="false">Sens!H8651*(1+Sens!I8652)</f>
        <v>17.7637959435485</v>
      </c>
      <c r="J8651" s="6" t="n">
        <f aca="false">Sens!I8651*(1+Sens!J8652)</f>
        <v>17.2575662581111</v>
      </c>
      <c r="K8651" s="6" t="n">
        <f aca="false">Sens!J8651*(1+Sens!K8652)</f>
        <v>16.9124149329489</v>
      </c>
    </row>
    <row r="8652" customFormat="false" ht="15" hidden="false" customHeight="false" outlineLevel="0" collapsed="false">
      <c r="A8652" s="1" t="s">
        <v>782</v>
      </c>
      <c r="B8652" s="0" t="s">
        <v>126</v>
      </c>
      <c r="E8652" s="7" t="n">
        <f aca="false">Sens!E8651/Sens!D8651-1</f>
        <v>-0.0709869963760392</v>
      </c>
      <c r="F8652" s="7" t="n">
        <f aca="false">Sens!$E$8652+(glt_xbox_lo-Sens!$E$8652)*MIN(1,1/n_conv)</f>
        <v>-0.0624891636466994</v>
      </c>
      <c r="G8652" s="7" t="n">
        <f aca="false">Sens!$E$8652+(glt_xbox_lo-Sens!$E$8652)*MIN(1,2/n_conv)</f>
        <v>-0.0539913309173595</v>
      </c>
      <c r="H8652" s="7" t="n">
        <f aca="false">Sens!$E$8652+(glt_xbox_lo-Sens!$E$8652)*MIN(1,3/n_conv)</f>
        <v>-0.0454934981880196</v>
      </c>
      <c r="I8652" s="7" t="n">
        <f aca="false">Sens!$E$8652+(glt_xbox_lo-Sens!$E$8652)*MIN(1,4/n_conv)</f>
        <v>-0.0369956654586797</v>
      </c>
      <c r="J8652" s="7" t="n">
        <f aca="false">Sens!$E$8652+(glt_xbox_lo-Sens!$E$8652)*MIN(1,5/n_conv)</f>
        <v>-0.0284978327293399</v>
      </c>
      <c r="K8652" s="7" t="n">
        <f aca="false">Sens!$E$8652+(glt_xbox_lo-Sens!$E$8652)*MIN(1,6/n_conv)</f>
        <v>-0.02</v>
      </c>
    </row>
    <row r="8653" customFormat="false" ht="15" hidden="false" customHeight="false" outlineLevel="0" collapsed="false">
      <c r="A8653" s="0" t="s">
        <v>794</v>
      </c>
      <c r="B8653" s="0" t="s">
        <v>95</v>
      </c>
      <c r="D8653" s="6" t="n">
        <f aca="false">Q!L15</f>
        <v>17.315</v>
      </c>
      <c r="E8653" s="6" t="n">
        <f aca="false">Q!M15</f>
        <v>17.087</v>
      </c>
      <c r="F8653" s="6" t="n">
        <f aca="false">Sens!E8653*(1+Sens!F8654)</f>
        <v>16.9564585436519</v>
      </c>
      <c r="G8653" s="6" t="n">
        <f aca="false">Sens!F8653*(1+Sens!G8654)</f>
        <v>16.9206490624268</v>
      </c>
      <c r="H8653" s="6" t="n">
        <f aca="false">Sens!G8653*(1+Sens!H8654)</f>
        <v>16.9784519149849</v>
      </c>
      <c r="I8653" s="6" t="n">
        <f aca="false">Sens!H8653*(1+Sens!I8654)</f>
        <v>17.1303084701817</v>
      </c>
      <c r="J8653" s="6" t="n">
        <f aca="false">Sens!I8653*(1+Sens!J8654)</f>
        <v>17.3782189407267</v>
      </c>
      <c r="K8653" s="6" t="n">
        <f aca="false">Sens!J8653*(1+Sens!K8654)</f>
        <v>17.7257833195413</v>
      </c>
    </row>
    <row r="8654" customFormat="false" ht="15" hidden="false" customHeight="false" outlineLevel="0" collapsed="false">
      <c r="A8654" s="1" t="s">
        <v>782</v>
      </c>
      <c r="B8654" s="0" t="s">
        <v>126</v>
      </c>
      <c r="E8654" s="7" t="n">
        <f aca="false">Sens!E8653/Sens!D8653-1</f>
        <v>-0.0131677736066995</v>
      </c>
      <c r="F8654" s="7" t="n">
        <f aca="false">Sens!$E$8654+(glt_win-Sens!$E$8654)*MIN(1,1/n_conv)</f>
        <v>-0.00763981133891627</v>
      </c>
      <c r="G8654" s="7" t="n">
        <f aca="false">Sens!$E$8654+(glt_win-Sens!$E$8654)*MIN(1,2/n_conv)</f>
        <v>-0.00211184907113301</v>
      </c>
      <c r="H8654" s="7" t="n">
        <f aca="false">Sens!$E$8654+(glt_win-Sens!$E$8654)*MIN(1,3/n_conv)</f>
        <v>0.00341611319665024</v>
      </c>
      <c r="I8654" s="7" t="n">
        <f aca="false">Sens!$E$8654+(glt_win-Sens!$E$8654)*MIN(1,4/n_conv)</f>
        <v>0.00894407546443349</v>
      </c>
      <c r="J8654" s="7" t="n">
        <f aca="false">Sens!$E$8654+(glt_win-Sens!$E$8654)*MIN(1,5/n_conv)</f>
        <v>0.0144720377322168</v>
      </c>
      <c r="K8654" s="7" t="n">
        <f aca="false">Sens!$E$8654+(glt_win-Sens!$E$8654)*MIN(1,6/n_conv)</f>
        <v>0.02</v>
      </c>
    </row>
    <row r="8655" customFormat="false" ht="15" hidden="false" customHeight="false" outlineLevel="0" collapsed="false">
      <c r="A8655" s="0" t="s">
        <v>640</v>
      </c>
      <c r="B8655" s="0" t="s">
        <v>95</v>
      </c>
      <c r="D8655" s="6" t="n">
        <f aca="false">Sens!D8649+Sens!D8651+Sens!D8653</f>
        <v>62.941</v>
      </c>
      <c r="E8655" s="6" t="n">
        <f aca="false">Sens!E8649+Sens!E8651+Sens!E8653</f>
        <v>63.712</v>
      </c>
      <c r="F8655" s="6" t="n">
        <f aca="false">Sens!F8649+Sens!F8651+Sens!F8653</f>
        <v>64.9963097896462</v>
      </c>
      <c r="G8655" s="6" t="n">
        <f aca="false">Sens!G8649+Sens!G8651+Sens!G8653</f>
        <v>66.7136225148641</v>
      </c>
      <c r="H8655" s="6" t="n">
        <f aca="false">Sens!H8649+Sens!H8651+Sens!H8653</f>
        <v>68.7890549736148</v>
      </c>
      <c r="I8655" s="6" t="n">
        <f aca="false">Sens!I8649+Sens!I8651+Sens!I8653</f>
        <v>71.1518060670993</v>
      </c>
      <c r="J8655" s="6" t="n">
        <f aca="false">Sens!J8649+Sens!J8651+Sens!J8653</f>
        <v>73.7346219940549</v>
      </c>
      <c r="K8655" s="6" t="n">
        <f aca="false">Sens!K8649+Sens!K8651+Sens!K8653</f>
        <v>76.4739536233724</v>
      </c>
    </row>
    <row r="8656" customFormat="false" ht="15" hidden="false" customHeight="false" outlineLevel="0" collapsed="false">
      <c r="A8656" s="1" t="s">
        <v>795</v>
      </c>
      <c r="B8656" s="0" t="s">
        <v>95</v>
      </c>
      <c r="D8656" s="6" t="n">
        <f aca="false">Sens!D8648+Sens!D8655</f>
        <v>281.724</v>
      </c>
      <c r="E8656" s="6" t="n">
        <f aca="false">Sens!E8648+Sens!E8655</f>
        <v>331.839</v>
      </c>
      <c r="F8656" s="6" t="n">
        <f aca="false">Sens!F8648+Sens!F8655</f>
        <v>399.261838041154</v>
      </c>
      <c r="G8656" s="6" t="n">
        <f aca="false">Sens!G8648+Sens!G8655</f>
        <v>474.785745574657</v>
      </c>
      <c r="H8656" s="6" t="n">
        <f aca="false">Sens!H8648+Sens!H8655</f>
        <v>551.98535097764</v>
      </c>
      <c r="I8656" s="6" t="n">
        <f aca="false">Sens!I8648+Sens!I8655</f>
        <v>627.281379504049</v>
      </c>
      <c r="J8656" s="6" t="n">
        <f aca="false">Sens!J8648+Sens!J8655</f>
        <v>699.213412077537</v>
      </c>
      <c r="K8656" s="6" t="n">
        <f aca="false">Sens!K8648+Sens!K8655</f>
        <v>767.822303546039</v>
      </c>
    </row>
    <row r="8657" customFormat="false" ht="15" hidden="false" customHeight="false" outlineLevel="0" collapsed="false">
      <c r="A8657" s="22" t="s">
        <v>796</v>
      </c>
      <c r="B8657" s="28" t="s">
        <v>95</v>
      </c>
      <c r="C8657" s="28"/>
      <c r="D8657" s="23" t="n">
        <f aca="false">(Sens!D8636+Sens!D8641+Sens!D8642+Sens!D8644+Sens!D8646-Sens!D8648)+(Sens!D8649+Sens!D8651+Sens!D8653-Sens!D8655)+(Sens!D8648-Q!L5)+(Sens!D8655-Q!L12)+(Sens!D8636-Q!L6)+(Sens!D8641-Q!L7)</f>
        <v>0</v>
      </c>
      <c r="E8657" s="23" t="n">
        <f aca="false">(Sens!E8636+Sens!E8641+Sens!E8642+Sens!E8644+Sens!E8646-Sens!E8648)+(Sens!E8649+Sens!E8651+Sens!E8653-Sens!E8655)+(Sens!E8648-Q!M5)+(Sens!E8655-Q!M12)+(Sens!E8636-Q!M6)+(Sens!E8641-Q!M7)</f>
        <v>0</v>
      </c>
      <c r="F8657" s="23" t="n">
        <f aca="false">(Sens!F8636+Sens!F8641+Sens!F8642+Sens!F8644+Sens!F8646-Sens!F8648)+(Sens!F8649+Sens!F8651+Sens!F8653-Sens!F8655)</f>
        <v>0</v>
      </c>
      <c r="G8657" s="23" t="n">
        <f aca="false">(Sens!G8636+Sens!G8641+Sens!G8642+Sens!G8644+Sens!G8646-Sens!G8648)+(Sens!G8649+Sens!G8651+Sens!G8653-Sens!G8655)</f>
        <v>0</v>
      </c>
      <c r="H8657" s="23" t="n">
        <f aca="false">(Sens!H8636+Sens!H8641+Sens!H8642+Sens!H8644+Sens!H8646-Sens!H8648)+(Sens!H8649+Sens!H8651+Sens!H8653-Sens!H8655)</f>
        <v>0</v>
      </c>
      <c r="I8657" s="23" t="n">
        <f aca="false">(Sens!I8636+Sens!I8641+Sens!I8642+Sens!I8644+Sens!I8646-Sens!I8648)+(Sens!I8649+Sens!I8651+Sens!I8653-Sens!I8655)</f>
        <v>0</v>
      </c>
      <c r="J8657" s="23" t="n">
        <f aca="false">(Sens!J8636+Sens!J8641+Sens!J8642+Sens!J8644+Sens!J8646-Sens!J8648)+(Sens!J8649+Sens!J8651+Sens!J8653-Sens!J8655)</f>
        <v>0</v>
      </c>
      <c r="K8657" s="23" t="n">
        <f aca="false">(Sens!K8636+Sens!K8641+Sens!K8642+Sens!K8644+Sens!K8646-Sens!K8648)+(Sens!K8649+Sens!K8651+Sens!K8653-Sens!K8655)</f>
        <v>0</v>
      </c>
    </row>
    <row r="8658" customFormat="false" ht="17.15" hidden="false" customHeight="false" outlineLevel="0" collapsed="false">
      <c r="A8658" s="3" t="s">
        <v>1361</v>
      </c>
    </row>
    <row r="8659" customFormat="false" ht="15" hidden="false" customHeight="false" outlineLevel="0" collapsed="false">
      <c r="A8659" s="4" t="s">
        <v>43</v>
      </c>
      <c r="B8659" s="4" t="s">
        <v>63</v>
      </c>
      <c r="C8659" s="19" t="s">
        <v>710</v>
      </c>
      <c r="D8659" s="19" t="s">
        <v>711</v>
      </c>
      <c r="E8659" s="19" t="s">
        <v>712</v>
      </c>
      <c r="F8659" s="19" t="s">
        <v>713</v>
      </c>
      <c r="G8659" s="19" t="s">
        <v>714</v>
      </c>
      <c r="H8659" s="19" t="s">
        <v>715</v>
      </c>
      <c r="I8659" s="19" t="s">
        <v>716</v>
      </c>
      <c r="J8659" s="19" t="s">
        <v>717</v>
      </c>
      <c r="K8659" s="19" t="s">
        <v>718</v>
      </c>
      <c r="L8659" s="4" t="s">
        <v>47</v>
      </c>
    </row>
    <row r="8660" customFormat="false" ht="15" hidden="false" customHeight="false" outlineLevel="0" collapsed="false">
      <c r="A8660" s="0" t="s">
        <v>783</v>
      </c>
      <c r="B8660" s="0" t="s">
        <v>95</v>
      </c>
      <c r="D8660" s="6" t="n">
        <f aca="false">Sens!D8636</f>
        <v>72.61</v>
      </c>
      <c r="E8660" s="6" t="n">
        <f aca="false">Sens!E8636</f>
        <v>101.938</v>
      </c>
      <c r="F8660" s="6" t="n">
        <f aca="false">Sens!F8636</f>
        <v>145.143956312325</v>
      </c>
      <c r="G8660" s="6" t="n">
        <f aca="false">Sens!G8636</f>
        <v>196.478966522364</v>
      </c>
      <c r="H8660" s="6" t="n">
        <f aca="false">Sens!H8636</f>
        <v>249.10761332251</v>
      </c>
      <c r="I8660" s="6" t="n">
        <f aca="false">Sens!I8636</f>
        <v>301.318218457463</v>
      </c>
      <c r="J8660" s="6" t="n">
        <f aca="false">Sens!J8636</f>
        <v>352.037892979313</v>
      </c>
      <c r="K8660" s="6" t="n">
        <f aca="false">Sens!K8636</f>
        <v>400.20428058249</v>
      </c>
    </row>
    <row r="8661" customFormat="false" ht="17.15" hidden="false" customHeight="false" outlineLevel="0" collapsed="false">
      <c r="A8661" s="0" t="s">
        <v>780</v>
      </c>
      <c r="B8661" s="0" t="s">
        <v>95</v>
      </c>
      <c r="D8661" s="6" t="n">
        <f aca="false">Sens!D8633</f>
        <v>12.9359794422418</v>
      </c>
      <c r="E8661" s="6" t="n">
        <f aca="false">Sens!E8633</f>
        <v>27.8095064661409</v>
      </c>
      <c r="F8661" s="6" t="n">
        <f aca="false">Sens!F8633</f>
        <v>55.0640065749585</v>
      </c>
      <c r="G8661" s="6" t="n">
        <f aca="false">Sens!G8633</f>
        <v>89.4505413190538</v>
      </c>
      <c r="H8661" s="6" t="n">
        <f aca="false">Sens!H8633</f>
        <v>124.835630736874</v>
      </c>
      <c r="I8661" s="6" t="n">
        <f aca="false">Sens!I8633</f>
        <v>160.384516075608</v>
      </c>
      <c r="J8661" s="6" t="n">
        <f aca="false">Sens!J8633</f>
        <v>196.019025664981</v>
      </c>
      <c r="K8661" s="6" t="n">
        <f aca="false">Sens!K8633</f>
        <v>231.703903883012</v>
      </c>
    </row>
    <row r="8662" customFormat="false" ht="17.15" hidden="false" customHeight="false" outlineLevel="0" collapsed="false">
      <c r="A8662" s="0" t="s">
        <v>807</v>
      </c>
      <c r="B8662" s="0" t="s">
        <v>95</v>
      </c>
      <c r="D8662" s="6" t="n">
        <f aca="false">Sens!D8634</f>
        <v>59.6740205577583</v>
      </c>
      <c r="E8662" s="6" t="n">
        <f aca="false">Sens!E8634</f>
        <v>74.1284935338591</v>
      </c>
      <c r="F8662" s="6" t="n">
        <f aca="false">Sens!F8634</f>
        <v>90.0799497373663</v>
      </c>
      <c r="G8662" s="6" t="n">
        <f aca="false">Sens!G8634</f>
        <v>107.02842520331</v>
      </c>
      <c r="H8662" s="6" t="n">
        <f aca="false">Sens!H8634</f>
        <v>124.271982585636</v>
      </c>
      <c r="I8662" s="6" t="n">
        <f aca="false">Sens!I8634</f>
        <v>140.933702381855</v>
      </c>
      <c r="J8662" s="6" t="n">
        <f aca="false">Sens!J8634</f>
        <v>156.018867314332</v>
      </c>
      <c r="K8662" s="6" t="n">
        <f aca="false">Sens!K8634</f>
        <v>168.500376699478</v>
      </c>
    </row>
    <row r="8663" customFormat="false" ht="15" hidden="false" customHeight="false" outlineLevel="0" collapsed="false">
      <c r="A8663" s="0" t="s">
        <v>788</v>
      </c>
      <c r="B8663" s="0" t="s">
        <v>95</v>
      </c>
      <c r="D8663" s="6" t="n">
        <f aca="false">Sens!D8641</f>
        <v>84.605</v>
      </c>
      <c r="E8663" s="6" t="n">
        <f aca="false">Sens!E8641</f>
        <v>100.299</v>
      </c>
      <c r="F8663" s="6" t="n">
        <f aca="false">Sens!F8641</f>
        <v>118.89238776686</v>
      </c>
      <c r="G8663" s="6" t="n">
        <f aca="false">Sens!G8641</f>
        <v>137.044168448684</v>
      </c>
      <c r="H8663" s="6" t="n">
        <f aca="false">Sens!H8641</f>
        <v>155.277359388781</v>
      </c>
      <c r="I8663" s="6" t="n">
        <f aca="false">Sens!I8641</f>
        <v>171.834028071957</v>
      </c>
      <c r="J8663" s="6" t="n">
        <f aca="false">Sens!J8641</f>
        <v>186.432702785465</v>
      </c>
      <c r="K8663" s="6" t="n">
        <f aca="false">Sens!K8641</f>
        <v>200.277991980448</v>
      </c>
    </row>
    <row r="8664" customFormat="false" ht="17.15" hidden="false" customHeight="false" outlineLevel="0" collapsed="false">
      <c r="A8664" s="0" t="s">
        <v>808</v>
      </c>
      <c r="B8664" s="0" t="s">
        <v>95</v>
      </c>
      <c r="D8664" s="6" t="n">
        <f aca="false">Sens!D8639</f>
        <v>83.705</v>
      </c>
      <c r="E8664" s="6" t="n">
        <f aca="false">Sens!E8639</f>
        <v>95.049</v>
      </c>
      <c r="F8664" s="6" t="n">
        <f aca="false">Sens!F8639</f>
        <v>106.89238776686</v>
      </c>
      <c r="G8664" s="6" t="n">
        <f aca="false">Sens!G8639</f>
        <v>119.044168448684</v>
      </c>
      <c r="H8664" s="6" t="n">
        <f aca="false">Sens!H8639</f>
        <v>131.277359388781</v>
      </c>
      <c r="I8664" s="6" t="n">
        <f aca="false">Sens!I8639</f>
        <v>143.334028071957</v>
      </c>
      <c r="J8664" s="6" t="n">
        <f aca="false">Sens!J8639</f>
        <v>154.932702785465</v>
      </c>
      <c r="K8664" s="6" t="n">
        <f aca="false">Sens!K8639</f>
        <v>165.777991980448</v>
      </c>
    </row>
    <row r="8665" customFormat="false" ht="17.15" hidden="false" customHeight="false" outlineLevel="0" collapsed="false">
      <c r="A8665" s="0" t="s">
        <v>809</v>
      </c>
      <c r="B8665" s="0" t="s">
        <v>95</v>
      </c>
      <c r="D8665" s="6" t="n">
        <f aca="false">Sens!D8638</f>
        <v>0.9</v>
      </c>
      <c r="E8665" s="6" t="n">
        <f aca="false">Sens!E8638</f>
        <v>5.25</v>
      </c>
      <c r="F8665" s="6" t="n">
        <f aca="false">Sens!F8638</f>
        <v>12</v>
      </c>
      <c r="G8665" s="6" t="n">
        <f aca="false">Sens!G8638</f>
        <v>18</v>
      </c>
      <c r="H8665" s="6" t="n">
        <f aca="false">Sens!H8638</f>
        <v>24</v>
      </c>
      <c r="I8665" s="6" t="n">
        <f aca="false">Sens!I8638</f>
        <v>28.5</v>
      </c>
      <c r="J8665" s="6" t="n">
        <f aca="false">Sens!J8638</f>
        <v>31.5</v>
      </c>
      <c r="K8665" s="6" t="n">
        <f aca="false">Sens!K8638</f>
        <v>34.5</v>
      </c>
    </row>
    <row r="8666" customFormat="false" ht="15" hidden="false" customHeight="false" outlineLevel="0" collapsed="false">
      <c r="A8666" s="0" t="s">
        <v>789</v>
      </c>
      <c r="B8666" s="0" t="s">
        <v>95</v>
      </c>
      <c r="D8666" s="6" t="n">
        <f aca="false">Sens!D8642</f>
        <v>35.391</v>
      </c>
      <c r="E8666" s="6" t="n">
        <f aca="false">Sens!E8642</f>
        <v>37.285</v>
      </c>
      <c r="F8666" s="6" t="n">
        <f aca="false">Sens!F8642</f>
        <v>39.0720834331704</v>
      </c>
      <c r="G8666" s="6" t="n">
        <f aca="false">Sens!G8642</f>
        <v>40.726562953769</v>
      </c>
      <c r="H8666" s="6" t="n">
        <f aca="false">Sens!H8642</f>
        <v>42.2235987259198</v>
      </c>
      <c r="I8666" s="6" t="n">
        <f aca="false">Sens!I8642</f>
        <v>43.5397988077414</v>
      </c>
      <c r="J8666" s="6" t="n">
        <f aca="false">Sens!J8642</f>
        <v>44.653811225693</v>
      </c>
      <c r="K8666" s="6" t="n">
        <f aca="false">Sens!K8642</f>
        <v>45.5468874502068</v>
      </c>
    </row>
    <row r="8667" customFormat="false" ht="15" hidden="false" customHeight="false" outlineLevel="0" collapsed="false">
      <c r="A8667" s="0" t="s">
        <v>790</v>
      </c>
      <c r="B8667" s="0" t="s">
        <v>95</v>
      </c>
      <c r="D8667" s="6" t="n">
        <f aca="false">Sens!D8644</f>
        <v>18.417</v>
      </c>
      <c r="E8667" s="6" t="n">
        <f aca="false">Sens!E8644</f>
        <v>20.345</v>
      </c>
      <c r="F8667" s="6" t="n">
        <f aca="false">Sens!F8644</f>
        <v>22.3572203267814</v>
      </c>
      <c r="G8667" s="6" t="n">
        <f aca="false">Sens!G8644</f>
        <v>24.4392124437232</v>
      </c>
      <c r="H8667" s="6" t="n">
        <f aca="false">Sens!H8644</f>
        <v>26.5738052080665</v>
      </c>
      <c r="I8667" s="6" t="n">
        <f aca="false">Sens!I8644</f>
        <v>28.7412169166967</v>
      </c>
      <c r="J8667" s="6" t="n">
        <f aca="false">Sens!J8644</f>
        <v>30.9192545395413</v>
      </c>
      <c r="K8667" s="6" t="n">
        <f aca="false">Sens!K8644</f>
        <v>33.0836023573092</v>
      </c>
    </row>
    <row r="8668" customFormat="false" ht="15" hidden="false" customHeight="false" outlineLevel="0" collapsed="false">
      <c r="A8668" s="0" t="s">
        <v>791</v>
      </c>
      <c r="B8668" s="0" t="s">
        <v>95</v>
      </c>
      <c r="D8668" s="6" t="n">
        <f aca="false">Sens!D8646</f>
        <v>7.76</v>
      </c>
      <c r="E8668" s="6" t="n">
        <f aca="false">Sens!E8646</f>
        <v>8.26</v>
      </c>
      <c r="F8668" s="6" t="n">
        <f aca="false">Sens!F8646</f>
        <v>8.79988041237113</v>
      </c>
      <c r="G8668" s="6" t="n">
        <f aca="false">Sens!G8646</f>
        <v>9.38321269125306</v>
      </c>
      <c r="H8668" s="6" t="n">
        <f aca="false">Sens!H8646</f>
        <v>10.0139193587476</v>
      </c>
      <c r="I8668" s="6" t="n">
        <f aca="false">Sens!I8646</f>
        <v>10.6963111830911</v>
      </c>
      <c r="J8668" s="6" t="n">
        <f aca="false">Sens!J8646</f>
        <v>11.4351285534696</v>
      </c>
      <c r="K8668" s="6" t="n">
        <f aca="false">Sens!K8646</f>
        <v>12.2355875522124</v>
      </c>
    </row>
    <row r="8669" customFormat="false" ht="15" hidden="false" customHeight="false" outlineLevel="0" collapsed="false">
      <c r="A8669" s="0" t="s">
        <v>626</v>
      </c>
      <c r="B8669" s="0" t="s">
        <v>95</v>
      </c>
      <c r="D8669" s="6" t="n">
        <f aca="false">Sens!D8648</f>
        <v>218.783</v>
      </c>
      <c r="E8669" s="6" t="n">
        <f aca="false">Sens!E8648</f>
        <v>268.127</v>
      </c>
      <c r="F8669" s="6" t="n">
        <f aca="false">Sens!F8648</f>
        <v>334.265528251508</v>
      </c>
      <c r="G8669" s="6" t="n">
        <f aca="false">Sens!G8648</f>
        <v>408.072123059793</v>
      </c>
      <c r="H8669" s="6" t="n">
        <f aca="false">Sens!H8648</f>
        <v>483.196296004025</v>
      </c>
      <c r="I8669" s="6" t="n">
        <f aca="false">Sens!I8648</f>
        <v>556.129573436949</v>
      </c>
      <c r="J8669" s="6" t="n">
        <f aca="false">Sens!J8648</f>
        <v>625.478790083482</v>
      </c>
      <c r="K8669" s="6" t="n">
        <f aca="false">Sens!K8648</f>
        <v>691.348349922667</v>
      </c>
    </row>
    <row r="8670" customFormat="false" ht="15" hidden="false" customHeight="false" outlineLevel="0" collapsed="false">
      <c r="A8670" s="0" t="s">
        <v>792</v>
      </c>
      <c r="B8670" s="0" t="s">
        <v>95</v>
      </c>
      <c r="D8670" s="6" t="n">
        <f aca="false">Sens!D8649</f>
        <v>22.171</v>
      </c>
      <c r="E8670" s="6" t="n">
        <f aca="false">Sens!E8649</f>
        <v>24.835</v>
      </c>
      <c r="F8670" s="6" t="n">
        <f aca="false">Sens!F8649</f>
        <v>27.6114901218559</v>
      </c>
      <c r="G8670" s="6" t="n">
        <f aca="false">Sens!G8649</f>
        <v>30.4675667338515</v>
      </c>
      <c r="H8670" s="6" t="n">
        <f aca="false">Sens!H8649</f>
        <v>33.3643766955789</v>
      </c>
      <c r="I8670" s="6" t="n">
        <f aca="false">Sens!I8649</f>
        <v>36.2577016533691</v>
      </c>
      <c r="J8670" s="6" t="n">
        <f aca="false">Sens!J8649</f>
        <v>39.0988367952171</v>
      </c>
      <c r="K8670" s="6" t="n">
        <f aca="false">Sens!K8649</f>
        <v>41.8357553708823</v>
      </c>
    </row>
    <row r="8671" customFormat="false" ht="15" hidden="false" customHeight="false" outlineLevel="0" collapsed="false">
      <c r="A8671" s="0" t="s">
        <v>793</v>
      </c>
      <c r="B8671" s="0" t="s">
        <v>95</v>
      </c>
      <c r="D8671" s="6" t="n">
        <f aca="false">Sens!D8651</f>
        <v>23.455</v>
      </c>
      <c r="E8671" s="6" t="n">
        <f aca="false">Sens!E8651</f>
        <v>21.79</v>
      </c>
      <c r="F8671" s="6" t="n">
        <f aca="false">Sens!F8651</f>
        <v>20.4283611241384</v>
      </c>
      <c r="G8671" s="6" t="n">
        <f aca="false">Sens!G8651</f>
        <v>19.3254067185857</v>
      </c>
      <c r="H8671" s="6" t="n">
        <f aca="false">Sens!H8651</f>
        <v>18.446226363051</v>
      </c>
      <c r="I8671" s="6" t="n">
        <f aca="false">Sens!I8651</f>
        <v>17.7637959435485</v>
      </c>
      <c r="J8671" s="6" t="n">
        <f aca="false">Sens!J8651</f>
        <v>17.2575662581111</v>
      </c>
      <c r="K8671" s="6" t="n">
        <f aca="false">Sens!K8651</f>
        <v>16.9124149329489</v>
      </c>
    </row>
    <row r="8672" customFormat="false" ht="15" hidden="false" customHeight="false" outlineLevel="0" collapsed="false">
      <c r="A8672" s="0" t="s">
        <v>794</v>
      </c>
      <c r="B8672" s="0" t="s">
        <v>95</v>
      </c>
      <c r="D8672" s="6" t="n">
        <f aca="false">Sens!D8653</f>
        <v>17.315</v>
      </c>
      <c r="E8672" s="6" t="n">
        <f aca="false">Sens!E8653</f>
        <v>17.087</v>
      </c>
      <c r="F8672" s="6" t="n">
        <f aca="false">Sens!F8653</f>
        <v>16.9564585436519</v>
      </c>
      <c r="G8672" s="6" t="n">
        <f aca="false">Sens!G8653</f>
        <v>16.9206490624268</v>
      </c>
      <c r="H8672" s="6" t="n">
        <f aca="false">Sens!H8653</f>
        <v>16.9784519149849</v>
      </c>
      <c r="I8672" s="6" t="n">
        <f aca="false">Sens!I8653</f>
        <v>17.1303084701817</v>
      </c>
      <c r="J8672" s="6" t="n">
        <f aca="false">Sens!J8653</f>
        <v>17.3782189407267</v>
      </c>
      <c r="K8672" s="6" t="n">
        <f aca="false">Sens!K8653</f>
        <v>17.7257833195413</v>
      </c>
    </row>
    <row r="8673" customFormat="false" ht="15" hidden="false" customHeight="false" outlineLevel="0" collapsed="false">
      <c r="A8673" s="0" t="s">
        <v>640</v>
      </c>
      <c r="B8673" s="0" t="s">
        <v>95</v>
      </c>
      <c r="D8673" s="6" t="n">
        <f aca="false">Sens!D8655</f>
        <v>62.941</v>
      </c>
      <c r="E8673" s="6" t="n">
        <f aca="false">Sens!E8655</f>
        <v>63.712</v>
      </c>
      <c r="F8673" s="6" t="n">
        <f aca="false">Sens!F8655</f>
        <v>64.9963097896462</v>
      </c>
      <c r="G8673" s="6" t="n">
        <f aca="false">Sens!G8655</f>
        <v>66.7136225148641</v>
      </c>
      <c r="H8673" s="6" t="n">
        <f aca="false">Sens!H8655</f>
        <v>68.7890549736148</v>
      </c>
      <c r="I8673" s="6" t="n">
        <f aca="false">Sens!I8655</f>
        <v>71.1518060670993</v>
      </c>
      <c r="J8673" s="6" t="n">
        <f aca="false">Sens!J8655</f>
        <v>73.7346219940549</v>
      </c>
      <c r="K8673" s="6" t="n">
        <f aca="false">Sens!K8655</f>
        <v>76.4739536233724</v>
      </c>
    </row>
    <row r="8674" customFormat="false" ht="15" hidden="false" customHeight="false" outlineLevel="0" collapsed="false">
      <c r="A8674" s="1" t="s">
        <v>810</v>
      </c>
      <c r="B8674" s="0" t="s">
        <v>95</v>
      </c>
      <c r="D8674" s="6" t="n">
        <f aca="false">Sens!D8656</f>
        <v>281.724</v>
      </c>
      <c r="E8674" s="6" t="n">
        <f aca="false">Sens!E8656</f>
        <v>331.839</v>
      </c>
      <c r="F8674" s="6" t="n">
        <f aca="false">Sens!F8656</f>
        <v>399.261838041154</v>
      </c>
      <c r="G8674" s="6" t="n">
        <f aca="false">Sens!G8656</f>
        <v>474.785745574657</v>
      </c>
      <c r="H8674" s="6" t="n">
        <f aca="false">Sens!H8656</f>
        <v>551.98535097764</v>
      </c>
      <c r="I8674" s="6" t="n">
        <f aca="false">Sens!I8656</f>
        <v>627.281379504049</v>
      </c>
      <c r="J8674" s="6" t="n">
        <f aca="false">Sens!J8656</f>
        <v>699.213412077537</v>
      </c>
      <c r="K8674" s="6" t="n">
        <f aca="false">Sens!K8656</f>
        <v>767.822303546039</v>
      </c>
    </row>
    <row r="8675" customFormat="false" ht="15" hidden="false" customHeight="false" outlineLevel="0" collapsed="false">
      <c r="A8675" s="1" t="s">
        <v>811</v>
      </c>
      <c r="B8675" s="0" t="s">
        <v>126</v>
      </c>
      <c r="E8675" s="7" t="n">
        <f aca="false">Sens!E8674/Sens!D8674-1</f>
        <v>0.177886867998467</v>
      </c>
      <c r="F8675" s="7" t="n">
        <f aca="false">Sens!F8674/Sens!E8674-1</f>
        <v>0.203179367226739</v>
      </c>
      <c r="G8675" s="7" t="n">
        <f aca="false">Sens!G8674/Sens!F8674-1</f>
        <v>0.189158843489867</v>
      </c>
      <c r="H8675" s="7" t="n">
        <f aca="false">Sens!H8674/Sens!G8674-1</f>
        <v>0.162598827202666</v>
      </c>
      <c r="I8675" s="7" t="n">
        <f aca="false">Sens!I8674/Sens!H8674-1</f>
        <v>0.136409468825667</v>
      </c>
      <c r="J8675" s="7" t="n">
        <f aca="false">Sens!J8674/Sens!I8674-1</f>
        <v>0.114672673099845</v>
      </c>
      <c r="K8675" s="7" t="n">
        <f aca="false">Sens!K8674/Sens!J8674-1</f>
        <v>0.0981229625796916</v>
      </c>
    </row>
    <row r="8676" customFormat="false" ht="17.15" hidden="false" customHeight="false" outlineLevel="0" collapsed="false">
      <c r="A8676" s="22" t="s">
        <v>812</v>
      </c>
      <c r="B8676" s="28" t="s">
        <v>95</v>
      </c>
      <c r="C8676" s="28"/>
      <c r="D8676" s="23" t="n">
        <f aca="false">(Sens!D8669+Sens!D8673-Sens!D8674)+(Sens!D8661+Sens!D8662-Sens!D8660)+(Sens!D8664+Sens!D8665-Sens!D8663)+(Sens!D8674-Q!L18)</f>
        <v>0</v>
      </c>
      <c r="E8676" s="23" t="n">
        <f aca="false">(Sens!E8669+Sens!E8673-Sens!E8674)+(Sens!E8661+Sens!E8662-Sens!E8660)+(Sens!E8664+Sens!E8665-Sens!E8663)+(Sens!E8674-Q!M18)</f>
        <v>0</v>
      </c>
      <c r="F8676" s="23" t="n">
        <f aca="false">(Sens!F8669+Sens!F8673-Sens!F8674)+(Sens!F8661+Sens!F8662-Sens!F8660)+(Sens!F8664+Sens!F8665-Sens!F8663)</f>
        <v>0</v>
      </c>
      <c r="G8676" s="23" t="n">
        <f aca="false">(Sens!G8669+Sens!G8673-Sens!G8674)+(Sens!G8661+Sens!G8662-Sens!G8660)+(Sens!G8664+Sens!G8665-Sens!G8663)</f>
        <v>0</v>
      </c>
      <c r="H8676" s="23" t="n">
        <f aca="false">(Sens!H8669+Sens!H8673-Sens!H8674)+(Sens!H8661+Sens!H8662-Sens!H8660)+(Sens!H8664+Sens!H8665-Sens!H8663)</f>
        <v>0</v>
      </c>
      <c r="I8676" s="23" t="n">
        <f aca="false">(Sens!I8669+Sens!I8673-Sens!I8674)+(Sens!I8661+Sens!I8662-Sens!I8660)+(Sens!I8664+Sens!I8665-Sens!I8663)</f>
        <v>0</v>
      </c>
      <c r="J8676" s="23" t="n">
        <f aca="false">(Sens!J8669+Sens!J8673-Sens!J8674)+(Sens!J8661+Sens!J8662-Sens!J8660)+(Sens!J8664+Sens!J8665-Sens!J8663)</f>
        <v>0</v>
      </c>
      <c r="K8676" s="23" t="n">
        <f aca="false">(Sens!K8669+Sens!K8673-Sens!K8674)+(Sens!K8661+Sens!K8662-Sens!K8660)+(Sens!K8664+Sens!K8665-Sens!K8663)</f>
        <v>0</v>
      </c>
    </row>
    <row r="8677" customFormat="false" ht="17.15" hidden="false" customHeight="false" outlineLevel="0" collapsed="false">
      <c r="A8677" s="0" t="s">
        <v>813</v>
      </c>
      <c r="B8677" s="0" t="s">
        <v>126</v>
      </c>
      <c r="E8677" s="7" t="n">
        <f aca="false">(Q!M21+Sens!E8614+Sens!E8615+Sens!E8616+Sens!E8629-Sens!E8612)/(Q!M5-Sens!E8612)</f>
        <v>0.570957350878296</v>
      </c>
      <c r="F8677" s="7" t="n">
        <f aca="false">Sens!$E$8677+dm_seg</f>
        <v>0.570957350878296</v>
      </c>
      <c r="G8677" s="7" t="n">
        <f aca="false">Sens!$E$8677+dm_seg</f>
        <v>0.570957350878296</v>
      </c>
      <c r="H8677" s="7" t="n">
        <f aca="false">Sens!$E$8677+dm_seg</f>
        <v>0.570957350878296</v>
      </c>
      <c r="I8677" s="7" t="n">
        <f aca="false">Sens!$E$8677+dm_seg</f>
        <v>0.570957350878296</v>
      </c>
      <c r="J8677" s="7" t="n">
        <f aca="false">Sens!$E$8677+dm_seg</f>
        <v>0.570957350878296</v>
      </c>
      <c r="K8677" s="7" t="n">
        <f aca="false">Sens!$E$8677+dm_seg</f>
        <v>0.570957350878296</v>
      </c>
      <c r="L8677" s="11" t="s">
        <v>814</v>
      </c>
    </row>
    <row r="8678" customFormat="false" ht="17.15" hidden="false" customHeight="false" outlineLevel="0" collapsed="false">
      <c r="A8678" s="0" t="s">
        <v>654</v>
      </c>
      <c r="B8678" s="0" t="s">
        <v>95</v>
      </c>
      <c r="D8678" s="6" t="n">
        <f aca="false">Q!L21</f>
        <v>110.814</v>
      </c>
      <c r="E8678" s="6" t="n">
        <f aca="false">Q!M21</f>
        <v>136.365</v>
      </c>
      <c r="F8678" s="6" t="n">
        <f aca="false">Sens!F8677*(Sens!F8648-Sens!F8612)+Sens!F8612-(Sens!F8614+Sens!F8615+Sens!F8616)-Sens!F8629</f>
        <v>157.597772753779</v>
      </c>
      <c r="G8678" s="6" t="n">
        <f aca="false">Sens!G8677*(Sens!G8648-Sens!G8612)+Sens!G8612-(Sens!G8614+Sens!G8615+Sens!G8616)-Sens!G8629</f>
        <v>177.179998033313</v>
      </c>
      <c r="H8678" s="6" t="n">
        <f aca="false">Sens!H8677*(Sens!H8648-Sens!H8612)+Sens!H8612-(Sens!H8614+Sens!H8615+Sens!H8616)-Sens!H8629</f>
        <v>196.821828255292</v>
      </c>
      <c r="I8678" s="6" t="n">
        <f aca="false">Sens!I8677*(Sens!I8648-Sens!I8612)+Sens!I8612-(Sens!I8614+Sens!I8615+Sens!I8616)-Sens!I8629</f>
        <v>214.232924886837</v>
      </c>
      <c r="J8678" s="6" t="n">
        <f aca="false">Sens!J8677*(Sens!J8648-Sens!J8612)+Sens!J8612-(Sens!J8614+Sens!J8615+Sens!J8616)-Sens!J8629</f>
        <v>228.646071496126</v>
      </c>
      <c r="K8678" s="6" t="n">
        <f aca="false">Sens!K8677*(Sens!K8648-Sens!K8612)+Sens!K8612-(Sens!K8614+Sens!K8615+Sens!K8616)-Sens!K8629</f>
        <v>239.797067473206</v>
      </c>
      <c r="L8678" s="1" t="s">
        <v>815</v>
      </c>
    </row>
    <row r="8679" customFormat="false" ht="17.15" hidden="false" customHeight="false" outlineLevel="0" collapsed="false">
      <c r="A8679" s="0" t="s">
        <v>816</v>
      </c>
      <c r="B8679" s="0" t="s">
        <v>126</v>
      </c>
      <c r="E8679" s="7" t="n">
        <f aca="false">Q!M22/Q!M12</f>
        <v>0.296207935710698</v>
      </c>
      <c r="F8679" s="7" t="n">
        <f aca="false">Sens!$E$8679+dm_seg</f>
        <v>0.296207935710698</v>
      </c>
      <c r="G8679" s="7" t="n">
        <f aca="false">Sens!$E$8679+dm_seg</f>
        <v>0.296207935710698</v>
      </c>
      <c r="H8679" s="7" t="n">
        <f aca="false">Sens!$E$8679+dm_seg</f>
        <v>0.296207935710698</v>
      </c>
      <c r="I8679" s="7" t="n">
        <f aca="false">Sens!$E$8679+dm_seg</f>
        <v>0.296207935710698</v>
      </c>
      <c r="J8679" s="7" t="n">
        <f aca="false">Sens!$E$8679+dm_seg</f>
        <v>0.296207935710698</v>
      </c>
      <c r="K8679" s="7" t="n">
        <f aca="false">Sens!$E$8679+dm_seg</f>
        <v>0.296207935710698</v>
      </c>
      <c r="L8679" s="11" t="s">
        <v>817</v>
      </c>
    </row>
    <row r="8680" customFormat="false" ht="17.15" hidden="false" customHeight="false" outlineLevel="0" collapsed="false">
      <c r="A8680" s="0" t="s">
        <v>656</v>
      </c>
      <c r="B8680" s="0" t="s">
        <v>95</v>
      </c>
      <c r="D8680" s="6" t="n">
        <f aca="false">Q!L22</f>
        <v>17.714</v>
      </c>
      <c r="E8680" s="6" t="n">
        <f aca="false">Q!M22</f>
        <v>18.872</v>
      </c>
      <c r="F8680" s="6" t="n">
        <f aca="false">Sens!F8655*Sens!F8679</f>
        <v>19.2524227516042</v>
      </c>
      <c r="G8680" s="6" t="n">
        <f aca="false">Sens!G8655*Sens!G8679</f>
        <v>19.7611044089106</v>
      </c>
      <c r="H8680" s="6" t="n">
        <f aca="false">Sens!H8655*Sens!H8679</f>
        <v>20.3758639732242</v>
      </c>
      <c r="I8680" s="6" t="n">
        <f aca="false">Sens!I8655*Sens!I8679</f>
        <v>21.0757295972234</v>
      </c>
      <c r="J8680" s="6" t="n">
        <f aca="false">Sens!J8655*Sens!J8679</f>
        <v>21.8407801712676</v>
      </c>
      <c r="K8680" s="6" t="n">
        <f aca="false">Sens!K8655*Sens!K8679</f>
        <v>22.6521919384148</v>
      </c>
    </row>
    <row r="8681" customFormat="false" ht="15" hidden="false" customHeight="false" outlineLevel="0" collapsed="false">
      <c r="A8681" s="1" t="s">
        <v>818</v>
      </c>
      <c r="B8681" s="0" t="s">
        <v>95</v>
      </c>
      <c r="D8681" s="6" t="n">
        <f aca="false">Sens!D8678+Sens!D8680</f>
        <v>128.528</v>
      </c>
      <c r="E8681" s="6" t="n">
        <f aca="false">Sens!E8678+Sens!E8680</f>
        <v>155.237</v>
      </c>
      <c r="F8681" s="6" t="n">
        <f aca="false">Sens!F8678+Sens!F8680</f>
        <v>176.850195505383</v>
      </c>
      <c r="G8681" s="6" t="n">
        <f aca="false">Sens!G8678+Sens!G8680</f>
        <v>196.941102442224</v>
      </c>
      <c r="H8681" s="6" t="n">
        <f aca="false">Sens!H8678+Sens!H8680</f>
        <v>217.197692228517</v>
      </c>
      <c r="I8681" s="6" t="n">
        <f aca="false">Sens!I8678+Sens!I8680</f>
        <v>235.30865448406</v>
      </c>
      <c r="J8681" s="6" t="n">
        <f aca="false">Sens!J8678+Sens!J8680</f>
        <v>250.486851667394</v>
      </c>
      <c r="K8681" s="6" t="n">
        <f aca="false">Sens!K8678+Sens!K8680</f>
        <v>262.44925941162</v>
      </c>
    </row>
    <row r="8682" customFormat="false" ht="15" hidden="false" customHeight="false" outlineLevel="0" collapsed="false">
      <c r="A8682" s="22" t="s">
        <v>819</v>
      </c>
      <c r="B8682" s="28" t="s">
        <v>95</v>
      </c>
      <c r="C8682" s="28"/>
      <c r="D8682" s="23" t="n">
        <f aca="false">Sens!D8681-Q!L23</f>
        <v>0</v>
      </c>
      <c r="E8682" s="23" t="n">
        <f aca="false">Sens!E8681-Q!M23</f>
        <v>0</v>
      </c>
      <c r="F8682" s="28"/>
      <c r="G8682" s="28"/>
      <c r="H8682" s="28"/>
      <c r="I8682" s="28"/>
      <c r="J8682" s="28"/>
      <c r="K8682" s="28"/>
    </row>
    <row r="8683" customFormat="false" ht="15" hidden="false" customHeight="false" outlineLevel="0" collapsed="false">
      <c r="A8683" s="1" t="s">
        <v>820</v>
      </c>
      <c r="B8683" s="0" t="s">
        <v>126</v>
      </c>
      <c r="D8683" s="7" t="n">
        <f aca="false">Sens!D8681/Sens!D8674</f>
        <v>0.456219562408598</v>
      </c>
      <c r="E8683" s="7" t="n">
        <f aca="false">Sens!E8681/Sens!E8674</f>
        <v>0.467808184089272</v>
      </c>
      <c r="F8683" s="7" t="n">
        <f aca="false">Sens!F8681/Sens!F8674</f>
        <v>0.44294289775612</v>
      </c>
      <c r="G8683" s="7" t="n">
        <f aca="false">Sens!G8681/Sens!G8674</f>
        <v>0.414799947719273</v>
      </c>
      <c r="H8683" s="7" t="n">
        <f aca="false">Sens!H8681/Sens!H8674</f>
        <v>0.393484522449428</v>
      </c>
      <c r="I8683" s="7" t="n">
        <f aca="false">Sens!I8681/Sens!I8674</f>
        <v>0.375124564784792</v>
      </c>
      <c r="J8683" s="7" t="n">
        <f aca="false">Sens!J8681/Sens!J8674</f>
        <v>0.358240913776433</v>
      </c>
      <c r="K8683" s="7" t="n">
        <f aca="false">Sens!K8681/Sens!K8674</f>
        <v>0.34180989299158</v>
      </c>
    </row>
    <row r="8684" customFormat="false" ht="17.15" hidden="false" customHeight="false" outlineLevel="0" collapsed="false">
      <c r="A8684" s="1" t="s">
        <v>821</v>
      </c>
      <c r="B8684" s="0" t="s">
        <v>95</v>
      </c>
      <c r="E8684" s="6" t="n">
        <f aca="false">Sens!E8629</f>
        <v>16.3054059770833</v>
      </c>
      <c r="F8684" s="6" t="n">
        <f aca="false">Sens!F8629</f>
        <v>34.7408986225365</v>
      </c>
      <c r="G8684" s="6" t="n">
        <f aca="false">Sens!G8629</f>
        <v>60.5074595936729</v>
      </c>
      <c r="H8684" s="6" t="n">
        <f aca="false">Sens!H8629</f>
        <v>87.7430423264729</v>
      </c>
      <c r="I8684" s="6" t="n">
        <f aca="false">Sens!I8629</f>
        <v>115.997908074456</v>
      </c>
      <c r="J8684" s="6" t="n">
        <f aca="false">Sens!J8629</f>
        <v>145.225004291606</v>
      </c>
      <c r="K8684" s="6" t="n">
        <f aca="false">Sens!K8629</f>
        <v>175.739648967923</v>
      </c>
    </row>
    <row r="8685" customFormat="false" ht="17.15" hidden="false" customHeight="false" outlineLevel="0" collapsed="false">
      <c r="A8685" s="1" t="s">
        <v>822</v>
      </c>
      <c r="B8685" s="0" t="s">
        <v>95</v>
      </c>
      <c r="E8685" s="6" t="n">
        <f aca="false">Sens!E8705</f>
        <v>22.2285940229167</v>
      </c>
      <c r="F8685" s="6" t="n">
        <f aca="false">Sens!F8705</f>
        <v>23.5632335435812</v>
      </c>
      <c r="G8685" s="6" t="n">
        <f aca="false">Sens!G8705</f>
        <v>25.3209643305724</v>
      </c>
      <c r="H8685" s="6" t="n">
        <f aca="false">Sens!H8705</f>
        <v>27.4676560118004</v>
      </c>
      <c r="I8685" s="6" t="n">
        <f aca="false">Sens!I8705</f>
        <v>29.9369159035596</v>
      </c>
      <c r="J8685" s="6" t="n">
        <f aca="false">Sens!J8705</f>
        <v>32.6457062752196</v>
      </c>
      <c r="K8685" s="6" t="n">
        <f aca="false">Sens!K8705</f>
        <v>35.5102134636642</v>
      </c>
    </row>
    <row r="8686" customFormat="false" ht="17.15" hidden="false" customHeight="false" outlineLevel="0" collapsed="false">
      <c r="A8686" s="1" t="s">
        <v>823</v>
      </c>
      <c r="B8686" s="0" t="s">
        <v>95</v>
      </c>
      <c r="D8686" s="6" t="n">
        <f aca="false">Q!L27</f>
        <v>-4.901</v>
      </c>
      <c r="E8686" s="6" t="n">
        <f aca="false">Q!M27</f>
        <v>10.697</v>
      </c>
      <c r="F8686" s="6" t="n">
        <f aca="false">oie_f</f>
        <v>-0.4</v>
      </c>
      <c r="G8686" s="6" t="n">
        <f aca="false">oie_f</f>
        <v>-0.4</v>
      </c>
      <c r="H8686" s="6" t="n">
        <f aca="false">oie_f</f>
        <v>-0.4</v>
      </c>
      <c r="I8686" s="6" t="n">
        <f aca="false">oie_f</f>
        <v>-0.4</v>
      </c>
      <c r="J8686" s="6" t="n">
        <f aca="false">oie_f</f>
        <v>-0.4</v>
      </c>
      <c r="K8686" s="6" t="n">
        <f aca="false">oie_f</f>
        <v>-0.4</v>
      </c>
      <c r="L8686" s="11" t="s">
        <v>824</v>
      </c>
    </row>
    <row r="8687" customFormat="false" ht="15" hidden="false" customHeight="false" outlineLevel="0" collapsed="false">
      <c r="A8687" s="1" t="s">
        <v>666</v>
      </c>
      <c r="B8687" s="0" t="s">
        <v>95</v>
      </c>
      <c r="D8687" s="6" t="n">
        <f aca="false">Sens!D8681+Sens!D8686</f>
        <v>123.627</v>
      </c>
      <c r="E8687" s="6" t="n">
        <f aca="false">Sens!E8681+Sens!E8686</f>
        <v>165.934</v>
      </c>
      <c r="F8687" s="6" t="n">
        <f aca="false">Sens!F8681+Sens!F8686</f>
        <v>176.450195505383</v>
      </c>
      <c r="G8687" s="6" t="n">
        <f aca="false">Sens!G8681+Sens!G8686</f>
        <v>196.541102442224</v>
      </c>
      <c r="H8687" s="6" t="n">
        <f aca="false">Sens!H8681+Sens!H8686</f>
        <v>216.797692228517</v>
      </c>
      <c r="I8687" s="6" t="n">
        <f aca="false">Sens!I8681+Sens!I8686</f>
        <v>234.90865448406</v>
      </c>
      <c r="J8687" s="6" t="n">
        <f aca="false">Sens!J8681+Sens!J8686</f>
        <v>250.086851667394</v>
      </c>
      <c r="K8687" s="6" t="n">
        <f aca="false">Sens!K8681+Sens!K8686</f>
        <v>262.04925941162</v>
      </c>
    </row>
    <row r="8688" customFormat="false" ht="15" hidden="false" customHeight="false" outlineLevel="0" collapsed="false">
      <c r="A8688" s="1" t="s">
        <v>668</v>
      </c>
      <c r="B8688" s="0" t="s">
        <v>95</v>
      </c>
      <c r="D8688" s="6" t="n">
        <f aca="false">Q!L29</f>
        <v>21.795</v>
      </c>
      <c r="E8688" s="6" t="n">
        <f aca="false">Q!M29</f>
        <v>32.185</v>
      </c>
      <c r="F8688" s="6" t="n">
        <f aca="false">Sens!F8687*tax_f</f>
        <v>35.2900391010767</v>
      </c>
      <c r="G8688" s="6" t="n">
        <f aca="false">Sens!G8687*tax_f</f>
        <v>39.3082204884447</v>
      </c>
      <c r="H8688" s="6" t="n">
        <f aca="false">Sens!H8687*tax_f</f>
        <v>43.3595384457033</v>
      </c>
      <c r="I8688" s="6" t="n">
        <f aca="false">Sens!I8687*tax_f</f>
        <v>46.981730896812</v>
      </c>
      <c r="J8688" s="6" t="n">
        <f aca="false">Sens!J8687*tax_f</f>
        <v>50.0173703334788</v>
      </c>
      <c r="K8688" s="6" t="n">
        <f aca="false">Sens!K8687*tax_f</f>
        <v>52.4098518823241</v>
      </c>
    </row>
    <row r="8689" customFormat="false" ht="15" hidden="false" customHeight="false" outlineLevel="0" collapsed="false">
      <c r="A8689" s="1" t="s">
        <v>825</v>
      </c>
      <c r="B8689" s="0" t="s">
        <v>95</v>
      </c>
      <c r="D8689" s="6" t="n">
        <f aca="false">Sens!D8687-Sens!D8688</f>
        <v>101.832</v>
      </c>
      <c r="E8689" s="6" t="n">
        <f aca="false">Sens!E8687-Sens!E8688</f>
        <v>133.749</v>
      </c>
      <c r="F8689" s="6" t="n">
        <f aca="false">Sens!F8687-Sens!F8688</f>
        <v>141.160156404307</v>
      </c>
      <c r="G8689" s="6" t="n">
        <f aca="false">Sens!G8687-Sens!G8688</f>
        <v>157.232881953779</v>
      </c>
      <c r="H8689" s="6" t="n">
        <f aca="false">Sens!H8687-Sens!H8688</f>
        <v>173.438153782813</v>
      </c>
      <c r="I8689" s="6" t="n">
        <f aca="false">Sens!I8687-Sens!I8688</f>
        <v>187.926923587248</v>
      </c>
      <c r="J8689" s="6" t="n">
        <f aca="false">Sens!J8687-Sens!J8688</f>
        <v>200.069481333915</v>
      </c>
      <c r="K8689" s="6" t="n">
        <f aca="false">Sens!K8687-Sens!K8688</f>
        <v>209.639407529296</v>
      </c>
    </row>
    <row r="8690" customFormat="false" ht="17.15" hidden="false" customHeight="false" outlineLevel="0" collapsed="false">
      <c r="A8690" s="1" t="s">
        <v>826</v>
      </c>
      <c r="B8690" s="1" t="s">
        <v>79</v>
      </c>
      <c r="D8690" s="18" t="n">
        <f aca="false">Q!L31</f>
        <v>7.465</v>
      </c>
      <c r="E8690" s="18" t="n">
        <f aca="false">Q!M31</f>
        <v>7.453</v>
      </c>
      <c r="F8690" s="18" t="n">
        <f aca="false">Sens!F8727</f>
        <v>7.4735</v>
      </c>
      <c r="G8690" s="18" t="n">
        <f aca="false">Sens!G8727</f>
        <v>7.51804509133581</v>
      </c>
      <c r="H8690" s="18" t="n">
        <f aca="false">Sens!H8727</f>
        <v>7.54534176852156</v>
      </c>
      <c r="I8690" s="18" t="n">
        <f aca="false">Sens!I8727</f>
        <v>7.55712260052888</v>
      </c>
      <c r="J8690" s="18" t="n">
        <f aca="false">Sens!J8727</f>
        <v>7.57136411164676</v>
      </c>
      <c r="K8690" s="18" t="n">
        <f aca="false">Sens!K8727</f>
        <v>7.5878840293485</v>
      </c>
    </row>
    <row r="8691" customFormat="false" ht="17.15" hidden="false" customHeight="false" outlineLevel="0" collapsed="false">
      <c r="A8691" s="0" t="s">
        <v>827</v>
      </c>
      <c r="B8691" s="0" t="s">
        <v>73</v>
      </c>
      <c r="D8691" s="8" t="n">
        <f aca="false">Sens!D8689/Sens!D8690</f>
        <v>13.641259209645</v>
      </c>
      <c r="E8691" s="8" t="n">
        <f aca="false">Sens!E8689/Sens!E8690</f>
        <v>17.9456594659869</v>
      </c>
      <c r="F8691" s="8" t="n">
        <f aca="false">Sens!F8689/Sens!F8690</f>
        <v>18.8880921127058</v>
      </c>
      <c r="G8691" s="8" t="n">
        <f aca="false">Sens!G8689/Sens!G8690</f>
        <v>20.9140647659832</v>
      </c>
      <c r="H8691" s="8" t="n">
        <f aca="false">Sens!H8689/Sens!H8690</f>
        <v>22.9861229754205</v>
      </c>
      <c r="I8691" s="8" t="n">
        <f aca="false">Sens!I8689/Sens!I8690</f>
        <v>24.8675234637713</v>
      </c>
      <c r="J8691" s="8" t="n">
        <f aca="false">Sens!J8689/Sens!J8690</f>
        <v>26.4244960860032</v>
      </c>
      <c r="K8691" s="8" t="n">
        <f aca="false">Sens!K8689/Sens!K8690</f>
        <v>27.6281775944981</v>
      </c>
      <c r="L8691" s="1" t="s">
        <v>828</v>
      </c>
    </row>
    <row r="8692" customFormat="false" ht="17.15" hidden="false" customHeight="false" outlineLevel="0" collapsed="false">
      <c r="A8692" s="0" t="s">
        <v>829</v>
      </c>
      <c r="B8692" s="0" t="s">
        <v>126</v>
      </c>
      <c r="E8692" s="7" t="n">
        <f aca="false">Sens!E8691/Sens!D8691-1</f>
        <v>0.315542736208578</v>
      </c>
      <c r="F8692" s="7" t="n">
        <f aca="false">Sens!F8691/Sens!E8691-1</f>
        <v>0.052515910518929</v>
      </c>
      <c r="G8692" s="7" t="n">
        <f aca="false">Sens!G8691/Sens!F8691-1</f>
        <v>0.107261900312024</v>
      </c>
      <c r="H8692" s="7" t="n">
        <f aca="false">Sens!H8691/Sens!G8691-1</f>
        <v>0.0990748681627649</v>
      </c>
      <c r="I8692" s="7" t="n">
        <f aca="false">Sens!I8691/Sens!H8691-1</f>
        <v>0.0818494049806762</v>
      </c>
      <c r="J8692" s="7" t="n">
        <f aca="false">Sens!J8691/Sens!I8691-1</f>
        <v>0.0626106827445145</v>
      </c>
      <c r="K8692" s="7" t="n">
        <f aca="false">Sens!K8691/Sens!J8691-1</f>
        <v>0.0455517299015762</v>
      </c>
    </row>
    <row r="8693" customFormat="false" ht="17.15" hidden="false" customHeight="false" outlineLevel="0" collapsed="false">
      <c r="A8693" s="0" t="s">
        <v>763</v>
      </c>
      <c r="B8693" s="0" t="s">
        <v>95</v>
      </c>
      <c r="E8693" s="6" t="n">
        <f aca="false">Sens!E8638</f>
        <v>5.25</v>
      </c>
      <c r="F8693" s="6" t="n">
        <f aca="false">Sens!F8638</f>
        <v>12</v>
      </c>
      <c r="G8693" s="6" t="n">
        <f aca="false">Sens!G8638</f>
        <v>18</v>
      </c>
      <c r="H8693" s="6" t="n">
        <f aca="false">Sens!H8638</f>
        <v>24</v>
      </c>
      <c r="I8693" s="6" t="n">
        <f aca="false">Sens!I8638</f>
        <v>28.5</v>
      </c>
      <c r="J8693" s="6" t="n">
        <f aca="false">Sens!J8638</f>
        <v>31.5</v>
      </c>
      <c r="K8693" s="6" t="n">
        <f aca="false">Sens!K8638</f>
        <v>34.5</v>
      </c>
    </row>
    <row r="8694" customFormat="false" ht="17.15" hidden="false" customHeight="false" outlineLevel="0" collapsed="false">
      <c r="A8694" s="0" t="s">
        <v>764</v>
      </c>
      <c r="B8694" s="0" t="s">
        <v>95</v>
      </c>
      <c r="E8694" s="6" t="n">
        <f aca="false">Sens!E8618+Sens!E8693*Sens!E8677-Sens!E8619-Sens!E8629</f>
        <v>2.1514866143068</v>
      </c>
      <c r="F8694" s="6" t="n">
        <f aca="false">Sens!F8618+Sens!F8693*Sens!F8677-Sens!F8619-Sens!F8629</f>
        <v>5.03709978668717</v>
      </c>
      <c r="G8694" s="6" t="n">
        <f aca="false">Sens!G8618+Sens!G8693*Sens!G8677-Sens!G8619-Sens!G8629</f>
        <v>5.53789610577738</v>
      </c>
      <c r="H8694" s="6" t="n">
        <f aca="false">Sens!H8618+Sens!H8693*Sens!H8677-Sens!H8619-Sens!H8629</f>
        <v>5.91614857645517</v>
      </c>
      <c r="I8694" s="6" t="n">
        <f aca="false">Sens!I8618+Sens!I8693*Sens!I8677-Sens!I8619-Sens!I8629</f>
        <v>4.55165981265759</v>
      </c>
      <c r="J8694" s="6" t="n">
        <f aca="false">Sens!J8618+Sens!J8693*Sens!J8677-Sens!J8619-Sens!J8629</f>
        <v>1.42801864758846</v>
      </c>
      <c r="K8694" s="6" t="n">
        <f aca="false">Sens!K8618+Sens!K8693*Sens!K8677-Sens!K8619-Sens!K8629</f>
        <v>-2.94227917821618</v>
      </c>
    </row>
    <row r="8695" customFormat="false" ht="17.15" hidden="false" customHeight="false" outlineLevel="0" collapsed="false">
      <c r="A8695" s="0" t="s">
        <v>765</v>
      </c>
      <c r="B8695" s="0" t="s">
        <v>95</v>
      </c>
      <c r="E8695" s="6" t="n">
        <f aca="false">Sens!E8601*(cxit_open+self_build*tk_cxfac)/1000*ai_net_open</f>
        <v>126.6980382</v>
      </c>
      <c r="F8695" s="6" t="n">
        <f aca="false">Sens!E8695+Sens!F8626-Sens!F8629</f>
        <v>260.582150347901</v>
      </c>
      <c r="G8695" s="6" t="n">
        <f aca="false">Sens!F8695+Sens!G8626-Sens!G8629</f>
        <v>383.648871237428</v>
      </c>
      <c r="H8695" s="6" t="n">
        <f aca="false">Sens!G8695+Sens!H8626-Sens!H8629</f>
        <v>483.986114821355</v>
      </c>
      <c r="I8695" s="6" t="n">
        <f aca="false">Sens!H8695+Sens!I8626-Sens!I8629</f>
        <v>586.327168003966</v>
      </c>
      <c r="J8695" s="6" t="n">
        <f aca="false">Sens!I8695+Sens!J8626-Sens!J8629</f>
        <v>674.879224636093</v>
      </c>
      <c r="K8695" s="6" t="n">
        <f aca="false">Sens!J8695+Sens!K8626-Sens!K8629</f>
        <v>777.99588761857</v>
      </c>
      <c r="L8695" s="1" t="s">
        <v>766</v>
      </c>
    </row>
    <row r="8696" customFormat="false" ht="17.15" hidden="false" customHeight="false" outlineLevel="0" collapsed="false">
      <c r="A8696" s="0" t="s">
        <v>767</v>
      </c>
      <c r="B8696" s="0" t="s">
        <v>126</v>
      </c>
      <c r="F8696" s="7" t="n">
        <f aca="false">Sens!F8694*(1-tax_f)/((Sens!E8695+Sens!F8695)/2)</f>
        <v>0.0208101521766912</v>
      </c>
      <c r="G8696" s="7" t="n">
        <f aca="false">Sens!G8694*(1-tax_f)/((Sens!F8695+Sens!G8695)/2)</f>
        <v>0.0137538141945408</v>
      </c>
      <c r="H8696" s="7" t="n">
        <f aca="false">Sens!H8694*(1-tax_f)/((Sens!G8695+Sens!H8695)/2)</f>
        <v>0.0109099308746489</v>
      </c>
      <c r="I8696" s="7" t="n">
        <f aca="false">Sens!I8694*(1-tax_f)/((Sens!H8695+Sens!I8695)/2)</f>
        <v>0.00680422808640477</v>
      </c>
      <c r="J8696" s="7" t="n">
        <f aca="false">Sens!J8694*(1-tax_f)/((Sens!I8695+Sens!J8695)/2)</f>
        <v>0.00181162246677068</v>
      </c>
      <c r="K8696" s="7" t="n">
        <f aca="false">Sens!K8694*(1-tax_f)/((Sens!J8695+Sens!K8695)/2)</f>
        <v>-0.00324022804536879</v>
      </c>
    </row>
    <row r="8697" customFormat="false" ht="17.15" hidden="false" customHeight="false" outlineLevel="0" collapsed="false">
      <c r="A8697" s="1" t="s">
        <v>768</v>
      </c>
      <c r="B8697" s="0" t="s">
        <v>126</v>
      </c>
      <c r="F8697" s="7" t="n">
        <f aca="false">Sens!F8630*(1-tax_f)/(Sens!F8617*(Sens!E8695+Sens!F8695)/2)</f>
        <v>0.128175256579089</v>
      </c>
      <c r="G8697" s="7" t="n">
        <f aca="false">Sens!G8630*(1-tax_f)/(Sens!G8617*(Sens!F8695+Sens!G8695)/2)</f>
        <v>0.12520675674043</v>
      </c>
      <c r="H8697" s="7" t="n">
        <f aca="false">Sens!H8630*(1-tax_f)/(Sens!H8617*(Sens!G8695+Sens!H8695)/2)</f>
        <v>0.130850170166193</v>
      </c>
      <c r="I8697" s="7" t="n">
        <f aca="false">Sens!I8630*(1-tax_f)/(Sens!I8617*(Sens!H8695+Sens!I8695)/2)</f>
        <v>0.135619097676103</v>
      </c>
      <c r="J8697" s="7" t="n">
        <f aca="false">Sens!J8630*(1-tax_f)/(Sens!J8617*(Sens!I8695+Sens!J8695)/2)</f>
        <v>0.139094318808495</v>
      </c>
      <c r="K8697" s="7" t="n">
        <f aca="false">Sens!K8630*(1-tax_f)/(Sens!K8617*(Sens!J8695+Sens!K8695)/2)</f>
        <v>0.140244292600425</v>
      </c>
    </row>
    <row r="8698" customFormat="false" ht="17.15" hidden="false" customHeight="false" outlineLevel="0" collapsed="false">
      <c r="A8698" s="0" t="s">
        <v>769</v>
      </c>
      <c r="B8698" s="0" t="s">
        <v>208</v>
      </c>
      <c r="F8698" s="7" t="n">
        <f aca="false">Sens!F8696-wacc</f>
        <v>-0.0881530689735628</v>
      </c>
      <c r="G8698" s="7" t="n">
        <f aca="false">Sens!G8696-wacc</f>
        <v>-0.0952094069557132</v>
      </c>
      <c r="H8698" s="7" t="n">
        <f aca="false">Sens!H8696-wacc</f>
        <v>-0.0980532902756051</v>
      </c>
      <c r="I8698" s="7" t="n">
        <f aca="false">Sens!I8696-wacc</f>
        <v>-0.102158993063849</v>
      </c>
      <c r="J8698" s="7" t="n">
        <f aca="false">Sens!J8696-wacc</f>
        <v>-0.107151598683483</v>
      </c>
      <c r="K8698" s="7" t="n">
        <f aca="false">Sens!K8696-wacc</f>
        <v>-0.112203449195623</v>
      </c>
    </row>
    <row r="8699" customFormat="false" ht="17.15" hidden="false" customHeight="false" outlineLevel="0" collapsed="false">
      <c r="A8699" s="0" t="s">
        <v>770</v>
      </c>
      <c r="B8699" s="0" t="s">
        <v>95</v>
      </c>
      <c r="F8699" s="6" t="n">
        <f aca="false">Sens!F8694*(1-tax_f)-wacc*(Sens!E8695+Sens!F8695)/2</f>
        <v>-17.0699685865788</v>
      </c>
      <c r="G8699" s="6" t="n">
        <f aca="false">Sens!G8694*(1-tax_f)-wacc*(Sens!F8695+Sens!G8695)/2</f>
        <v>-30.6684267538062</v>
      </c>
      <c r="H8699" s="6" t="n">
        <f aca="false">Sens!H8694*(1-tax_f)-wacc*(Sens!G8695+Sens!H8695)/2</f>
        <v>-42.5372325706462</v>
      </c>
      <c r="I8699" s="6" t="n">
        <f aca="false">Sens!I8694*(1-tax_f)-wacc*(Sens!H8695+Sens!I8695)/2</f>
        <v>-54.6710636181488</v>
      </c>
      <c r="J8699" s="6" t="n">
        <f aca="false">Sens!J8694*(1-tax_f)-wacc*(Sens!I8695+Sens!J8695)/2</f>
        <v>-67.5701406206056</v>
      </c>
      <c r="K8699" s="6" t="n">
        <f aca="false">Sens!K8694*(1-tax_f)-wacc*(Sens!J8695+Sens!K8695)/2</f>
        <v>-81.5087994227254</v>
      </c>
    </row>
    <row r="8700" customFormat="false" ht="17.15" hidden="false" customHeight="false" outlineLevel="0" collapsed="false">
      <c r="A8700" s="1" t="s">
        <v>771</v>
      </c>
      <c r="B8700" s="0" t="s">
        <v>95</v>
      </c>
      <c r="F8700" s="6" t="n">
        <f aca="false">(Sens!E8602+Sens!F8602)/2*Sens!F8609/1000</f>
        <v>26.7873066765967</v>
      </c>
      <c r="G8700" s="6" t="n">
        <f aca="false">(Sens!F8602+Sens!G8602)/2*Sens!G8609/1000</f>
        <v>45.4131817597218</v>
      </c>
      <c r="H8700" s="6" t="n">
        <f aca="false">(Sens!G8602+Sens!H8602)/2*Sens!H8609/1000</f>
        <v>65.3915129357971</v>
      </c>
      <c r="I8700" s="6" t="n">
        <f aca="false">(Sens!H8602+Sens!I8602)/2*Sens!I8609/1000</f>
        <v>85.5187419289299</v>
      </c>
      <c r="J8700" s="6" t="n">
        <f aca="false">(Sens!I8602+Sens!J8602)/2*Sens!J8609/1000</f>
        <v>105.723807195006</v>
      </c>
      <c r="K8700" s="6" t="n">
        <f aca="false">(Sens!J8602+Sens!K8602)/2*Sens!K8609/1000</f>
        <v>125.974659797015</v>
      </c>
      <c r="L8700" s="1" t="s">
        <v>772</v>
      </c>
    </row>
    <row r="8701" customFormat="false" ht="17.15" hidden="false" customHeight="false" outlineLevel="0" collapsed="false">
      <c r="A8701" s="1" t="s">
        <v>773</v>
      </c>
      <c r="B8701" s="0" t="s">
        <v>126</v>
      </c>
      <c r="F8701" s="7" t="n">
        <f aca="false">(Sens!F8618+Sens!F8700-Sens!F8619-Sens!F8629)*(1-tax_f)/((Sens!E8695+Sens!F8695)/2)</f>
        <v>0.103172510203033</v>
      </c>
      <c r="G8701" s="7" t="n">
        <f aca="false">(Sens!G8618+Sens!G8700-Sens!G8619-Sens!G8629)*(1-tax_f)/((Sens!F8695+Sens!G8695)/2)</f>
        <v>0.101016794750676</v>
      </c>
      <c r="H8701" s="7" t="n">
        <f aca="false">(Sens!H8618+Sens!H8700-Sens!H8619-Sens!H8629)*(1-tax_f)/((Sens!G8695+Sens!H8695)/2)</f>
        <v>0.106228422812393</v>
      </c>
      <c r="I8701" s="7" t="n">
        <f aca="false">(Sens!I8618+Sens!I8700-Sens!I8619-Sens!I8629)*(1-tax_f)/((Sens!H8695+Sens!I8695)/2)</f>
        <v>0.110320024502359</v>
      </c>
      <c r="J8701" s="7" t="n">
        <f aca="false">(Sens!J8618+Sens!J8700-Sens!J8619-Sens!J8629)*(1-tax_f)/((Sens!I8695+Sens!J8695)/2)</f>
        <v>0.113119210064614</v>
      </c>
      <c r="K8701" s="7" t="n">
        <f aca="false">(Sens!K8618+Sens!K8700-Sens!K8619-Sens!K8629)*(1-tax_f)/((Sens!J8695+Sens!K8695)/2)</f>
        <v>0.113798468861525</v>
      </c>
      <c r="L8701" s="1" t="s">
        <v>774</v>
      </c>
    </row>
    <row r="8702" customFormat="false" ht="17.15" hidden="false" customHeight="false" outlineLevel="0" collapsed="false">
      <c r="A8702" s="3" t="s">
        <v>1362</v>
      </c>
    </row>
    <row r="8703" customFormat="false" ht="15" hidden="false" customHeight="false" outlineLevel="0" collapsed="false">
      <c r="A8703" s="4" t="s">
        <v>43</v>
      </c>
      <c r="B8703" s="4" t="s">
        <v>63</v>
      </c>
      <c r="C8703" s="19" t="s">
        <v>710</v>
      </c>
      <c r="D8703" s="19" t="s">
        <v>711</v>
      </c>
      <c r="E8703" s="19" t="s">
        <v>712</v>
      </c>
      <c r="F8703" s="19" t="s">
        <v>713</v>
      </c>
      <c r="G8703" s="19" t="s">
        <v>714</v>
      </c>
      <c r="H8703" s="19" t="s">
        <v>715</v>
      </c>
      <c r="I8703" s="19" t="s">
        <v>716</v>
      </c>
      <c r="J8703" s="19" t="s">
        <v>717</v>
      </c>
      <c r="K8703" s="19" t="s">
        <v>718</v>
      </c>
      <c r="L8703" s="4" t="s">
        <v>47</v>
      </c>
    </row>
    <row r="8704" customFormat="false" ht="15" hidden="false" customHeight="false" outlineLevel="0" collapsed="false">
      <c r="A8704" s="1" t="s">
        <v>825</v>
      </c>
      <c r="B8704" s="0" t="s">
        <v>95</v>
      </c>
      <c r="F8704" s="6" t="n">
        <f aca="false">Sens!F8689</f>
        <v>141.160156404307</v>
      </c>
      <c r="G8704" s="6" t="n">
        <f aca="false">Sens!G8689</f>
        <v>157.232881953779</v>
      </c>
      <c r="H8704" s="6" t="n">
        <f aca="false">Sens!H8689</f>
        <v>173.438153782813</v>
      </c>
      <c r="I8704" s="6" t="n">
        <f aca="false">Sens!I8689</f>
        <v>187.926923587248</v>
      </c>
      <c r="J8704" s="6" t="n">
        <f aca="false">Sens!J8689</f>
        <v>200.069481333915</v>
      </c>
      <c r="K8704" s="6" t="n">
        <f aca="false">Sens!K8689</f>
        <v>209.639407529296</v>
      </c>
    </row>
    <row r="8705" customFormat="false" ht="17.15" hidden="false" customHeight="false" outlineLevel="0" collapsed="false">
      <c r="A8705" s="1" t="s">
        <v>843</v>
      </c>
      <c r="B8705" s="0" t="s">
        <v>95</v>
      </c>
      <c r="E8705" s="6" t="n">
        <f aca="false">Q!M38-Sens!E8629</f>
        <v>22.2285940229167</v>
      </c>
      <c r="F8705" s="6" t="n">
        <f aca="false">Sens!E8705*(1-1/life_nonai)+Sens!F8711/life_nonai</f>
        <v>23.5632335435812</v>
      </c>
      <c r="G8705" s="6" t="n">
        <f aca="false">Sens!F8705*(1-1/life_nonai)+Sens!G8711/life_nonai</f>
        <v>25.3209643305724</v>
      </c>
      <c r="H8705" s="6" t="n">
        <f aca="false">Sens!G8705*(1-1/life_nonai)+Sens!H8711/life_nonai</f>
        <v>27.4676560118004</v>
      </c>
      <c r="I8705" s="6" t="n">
        <f aca="false">Sens!H8705*(1-1/life_nonai)+Sens!I8711/life_nonai</f>
        <v>29.9369159035596</v>
      </c>
      <c r="J8705" s="6" t="n">
        <f aca="false">Sens!I8705*(1-1/life_nonai)+Sens!J8711/life_nonai</f>
        <v>32.6457062752196</v>
      </c>
      <c r="K8705" s="6" t="n">
        <f aca="false">Sens!J8705*(1-1/life_nonai)+Sens!K8711/life_nonai</f>
        <v>35.5102134636642</v>
      </c>
      <c r="L8705" s="11" t="s">
        <v>844</v>
      </c>
    </row>
    <row r="8706" customFormat="false" ht="17.15" hidden="false" customHeight="false" outlineLevel="0" collapsed="false">
      <c r="A8706" s="1" t="s">
        <v>845</v>
      </c>
      <c r="B8706" s="0" t="s">
        <v>95</v>
      </c>
      <c r="E8706" s="6" t="n">
        <f aca="false">Sens!E8629+Sens!E8705</f>
        <v>38.534</v>
      </c>
      <c r="F8706" s="6" t="n">
        <f aca="false">Sens!F8629+Sens!F8705</f>
        <v>58.3041321661177</v>
      </c>
      <c r="G8706" s="6" t="n">
        <f aca="false">Sens!G8629+Sens!G8705</f>
        <v>85.8284239242454</v>
      </c>
      <c r="H8706" s="6" t="n">
        <f aca="false">Sens!H8629+Sens!H8705</f>
        <v>115.210698338273</v>
      </c>
      <c r="I8706" s="6" t="n">
        <f aca="false">Sens!I8629+Sens!I8705</f>
        <v>145.934823978016</v>
      </c>
      <c r="J8706" s="6" t="n">
        <f aca="false">Sens!J8629+Sens!J8705</f>
        <v>177.870710566826</v>
      </c>
      <c r="K8706" s="6" t="n">
        <f aca="false">Sens!K8629+Sens!K8705</f>
        <v>211.249862431587</v>
      </c>
    </row>
    <row r="8707" customFormat="false" ht="15" hidden="false" customHeight="false" outlineLevel="0" collapsed="false">
      <c r="A8707" s="1" t="s">
        <v>685</v>
      </c>
      <c r="B8707" s="0" t="s">
        <v>95</v>
      </c>
      <c r="F8707" s="6" t="n">
        <f aca="false">Sens!F8656*sbc_r</f>
        <v>14.9254400504477</v>
      </c>
      <c r="G8707" s="6" t="n">
        <f aca="false">Sens!G8656*sbc_r</f>
        <v>17.7487190289677</v>
      </c>
      <c r="H8707" s="6" t="n">
        <f aca="false">Sens!H8656*sbc_r</f>
        <v>20.6346399274275</v>
      </c>
      <c r="I8707" s="6" t="n">
        <f aca="false">Sens!I8656*sbc_r</f>
        <v>23.4494001993368</v>
      </c>
      <c r="J8707" s="6" t="n">
        <f aca="false">Sens!J8656*sbc_r</f>
        <v>26.1384056027828</v>
      </c>
      <c r="K8707" s="6" t="n">
        <f aca="false">Sens!K8656*sbc_r</f>
        <v>28.7031833976375</v>
      </c>
    </row>
    <row r="8708" customFormat="false" ht="17.15" hidden="false" customHeight="false" outlineLevel="0" collapsed="false">
      <c r="A8708" s="1" t="s">
        <v>846</v>
      </c>
      <c r="B8708" s="0" t="s">
        <v>95</v>
      </c>
      <c r="F8708" s="6" t="n">
        <f aca="false">wc27</f>
        <v>-4.895</v>
      </c>
      <c r="G8708" s="6" t="n">
        <f aca="false">0</f>
        <v>0</v>
      </c>
      <c r="H8708" s="6" t="n">
        <f aca="false">0</f>
        <v>0</v>
      </c>
      <c r="I8708" s="6" t="n">
        <f aca="false">0</f>
        <v>0</v>
      </c>
      <c r="J8708" s="6" t="n">
        <f aca="false">0</f>
        <v>0</v>
      </c>
      <c r="K8708" s="6" t="n">
        <f aca="false">0</f>
        <v>0</v>
      </c>
      <c r="L8708" s="11" t="s">
        <v>847</v>
      </c>
    </row>
    <row r="8709" customFormat="false" ht="15" hidden="false" customHeight="false" outlineLevel="0" collapsed="false">
      <c r="A8709" s="1" t="s">
        <v>678</v>
      </c>
      <c r="B8709" s="0" t="s">
        <v>95</v>
      </c>
      <c r="E8709" s="6" t="n">
        <f aca="false">Q!M35</f>
        <v>182.935</v>
      </c>
      <c r="F8709" s="6" t="n">
        <f aca="false">Sens!F8704+Sens!F8706+Sens!F8707+Sens!F8708</f>
        <v>209.494728620872</v>
      </c>
      <c r="G8709" s="6" t="n">
        <f aca="false">Sens!G8704+Sens!G8706+Sens!G8707+Sens!G8708</f>
        <v>260.810024906992</v>
      </c>
      <c r="H8709" s="6" t="n">
        <f aca="false">Sens!H8704+Sens!H8706+Sens!H8707+Sens!H8708</f>
        <v>309.283492048514</v>
      </c>
      <c r="I8709" s="6" t="n">
        <f aca="false">Sens!I8704+Sens!I8706+Sens!I8707+Sens!I8708</f>
        <v>357.311147764601</v>
      </c>
      <c r="J8709" s="6" t="n">
        <f aca="false">Sens!J8704+Sens!J8706+Sens!J8707+Sens!J8708</f>
        <v>404.078597503524</v>
      </c>
      <c r="K8709" s="6" t="n">
        <f aca="false">Sens!K8704+Sens!K8706+Sens!K8707+Sens!K8708</f>
        <v>449.592453358521</v>
      </c>
    </row>
    <row r="8710" customFormat="false" ht="17.15" hidden="false" customHeight="false" outlineLevel="0" collapsed="false">
      <c r="A8710" s="0" t="s">
        <v>848</v>
      </c>
      <c r="B8710" s="0" t="s">
        <v>95</v>
      </c>
      <c r="F8710" s="6" t="n">
        <f aca="false">Sens!F8626</f>
        <v>168.625010770438</v>
      </c>
      <c r="G8710" s="6" t="n">
        <f aca="false">Sens!G8626</f>
        <v>183.5741804832</v>
      </c>
      <c r="H8710" s="6" t="n">
        <f aca="false">Sens!H8626</f>
        <v>188.0802859104</v>
      </c>
      <c r="I8710" s="6" t="n">
        <f aca="false">Sens!I8626</f>
        <v>218.338961257067</v>
      </c>
      <c r="J8710" s="6" t="n">
        <f aca="false">Sens!J8626</f>
        <v>233.777060923733</v>
      </c>
      <c r="K8710" s="6" t="n">
        <f aca="false">Sens!K8626</f>
        <v>278.8563119504</v>
      </c>
    </row>
    <row r="8711" customFormat="false" ht="17.15" hidden="false" customHeight="false" outlineLevel="0" collapsed="false">
      <c r="A8711" s="1" t="s">
        <v>849</v>
      </c>
      <c r="B8711" s="0" t="s">
        <v>95</v>
      </c>
      <c r="E8711" s="6" t="n">
        <f aca="false">Sens!E8634*cx_azo+Sens!E8641*cx_m365+Sens!E8642*cx_lic+(Sens!E8644+Sens!E8646)*cx_ind+Sens!E8649*cx_srch+(Sens!E8651+Sens!E8653)*cx_dev</f>
        <v>30.1846587067718</v>
      </c>
      <c r="F8711" s="6" t="n">
        <f aca="false">Sens!F8634*cx_azo+Sens!F8641*cx_m365+Sens!F8642*cx_lic+(Sens!F8644+Sens!F8646)*cx_ind+Sens!F8649*cx_srch+(Sens!F8651+Sens!F8653)*cx_dev</f>
        <v>35.5749892295625</v>
      </c>
      <c r="G8711" s="6" t="n">
        <f aca="false">Sens!G8634*cx_azo+Sens!G8641*cx_m365+Sens!G8642*cx_lic+(Sens!G8644+Sens!G8646)*cx_ind+Sens!G8649*cx_srch+(Sens!G8651+Sens!G8653)*cx_dev</f>
        <v>41.1405414134931</v>
      </c>
      <c r="H8711" s="6" t="n">
        <f aca="false">Sens!H8634*cx_azo+Sens!H8641*cx_m365+Sens!H8642*cx_lic+(Sens!H8644+Sens!H8646)*cx_ind+Sens!H8649*cx_srch+(Sens!H8651+Sens!H8653)*cx_dev</f>
        <v>46.7878811428518</v>
      </c>
      <c r="I8711" s="6" t="n">
        <f aca="false">Sens!I8634*cx_azo+Sens!I8641*cx_m365+Sens!I8642*cx_lic+(Sens!I8644+Sens!I8646)*cx_ind+Sens!I8649*cx_srch+(Sens!I8651+Sens!I8653)*cx_dev</f>
        <v>52.1602549293923</v>
      </c>
      <c r="J8711" s="6" t="n">
        <f aca="false">Sens!J8634*cx_azo+Sens!J8641*cx_m365+Sens!J8642*cx_lic+(Sens!J8644+Sens!J8646)*cx_ind+Sens!J8649*cx_srch+(Sens!J8651+Sens!J8653)*cx_dev</f>
        <v>57.0248196201597</v>
      </c>
      <c r="K8711" s="6" t="n">
        <f aca="false">Sens!K8634*cx_azo+Sens!K8641*cx_m365+Sens!K8642*cx_lic+(Sens!K8644+Sens!K8646)*cx_ind+Sens!K8649*cx_srch+(Sens!K8651+Sens!K8653)*cx_dev</f>
        <v>61.2907781596659</v>
      </c>
    </row>
    <row r="8712" customFormat="false" ht="17.15" hidden="false" customHeight="false" outlineLevel="0" collapsed="false">
      <c r="A8712" s="1" t="s">
        <v>850</v>
      </c>
      <c r="B8712" s="0" t="s">
        <v>95</v>
      </c>
      <c r="E8712" s="6" t="n">
        <f aca="false">Q!M42</f>
        <v>145.3</v>
      </c>
      <c r="F8712" s="6" t="n">
        <f aca="false">Sens!F8710+Sens!F8711</f>
        <v>204.2</v>
      </c>
      <c r="G8712" s="6" t="n">
        <f aca="false">Sens!G8710+Sens!G8711</f>
        <v>224.714721896693</v>
      </c>
      <c r="H8712" s="6" t="n">
        <f aca="false">Sens!H8710+Sens!H8711</f>
        <v>234.868167053252</v>
      </c>
      <c r="I8712" s="6" t="n">
        <f aca="false">Sens!I8710+Sens!I8711</f>
        <v>270.499216186459</v>
      </c>
      <c r="J8712" s="6" t="n">
        <f aca="false">Sens!J8710+Sens!J8711</f>
        <v>290.801880543893</v>
      </c>
      <c r="K8712" s="6" t="n">
        <f aca="false">Sens!K8710+Sens!K8711</f>
        <v>340.147090110066</v>
      </c>
      <c r="L8712" s="1" t="s">
        <v>851</v>
      </c>
    </row>
    <row r="8713" customFormat="false" ht="15" hidden="false" customHeight="false" outlineLevel="0" collapsed="false">
      <c r="A8713" s="1" t="s">
        <v>852</v>
      </c>
      <c r="B8713" s="0" t="s">
        <v>95</v>
      </c>
      <c r="E8713" s="6" t="n">
        <f aca="false">fl_liab</f>
        <v>66.594</v>
      </c>
      <c r="F8713" s="6" t="n">
        <f aca="false">Sens!E8713-Sens!F8714</f>
        <v>62.46973</v>
      </c>
      <c r="G8713" s="6" t="n">
        <f aca="false">Sens!F8713-Sens!G8714</f>
        <v>57.98686785</v>
      </c>
      <c r="H8713" s="6" t="n">
        <f aca="false">Sens!G8713-Sens!H8714</f>
        <v>53.92827690325</v>
      </c>
      <c r="I8713" s="6" t="n">
        <f aca="false">Sens!H8713-Sens!I8714</f>
        <v>49.7850493638962</v>
      </c>
      <c r="J8713" s="6" t="n">
        <f aca="false">Sens!I8713-Sens!J8714</f>
        <v>45.4823765852716</v>
      </c>
      <c r="K8713" s="6" t="n">
        <f aca="false">Sens!J8713-Sens!K8714</f>
        <v>40.9860835316088</v>
      </c>
    </row>
    <row r="8714" customFormat="false" ht="15" hidden="false" customHeight="false" outlineLevel="0" collapsed="false">
      <c r="A8714" s="1" t="s">
        <v>853</v>
      </c>
      <c r="B8714" s="0" t="s">
        <v>95</v>
      </c>
      <c r="F8714" s="6" t="n">
        <f aca="false">fl_pay_27-Sens!E8713*fl_rate</f>
        <v>4.12427</v>
      </c>
      <c r="G8714" s="6" t="n">
        <f aca="false">fl_pay_28-Sens!F8713*fl_rate</f>
        <v>4.48286215</v>
      </c>
      <c r="H8714" s="6" t="n">
        <f aca="false">fl_pay_29-Sens!G8713*fl_rate</f>
        <v>4.05859094675</v>
      </c>
      <c r="I8714" s="6" t="n">
        <f aca="false">fl_pay_30-Sens!H8713*fl_rate</f>
        <v>4.14322753935375</v>
      </c>
      <c r="J8714" s="6" t="n">
        <f aca="false">fl_pay_31-Sens!I8713*fl_rate</f>
        <v>4.30267277862467</v>
      </c>
      <c r="K8714" s="6" t="n">
        <f aca="false">fl_pay_32-Sens!J8713*fl_rate</f>
        <v>4.49629305366278</v>
      </c>
    </row>
    <row r="8715" customFormat="false" ht="17.15" hidden="false" customHeight="false" outlineLevel="0" collapsed="false">
      <c r="A8715" s="1" t="s">
        <v>854</v>
      </c>
      <c r="B8715" s="0" t="s">
        <v>95</v>
      </c>
      <c r="E8715" s="6" t="n">
        <f aca="false">Q!M35-Q!M36-Q!M43</f>
        <v>63.886</v>
      </c>
      <c r="F8715" s="6" t="n">
        <f aca="false">Sens!F8709-Sens!F8712-Sens!F8714</f>
        <v>1.17045862087212</v>
      </c>
      <c r="G8715" s="6" t="n">
        <f aca="false">Sens!G8709-Sens!G8712-Sens!G8714</f>
        <v>31.6124408602989</v>
      </c>
      <c r="H8715" s="6" t="n">
        <f aca="false">Sens!H8709-Sens!H8712-Sens!H8714</f>
        <v>70.3567340485124</v>
      </c>
      <c r="I8715" s="6" t="n">
        <f aca="false">Sens!I8709-Sens!I8712-Sens!I8714</f>
        <v>82.6687040387878</v>
      </c>
      <c r="J8715" s="6" t="n">
        <f aca="false">Sens!J8709-Sens!J8712-Sens!J8714</f>
        <v>108.974044181006</v>
      </c>
      <c r="K8715" s="6" t="n">
        <f aca="false">Sens!K8709-Sens!K8712-Sens!K8714</f>
        <v>104.949070194792</v>
      </c>
      <c r="L8715" s="11" t="s">
        <v>855</v>
      </c>
    </row>
    <row r="8716" customFormat="false" ht="15" hidden="false" customHeight="false" outlineLevel="0" collapsed="false">
      <c r="A8716" s="1" t="s">
        <v>856</v>
      </c>
      <c r="B8716" s="0" t="s">
        <v>73</v>
      </c>
      <c r="F8716" s="8" t="n">
        <f aca="false">dps_27</f>
        <v>3.85</v>
      </c>
      <c r="G8716" s="8" t="n">
        <f aca="false">Sens!F8716*(1+dps_g)</f>
        <v>4.158</v>
      </c>
      <c r="H8716" s="8" t="n">
        <f aca="false">Sens!G8716*(1+dps_g)</f>
        <v>4.49064</v>
      </c>
      <c r="I8716" s="8" t="n">
        <f aca="false">Sens!H8716*(1+dps_g)</f>
        <v>4.8498912</v>
      </c>
      <c r="J8716" s="8" t="n">
        <f aca="false">Sens!I8716*(1+dps_g)</f>
        <v>5.237882496</v>
      </c>
      <c r="K8716" s="8" t="n">
        <f aca="false">Sens!J8716*(1+dps_g)</f>
        <v>5.65691309568</v>
      </c>
    </row>
    <row r="8717" customFormat="false" ht="17.15" hidden="false" customHeight="false" outlineLevel="0" collapsed="false">
      <c r="A8717" s="1" t="s">
        <v>857</v>
      </c>
      <c r="B8717" s="0" t="s">
        <v>95</v>
      </c>
      <c r="E8717" s="6" t="n">
        <f aca="false">Q!M41</f>
        <v>26.445</v>
      </c>
      <c r="F8717" s="6" t="n">
        <f aca="false">Sens!F8716*Sens!E8726</f>
        <v>28.59395</v>
      </c>
      <c r="G8717" s="6" t="n">
        <f aca="false">Sens!G8716*Sens!F8726</f>
        <v>31.068576</v>
      </c>
      <c r="H8717" s="6" t="n">
        <f aca="false">Sens!H8716*Sens!G8726</f>
        <v>33.7520552179125</v>
      </c>
      <c r="I8717" s="6" t="n">
        <f aca="false">Sens!I8716*Sens!H8726</f>
        <v>36.5031588753449</v>
      </c>
      <c r="J8717" s="6" t="n">
        <f aca="false">Sens!J8716*Sens!I8726</f>
        <v>39.4918104336919</v>
      </c>
      <c r="K8717" s="6" t="n">
        <f aca="false">Sens!K8716*Sens!J8726</f>
        <v>42.7384104936923</v>
      </c>
      <c r="L8717" s="1" t="s">
        <v>858</v>
      </c>
    </row>
    <row r="8718" customFormat="false" ht="15" hidden="false" customHeight="false" outlineLevel="0" collapsed="false">
      <c r="A8718" s="1" t="s">
        <v>859</v>
      </c>
      <c r="B8718" s="0" t="s">
        <v>95</v>
      </c>
      <c r="E8718" s="6" t="n">
        <f aca="false">Sens!E8715-Sens!E8717</f>
        <v>37.441</v>
      </c>
      <c r="F8718" s="6" t="n">
        <f aca="false">Sens!F8715-Sens!F8717</f>
        <v>-27.4234913791279</v>
      </c>
      <c r="G8718" s="6" t="n">
        <f aca="false">Sens!G8715-Sens!G8717</f>
        <v>0.543864860298893</v>
      </c>
      <c r="H8718" s="6" t="n">
        <f aca="false">Sens!H8715-Sens!H8717</f>
        <v>36.6046788305999</v>
      </c>
      <c r="I8718" s="6" t="n">
        <f aca="false">Sens!I8715-Sens!I8717</f>
        <v>46.1655451634429</v>
      </c>
      <c r="J8718" s="6" t="n">
        <f aca="false">Sens!J8715-Sens!J8717</f>
        <v>69.4822337473141</v>
      </c>
      <c r="K8718" s="6" t="n">
        <f aca="false">Sens!K8715-Sens!K8717</f>
        <v>62.2106597010999</v>
      </c>
    </row>
    <row r="8719" customFormat="false" ht="15" hidden="false" customHeight="false" outlineLevel="0" collapsed="false">
      <c r="A8719" s="1" t="s">
        <v>860</v>
      </c>
      <c r="B8719" s="0" t="s">
        <v>95</v>
      </c>
      <c r="F8719" s="6" t="n">
        <f aca="false">debt_mat_27</f>
        <v>9.25</v>
      </c>
      <c r="G8719" s="6" t="n">
        <f aca="false">debt_mat_28</f>
        <v>0</v>
      </c>
      <c r="H8719" s="6" t="n">
        <f aca="false">debt_mat_29</f>
        <v>2.001</v>
      </c>
      <c r="I8719" s="6" t="n">
        <f aca="false">debt_mat_30</f>
        <v>0</v>
      </c>
      <c r="J8719" s="6" t="n">
        <f aca="false">debt_mat_31</f>
        <v>0.5</v>
      </c>
      <c r="K8719" s="6" t="n">
        <f aca="false">debt_mat_32</f>
        <v>0</v>
      </c>
    </row>
    <row r="8720" customFormat="false" ht="15" hidden="false" customHeight="false" outlineLevel="0" collapsed="false">
      <c r="A8720" s="1" t="s">
        <v>861</v>
      </c>
      <c r="B8720" s="0" t="s">
        <v>95</v>
      </c>
      <c r="E8720" s="6" t="n">
        <f aca="false">Q!M40</f>
        <v>22.271</v>
      </c>
      <c r="F8720" s="6" t="n">
        <f aca="false">MAX(0,MIN(bb_target,Sens!E8722+Sens!F8718-Sens!F8719-min_cash))</f>
        <v>0</v>
      </c>
      <c r="G8720" s="6" t="n">
        <f aca="false">MAX(0,MIN(bb_target,Sens!F8722+Sens!G8718-Sens!G8719-min_cash))</f>
        <v>0.543864860298896</v>
      </c>
      <c r="H8720" s="6" t="n">
        <f aca="false">MAX(0,MIN(bb_target,Sens!G8722+Sens!H8718-Sens!H8719-min_cash))</f>
        <v>22.271</v>
      </c>
      <c r="I8720" s="6" t="n">
        <f aca="false">MAX(0,MIN(bb_target,Sens!H8722+Sens!I8718-Sens!I8719-min_cash))</f>
        <v>22.271</v>
      </c>
      <c r="J8720" s="6" t="n">
        <f aca="false">MAX(0,MIN(bb_target,Sens!I8722+Sens!J8718-Sens!J8719-min_cash))</f>
        <v>22.271</v>
      </c>
      <c r="K8720" s="6" t="n">
        <f aca="false">MAX(0,MIN(bb_target,Sens!J8722+Sens!K8718-Sens!K8719-min_cash))</f>
        <v>22.271</v>
      </c>
    </row>
    <row r="8721" customFormat="false" ht="15" hidden="false" customHeight="false" outlineLevel="0" collapsed="false">
      <c r="A8721" s="1" t="s">
        <v>862</v>
      </c>
      <c r="B8721" s="0" t="s">
        <v>95</v>
      </c>
      <c r="F8721" s="6" t="n">
        <f aca="false">MAX(0,min_cash-(Sens!E8722+Sens!F8718-Sens!F8719-Sens!F8720))</f>
        <v>9.83049137912788</v>
      </c>
      <c r="G8721" s="6" t="n">
        <f aca="false">MAX(0,min_cash-(Sens!F8722+Sens!G8718-Sens!G8719-Sens!G8720))</f>
        <v>0</v>
      </c>
      <c r="H8721" s="6" t="n">
        <f aca="false">MAX(0,min_cash-(Sens!G8722+Sens!H8718-Sens!H8719-Sens!H8720))</f>
        <v>0</v>
      </c>
      <c r="I8721" s="6" t="n">
        <f aca="false">MAX(0,min_cash-(Sens!H8722+Sens!I8718-Sens!I8719-Sens!I8720))</f>
        <v>0</v>
      </c>
      <c r="J8721" s="6" t="n">
        <f aca="false">MAX(0,min_cash-(Sens!I8722+Sens!J8718-Sens!J8719-Sens!J8720))</f>
        <v>0</v>
      </c>
      <c r="K8721" s="6" t="n">
        <f aca="false">MAX(0,min_cash-(Sens!J8722+Sens!K8718-Sens!K8719-Sens!K8720))</f>
        <v>0</v>
      </c>
    </row>
    <row r="8722" customFormat="false" ht="15" hidden="false" customHeight="false" outlineLevel="0" collapsed="false">
      <c r="A8722" s="1" t="s">
        <v>863</v>
      </c>
      <c r="B8722" s="0" t="s">
        <v>95</v>
      </c>
      <c r="E8722" s="6" t="n">
        <f aca="false">cash_open</f>
        <v>76.843</v>
      </c>
      <c r="F8722" s="6" t="n">
        <f aca="false">Sens!E8722+Sens!F8718-Sens!F8719-Sens!F8720+Sens!F8721</f>
        <v>50</v>
      </c>
      <c r="G8722" s="6" t="n">
        <f aca="false">Sens!F8722+Sens!G8718-Sens!G8719-Sens!G8720+Sens!G8721</f>
        <v>50</v>
      </c>
      <c r="H8722" s="6" t="n">
        <f aca="false">Sens!G8722+Sens!H8718-Sens!H8719-Sens!H8720+Sens!H8721</f>
        <v>62.3326788305999</v>
      </c>
      <c r="I8722" s="6" t="n">
        <f aca="false">Sens!H8722+Sens!I8718-Sens!I8719-Sens!I8720+Sens!I8721</f>
        <v>86.2272239940428</v>
      </c>
      <c r="J8722" s="6" t="n">
        <f aca="false">Sens!I8722+Sens!J8718-Sens!J8719-Sens!J8720+Sens!J8721</f>
        <v>132.938457741357</v>
      </c>
      <c r="K8722" s="6" t="n">
        <f aca="false">Sens!J8722+Sens!K8718-Sens!K8719-Sens!K8720+Sens!K8721</f>
        <v>172.878117442457</v>
      </c>
    </row>
    <row r="8723" customFormat="false" ht="15" hidden="false" customHeight="false" outlineLevel="0" collapsed="false">
      <c r="A8723" s="1" t="s">
        <v>864</v>
      </c>
      <c r="B8723" s="0" t="s">
        <v>95</v>
      </c>
      <c r="E8723" s="6" t="n">
        <f aca="false">debt_face</f>
        <v>46.136</v>
      </c>
      <c r="F8723" s="6" t="n">
        <f aca="false">Sens!E8723-Sens!F8719+Sens!F8721</f>
        <v>46.7164913791279</v>
      </c>
      <c r="G8723" s="6" t="n">
        <f aca="false">Sens!F8723-Sens!G8719+Sens!G8721</f>
        <v>46.7164913791279</v>
      </c>
      <c r="H8723" s="6" t="n">
        <f aca="false">Sens!G8723-Sens!H8719+Sens!H8721</f>
        <v>44.7154913791279</v>
      </c>
      <c r="I8723" s="6" t="n">
        <f aca="false">Sens!H8723-Sens!I8719+Sens!I8721</f>
        <v>44.7154913791279</v>
      </c>
      <c r="J8723" s="6" t="n">
        <f aca="false">Sens!I8723-Sens!J8719+Sens!J8721</f>
        <v>44.2154913791279</v>
      </c>
      <c r="K8723" s="6" t="n">
        <f aca="false">Sens!J8723-Sens!K8719+Sens!K8721</f>
        <v>44.2154913791279</v>
      </c>
    </row>
    <row r="8724" customFormat="false" ht="15" hidden="false" customHeight="false" outlineLevel="0" collapsed="false">
      <c r="A8724" s="1" t="s">
        <v>865</v>
      </c>
      <c r="B8724" s="0" t="s">
        <v>95</v>
      </c>
      <c r="E8724" s="6" t="n">
        <f aca="false">Sens!E8722-Sens!E8723</f>
        <v>30.707</v>
      </c>
      <c r="F8724" s="6" t="n">
        <f aca="false">Sens!F8722-Sens!F8723</f>
        <v>3.28350862087212</v>
      </c>
      <c r="G8724" s="6" t="n">
        <f aca="false">Sens!G8722-Sens!G8723</f>
        <v>3.28350862087212</v>
      </c>
      <c r="H8724" s="6" t="n">
        <f aca="false">Sens!H8722-Sens!H8723</f>
        <v>17.617187451472</v>
      </c>
      <c r="I8724" s="6" t="n">
        <f aca="false">Sens!I8722-Sens!I8723</f>
        <v>41.511732614915</v>
      </c>
      <c r="J8724" s="6" t="n">
        <f aca="false">Sens!J8722-Sens!J8723</f>
        <v>88.722966362229</v>
      </c>
      <c r="K8724" s="6" t="n">
        <f aca="false">Sens!K8722-Sens!K8723</f>
        <v>128.662626063329</v>
      </c>
    </row>
    <row r="8725" customFormat="false" ht="15" hidden="false" customHeight="false" outlineLevel="0" collapsed="false">
      <c r="A8725" s="1" t="s">
        <v>866</v>
      </c>
      <c r="B8725" s="0" t="s">
        <v>73</v>
      </c>
      <c r="F8725" s="27" t="n">
        <f aca="false">px*(1+bb_g)^(1-0.5)</f>
        <v>553.494156066711</v>
      </c>
      <c r="G8725" s="27" t="n">
        <f aca="false">px*(1+bb_g)^(2-0.5)</f>
        <v>597.773688552047</v>
      </c>
      <c r="H8725" s="27" t="n">
        <f aca="false">px*(1+bb_g)^(3-0.5)</f>
        <v>645.595583636211</v>
      </c>
      <c r="I8725" s="27" t="n">
        <f aca="false">px*(1+bb_g)^(4-0.5)</f>
        <v>697.243230327108</v>
      </c>
      <c r="J8725" s="27" t="n">
        <f aca="false">px*(1+bb_g)^(5-0.5)</f>
        <v>753.022688753277</v>
      </c>
      <c r="K8725" s="27" t="n">
        <f aca="false">px*(1+bb_g)^(6-0.5)</f>
        <v>813.264503853539</v>
      </c>
    </row>
    <row r="8726" customFormat="false" ht="15" hidden="false" customHeight="false" outlineLevel="0" collapsed="false">
      <c r="A8726" s="1" t="s">
        <v>867</v>
      </c>
      <c r="B8726" s="1" t="s">
        <v>79</v>
      </c>
      <c r="E8726" s="18" t="n">
        <f aca="false">sh_out26</f>
        <v>7.427</v>
      </c>
      <c r="F8726" s="18" t="n">
        <f aca="false">Sens!E8726+sh_iss-Sens!F8720/Sens!F8725</f>
        <v>7.472</v>
      </c>
      <c r="G8726" s="18" t="n">
        <f aca="false">Sens!F8726+sh_iss-Sens!G8720/Sens!G8725</f>
        <v>7.51609018267161</v>
      </c>
      <c r="H8726" s="18" t="n">
        <f aca="false">Sens!G8726+sh_iss-Sens!H8720/Sens!H8725</f>
        <v>7.52659335437151</v>
      </c>
      <c r="I8726" s="18" t="n">
        <f aca="false">Sens!H8726+sh_iss-Sens!I8720/Sens!I8725</f>
        <v>7.53965184668624</v>
      </c>
      <c r="J8726" s="18" t="n">
        <f aca="false">Sens!I8726+sh_iss-Sens!J8720/Sens!J8725</f>
        <v>7.55507637660728</v>
      </c>
      <c r="K8726" s="18" t="n">
        <f aca="false">Sens!J8726+sh_iss-Sens!K8720/Sens!K8725</f>
        <v>7.57269168208972</v>
      </c>
    </row>
    <row r="8727" customFormat="false" ht="15" hidden="false" customHeight="false" outlineLevel="0" collapsed="false">
      <c r="A8727" s="1" t="s">
        <v>868</v>
      </c>
      <c r="B8727" s="1" t="s">
        <v>79</v>
      </c>
      <c r="E8727" s="18" t="n">
        <f aca="false">sh_dil26</f>
        <v>7.453</v>
      </c>
      <c r="F8727" s="18" t="n">
        <f aca="false">(Sens!E8726+Sens!F8726)/2+dil_gap</f>
        <v>7.4735</v>
      </c>
      <c r="G8727" s="18" t="n">
        <f aca="false">(Sens!F8726+Sens!G8726)/2+dil_gap</f>
        <v>7.51804509133581</v>
      </c>
      <c r="H8727" s="18" t="n">
        <f aca="false">(Sens!G8726+Sens!H8726)/2+dil_gap</f>
        <v>7.54534176852156</v>
      </c>
      <c r="I8727" s="18" t="n">
        <f aca="false">(Sens!H8726+Sens!I8726)/2+dil_gap</f>
        <v>7.55712260052888</v>
      </c>
      <c r="J8727" s="18" t="n">
        <f aca="false">(Sens!I8726+Sens!J8726)/2+dil_gap</f>
        <v>7.57136411164676</v>
      </c>
      <c r="K8727" s="18" t="n">
        <f aca="false">(Sens!J8726+Sens!K8726)/2+dil_gap</f>
        <v>7.5878840293485</v>
      </c>
    </row>
    <row r="8728" customFormat="false" ht="17.15" hidden="false" customHeight="false" outlineLevel="0" collapsed="false">
      <c r="A8728" s="1" t="s">
        <v>869</v>
      </c>
      <c r="B8728" s="0" t="s">
        <v>95</v>
      </c>
      <c r="C8728" s="6" t="n">
        <f aca="false">SUM(Sens!F8718:J8718)</f>
        <v>125.372831222528</v>
      </c>
    </row>
    <row r="8729" customFormat="false" ht="17.15" hidden="false" customHeight="false" outlineLevel="0" collapsed="false">
      <c r="A8729" s="1" t="s">
        <v>836</v>
      </c>
      <c r="B8729" s="1" t="s">
        <v>870</v>
      </c>
      <c r="C8729" s="30" t="str">
        <f aca="false">IF(SUM(Sens!F8721:J8721)&gt;0.05,"需要舉債 "&amp;TEXT(SUM(Sens!F8721:J8721),"0.0")&amp;" 十億美元","不需舉債")&amp;"；"&amp;IF(SUM(Sens!F8720:J8720)&lt;5*bb_target-0.05,"回購較每年 "&amp;TEXT(bb_target,"0.0")&amp;" 的目標少 "&amp;TEXT(5*bb_target-SUM(Sens!F8720:J8720),"0.0")&amp;" 十億美元（"&amp;TEXT(COUNTIF(Sens!F8720:J8720,"&lt;"&amp;(bb_target-0.05)),"0")&amp;" 年減少）","回購不減")</f>
        <v>需要舉債 9.8 十億美元；回購較每年 22.3 的目標少 44.0 十億美元（2 年減少）</v>
      </c>
    </row>
    <row r="8730" customFormat="false" ht="17.15" hidden="false" customHeight="false" outlineLevel="0" collapsed="false">
      <c r="A8730" s="3" t="s">
        <v>1363</v>
      </c>
    </row>
    <row r="8731" customFormat="false" ht="15" hidden="false" customHeight="false" outlineLevel="0" collapsed="false">
      <c r="A8731" s="4" t="s">
        <v>43</v>
      </c>
      <c r="B8731" s="4" t="s">
        <v>63</v>
      </c>
      <c r="C8731" s="19" t="s">
        <v>710</v>
      </c>
      <c r="D8731" s="19" t="s">
        <v>711</v>
      </c>
      <c r="E8731" s="19" t="s">
        <v>712</v>
      </c>
      <c r="F8731" s="19" t="s">
        <v>713</v>
      </c>
      <c r="G8731" s="19" t="s">
        <v>714</v>
      </c>
      <c r="H8731" s="19" t="s">
        <v>715</v>
      </c>
      <c r="I8731" s="19" t="s">
        <v>716</v>
      </c>
      <c r="J8731" s="19" t="s">
        <v>717</v>
      </c>
      <c r="K8731" s="19" t="s">
        <v>718</v>
      </c>
      <c r="L8731" s="4" t="s">
        <v>47</v>
      </c>
    </row>
    <row r="8732" customFormat="false" ht="17.15" hidden="false" customHeight="false" outlineLevel="0" collapsed="false">
      <c r="A8732" s="1" t="s">
        <v>938</v>
      </c>
      <c r="B8732" s="1" t="s">
        <v>213</v>
      </c>
      <c r="F8732" s="34" t="n">
        <f aca="false">1-0.5</f>
        <v>0.5</v>
      </c>
      <c r="G8732" s="34" t="n">
        <f aca="false">2-0.5</f>
        <v>1.5</v>
      </c>
      <c r="H8732" s="34" t="n">
        <f aca="false">3-0.5</f>
        <v>2.5</v>
      </c>
      <c r="I8732" s="34" t="n">
        <f aca="false">4-0.5</f>
        <v>3.5</v>
      </c>
      <c r="J8732" s="34" t="n">
        <f aca="false">5-0.5</f>
        <v>4.5</v>
      </c>
      <c r="K8732" s="34" t="n">
        <f aca="false">6-0.5</f>
        <v>5.5</v>
      </c>
    </row>
    <row r="8733" customFormat="false" ht="15" hidden="false" customHeight="false" outlineLevel="0" collapsed="false">
      <c r="A8733" s="1" t="s">
        <v>939</v>
      </c>
      <c r="B8733" s="0" t="s">
        <v>182</v>
      </c>
      <c r="F8733" s="18" t="n">
        <f aca="false">1/(1+wacc)^Sens!F8732</f>
        <v>0.949601579913219</v>
      </c>
      <c r="G8733" s="18" t="n">
        <f aca="false">1/(1+wacc)^Sens!G8732</f>
        <v>0.856296729956707</v>
      </c>
      <c r="H8733" s="18" t="n">
        <f aca="false">1/(1+wacc)^Sens!H8732</f>
        <v>0.772159719660069</v>
      </c>
      <c r="I8733" s="18" t="n">
        <f aca="false">1/(1+wacc)^Sens!I8732</f>
        <v>0.696289746073958</v>
      </c>
      <c r="J8733" s="18" t="n">
        <f aca="false">1/(1+wacc)^Sens!J8732</f>
        <v>0.627874516299776</v>
      </c>
      <c r="K8733" s="18" t="n">
        <f aca="false">1/(1+wacc)^Sens!K8732</f>
        <v>0.566181550771831</v>
      </c>
    </row>
    <row r="8734" customFormat="false" ht="15" hidden="false" customHeight="false" outlineLevel="0" collapsed="false">
      <c r="A8734" s="1" t="s">
        <v>940</v>
      </c>
      <c r="B8734" s="0" t="s">
        <v>95</v>
      </c>
      <c r="F8734" s="6" t="n">
        <f aca="false">Sens!F8715*Sens!F8733</f>
        <v>1.11146935560321</v>
      </c>
      <c r="G8734" s="6" t="n">
        <f aca="false">Sens!G8715*Sens!G8733</f>
        <v>27.0696297346237</v>
      </c>
      <c r="H8734" s="6" t="n">
        <f aca="false">Sens!H8715*Sens!H8733</f>
        <v>54.3266360390973</v>
      </c>
      <c r="I8734" s="6" t="n">
        <f aca="false">Sens!I8715*Sens!I8733</f>
        <v>57.5613709434307</v>
      </c>
      <c r="J8734" s="6" t="n">
        <f aca="false">Sens!J8715*Sens!J8733</f>
        <v>68.4220252793796</v>
      </c>
      <c r="K8734" s="6" t="n">
        <f aca="false">Sens!K8715*Sens!K8733</f>
        <v>59.4202273149493</v>
      </c>
    </row>
    <row r="8735" customFormat="false" ht="17.15" hidden="false" customHeight="false" outlineLevel="0" collapsed="false">
      <c r="A8735" s="1" t="s">
        <v>941</v>
      </c>
      <c r="B8735" s="0" t="s">
        <v>95</v>
      </c>
      <c r="C8735" s="6" t="n">
        <f aca="false">SUM(Sens!F8734:K8734)</f>
        <v>267.911358667084</v>
      </c>
    </row>
    <row r="8736" customFormat="false" ht="17.15" hidden="false" customHeight="false" outlineLevel="0" collapsed="false">
      <c r="A8736" s="1" t="s">
        <v>942</v>
      </c>
      <c r="B8736" s="0" t="s">
        <v>95</v>
      </c>
      <c r="C8736" s="6" t="n">
        <f aca="false">Sens!K8681*(1+g_tv)*(1-tax_f)</f>
        <v>216.258189755175</v>
      </c>
    </row>
    <row r="8737" customFormat="false" ht="17.15" hidden="false" customHeight="false" outlineLevel="0" collapsed="false">
      <c r="A8737" s="1" t="s">
        <v>943</v>
      </c>
      <c r="B8737" s="0" t="s">
        <v>95</v>
      </c>
      <c r="C8737" s="6" t="n">
        <f aca="false">Sens!$C$8736*(1-g_tv/(wacc+ronic_prem))</f>
        <v>156.717496811553</v>
      </c>
    </row>
    <row r="8738" customFormat="false" ht="17.15" hidden="false" customHeight="false" outlineLevel="0" collapsed="false">
      <c r="A8738" s="1" t="s">
        <v>944</v>
      </c>
      <c r="B8738" s="0" t="s">
        <v>95</v>
      </c>
      <c r="C8738" s="6" t="n">
        <f aca="false">Sens!$C$8737/(wacc-g_tv)</f>
        <v>1984.6897647874</v>
      </c>
    </row>
    <row r="8739" customFormat="false" ht="15" hidden="false" customHeight="false" outlineLevel="0" collapsed="false">
      <c r="A8739" s="1" t="s">
        <v>945</v>
      </c>
      <c r="B8739" s="0" t="s">
        <v>95</v>
      </c>
      <c r="C8739" s="6" t="n">
        <f aca="false">Sens!$C$8738/(1+wacc)^6</f>
        <v>1067.06228983552</v>
      </c>
    </row>
    <row r="8740" customFormat="false" ht="17.15" hidden="false" customHeight="false" outlineLevel="0" collapsed="false">
      <c r="A8740" s="0" t="s">
        <v>877</v>
      </c>
      <c r="B8740" s="0" t="s">
        <v>95</v>
      </c>
      <c r="C8740" s="6" t="n">
        <f aca="false">Sens!$C$8735+Sens!$C$8739</f>
        <v>1334.97364850261</v>
      </c>
    </row>
    <row r="8741" customFormat="false" ht="15" hidden="false" customHeight="false" outlineLevel="0" collapsed="false">
      <c r="A8741" s="1" t="s">
        <v>878</v>
      </c>
      <c r="B8741" s="0" t="s">
        <v>126</v>
      </c>
      <c r="C8741" s="7" t="n">
        <f aca="false">Sens!$C$8739/Sens!$C$8740</f>
        <v>0.799313372988605</v>
      </c>
    </row>
    <row r="8742" customFormat="false" ht="17.15" hidden="false" customHeight="false" outlineLevel="0" collapsed="false">
      <c r="A8742" s="1" t="s">
        <v>946</v>
      </c>
      <c r="B8742" s="0" t="s">
        <v>95</v>
      </c>
      <c r="C8742" s="6" t="n">
        <f aca="false">Sens!$C$8740+Sens!E8724+oai_v</f>
        <v>1536.08064850261</v>
      </c>
    </row>
    <row r="8743" customFormat="false" ht="17.15" hidden="false" customHeight="false" outlineLevel="0" collapsed="false">
      <c r="A8743" s="0" t="s">
        <v>883</v>
      </c>
      <c r="B8743" s="0" t="s">
        <v>73</v>
      </c>
      <c r="C8743" s="5" t="n">
        <f aca="false">Sens!$C$8742/sh_dil26</f>
        <v>206.102327720731</v>
      </c>
    </row>
    <row r="8744" customFormat="false" ht="17.15" hidden="false" customHeight="false" outlineLevel="0" collapsed="false">
      <c r="A8744" s="0" t="s">
        <v>947</v>
      </c>
      <c r="B8744" s="0" t="s">
        <v>73</v>
      </c>
      <c r="C8744" s="5" t="n">
        <f aca="false">Sens!$C$8743*(1+wacc)^t_roll</f>
        <v>236.398250916981</v>
      </c>
    </row>
    <row r="8745" customFormat="false" ht="17.15" hidden="false" customHeight="false" outlineLevel="0" collapsed="false">
      <c r="A8745" s="1" t="s">
        <v>948</v>
      </c>
      <c r="B8745" s="0" t="s">
        <v>126</v>
      </c>
      <c r="F8745" s="7" t="n">
        <f aca="false">Sens!F8705/(Sens!F8656-Sens!F8612)</f>
        <v>0.0684584020858233</v>
      </c>
      <c r="G8745" s="7" t="n">
        <f aca="false">Sens!G8705/(Sens!G8656-Sens!G8612)</f>
        <v>0.0657115260970974</v>
      </c>
      <c r="H8745" s="7" t="n">
        <f aca="false">Sens!H8705/(Sens!H8656-Sens!H8612)</f>
        <v>0.0643045159816985</v>
      </c>
      <c r="I8745" s="7" t="n">
        <f aca="false">Sens!I8705/(Sens!I8656-Sens!I8612)</f>
        <v>0.0641189055838408</v>
      </c>
      <c r="J8745" s="7" t="n">
        <f aca="false">Sens!J8705/(Sens!J8656-Sens!J8612)</f>
        <v>0.0648769285920735</v>
      </c>
      <c r="K8745" s="7" t="n">
        <f aca="false">Sens!K8705/(Sens!K8656-Sens!K8612)</f>
        <v>0.0662357671103695</v>
      </c>
    </row>
    <row r="8746" customFormat="false" ht="17.15" hidden="false" customHeight="false" outlineLevel="0" collapsed="false">
      <c r="A8746" s="0" t="s">
        <v>949</v>
      </c>
      <c r="B8746" s="0" t="s">
        <v>95</v>
      </c>
      <c r="F8746" s="6" t="n">
        <f aca="false">Sens!F8641*(al_m365+Sens!F8745)</f>
        <v>79.4746155468032</v>
      </c>
      <c r="G8746" s="6" t="n">
        <f aca="false">Sens!G8641*(al_m365+Sens!G8745)</f>
        <v>91.2318825206811</v>
      </c>
      <c r="H8746" s="6" t="n">
        <f aca="false">Sens!H8641*(al_m365+Sens!H8745)</f>
        <v>103.15145107168</v>
      </c>
      <c r="I8746" s="6" t="n">
        <f aca="false">Sens!I8641*(al_m365+Sens!I8745)</f>
        <v>114.118226665211</v>
      </c>
      <c r="J8746" s="6" t="n">
        <f aca="false">Sens!J8641*(al_m365+Sens!J8745)</f>
        <v>123.954802817119</v>
      </c>
      <c r="K8746" s="6" t="n">
        <f aca="false">Sens!K8641*(al_m365+Sens!K8745)</f>
        <v>133.432361622418</v>
      </c>
    </row>
    <row r="8747" customFormat="false" ht="17.15" hidden="false" customHeight="false" outlineLevel="0" collapsed="false">
      <c r="A8747" s="0" t="s">
        <v>950</v>
      </c>
      <c r="B8747" s="0" t="s">
        <v>95</v>
      </c>
      <c r="F8747" s="6" t="n">
        <f aca="false">Sens!F8642*(al_lic+Sens!F8745)</f>
        <v>31.9788749728766</v>
      </c>
      <c r="G8747" s="6" t="n">
        <f aca="false">Sens!G8642*(al_lic+Sens!G8745)</f>
        <v>33.2211268197084</v>
      </c>
      <c r="H8747" s="6" t="n">
        <f aca="false">Sens!H8642*(al_lic+Sens!H8745)</f>
        <v>34.3828671235155</v>
      </c>
      <c r="I8747" s="6" t="n">
        <f aca="false">Sens!I8642*(al_lic+Sens!I8745)</f>
        <v>35.4465733546991</v>
      </c>
      <c r="J8747" s="6" t="n">
        <f aca="false">Sens!J8642*(al_lic+Sens!J8745)</f>
        <v>36.3873605415229</v>
      </c>
      <c r="K8747" s="6" t="n">
        <f aca="false">Sens!K8642*(al_lic+Sens!K8745)</f>
        <v>37.1769986174092</v>
      </c>
    </row>
    <row r="8748" customFormat="false" ht="17.15" hidden="false" customHeight="false" outlineLevel="0" collapsed="false">
      <c r="A8748" s="0" t="s">
        <v>951</v>
      </c>
      <c r="B8748" s="0" t="s">
        <v>95</v>
      </c>
      <c r="F8748" s="6" t="n">
        <f aca="false">Sens!F8644*(al_ind+Sens!F8745)</f>
        <v>8.23770567668657</v>
      </c>
      <c r="G8748" s="6" t="n">
        <f aca="false">Sens!G8644*(al_ind+Sens!G8745)</f>
        <v>8.93770167940519</v>
      </c>
      <c r="H8748" s="6" t="n">
        <f aca="false">Sens!H8644*(al_ind+Sens!H8745)</f>
        <v>9.68095724411662</v>
      </c>
      <c r="I8748" s="6" t="n">
        <f aca="false">Sens!I8644*(al_ind+Sens!I8745)</f>
        <v>10.4652204488554</v>
      </c>
      <c r="J8748" s="6" t="n">
        <f aca="false">Sens!J8644*(al_ind+Sens!J8745)</f>
        <v>11.2817226307444</v>
      </c>
      <c r="K8748" s="6" t="n">
        <f aca="false">Sens!K8644*(al_ind+Sens!K8745)</f>
        <v>12.1163984881036</v>
      </c>
    </row>
    <row r="8749" customFormat="false" ht="17.15" hidden="false" customHeight="false" outlineLevel="0" collapsed="false">
      <c r="A8749" s="0" t="s">
        <v>952</v>
      </c>
      <c r="B8749" s="0" t="s">
        <v>95</v>
      </c>
      <c r="F8749" s="6" t="n">
        <f aca="false">Sens!F8646*(al_fro+Sens!F8745)</f>
        <v>3.2423898752886</v>
      </c>
      <c r="G8749" s="6" t="n">
        <f aca="false">Sens!G8646*(al_fro+Sens!G8745)</f>
        <v>3.43154903301181</v>
      </c>
      <c r="H8749" s="6" t="n">
        <f aca="false">Sens!H8646*(al_fro+Sens!H8745)</f>
        <v>3.6481160450683</v>
      </c>
      <c r="I8749" s="6" t="n">
        <f aca="false">Sens!I8646*(al_fro+Sens!I8745)</f>
        <v>3.89472912177133</v>
      </c>
      <c r="J8749" s="6" t="n">
        <f aca="false">Sens!J8646*(al_fro+Sens!J8745)</f>
        <v>4.1724145846455</v>
      </c>
      <c r="K8749" s="6" t="n">
        <f aca="false">Sens!K8646*(al_fro+Sens!K8745)</f>
        <v>4.48110979323061</v>
      </c>
    </row>
    <row r="8750" customFormat="false" ht="17.15" hidden="false" customHeight="false" outlineLevel="0" collapsed="false">
      <c r="A8750" s="0" t="s">
        <v>953</v>
      </c>
      <c r="B8750" s="0" t="s">
        <v>95</v>
      </c>
      <c r="F8750" s="6" t="n">
        <f aca="false">Sens!F8649*(al_srch+Sens!F8745)</f>
        <v>10.1736855295075</v>
      </c>
      <c r="G8750" s="6" t="n">
        <f aca="false">Sens!G8649*(al_srch+Sens!G8745)</f>
        <v>11.142340326702</v>
      </c>
      <c r="H8750" s="6" t="n">
        <f aca="false">Sens!H8649*(al_srch+Sens!H8745)</f>
        <v>12.1547931031139</v>
      </c>
      <c r="I8750" s="6" t="n">
        <f aca="false">Sens!I8649*(al_srch+Sens!I8745)</f>
        <v>13.2021146450102</v>
      </c>
      <c r="J8750" s="6" t="n">
        <f aca="false">Sens!J8649*(al_srch+Sens!J8745)</f>
        <v>14.2662634813615</v>
      </c>
      <c r="K8750" s="6" t="n">
        <f aca="false">Sens!K8649*(al_srch+Sens!K8745)</f>
        <v>15.3217499608968</v>
      </c>
    </row>
    <row r="8751" customFormat="false" ht="17.15" hidden="false" customHeight="false" outlineLevel="0" collapsed="false">
      <c r="A8751" s="0" t="s">
        <v>954</v>
      </c>
      <c r="B8751" s="0" t="s">
        <v>95</v>
      </c>
      <c r="F8751" s="6" t="n">
        <f aca="false">Sens!F8618</f>
        <v>39.4594407491938</v>
      </c>
      <c r="G8751" s="6" t="n">
        <f aca="false">Sens!G8618</f>
        <v>66.5527545578061</v>
      </c>
      <c r="H8751" s="6" t="n">
        <f aca="false">Sens!H8618</f>
        <v>95.219644983859</v>
      </c>
      <c r="I8751" s="6" t="n">
        <f aca="false">Sens!I8618</f>
        <v>124.031840462493</v>
      </c>
      <c r="J8751" s="6" t="n">
        <f aca="false">Sens!J8618</f>
        <v>152.919994097909</v>
      </c>
      <c r="K8751" s="6" t="n">
        <f aca="false">Sens!K8618</f>
        <v>181.852830263848</v>
      </c>
    </row>
    <row r="8752" customFormat="false" ht="17.15" hidden="false" customHeight="false" outlineLevel="0" collapsed="false">
      <c r="A8752" s="0" t="s">
        <v>955</v>
      </c>
      <c r="B8752" s="0" t="s">
        <v>95</v>
      </c>
      <c r="F8752" s="6" t="n">
        <f aca="false">Sens!F8678+Sens!F8629+Sens!F8745*(Sens!F8648-Sens!F8612)</f>
        <v>211.452361410223</v>
      </c>
      <c r="G8752" s="6" t="n">
        <f aca="false">Sens!G8678+Sens!G8629+Sens!G8745*(Sens!G8648-Sens!G8612)</f>
        <v>258.624568010641</v>
      </c>
      <c r="H8752" s="6" t="n">
        <f aca="false">Sens!H8678+Sens!H8629+Sens!H8745*(Sens!H8648-Sens!H8612)</f>
        <v>307.609079708649</v>
      </c>
      <c r="I8752" s="6" t="n">
        <f aca="false">Sens!I8678+Sens!I8629+Sens!I8745*(Sens!I8648-Sens!I8612)</f>
        <v>355.605572929516</v>
      </c>
      <c r="J8752" s="6" t="n">
        <f aca="false">Sens!J8678+Sens!J8629+Sens!J8745*(Sens!J8648-Sens!J8612)</f>
        <v>401.73310625708</v>
      </c>
      <c r="K8752" s="6" t="n">
        <f aca="false">Sens!K8678+Sens!K8629+Sens!K8745*(Sens!K8648-Sens!K8612)</f>
        <v>445.981618922586</v>
      </c>
    </row>
    <row r="8753" customFormat="false" ht="17.15" hidden="false" customHeight="false" outlineLevel="0" collapsed="false">
      <c r="A8753" s="0" t="s">
        <v>956</v>
      </c>
      <c r="B8753" s="0" t="s">
        <v>95</v>
      </c>
      <c r="F8753" s="6" t="n">
        <f aca="false">Sens!F8752-Sens!F8746-Sens!F8747-Sens!F8748-Sens!F8749-Sens!F8751</f>
        <v>49.0593345893738</v>
      </c>
      <c r="G8753" s="6" t="n">
        <f aca="false">Sens!G8752-Sens!G8746-Sens!G8747-Sens!G8748-Sens!G8749-Sens!G8751</f>
        <v>55.2495534000283</v>
      </c>
      <c r="H8753" s="6" t="n">
        <f aca="false">Sens!H8752-Sens!H8746-Sens!H8747-Sens!H8748-Sens!H8749-Sens!H8751</f>
        <v>61.526043240409</v>
      </c>
      <c r="I8753" s="6" t="n">
        <f aca="false">Sens!I8752-Sens!I8746-Sens!I8747-Sens!I8748-Sens!I8749-Sens!I8751</f>
        <v>67.648982876487</v>
      </c>
      <c r="J8753" s="6" t="n">
        <f aca="false">Sens!J8752-Sens!J8746-Sens!J8747-Sens!J8748-Sens!J8749-Sens!J8751</f>
        <v>73.016811585139</v>
      </c>
      <c r="K8753" s="6" t="n">
        <f aca="false">Sens!K8752-Sens!K8746-Sens!K8747-Sens!K8748-Sens!K8749-Sens!K8751</f>
        <v>76.9219201375761</v>
      </c>
    </row>
    <row r="8754" customFormat="false" ht="17.15" hidden="false" customHeight="false" outlineLevel="0" collapsed="false">
      <c r="A8754" s="0" t="s">
        <v>957</v>
      </c>
      <c r="B8754" s="0" t="s">
        <v>95</v>
      </c>
      <c r="F8754" s="6" t="n">
        <f aca="false">Sens!F8680+Sens!F8745*Sens!F8655</f>
        <v>23.7019662612785</v>
      </c>
      <c r="G8754" s="6" t="n">
        <f aca="false">Sens!G8680+Sens!G8745*Sens!G8655</f>
        <v>24.144958355828</v>
      </c>
      <c r="H8754" s="6" t="n">
        <f aca="false">Sens!H8680+Sens!H8745*Sens!H8655</f>
        <v>24.7993108581409</v>
      </c>
      <c r="I8754" s="6" t="n">
        <f aca="false">Sens!I8680+Sens!I8745*Sens!I8655</f>
        <v>25.6379055325595</v>
      </c>
      <c r="J8754" s="6" t="n">
        <f aca="false">Sens!J8680+Sens!J8745*Sens!J8655</f>
        <v>26.6244559771395</v>
      </c>
      <c r="K8754" s="6" t="n">
        <f aca="false">Sens!K8680+Sens!K8745*Sens!K8655</f>
        <v>27.7175029206217</v>
      </c>
    </row>
    <row r="8755" customFormat="false" ht="17.15" hidden="false" customHeight="false" outlineLevel="0" collapsed="false">
      <c r="A8755" s="0" t="s">
        <v>958</v>
      </c>
      <c r="B8755" s="0" t="s">
        <v>95</v>
      </c>
      <c r="F8755" s="6" t="n">
        <f aca="false">(Sens!F8754-Sens!F8750)*Sens!F8651/(Sens!F8651+Sens!F8653)</f>
        <v>7.39232144579381</v>
      </c>
      <c r="G8755" s="6" t="n">
        <f aca="false">(Sens!G8754-Sens!G8750)*Sens!G8651/(Sens!G8651+Sens!G8653)</f>
        <v>6.93264070820389</v>
      </c>
      <c r="H8755" s="6" t="n">
        <f aca="false">(Sens!H8754-Sens!H8750)*Sens!H8651/(Sens!H8651+Sens!H8653)</f>
        <v>6.58421326878957</v>
      </c>
      <c r="I8755" s="6" t="n">
        <f aca="false">(Sens!I8754-Sens!I8750)*Sens!I8651/(Sens!I8651+Sens!I8653)</f>
        <v>6.33077866403539</v>
      </c>
      <c r="J8755" s="6" t="n">
        <f aca="false">(Sens!J8754-Sens!J8750)*Sens!J8651/(Sens!J8651+Sens!J8653)</f>
        <v>6.15757155791391</v>
      </c>
      <c r="K8755" s="6" t="n">
        <f aca="false">(Sens!K8754-Sens!K8750)*Sens!K8651/(Sens!K8651+Sens!K8653)</f>
        <v>6.05233897944231</v>
      </c>
    </row>
    <row r="8756" customFormat="false" ht="17.15" hidden="false" customHeight="false" outlineLevel="0" collapsed="false">
      <c r="A8756" s="0" t="s">
        <v>959</v>
      </c>
      <c r="B8756" s="0" t="s">
        <v>95</v>
      </c>
      <c r="F8756" s="6" t="n">
        <f aca="false">Sens!F8754-Sens!F8750-Sens!F8755</f>
        <v>6.13595928597716</v>
      </c>
      <c r="G8756" s="6" t="n">
        <f aca="false">Sens!G8754-Sens!G8750-Sens!G8755</f>
        <v>6.06997732092216</v>
      </c>
      <c r="H8756" s="6" t="n">
        <f aca="false">Sens!H8754-Sens!H8750-Sens!H8755</f>
        <v>6.06030448623742</v>
      </c>
      <c r="I8756" s="6" t="n">
        <f aca="false">Sens!I8754-Sens!I8750-Sens!I8755</f>
        <v>6.10501222351396</v>
      </c>
      <c r="J8756" s="6" t="n">
        <f aca="false">Sens!J8754-Sens!J8750-Sens!J8755</f>
        <v>6.20062093786402</v>
      </c>
      <c r="K8756" s="6" t="n">
        <f aca="false">Sens!K8754-Sens!K8750-Sens!K8755</f>
        <v>6.34341398028257</v>
      </c>
    </row>
    <row r="8757" customFormat="false" ht="17.15" hidden="false" customHeight="false" outlineLevel="0" collapsed="false">
      <c r="A8757" s="1" t="s">
        <v>960</v>
      </c>
      <c r="B8757" s="0" t="s">
        <v>95</v>
      </c>
      <c r="C8757" s="6" t="n">
        <f aca="false">(w_ntm28*Sens!G8751+(1-w_ntm28)*Sens!H8751)*m_ai*1</f>
        <v>454.922440830797</v>
      </c>
    </row>
    <row r="8758" customFormat="false" ht="17.15" hidden="false" customHeight="false" outlineLevel="0" collapsed="false">
      <c r="A8758" s="1" t="s">
        <v>961</v>
      </c>
      <c r="B8758" s="0" t="s">
        <v>95</v>
      </c>
      <c r="C8758" s="6" t="n">
        <f aca="false">(w_ntm28*Sens!G8753+(1-w_ntm28)*Sens!H8753)*m_cloud*1</f>
        <v>791.591152843457</v>
      </c>
    </row>
    <row r="8759" customFormat="false" ht="17.15" hidden="false" customHeight="false" outlineLevel="0" collapsed="false">
      <c r="A8759" s="1" t="s">
        <v>962</v>
      </c>
      <c r="B8759" s="0" t="s">
        <v>95</v>
      </c>
      <c r="C8759" s="6" t="n">
        <f aca="false">(w_ntm28*Sens!G8746+(1-w_ntm28)*Sens!H8746)*m_sw*1</f>
        <v>1026.92158646005</v>
      </c>
    </row>
    <row r="8760" customFormat="false" ht="17.15" hidden="false" customHeight="false" outlineLevel="0" collapsed="false">
      <c r="A8760" s="1" t="s">
        <v>963</v>
      </c>
      <c r="B8760" s="0" t="s">
        <v>95</v>
      </c>
      <c r="C8760" s="6" t="n">
        <f aca="false">(w_ntm28*Sens!G8747+(1-w_ntm28)*Sens!H8747)*m_sw*1</f>
        <v>362.844393880719</v>
      </c>
    </row>
    <row r="8761" customFormat="false" ht="17.15" hidden="false" customHeight="false" outlineLevel="0" collapsed="false">
      <c r="A8761" s="1" t="s">
        <v>964</v>
      </c>
      <c r="B8761" s="0" t="s">
        <v>95</v>
      </c>
      <c r="C8761" s="6" t="n">
        <f aca="false">(w_ntm28*Sens!G8748+(1-w_ntm28)*Sens!H8748)*m_sw*1</f>
        <v>99.1222600325576</v>
      </c>
    </row>
    <row r="8762" customFormat="false" ht="17.15" hidden="false" customHeight="false" outlineLevel="0" collapsed="false">
      <c r="A8762" s="1" t="s">
        <v>965</v>
      </c>
      <c r="B8762" s="0" t="s">
        <v>95</v>
      </c>
      <c r="C8762" s="6" t="n">
        <f aca="false">(w_ntm28*Sens!G8749+(1-w_ntm28)*Sens!H8749)*m_sw*1</f>
        <v>37.8168747624585</v>
      </c>
    </row>
    <row r="8763" customFormat="false" ht="17.15" hidden="false" customHeight="false" outlineLevel="0" collapsed="false">
      <c r="A8763" s="1" t="s">
        <v>966</v>
      </c>
      <c r="B8763" s="0" t="s">
        <v>95</v>
      </c>
      <c r="C8763" s="6" t="n">
        <f aca="false">(w_ntm28*Sens!G8750+(1-w_ntm28)*Sens!H8750)*m_ads*1</f>
        <v>104.488546364166</v>
      </c>
    </row>
    <row r="8764" customFormat="false" ht="17.15" hidden="false" customHeight="false" outlineLevel="0" collapsed="false">
      <c r="A8764" s="1" t="s">
        <v>967</v>
      </c>
      <c r="B8764" s="0" t="s">
        <v>95</v>
      </c>
      <c r="C8764" s="6" t="n">
        <f aca="false">(w_ntm28*Sens!G8755+(1-w_ntm28)*Sens!H8755)*m_game*1</f>
        <v>86.1365799526788</v>
      </c>
    </row>
    <row r="8765" customFormat="false" ht="17.15" hidden="false" customHeight="false" outlineLevel="0" collapsed="false">
      <c r="A8765" s="1" t="s">
        <v>968</v>
      </c>
      <c r="B8765" s="0" t="s">
        <v>95</v>
      </c>
      <c r="C8765" s="6" t="n">
        <f aca="false">(w_ntm28*Sens!G8756+(1-w_ntm28)*Sens!H8756)*m_pc*1</f>
        <v>87.7873225780975</v>
      </c>
    </row>
    <row r="8766" customFormat="false" ht="17.15" hidden="false" customHeight="false" outlineLevel="0" collapsed="false">
      <c r="A8766" s="1" t="s">
        <v>969</v>
      </c>
      <c r="B8766" s="0" t="s">
        <v>95</v>
      </c>
      <c r="C8766" s="6" t="n">
        <f aca="false">Sens!$C$8757+Sens!$C$8758+Sens!$C$8759+Sens!$C$8760+Sens!$C$8761+Sens!$C$8762+Sens!$C$8763+Sens!$C$8764+Sens!$C$8765</f>
        <v>3051.63115770498</v>
      </c>
    </row>
    <row r="8767" customFormat="false" ht="17.15" hidden="false" customHeight="false" outlineLevel="0" collapsed="false">
      <c r="A8767" s="1" t="s">
        <v>903</v>
      </c>
      <c r="B8767" s="0" t="s">
        <v>95</v>
      </c>
      <c r="C8767" s="6" t="n">
        <f aca="false">Sens!F8724+oai_v-Sens!F8713</f>
        <v>111.213778620872</v>
      </c>
      <c r="L8767" s="1" t="s">
        <v>970</v>
      </c>
    </row>
    <row r="8768" customFormat="false" ht="15" hidden="false" customHeight="false" outlineLevel="0" collapsed="false">
      <c r="A8768" s="1" t="s">
        <v>904</v>
      </c>
      <c r="B8768" s="0" t="s">
        <v>73</v>
      </c>
      <c r="C8768" s="5" t="n">
        <f aca="false">(Sens!$C$8766+Sens!$C$8767)/Sens!F8726</f>
        <v>423.292951863739</v>
      </c>
    </row>
    <row r="8769" customFormat="false" ht="17.15" hidden="false" customHeight="false" outlineLevel="0" collapsed="false">
      <c r="A8769" s="1" t="s">
        <v>971</v>
      </c>
      <c r="B8769" s="0" t="s">
        <v>73</v>
      </c>
      <c r="C8769" s="5" t="n">
        <f aca="false">w_dcf*Sens!$C$8744+(1-w_dcf)*Sens!$C$8768</f>
        <v>329.84560139036</v>
      </c>
    </row>
    <row r="8770" customFormat="false" ht="17.15" hidden="false" customHeight="false" outlineLevel="0" collapsed="false">
      <c r="A8770" s="3" t="s">
        <v>1364</v>
      </c>
    </row>
    <row r="8771" customFormat="false" ht="15" hidden="false" customHeight="false" outlineLevel="0" collapsed="false">
      <c r="A8771" s="4" t="s">
        <v>43</v>
      </c>
      <c r="B8771" s="4" t="s">
        <v>63</v>
      </c>
      <c r="C8771" s="19" t="s">
        <v>710</v>
      </c>
      <c r="D8771" s="19" t="s">
        <v>711</v>
      </c>
      <c r="E8771" s="19" t="s">
        <v>712</v>
      </c>
      <c r="F8771" s="19" t="s">
        <v>713</v>
      </c>
      <c r="G8771" s="19" t="s">
        <v>714</v>
      </c>
      <c r="H8771" s="19" t="s">
        <v>715</v>
      </c>
      <c r="I8771" s="19" t="s">
        <v>716</v>
      </c>
      <c r="J8771" s="19" t="s">
        <v>717</v>
      </c>
      <c r="K8771" s="19" t="s">
        <v>718</v>
      </c>
      <c r="L8771" s="4" t="s">
        <v>47</v>
      </c>
    </row>
    <row r="8772" customFormat="false" ht="17.15" hidden="false" customHeight="false" outlineLevel="0" collapsed="false">
      <c r="A8772" s="1" t="s">
        <v>719</v>
      </c>
      <c r="B8772" s="0" t="s">
        <v>340</v>
      </c>
      <c r="C8772" s="27" t="n">
        <f aca="false">mw_ext_24</f>
        <v>640</v>
      </c>
      <c r="D8772" s="27" t="n">
        <f aca="false">mw_ext_25</f>
        <v>1630</v>
      </c>
      <c r="E8772" s="27" t="n">
        <f aca="false">mw_ext_26</f>
        <v>3250</v>
      </c>
      <c r="F8772" s="27" t="n">
        <f aca="false">MIN(1000000000,Sens!E8772+pace)</f>
        <v>5777.2</v>
      </c>
      <c r="G8772" s="27" t="n">
        <f aca="false">MIN(1000000000,Sens!F8772+pace)</f>
        <v>8304.4</v>
      </c>
      <c r="H8772" s="27" t="n">
        <f aca="false">MIN(1000000000,Sens!G8772+pace)</f>
        <v>10831.6</v>
      </c>
      <c r="I8772" s="27" t="n">
        <f aca="false">MIN(1000000000,Sens!H8772+pace)</f>
        <v>13358.8</v>
      </c>
      <c r="J8772" s="27" t="n">
        <f aca="false">MIN(1000000000,Sens!I8772+pace)</f>
        <v>15886</v>
      </c>
      <c r="K8772" s="27" t="n">
        <f aca="false">MIN(1000000000,Sens!J8772+pace)</f>
        <v>18413.2</v>
      </c>
      <c r="L8772" s="11" t="s">
        <v>720</v>
      </c>
    </row>
    <row r="8773" customFormat="false" ht="17.15" hidden="false" customHeight="false" outlineLevel="0" collapsed="false">
      <c r="A8773" s="1" t="s">
        <v>721</v>
      </c>
      <c r="B8773" s="0" t="s">
        <v>340</v>
      </c>
      <c r="C8773" s="27" t="n">
        <f aca="false">rent_ext_24</f>
        <v>150</v>
      </c>
      <c r="D8773" s="27" t="n">
        <f aca="false">rent_ext_25</f>
        <v>400</v>
      </c>
      <c r="E8773" s="27" t="n">
        <f aca="false">rent_ext_26</f>
        <v>550</v>
      </c>
      <c r="F8773" s="27" t="n">
        <f aca="false">rent_ext_f</f>
        <v>756</v>
      </c>
      <c r="G8773" s="27" t="n">
        <f aca="false">rent_ext_f</f>
        <v>756</v>
      </c>
      <c r="H8773" s="27" t="n">
        <f aca="false">rent_ext_f</f>
        <v>756</v>
      </c>
      <c r="I8773" s="27" t="n">
        <f aca="false">rent_ext_f</f>
        <v>756</v>
      </c>
      <c r="J8773" s="27" t="n">
        <f aca="false">rent_ext_f</f>
        <v>756</v>
      </c>
      <c r="K8773" s="27" t="n">
        <f aca="false">rent_ext_f</f>
        <v>756</v>
      </c>
      <c r="L8773" s="1" t="s">
        <v>722</v>
      </c>
    </row>
    <row r="8774" customFormat="false" ht="17.15" hidden="false" customHeight="false" outlineLevel="0" collapsed="false">
      <c r="A8774" s="1" t="s">
        <v>723</v>
      </c>
      <c r="B8774" s="0" t="s">
        <v>340</v>
      </c>
      <c r="C8774" s="27" t="n">
        <f aca="false">Sens!C8772-Sens!C8773</f>
        <v>490</v>
      </c>
      <c r="D8774" s="27" t="n">
        <f aca="false">Sens!D8772-Sens!D8773</f>
        <v>1230</v>
      </c>
      <c r="E8774" s="27" t="n">
        <f aca="false">Sens!E8772-Sens!E8773</f>
        <v>2700</v>
      </c>
      <c r="F8774" s="27" t="n">
        <f aca="false">Sens!F8772-Sens!F8773</f>
        <v>5021.2</v>
      </c>
      <c r="G8774" s="27" t="n">
        <f aca="false">Sens!G8772-Sens!G8773</f>
        <v>7548.4</v>
      </c>
      <c r="H8774" s="27" t="n">
        <f aca="false">Sens!H8772-Sens!H8773</f>
        <v>10075.6</v>
      </c>
      <c r="I8774" s="27" t="n">
        <f aca="false">Sens!I8772-Sens!I8773</f>
        <v>12602.8</v>
      </c>
      <c r="J8774" s="27" t="n">
        <f aca="false">Sens!J8772-Sens!J8773</f>
        <v>15130</v>
      </c>
      <c r="K8774" s="27" t="n">
        <f aca="false">Sens!K8772-Sens!K8773</f>
        <v>17657.2</v>
      </c>
    </row>
    <row r="8775" customFormat="false" ht="17.15" hidden="false" customHeight="false" outlineLevel="0" collapsed="false">
      <c r="A8775" s="1" t="s">
        <v>724</v>
      </c>
      <c r="B8775" s="0" t="s">
        <v>340</v>
      </c>
      <c r="C8775" s="27" t="n">
        <f aca="false">Sens!C8774/ext_sh</f>
        <v>816.666666666667</v>
      </c>
      <c r="D8775" s="27" t="n">
        <f aca="false">Sens!D8774/ext_sh</f>
        <v>2050</v>
      </c>
      <c r="E8775" s="27" t="n">
        <f aca="false">Sens!E8774/ext_sh</f>
        <v>4500</v>
      </c>
      <c r="F8775" s="27" t="n">
        <f aca="false">Sens!F8774/ext_sh</f>
        <v>8368.66666666667</v>
      </c>
      <c r="G8775" s="27" t="n">
        <f aca="false">Sens!G8774/ext_sh</f>
        <v>12580.6666666667</v>
      </c>
      <c r="H8775" s="27" t="n">
        <f aca="false">Sens!H8774/ext_sh</f>
        <v>16792.6666666667</v>
      </c>
      <c r="I8775" s="27" t="n">
        <f aca="false">Sens!I8774/ext_sh</f>
        <v>21004.6666666667</v>
      </c>
      <c r="J8775" s="27" t="n">
        <f aca="false">Sens!J8774/ext_sh</f>
        <v>25216.6666666667</v>
      </c>
      <c r="K8775" s="27" t="n">
        <f aca="false">Sens!K8774/ext_sh</f>
        <v>29428.6666666667</v>
      </c>
      <c r="L8775" s="1" t="s">
        <v>725</v>
      </c>
    </row>
    <row r="8776" customFormat="false" ht="17.15" hidden="false" customHeight="false" outlineLevel="0" collapsed="false">
      <c r="A8776" s="1" t="s">
        <v>726</v>
      </c>
      <c r="B8776" s="0" t="s">
        <v>340</v>
      </c>
      <c r="C8776" s="27" t="n">
        <f aca="false">Sens!C8775-Sens!C8774</f>
        <v>326.666666666667</v>
      </c>
      <c r="D8776" s="27" t="n">
        <f aca="false">Sens!D8775-Sens!D8774</f>
        <v>820</v>
      </c>
      <c r="E8776" s="27" t="n">
        <f aca="false">Sens!E8775-Sens!E8774</f>
        <v>1800</v>
      </c>
      <c r="F8776" s="27" t="n">
        <f aca="false">Sens!F8775-Sens!F8774</f>
        <v>3347.46666666667</v>
      </c>
      <c r="G8776" s="27" t="n">
        <f aca="false">Sens!G8775-Sens!G8774</f>
        <v>5032.26666666667</v>
      </c>
      <c r="H8776" s="27" t="n">
        <f aca="false">Sens!H8775-Sens!H8774</f>
        <v>6717.06666666667</v>
      </c>
      <c r="I8776" s="27" t="n">
        <f aca="false">Sens!I8775-Sens!I8774</f>
        <v>8401.86666666667</v>
      </c>
      <c r="J8776" s="27" t="n">
        <f aca="false">Sens!J8775-Sens!J8774</f>
        <v>10086.6666666667</v>
      </c>
      <c r="K8776" s="27" t="n">
        <f aca="false">Sens!K8775-Sens!K8774</f>
        <v>11771.4666666667</v>
      </c>
    </row>
    <row r="8777" customFormat="false" ht="17.15" hidden="false" customHeight="false" outlineLevel="0" collapsed="false">
      <c r="A8777" s="1" t="s">
        <v>727</v>
      </c>
      <c r="B8777" s="0" t="s">
        <v>340</v>
      </c>
      <c r="C8777" s="27" t="n">
        <f aca="false">Sens!C8775</f>
        <v>816.666666666667</v>
      </c>
      <c r="D8777" s="27" t="n">
        <f aca="false">Sens!D8775-Sens!C8775</f>
        <v>1233.33333333333</v>
      </c>
      <c r="E8777" s="27" t="n">
        <f aca="false">Sens!E8775-Sens!D8775</f>
        <v>2450</v>
      </c>
      <c r="F8777" s="27" t="n">
        <f aca="false">Sens!F8775-Sens!E8775</f>
        <v>3868.66666666667</v>
      </c>
      <c r="G8777" s="27" t="n">
        <f aca="false">Sens!G8775-Sens!F8775</f>
        <v>4212</v>
      </c>
      <c r="H8777" s="27" t="n">
        <f aca="false">Sens!H8775-Sens!G8775</f>
        <v>4212</v>
      </c>
      <c r="I8777" s="27" t="n">
        <f aca="false">Sens!I8775-Sens!H8775</f>
        <v>4212</v>
      </c>
      <c r="J8777" s="27" t="n">
        <f aca="false">Sens!J8775-Sens!I8775</f>
        <v>4212</v>
      </c>
      <c r="K8777" s="27" t="n">
        <f aca="false">Sens!K8775-Sens!J8775</f>
        <v>4212</v>
      </c>
    </row>
    <row r="8778" customFormat="false" ht="17.15" hidden="false" customHeight="false" outlineLevel="0" collapsed="false">
      <c r="A8778" s="1" t="s">
        <v>728</v>
      </c>
      <c r="B8778" s="0" t="s">
        <v>340</v>
      </c>
      <c r="D8778" s="27" t="n">
        <f aca="false">Sens!D8772-Sens!C8772</f>
        <v>990</v>
      </c>
      <c r="E8778" s="27" t="n">
        <f aca="false">Sens!E8772-Sens!D8772</f>
        <v>1620</v>
      </c>
      <c r="F8778" s="27" t="n">
        <f aca="false">Sens!F8772-Sens!E8772</f>
        <v>2527.2</v>
      </c>
      <c r="G8778" s="27" t="n">
        <f aca="false">Sens!G8772-Sens!F8772</f>
        <v>2527.2</v>
      </c>
      <c r="H8778" s="27" t="n">
        <f aca="false">Sens!H8772-Sens!G8772</f>
        <v>2527.2</v>
      </c>
      <c r="I8778" s="27" t="n">
        <f aca="false">Sens!I8772-Sens!H8772</f>
        <v>2527.2</v>
      </c>
      <c r="J8778" s="27" t="n">
        <f aca="false">Sens!J8772-Sens!I8772</f>
        <v>2527.2</v>
      </c>
      <c r="K8778" s="27" t="n">
        <f aca="false">Sens!K8772-Sens!J8772</f>
        <v>2527.2</v>
      </c>
    </row>
    <row r="8779" customFormat="false" ht="17.15" hidden="false" customHeight="false" outlineLevel="0" collapsed="false">
      <c r="A8779" s="1" t="s">
        <v>729</v>
      </c>
      <c r="B8779" s="0" t="s">
        <v>340</v>
      </c>
      <c r="C8779" s="27" t="n">
        <f aca="false">mix_h*Sens!C8772</f>
        <v>128</v>
      </c>
      <c r="D8779" s="27" t="n">
        <f aca="false">mix_h*Sens!D8772</f>
        <v>326</v>
      </c>
      <c r="E8779" s="27" t="n">
        <f aca="false">mix_h*Sens!E8772</f>
        <v>650</v>
      </c>
      <c r="F8779" s="27" t="n">
        <f aca="false">Sens!E8779</f>
        <v>650</v>
      </c>
      <c r="G8779" s="27" t="n">
        <f aca="false">Sens!F8779</f>
        <v>650</v>
      </c>
      <c r="H8779" s="27" t="n">
        <f aca="false">Sens!G8779</f>
        <v>650</v>
      </c>
      <c r="I8779" s="27" t="n">
        <f aca="false">Sens!H8779</f>
        <v>650</v>
      </c>
      <c r="J8779" s="27" t="n">
        <f aca="false">Sens!I8779</f>
        <v>650</v>
      </c>
      <c r="K8779" s="27" t="n">
        <f aca="false">Sens!J8779</f>
        <v>650</v>
      </c>
    </row>
    <row r="8780" customFormat="false" ht="17.15" hidden="false" customHeight="false" outlineLevel="0" collapsed="false">
      <c r="A8780" s="1" t="s">
        <v>730</v>
      </c>
      <c r="B8780" s="0" t="s">
        <v>340</v>
      </c>
      <c r="C8780" s="27" t="n">
        <f aca="false">mix_g2*Sens!C8772</f>
        <v>288</v>
      </c>
      <c r="D8780" s="27" t="n">
        <f aca="false">mix_g2*Sens!D8772</f>
        <v>733.5</v>
      </c>
      <c r="E8780" s="27" t="n">
        <f aca="false">mix_g2*Sens!E8772</f>
        <v>1462.5</v>
      </c>
      <c r="F8780" s="27" t="n">
        <f aca="false">Sens!E8780</f>
        <v>1462.5</v>
      </c>
      <c r="G8780" s="27" t="n">
        <f aca="false">Sens!F8780</f>
        <v>1462.5</v>
      </c>
      <c r="H8780" s="27" t="n">
        <f aca="false">Sens!G8780</f>
        <v>1462.5</v>
      </c>
      <c r="I8780" s="27" t="n">
        <f aca="false">Sens!H8780</f>
        <v>1462.5</v>
      </c>
      <c r="J8780" s="27" t="n">
        <f aca="false">Sens!I8780</f>
        <v>1462.5</v>
      </c>
      <c r="K8780" s="27" t="n">
        <f aca="false">Sens!J8780</f>
        <v>1462.5</v>
      </c>
    </row>
    <row r="8781" customFormat="false" ht="17.15" hidden="false" customHeight="false" outlineLevel="0" collapsed="false">
      <c r="A8781" s="1" t="s">
        <v>731</v>
      </c>
      <c r="B8781" s="0" t="s">
        <v>340</v>
      </c>
      <c r="C8781" s="27" t="n">
        <f aca="false">mix_g3*Sens!C8772</f>
        <v>224</v>
      </c>
      <c r="D8781" s="27" t="n">
        <f aca="false">mix_g3*Sens!D8772</f>
        <v>570.5</v>
      </c>
      <c r="E8781" s="27" t="n">
        <f aca="false">mix_g3*Sens!E8772</f>
        <v>1137.5</v>
      </c>
      <c r="F8781" s="27" t="n">
        <f aca="false">Sens!E8781+Sens!F8778*a_g3_27</f>
        <v>2906.54</v>
      </c>
      <c r="G8781" s="27" t="n">
        <f aca="false">Sens!F8781+Sens!G8778*a_g3_28</f>
        <v>3664.7</v>
      </c>
      <c r="H8781" s="27" t="n">
        <f aca="false">Sens!G8781+Sens!H8778*a_g3_29</f>
        <v>3917.42</v>
      </c>
      <c r="I8781" s="27" t="n">
        <f aca="false">Sens!H8781+Sens!I8778*a_g3_29</f>
        <v>4170.14</v>
      </c>
      <c r="J8781" s="27" t="n">
        <f aca="false">Sens!I8781+Sens!J8778*a_g3_29</f>
        <v>4422.86</v>
      </c>
      <c r="K8781" s="27" t="n">
        <f aca="false">Sens!J8781+Sens!K8778*a_g3_29</f>
        <v>4675.58</v>
      </c>
    </row>
    <row r="8782" customFormat="false" ht="17.15" hidden="false" customHeight="false" outlineLevel="0" collapsed="false">
      <c r="A8782" s="1" t="s">
        <v>732</v>
      </c>
      <c r="B8782" s="0" t="s">
        <v>340</v>
      </c>
      <c r="C8782" s="27" t="n">
        <f aca="false">0</f>
        <v>0</v>
      </c>
      <c r="D8782" s="27" t="n">
        <f aca="false">0</f>
        <v>0</v>
      </c>
      <c r="E8782" s="27" t="n">
        <f aca="false">0</f>
        <v>0</v>
      </c>
      <c r="F8782" s="27" t="n">
        <f aca="false">Sens!E8782+Sens!F8778*(1-a_g3_27)</f>
        <v>758.16</v>
      </c>
      <c r="G8782" s="27" t="n">
        <f aca="false">Sens!F8782+Sens!G8778*(1-a_g3_28)</f>
        <v>2527.2</v>
      </c>
      <c r="H8782" s="27" t="n">
        <f aca="false">Sens!G8782+Sens!H8778*(1-a_g3_29)</f>
        <v>4801.68</v>
      </c>
      <c r="I8782" s="27" t="n">
        <f aca="false">Sens!H8782+Sens!I8778*(1-a_g3_29)</f>
        <v>7076.16</v>
      </c>
      <c r="J8782" s="27" t="n">
        <f aca="false">Sens!I8782+Sens!J8778*(1-a_g3_29)</f>
        <v>9350.64</v>
      </c>
      <c r="K8782" s="27" t="n">
        <f aca="false">Sens!J8782+Sens!K8778*(1-a_g3_29)</f>
        <v>11625.12</v>
      </c>
    </row>
    <row r="8783" customFormat="false" ht="17.15" hidden="false" customHeight="false" outlineLevel="0" collapsed="false">
      <c r="A8783" s="1" t="s">
        <v>733</v>
      </c>
      <c r="B8783" s="0" t="s">
        <v>291</v>
      </c>
      <c r="C8783" s="18" t="n">
        <f aca="false">(Sens!C8779*tk_hold_h100+Sens!C8780*tk_hold_gb200+Sens!C8781*tk_hold_gb300+Sens!C8782*tk_hold_vr200)/Sens!C8772</f>
        <v>9.7235358126469</v>
      </c>
      <c r="D8783" s="18" t="n">
        <f aca="false">(Sens!D8779*tk_hold_h100+Sens!D8780*tk_hold_gb200+Sens!D8781*tk_hold_gb300+Sens!D8782*tk_hold_vr200)/Sens!D8772</f>
        <v>9.7235358126469</v>
      </c>
      <c r="E8783" s="18" t="n">
        <f aca="false">(Sens!E8779*tk_hold_h100+Sens!E8780*tk_hold_gb200+Sens!E8781*tk_hold_gb300+Sens!E8782*tk_hold_vr200)/Sens!E8772</f>
        <v>9.7235358126469</v>
      </c>
      <c r="F8783" s="18" t="n">
        <f aca="false">(Sens!F8779*tk_hold_h100+Sens!F8780*tk_hold_gb200+Sens!F8781*tk_hold_gb300+Sens!F8782*tk_hold_vr200)/Sens!F8772</f>
        <v>10.4079573161931</v>
      </c>
      <c r="G8783" s="18" t="n">
        <f aca="false">(Sens!G8779*tk_hold_h100+Sens!G8780*tk_hold_gb200+Sens!G8781*tk_hold_gb300+Sens!G8782*tk_hold_vr200)/Sens!G8772</f>
        <v>10.8388131109316</v>
      </c>
      <c r="H8783" s="18" t="n">
        <f aca="false">(Sens!H8779*tk_hold_h100+Sens!H8780*tk_hold_gb200+Sens!H8781*tk_hold_gb300+Sens!H8782*tk_hold_vr200)/Sens!H8772</f>
        <v>11.1311018388216</v>
      </c>
      <c r="I8783" s="18" t="n">
        <f aca="false">(Sens!I8779*tk_hold_h100+Sens!I8780*tk_hold_gb200+Sens!I8781*tk_hold_gb300+Sens!I8782*tk_hold_vr200)/Sens!I8772</f>
        <v>11.3128009818501</v>
      </c>
      <c r="J8783" s="18" t="n">
        <f aca="false">(Sens!J8779*tk_hold_h100+Sens!J8780*tk_hold_gb200+Sens!J8781*tk_hold_gb300+Sens!J8782*tk_hold_vr200)/Sens!J8772</f>
        <v>11.4366894646418</v>
      </c>
      <c r="K8783" s="18" t="n">
        <f aca="false">(Sens!K8779*tk_hold_h100+Sens!K8780*tk_hold_gb200+Sens!K8781*tk_hold_gb300+Sens!K8782*tk_hold_vr200)/Sens!K8772</f>
        <v>11.526570716348</v>
      </c>
    </row>
    <row r="8784" customFormat="false" ht="17.15" hidden="false" customHeight="false" outlineLevel="0" collapsed="false">
      <c r="A8784" s="0" t="s">
        <v>734</v>
      </c>
      <c r="B8784" s="0" t="s">
        <v>182</v>
      </c>
      <c r="C8784" s="18" t="n">
        <f aca="false">k_B</f>
        <v>1.17213932619116</v>
      </c>
      <c r="D8784" s="18" t="n">
        <f aca="false">k_B</f>
        <v>1.17213932619116</v>
      </c>
      <c r="E8784" s="18" t="n">
        <f aca="false">k_B</f>
        <v>1.17213932619116</v>
      </c>
      <c r="F8784" s="18" t="n">
        <f aca="false">(k_B+((ls_C*k_long+(1-ls_C)*k_spot)-k_B)*MIN(1,1/3))*1</f>
        <v>1.07843258004497</v>
      </c>
      <c r="G8784" s="18" t="n">
        <f aca="false">(k_B+((ls_C*k_long+(1-ls_C)*k_spot)-k_B)*MIN(1,2/3))*1</f>
        <v>0.984725833898784</v>
      </c>
      <c r="H8784" s="18" t="n">
        <f aca="false">(k_B+((ls_C*k_long+(1-ls_C)*k_spot)-k_B)*MIN(1,3/3))*1</f>
        <v>0.891019087752599</v>
      </c>
      <c r="I8784" s="18" t="n">
        <f aca="false">(k_B+((ls_C*k_long+(1-ls_C)*k_spot)-k_B)*MIN(1,4/3))*1</f>
        <v>0.891019087752599</v>
      </c>
      <c r="J8784" s="18" t="n">
        <f aca="false">(k_B+((ls_C*k_long+(1-ls_C)*k_spot)-k_B)*MIN(1,5/3))*1</f>
        <v>0.891019087752599</v>
      </c>
      <c r="K8784" s="18" t="n">
        <f aca="false">(k_B+((ls_C*k_long+(1-ls_C)*k_spot)-k_B)*MIN(1,6/3))*1</f>
        <v>0.891019087752599</v>
      </c>
      <c r="L8784" s="1" t="s">
        <v>735</v>
      </c>
    </row>
    <row r="8785" customFormat="false" ht="17.15" hidden="false" customHeight="false" outlineLevel="0" collapsed="false">
      <c r="A8785" s="1" t="s">
        <v>736</v>
      </c>
      <c r="B8785" s="0" t="s">
        <v>291</v>
      </c>
      <c r="C8785" s="18" t="n">
        <f aca="false">Sens!C8783*Sens!C8784*chip_f</f>
        <v>11.3973387156315</v>
      </c>
      <c r="D8785" s="18" t="n">
        <f aca="false">Sens!D8783*Sens!D8784*chip_f</f>
        <v>11.3973387156315</v>
      </c>
      <c r="E8785" s="18" t="n">
        <f aca="false">Sens!E8783*Sens!E8784*chip_f</f>
        <v>11.3973387156315</v>
      </c>
      <c r="F8785" s="18" t="n">
        <f aca="false">Sens!F8783*Sens!F8784*chip_f</f>
        <v>11.2242802615</v>
      </c>
      <c r="G8785" s="18" t="n">
        <f aca="false">Sens!G8783*Sens!G8784*chip_f</f>
        <v>10.6732592791352</v>
      </c>
      <c r="H8785" s="18" t="n">
        <f aca="false">Sens!H8783*Sens!H8784*chip_f</f>
        <v>9.91802420610807</v>
      </c>
      <c r="I8785" s="18" t="n">
        <f aca="false">Sens!I8783*Sens!I8784*chip_f</f>
        <v>10.0799216107748</v>
      </c>
      <c r="J8785" s="18" t="n">
        <f aca="false">Sens!J8783*Sens!J8784*chip_f</f>
        <v>10.1903086136949</v>
      </c>
      <c r="K8785" s="18" t="n">
        <f aca="false">Sens!K8783*Sens!K8784*chip_f</f>
        <v>10.2703945245962</v>
      </c>
      <c r="L8785" s="1" t="s">
        <v>737</v>
      </c>
    </row>
    <row r="8786" customFormat="false" ht="17.15" hidden="false" customHeight="false" outlineLevel="0" collapsed="false">
      <c r="A8786" s="0" t="s">
        <v>738</v>
      </c>
      <c r="B8786" s="0" t="s">
        <v>95</v>
      </c>
      <c r="D8786" s="6" t="n">
        <f aca="false">(Sens!C8772+Sens!D8772)/2*Sens!D8785/1000</f>
        <v>12.9359794422418</v>
      </c>
      <c r="E8786" s="6" t="n">
        <f aca="false">(Sens!D8772+Sens!E8772)/2*Sens!E8785/1000</f>
        <v>27.8095064661409</v>
      </c>
      <c r="F8786" s="6" t="n">
        <f aca="false">(Sens!E8772+Sens!F8772)/2*Sens!F8785/1000</f>
        <v>50.6619113883066</v>
      </c>
      <c r="G8786" s="6" t="n">
        <f aca="false">(Sens!F8772+Sens!G8772)/2*Sens!G8785/1000</f>
        <v>75.1482839325348</v>
      </c>
      <c r="H8786" s="6" t="n">
        <f aca="false">(Sens!G8772+Sens!H8772)/2*Sens!H8785/1000</f>
        <v>94.895655604042</v>
      </c>
      <c r="I8786" s="6" t="n">
        <f aca="false">(Sens!H8772+Sens!I8772)/2*Sens!I8785/1000</f>
        <v>121.918667866643</v>
      </c>
      <c r="J8786" s="6" t="n">
        <f aca="false">(Sens!I8772+Sens!J8772)/2*Sens!J8785/1000</f>
        <v>149.006768672892</v>
      </c>
      <c r="K8786" s="6" t="n">
        <f aca="false">(Sens!J8772+Sens!K8772)/2*Sens!K8785/1000</f>
        <v>176.133157939015</v>
      </c>
      <c r="L8786" s="11" t="s">
        <v>739</v>
      </c>
    </row>
    <row r="8787" customFormat="false" ht="17.15" hidden="false" customHeight="false" outlineLevel="0" collapsed="false">
      <c r="A8787" s="1" t="s">
        <v>740</v>
      </c>
      <c r="B8787" s="0" t="s">
        <v>291</v>
      </c>
      <c r="C8787" s="18" t="n">
        <f aca="false">(Sens!C8779*tk_opex_h100+Sens!C8780*tk_opex_gb200+Sens!C8781*tk_opex_gb300+Sens!C8782*tk_opex_vr200)/Sens!C8772</f>
        <v>1.88636041306092</v>
      </c>
      <c r="D8787" s="18" t="n">
        <f aca="false">(Sens!D8779*tk_opex_h100+Sens!D8780*tk_opex_gb200+Sens!D8781*tk_opex_gb300+Sens!D8782*tk_opex_vr200)/Sens!D8772</f>
        <v>1.88636041306092</v>
      </c>
      <c r="E8787" s="18" t="n">
        <f aca="false">(Sens!E8779*tk_opex_h100+Sens!E8780*tk_opex_gb200+Sens!E8781*tk_opex_gb300+Sens!E8782*tk_opex_vr200)/Sens!E8772</f>
        <v>1.88636041306092</v>
      </c>
      <c r="F8787" s="18" t="n">
        <f aca="false">(Sens!F8779*tk_opex_h100+Sens!F8780*tk_opex_gb200+Sens!F8781*tk_opex_gb300+Sens!F8782*tk_opex_vr200)/Sens!F8772</f>
        <v>1.9430236476499</v>
      </c>
      <c r="G8787" s="18" t="n">
        <f aca="false">(Sens!G8779*tk_opex_h100+Sens!G8780*tk_opex_gb200+Sens!G8781*tk_opex_gb300+Sens!G8782*tk_opex_vr200)/Sens!G8772</f>
        <v>1.9786941852423</v>
      </c>
      <c r="H8787" s="18" t="n">
        <f aca="false">(Sens!H8779*tk_opex_h100+Sens!H8780*tk_opex_gb200+Sens!H8781*tk_opex_gb300+Sens!H8782*tk_opex_vr200)/Sens!H8772</f>
        <v>2.00289275976156</v>
      </c>
      <c r="I8787" s="18" t="n">
        <f aca="false">(Sens!I8779*tk_opex_h100+Sens!I8780*tk_opex_gb200+Sens!I8781*tk_opex_gb300+Sens!I8782*tk_opex_vr200)/Sens!I8772</f>
        <v>2.01793562605478</v>
      </c>
      <c r="J8787" s="18" t="n">
        <f aca="false">(Sens!J8779*tk_opex_h100+Sens!J8780*tk_opex_gb200+Sens!J8781*tk_opex_gb300+Sens!J8782*tk_opex_vr200)/Sens!J8772</f>
        <v>2.02819234961902</v>
      </c>
      <c r="K8787" s="18" t="n">
        <f aca="false">(Sens!K8779*tk_opex_h100+Sens!K8780*tk_opex_gb200+Sens!K8781*tk_opex_gb300+Sens!K8782*tk_opex_vr200)/Sens!K8772</f>
        <v>2.0356336155994</v>
      </c>
    </row>
    <row r="8788" customFormat="false" ht="17.15" hidden="false" customHeight="false" outlineLevel="0" collapsed="false">
      <c r="A8788" s="0" t="s">
        <v>741</v>
      </c>
      <c r="B8788" s="0" t="s">
        <v>95</v>
      </c>
      <c r="D8788" s="6" t="n">
        <f aca="false">(Sens!C8775+Sens!D8775)/2*Sens!D8787/1000</f>
        <v>2.70378325872065</v>
      </c>
      <c r="E8788" s="6" t="n">
        <f aca="false">(Sens!D8775+Sens!E8775)/2*Sens!E8787/1000</f>
        <v>6.17783035277451</v>
      </c>
      <c r="F8788" s="6" t="n">
        <f aca="false">(Sens!E8775+Sens!F8775)/2*Sens!F8787/1000</f>
        <v>12.5020618235287</v>
      </c>
      <c r="G8788" s="6" t="n">
        <f aca="false">(Sens!F8775+Sens!G8775)/2*Sens!G8787/1000</f>
        <v>20.7261620256847</v>
      </c>
      <c r="H8788" s="6" t="n">
        <f aca="false">(Sens!G8775+Sens!H8775)/2*Sens!H8787/1000</f>
        <v>29.4158183316982</v>
      </c>
      <c r="I8788" s="6" t="n">
        <f aca="false">(Sens!H8775+Sens!I8775)/2*Sens!I8787/1000</f>
        <v>38.1362927516005</v>
      </c>
      <c r="J8788" s="6" t="n">
        <f aca="false">(Sens!I8775+Sens!J8775)/2*Sens!J8787/1000</f>
        <v>46.8728773279286</v>
      </c>
      <c r="K8788" s="6" t="n">
        <f aca="false">(Sens!J8775+Sens!K8775)/2*Sens!K8787/1000</f>
        <v>55.618938734484</v>
      </c>
    </row>
    <row r="8789" customFormat="false" ht="17.15" hidden="false" customHeight="false" outlineLevel="0" collapsed="false">
      <c r="A8789" s="0" t="s">
        <v>742</v>
      </c>
      <c r="B8789" s="0" t="s">
        <v>95</v>
      </c>
      <c r="D8789" s="6" t="n">
        <f aca="false">(Sens!C8773+Sens!D8773)/2*rent_mw/1000</f>
        <v>2.44475</v>
      </c>
      <c r="E8789" s="6" t="n">
        <f aca="false">(Sens!D8773+Sens!E8773)/2*rent_mw/1000</f>
        <v>4.22275</v>
      </c>
      <c r="F8789" s="6" t="n">
        <f aca="false">(Sens!E8773+Sens!F8773)/2*rent_mw/1000</f>
        <v>5.80517</v>
      </c>
      <c r="G8789" s="6" t="n">
        <f aca="false">(Sens!F8773+Sens!G8773)/2*rent_mw/1000</f>
        <v>6.72084</v>
      </c>
      <c r="H8789" s="6" t="n">
        <f aca="false">(Sens!G8773+Sens!H8773)/2*rent_mw/1000</f>
        <v>6.72084</v>
      </c>
      <c r="I8789" s="6" t="n">
        <f aca="false">(Sens!H8773+Sens!I8773)/2*rent_mw/1000</f>
        <v>6.72084</v>
      </c>
      <c r="J8789" s="6" t="n">
        <f aca="false">(Sens!I8773+Sens!J8773)/2*rent_mw/1000</f>
        <v>6.72084</v>
      </c>
      <c r="K8789" s="6" t="n">
        <f aca="false">(Sens!J8773+Sens!K8773)/2*rent_mw/1000</f>
        <v>6.72084</v>
      </c>
    </row>
    <row r="8790" customFormat="false" ht="17.15" hidden="false" customHeight="false" outlineLevel="0" collapsed="false">
      <c r="A8790" s="0" t="s">
        <v>743</v>
      </c>
      <c r="B8790" s="0" t="s">
        <v>95</v>
      </c>
      <c r="D8790" s="6" t="n">
        <f aca="false">(Sens!C8775+Sens!D8775)/2*(1-self_build)*fac_rent/1000</f>
        <v>0.853242375631075</v>
      </c>
      <c r="E8790" s="6" t="n">
        <f aca="false">(Sens!D8775+Sens!E8775)/2*(1-self_build)*fac_rent/1000</f>
        <v>1.94955961408728</v>
      </c>
      <c r="F8790" s="6" t="n">
        <f aca="false">(Sens!E8775+Sens!F8775)/2*(1-self_build)*fac_rent/1000</f>
        <v>3.83026455274573</v>
      </c>
      <c r="G8790" s="6" t="n">
        <f aca="false">(Sens!F8775+Sens!G8775)/2*(1-self_build)*fac_rent/1000</f>
        <v>6.23541590972812</v>
      </c>
      <c r="H8790" s="6" t="n">
        <f aca="false">(Sens!G8775+Sens!H8775)/2*(1-self_build)*fac_rent/1000</f>
        <v>8.74275792332679</v>
      </c>
      <c r="I8790" s="6" t="n">
        <f aca="false">(Sens!H8775+Sens!I8775)/2*(1-self_build)*fac_rent/1000</f>
        <v>11.2500999369255</v>
      </c>
      <c r="J8790" s="6" t="n">
        <f aca="false">(Sens!I8775+Sens!J8775)/2*(1-self_build)*fac_rent/1000</f>
        <v>13.7574419505241</v>
      </c>
      <c r="K8790" s="6" t="n">
        <f aca="false">(Sens!J8775+Sens!K8775)/2*(1-self_build)*fac_rent/1000</f>
        <v>16.2647839641228</v>
      </c>
      <c r="L8790" s="11" t="s">
        <v>744</v>
      </c>
    </row>
    <row r="8791" customFormat="false" ht="17.15" hidden="false" customHeight="false" outlineLevel="0" collapsed="false">
      <c r="A8791" s="1" t="s">
        <v>745</v>
      </c>
      <c r="B8791" s="0" t="s">
        <v>126</v>
      </c>
      <c r="D8791" s="7" t="n">
        <f aca="false">(Sens!C8774+Sens!D8774)/(Sens!C8775+Sens!D8775)</f>
        <v>0.6</v>
      </c>
      <c r="E8791" s="7" t="n">
        <f aca="false">(Sens!D8774+Sens!E8774)/(Sens!D8775+Sens!E8775)</f>
        <v>0.6</v>
      </c>
      <c r="F8791" s="7" t="n">
        <f aca="false">(Sens!E8774+Sens!F8774)/(Sens!E8775+Sens!F8775)</f>
        <v>0.6</v>
      </c>
      <c r="G8791" s="7" t="n">
        <f aca="false">(Sens!F8774+Sens!G8774)/(Sens!F8775+Sens!G8775)</f>
        <v>0.6</v>
      </c>
      <c r="H8791" s="7" t="n">
        <f aca="false">(Sens!G8774+Sens!H8774)/(Sens!G8775+Sens!H8775)</f>
        <v>0.6</v>
      </c>
      <c r="I8791" s="7" t="n">
        <f aca="false">(Sens!H8774+Sens!I8774)/(Sens!H8775+Sens!I8775)</f>
        <v>0.6</v>
      </c>
      <c r="J8791" s="7" t="n">
        <f aca="false">(Sens!I8774+Sens!J8774)/(Sens!I8775+Sens!J8775)</f>
        <v>0.6</v>
      </c>
      <c r="K8791" s="7" t="n">
        <f aca="false">(Sens!J8774+Sens!K8774)/(Sens!J8775+Sens!K8775)</f>
        <v>0.6</v>
      </c>
    </row>
    <row r="8792" customFormat="false" ht="17.15" hidden="false" customHeight="false" outlineLevel="0" collapsed="false">
      <c r="A8792" s="0" t="s">
        <v>746</v>
      </c>
      <c r="B8792" s="0" t="s">
        <v>95</v>
      </c>
      <c r="D8792" s="6" t="n">
        <f aca="false">Sens!D8786-Sens!D8791*(Sens!D8788+Sens!D8790)-Sens!D8789</f>
        <v>8.35701406163072</v>
      </c>
      <c r="E8792" s="6" t="n">
        <f aca="false">Sens!E8786-Sens!E8791*(Sens!E8788+Sens!E8790)-Sens!E8789</f>
        <v>18.7103224860238</v>
      </c>
      <c r="F8792" s="6" t="n">
        <f aca="false">Sens!F8786-Sens!F8791*(Sens!F8788+Sens!F8790)-Sens!F8789</f>
        <v>35.0573455625419</v>
      </c>
      <c r="G8792" s="6" t="n">
        <f aca="false">Sens!G8786-Sens!G8791*(Sens!G8788+Sens!G8790)-Sens!G8789</f>
        <v>52.2504971712871</v>
      </c>
      <c r="H8792" s="6" t="n">
        <f aca="false">Sens!H8786-Sens!H8791*(Sens!H8788+Sens!H8790)-Sens!H8789</f>
        <v>65.2796698510271</v>
      </c>
      <c r="I8792" s="6" t="n">
        <f aca="false">Sens!I8786-Sens!I8791*(Sens!I8788+Sens!I8790)-Sens!I8789</f>
        <v>85.5659922535278</v>
      </c>
      <c r="J8792" s="6" t="n">
        <f aca="false">Sens!J8786-Sens!J8791*(Sens!J8788+Sens!J8790)-Sens!J8789</f>
        <v>105.90773710582</v>
      </c>
      <c r="K8792" s="6" t="n">
        <f aca="false">Sens!K8786-Sens!K8791*(Sens!K8788+Sens!K8790)-Sens!K8789</f>
        <v>126.282084319851</v>
      </c>
    </row>
    <row r="8793" customFormat="false" ht="17.15" hidden="false" customHeight="false" outlineLevel="0" collapsed="false">
      <c r="A8793" s="1" t="s">
        <v>747</v>
      </c>
      <c r="B8793" s="0" t="s">
        <v>95</v>
      </c>
      <c r="D8793" s="6" t="n">
        <f aca="false">(1-Sens!D8791)*(Sens!D8788+Sens!D8790)</f>
        <v>1.42281025374069</v>
      </c>
      <c r="E8793" s="6" t="n">
        <f aca="false">(1-Sens!E8791)*(Sens!E8788+Sens!E8790)</f>
        <v>3.25095598674472</v>
      </c>
      <c r="F8793" s="6" t="n">
        <f aca="false">(1-Sens!F8791)*(Sens!F8788+Sens!F8790)</f>
        <v>6.53293055050977</v>
      </c>
      <c r="G8793" s="6" t="n">
        <f aca="false">(1-Sens!G8791)*(Sens!G8788+Sens!G8790)</f>
        <v>10.7846311741651</v>
      </c>
      <c r="H8793" s="6" t="n">
        <f aca="false">(1-Sens!H8791)*(Sens!H8788+Sens!H8790)</f>
        <v>15.26343050201</v>
      </c>
      <c r="I8793" s="6" t="n">
        <f aca="false">(1-Sens!I8791)*(Sens!I8788+Sens!I8790)</f>
        <v>19.7545570754104</v>
      </c>
      <c r="J8793" s="6" t="n">
        <f aca="false">(1-Sens!J8791)*(Sens!J8788+Sens!J8790)</f>
        <v>24.2521277113811</v>
      </c>
      <c r="K8793" s="6" t="n">
        <f aca="false">(1-Sens!K8791)*(Sens!K8788+Sens!K8790)</f>
        <v>28.7534890794427</v>
      </c>
    </row>
    <row r="8794" customFormat="false" ht="17.15" hidden="false" customHeight="false" outlineLevel="0" collapsed="false">
      <c r="A8794" s="1" t="s">
        <v>748</v>
      </c>
      <c r="B8794" s="0" t="s">
        <v>302</v>
      </c>
      <c r="C8794" s="8" t="n">
        <f aca="false">cxit_open</f>
        <v>27.5918995</v>
      </c>
      <c r="D8794" s="8" t="n">
        <f aca="false">cxit_open</f>
        <v>27.5918995</v>
      </c>
      <c r="E8794" s="8" t="n">
        <f aca="false">cxit_open</f>
        <v>27.5918995</v>
      </c>
      <c r="F8794" s="8" t="n">
        <f aca="false">(a_g3_27*tk_cxit_gb300+(1-a_g3_27)*tk_cxit_vr200)</f>
        <v>33.8419624</v>
      </c>
      <c r="G8794" s="8" t="n">
        <f aca="false">(a_g3_28*tk_cxit_gb300+(1-a_g3_28)*tk_cxit_vr200)</f>
        <v>35.9816136</v>
      </c>
      <c r="H8794" s="8" t="n">
        <f aca="false">(a_g3_29*tk_cxit_gb300+(1-a_g3_29)*tk_cxit_vr200)</f>
        <v>37.0514392</v>
      </c>
      <c r="I8794" s="8" t="n">
        <f aca="false">(a_g3_29*tk_cxit_gb300+(1-a_g3_29)*tk_cxit_vr200)</f>
        <v>37.0514392</v>
      </c>
      <c r="J8794" s="8" t="n">
        <f aca="false">(a_g3_29*tk_cxit_gb300+(1-a_g3_29)*tk_cxit_vr200)</f>
        <v>37.0514392</v>
      </c>
      <c r="K8794" s="8" t="n">
        <f aca="false">(a_g3_29*tk_cxit_gb300+(1-a_g3_29)*tk_cxit_vr200)</f>
        <v>37.0514392</v>
      </c>
      <c r="L8794" s="11" t="s">
        <v>749</v>
      </c>
    </row>
    <row r="8795" customFormat="false" ht="17.15" hidden="false" customHeight="false" outlineLevel="0" collapsed="false">
      <c r="A8795" s="0" t="s">
        <v>750</v>
      </c>
      <c r="B8795" s="0" t="s">
        <v>340</v>
      </c>
      <c r="F8795" s="27" t="n">
        <f aca="false">Sens!C8777*IF(3=life_it,1,0)+Sens!D8777*IF(2=life_it,1,0)+Sens!E8777*IF(1=life_it,1,0)</f>
        <v>0</v>
      </c>
      <c r="G8795" s="27" t="n">
        <f aca="false">Sens!C8777*IF(4=life_it,1,0)+Sens!D8777*IF(3=life_it,1,0)+Sens!E8777*IF(2=life_it,1,0)+Sens!F8777*IF(1=life_it,1,0)</f>
        <v>0</v>
      </c>
      <c r="H8795" s="27" t="n">
        <f aca="false">Sens!C8777*IF(5=life_it,1,0)+Sens!D8777*IF(4=life_it,1,0)+Sens!E8777*IF(3=life_it,1,0)+Sens!F8777*IF(2=life_it,1,0)+Sens!G8777*IF(1=life_it,1,0)</f>
        <v>0</v>
      </c>
      <c r="I8795" s="27" t="n">
        <f aca="false">Sens!C8777*IF(6=life_it,1,0)+Sens!D8777*IF(5=life_it,1,0)+Sens!E8777*IF(4=life_it,1,0)+Sens!F8777*IF(3=life_it,1,0)+Sens!G8777*IF(2=life_it,1,0)+Sens!H8777*IF(1=life_it,1,0)</f>
        <v>816.666666666667</v>
      </c>
      <c r="J8795" s="27" t="n">
        <f aca="false">Sens!C8777*IF(7=life_it,1,0)+Sens!D8777*IF(6=life_it,1,0)+Sens!E8777*IF(5=life_it,1,0)+Sens!F8777*IF(4=life_it,1,0)+Sens!G8777*IF(3=life_it,1,0)+Sens!H8777*IF(2=life_it,1,0)+Sens!I8777*IF(1=life_it,1,0)</f>
        <v>1233.33333333333</v>
      </c>
      <c r="K8795" s="27" t="n">
        <f aca="false">Sens!C8777*IF(8=life_it,1,0)+Sens!D8777*IF(7=life_it,1,0)+Sens!E8777*IF(6=life_it,1,0)+Sens!F8777*IF(5=life_it,1,0)+Sens!G8777*IF(4=life_it,1,0)+Sens!H8777*IF(3=life_it,1,0)+Sens!I8777*IF(2=life_it,1,0)+Sens!J8777*IF(1=life_it,1,0)</f>
        <v>2450</v>
      </c>
      <c r="L8795" s="1" t="s">
        <v>751</v>
      </c>
    </row>
    <row r="8796" customFormat="false" ht="17.15" hidden="false" customHeight="false" outlineLevel="0" collapsed="false">
      <c r="A8796" s="0" t="s">
        <v>752</v>
      </c>
      <c r="B8796" s="0" t="s">
        <v>95</v>
      </c>
      <c r="C8796" s="6" t="n">
        <f aca="false">Sens!C8777*Sens!C8794/1000</f>
        <v>22.5333845916667</v>
      </c>
      <c r="D8796" s="6" t="n">
        <f aca="false">Sens!D8777*Sens!D8794/1000</f>
        <v>34.0300093833333</v>
      </c>
      <c r="E8796" s="6" t="n">
        <f aca="false">Sens!E8777*Sens!E8794/1000</f>
        <v>67.600153775</v>
      </c>
      <c r="F8796" s="6" t="n">
        <f aca="false">(Sens!F8777+Sens!F8795)*Sens!F8794/1000</f>
        <v>130.923271871467</v>
      </c>
      <c r="G8796" s="6" t="n">
        <f aca="false">(Sens!G8777+Sens!G8795)*Sens!G8794/1000</f>
        <v>151.5545564832</v>
      </c>
      <c r="H8796" s="6" t="n">
        <f aca="false">(Sens!H8777+Sens!H8795)*Sens!H8794/1000</f>
        <v>156.0606619104</v>
      </c>
      <c r="I8796" s="6" t="n">
        <f aca="false">(Sens!I8777+Sens!I8795)*Sens!I8794/1000</f>
        <v>186.319337257067</v>
      </c>
      <c r="J8796" s="6" t="n">
        <f aca="false">(Sens!J8777+Sens!J8795)*Sens!J8794/1000</f>
        <v>201.757436923733</v>
      </c>
      <c r="K8796" s="6" t="n">
        <f aca="false">(Sens!K8777+Sens!K8795)*Sens!K8794/1000</f>
        <v>246.8366879504</v>
      </c>
    </row>
    <row r="8797" customFormat="false" ht="17.15" hidden="false" customHeight="false" outlineLevel="0" collapsed="false">
      <c r="A8797" s="0" t="s">
        <v>753</v>
      </c>
      <c r="B8797" s="0" t="s">
        <v>95</v>
      </c>
      <c r="C8797" s="6" t="n">
        <f aca="false">Sens!C8777*self_build*tk_cxfac/1000</f>
        <v>6.2083</v>
      </c>
      <c r="D8797" s="6" t="n">
        <f aca="false">Sens!D8777*self_build*tk_cxfac/1000</f>
        <v>9.3758</v>
      </c>
      <c r="E8797" s="6" t="n">
        <f aca="false">Sens!E8777*self_build*tk_cxfac/1000</f>
        <v>18.6249</v>
      </c>
      <c r="F8797" s="6" t="n">
        <f aca="false">Sens!F8777*self_build*tk_cxfac/1000</f>
        <v>29.409604</v>
      </c>
      <c r="G8797" s="6" t="n">
        <f aca="false">Sens!G8777*self_build*tk_cxfac/1000</f>
        <v>32.019624</v>
      </c>
      <c r="H8797" s="6" t="n">
        <f aca="false">Sens!H8777*self_build*tk_cxfac/1000</f>
        <v>32.019624</v>
      </c>
      <c r="I8797" s="6" t="n">
        <f aca="false">Sens!I8777*self_build*tk_cxfac/1000</f>
        <v>32.019624</v>
      </c>
      <c r="J8797" s="6" t="n">
        <f aca="false">Sens!J8777*self_build*tk_cxfac/1000</f>
        <v>32.019624</v>
      </c>
      <c r="K8797" s="6" t="n">
        <f aca="false">Sens!K8777*self_build*tk_cxfac/1000</f>
        <v>32.019624</v>
      </c>
    </row>
    <row r="8798" customFormat="false" ht="17.15" hidden="false" customHeight="false" outlineLevel="0" collapsed="false">
      <c r="A8798" s="0" t="s">
        <v>754</v>
      </c>
      <c r="B8798" s="0" t="s">
        <v>95</v>
      </c>
      <c r="F8798" s="6" t="n">
        <f aca="false">MAX(0,capex_floor27-Sens!F8796-Sens!F8797-Sens!F8885)</f>
        <v>8.44213489897089</v>
      </c>
      <c r="G8798" s="6" t="n">
        <f aca="false">0</f>
        <v>0</v>
      </c>
      <c r="H8798" s="6" t="n">
        <f aca="false">0</f>
        <v>0</v>
      </c>
      <c r="I8798" s="6" t="n">
        <f aca="false">0</f>
        <v>0</v>
      </c>
      <c r="J8798" s="6" t="n">
        <f aca="false">0</f>
        <v>0</v>
      </c>
      <c r="K8798" s="6" t="n">
        <f aca="false">0</f>
        <v>0</v>
      </c>
      <c r="L8798" s="1" t="s">
        <v>755</v>
      </c>
    </row>
    <row r="8799" customFormat="false" ht="17.15" hidden="false" customHeight="false" outlineLevel="0" collapsed="false">
      <c r="A8799" s="0" t="s">
        <v>756</v>
      </c>
      <c r="B8799" s="0" t="s">
        <v>95</v>
      </c>
      <c r="C8799" s="6" t="n">
        <f aca="false">Sens!C8796</f>
        <v>22.5333845916667</v>
      </c>
      <c r="D8799" s="6" t="n">
        <f aca="false">Sens!D8796</f>
        <v>34.0300093833333</v>
      </c>
      <c r="E8799" s="6" t="n">
        <f aca="false">Sens!E8796</f>
        <v>67.600153775</v>
      </c>
      <c r="F8799" s="6" t="n">
        <f aca="false">Sens!F8796+Sens!F8798</f>
        <v>139.365406770438</v>
      </c>
      <c r="G8799" s="6" t="n">
        <f aca="false">Sens!G8796+Sens!G8798</f>
        <v>151.5545564832</v>
      </c>
      <c r="H8799" s="6" t="n">
        <f aca="false">Sens!H8796+Sens!H8798</f>
        <v>156.0606619104</v>
      </c>
      <c r="I8799" s="6" t="n">
        <f aca="false">Sens!I8796+Sens!I8798</f>
        <v>186.319337257067</v>
      </c>
      <c r="J8799" s="6" t="n">
        <f aca="false">Sens!J8796+Sens!J8798</f>
        <v>201.757436923733</v>
      </c>
      <c r="K8799" s="6" t="n">
        <f aca="false">Sens!K8796+Sens!K8798</f>
        <v>246.8366879504</v>
      </c>
    </row>
    <row r="8800" customFormat="false" ht="17.15" hidden="false" customHeight="false" outlineLevel="0" collapsed="false">
      <c r="A8800" s="0" t="s">
        <v>757</v>
      </c>
      <c r="B8800" s="0" t="s">
        <v>95</v>
      </c>
      <c r="C8800" s="6" t="n">
        <f aca="false">Sens!C8799+Sens!C8797</f>
        <v>28.7416845916667</v>
      </c>
      <c r="D8800" s="6" t="n">
        <f aca="false">Sens!D8799+Sens!D8797</f>
        <v>43.4058093833333</v>
      </c>
      <c r="E8800" s="6" t="n">
        <f aca="false">Sens!E8799+Sens!E8797</f>
        <v>86.225053775</v>
      </c>
      <c r="F8800" s="6" t="n">
        <f aca="false">Sens!F8799+Sens!F8797</f>
        <v>168.775010770438</v>
      </c>
      <c r="G8800" s="6" t="n">
        <f aca="false">Sens!G8799+Sens!G8797</f>
        <v>183.5741804832</v>
      </c>
      <c r="H8800" s="6" t="n">
        <f aca="false">Sens!H8799+Sens!H8797</f>
        <v>188.0802859104</v>
      </c>
      <c r="I8800" s="6" t="n">
        <f aca="false">Sens!I8799+Sens!I8797</f>
        <v>218.338961257067</v>
      </c>
      <c r="J8800" s="6" t="n">
        <f aca="false">Sens!J8799+Sens!J8797</f>
        <v>233.777060923733</v>
      </c>
      <c r="K8800" s="6" t="n">
        <f aca="false">Sens!K8799+Sens!K8797</f>
        <v>278.8563119504</v>
      </c>
      <c r="L8800" s="11" t="s">
        <v>758</v>
      </c>
    </row>
    <row r="8801" customFormat="false" ht="17.15" hidden="false" customHeight="false" outlineLevel="0" collapsed="false">
      <c r="A8801" s="0" t="s">
        <v>759</v>
      </c>
      <c r="B8801" s="0" t="s">
        <v>95</v>
      </c>
      <c r="E8801" s="6" t="n">
        <f aca="false">(Sens!C8799*IF(2&lt;life_it,1,IF(2=life_it,0.5,0))+Sens!D8799*IF(1&lt;life_it,1,IF(1=life_it,0.5,0))+Sens!E8799*0.5)/life_it</f>
        <v>15.0605784770833</v>
      </c>
      <c r="F8801" s="6" t="n">
        <f aca="false">(Sens!C8799*IF(3&lt;life_it,1,IF(3=life_it,0.5,0))+Sens!D8799*IF(2&lt;life_it,1,IF(2=life_it,0.5,0))+Sens!E8799*IF(1&lt;life_it,1,IF(1=life_it,0.5,0))+Sens!F8799*0.5)/life_it</f>
        <v>32.3077085225365</v>
      </c>
      <c r="G8801" s="6" t="n">
        <f aca="false">(Sens!C8799*IF(4&lt;life_it,1,IF(4=life_it,0.5,0))+Sens!D8799*IF(3&lt;life_it,1,IF(3=life_it,0.5,0))+Sens!E8799*IF(2&lt;life_it,1,IF(2=life_it,0.5,0))+Sens!F8799*IF(1&lt;life_it,1,IF(1=life_it,0.5,0))+Sens!G8799*0.5)/life_it</f>
        <v>56.5510387936729</v>
      </c>
      <c r="H8801" s="6" t="n">
        <f aca="false">(Sens!C8799*IF(5&lt;life_it,1,IF(5=life_it,0.5,0))+Sens!D8799*IF(4&lt;life_it,1,IF(4=life_it,0.5,0))+Sens!E8799*IF(3&lt;life_it,1,IF(3=life_it,0.5,0))+Sens!F8799*IF(2&lt;life_it,1,IF(2=life_it,0.5,0))+Sens!G8799*IF(1&lt;life_it,1,IF(1=life_it,0.5,0))+Sens!H8799*0.5)/life_it</f>
        <v>82.1856403264729</v>
      </c>
      <c r="I8801" s="6" t="n">
        <f aca="false">(Sens!C8799*IF(6&lt;life_it,1,IF(6=life_it,0.5,0))+Sens!D8799*IF(5&lt;life_it,1,IF(5=life_it,0.5,0))+Sens!E8799*IF(4&lt;life_it,1,IF(4=life_it,0.5,0))+Sens!F8799*IF(3&lt;life_it,1,IF(3=life_it,0.5,0))+Sens!G8799*IF(2&lt;life_it,1,IF(2=life_it,0.5,0))+Sens!H8799*IF(1&lt;life_it,1,IF(1=life_it,0.5,0))+Sens!I8799*0.5)/life_it</f>
        <v>108.839524874456</v>
      </c>
      <c r="J8801" s="6" t="n">
        <f aca="false">(Sens!C8799*IF(7&lt;life_it,1,IF(7=life_it,0.5,0))+Sens!D8799*IF(6&lt;life_it,1,IF(6=life_it,0.5,0))+Sens!E8799*IF(5&lt;life_it,1,IF(5=life_it,0.5,0))+Sens!F8799*IF(4&lt;life_it,1,IF(4=life_it,0.5,0))+Sens!G8799*IF(3&lt;life_it,1,IF(3=life_it,0.5,0))+Sens!H8799*IF(2&lt;life_it,1,IF(2=life_it,0.5,0))+Sens!I8799*IF(1&lt;life_it,1,IF(1=life_it,0.5,0))+Sens!J8799*0.5)/life_it</f>
        <v>136.465639891606</v>
      </c>
      <c r="K8801" s="6" t="n">
        <f aca="false">(Sens!C8799*IF(8&lt;life_it,1,IF(8=life_it,0.5,0))+Sens!D8799*IF(7&lt;life_it,1,IF(7=life_it,0.5,0))+Sens!E8799*IF(6&lt;life_it,1,IF(6=life_it,0.5,0))+Sens!F8799*IF(5&lt;life_it,1,IF(5=life_it,0.5,0))+Sens!G8799*IF(4&lt;life_it,1,IF(4=life_it,0.5,0))+Sens!H8799*IF(3&lt;life_it,1,IF(3=life_it,0.5,0))+Sens!I8799*IF(2&lt;life_it,1,IF(2=life_it,0.5,0))+Sens!J8799*IF(1&lt;life_it,1,IF(1=life_it,0.5,0))+Sens!K8799*0.5)/life_it</f>
        <v>165.379303367923</v>
      </c>
    </row>
    <row r="8802" customFormat="false" ht="17.15" hidden="false" customHeight="false" outlineLevel="0" collapsed="false">
      <c r="A8802" s="0" t="s">
        <v>760</v>
      </c>
      <c r="B8802" s="0" t="s">
        <v>95</v>
      </c>
      <c r="E8802" s="6" t="n">
        <f aca="false">(Sens!C8797*IF(2&lt;life_fac,1,IF(2=life_fac,0.5,0))+Sens!D8797*IF(1&lt;life_fac,1,IF(1=life_fac,0.5,0))+Sens!E8797*0.5)/life_fac</f>
        <v>1.2448275</v>
      </c>
      <c r="F8802" s="6" t="n">
        <f aca="false">(Sens!C8797*IF(3&lt;life_fac,1,IF(3=life_fac,0.5,0))+Sens!D8797*IF(2&lt;life_fac,1,IF(2=life_fac,0.5,0))+Sens!E8797*IF(1&lt;life_fac,1,IF(1=life_fac,0.5,0))+Sens!F8797*0.5)/life_fac</f>
        <v>2.4456901</v>
      </c>
      <c r="G8802" s="6" t="n">
        <f aca="false">(Sens!C8797*IF(4&lt;life_fac,1,IF(4=life_fac,0.5,0))+Sens!D8797*IF(3&lt;life_fac,1,IF(3=life_fac,0.5,0))+Sens!E8797*IF(2&lt;life_fac,1,IF(2=life_fac,0.5,0))+Sens!F8797*IF(1&lt;life_fac,1,IF(1=life_fac,0.5,0))+Sens!G8797*0.5)/life_fac</f>
        <v>3.9814208</v>
      </c>
      <c r="H8802" s="6" t="n">
        <f aca="false">(Sens!C8797*IF(5&lt;life_fac,1,IF(5=life_fac,0.5,0))+Sens!D8797*IF(4&lt;life_fac,1,IF(4=life_fac,0.5,0))+Sens!E8797*IF(3&lt;life_fac,1,IF(3=life_fac,0.5,0))+Sens!F8797*IF(2&lt;life_fac,1,IF(2=life_fac,0.5,0))+Sens!G8797*IF(1&lt;life_fac,1,IF(1=life_fac,0.5,0))+Sens!H8797*0.5)/life_fac</f>
        <v>5.582402</v>
      </c>
      <c r="I8802" s="6" t="n">
        <f aca="false">(Sens!C8797*IF(6&lt;life_fac,1,IF(6=life_fac,0.5,0))+Sens!D8797*IF(5&lt;life_fac,1,IF(5=life_fac,0.5,0))+Sens!E8797*IF(4&lt;life_fac,1,IF(4=life_fac,0.5,0))+Sens!F8797*IF(3&lt;life_fac,1,IF(3=life_fac,0.5,0))+Sens!G8797*IF(2&lt;life_fac,1,IF(2=life_fac,0.5,0))+Sens!H8797*IF(1&lt;life_fac,1,IF(1=life_fac,0.5,0))+Sens!I8797*0.5)/life_fac</f>
        <v>7.1833832</v>
      </c>
      <c r="J8802" s="6" t="n">
        <f aca="false">(Sens!C8797*IF(7&lt;life_fac,1,IF(7=life_fac,0.5,0))+Sens!D8797*IF(6&lt;life_fac,1,IF(6=life_fac,0.5,0))+Sens!E8797*IF(5&lt;life_fac,1,IF(5=life_fac,0.5,0))+Sens!F8797*IF(4&lt;life_fac,1,IF(4=life_fac,0.5,0))+Sens!G8797*IF(3&lt;life_fac,1,IF(3=life_fac,0.5,0))+Sens!H8797*IF(2&lt;life_fac,1,IF(2=life_fac,0.5,0))+Sens!I8797*IF(1&lt;life_fac,1,IF(1=life_fac,0.5,0))+Sens!J8797*0.5)/life_fac</f>
        <v>8.7843644</v>
      </c>
      <c r="K8802" s="6" t="n">
        <f aca="false">(Sens!C8797*IF(8&lt;life_fac,1,IF(8=life_fac,0.5,0))+Sens!D8797*IF(7&lt;life_fac,1,IF(7=life_fac,0.5,0))+Sens!E8797*IF(6&lt;life_fac,1,IF(6=life_fac,0.5,0))+Sens!F8797*IF(5&lt;life_fac,1,IF(5=life_fac,0.5,0))+Sens!G8797*IF(4&lt;life_fac,1,IF(4=life_fac,0.5,0))+Sens!H8797*IF(3&lt;life_fac,1,IF(3=life_fac,0.5,0))+Sens!I8797*IF(2&lt;life_fac,1,IF(2=life_fac,0.5,0))+Sens!J8797*IF(1&lt;life_fac,1,IF(1=life_fac,0.5,0))+Sens!K8797*0.5)/life_fac</f>
        <v>10.3853456</v>
      </c>
    </row>
    <row r="8803" customFormat="false" ht="17.15" hidden="false" customHeight="false" outlineLevel="0" collapsed="false">
      <c r="A8803" s="0" t="s">
        <v>761</v>
      </c>
      <c r="B8803" s="0" t="s">
        <v>95</v>
      </c>
      <c r="E8803" s="6" t="n">
        <f aca="false">Sens!E8801+Sens!E8802</f>
        <v>16.3054059770833</v>
      </c>
      <c r="F8803" s="6" t="n">
        <f aca="false">Sens!F8801+Sens!F8802</f>
        <v>34.7533986225365</v>
      </c>
      <c r="G8803" s="6" t="n">
        <f aca="false">Sens!G8801+Sens!G8802</f>
        <v>60.5324595936729</v>
      </c>
      <c r="H8803" s="6" t="n">
        <f aca="false">Sens!H8801+Sens!H8802</f>
        <v>87.7680423264729</v>
      </c>
      <c r="I8803" s="6" t="n">
        <f aca="false">Sens!I8801+Sens!I8802</f>
        <v>116.022908074456</v>
      </c>
      <c r="J8803" s="6" t="n">
        <f aca="false">Sens!J8801+Sens!J8802</f>
        <v>145.250004291606</v>
      </c>
      <c r="K8803" s="6" t="n">
        <f aca="false">Sens!K8801+Sens!K8802</f>
        <v>175.764648967923</v>
      </c>
    </row>
    <row r="8804" customFormat="false" ht="17.15" hidden="false" customHeight="false" outlineLevel="0" collapsed="false">
      <c r="A8804" s="0" t="s">
        <v>762</v>
      </c>
      <c r="B8804" s="0" t="s">
        <v>95</v>
      </c>
      <c r="E8804" s="6" t="n">
        <f aca="false">Sens!E8792-Sens!E8791*Sens!E8803</f>
        <v>8.92707889977379</v>
      </c>
      <c r="F8804" s="6" t="n">
        <f aca="false">Sens!F8792-Sens!F8791*Sens!F8803</f>
        <v>14.20530638902</v>
      </c>
      <c r="G8804" s="6" t="n">
        <f aca="false">Sens!G8792-Sens!G8791*Sens!G8803</f>
        <v>15.9310214150834</v>
      </c>
      <c r="H8804" s="6" t="n">
        <f aca="false">Sens!H8792-Sens!H8791*Sens!H8803</f>
        <v>12.6188444551433</v>
      </c>
      <c r="I8804" s="6" t="n">
        <f aca="false">Sens!I8792-Sens!I8791*Sens!I8803</f>
        <v>15.9522474088541</v>
      </c>
      <c r="J8804" s="6" t="n">
        <f aca="false">Sens!J8792-Sens!J8791*Sens!J8803</f>
        <v>18.7577345308565</v>
      </c>
      <c r="K8804" s="6" t="n">
        <f aca="false">Sens!K8792-Sens!K8791*Sens!K8803</f>
        <v>20.8232949390974</v>
      </c>
    </row>
    <row r="8805" customFormat="false" ht="17.15" hidden="false" customHeight="false" outlineLevel="0" collapsed="false">
      <c r="A8805" s="3" t="s">
        <v>1365</v>
      </c>
    </row>
    <row r="8806" customFormat="false" ht="15" hidden="false" customHeight="false" outlineLevel="0" collapsed="false">
      <c r="A8806" s="4" t="s">
        <v>43</v>
      </c>
      <c r="B8806" s="4" t="s">
        <v>63</v>
      </c>
      <c r="C8806" s="19" t="s">
        <v>710</v>
      </c>
      <c r="D8806" s="19" t="s">
        <v>711</v>
      </c>
      <c r="E8806" s="19" t="s">
        <v>712</v>
      </c>
      <c r="F8806" s="19" t="s">
        <v>713</v>
      </c>
      <c r="G8806" s="19" t="s">
        <v>714</v>
      </c>
      <c r="H8806" s="19" t="s">
        <v>715</v>
      </c>
      <c r="I8806" s="19" t="s">
        <v>716</v>
      </c>
      <c r="J8806" s="19" t="s">
        <v>717</v>
      </c>
      <c r="K8806" s="19" t="s">
        <v>718</v>
      </c>
      <c r="L8806" s="4" t="s">
        <v>47</v>
      </c>
    </row>
    <row r="8807" customFormat="false" ht="17.15" hidden="false" customHeight="false" outlineLevel="0" collapsed="false">
      <c r="A8807" s="0" t="s">
        <v>780</v>
      </c>
      <c r="B8807" s="0" t="s">
        <v>95</v>
      </c>
      <c r="D8807" s="6" t="n">
        <f aca="false">Sens!D8786</f>
        <v>12.9359794422418</v>
      </c>
      <c r="E8807" s="6" t="n">
        <f aca="false">Sens!E8786</f>
        <v>27.8095064661409</v>
      </c>
      <c r="F8807" s="6" t="n">
        <f aca="false">Sens!F8786</f>
        <v>50.6619113883066</v>
      </c>
      <c r="G8807" s="6" t="n">
        <f aca="false">Sens!G8786</f>
        <v>75.1482839325348</v>
      </c>
      <c r="H8807" s="6" t="n">
        <f aca="false">Sens!H8786</f>
        <v>94.895655604042</v>
      </c>
      <c r="I8807" s="6" t="n">
        <f aca="false">Sens!I8786</f>
        <v>121.918667866643</v>
      </c>
      <c r="J8807" s="6" t="n">
        <f aca="false">Sens!J8786</f>
        <v>149.006768672892</v>
      </c>
      <c r="K8807" s="6" t="n">
        <f aca="false">Sens!K8786</f>
        <v>176.133157939015</v>
      </c>
    </row>
    <row r="8808" customFormat="false" ht="17.15" hidden="false" customHeight="false" outlineLevel="0" collapsed="false">
      <c r="A8808" s="0" t="s">
        <v>781</v>
      </c>
      <c r="B8808" s="0" t="s">
        <v>95</v>
      </c>
      <c r="D8808" s="6" t="n">
        <f aca="false">Q!L6-Sens!D8807</f>
        <v>59.6740205577583</v>
      </c>
      <c r="E8808" s="6" t="n">
        <f aca="false">Q!M6-Sens!E8807</f>
        <v>74.1284935338591</v>
      </c>
      <c r="F8808" s="6" t="n">
        <f aca="false">Sens!E8808*(1+Sens!F8809)</f>
        <v>90.0799497373663</v>
      </c>
      <c r="G8808" s="6" t="n">
        <f aca="false">Sens!F8808*(1+Sens!G8809)</f>
        <v>107.02842520331</v>
      </c>
      <c r="H8808" s="6" t="n">
        <f aca="false">Sens!G8808*(1+Sens!H8809)</f>
        <v>124.271982585636</v>
      </c>
      <c r="I8808" s="6" t="n">
        <f aca="false">Sens!H8808*(1+Sens!I8809)</f>
        <v>140.933702381855</v>
      </c>
      <c r="J8808" s="6" t="n">
        <f aca="false">Sens!I8808*(1+Sens!J8809)</f>
        <v>156.018867314332</v>
      </c>
      <c r="K8808" s="6" t="n">
        <f aca="false">Sens!J8808*(1+Sens!K8809)</f>
        <v>168.500376699478</v>
      </c>
    </row>
    <row r="8809" customFormat="false" ht="15" hidden="false" customHeight="false" outlineLevel="0" collapsed="false">
      <c r="A8809" s="1" t="s">
        <v>782</v>
      </c>
      <c r="B8809" s="0" t="s">
        <v>126</v>
      </c>
      <c r="E8809" s="7" t="n">
        <f aca="false">Sens!E8808/Sens!D8808-1</f>
        <v>0.242223883039864</v>
      </c>
      <c r="F8809" s="7" t="n">
        <f aca="false">Sens!$E$8809+(glt_azo-Sens!$E$8809)*MIN(1,1/n_conv)</f>
        <v>0.215186569199887</v>
      </c>
      <c r="G8809" s="7" t="n">
        <f aca="false">Sens!$E$8809+(glt_azo-Sens!$E$8809)*MIN(1,2/n_conv)</f>
        <v>0.18814925535991</v>
      </c>
      <c r="H8809" s="7" t="n">
        <f aca="false">Sens!$E$8809+(glt_azo-Sens!$E$8809)*MIN(1,3/n_conv)</f>
        <v>0.161111941519932</v>
      </c>
      <c r="I8809" s="7" t="n">
        <f aca="false">Sens!$E$8809+(glt_azo-Sens!$E$8809)*MIN(1,4/n_conv)</f>
        <v>0.134074627679955</v>
      </c>
      <c r="J8809" s="7" t="n">
        <f aca="false">Sens!$E$8809+(glt_azo-Sens!$E$8809)*MIN(1,5/n_conv)</f>
        <v>0.107037313839977</v>
      </c>
      <c r="K8809" s="7" t="n">
        <f aca="false">Sens!$E$8809+(glt_azo-Sens!$E$8809)*MIN(1,6/n_conv)</f>
        <v>0.08</v>
      </c>
    </row>
    <row r="8810" customFormat="false" ht="15" hidden="false" customHeight="false" outlineLevel="0" collapsed="false">
      <c r="A8810" s="0" t="s">
        <v>783</v>
      </c>
      <c r="B8810" s="0" t="s">
        <v>95</v>
      </c>
      <c r="D8810" s="6" t="n">
        <f aca="false">Sens!D8807+Sens!D8808</f>
        <v>72.61</v>
      </c>
      <c r="E8810" s="6" t="n">
        <f aca="false">Sens!E8807+Sens!E8808</f>
        <v>101.938</v>
      </c>
      <c r="F8810" s="6" t="n">
        <f aca="false">Sens!F8807+Sens!F8808</f>
        <v>140.741861125673</v>
      </c>
      <c r="G8810" s="6" t="n">
        <f aca="false">Sens!G8807+Sens!G8808</f>
        <v>182.176709135845</v>
      </c>
      <c r="H8810" s="6" t="n">
        <f aca="false">Sens!H8807+Sens!H8808</f>
        <v>219.167638189678</v>
      </c>
      <c r="I8810" s="6" t="n">
        <f aca="false">Sens!I8807+Sens!I8808</f>
        <v>262.852370248498</v>
      </c>
      <c r="J8810" s="6" t="n">
        <f aca="false">Sens!J8807+Sens!J8808</f>
        <v>305.025635987223</v>
      </c>
      <c r="K8810" s="6" t="n">
        <f aca="false">Sens!K8807+Sens!K8808</f>
        <v>344.633534638493</v>
      </c>
    </row>
    <row r="8811" customFormat="false" ht="17.15" hidden="false" customHeight="false" outlineLevel="0" collapsed="false">
      <c r="A8811" s="0" t="s">
        <v>784</v>
      </c>
      <c r="B8811" s="1" t="s">
        <v>451</v>
      </c>
      <c r="C8811" s="27" t="n">
        <f aca="false">cop_s24</f>
        <v>1</v>
      </c>
      <c r="D8811" s="27" t="n">
        <f aca="false">cop_s25</f>
        <v>5</v>
      </c>
      <c r="E8811" s="27" t="n">
        <f aca="false">cop_s26</f>
        <v>30</v>
      </c>
      <c r="F8811" s="27" t="n">
        <f aca="false">Sens!E8811+IF(2027&lt;=2029,cop_add_C,cop_add_C*cop_tail)</f>
        <v>40</v>
      </c>
      <c r="G8811" s="27" t="n">
        <f aca="false">Sens!F8811+IF(2028&lt;=2029,cop_add_C,cop_add_C*cop_tail)</f>
        <v>50</v>
      </c>
      <c r="H8811" s="27" t="n">
        <f aca="false">Sens!G8811+IF(2029&lt;=2029,cop_add_C,cop_add_C*cop_tail)</f>
        <v>60</v>
      </c>
      <c r="I8811" s="27" t="n">
        <f aca="false">Sens!H8811+IF(2030&lt;=2029,cop_add_C,cop_add_C*cop_tail)</f>
        <v>65</v>
      </c>
      <c r="J8811" s="27" t="n">
        <f aca="false">Sens!I8811+IF(2031&lt;=2029,cop_add_C,cop_add_C*cop_tail)</f>
        <v>70</v>
      </c>
      <c r="K8811" s="27" t="n">
        <f aca="false">Sens!J8811+IF(2032&lt;=2029,cop_add_C,cop_add_C*cop_tail)</f>
        <v>75</v>
      </c>
    </row>
    <row r="8812" customFormat="false" ht="17.15" hidden="false" customHeight="false" outlineLevel="0" collapsed="false">
      <c r="A8812" s="0" t="s">
        <v>785</v>
      </c>
      <c r="B8812" s="0" t="s">
        <v>95</v>
      </c>
      <c r="D8812" s="6" t="n">
        <f aca="false">(Sens!C8811+Sens!D8811)/2*cop_px*12/1000</f>
        <v>0.9</v>
      </c>
      <c r="E8812" s="6" t="n">
        <f aca="false">(Sens!D8811+Sens!E8811)/2*cop_px*12/1000</f>
        <v>5.25</v>
      </c>
      <c r="F8812" s="6" t="n">
        <f aca="false">(Sens!E8811+Sens!F8811)/2*cop_px*12/1000</f>
        <v>10.5</v>
      </c>
      <c r="G8812" s="6" t="n">
        <f aca="false">(Sens!F8811+Sens!G8811)/2*cop_px*12/1000</f>
        <v>13.5</v>
      </c>
      <c r="H8812" s="6" t="n">
        <f aca="false">(Sens!G8811+Sens!H8811)/2*cop_px*12/1000</f>
        <v>16.5</v>
      </c>
      <c r="I8812" s="6" t="n">
        <f aca="false">(Sens!H8811+Sens!I8811)/2*cop_px*12/1000</f>
        <v>18.75</v>
      </c>
      <c r="J8812" s="6" t="n">
        <f aca="false">(Sens!I8811+Sens!J8811)/2*cop_px*12/1000</f>
        <v>20.25</v>
      </c>
      <c r="K8812" s="6" t="n">
        <f aca="false">(Sens!J8811+Sens!K8811)/2*cop_px*12/1000</f>
        <v>21.75</v>
      </c>
      <c r="L8812" s="1" t="s">
        <v>786</v>
      </c>
    </row>
    <row r="8813" customFormat="false" ht="17.15" hidden="false" customHeight="false" outlineLevel="0" collapsed="false">
      <c r="A8813" s="0" t="s">
        <v>787</v>
      </c>
      <c r="B8813" s="0" t="s">
        <v>95</v>
      </c>
      <c r="D8813" s="6" t="n">
        <f aca="false">Q!L7-Sens!D8812</f>
        <v>83.705</v>
      </c>
      <c r="E8813" s="6" t="n">
        <f aca="false">Q!M7-Sens!E8812</f>
        <v>95.049</v>
      </c>
      <c r="F8813" s="6" t="n">
        <f aca="false">Sens!E8813*(1+Sens!F8814)</f>
        <v>106.89238776686</v>
      </c>
      <c r="G8813" s="6" t="n">
        <f aca="false">Sens!F8813*(1+Sens!G8814)</f>
        <v>119.044168448684</v>
      </c>
      <c r="H8813" s="6" t="n">
        <f aca="false">Sens!G8813*(1+Sens!H8814)</f>
        <v>131.277359388781</v>
      </c>
      <c r="I8813" s="6" t="n">
        <f aca="false">Sens!H8813*(1+Sens!I8814)</f>
        <v>143.334028071957</v>
      </c>
      <c r="J8813" s="6" t="n">
        <f aca="false">Sens!I8813*(1+Sens!J8814)</f>
        <v>154.932702785465</v>
      </c>
      <c r="K8813" s="6" t="n">
        <f aca="false">Sens!J8813*(1+Sens!K8814)</f>
        <v>165.777991980448</v>
      </c>
    </row>
    <row r="8814" customFormat="false" ht="15" hidden="false" customHeight="false" outlineLevel="0" collapsed="false">
      <c r="A8814" s="1" t="s">
        <v>782</v>
      </c>
      <c r="B8814" s="0" t="s">
        <v>126</v>
      </c>
      <c r="E8814" s="7" t="n">
        <f aca="false">Sens!E8813/Sens!D8813-1</f>
        <v>0.135523564900544</v>
      </c>
      <c r="F8814" s="7" t="n">
        <f aca="false">Sens!$E$8814+(glt_m365b-Sens!$E$8814)*MIN(1,1/n_conv)</f>
        <v>0.124602970750453</v>
      </c>
      <c r="G8814" s="7" t="n">
        <f aca="false">Sens!$E$8814+(glt_m365b-Sens!$E$8814)*MIN(1,2/n_conv)</f>
        <v>0.113682376600363</v>
      </c>
      <c r="H8814" s="7" t="n">
        <f aca="false">Sens!$E$8814+(glt_m365b-Sens!$E$8814)*MIN(1,3/n_conv)</f>
        <v>0.102761782450272</v>
      </c>
      <c r="I8814" s="7" t="n">
        <f aca="false">Sens!$E$8814+(glt_m365b-Sens!$E$8814)*MIN(1,4/n_conv)</f>
        <v>0.0918411883001813</v>
      </c>
      <c r="J8814" s="7" t="n">
        <f aca="false">Sens!$E$8814+(glt_m365b-Sens!$E$8814)*MIN(1,5/n_conv)</f>
        <v>0.0809205941500906</v>
      </c>
      <c r="K8814" s="7" t="n">
        <f aca="false">Sens!$E$8814+(glt_m365b-Sens!$E$8814)*MIN(1,6/n_conv)</f>
        <v>0.07</v>
      </c>
    </row>
    <row r="8815" customFormat="false" ht="15" hidden="false" customHeight="false" outlineLevel="0" collapsed="false">
      <c r="A8815" s="0" t="s">
        <v>788</v>
      </c>
      <c r="B8815" s="0" t="s">
        <v>95</v>
      </c>
      <c r="D8815" s="6" t="n">
        <f aca="false">Sens!D8813+Sens!D8812</f>
        <v>84.605</v>
      </c>
      <c r="E8815" s="6" t="n">
        <f aca="false">Sens!E8813+Sens!E8812</f>
        <v>100.299</v>
      </c>
      <c r="F8815" s="6" t="n">
        <f aca="false">Sens!F8813+Sens!F8812</f>
        <v>117.39238776686</v>
      </c>
      <c r="G8815" s="6" t="n">
        <f aca="false">Sens!G8813+Sens!G8812</f>
        <v>132.544168448684</v>
      </c>
      <c r="H8815" s="6" t="n">
        <f aca="false">Sens!H8813+Sens!H8812</f>
        <v>147.777359388781</v>
      </c>
      <c r="I8815" s="6" t="n">
        <f aca="false">Sens!I8813+Sens!I8812</f>
        <v>162.084028071957</v>
      </c>
      <c r="J8815" s="6" t="n">
        <f aca="false">Sens!J8813+Sens!J8812</f>
        <v>175.182702785465</v>
      </c>
      <c r="K8815" s="6" t="n">
        <f aca="false">Sens!K8813+Sens!K8812</f>
        <v>187.527991980448</v>
      </c>
    </row>
    <row r="8816" customFormat="false" ht="15" hidden="false" customHeight="false" outlineLevel="0" collapsed="false">
      <c r="A8816" s="0" t="s">
        <v>789</v>
      </c>
      <c r="B8816" s="0" t="s">
        <v>95</v>
      </c>
      <c r="D8816" s="6" t="n">
        <f aca="false">Q!L8</f>
        <v>35.391</v>
      </c>
      <c r="E8816" s="6" t="n">
        <f aca="false">Q!M8</f>
        <v>37.285</v>
      </c>
      <c r="F8816" s="6" t="n">
        <f aca="false">Sens!E8816*(1+Sens!F8817)</f>
        <v>39.0720834331704</v>
      </c>
      <c r="G8816" s="6" t="n">
        <f aca="false">Sens!F8816*(1+Sens!G8817)</f>
        <v>40.726562953769</v>
      </c>
      <c r="H8816" s="6" t="n">
        <f aca="false">Sens!G8816*(1+Sens!H8817)</f>
        <v>42.2235987259198</v>
      </c>
      <c r="I8816" s="6" t="n">
        <f aca="false">Sens!H8816*(1+Sens!I8817)</f>
        <v>43.5397988077414</v>
      </c>
      <c r="J8816" s="6" t="n">
        <f aca="false">Sens!I8816*(1+Sens!J8817)</f>
        <v>44.653811225693</v>
      </c>
      <c r="K8816" s="6" t="n">
        <f aca="false">Sens!J8816*(1+Sens!K8817)</f>
        <v>45.5468874502068</v>
      </c>
    </row>
    <row r="8817" customFormat="false" ht="15" hidden="false" customHeight="false" outlineLevel="0" collapsed="false">
      <c r="A8817" s="1" t="s">
        <v>782</v>
      </c>
      <c r="B8817" s="0" t="s">
        <v>126</v>
      </c>
      <c r="E8817" s="7" t="n">
        <f aca="false">Sens!E8816/Sens!D8816-1</f>
        <v>0.0535164307309768</v>
      </c>
      <c r="F8817" s="7" t="n">
        <f aca="false">Sens!$E$8817+(glt_lic-Sens!$E$8817)*MIN(1,1/n_conv)</f>
        <v>0.0479303589424807</v>
      </c>
      <c r="G8817" s="7" t="n">
        <f aca="false">Sens!$E$8817+(glt_lic-Sens!$E$8817)*MIN(1,2/n_conv)</f>
        <v>0.0423442871539845</v>
      </c>
      <c r="H8817" s="7" t="n">
        <f aca="false">Sens!$E$8817+(glt_lic-Sens!$E$8817)*MIN(1,3/n_conv)</f>
        <v>0.0367582153654884</v>
      </c>
      <c r="I8817" s="7" t="n">
        <f aca="false">Sens!$E$8817+(glt_lic-Sens!$E$8817)*MIN(1,4/n_conv)</f>
        <v>0.0311721435769923</v>
      </c>
      <c r="J8817" s="7" t="n">
        <f aca="false">Sens!$E$8817+(glt_lic-Sens!$E$8817)*MIN(1,5/n_conv)</f>
        <v>0.0255860717884961</v>
      </c>
      <c r="K8817" s="7" t="n">
        <f aca="false">Sens!$E$8817+(glt_lic-Sens!$E$8817)*MIN(1,6/n_conv)</f>
        <v>0.02</v>
      </c>
    </row>
    <row r="8818" customFormat="false" ht="15" hidden="false" customHeight="false" outlineLevel="0" collapsed="false">
      <c r="A8818" s="0" t="s">
        <v>790</v>
      </c>
      <c r="B8818" s="0" t="s">
        <v>95</v>
      </c>
      <c r="D8818" s="6" t="n">
        <f aca="false">Q!L9</f>
        <v>18.417</v>
      </c>
      <c r="E8818" s="6" t="n">
        <f aca="false">Q!M9</f>
        <v>20.345</v>
      </c>
      <c r="F8818" s="6" t="n">
        <f aca="false">Sens!E8818*(1+Sens!F8819)</f>
        <v>22.3572203267814</v>
      </c>
      <c r="G8818" s="6" t="n">
        <f aca="false">Sens!F8818*(1+Sens!G8819)</f>
        <v>24.4392124437232</v>
      </c>
      <c r="H8818" s="6" t="n">
        <f aca="false">Sens!G8818*(1+Sens!H8819)</f>
        <v>26.5738052080665</v>
      </c>
      <c r="I8818" s="6" t="n">
        <f aca="false">Sens!H8818*(1+Sens!I8819)</f>
        <v>28.7412169166967</v>
      </c>
      <c r="J8818" s="6" t="n">
        <f aca="false">Sens!I8818*(1+Sens!J8819)</f>
        <v>30.9192545395413</v>
      </c>
      <c r="K8818" s="6" t="n">
        <f aca="false">Sens!J8818*(1+Sens!K8819)</f>
        <v>33.0836023573092</v>
      </c>
    </row>
    <row r="8819" customFormat="false" ht="15" hidden="false" customHeight="false" outlineLevel="0" collapsed="false">
      <c r="A8819" s="1" t="s">
        <v>782</v>
      </c>
      <c r="B8819" s="0" t="s">
        <v>126</v>
      </c>
      <c r="E8819" s="7" t="n">
        <f aca="false">Sens!E8818/Sens!D8818-1</f>
        <v>0.104685888038225</v>
      </c>
      <c r="F8819" s="7" t="n">
        <f aca="false">Sens!$E$8819+(glt_ind-Sens!$E$8819)*MIN(1,1/n_conv)</f>
        <v>0.0989049066985211</v>
      </c>
      <c r="G8819" s="7" t="n">
        <f aca="false">Sens!$E$8819+(glt_ind-Sens!$E$8819)*MIN(1,2/n_conv)</f>
        <v>0.0931239253588169</v>
      </c>
      <c r="H8819" s="7" t="n">
        <f aca="false">Sens!$E$8819+(glt_ind-Sens!$E$8819)*MIN(1,3/n_conv)</f>
        <v>0.0873429440191127</v>
      </c>
      <c r="I8819" s="7" t="n">
        <f aca="false">Sens!$E$8819+(glt_ind-Sens!$E$8819)*MIN(1,4/n_conv)</f>
        <v>0.0815619626794085</v>
      </c>
      <c r="J8819" s="7" t="n">
        <f aca="false">Sens!$E$8819+(glt_ind-Sens!$E$8819)*MIN(1,5/n_conv)</f>
        <v>0.0757809813397042</v>
      </c>
      <c r="K8819" s="7" t="n">
        <f aca="false">Sens!$E$8819+(glt_ind-Sens!$E$8819)*MIN(1,6/n_conv)</f>
        <v>0.07</v>
      </c>
    </row>
    <row r="8820" customFormat="false" ht="15" hidden="false" customHeight="false" outlineLevel="0" collapsed="false">
      <c r="A8820" s="0" t="s">
        <v>791</v>
      </c>
      <c r="B8820" s="0" t="s">
        <v>95</v>
      </c>
      <c r="D8820" s="6" t="n">
        <f aca="false">Q!L10</f>
        <v>7.76</v>
      </c>
      <c r="E8820" s="6" t="n">
        <f aca="false">Q!M10</f>
        <v>8.26</v>
      </c>
      <c r="F8820" s="6" t="n">
        <f aca="false">Sens!E8820*(1+Sens!F8821)</f>
        <v>8.79988041237113</v>
      </c>
      <c r="G8820" s="6" t="n">
        <f aca="false">Sens!F8820*(1+Sens!G8821)</f>
        <v>9.38321269125306</v>
      </c>
      <c r="H8820" s="6" t="n">
        <f aca="false">Sens!G8820*(1+Sens!H8821)</f>
        <v>10.0139193587476</v>
      </c>
      <c r="I8820" s="6" t="n">
        <f aca="false">Sens!H8820*(1+Sens!I8821)</f>
        <v>10.6963111830911</v>
      </c>
      <c r="J8820" s="6" t="n">
        <f aca="false">Sens!I8820*(1+Sens!J8821)</f>
        <v>11.4351285534696</v>
      </c>
      <c r="K8820" s="6" t="n">
        <f aca="false">Sens!J8820*(1+Sens!K8821)</f>
        <v>12.2355875522124</v>
      </c>
    </row>
    <row r="8821" customFormat="false" ht="15" hidden="false" customHeight="false" outlineLevel="0" collapsed="false">
      <c r="A8821" s="1" t="s">
        <v>782</v>
      </c>
      <c r="B8821" s="0" t="s">
        <v>126</v>
      </c>
      <c r="E8821" s="7" t="n">
        <f aca="false">Sens!E8820/Sens!D8820-1</f>
        <v>0.0644329896907216</v>
      </c>
      <c r="F8821" s="7" t="n">
        <f aca="false">Sens!$E$8821+(glt_fro-Sens!$E$8821)*MIN(1,1/n_conv)</f>
        <v>0.065360824742268</v>
      </c>
      <c r="G8821" s="7" t="n">
        <f aca="false">Sens!$E$8821+(glt_fro-Sens!$E$8821)*MIN(1,2/n_conv)</f>
        <v>0.0662886597938144</v>
      </c>
      <c r="H8821" s="7" t="n">
        <f aca="false">Sens!$E$8821+(glt_fro-Sens!$E$8821)*MIN(1,3/n_conv)</f>
        <v>0.0672164948453608</v>
      </c>
      <c r="I8821" s="7" t="n">
        <f aca="false">Sens!$E$8821+(glt_fro-Sens!$E$8821)*MIN(1,4/n_conv)</f>
        <v>0.0681443298969072</v>
      </c>
      <c r="J8821" s="7" t="n">
        <f aca="false">Sens!$E$8821+(glt_fro-Sens!$E$8821)*MIN(1,5/n_conv)</f>
        <v>0.0690721649484536</v>
      </c>
      <c r="K8821" s="7" t="n">
        <f aca="false">Sens!$E$8821+(glt_fro-Sens!$E$8821)*MIN(1,6/n_conv)</f>
        <v>0.07</v>
      </c>
    </row>
    <row r="8822" customFormat="false" ht="15" hidden="false" customHeight="false" outlineLevel="0" collapsed="false">
      <c r="A8822" s="0" t="s">
        <v>626</v>
      </c>
      <c r="B8822" s="0" t="s">
        <v>95</v>
      </c>
      <c r="D8822" s="6" t="n">
        <f aca="false">Sens!D8810+Sens!D8815+Sens!D8816+Sens!D8818+Sens!D8820</f>
        <v>218.783</v>
      </c>
      <c r="E8822" s="6" t="n">
        <f aca="false">Sens!E8810+Sens!E8815+Sens!E8816+Sens!E8818+Sens!E8820</f>
        <v>268.127</v>
      </c>
      <c r="F8822" s="6" t="n">
        <f aca="false">Sens!F8810+Sens!F8815+Sens!F8816+Sens!F8818+Sens!F8820</f>
        <v>328.363433064856</v>
      </c>
      <c r="G8822" s="6" t="n">
        <f aca="false">Sens!G8810+Sens!G8815+Sens!G8816+Sens!G8818+Sens!G8820</f>
        <v>389.269865673274</v>
      </c>
      <c r="H8822" s="6" t="n">
        <f aca="false">Sens!H8810+Sens!H8815+Sens!H8816+Sens!H8818+Sens!H8820</f>
        <v>445.756320871193</v>
      </c>
      <c r="I8822" s="6" t="n">
        <f aca="false">Sens!I8810+Sens!I8815+Sens!I8816+Sens!I8818+Sens!I8820</f>
        <v>507.913725227984</v>
      </c>
      <c r="J8822" s="6" t="n">
        <f aca="false">Sens!J8810+Sens!J8815+Sens!J8816+Sens!J8818+Sens!J8820</f>
        <v>567.216533091392</v>
      </c>
      <c r="K8822" s="6" t="n">
        <f aca="false">Sens!K8810+Sens!K8815+Sens!K8816+Sens!K8818+Sens!K8820</f>
        <v>623.027603978669</v>
      </c>
    </row>
    <row r="8823" customFormat="false" ht="15" hidden="false" customHeight="false" outlineLevel="0" collapsed="false">
      <c r="A8823" s="0" t="s">
        <v>792</v>
      </c>
      <c r="B8823" s="0" t="s">
        <v>95</v>
      </c>
      <c r="D8823" s="6" t="n">
        <f aca="false">Q!L13</f>
        <v>22.171</v>
      </c>
      <c r="E8823" s="6" t="n">
        <f aca="false">Q!M13</f>
        <v>24.835</v>
      </c>
      <c r="F8823" s="6" t="n">
        <f aca="false">Sens!E8823*(1+Sens!F8824)</f>
        <v>27.6114901218559</v>
      </c>
      <c r="G8823" s="6" t="n">
        <f aca="false">Sens!F8823*(1+Sens!G8824)</f>
        <v>30.4675667338515</v>
      </c>
      <c r="H8823" s="6" t="n">
        <f aca="false">Sens!G8823*(1+Sens!H8824)</f>
        <v>33.3643766955789</v>
      </c>
      <c r="I8823" s="6" t="n">
        <f aca="false">Sens!H8823*(1+Sens!I8824)</f>
        <v>36.2577016533691</v>
      </c>
      <c r="J8823" s="6" t="n">
        <f aca="false">Sens!I8823*(1+Sens!J8824)</f>
        <v>39.0988367952171</v>
      </c>
      <c r="K8823" s="6" t="n">
        <f aca="false">Sens!J8823*(1+Sens!K8824)</f>
        <v>41.8357553708823</v>
      </c>
    </row>
    <row r="8824" customFormat="false" ht="15" hidden="false" customHeight="false" outlineLevel="0" collapsed="false">
      <c r="A8824" s="1" t="s">
        <v>782</v>
      </c>
      <c r="B8824" s="0" t="s">
        <v>126</v>
      </c>
      <c r="E8824" s="7" t="n">
        <f aca="false">Sens!E8823/Sens!D8823-1</f>
        <v>0.120156961796942</v>
      </c>
      <c r="F8824" s="7" t="n">
        <f aca="false">Sens!$E$8824+(glt_srch-Sens!$E$8824)*MIN(1,1/n_conv)</f>
        <v>0.111797468164118</v>
      </c>
      <c r="G8824" s="7" t="n">
        <f aca="false">Sens!$E$8824+(glt_srch-Sens!$E$8824)*MIN(1,2/n_conv)</f>
        <v>0.103437974531295</v>
      </c>
      <c r="H8824" s="7" t="n">
        <f aca="false">Sens!$E$8824+(glt_srch-Sens!$E$8824)*MIN(1,3/n_conv)</f>
        <v>0.095078480898471</v>
      </c>
      <c r="I8824" s="7" t="n">
        <f aca="false">Sens!$E$8824+(glt_srch-Sens!$E$8824)*MIN(1,4/n_conv)</f>
        <v>0.0867189872656474</v>
      </c>
      <c r="J8824" s="7" t="n">
        <f aca="false">Sens!$E$8824+(glt_srch-Sens!$E$8824)*MIN(1,5/n_conv)</f>
        <v>0.0783594936328237</v>
      </c>
      <c r="K8824" s="7" t="n">
        <f aca="false">Sens!$E$8824+(glt_srch-Sens!$E$8824)*MIN(1,6/n_conv)</f>
        <v>0.07</v>
      </c>
    </row>
    <row r="8825" customFormat="false" ht="15" hidden="false" customHeight="false" outlineLevel="0" collapsed="false">
      <c r="A8825" s="0" t="s">
        <v>793</v>
      </c>
      <c r="B8825" s="0" t="s">
        <v>95</v>
      </c>
      <c r="D8825" s="6" t="n">
        <f aca="false">Q!L14</f>
        <v>23.455</v>
      </c>
      <c r="E8825" s="6" t="n">
        <f aca="false">Q!M14</f>
        <v>21.79</v>
      </c>
      <c r="F8825" s="6" t="n">
        <f aca="false">Sens!E8825*(1+Sens!F8826)</f>
        <v>20.4283611241384</v>
      </c>
      <c r="G8825" s="6" t="n">
        <f aca="false">Sens!F8825*(1+Sens!G8826)</f>
        <v>19.3254067185857</v>
      </c>
      <c r="H8825" s="6" t="n">
        <f aca="false">Sens!G8825*(1+Sens!H8826)</f>
        <v>18.446226363051</v>
      </c>
      <c r="I8825" s="6" t="n">
        <f aca="false">Sens!H8825*(1+Sens!I8826)</f>
        <v>17.7637959435485</v>
      </c>
      <c r="J8825" s="6" t="n">
        <f aca="false">Sens!I8825*(1+Sens!J8826)</f>
        <v>17.2575662581111</v>
      </c>
      <c r="K8825" s="6" t="n">
        <f aca="false">Sens!J8825*(1+Sens!K8826)</f>
        <v>16.9124149329489</v>
      </c>
    </row>
    <row r="8826" customFormat="false" ht="15" hidden="false" customHeight="false" outlineLevel="0" collapsed="false">
      <c r="A8826" s="1" t="s">
        <v>782</v>
      </c>
      <c r="B8826" s="0" t="s">
        <v>126</v>
      </c>
      <c r="E8826" s="7" t="n">
        <f aca="false">Sens!E8825/Sens!D8825-1</f>
        <v>-0.0709869963760392</v>
      </c>
      <c r="F8826" s="7" t="n">
        <f aca="false">Sens!$E$8826+(glt_xbox_lo-Sens!$E$8826)*MIN(1,1/n_conv)</f>
        <v>-0.0624891636466994</v>
      </c>
      <c r="G8826" s="7" t="n">
        <f aca="false">Sens!$E$8826+(glt_xbox_lo-Sens!$E$8826)*MIN(1,2/n_conv)</f>
        <v>-0.0539913309173595</v>
      </c>
      <c r="H8826" s="7" t="n">
        <f aca="false">Sens!$E$8826+(glt_xbox_lo-Sens!$E$8826)*MIN(1,3/n_conv)</f>
        <v>-0.0454934981880196</v>
      </c>
      <c r="I8826" s="7" t="n">
        <f aca="false">Sens!$E$8826+(glt_xbox_lo-Sens!$E$8826)*MIN(1,4/n_conv)</f>
        <v>-0.0369956654586797</v>
      </c>
      <c r="J8826" s="7" t="n">
        <f aca="false">Sens!$E$8826+(glt_xbox_lo-Sens!$E$8826)*MIN(1,5/n_conv)</f>
        <v>-0.0284978327293399</v>
      </c>
      <c r="K8826" s="7" t="n">
        <f aca="false">Sens!$E$8826+(glt_xbox_lo-Sens!$E$8826)*MIN(1,6/n_conv)</f>
        <v>-0.02</v>
      </c>
    </row>
    <row r="8827" customFormat="false" ht="15" hidden="false" customHeight="false" outlineLevel="0" collapsed="false">
      <c r="A8827" s="0" t="s">
        <v>794</v>
      </c>
      <c r="B8827" s="0" t="s">
        <v>95</v>
      </c>
      <c r="D8827" s="6" t="n">
        <f aca="false">Q!L15</f>
        <v>17.315</v>
      </c>
      <c r="E8827" s="6" t="n">
        <f aca="false">Q!M15</f>
        <v>17.087</v>
      </c>
      <c r="F8827" s="6" t="n">
        <f aca="false">Sens!E8827*(1+Sens!F8828)</f>
        <v>16.9564585436519</v>
      </c>
      <c r="G8827" s="6" t="n">
        <f aca="false">Sens!F8827*(1+Sens!G8828)</f>
        <v>16.9206490624268</v>
      </c>
      <c r="H8827" s="6" t="n">
        <f aca="false">Sens!G8827*(1+Sens!H8828)</f>
        <v>16.9784519149849</v>
      </c>
      <c r="I8827" s="6" t="n">
        <f aca="false">Sens!H8827*(1+Sens!I8828)</f>
        <v>17.1303084701817</v>
      </c>
      <c r="J8827" s="6" t="n">
        <f aca="false">Sens!I8827*(1+Sens!J8828)</f>
        <v>17.3782189407267</v>
      </c>
      <c r="K8827" s="6" t="n">
        <f aca="false">Sens!J8827*(1+Sens!K8828)</f>
        <v>17.7257833195413</v>
      </c>
    </row>
    <row r="8828" customFormat="false" ht="15" hidden="false" customHeight="false" outlineLevel="0" collapsed="false">
      <c r="A8828" s="1" t="s">
        <v>782</v>
      </c>
      <c r="B8828" s="0" t="s">
        <v>126</v>
      </c>
      <c r="E8828" s="7" t="n">
        <f aca="false">Sens!E8827/Sens!D8827-1</f>
        <v>-0.0131677736066995</v>
      </c>
      <c r="F8828" s="7" t="n">
        <f aca="false">Sens!$E$8828+(glt_win-Sens!$E$8828)*MIN(1,1/n_conv)</f>
        <v>-0.00763981133891627</v>
      </c>
      <c r="G8828" s="7" t="n">
        <f aca="false">Sens!$E$8828+(glt_win-Sens!$E$8828)*MIN(1,2/n_conv)</f>
        <v>-0.00211184907113301</v>
      </c>
      <c r="H8828" s="7" t="n">
        <f aca="false">Sens!$E$8828+(glt_win-Sens!$E$8828)*MIN(1,3/n_conv)</f>
        <v>0.00341611319665024</v>
      </c>
      <c r="I8828" s="7" t="n">
        <f aca="false">Sens!$E$8828+(glt_win-Sens!$E$8828)*MIN(1,4/n_conv)</f>
        <v>0.00894407546443349</v>
      </c>
      <c r="J8828" s="7" t="n">
        <f aca="false">Sens!$E$8828+(glt_win-Sens!$E$8828)*MIN(1,5/n_conv)</f>
        <v>0.0144720377322168</v>
      </c>
      <c r="K8828" s="7" t="n">
        <f aca="false">Sens!$E$8828+(glt_win-Sens!$E$8828)*MIN(1,6/n_conv)</f>
        <v>0.02</v>
      </c>
    </row>
    <row r="8829" customFormat="false" ht="15" hidden="false" customHeight="false" outlineLevel="0" collapsed="false">
      <c r="A8829" s="0" t="s">
        <v>640</v>
      </c>
      <c r="B8829" s="0" t="s">
        <v>95</v>
      </c>
      <c r="D8829" s="6" t="n">
        <f aca="false">Sens!D8823+Sens!D8825+Sens!D8827</f>
        <v>62.941</v>
      </c>
      <c r="E8829" s="6" t="n">
        <f aca="false">Sens!E8823+Sens!E8825+Sens!E8827</f>
        <v>63.712</v>
      </c>
      <c r="F8829" s="6" t="n">
        <f aca="false">Sens!F8823+Sens!F8825+Sens!F8827</f>
        <v>64.9963097896462</v>
      </c>
      <c r="G8829" s="6" t="n">
        <f aca="false">Sens!G8823+Sens!G8825+Sens!G8827</f>
        <v>66.7136225148641</v>
      </c>
      <c r="H8829" s="6" t="n">
        <f aca="false">Sens!H8823+Sens!H8825+Sens!H8827</f>
        <v>68.7890549736148</v>
      </c>
      <c r="I8829" s="6" t="n">
        <f aca="false">Sens!I8823+Sens!I8825+Sens!I8827</f>
        <v>71.1518060670993</v>
      </c>
      <c r="J8829" s="6" t="n">
        <f aca="false">Sens!J8823+Sens!J8825+Sens!J8827</f>
        <v>73.7346219940549</v>
      </c>
      <c r="K8829" s="6" t="n">
        <f aca="false">Sens!K8823+Sens!K8825+Sens!K8827</f>
        <v>76.4739536233724</v>
      </c>
    </row>
    <row r="8830" customFormat="false" ht="15" hidden="false" customHeight="false" outlineLevel="0" collapsed="false">
      <c r="A8830" s="1" t="s">
        <v>795</v>
      </c>
      <c r="B8830" s="0" t="s">
        <v>95</v>
      </c>
      <c r="D8830" s="6" t="n">
        <f aca="false">Sens!D8822+Sens!D8829</f>
        <v>281.724</v>
      </c>
      <c r="E8830" s="6" t="n">
        <f aca="false">Sens!E8822+Sens!E8829</f>
        <v>331.839</v>
      </c>
      <c r="F8830" s="6" t="n">
        <f aca="false">Sens!F8822+Sens!F8829</f>
        <v>393.359742854502</v>
      </c>
      <c r="G8830" s="6" t="n">
        <f aca="false">Sens!G8822+Sens!G8829</f>
        <v>455.983488188138</v>
      </c>
      <c r="H8830" s="6" t="n">
        <f aca="false">Sens!H8822+Sens!H8829</f>
        <v>514.545375844808</v>
      </c>
      <c r="I8830" s="6" t="n">
        <f aca="false">Sens!I8822+Sens!I8829</f>
        <v>579.065531295084</v>
      </c>
      <c r="J8830" s="6" t="n">
        <f aca="false">Sens!J8822+Sens!J8829</f>
        <v>640.951155085447</v>
      </c>
      <c r="K8830" s="6" t="n">
        <f aca="false">Sens!K8822+Sens!K8829</f>
        <v>699.501557602042</v>
      </c>
    </row>
    <row r="8831" customFormat="false" ht="15" hidden="false" customHeight="false" outlineLevel="0" collapsed="false">
      <c r="A8831" s="22" t="s">
        <v>796</v>
      </c>
      <c r="B8831" s="28" t="s">
        <v>95</v>
      </c>
      <c r="C8831" s="28"/>
      <c r="D8831" s="23" t="n">
        <f aca="false">(Sens!D8810+Sens!D8815+Sens!D8816+Sens!D8818+Sens!D8820-Sens!D8822)+(Sens!D8823+Sens!D8825+Sens!D8827-Sens!D8829)+(Sens!D8822-Q!L5)+(Sens!D8829-Q!L12)+(Sens!D8810-Q!L6)+(Sens!D8815-Q!L7)</f>
        <v>0</v>
      </c>
      <c r="E8831" s="23" t="n">
        <f aca="false">(Sens!E8810+Sens!E8815+Sens!E8816+Sens!E8818+Sens!E8820-Sens!E8822)+(Sens!E8823+Sens!E8825+Sens!E8827-Sens!E8829)+(Sens!E8822-Q!M5)+(Sens!E8829-Q!M12)+(Sens!E8810-Q!M6)+(Sens!E8815-Q!M7)</f>
        <v>0</v>
      </c>
      <c r="F8831" s="23" t="n">
        <f aca="false">(Sens!F8810+Sens!F8815+Sens!F8816+Sens!F8818+Sens!F8820-Sens!F8822)+(Sens!F8823+Sens!F8825+Sens!F8827-Sens!F8829)</f>
        <v>0</v>
      </c>
      <c r="G8831" s="23" t="n">
        <f aca="false">(Sens!G8810+Sens!G8815+Sens!G8816+Sens!G8818+Sens!G8820-Sens!G8822)+(Sens!G8823+Sens!G8825+Sens!G8827-Sens!G8829)</f>
        <v>0</v>
      </c>
      <c r="H8831" s="23" t="n">
        <f aca="false">(Sens!H8810+Sens!H8815+Sens!H8816+Sens!H8818+Sens!H8820-Sens!H8822)+(Sens!H8823+Sens!H8825+Sens!H8827-Sens!H8829)</f>
        <v>0</v>
      </c>
      <c r="I8831" s="23" t="n">
        <f aca="false">(Sens!I8810+Sens!I8815+Sens!I8816+Sens!I8818+Sens!I8820-Sens!I8822)+(Sens!I8823+Sens!I8825+Sens!I8827-Sens!I8829)</f>
        <v>0</v>
      </c>
      <c r="J8831" s="23" t="n">
        <f aca="false">(Sens!J8810+Sens!J8815+Sens!J8816+Sens!J8818+Sens!J8820-Sens!J8822)+(Sens!J8823+Sens!J8825+Sens!J8827-Sens!J8829)</f>
        <v>0</v>
      </c>
      <c r="K8831" s="23" t="n">
        <f aca="false">(Sens!K8810+Sens!K8815+Sens!K8816+Sens!K8818+Sens!K8820-Sens!K8822)+(Sens!K8823+Sens!K8825+Sens!K8827-Sens!K8829)</f>
        <v>0</v>
      </c>
    </row>
    <row r="8832" customFormat="false" ht="17.15" hidden="false" customHeight="false" outlineLevel="0" collapsed="false">
      <c r="A8832" s="3" t="s">
        <v>1366</v>
      </c>
    </row>
    <row r="8833" customFormat="false" ht="15" hidden="false" customHeight="false" outlineLevel="0" collapsed="false">
      <c r="A8833" s="4" t="s">
        <v>43</v>
      </c>
      <c r="B8833" s="4" t="s">
        <v>63</v>
      </c>
      <c r="C8833" s="19" t="s">
        <v>710</v>
      </c>
      <c r="D8833" s="19" t="s">
        <v>711</v>
      </c>
      <c r="E8833" s="19" t="s">
        <v>712</v>
      </c>
      <c r="F8833" s="19" t="s">
        <v>713</v>
      </c>
      <c r="G8833" s="19" t="s">
        <v>714</v>
      </c>
      <c r="H8833" s="19" t="s">
        <v>715</v>
      </c>
      <c r="I8833" s="19" t="s">
        <v>716</v>
      </c>
      <c r="J8833" s="19" t="s">
        <v>717</v>
      </c>
      <c r="K8833" s="19" t="s">
        <v>718</v>
      </c>
      <c r="L8833" s="4" t="s">
        <v>47</v>
      </c>
    </row>
    <row r="8834" customFormat="false" ht="15" hidden="false" customHeight="false" outlineLevel="0" collapsed="false">
      <c r="A8834" s="0" t="s">
        <v>783</v>
      </c>
      <c r="B8834" s="0" t="s">
        <v>95</v>
      </c>
      <c r="D8834" s="6" t="n">
        <f aca="false">Sens!D8810</f>
        <v>72.61</v>
      </c>
      <c r="E8834" s="6" t="n">
        <f aca="false">Sens!E8810</f>
        <v>101.938</v>
      </c>
      <c r="F8834" s="6" t="n">
        <f aca="false">Sens!F8810</f>
        <v>140.741861125673</v>
      </c>
      <c r="G8834" s="6" t="n">
        <f aca="false">Sens!G8810</f>
        <v>182.176709135845</v>
      </c>
      <c r="H8834" s="6" t="n">
        <f aca="false">Sens!H8810</f>
        <v>219.167638189678</v>
      </c>
      <c r="I8834" s="6" t="n">
        <f aca="false">Sens!I8810</f>
        <v>262.852370248498</v>
      </c>
      <c r="J8834" s="6" t="n">
        <f aca="false">Sens!J8810</f>
        <v>305.025635987223</v>
      </c>
      <c r="K8834" s="6" t="n">
        <f aca="false">Sens!K8810</f>
        <v>344.633534638493</v>
      </c>
    </row>
    <row r="8835" customFormat="false" ht="17.15" hidden="false" customHeight="false" outlineLevel="0" collapsed="false">
      <c r="A8835" s="0" t="s">
        <v>780</v>
      </c>
      <c r="B8835" s="0" t="s">
        <v>95</v>
      </c>
      <c r="D8835" s="6" t="n">
        <f aca="false">Sens!D8807</f>
        <v>12.9359794422418</v>
      </c>
      <c r="E8835" s="6" t="n">
        <f aca="false">Sens!E8807</f>
        <v>27.8095064661409</v>
      </c>
      <c r="F8835" s="6" t="n">
        <f aca="false">Sens!F8807</f>
        <v>50.6619113883066</v>
      </c>
      <c r="G8835" s="6" t="n">
        <f aca="false">Sens!G8807</f>
        <v>75.1482839325348</v>
      </c>
      <c r="H8835" s="6" t="n">
        <f aca="false">Sens!H8807</f>
        <v>94.895655604042</v>
      </c>
      <c r="I8835" s="6" t="n">
        <f aca="false">Sens!I8807</f>
        <v>121.918667866643</v>
      </c>
      <c r="J8835" s="6" t="n">
        <f aca="false">Sens!J8807</f>
        <v>149.006768672892</v>
      </c>
      <c r="K8835" s="6" t="n">
        <f aca="false">Sens!K8807</f>
        <v>176.133157939015</v>
      </c>
    </row>
    <row r="8836" customFormat="false" ht="17.15" hidden="false" customHeight="false" outlineLevel="0" collapsed="false">
      <c r="A8836" s="0" t="s">
        <v>807</v>
      </c>
      <c r="B8836" s="0" t="s">
        <v>95</v>
      </c>
      <c r="D8836" s="6" t="n">
        <f aca="false">Sens!D8808</f>
        <v>59.6740205577583</v>
      </c>
      <c r="E8836" s="6" t="n">
        <f aca="false">Sens!E8808</f>
        <v>74.1284935338591</v>
      </c>
      <c r="F8836" s="6" t="n">
        <f aca="false">Sens!F8808</f>
        <v>90.0799497373663</v>
      </c>
      <c r="G8836" s="6" t="n">
        <f aca="false">Sens!G8808</f>
        <v>107.02842520331</v>
      </c>
      <c r="H8836" s="6" t="n">
        <f aca="false">Sens!H8808</f>
        <v>124.271982585636</v>
      </c>
      <c r="I8836" s="6" t="n">
        <f aca="false">Sens!I8808</f>
        <v>140.933702381855</v>
      </c>
      <c r="J8836" s="6" t="n">
        <f aca="false">Sens!J8808</f>
        <v>156.018867314332</v>
      </c>
      <c r="K8836" s="6" t="n">
        <f aca="false">Sens!K8808</f>
        <v>168.500376699478</v>
      </c>
    </row>
    <row r="8837" customFormat="false" ht="15" hidden="false" customHeight="false" outlineLevel="0" collapsed="false">
      <c r="A8837" s="0" t="s">
        <v>788</v>
      </c>
      <c r="B8837" s="0" t="s">
        <v>95</v>
      </c>
      <c r="D8837" s="6" t="n">
        <f aca="false">Sens!D8815</f>
        <v>84.605</v>
      </c>
      <c r="E8837" s="6" t="n">
        <f aca="false">Sens!E8815</f>
        <v>100.299</v>
      </c>
      <c r="F8837" s="6" t="n">
        <f aca="false">Sens!F8815</f>
        <v>117.39238776686</v>
      </c>
      <c r="G8837" s="6" t="n">
        <f aca="false">Sens!G8815</f>
        <v>132.544168448684</v>
      </c>
      <c r="H8837" s="6" t="n">
        <f aca="false">Sens!H8815</f>
        <v>147.777359388781</v>
      </c>
      <c r="I8837" s="6" t="n">
        <f aca="false">Sens!I8815</f>
        <v>162.084028071957</v>
      </c>
      <c r="J8837" s="6" t="n">
        <f aca="false">Sens!J8815</f>
        <v>175.182702785465</v>
      </c>
      <c r="K8837" s="6" t="n">
        <f aca="false">Sens!K8815</f>
        <v>187.527991980448</v>
      </c>
    </row>
    <row r="8838" customFormat="false" ht="17.15" hidden="false" customHeight="false" outlineLevel="0" collapsed="false">
      <c r="A8838" s="0" t="s">
        <v>808</v>
      </c>
      <c r="B8838" s="0" t="s">
        <v>95</v>
      </c>
      <c r="D8838" s="6" t="n">
        <f aca="false">Sens!D8813</f>
        <v>83.705</v>
      </c>
      <c r="E8838" s="6" t="n">
        <f aca="false">Sens!E8813</f>
        <v>95.049</v>
      </c>
      <c r="F8838" s="6" t="n">
        <f aca="false">Sens!F8813</f>
        <v>106.89238776686</v>
      </c>
      <c r="G8838" s="6" t="n">
        <f aca="false">Sens!G8813</f>
        <v>119.044168448684</v>
      </c>
      <c r="H8838" s="6" t="n">
        <f aca="false">Sens!H8813</f>
        <v>131.277359388781</v>
      </c>
      <c r="I8838" s="6" t="n">
        <f aca="false">Sens!I8813</f>
        <v>143.334028071957</v>
      </c>
      <c r="J8838" s="6" t="n">
        <f aca="false">Sens!J8813</f>
        <v>154.932702785465</v>
      </c>
      <c r="K8838" s="6" t="n">
        <f aca="false">Sens!K8813</f>
        <v>165.777991980448</v>
      </c>
    </row>
    <row r="8839" customFormat="false" ht="17.15" hidden="false" customHeight="false" outlineLevel="0" collapsed="false">
      <c r="A8839" s="0" t="s">
        <v>809</v>
      </c>
      <c r="B8839" s="0" t="s">
        <v>95</v>
      </c>
      <c r="D8839" s="6" t="n">
        <f aca="false">Sens!D8812</f>
        <v>0.9</v>
      </c>
      <c r="E8839" s="6" t="n">
        <f aca="false">Sens!E8812</f>
        <v>5.25</v>
      </c>
      <c r="F8839" s="6" t="n">
        <f aca="false">Sens!F8812</f>
        <v>10.5</v>
      </c>
      <c r="G8839" s="6" t="n">
        <f aca="false">Sens!G8812</f>
        <v>13.5</v>
      </c>
      <c r="H8839" s="6" t="n">
        <f aca="false">Sens!H8812</f>
        <v>16.5</v>
      </c>
      <c r="I8839" s="6" t="n">
        <f aca="false">Sens!I8812</f>
        <v>18.75</v>
      </c>
      <c r="J8839" s="6" t="n">
        <f aca="false">Sens!J8812</f>
        <v>20.25</v>
      </c>
      <c r="K8839" s="6" t="n">
        <f aca="false">Sens!K8812</f>
        <v>21.75</v>
      </c>
    </row>
    <row r="8840" customFormat="false" ht="15" hidden="false" customHeight="false" outlineLevel="0" collapsed="false">
      <c r="A8840" s="0" t="s">
        <v>789</v>
      </c>
      <c r="B8840" s="0" t="s">
        <v>95</v>
      </c>
      <c r="D8840" s="6" t="n">
        <f aca="false">Sens!D8816</f>
        <v>35.391</v>
      </c>
      <c r="E8840" s="6" t="n">
        <f aca="false">Sens!E8816</f>
        <v>37.285</v>
      </c>
      <c r="F8840" s="6" t="n">
        <f aca="false">Sens!F8816</f>
        <v>39.0720834331704</v>
      </c>
      <c r="G8840" s="6" t="n">
        <f aca="false">Sens!G8816</f>
        <v>40.726562953769</v>
      </c>
      <c r="H8840" s="6" t="n">
        <f aca="false">Sens!H8816</f>
        <v>42.2235987259198</v>
      </c>
      <c r="I8840" s="6" t="n">
        <f aca="false">Sens!I8816</f>
        <v>43.5397988077414</v>
      </c>
      <c r="J8840" s="6" t="n">
        <f aca="false">Sens!J8816</f>
        <v>44.653811225693</v>
      </c>
      <c r="K8840" s="6" t="n">
        <f aca="false">Sens!K8816</f>
        <v>45.5468874502068</v>
      </c>
    </row>
    <row r="8841" customFormat="false" ht="15" hidden="false" customHeight="false" outlineLevel="0" collapsed="false">
      <c r="A8841" s="0" t="s">
        <v>790</v>
      </c>
      <c r="B8841" s="0" t="s">
        <v>95</v>
      </c>
      <c r="D8841" s="6" t="n">
        <f aca="false">Sens!D8818</f>
        <v>18.417</v>
      </c>
      <c r="E8841" s="6" t="n">
        <f aca="false">Sens!E8818</f>
        <v>20.345</v>
      </c>
      <c r="F8841" s="6" t="n">
        <f aca="false">Sens!F8818</f>
        <v>22.3572203267814</v>
      </c>
      <c r="G8841" s="6" t="n">
        <f aca="false">Sens!G8818</f>
        <v>24.4392124437232</v>
      </c>
      <c r="H8841" s="6" t="n">
        <f aca="false">Sens!H8818</f>
        <v>26.5738052080665</v>
      </c>
      <c r="I8841" s="6" t="n">
        <f aca="false">Sens!I8818</f>
        <v>28.7412169166967</v>
      </c>
      <c r="J8841" s="6" t="n">
        <f aca="false">Sens!J8818</f>
        <v>30.9192545395413</v>
      </c>
      <c r="K8841" s="6" t="n">
        <f aca="false">Sens!K8818</f>
        <v>33.0836023573092</v>
      </c>
    </row>
    <row r="8842" customFormat="false" ht="15" hidden="false" customHeight="false" outlineLevel="0" collapsed="false">
      <c r="A8842" s="0" t="s">
        <v>791</v>
      </c>
      <c r="B8842" s="0" t="s">
        <v>95</v>
      </c>
      <c r="D8842" s="6" t="n">
        <f aca="false">Sens!D8820</f>
        <v>7.76</v>
      </c>
      <c r="E8842" s="6" t="n">
        <f aca="false">Sens!E8820</f>
        <v>8.26</v>
      </c>
      <c r="F8842" s="6" t="n">
        <f aca="false">Sens!F8820</f>
        <v>8.79988041237113</v>
      </c>
      <c r="G8842" s="6" t="n">
        <f aca="false">Sens!G8820</f>
        <v>9.38321269125306</v>
      </c>
      <c r="H8842" s="6" t="n">
        <f aca="false">Sens!H8820</f>
        <v>10.0139193587476</v>
      </c>
      <c r="I8842" s="6" t="n">
        <f aca="false">Sens!I8820</f>
        <v>10.6963111830911</v>
      </c>
      <c r="J8842" s="6" t="n">
        <f aca="false">Sens!J8820</f>
        <v>11.4351285534696</v>
      </c>
      <c r="K8842" s="6" t="n">
        <f aca="false">Sens!K8820</f>
        <v>12.2355875522124</v>
      </c>
    </row>
    <row r="8843" customFormat="false" ht="15" hidden="false" customHeight="false" outlineLevel="0" collapsed="false">
      <c r="A8843" s="0" t="s">
        <v>626</v>
      </c>
      <c r="B8843" s="0" t="s">
        <v>95</v>
      </c>
      <c r="D8843" s="6" t="n">
        <f aca="false">Sens!D8822</f>
        <v>218.783</v>
      </c>
      <c r="E8843" s="6" t="n">
        <f aca="false">Sens!E8822</f>
        <v>268.127</v>
      </c>
      <c r="F8843" s="6" t="n">
        <f aca="false">Sens!F8822</f>
        <v>328.363433064856</v>
      </c>
      <c r="G8843" s="6" t="n">
        <f aca="false">Sens!G8822</f>
        <v>389.269865673274</v>
      </c>
      <c r="H8843" s="6" t="n">
        <f aca="false">Sens!H8822</f>
        <v>445.756320871193</v>
      </c>
      <c r="I8843" s="6" t="n">
        <f aca="false">Sens!I8822</f>
        <v>507.913725227984</v>
      </c>
      <c r="J8843" s="6" t="n">
        <f aca="false">Sens!J8822</f>
        <v>567.216533091392</v>
      </c>
      <c r="K8843" s="6" t="n">
        <f aca="false">Sens!K8822</f>
        <v>623.027603978669</v>
      </c>
    </row>
    <row r="8844" customFormat="false" ht="15" hidden="false" customHeight="false" outlineLevel="0" collapsed="false">
      <c r="A8844" s="0" t="s">
        <v>792</v>
      </c>
      <c r="B8844" s="0" t="s">
        <v>95</v>
      </c>
      <c r="D8844" s="6" t="n">
        <f aca="false">Sens!D8823</f>
        <v>22.171</v>
      </c>
      <c r="E8844" s="6" t="n">
        <f aca="false">Sens!E8823</f>
        <v>24.835</v>
      </c>
      <c r="F8844" s="6" t="n">
        <f aca="false">Sens!F8823</f>
        <v>27.6114901218559</v>
      </c>
      <c r="G8844" s="6" t="n">
        <f aca="false">Sens!G8823</f>
        <v>30.4675667338515</v>
      </c>
      <c r="H8844" s="6" t="n">
        <f aca="false">Sens!H8823</f>
        <v>33.3643766955789</v>
      </c>
      <c r="I8844" s="6" t="n">
        <f aca="false">Sens!I8823</f>
        <v>36.2577016533691</v>
      </c>
      <c r="J8844" s="6" t="n">
        <f aca="false">Sens!J8823</f>
        <v>39.0988367952171</v>
      </c>
      <c r="K8844" s="6" t="n">
        <f aca="false">Sens!K8823</f>
        <v>41.8357553708823</v>
      </c>
    </row>
    <row r="8845" customFormat="false" ht="15" hidden="false" customHeight="false" outlineLevel="0" collapsed="false">
      <c r="A8845" s="0" t="s">
        <v>793</v>
      </c>
      <c r="B8845" s="0" t="s">
        <v>95</v>
      </c>
      <c r="D8845" s="6" t="n">
        <f aca="false">Sens!D8825</f>
        <v>23.455</v>
      </c>
      <c r="E8845" s="6" t="n">
        <f aca="false">Sens!E8825</f>
        <v>21.79</v>
      </c>
      <c r="F8845" s="6" t="n">
        <f aca="false">Sens!F8825</f>
        <v>20.4283611241384</v>
      </c>
      <c r="G8845" s="6" t="n">
        <f aca="false">Sens!G8825</f>
        <v>19.3254067185857</v>
      </c>
      <c r="H8845" s="6" t="n">
        <f aca="false">Sens!H8825</f>
        <v>18.446226363051</v>
      </c>
      <c r="I8845" s="6" t="n">
        <f aca="false">Sens!I8825</f>
        <v>17.7637959435485</v>
      </c>
      <c r="J8845" s="6" t="n">
        <f aca="false">Sens!J8825</f>
        <v>17.2575662581111</v>
      </c>
      <c r="K8845" s="6" t="n">
        <f aca="false">Sens!K8825</f>
        <v>16.9124149329489</v>
      </c>
    </row>
    <row r="8846" customFormat="false" ht="15" hidden="false" customHeight="false" outlineLevel="0" collapsed="false">
      <c r="A8846" s="0" t="s">
        <v>794</v>
      </c>
      <c r="B8846" s="0" t="s">
        <v>95</v>
      </c>
      <c r="D8846" s="6" t="n">
        <f aca="false">Sens!D8827</f>
        <v>17.315</v>
      </c>
      <c r="E8846" s="6" t="n">
        <f aca="false">Sens!E8827</f>
        <v>17.087</v>
      </c>
      <c r="F8846" s="6" t="n">
        <f aca="false">Sens!F8827</f>
        <v>16.9564585436519</v>
      </c>
      <c r="G8846" s="6" t="n">
        <f aca="false">Sens!G8827</f>
        <v>16.9206490624268</v>
      </c>
      <c r="H8846" s="6" t="n">
        <f aca="false">Sens!H8827</f>
        <v>16.9784519149849</v>
      </c>
      <c r="I8846" s="6" t="n">
        <f aca="false">Sens!I8827</f>
        <v>17.1303084701817</v>
      </c>
      <c r="J8846" s="6" t="n">
        <f aca="false">Sens!J8827</f>
        <v>17.3782189407267</v>
      </c>
      <c r="K8846" s="6" t="n">
        <f aca="false">Sens!K8827</f>
        <v>17.7257833195413</v>
      </c>
    </row>
    <row r="8847" customFormat="false" ht="15" hidden="false" customHeight="false" outlineLevel="0" collapsed="false">
      <c r="A8847" s="0" t="s">
        <v>640</v>
      </c>
      <c r="B8847" s="0" t="s">
        <v>95</v>
      </c>
      <c r="D8847" s="6" t="n">
        <f aca="false">Sens!D8829</f>
        <v>62.941</v>
      </c>
      <c r="E8847" s="6" t="n">
        <f aca="false">Sens!E8829</f>
        <v>63.712</v>
      </c>
      <c r="F8847" s="6" t="n">
        <f aca="false">Sens!F8829</f>
        <v>64.9963097896462</v>
      </c>
      <c r="G8847" s="6" t="n">
        <f aca="false">Sens!G8829</f>
        <v>66.7136225148641</v>
      </c>
      <c r="H8847" s="6" t="n">
        <f aca="false">Sens!H8829</f>
        <v>68.7890549736148</v>
      </c>
      <c r="I8847" s="6" t="n">
        <f aca="false">Sens!I8829</f>
        <v>71.1518060670993</v>
      </c>
      <c r="J8847" s="6" t="n">
        <f aca="false">Sens!J8829</f>
        <v>73.7346219940549</v>
      </c>
      <c r="K8847" s="6" t="n">
        <f aca="false">Sens!K8829</f>
        <v>76.4739536233724</v>
      </c>
    </row>
    <row r="8848" customFormat="false" ht="15" hidden="false" customHeight="false" outlineLevel="0" collapsed="false">
      <c r="A8848" s="1" t="s">
        <v>810</v>
      </c>
      <c r="B8848" s="0" t="s">
        <v>95</v>
      </c>
      <c r="D8848" s="6" t="n">
        <f aca="false">Sens!D8830</f>
        <v>281.724</v>
      </c>
      <c r="E8848" s="6" t="n">
        <f aca="false">Sens!E8830</f>
        <v>331.839</v>
      </c>
      <c r="F8848" s="6" t="n">
        <f aca="false">Sens!F8830</f>
        <v>393.359742854502</v>
      </c>
      <c r="G8848" s="6" t="n">
        <f aca="false">Sens!G8830</f>
        <v>455.983488188138</v>
      </c>
      <c r="H8848" s="6" t="n">
        <f aca="false">Sens!H8830</f>
        <v>514.545375844808</v>
      </c>
      <c r="I8848" s="6" t="n">
        <f aca="false">Sens!I8830</f>
        <v>579.065531295084</v>
      </c>
      <c r="J8848" s="6" t="n">
        <f aca="false">Sens!J8830</f>
        <v>640.951155085447</v>
      </c>
      <c r="K8848" s="6" t="n">
        <f aca="false">Sens!K8830</f>
        <v>699.501557602042</v>
      </c>
    </row>
    <row r="8849" customFormat="false" ht="15" hidden="false" customHeight="false" outlineLevel="0" collapsed="false">
      <c r="A8849" s="1" t="s">
        <v>811</v>
      </c>
      <c r="B8849" s="0" t="s">
        <v>126</v>
      </c>
      <c r="E8849" s="7" t="n">
        <f aca="false">Sens!E8848/Sens!D8848-1</f>
        <v>0.177886867998467</v>
      </c>
      <c r="F8849" s="7" t="n">
        <f aca="false">Sens!F8848/Sens!E8848-1</f>
        <v>0.185393346937828</v>
      </c>
      <c r="G8849" s="7" t="n">
        <f aca="false">Sens!G8848/Sens!F8848-1</f>
        <v>0.159202222574158</v>
      </c>
      <c r="H8849" s="7" t="n">
        <f aca="false">Sens!H8848/Sens!G8848-1</f>
        <v>0.12842984268875</v>
      </c>
      <c r="I8849" s="7" t="n">
        <f aca="false">Sens!I8848/Sens!H8848-1</f>
        <v>0.125392547439267</v>
      </c>
      <c r="J8849" s="7" t="n">
        <f aca="false">Sens!J8848/Sens!I8848-1</f>
        <v>0.1068715377549</v>
      </c>
      <c r="K8849" s="7" t="n">
        <f aca="false">Sens!K8848/Sens!J8848-1</f>
        <v>0.0913492425312641</v>
      </c>
    </row>
    <row r="8850" customFormat="false" ht="17.15" hidden="false" customHeight="false" outlineLevel="0" collapsed="false">
      <c r="A8850" s="22" t="s">
        <v>812</v>
      </c>
      <c r="B8850" s="28" t="s">
        <v>95</v>
      </c>
      <c r="C8850" s="28"/>
      <c r="D8850" s="23" t="n">
        <f aca="false">(Sens!D8843+Sens!D8847-Sens!D8848)+(Sens!D8835+Sens!D8836-Sens!D8834)+(Sens!D8838+Sens!D8839-Sens!D8837)+(Sens!D8848-Q!L18)</f>
        <v>0</v>
      </c>
      <c r="E8850" s="23" t="n">
        <f aca="false">(Sens!E8843+Sens!E8847-Sens!E8848)+(Sens!E8835+Sens!E8836-Sens!E8834)+(Sens!E8838+Sens!E8839-Sens!E8837)+(Sens!E8848-Q!M18)</f>
        <v>0</v>
      </c>
      <c r="F8850" s="23" t="n">
        <f aca="false">(Sens!F8843+Sens!F8847-Sens!F8848)+(Sens!F8835+Sens!F8836-Sens!F8834)+(Sens!F8838+Sens!F8839-Sens!F8837)</f>
        <v>0</v>
      </c>
      <c r="G8850" s="23" t="n">
        <f aca="false">(Sens!G8843+Sens!G8847-Sens!G8848)+(Sens!G8835+Sens!G8836-Sens!G8834)+(Sens!G8838+Sens!G8839-Sens!G8837)</f>
        <v>0</v>
      </c>
      <c r="H8850" s="23" t="n">
        <f aca="false">(Sens!H8843+Sens!H8847-Sens!H8848)+(Sens!H8835+Sens!H8836-Sens!H8834)+(Sens!H8838+Sens!H8839-Sens!H8837)</f>
        <v>0</v>
      </c>
      <c r="I8850" s="23" t="n">
        <f aca="false">(Sens!I8843+Sens!I8847-Sens!I8848)+(Sens!I8835+Sens!I8836-Sens!I8834)+(Sens!I8838+Sens!I8839-Sens!I8837)</f>
        <v>0</v>
      </c>
      <c r="J8850" s="23" t="n">
        <f aca="false">(Sens!J8843+Sens!J8847-Sens!J8848)+(Sens!J8835+Sens!J8836-Sens!J8834)+(Sens!J8838+Sens!J8839-Sens!J8837)</f>
        <v>0</v>
      </c>
      <c r="K8850" s="23" t="n">
        <f aca="false">(Sens!K8843+Sens!K8847-Sens!K8848)+(Sens!K8835+Sens!K8836-Sens!K8834)+(Sens!K8838+Sens!K8839-Sens!K8837)</f>
        <v>0</v>
      </c>
    </row>
    <row r="8851" customFormat="false" ht="17.15" hidden="false" customHeight="false" outlineLevel="0" collapsed="false">
      <c r="A8851" s="0" t="s">
        <v>813</v>
      </c>
      <c r="B8851" s="0" t="s">
        <v>126</v>
      </c>
      <c r="E8851" s="7" t="n">
        <f aca="false">(Q!M21+Sens!E8788+Sens!E8789+Sens!E8790+Sens!E8803-Sens!E8786)/(Q!M5-Sens!E8786)</f>
        <v>0.570957350878296</v>
      </c>
      <c r="F8851" s="7" t="n">
        <f aca="false">Sens!$E$8851+dm_seg</f>
        <v>0.570957350878296</v>
      </c>
      <c r="G8851" s="7" t="n">
        <f aca="false">Sens!$E$8851+dm_seg</f>
        <v>0.570957350878296</v>
      </c>
      <c r="H8851" s="7" t="n">
        <f aca="false">Sens!$E$8851+dm_seg</f>
        <v>0.570957350878296</v>
      </c>
      <c r="I8851" s="7" t="n">
        <f aca="false">Sens!$E$8851+dm_seg</f>
        <v>0.570957350878296</v>
      </c>
      <c r="J8851" s="7" t="n">
        <f aca="false">Sens!$E$8851+dm_seg</f>
        <v>0.570957350878296</v>
      </c>
      <c r="K8851" s="7" t="n">
        <f aca="false">Sens!$E$8851+dm_seg</f>
        <v>0.570957350878296</v>
      </c>
      <c r="L8851" s="11" t="s">
        <v>814</v>
      </c>
    </row>
    <row r="8852" customFormat="false" ht="17.15" hidden="false" customHeight="false" outlineLevel="0" collapsed="false">
      <c r="A8852" s="0" t="s">
        <v>654</v>
      </c>
      <c r="B8852" s="0" t="s">
        <v>95</v>
      </c>
      <c r="D8852" s="6" t="n">
        <f aca="false">Q!L21</f>
        <v>110.814</v>
      </c>
      <c r="E8852" s="6" t="n">
        <f aca="false">Q!M21</f>
        <v>136.365</v>
      </c>
      <c r="F8852" s="6" t="n">
        <f aca="false">Sens!F8851*(Sens!F8822-Sens!F8786)+Sens!F8786-(Sens!F8788+Sens!F8789+Sens!F8790)-Sens!F8803</f>
        <v>152.32674154081</v>
      </c>
      <c r="G8852" s="6" t="n">
        <f aca="false">Sens!G8851*(Sens!G8822-Sens!G8786)+Sens!G8786-(Sens!G8788+Sens!G8789+Sens!G8790)-Sens!G8803</f>
        <v>160.283432567842</v>
      </c>
      <c r="H8852" s="6" t="n">
        <f aca="false">Sens!H8851*(Sens!H8822-Sens!H8786)+Sens!H8786-(Sens!H8788+Sens!H8789+Sens!H8790)-Sens!H8803</f>
        <v>162.574672990873</v>
      </c>
      <c r="I8852" s="6" t="n">
        <f aca="false">Sens!I8851*(Sens!I8822-Sens!I8786)+Sens!I8786-(Sens!I8788+Sens!I8789+Sens!I8790)-Sens!I8803</f>
        <v>170.175242506808</v>
      </c>
      <c r="J8852" s="6" t="n">
        <f aca="false">Sens!J8851*(Sens!J8822-Sens!J8786)+Sens!J8786-(Sens!J8788+Sens!J8789+Sens!J8790)-Sens!J8803</f>
        <v>175.185544306656</v>
      </c>
      <c r="K8852" s="6" t="n">
        <f aca="false">Sens!K8851*(Sens!K8822-Sens!K8786)+Sens!K8786-(Sens!K8788+Sens!K8789+Sens!K8790)-Sens!K8803</f>
        <v>176.92161530551</v>
      </c>
      <c r="L8852" s="1" t="s">
        <v>815</v>
      </c>
    </row>
    <row r="8853" customFormat="false" ht="17.15" hidden="false" customHeight="false" outlineLevel="0" collapsed="false">
      <c r="A8853" s="0" t="s">
        <v>816</v>
      </c>
      <c r="B8853" s="0" t="s">
        <v>126</v>
      </c>
      <c r="E8853" s="7" t="n">
        <f aca="false">Q!M22/Q!M12</f>
        <v>0.296207935710698</v>
      </c>
      <c r="F8853" s="7" t="n">
        <f aca="false">Sens!$E$8853+dm_seg</f>
        <v>0.296207935710698</v>
      </c>
      <c r="G8853" s="7" t="n">
        <f aca="false">Sens!$E$8853+dm_seg</f>
        <v>0.296207935710698</v>
      </c>
      <c r="H8853" s="7" t="n">
        <f aca="false">Sens!$E$8853+dm_seg</f>
        <v>0.296207935710698</v>
      </c>
      <c r="I8853" s="7" t="n">
        <f aca="false">Sens!$E$8853+dm_seg</f>
        <v>0.296207935710698</v>
      </c>
      <c r="J8853" s="7" t="n">
        <f aca="false">Sens!$E$8853+dm_seg</f>
        <v>0.296207935710698</v>
      </c>
      <c r="K8853" s="7" t="n">
        <f aca="false">Sens!$E$8853+dm_seg</f>
        <v>0.296207935710698</v>
      </c>
      <c r="L8853" s="11" t="s">
        <v>817</v>
      </c>
    </row>
    <row r="8854" customFormat="false" ht="17.15" hidden="false" customHeight="false" outlineLevel="0" collapsed="false">
      <c r="A8854" s="0" t="s">
        <v>656</v>
      </c>
      <c r="B8854" s="0" t="s">
        <v>95</v>
      </c>
      <c r="D8854" s="6" t="n">
        <f aca="false">Q!L22</f>
        <v>17.714</v>
      </c>
      <c r="E8854" s="6" t="n">
        <f aca="false">Q!M22</f>
        <v>18.872</v>
      </c>
      <c r="F8854" s="6" t="n">
        <f aca="false">Sens!F8829*Sens!F8853</f>
        <v>19.2524227516042</v>
      </c>
      <c r="G8854" s="6" t="n">
        <f aca="false">Sens!G8829*Sens!G8853</f>
        <v>19.7611044089106</v>
      </c>
      <c r="H8854" s="6" t="n">
        <f aca="false">Sens!H8829*Sens!H8853</f>
        <v>20.3758639732242</v>
      </c>
      <c r="I8854" s="6" t="n">
        <f aca="false">Sens!I8829*Sens!I8853</f>
        <v>21.0757295972234</v>
      </c>
      <c r="J8854" s="6" t="n">
        <f aca="false">Sens!J8829*Sens!J8853</f>
        <v>21.8407801712676</v>
      </c>
      <c r="K8854" s="6" t="n">
        <f aca="false">Sens!K8829*Sens!K8853</f>
        <v>22.6521919384148</v>
      </c>
    </row>
    <row r="8855" customFormat="false" ht="15" hidden="false" customHeight="false" outlineLevel="0" collapsed="false">
      <c r="A8855" s="1" t="s">
        <v>818</v>
      </c>
      <c r="B8855" s="0" t="s">
        <v>95</v>
      </c>
      <c r="D8855" s="6" t="n">
        <f aca="false">Sens!D8852+Sens!D8854</f>
        <v>128.528</v>
      </c>
      <c r="E8855" s="6" t="n">
        <f aca="false">Sens!E8852+Sens!E8854</f>
        <v>155.237</v>
      </c>
      <c r="F8855" s="6" t="n">
        <f aca="false">Sens!F8852+Sens!F8854</f>
        <v>171.579164292414</v>
      </c>
      <c r="G8855" s="6" t="n">
        <f aca="false">Sens!G8852+Sens!G8854</f>
        <v>180.044536976752</v>
      </c>
      <c r="H8855" s="6" t="n">
        <f aca="false">Sens!H8852+Sens!H8854</f>
        <v>182.950536964097</v>
      </c>
      <c r="I8855" s="6" t="n">
        <f aca="false">Sens!I8852+Sens!I8854</f>
        <v>191.250972104032</v>
      </c>
      <c r="J8855" s="6" t="n">
        <f aca="false">Sens!J8852+Sens!J8854</f>
        <v>197.026324477924</v>
      </c>
      <c r="K8855" s="6" t="n">
        <f aca="false">Sens!K8852+Sens!K8854</f>
        <v>199.573807243925</v>
      </c>
    </row>
    <row r="8856" customFormat="false" ht="15" hidden="false" customHeight="false" outlineLevel="0" collapsed="false">
      <c r="A8856" s="22" t="s">
        <v>819</v>
      </c>
      <c r="B8856" s="28" t="s">
        <v>95</v>
      </c>
      <c r="C8856" s="28"/>
      <c r="D8856" s="23" t="n">
        <f aca="false">Sens!D8855-Q!L23</f>
        <v>0</v>
      </c>
      <c r="E8856" s="23" t="n">
        <f aca="false">Sens!E8855-Q!M23</f>
        <v>0</v>
      </c>
      <c r="F8856" s="28"/>
      <c r="G8856" s="28"/>
      <c r="H8856" s="28"/>
      <c r="I8856" s="28"/>
      <c r="J8856" s="28"/>
      <c r="K8856" s="28"/>
    </row>
    <row r="8857" customFormat="false" ht="15" hidden="false" customHeight="false" outlineLevel="0" collapsed="false">
      <c r="A8857" s="1" t="s">
        <v>820</v>
      </c>
      <c r="B8857" s="0" t="s">
        <v>126</v>
      </c>
      <c r="D8857" s="7" t="n">
        <f aca="false">Sens!D8855/Sens!D8848</f>
        <v>0.456219562408598</v>
      </c>
      <c r="E8857" s="7" t="n">
        <f aca="false">Sens!E8855/Sens!E8848</f>
        <v>0.467808184089272</v>
      </c>
      <c r="F8857" s="7" t="n">
        <f aca="false">Sens!F8855/Sens!F8848</f>
        <v>0.436188927334841</v>
      </c>
      <c r="G8857" s="7" t="n">
        <f aca="false">Sens!G8855/Sens!G8848</f>
        <v>0.394848808434191</v>
      </c>
      <c r="H8857" s="7" t="n">
        <f aca="false">Sens!H8855/Sens!H8848</f>
        <v>0.35555763505545</v>
      </c>
      <c r="I8857" s="7" t="n">
        <f aca="false">Sens!I8855/Sens!I8848</f>
        <v>0.330275179177558</v>
      </c>
      <c r="J8857" s="7" t="n">
        <f aca="false">Sens!J8855/Sens!J8848</f>
        <v>0.3073967850977</v>
      </c>
      <c r="K8857" s="7" t="n">
        <f aca="false">Sens!K8855/Sens!K8848</f>
        <v>0.285308595920905</v>
      </c>
    </row>
    <row r="8858" customFormat="false" ht="17.15" hidden="false" customHeight="false" outlineLevel="0" collapsed="false">
      <c r="A8858" s="1" t="s">
        <v>821</v>
      </c>
      <c r="B8858" s="0" t="s">
        <v>95</v>
      </c>
      <c r="E8858" s="6" t="n">
        <f aca="false">Sens!E8803</f>
        <v>16.3054059770833</v>
      </c>
      <c r="F8858" s="6" t="n">
        <f aca="false">Sens!F8803</f>
        <v>34.7533986225365</v>
      </c>
      <c r="G8858" s="6" t="n">
        <f aca="false">Sens!G8803</f>
        <v>60.5324595936729</v>
      </c>
      <c r="H8858" s="6" t="n">
        <f aca="false">Sens!H8803</f>
        <v>87.7680423264729</v>
      </c>
      <c r="I8858" s="6" t="n">
        <f aca="false">Sens!I8803</f>
        <v>116.022908074456</v>
      </c>
      <c r="J8858" s="6" t="n">
        <f aca="false">Sens!J8803</f>
        <v>145.250004291606</v>
      </c>
      <c r="K8858" s="6" t="n">
        <f aca="false">Sens!K8803</f>
        <v>175.764648967923</v>
      </c>
    </row>
    <row r="8859" customFormat="false" ht="17.15" hidden="false" customHeight="false" outlineLevel="0" collapsed="false">
      <c r="A8859" s="1" t="s">
        <v>822</v>
      </c>
      <c r="B8859" s="0" t="s">
        <v>95</v>
      </c>
      <c r="E8859" s="6" t="n">
        <f aca="false">Sens!E8879</f>
        <v>22.2285940229167</v>
      </c>
      <c r="F8859" s="6" t="n">
        <f aca="false">Sens!F8879</f>
        <v>23.5482335435812</v>
      </c>
      <c r="G8859" s="6" t="n">
        <f aca="false">Sens!G8879</f>
        <v>25.2624643305724</v>
      </c>
      <c r="H8859" s="6" t="n">
        <f aca="false">Sens!H8879</f>
        <v>27.3400060118004</v>
      </c>
      <c r="I8859" s="6" t="n">
        <f aca="false">Sens!I8879</f>
        <v>29.7245309035596</v>
      </c>
      <c r="J8859" s="6" t="n">
        <f aca="false">Sens!J8879</f>
        <v>32.3420597752196</v>
      </c>
      <c r="K8859" s="6" t="n">
        <f aca="false">Sens!K8879</f>
        <v>35.1094316136642</v>
      </c>
    </row>
    <row r="8860" customFormat="false" ht="17.15" hidden="false" customHeight="false" outlineLevel="0" collapsed="false">
      <c r="A8860" s="1" t="s">
        <v>823</v>
      </c>
      <c r="B8860" s="0" t="s">
        <v>95</v>
      </c>
      <c r="D8860" s="6" t="n">
        <f aca="false">Q!L27</f>
        <v>-4.901</v>
      </c>
      <c r="E8860" s="6" t="n">
        <f aca="false">Q!M27</f>
        <v>10.697</v>
      </c>
      <c r="F8860" s="6" t="n">
        <f aca="false">oie_f</f>
        <v>-0.4</v>
      </c>
      <c r="G8860" s="6" t="n">
        <f aca="false">oie_f</f>
        <v>-0.4</v>
      </c>
      <c r="H8860" s="6" t="n">
        <f aca="false">oie_f</f>
        <v>-0.4</v>
      </c>
      <c r="I8860" s="6" t="n">
        <f aca="false">oie_f</f>
        <v>-0.4</v>
      </c>
      <c r="J8860" s="6" t="n">
        <f aca="false">oie_f</f>
        <v>-0.4</v>
      </c>
      <c r="K8860" s="6" t="n">
        <f aca="false">oie_f</f>
        <v>-0.4</v>
      </c>
      <c r="L8860" s="11" t="s">
        <v>824</v>
      </c>
    </row>
    <row r="8861" customFormat="false" ht="15" hidden="false" customHeight="false" outlineLevel="0" collapsed="false">
      <c r="A8861" s="1" t="s">
        <v>666</v>
      </c>
      <c r="B8861" s="0" t="s">
        <v>95</v>
      </c>
      <c r="D8861" s="6" t="n">
        <f aca="false">Sens!D8855+Sens!D8860</f>
        <v>123.627</v>
      </c>
      <c r="E8861" s="6" t="n">
        <f aca="false">Sens!E8855+Sens!E8860</f>
        <v>165.934</v>
      </c>
      <c r="F8861" s="6" t="n">
        <f aca="false">Sens!F8855+Sens!F8860</f>
        <v>171.179164292414</v>
      </c>
      <c r="G8861" s="6" t="n">
        <f aca="false">Sens!G8855+Sens!G8860</f>
        <v>179.644536976752</v>
      </c>
      <c r="H8861" s="6" t="n">
        <f aca="false">Sens!H8855+Sens!H8860</f>
        <v>182.550536964097</v>
      </c>
      <c r="I8861" s="6" t="n">
        <f aca="false">Sens!I8855+Sens!I8860</f>
        <v>190.850972104032</v>
      </c>
      <c r="J8861" s="6" t="n">
        <f aca="false">Sens!J8855+Sens!J8860</f>
        <v>196.626324477924</v>
      </c>
      <c r="K8861" s="6" t="n">
        <f aca="false">Sens!K8855+Sens!K8860</f>
        <v>199.173807243925</v>
      </c>
    </row>
    <row r="8862" customFormat="false" ht="15" hidden="false" customHeight="false" outlineLevel="0" collapsed="false">
      <c r="A8862" s="1" t="s">
        <v>668</v>
      </c>
      <c r="B8862" s="0" t="s">
        <v>95</v>
      </c>
      <c r="D8862" s="6" t="n">
        <f aca="false">Q!L29</f>
        <v>21.795</v>
      </c>
      <c r="E8862" s="6" t="n">
        <f aca="false">Q!M29</f>
        <v>32.185</v>
      </c>
      <c r="F8862" s="6" t="n">
        <f aca="false">Sens!F8861*tax_f</f>
        <v>34.2358328584828</v>
      </c>
      <c r="G8862" s="6" t="n">
        <f aca="false">Sens!G8861*tax_f</f>
        <v>35.9289073953504</v>
      </c>
      <c r="H8862" s="6" t="n">
        <f aca="false">Sens!H8861*tax_f</f>
        <v>36.5101073928195</v>
      </c>
      <c r="I8862" s="6" t="n">
        <f aca="false">Sens!I8861*tax_f</f>
        <v>38.1701944208063</v>
      </c>
      <c r="J8862" s="6" t="n">
        <f aca="false">Sens!J8861*tax_f</f>
        <v>39.3252648955848</v>
      </c>
      <c r="K8862" s="6" t="n">
        <f aca="false">Sens!K8861*tax_f</f>
        <v>39.834761448785</v>
      </c>
    </row>
    <row r="8863" customFormat="false" ht="15" hidden="false" customHeight="false" outlineLevel="0" collapsed="false">
      <c r="A8863" s="1" t="s">
        <v>825</v>
      </c>
      <c r="B8863" s="0" t="s">
        <v>95</v>
      </c>
      <c r="D8863" s="6" t="n">
        <f aca="false">Sens!D8861-Sens!D8862</f>
        <v>101.832</v>
      </c>
      <c r="E8863" s="6" t="n">
        <f aca="false">Sens!E8861-Sens!E8862</f>
        <v>133.749</v>
      </c>
      <c r="F8863" s="6" t="n">
        <f aca="false">Sens!F8861-Sens!F8862</f>
        <v>136.943331433931</v>
      </c>
      <c r="G8863" s="6" t="n">
        <f aca="false">Sens!G8861-Sens!G8862</f>
        <v>143.715629581402</v>
      </c>
      <c r="H8863" s="6" t="n">
        <f aca="false">Sens!H8861-Sens!H8862</f>
        <v>146.040429571278</v>
      </c>
      <c r="I8863" s="6" t="n">
        <f aca="false">Sens!I8861-Sens!I8862</f>
        <v>152.680777683225</v>
      </c>
      <c r="J8863" s="6" t="n">
        <f aca="false">Sens!J8861-Sens!J8862</f>
        <v>157.301059582339</v>
      </c>
      <c r="K8863" s="6" t="n">
        <f aca="false">Sens!K8861-Sens!K8862</f>
        <v>159.33904579514</v>
      </c>
    </row>
    <row r="8864" customFormat="false" ht="17.15" hidden="false" customHeight="false" outlineLevel="0" collapsed="false">
      <c r="A8864" s="1" t="s">
        <v>826</v>
      </c>
      <c r="B8864" s="1" t="s">
        <v>79</v>
      </c>
      <c r="D8864" s="18" t="n">
        <f aca="false">Q!L31</f>
        <v>7.465</v>
      </c>
      <c r="E8864" s="18" t="n">
        <f aca="false">Q!M31</f>
        <v>7.453</v>
      </c>
      <c r="F8864" s="18" t="n">
        <f aca="false">Sens!F8901</f>
        <v>7.4735</v>
      </c>
      <c r="G8864" s="18" t="n">
        <f aca="false">Sens!G8901</f>
        <v>7.5185</v>
      </c>
      <c r="H8864" s="18" t="n">
        <f aca="false">Sens!H8901</f>
        <v>7.55850491017503</v>
      </c>
      <c r="I8864" s="18" t="n">
        <f aca="false">Sens!I8901</f>
        <v>7.5914955435234</v>
      </c>
      <c r="J8864" s="18" t="n">
        <f aca="false">Sens!J8901</f>
        <v>7.61469353165726</v>
      </c>
      <c r="K8864" s="18" t="n">
        <f aca="false">Sens!K8901</f>
        <v>7.63728551049345</v>
      </c>
    </row>
    <row r="8865" customFormat="false" ht="17.15" hidden="false" customHeight="false" outlineLevel="0" collapsed="false">
      <c r="A8865" s="0" t="s">
        <v>827</v>
      </c>
      <c r="B8865" s="0" t="s">
        <v>73</v>
      </c>
      <c r="D8865" s="8" t="n">
        <f aca="false">Sens!D8863/Sens!D8864</f>
        <v>13.641259209645</v>
      </c>
      <c r="E8865" s="8" t="n">
        <f aca="false">Sens!E8863/Sens!E8864</f>
        <v>17.9456594659869</v>
      </c>
      <c r="F8865" s="8" t="n">
        <f aca="false">Sens!F8863/Sens!F8864</f>
        <v>18.3238551460402</v>
      </c>
      <c r="G8865" s="8" t="n">
        <f aca="false">Sens!G8863/Sens!G8864</f>
        <v>19.1149337742105</v>
      </c>
      <c r="H8865" s="8" t="n">
        <f aca="false">Sens!H8863/Sens!H8864</f>
        <v>19.3213381888107</v>
      </c>
      <c r="I8865" s="8" t="n">
        <f aca="false">Sens!I8863/Sens!I8864</f>
        <v>20.1120815796939</v>
      </c>
      <c r="J8865" s="8" t="n">
        <f aca="false">Sens!J8863/Sens!J8864</f>
        <v>20.6575693333392</v>
      </c>
      <c r="K8865" s="8" t="n">
        <f aca="false">Sens!K8863/Sens!K8864</f>
        <v>20.8633087732823</v>
      </c>
      <c r="L8865" s="1" t="s">
        <v>828</v>
      </c>
    </row>
    <row r="8866" customFormat="false" ht="17.15" hidden="false" customHeight="false" outlineLevel="0" collapsed="false">
      <c r="A8866" s="0" t="s">
        <v>829</v>
      </c>
      <c r="B8866" s="0" t="s">
        <v>126</v>
      </c>
      <c r="E8866" s="7" t="n">
        <f aca="false">Sens!E8865/Sens!D8865-1</f>
        <v>0.315542736208578</v>
      </c>
      <c r="F8866" s="7" t="n">
        <f aca="false">Sens!F8865/Sens!E8865-1</f>
        <v>0.0210744932929394</v>
      </c>
      <c r="G8866" s="7" t="n">
        <f aca="false">Sens!G8865/Sens!F8865-1</f>
        <v>0.0431720629673993</v>
      </c>
      <c r="H8866" s="7" t="n">
        <f aca="false">Sens!H8865/Sens!G8865-1</f>
        <v>0.0107980711331921</v>
      </c>
      <c r="I8866" s="7" t="n">
        <f aca="false">Sens!I8865/Sens!H8865-1</f>
        <v>0.0409259122300927</v>
      </c>
      <c r="J8866" s="7" t="n">
        <f aca="false">Sens!J8865/Sens!I8865-1</f>
        <v>0.0271223916571623</v>
      </c>
      <c r="K8866" s="7" t="n">
        <f aca="false">Sens!K8865/Sens!J8865-1</f>
        <v>0.00995951830649799</v>
      </c>
    </row>
    <row r="8867" customFormat="false" ht="17.15" hidden="false" customHeight="false" outlineLevel="0" collapsed="false">
      <c r="A8867" s="0" t="s">
        <v>763</v>
      </c>
      <c r="B8867" s="0" t="s">
        <v>95</v>
      </c>
      <c r="E8867" s="6" t="n">
        <f aca="false">Sens!E8812</f>
        <v>5.25</v>
      </c>
      <c r="F8867" s="6" t="n">
        <f aca="false">Sens!F8812</f>
        <v>10.5</v>
      </c>
      <c r="G8867" s="6" t="n">
        <f aca="false">Sens!G8812</f>
        <v>13.5</v>
      </c>
      <c r="H8867" s="6" t="n">
        <f aca="false">Sens!H8812</f>
        <v>16.5</v>
      </c>
      <c r="I8867" s="6" t="n">
        <f aca="false">Sens!I8812</f>
        <v>18.75</v>
      </c>
      <c r="J8867" s="6" t="n">
        <f aca="false">Sens!J8812</f>
        <v>20.25</v>
      </c>
      <c r="K8867" s="6" t="n">
        <f aca="false">Sens!K8812</f>
        <v>21.75</v>
      </c>
    </row>
    <row r="8868" customFormat="false" ht="17.15" hidden="false" customHeight="false" outlineLevel="0" collapsed="false">
      <c r="A8868" s="0" t="s">
        <v>764</v>
      </c>
      <c r="B8868" s="0" t="s">
        <v>95</v>
      </c>
      <c r="E8868" s="6" t="n">
        <f aca="false">Sens!E8792+Sens!E8867*Sens!E8851-Sens!E8793-Sens!E8803</f>
        <v>2.1514866143068</v>
      </c>
      <c r="F8868" s="6" t="n">
        <f aca="false">Sens!F8792+Sens!F8867*Sens!F8851-Sens!F8793-Sens!F8803</f>
        <v>-0.233931426282197</v>
      </c>
      <c r="G8868" s="6" t="n">
        <f aca="false">Sens!G8792+Sens!G8867*Sens!G8851-Sens!G8793-Sens!G8803</f>
        <v>-11.3586693596939</v>
      </c>
      <c r="H8868" s="6" t="n">
        <f aca="false">Sens!H8792+Sens!H8867*Sens!H8851-Sens!H8793-Sens!H8803</f>
        <v>-28.331006687964</v>
      </c>
      <c r="I8868" s="6" t="n">
        <f aca="false">Sens!I8792+Sens!I8867*Sens!I8851-Sens!I8793-Sens!I8803</f>
        <v>-39.5060225673708</v>
      </c>
      <c r="J8868" s="6" t="n">
        <f aca="false">Sens!J8792+Sens!J8867*Sens!J8851-Sens!J8793-Sens!J8803</f>
        <v>-52.0325085418816</v>
      </c>
      <c r="K8868" s="6" t="n">
        <f aca="false">Sens!K8792+Sens!K8867*Sens!K8851-Sens!K8793-Sens!K8803</f>
        <v>-65.8177313459116</v>
      </c>
    </row>
    <row r="8869" customFormat="false" ht="17.15" hidden="false" customHeight="false" outlineLevel="0" collapsed="false">
      <c r="A8869" s="0" t="s">
        <v>765</v>
      </c>
      <c r="B8869" s="0" t="s">
        <v>95</v>
      </c>
      <c r="E8869" s="6" t="n">
        <f aca="false">Sens!E8775*(cxit_open+self_build*tk_cxfac)/1000*ai_net_open</f>
        <v>126.6980382</v>
      </c>
      <c r="F8869" s="6" t="n">
        <f aca="false">Sens!E8869+Sens!F8800-Sens!F8803</f>
        <v>260.719650347901</v>
      </c>
      <c r="G8869" s="6" t="n">
        <f aca="false">Sens!F8869+Sens!G8800-Sens!G8803</f>
        <v>383.761371237428</v>
      </c>
      <c r="H8869" s="6" t="n">
        <f aca="false">Sens!G8869+Sens!H8800-Sens!H8803</f>
        <v>484.073614821355</v>
      </c>
      <c r="I8869" s="6" t="n">
        <f aca="false">Sens!H8869+Sens!I8800-Sens!I8803</f>
        <v>586.389668003966</v>
      </c>
      <c r="J8869" s="6" t="n">
        <f aca="false">Sens!I8869+Sens!J8800-Sens!J8803</f>
        <v>674.916724636093</v>
      </c>
      <c r="K8869" s="6" t="n">
        <f aca="false">Sens!J8869+Sens!K8800-Sens!K8803</f>
        <v>778.00838761857</v>
      </c>
      <c r="L8869" s="1" t="s">
        <v>766</v>
      </c>
    </row>
    <row r="8870" customFormat="false" ht="17.15" hidden="false" customHeight="false" outlineLevel="0" collapsed="false">
      <c r="A8870" s="0" t="s">
        <v>767</v>
      </c>
      <c r="B8870" s="0" t="s">
        <v>126</v>
      </c>
      <c r="F8870" s="7" t="n">
        <f aca="false">Sens!F8868*(1-tax_f)/((Sens!E8869+Sens!F8869)/2)</f>
        <v>-0.000966115624339227</v>
      </c>
      <c r="G8870" s="7" t="n">
        <f aca="false">Sens!G8868*(1-tax_f)/((Sens!F8869+Sens!G8869)/2)</f>
        <v>-0.0281992337506002</v>
      </c>
      <c r="H8870" s="7" t="n">
        <f aca="false">Sens!H8868*(1-tax_f)/((Sens!G8869+Sens!H8869)/2)</f>
        <v>-0.0522329837226358</v>
      </c>
      <c r="I8870" s="7" t="n">
        <f aca="false">Sens!I8868*(1-tax_f)/((Sens!H8869+Sens!I8869)/2)</f>
        <v>-0.0590488596124112</v>
      </c>
      <c r="J8870" s="7" t="n">
        <f aca="false">Sens!J8868*(1-tax_f)/((Sens!I8869+Sens!J8869)/2)</f>
        <v>-0.0660045918682412</v>
      </c>
      <c r="K8870" s="7" t="n">
        <f aca="false">Sens!K8868*(1-tax_f)/((Sens!J8869+Sens!K8869)/2)</f>
        <v>-0.0724802464113516</v>
      </c>
    </row>
    <row r="8871" customFormat="false" ht="17.15" hidden="false" customHeight="false" outlineLevel="0" collapsed="false">
      <c r="A8871" s="1" t="s">
        <v>768</v>
      </c>
      <c r="B8871" s="0" t="s">
        <v>126</v>
      </c>
      <c r="F8871" s="7" t="n">
        <f aca="false">Sens!F8804*(1-tax_f)/(Sens!F8791*(Sens!E8869+Sens!F8869)/2)</f>
        <v>0.0977777168083618</v>
      </c>
      <c r="G8871" s="7" t="n">
        <f aca="false">Sens!G8804*(1-tax_f)/(Sens!G8791*(Sens!F8869+Sens!G8869)/2)</f>
        <v>0.0659177265903879</v>
      </c>
      <c r="H8871" s="7" t="n">
        <f aca="false">Sens!H8804*(1-tax_f)/(Sens!H8791*(Sens!G8869+Sens!H8869)/2)</f>
        <v>0.0387749427263846</v>
      </c>
      <c r="I8871" s="7" t="n">
        <f aca="false">Sens!I8804*(1-tax_f)/(Sens!I8791*(Sens!H8869+Sens!I8869)/2)</f>
        <v>0.0397391737821544</v>
      </c>
      <c r="J8871" s="7" t="n">
        <f aca="false">Sens!J8804*(1-tax_f)/(Sens!J8791*(Sens!I8869+Sens!J8869)/2)</f>
        <v>0.0396577910866831</v>
      </c>
      <c r="K8871" s="7" t="n">
        <f aca="false">Sens!K8804*(1-tax_f)/(Sens!K8791*(Sens!J8869+Sens!K8869)/2)</f>
        <v>0.0382186156987056</v>
      </c>
    </row>
    <row r="8872" customFormat="false" ht="17.15" hidden="false" customHeight="false" outlineLevel="0" collapsed="false">
      <c r="A8872" s="0" t="s">
        <v>769</v>
      </c>
      <c r="B8872" s="0" t="s">
        <v>208</v>
      </c>
      <c r="F8872" s="7" t="n">
        <f aca="false">Sens!F8870-wacc</f>
        <v>-0.109929336774593</v>
      </c>
      <c r="G8872" s="7" t="n">
        <f aca="false">Sens!G8870-wacc</f>
        <v>-0.137162454900854</v>
      </c>
      <c r="H8872" s="7" t="n">
        <f aca="false">Sens!H8870-wacc</f>
        <v>-0.16119620487289</v>
      </c>
      <c r="I8872" s="7" t="n">
        <f aca="false">Sens!I8870-wacc</f>
        <v>-0.168012080762665</v>
      </c>
      <c r="J8872" s="7" t="n">
        <f aca="false">Sens!J8870-wacc</f>
        <v>-0.174967813018495</v>
      </c>
      <c r="K8872" s="7" t="n">
        <f aca="false">Sens!K8870-wacc</f>
        <v>-0.181443467561606</v>
      </c>
    </row>
    <row r="8873" customFormat="false" ht="17.15" hidden="false" customHeight="false" outlineLevel="0" collapsed="false">
      <c r="A8873" s="0" t="s">
        <v>770</v>
      </c>
      <c r="B8873" s="0" t="s">
        <v>95</v>
      </c>
      <c r="F8873" s="6" t="n">
        <f aca="false">Sens!F8868*(1-tax_f)-wacc*(Sens!E8869+Sens!F8869)/2</f>
        <v>-21.2942847784083</v>
      </c>
      <c r="G8873" s="6" t="n">
        <f aca="false">Sens!G8868*(1-tax_f)-wacc*(Sens!F8869+Sens!G8869)/2</f>
        <v>-44.1992995288271</v>
      </c>
      <c r="H8873" s="6" t="n">
        <f aca="false">Sens!H8868*(1-tax_f)-wacc*(Sens!G8869+Sens!H8869)/2</f>
        <v>-69.9458531042966</v>
      </c>
      <c r="I8873" s="6" t="n">
        <f aca="false">Sens!I8868*(1-tax_f)-wacc*(Sens!H8869+Sens!I8869)/2</f>
        <v>-89.9253817637577</v>
      </c>
      <c r="J8873" s="6" t="n">
        <f aca="false">Sens!J8868*(1-tax_f)-wacc*(Sens!I8869+Sens!J8869)/2</f>
        <v>-110.344010533239</v>
      </c>
      <c r="K8873" s="6" t="n">
        <f aca="false">Sens!K8868*(1-tax_f)-wacc*(Sens!J8869+Sens!K8869)/2</f>
        <v>-131.81188523741</v>
      </c>
    </row>
    <row r="8874" customFormat="false" ht="17.15" hidden="false" customHeight="false" outlineLevel="0" collapsed="false">
      <c r="A8874" s="1" t="s">
        <v>771</v>
      </c>
      <c r="B8874" s="0" t="s">
        <v>95</v>
      </c>
      <c r="F8874" s="6" t="n">
        <f aca="false">(Sens!E8776+Sens!F8776)/2*Sens!F8783/1000</f>
        <v>26.7873066765967</v>
      </c>
      <c r="G8874" s="6" t="n">
        <f aca="false">(Sens!F8776+Sens!G8776)/2*Sens!G8783/1000</f>
        <v>45.4131817597218</v>
      </c>
      <c r="H8874" s="6" t="n">
        <f aca="false">(Sens!G8776+Sens!H8776)/2*Sens!H8783/1000</f>
        <v>65.3915129357971</v>
      </c>
      <c r="I8874" s="6" t="n">
        <f aca="false">(Sens!H8776+Sens!I8776)/2*Sens!I8783/1000</f>
        <v>85.5187419289299</v>
      </c>
      <c r="J8874" s="6" t="n">
        <f aca="false">(Sens!I8776+Sens!J8776)/2*Sens!J8783/1000</f>
        <v>105.723807195006</v>
      </c>
      <c r="K8874" s="6" t="n">
        <f aca="false">(Sens!J8776+Sens!K8776)/2*Sens!K8783/1000</f>
        <v>125.974659797015</v>
      </c>
      <c r="L8874" s="1" t="s">
        <v>772</v>
      </c>
    </row>
    <row r="8875" customFormat="false" ht="17.15" hidden="false" customHeight="false" outlineLevel="0" collapsed="false">
      <c r="A8875" s="1" t="s">
        <v>773</v>
      </c>
      <c r="B8875" s="0" t="s">
        <v>126</v>
      </c>
      <c r="F8875" s="7" t="n">
        <f aca="false">(Sens!F8792+Sens!F8874-Sens!F8793-Sens!F8803)*(1-tax_f)/((Sens!E8869+Sens!F8869)/2)</f>
        <v>0.0849040141379112</v>
      </c>
      <c r="G8875" s="7" t="n">
        <f aca="false">(Sens!G8792+Sens!G8874-Sens!G8793-Sens!G8803)*(1-tax_f)/((Sens!F8869+Sens!G8869)/2)</f>
        <v>0.0654085064559066</v>
      </c>
      <c r="H8875" s="7" t="n">
        <f aca="false">(Sens!H8792+Sens!H8874-Sens!H8793-Sens!H8803)*(1-tax_f)/((Sens!G8869+Sens!H8869)/2)</f>
        <v>0.0509584617395806</v>
      </c>
      <c r="I8875" s="7" t="n">
        <f aca="false">(Sens!I8792+Sens!I8874-Sens!I8793-Sens!I8803)*(1-tax_f)/((Sens!H8869+Sens!I8869)/2)</f>
        <v>0.0527730669127156</v>
      </c>
      <c r="J8875" s="7" t="n">
        <f aca="false">(Sens!J8792+Sens!J8874-Sens!J8793-Sens!J8803)*(1-tax_f)/((Sens!I8869+Sens!J8869)/2)</f>
        <v>0.0534422564333883</v>
      </c>
      <c r="K8875" s="7" t="n">
        <f aca="false">(Sens!K8792+Sens!K8874-Sens!K8793-Sens!K8803)*(1-tax_f)/((Sens!J8869+Sens!K8869)/2)</f>
        <v>0.0525710300324225</v>
      </c>
      <c r="L8875" s="1" t="s">
        <v>774</v>
      </c>
    </row>
    <row r="8876" customFormat="false" ht="17.15" hidden="false" customHeight="false" outlineLevel="0" collapsed="false">
      <c r="A8876" s="3" t="s">
        <v>1367</v>
      </c>
    </row>
    <row r="8877" customFormat="false" ht="15" hidden="false" customHeight="false" outlineLevel="0" collapsed="false">
      <c r="A8877" s="4" t="s">
        <v>43</v>
      </c>
      <c r="B8877" s="4" t="s">
        <v>63</v>
      </c>
      <c r="C8877" s="19" t="s">
        <v>710</v>
      </c>
      <c r="D8877" s="19" t="s">
        <v>711</v>
      </c>
      <c r="E8877" s="19" t="s">
        <v>712</v>
      </c>
      <c r="F8877" s="19" t="s">
        <v>713</v>
      </c>
      <c r="G8877" s="19" t="s">
        <v>714</v>
      </c>
      <c r="H8877" s="19" t="s">
        <v>715</v>
      </c>
      <c r="I8877" s="19" t="s">
        <v>716</v>
      </c>
      <c r="J8877" s="19" t="s">
        <v>717</v>
      </c>
      <c r="K8877" s="19" t="s">
        <v>718</v>
      </c>
      <c r="L8877" s="4" t="s">
        <v>47</v>
      </c>
    </row>
    <row r="8878" customFormat="false" ht="15" hidden="false" customHeight="false" outlineLevel="0" collapsed="false">
      <c r="A8878" s="1" t="s">
        <v>825</v>
      </c>
      <c r="B8878" s="0" t="s">
        <v>95</v>
      </c>
      <c r="F8878" s="6" t="n">
        <f aca="false">Sens!F8863</f>
        <v>136.943331433931</v>
      </c>
      <c r="G8878" s="6" t="n">
        <f aca="false">Sens!G8863</f>
        <v>143.715629581402</v>
      </c>
      <c r="H8878" s="6" t="n">
        <f aca="false">Sens!H8863</f>
        <v>146.040429571278</v>
      </c>
      <c r="I8878" s="6" t="n">
        <f aca="false">Sens!I8863</f>
        <v>152.680777683225</v>
      </c>
      <c r="J8878" s="6" t="n">
        <f aca="false">Sens!J8863</f>
        <v>157.301059582339</v>
      </c>
      <c r="K8878" s="6" t="n">
        <f aca="false">Sens!K8863</f>
        <v>159.33904579514</v>
      </c>
    </row>
    <row r="8879" customFormat="false" ht="17.15" hidden="false" customHeight="false" outlineLevel="0" collapsed="false">
      <c r="A8879" s="1" t="s">
        <v>843</v>
      </c>
      <c r="B8879" s="0" t="s">
        <v>95</v>
      </c>
      <c r="E8879" s="6" t="n">
        <f aca="false">Q!M38-Sens!E8803</f>
        <v>22.2285940229167</v>
      </c>
      <c r="F8879" s="6" t="n">
        <f aca="false">Sens!E8879*(1-1/life_nonai)+Sens!F8885/life_nonai</f>
        <v>23.5482335435812</v>
      </c>
      <c r="G8879" s="6" t="n">
        <f aca="false">Sens!F8879*(1-1/life_nonai)+Sens!G8885/life_nonai</f>
        <v>25.2624643305724</v>
      </c>
      <c r="H8879" s="6" t="n">
        <f aca="false">Sens!G8879*(1-1/life_nonai)+Sens!H8885/life_nonai</f>
        <v>27.3400060118004</v>
      </c>
      <c r="I8879" s="6" t="n">
        <f aca="false">Sens!H8879*(1-1/life_nonai)+Sens!I8885/life_nonai</f>
        <v>29.7245309035596</v>
      </c>
      <c r="J8879" s="6" t="n">
        <f aca="false">Sens!I8879*(1-1/life_nonai)+Sens!J8885/life_nonai</f>
        <v>32.3420597752196</v>
      </c>
      <c r="K8879" s="6" t="n">
        <f aca="false">Sens!J8879*(1-1/life_nonai)+Sens!K8885/life_nonai</f>
        <v>35.1094316136642</v>
      </c>
      <c r="L8879" s="11" t="s">
        <v>844</v>
      </c>
    </row>
    <row r="8880" customFormat="false" ht="17.15" hidden="false" customHeight="false" outlineLevel="0" collapsed="false">
      <c r="A8880" s="1" t="s">
        <v>845</v>
      </c>
      <c r="B8880" s="0" t="s">
        <v>95</v>
      </c>
      <c r="E8880" s="6" t="n">
        <f aca="false">Sens!E8803+Sens!E8879</f>
        <v>38.534</v>
      </c>
      <c r="F8880" s="6" t="n">
        <f aca="false">Sens!F8803+Sens!F8879</f>
        <v>58.3016321661177</v>
      </c>
      <c r="G8880" s="6" t="n">
        <f aca="false">Sens!G8803+Sens!G8879</f>
        <v>85.7949239242454</v>
      </c>
      <c r="H8880" s="6" t="n">
        <f aca="false">Sens!H8803+Sens!H8879</f>
        <v>115.108048338273</v>
      </c>
      <c r="I8880" s="6" t="n">
        <f aca="false">Sens!I8803+Sens!I8879</f>
        <v>145.747438978016</v>
      </c>
      <c r="J8880" s="6" t="n">
        <f aca="false">Sens!J8803+Sens!J8879</f>
        <v>177.592064066826</v>
      </c>
      <c r="K8880" s="6" t="n">
        <f aca="false">Sens!K8803+Sens!K8879</f>
        <v>210.874080581587</v>
      </c>
    </row>
    <row r="8881" customFormat="false" ht="15" hidden="false" customHeight="false" outlineLevel="0" collapsed="false">
      <c r="A8881" s="1" t="s">
        <v>685</v>
      </c>
      <c r="B8881" s="0" t="s">
        <v>95</v>
      </c>
      <c r="F8881" s="6" t="n">
        <f aca="false">Sens!F8830*sbc_r</f>
        <v>14.7048044687638</v>
      </c>
      <c r="G8881" s="6" t="n">
        <f aca="false">Sens!G8830*sbc_r</f>
        <v>17.0458420227094</v>
      </c>
      <c r="H8881" s="6" t="n">
        <f aca="false">Sens!H8830*sbc_r</f>
        <v>19.2350368321832</v>
      </c>
      <c r="I8881" s="6" t="n">
        <f aca="false">Sens!I8830*sbc_r</f>
        <v>21.6469671006588</v>
      </c>
      <c r="J8881" s="6" t="n">
        <f aca="false">Sens!J8830*sbc_r</f>
        <v>23.9604117624359</v>
      </c>
      <c r="K8881" s="6" t="n">
        <f aca="false">Sens!K8830*sbc_r</f>
        <v>26.1491772276716</v>
      </c>
    </row>
    <row r="8882" customFormat="false" ht="17.15" hidden="false" customHeight="false" outlineLevel="0" collapsed="false">
      <c r="A8882" s="1" t="s">
        <v>846</v>
      </c>
      <c r="B8882" s="0" t="s">
        <v>95</v>
      </c>
      <c r="F8882" s="6" t="n">
        <f aca="false">wc27</f>
        <v>-4.895</v>
      </c>
      <c r="G8882" s="6" t="n">
        <f aca="false">0</f>
        <v>0</v>
      </c>
      <c r="H8882" s="6" t="n">
        <f aca="false">0</f>
        <v>0</v>
      </c>
      <c r="I8882" s="6" t="n">
        <f aca="false">0</f>
        <v>0</v>
      </c>
      <c r="J8882" s="6" t="n">
        <f aca="false">0</f>
        <v>0</v>
      </c>
      <c r="K8882" s="6" t="n">
        <f aca="false">0</f>
        <v>0</v>
      </c>
      <c r="L8882" s="11" t="s">
        <v>847</v>
      </c>
    </row>
    <row r="8883" customFormat="false" ht="15" hidden="false" customHeight="false" outlineLevel="0" collapsed="false">
      <c r="A8883" s="1" t="s">
        <v>678</v>
      </c>
      <c r="B8883" s="0" t="s">
        <v>95</v>
      </c>
      <c r="E8883" s="6" t="n">
        <f aca="false">Q!M35</f>
        <v>182.935</v>
      </c>
      <c r="F8883" s="6" t="n">
        <f aca="false">Sens!F8878+Sens!F8880+Sens!F8881+Sens!F8882</f>
        <v>205.054768068813</v>
      </c>
      <c r="G8883" s="6" t="n">
        <f aca="false">Sens!G8878+Sens!G8880+Sens!G8881+Sens!G8882</f>
        <v>246.556395528357</v>
      </c>
      <c r="H8883" s="6" t="n">
        <f aca="false">Sens!H8878+Sens!H8880+Sens!H8881+Sens!H8882</f>
        <v>280.383514741735</v>
      </c>
      <c r="I8883" s="6" t="n">
        <f aca="false">Sens!I8878+Sens!I8880+Sens!I8881+Sens!I8882</f>
        <v>320.0751837619</v>
      </c>
      <c r="J8883" s="6" t="n">
        <f aca="false">Sens!J8878+Sens!J8880+Sens!J8881+Sens!J8882</f>
        <v>358.853535411601</v>
      </c>
      <c r="K8883" s="6" t="n">
        <f aca="false">Sens!K8878+Sens!K8880+Sens!K8881+Sens!K8882</f>
        <v>396.362303604399</v>
      </c>
    </row>
    <row r="8884" customFormat="false" ht="17.15" hidden="false" customHeight="false" outlineLevel="0" collapsed="false">
      <c r="A8884" s="0" t="s">
        <v>848</v>
      </c>
      <c r="B8884" s="0" t="s">
        <v>95</v>
      </c>
      <c r="F8884" s="6" t="n">
        <f aca="false">Sens!F8800</f>
        <v>168.775010770438</v>
      </c>
      <c r="G8884" s="6" t="n">
        <f aca="false">Sens!G8800</f>
        <v>183.5741804832</v>
      </c>
      <c r="H8884" s="6" t="n">
        <f aca="false">Sens!H8800</f>
        <v>188.0802859104</v>
      </c>
      <c r="I8884" s="6" t="n">
        <f aca="false">Sens!I8800</f>
        <v>218.338961257067</v>
      </c>
      <c r="J8884" s="6" t="n">
        <f aca="false">Sens!J8800</f>
        <v>233.777060923733</v>
      </c>
      <c r="K8884" s="6" t="n">
        <f aca="false">Sens!K8800</f>
        <v>278.8563119504</v>
      </c>
    </row>
    <row r="8885" customFormat="false" ht="17.15" hidden="false" customHeight="false" outlineLevel="0" collapsed="false">
      <c r="A8885" s="1" t="s">
        <v>849</v>
      </c>
      <c r="B8885" s="0" t="s">
        <v>95</v>
      </c>
      <c r="E8885" s="6" t="n">
        <f aca="false">Sens!E8808*cx_azo+Sens!E8815*cx_m365+Sens!E8816*cx_lic+(Sens!E8818+Sens!E8820)*cx_ind+Sens!E8823*cx_srch+(Sens!E8825+Sens!E8827)*cx_dev</f>
        <v>30.1846587067718</v>
      </c>
      <c r="F8885" s="6" t="n">
        <f aca="false">Sens!F8808*cx_azo+Sens!F8815*cx_m365+Sens!F8816*cx_lic+(Sens!F8818+Sens!F8820)*cx_ind+Sens!F8823*cx_srch+(Sens!F8825+Sens!F8827)*cx_dev</f>
        <v>35.4249892295625</v>
      </c>
      <c r="G8885" s="6" t="n">
        <f aca="false">Sens!G8808*cx_azo+Sens!G8815*cx_m365+Sens!G8816*cx_lic+(Sens!G8818+Sens!G8820)*cx_ind+Sens!G8823*cx_srch+(Sens!G8825+Sens!G8827)*cx_dev</f>
        <v>40.6905414134931</v>
      </c>
      <c r="H8885" s="6" t="n">
        <f aca="false">Sens!H8808*cx_azo+Sens!H8815*cx_m365+Sens!H8816*cx_lic+(Sens!H8818+Sens!H8820)*cx_ind+Sens!H8823*cx_srch+(Sens!H8825+Sens!H8827)*cx_dev</f>
        <v>46.0378811428518</v>
      </c>
      <c r="I8885" s="6" t="n">
        <f aca="false">Sens!I8808*cx_azo+Sens!I8815*cx_m365+Sens!I8816*cx_lic+(Sens!I8818+Sens!I8820)*cx_ind+Sens!I8823*cx_srch+(Sens!I8825+Sens!I8827)*cx_dev</f>
        <v>51.1852549293923</v>
      </c>
      <c r="J8885" s="6" t="n">
        <f aca="false">Sens!J8808*cx_azo+Sens!J8815*cx_m365+Sens!J8816*cx_lic+(Sens!J8818+Sens!J8820)*cx_ind+Sens!J8823*cx_srch+(Sens!J8825+Sens!J8827)*cx_dev</f>
        <v>55.8998196201597</v>
      </c>
      <c r="K8885" s="6" t="n">
        <f aca="false">Sens!K8808*cx_azo+Sens!K8815*cx_m365+Sens!K8816*cx_lic+(Sens!K8818+Sens!K8820)*cx_ind+Sens!K8823*cx_srch+(Sens!K8825+Sens!K8827)*cx_dev</f>
        <v>60.0157781596659</v>
      </c>
    </row>
    <row r="8886" customFormat="false" ht="17.15" hidden="false" customHeight="false" outlineLevel="0" collapsed="false">
      <c r="A8886" s="1" t="s">
        <v>850</v>
      </c>
      <c r="B8886" s="0" t="s">
        <v>95</v>
      </c>
      <c r="E8886" s="6" t="n">
        <f aca="false">Q!M42</f>
        <v>145.3</v>
      </c>
      <c r="F8886" s="6" t="n">
        <f aca="false">Sens!F8884+Sens!F8885</f>
        <v>204.2</v>
      </c>
      <c r="G8886" s="6" t="n">
        <f aca="false">Sens!G8884+Sens!G8885</f>
        <v>224.264721896693</v>
      </c>
      <c r="H8886" s="6" t="n">
        <f aca="false">Sens!H8884+Sens!H8885</f>
        <v>234.118167053252</v>
      </c>
      <c r="I8886" s="6" t="n">
        <f aca="false">Sens!I8884+Sens!I8885</f>
        <v>269.524216186459</v>
      </c>
      <c r="J8886" s="6" t="n">
        <f aca="false">Sens!J8884+Sens!J8885</f>
        <v>289.676880543893</v>
      </c>
      <c r="K8886" s="6" t="n">
        <f aca="false">Sens!K8884+Sens!K8885</f>
        <v>338.872090110066</v>
      </c>
      <c r="L8886" s="1" t="s">
        <v>851</v>
      </c>
    </row>
    <row r="8887" customFormat="false" ht="15" hidden="false" customHeight="false" outlineLevel="0" collapsed="false">
      <c r="A8887" s="1" t="s">
        <v>852</v>
      </c>
      <c r="B8887" s="0" t="s">
        <v>95</v>
      </c>
      <c r="E8887" s="6" t="n">
        <f aca="false">fl_liab</f>
        <v>66.594</v>
      </c>
      <c r="F8887" s="6" t="n">
        <f aca="false">Sens!E8887-Sens!F8888</f>
        <v>62.46973</v>
      </c>
      <c r="G8887" s="6" t="n">
        <f aca="false">Sens!F8887-Sens!G8888</f>
        <v>57.98686785</v>
      </c>
      <c r="H8887" s="6" t="n">
        <f aca="false">Sens!G8887-Sens!H8888</f>
        <v>53.92827690325</v>
      </c>
      <c r="I8887" s="6" t="n">
        <f aca="false">Sens!H8887-Sens!I8888</f>
        <v>49.7850493638962</v>
      </c>
      <c r="J8887" s="6" t="n">
        <f aca="false">Sens!I8887-Sens!J8888</f>
        <v>45.4823765852716</v>
      </c>
      <c r="K8887" s="6" t="n">
        <f aca="false">Sens!J8887-Sens!K8888</f>
        <v>40.9860835316088</v>
      </c>
    </row>
    <row r="8888" customFormat="false" ht="15" hidden="false" customHeight="false" outlineLevel="0" collapsed="false">
      <c r="A8888" s="1" t="s">
        <v>853</v>
      </c>
      <c r="B8888" s="0" t="s">
        <v>95</v>
      </c>
      <c r="F8888" s="6" t="n">
        <f aca="false">fl_pay_27-Sens!E8887*fl_rate</f>
        <v>4.12427</v>
      </c>
      <c r="G8888" s="6" t="n">
        <f aca="false">fl_pay_28-Sens!F8887*fl_rate</f>
        <v>4.48286215</v>
      </c>
      <c r="H8888" s="6" t="n">
        <f aca="false">fl_pay_29-Sens!G8887*fl_rate</f>
        <v>4.05859094675</v>
      </c>
      <c r="I8888" s="6" t="n">
        <f aca="false">fl_pay_30-Sens!H8887*fl_rate</f>
        <v>4.14322753935375</v>
      </c>
      <c r="J8888" s="6" t="n">
        <f aca="false">fl_pay_31-Sens!I8887*fl_rate</f>
        <v>4.30267277862467</v>
      </c>
      <c r="K8888" s="6" t="n">
        <f aca="false">fl_pay_32-Sens!J8887*fl_rate</f>
        <v>4.49629305366278</v>
      </c>
    </row>
    <row r="8889" customFormat="false" ht="17.15" hidden="false" customHeight="false" outlineLevel="0" collapsed="false">
      <c r="A8889" s="1" t="s">
        <v>854</v>
      </c>
      <c r="B8889" s="0" t="s">
        <v>95</v>
      </c>
      <c r="E8889" s="6" t="n">
        <f aca="false">Q!M35-Q!M36-Q!M43</f>
        <v>63.886</v>
      </c>
      <c r="F8889" s="6" t="n">
        <f aca="false">Sens!F8883-Sens!F8886-Sens!F8888</f>
        <v>-3.2695019311874</v>
      </c>
      <c r="G8889" s="6" t="n">
        <f aca="false">Sens!G8883-Sens!G8886-Sens!G8888</f>
        <v>17.8088114816634</v>
      </c>
      <c r="H8889" s="6" t="n">
        <f aca="false">Sens!H8883-Sens!H8886-Sens!H8888</f>
        <v>42.2067567417328</v>
      </c>
      <c r="I8889" s="6" t="n">
        <f aca="false">Sens!I8883-Sens!I8886-Sens!I8888</f>
        <v>46.407740036087</v>
      </c>
      <c r="J8889" s="6" t="n">
        <f aca="false">Sens!J8883-Sens!J8886-Sens!J8888</f>
        <v>64.8739820890831</v>
      </c>
      <c r="K8889" s="6" t="n">
        <f aca="false">Sens!K8883-Sens!K8886-Sens!K8888</f>
        <v>52.99392044067</v>
      </c>
      <c r="L8889" s="11" t="s">
        <v>855</v>
      </c>
    </row>
    <row r="8890" customFormat="false" ht="15" hidden="false" customHeight="false" outlineLevel="0" collapsed="false">
      <c r="A8890" s="1" t="s">
        <v>856</v>
      </c>
      <c r="B8890" s="0" t="s">
        <v>73</v>
      </c>
      <c r="F8890" s="8" t="n">
        <f aca="false">dps_27</f>
        <v>3.85</v>
      </c>
      <c r="G8890" s="8" t="n">
        <f aca="false">Sens!F8890*(1+dps_g)</f>
        <v>4.158</v>
      </c>
      <c r="H8890" s="8" t="n">
        <f aca="false">Sens!G8890*(1+dps_g)</f>
        <v>4.49064</v>
      </c>
      <c r="I8890" s="8" t="n">
        <f aca="false">Sens!H8890*(1+dps_g)</f>
        <v>4.8498912</v>
      </c>
      <c r="J8890" s="8" t="n">
        <f aca="false">Sens!I8890*(1+dps_g)</f>
        <v>5.237882496</v>
      </c>
      <c r="K8890" s="8" t="n">
        <f aca="false">Sens!J8890*(1+dps_g)</f>
        <v>5.65691309568</v>
      </c>
    </row>
    <row r="8891" customFormat="false" ht="17.15" hidden="false" customHeight="false" outlineLevel="0" collapsed="false">
      <c r="A8891" s="1" t="s">
        <v>857</v>
      </c>
      <c r="B8891" s="0" t="s">
        <v>95</v>
      </c>
      <c r="E8891" s="6" t="n">
        <f aca="false">Q!M41</f>
        <v>26.445</v>
      </c>
      <c r="F8891" s="6" t="n">
        <f aca="false">Sens!F8890*Sens!E8900</f>
        <v>28.59395</v>
      </c>
      <c r="G8891" s="6" t="n">
        <f aca="false">Sens!G8890*Sens!F8900</f>
        <v>31.068576</v>
      </c>
      <c r="H8891" s="6" t="n">
        <f aca="false">Sens!H8890*Sens!G8900</f>
        <v>33.75614088</v>
      </c>
      <c r="I8891" s="6" t="n">
        <f aca="false">Sens!I8890*Sens!H8900</f>
        <v>36.6264259700293</v>
      </c>
      <c r="J8891" s="6" t="n">
        <f aca="false">Sens!J8890*Sens!I8900</f>
        <v>39.7187648443268</v>
      </c>
      <c r="K8891" s="6" t="n">
        <f aca="false">Sens!K8890*Sens!J8900</f>
        <v>42.983521257178</v>
      </c>
      <c r="L8891" s="1" t="s">
        <v>858</v>
      </c>
    </row>
    <row r="8892" customFormat="false" ht="15" hidden="false" customHeight="false" outlineLevel="0" collapsed="false">
      <c r="A8892" s="1" t="s">
        <v>859</v>
      </c>
      <c r="B8892" s="0" t="s">
        <v>95</v>
      </c>
      <c r="E8892" s="6" t="n">
        <f aca="false">Sens!E8889-Sens!E8891</f>
        <v>37.441</v>
      </c>
      <c r="F8892" s="6" t="n">
        <f aca="false">Sens!F8889-Sens!F8891</f>
        <v>-31.8634519311874</v>
      </c>
      <c r="G8892" s="6" t="n">
        <f aca="false">Sens!G8889-Sens!G8891</f>
        <v>-13.2597645183366</v>
      </c>
      <c r="H8892" s="6" t="n">
        <f aca="false">Sens!H8889-Sens!H8891</f>
        <v>8.45061586173276</v>
      </c>
      <c r="I8892" s="6" t="n">
        <f aca="false">Sens!I8889-Sens!I8891</f>
        <v>9.78131406605768</v>
      </c>
      <c r="J8892" s="6" t="n">
        <f aca="false">Sens!J8889-Sens!J8891</f>
        <v>25.1552172447563</v>
      </c>
      <c r="K8892" s="6" t="n">
        <f aca="false">Sens!K8889-Sens!K8891</f>
        <v>10.010399183492</v>
      </c>
    </row>
    <row r="8893" customFormat="false" ht="15" hidden="false" customHeight="false" outlineLevel="0" collapsed="false">
      <c r="A8893" s="1" t="s">
        <v>860</v>
      </c>
      <c r="B8893" s="0" t="s">
        <v>95</v>
      </c>
      <c r="F8893" s="6" t="n">
        <f aca="false">debt_mat_27</f>
        <v>9.25</v>
      </c>
      <c r="G8893" s="6" t="n">
        <f aca="false">debt_mat_28</f>
        <v>0</v>
      </c>
      <c r="H8893" s="6" t="n">
        <f aca="false">debt_mat_29</f>
        <v>2.001</v>
      </c>
      <c r="I8893" s="6" t="n">
        <f aca="false">debt_mat_30</f>
        <v>0</v>
      </c>
      <c r="J8893" s="6" t="n">
        <f aca="false">debt_mat_31</f>
        <v>0.5</v>
      </c>
      <c r="K8893" s="6" t="n">
        <f aca="false">debt_mat_32</f>
        <v>0</v>
      </c>
    </row>
    <row r="8894" customFormat="false" ht="15" hidden="false" customHeight="false" outlineLevel="0" collapsed="false">
      <c r="A8894" s="1" t="s">
        <v>861</v>
      </c>
      <c r="B8894" s="0" t="s">
        <v>95</v>
      </c>
      <c r="E8894" s="6" t="n">
        <f aca="false">Q!M40</f>
        <v>22.271</v>
      </c>
      <c r="F8894" s="6" t="n">
        <f aca="false">MAX(0,MIN(bb_target,Sens!E8896+Sens!F8892-Sens!F8893-min_cash))</f>
        <v>0</v>
      </c>
      <c r="G8894" s="6" t="n">
        <f aca="false">MAX(0,MIN(bb_target,Sens!F8896+Sens!G8892-Sens!G8893-min_cash))</f>
        <v>0</v>
      </c>
      <c r="H8894" s="6" t="n">
        <f aca="false">MAX(0,MIN(bb_target,Sens!G8896+Sens!H8892-Sens!H8893-min_cash))</f>
        <v>6.44961586173276</v>
      </c>
      <c r="I8894" s="6" t="n">
        <f aca="false">MAX(0,MIN(bb_target,Sens!H8896+Sens!I8892-Sens!I8893-min_cash))</f>
        <v>9.78131406605768</v>
      </c>
      <c r="J8894" s="6" t="n">
        <f aca="false">MAX(0,MIN(bb_target,Sens!I8896+Sens!J8892-Sens!J8893-min_cash))</f>
        <v>22.271</v>
      </c>
      <c r="K8894" s="6" t="n">
        <f aca="false">MAX(0,MIN(bb_target,Sens!J8896+Sens!K8892-Sens!K8893-min_cash))</f>
        <v>12.3946164282483</v>
      </c>
    </row>
    <row r="8895" customFormat="false" ht="15" hidden="false" customHeight="false" outlineLevel="0" collapsed="false">
      <c r="A8895" s="1" t="s">
        <v>862</v>
      </c>
      <c r="B8895" s="0" t="s">
        <v>95</v>
      </c>
      <c r="F8895" s="6" t="n">
        <f aca="false">MAX(0,min_cash-(Sens!E8896+Sens!F8892-Sens!F8893-Sens!F8894))</f>
        <v>14.2704519311874</v>
      </c>
      <c r="G8895" s="6" t="n">
        <f aca="false">MAX(0,min_cash-(Sens!F8896+Sens!G8892-Sens!G8893-Sens!G8894))</f>
        <v>13.2597645183366</v>
      </c>
      <c r="H8895" s="6" t="n">
        <f aca="false">MAX(0,min_cash-(Sens!G8896+Sens!H8892-Sens!H8893-Sens!H8894))</f>
        <v>0</v>
      </c>
      <c r="I8895" s="6" t="n">
        <f aca="false">MAX(0,min_cash-(Sens!H8896+Sens!I8892-Sens!I8893-Sens!I8894))</f>
        <v>0</v>
      </c>
      <c r="J8895" s="6" t="n">
        <f aca="false">MAX(0,min_cash-(Sens!I8896+Sens!J8892-Sens!J8893-Sens!J8894))</f>
        <v>0</v>
      </c>
      <c r="K8895" s="6" t="n">
        <f aca="false">MAX(0,min_cash-(Sens!J8896+Sens!K8892-Sens!K8893-Sens!K8894))</f>
        <v>0</v>
      </c>
    </row>
    <row r="8896" customFormat="false" ht="15" hidden="false" customHeight="false" outlineLevel="0" collapsed="false">
      <c r="A8896" s="1" t="s">
        <v>863</v>
      </c>
      <c r="B8896" s="0" t="s">
        <v>95</v>
      </c>
      <c r="E8896" s="6" t="n">
        <f aca="false">cash_open</f>
        <v>76.843</v>
      </c>
      <c r="F8896" s="6" t="n">
        <f aca="false">Sens!E8896+Sens!F8892-Sens!F8893-Sens!F8894+Sens!F8895</f>
        <v>50</v>
      </c>
      <c r="G8896" s="6" t="n">
        <f aca="false">Sens!F8896+Sens!G8892-Sens!G8893-Sens!G8894+Sens!G8895</f>
        <v>50</v>
      </c>
      <c r="H8896" s="6" t="n">
        <f aca="false">Sens!G8896+Sens!H8892-Sens!H8893-Sens!H8894+Sens!H8895</f>
        <v>50</v>
      </c>
      <c r="I8896" s="6" t="n">
        <f aca="false">Sens!H8896+Sens!I8892-Sens!I8893-Sens!I8894+Sens!I8895</f>
        <v>50</v>
      </c>
      <c r="J8896" s="6" t="n">
        <f aca="false">Sens!I8896+Sens!J8892-Sens!J8893-Sens!J8894+Sens!J8895</f>
        <v>52.3842172447563</v>
      </c>
      <c r="K8896" s="6" t="n">
        <f aca="false">Sens!J8896+Sens!K8892-Sens!K8893-Sens!K8894+Sens!K8895</f>
        <v>50</v>
      </c>
    </row>
    <row r="8897" customFormat="false" ht="15" hidden="false" customHeight="false" outlineLevel="0" collapsed="false">
      <c r="A8897" s="1" t="s">
        <v>864</v>
      </c>
      <c r="B8897" s="0" t="s">
        <v>95</v>
      </c>
      <c r="E8897" s="6" t="n">
        <f aca="false">debt_face</f>
        <v>46.136</v>
      </c>
      <c r="F8897" s="6" t="n">
        <f aca="false">Sens!E8897-Sens!F8893+Sens!F8895</f>
        <v>51.1564519311874</v>
      </c>
      <c r="G8897" s="6" t="n">
        <f aca="false">Sens!F8897-Sens!G8893+Sens!G8895</f>
        <v>64.416216449524</v>
      </c>
      <c r="H8897" s="6" t="n">
        <f aca="false">Sens!G8897-Sens!H8893+Sens!H8895</f>
        <v>62.415216449524</v>
      </c>
      <c r="I8897" s="6" t="n">
        <f aca="false">Sens!H8897-Sens!I8893+Sens!I8895</f>
        <v>62.415216449524</v>
      </c>
      <c r="J8897" s="6" t="n">
        <f aca="false">Sens!I8897-Sens!J8893+Sens!J8895</f>
        <v>61.915216449524</v>
      </c>
      <c r="K8897" s="6" t="n">
        <f aca="false">Sens!J8897-Sens!K8893+Sens!K8895</f>
        <v>61.915216449524</v>
      </c>
    </row>
    <row r="8898" customFormat="false" ht="15" hidden="false" customHeight="false" outlineLevel="0" collapsed="false">
      <c r="A8898" s="1" t="s">
        <v>865</v>
      </c>
      <c r="B8898" s="0" t="s">
        <v>95</v>
      </c>
      <c r="E8898" s="6" t="n">
        <f aca="false">Sens!E8896-Sens!E8897</f>
        <v>30.707</v>
      </c>
      <c r="F8898" s="6" t="n">
        <f aca="false">Sens!F8896-Sens!F8897</f>
        <v>-1.1564519311874</v>
      </c>
      <c r="G8898" s="6" t="n">
        <f aca="false">Sens!G8896-Sens!G8897</f>
        <v>-14.416216449524</v>
      </c>
      <c r="H8898" s="6" t="n">
        <f aca="false">Sens!H8896-Sens!H8897</f>
        <v>-12.415216449524</v>
      </c>
      <c r="I8898" s="6" t="n">
        <f aca="false">Sens!I8896-Sens!I8897</f>
        <v>-12.415216449524</v>
      </c>
      <c r="J8898" s="6" t="n">
        <f aca="false">Sens!J8896-Sens!J8897</f>
        <v>-9.53099920476765</v>
      </c>
      <c r="K8898" s="6" t="n">
        <f aca="false">Sens!K8896-Sens!K8897</f>
        <v>-11.915216449524</v>
      </c>
    </row>
    <row r="8899" customFormat="false" ht="15" hidden="false" customHeight="false" outlineLevel="0" collapsed="false">
      <c r="A8899" s="1" t="s">
        <v>866</v>
      </c>
      <c r="B8899" s="0" t="s">
        <v>73</v>
      </c>
      <c r="F8899" s="27" t="n">
        <f aca="false">px*(1+bb_g)^(1-0.5)</f>
        <v>553.494156066711</v>
      </c>
      <c r="G8899" s="27" t="n">
        <f aca="false">px*(1+bb_g)^(2-0.5)</f>
        <v>597.773688552047</v>
      </c>
      <c r="H8899" s="27" t="n">
        <f aca="false">px*(1+bb_g)^(3-0.5)</f>
        <v>645.595583636211</v>
      </c>
      <c r="I8899" s="27" t="n">
        <f aca="false">px*(1+bb_g)^(4-0.5)</f>
        <v>697.243230327108</v>
      </c>
      <c r="J8899" s="27" t="n">
        <f aca="false">px*(1+bb_g)^(5-0.5)</f>
        <v>753.022688753277</v>
      </c>
      <c r="K8899" s="27" t="n">
        <f aca="false">px*(1+bb_g)^(6-0.5)</f>
        <v>813.264503853539</v>
      </c>
    </row>
    <row r="8900" customFormat="false" ht="15" hidden="false" customHeight="false" outlineLevel="0" collapsed="false">
      <c r="A8900" s="1" t="s">
        <v>867</v>
      </c>
      <c r="B8900" s="1" t="s">
        <v>79</v>
      </c>
      <c r="E8900" s="18" t="n">
        <f aca="false">sh_out26</f>
        <v>7.427</v>
      </c>
      <c r="F8900" s="18" t="n">
        <f aca="false">Sens!E8900+sh_iss-Sens!F8894/Sens!F8899</f>
        <v>7.472</v>
      </c>
      <c r="G8900" s="18" t="n">
        <f aca="false">Sens!F8900+sh_iss-Sens!G8894/Sens!G8899</f>
        <v>7.517</v>
      </c>
      <c r="H8900" s="18" t="n">
        <f aca="false">Sens!G8900+sh_iss-Sens!H8894/Sens!H8899</f>
        <v>7.55200982035006</v>
      </c>
      <c r="I8900" s="18" t="n">
        <f aca="false">Sens!H8900+sh_iss-Sens!I8894/Sens!I8899</f>
        <v>7.58298126669674</v>
      </c>
      <c r="J8900" s="18" t="n">
        <f aca="false">Sens!I8900+sh_iss-Sens!J8894/Sens!J8899</f>
        <v>7.59840579661778</v>
      </c>
      <c r="K8900" s="18" t="n">
        <f aca="false">Sens!J8900+sh_iss-Sens!K8894/Sens!K8899</f>
        <v>7.62816522436912</v>
      </c>
    </row>
    <row r="8901" customFormat="false" ht="15" hidden="false" customHeight="false" outlineLevel="0" collapsed="false">
      <c r="A8901" s="1" t="s">
        <v>868</v>
      </c>
      <c r="B8901" s="1" t="s">
        <v>79</v>
      </c>
      <c r="E8901" s="18" t="n">
        <f aca="false">sh_dil26</f>
        <v>7.453</v>
      </c>
      <c r="F8901" s="18" t="n">
        <f aca="false">(Sens!E8900+Sens!F8900)/2+dil_gap</f>
        <v>7.4735</v>
      </c>
      <c r="G8901" s="18" t="n">
        <f aca="false">(Sens!F8900+Sens!G8900)/2+dil_gap</f>
        <v>7.5185</v>
      </c>
      <c r="H8901" s="18" t="n">
        <f aca="false">(Sens!G8900+Sens!H8900)/2+dil_gap</f>
        <v>7.55850491017503</v>
      </c>
      <c r="I8901" s="18" t="n">
        <f aca="false">(Sens!H8900+Sens!I8900)/2+dil_gap</f>
        <v>7.5914955435234</v>
      </c>
      <c r="J8901" s="18" t="n">
        <f aca="false">(Sens!I8900+Sens!J8900)/2+dil_gap</f>
        <v>7.61469353165726</v>
      </c>
      <c r="K8901" s="18" t="n">
        <f aca="false">(Sens!J8900+Sens!K8900)/2+dil_gap</f>
        <v>7.63728551049345</v>
      </c>
    </row>
    <row r="8902" customFormat="false" ht="17.15" hidden="false" customHeight="false" outlineLevel="0" collapsed="false">
      <c r="A8902" s="1" t="s">
        <v>869</v>
      </c>
      <c r="B8902" s="0" t="s">
        <v>95</v>
      </c>
      <c r="C8902" s="6" t="n">
        <f aca="false">SUM(Sens!F8892:J8892)</f>
        <v>-1.73606927697719</v>
      </c>
    </row>
    <row r="8903" customFormat="false" ht="17.15" hidden="false" customHeight="false" outlineLevel="0" collapsed="false">
      <c r="A8903" s="1" t="s">
        <v>836</v>
      </c>
      <c r="B8903" s="1" t="s">
        <v>870</v>
      </c>
      <c r="C8903" s="30" t="str">
        <f aca="false">IF(SUM(Sens!F8895:J8895)&gt;0.05,"需要舉債 "&amp;TEXT(SUM(Sens!F8895:J8895),"0.0")&amp;" 十億美元","不需舉債")&amp;"；"&amp;IF(SUM(Sens!F8894:J8894)&lt;5*bb_target-0.05,"回購較每年 "&amp;TEXT(bb_target,"0.0")&amp;" 的目標少 "&amp;TEXT(5*bb_target-SUM(Sens!F8894:J8894),"0.0")&amp;" 十億美元（"&amp;TEXT(COUNTIF(Sens!F8894:J8894,"&lt;"&amp;(bb_target-0.05)),"0")&amp;" 年減少）","回購不減")</f>
        <v>需要舉債 27.5 十億美元；回購較每年 22.3 的目標少 72.9 十億美元（4 年減少）</v>
      </c>
    </row>
    <row r="8904" customFormat="false" ht="17.15" hidden="false" customHeight="false" outlineLevel="0" collapsed="false">
      <c r="A8904" s="3" t="s">
        <v>1368</v>
      </c>
    </row>
    <row r="8905" customFormat="false" ht="15" hidden="false" customHeight="false" outlineLevel="0" collapsed="false">
      <c r="A8905" s="4" t="s">
        <v>43</v>
      </c>
      <c r="B8905" s="4" t="s">
        <v>63</v>
      </c>
      <c r="C8905" s="19" t="s">
        <v>710</v>
      </c>
      <c r="D8905" s="19" t="s">
        <v>711</v>
      </c>
      <c r="E8905" s="19" t="s">
        <v>712</v>
      </c>
      <c r="F8905" s="19" t="s">
        <v>713</v>
      </c>
      <c r="G8905" s="19" t="s">
        <v>714</v>
      </c>
      <c r="H8905" s="19" t="s">
        <v>715</v>
      </c>
      <c r="I8905" s="19" t="s">
        <v>716</v>
      </c>
      <c r="J8905" s="19" t="s">
        <v>717</v>
      </c>
      <c r="K8905" s="19" t="s">
        <v>718</v>
      </c>
      <c r="L8905" s="4" t="s">
        <v>47</v>
      </c>
    </row>
    <row r="8906" customFormat="false" ht="17.15" hidden="false" customHeight="false" outlineLevel="0" collapsed="false">
      <c r="A8906" s="1" t="s">
        <v>938</v>
      </c>
      <c r="B8906" s="1" t="s">
        <v>213</v>
      </c>
      <c r="F8906" s="34" t="n">
        <f aca="false">1-0.5</f>
        <v>0.5</v>
      </c>
      <c r="G8906" s="34" t="n">
        <f aca="false">2-0.5</f>
        <v>1.5</v>
      </c>
      <c r="H8906" s="34" t="n">
        <f aca="false">3-0.5</f>
        <v>2.5</v>
      </c>
      <c r="I8906" s="34" t="n">
        <f aca="false">4-0.5</f>
        <v>3.5</v>
      </c>
      <c r="J8906" s="34" t="n">
        <f aca="false">5-0.5</f>
        <v>4.5</v>
      </c>
      <c r="K8906" s="34" t="n">
        <f aca="false">6-0.5</f>
        <v>5.5</v>
      </c>
    </row>
    <row r="8907" customFormat="false" ht="15" hidden="false" customHeight="false" outlineLevel="0" collapsed="false">
      <c r="A8907" s="1" t="s">
        <v>939</v>
      </c>
      <c r="B8907" s="0" t="s">
        <v>182</v>
      </c>
      <c r="F8907" s="18" t="n">
        <f aca="false">1/(1+wacc)^Sens!F8906</f>
        <v>0.949601579913219</v>
      </c>
      <c r="G8907" s="18" t="n">
        <f aca="false">1/(1+wacc)^Sens!G8906</f>
        <v>0.856296729956707</v>
      </c>
      <c r="H8907" s="18" t="n">
        <f aca="false">1/(1+wacc)^Sens!H8906</f>
        <v>0.772159719660069</v>
      </c>
      <c r="I8907" s="18" t="n">
        <f aca="false">1/(1+wacc)^Sens!I8906</f>
        <v>0.696289746073958</v>
      </c>
      <c r="J8907" s="18" t="n">
        <f aca="false">1/(1+wacc)^Sens!J8906</f>
        <v>0.627874516299776</v>
      </c>
      <c r="K8907" s="18" t="n">
        <f aca="false">1/(1+wacc)^Sens!K8906</f>
        <v>0.566181550771831</v>
      </c>
    </row>
    <row r="8908" customFormat="false" ht="15" hidden="false" customHeight="false" outlineLevel="0" collapsed="false">
      <c r="A8908" s="1" t="s">
        <v>940</v>
      </c>
      <c r="B8908" s="0" t="s">
        <v>95</v>
      </c>
      <c r="F8908" s="6" t="n">
        <f aca="false">Sens!F8889*Sens!F8907</f>
        <v>-3.10472419938487</v>
      </c>
      <c r="G8908" s="6" t="n">
        <f aca="false">Sens!G8889*Sens!G8907</f>
        <v>15.2496270361638</v>
      </c>
      <c r="H8908" s="6" t="n">
        <f aca="false">Sens!H8889*Sens!H8907</f>
        <v>32.5903574534571</v>
      </c>
      <c r="I8908" s="6" t="n">
        <f aca="false">Sens!I8889*Sens!I8907</f>
        <v>32.3132335255933</v>
      </c>
      <c r="J8908" s="6" t="n">
        <f aca="false">Sens!J8889*Sens!J8907</f>
        <v>40.7327201246234</v>
      </c>
      <c r="K8908" s="6" t="n">
        <f aca="false">Sens!K8889*Sens!K8907</f>
        <v>30.0041800565776</v>
      </c>
    </row>
    <row r="8909" customFormat="false" ht="17.15" hidden="false" customHeight="false" outlineLevel="0" collapsed="false">
      <c r="A8909" s="1" t="s">
        <v>941</v>
      </c>
      <c r="B8909" s="0" t="s">
        <v>95</v>
      </c>
      <c r="C8909" s="6" t="n">
        <f aca="false">SUM(Sens!F8908:K8908)</f>
        <v>147.78539399703</v>
      </c>
    </row>
    <row r="8910" customFormat="false" ht="17.15" hidden="false" customHeight="false" outlineLevel="0" collapsed="false">
      <c r="A8910" s="1" t="s">
        <v>942</v>
      </c>
      <c r="B8910" s="0" t="s">
        <v>95</v>
      </c>
      <c r="C8910" s="6" t="n">
        <f aca="false">Sens!K8855*(1+g_tv)*(1-tax_f)</f>
        <v>164.448817168994</v>
      </c>
    </row>
    <row r="8911" customFormat="false" ht="17.15" hidden="false" customHeight="false" outlineLevel="0" collapsed="false">
      <c r="A8911" s="1" t="s">
        <v>943</v>
      </c>
      <c r="B8911" s="0" t="s">
        <v>95</v>
      </c>
      <c r="C8911" s="6" t="n">
        <f aca="false">Sens!$C$8910*(1-g_tv/(wacc+ronic_prem))</f>
        <v>119.172397630452</v>
      </c>
    </row>
    <row r="8912" customFormat="false" ht="17.15" hidden="false" customHeight="false" outlineLevel="0" collapsed="false">
      <c r="A8912" s="1" t="s">
        <v>944</v>
      </c>
      <c r="B8912" s="0" t="s">
        <v>95</v>
      </c>
      <c r="C8912" s="6" t="n">
        <f aca="false">Sens!$C$8911/(wacc-g_tv)</f>
        <v>1509.21398461806</v>
      </c>
    </row>
    <row r="8913" customFormat="false" ht="15" hidden="false" customHeight="false" outlineLevel="0" collapsed="false">
      <c r="A8913" s="1" t="s">
        <v>945</v>
      </c>
      <c r="B8913" s="0" t="s">
        <v>95</v>
      </c>
      <c r="C8913" s="6" t="n">
        <f aca="false">Sens!$C$8912/(1+wacc)^6</f>
        <v>811.424212917655</v>
      </c>
    </row>
    <row r="8914" customFormat="false" ht="17.15" hidden="false" customHeight="false" outlineLevel="0" collapsed="false">
      <c r="A8914" s="0" t="s">
        <v>877</v>
      </c>
      <c r="B8914" s="0" t="s">
        <v>95</v>
      </c>
      <c r="C8914" s="6" t="n">
        <f aca="false">Sens!$C$8909+Sens!$C$8913</f>
        <v>959.209606914685</v>
      </c>
    </row>
    <row r="8915" customFormat="false" ht="15" hidden="false" customHeight="false" outlineLevel="0" collapsed="false">
      <c r="A8915" s="1" t="s">
        <v>878</v>
      </c>
      <c r="B8915" s="0" t="s">
        <v>126</v>
      </c>
      <c r="C8915" s="7" t="n">
        <f aca="false">Sens!$C$8913/Sens!$C$8914</f>
        <v>0.845930031422032</v>
      </c>
    </row>
    <row r="8916" customFormat="false" ht="17.15" hidden="false" customHeight="false" outlineLevel="0" collapsed="false">
      <c r="A8916" s="1" t="s">
        <v>946</v>
      </c>
      <c r="B8916" s="0" t="s">
        <v>95</v>
      </c>
      <c r="C8916" s="6" t="n">
        <f aca="false">Sens!$C$8914+Sens!E8898+oai_v</f>
        <v>1160.31660691468</v>
      </c>
    </row>
    <row r="8917" customFormat="false" ht="17.15" hidden="false" customHeight="false" outlineLevel="0" collapsed="false">
      <c r="A8917" s="0" t="s">
        <v>883</v>
      </c>
      <c r="B8917" s="0" t="s">
        <v>73</v>
      </c>
      <c r="C8917" s="5" t="n">
        <f aca="false">Sens!$C$8916/sh_dil26</f>
        <v>155.684503812516</v>
      </c>
    </row>
    <row r="8918" customFormat="false" ht="17.15" hidden="false" customHeight="false" outlineLevel="0" collapsed="false">
      <c r="A8918" s="0" t="s">
        <v>947</v>
      </c>
      <c r="B8918" s="0" t="s">
        <v>73</v>
      </c>
      <c r="C8918" s="5" t="n">
        <f aca="false">Sens!$C$8917*(1+wacc)^t_roll</f>
        <v>178.569280624651</v>
      </c>
    </row>
    <row r="8919" customFormat="false" ht="17.15" hidden="false" customHeight="false" outlineLevel="0" collapsed="false">
      <c r="A8919" s="1" t="s">
        <v>948</v>
      </c>
      <c r="B8919" s="0" t="s">
        <v>126</v>
      </c>
      <c r="F8919" s="7" t="n">
        <f aca="false">Sens!F8879/(Sens!F8830-Sens!F8786)</f>
        <v>0.0687142764890945</v>
      </c>
      <c r="G8919" s="7" t="n">
        <f aca="false">Sens!G8879/(Sens!G8830-Sens!G8786)</f>
        <v>0.0663343725797397</v>
      </c>
      <c r="H8919" s="7" t="n">
        <f aca="false">Sens!H8879/(Sens!H8830-Sens!H8786)</f>
        <v>0.0651495871273656</v>
      </c>
      <c r="I8919" s="7" t="n">
        <f aca="false">Sens!I8879/(Sens!I8830-Sens!I8786)</f>
        <v>0.0650218415163916</v>
      </c>
      <c r="J8919" s="7" t="n">
        <f aca="false">Sens!J8879/(Sens!J8830-Sens!J8786)</f>
        <v>0.0657433251979357</v>
      </c>
      <c r="K8919" s="7" t="n">
        <f aca="false">Sens!K8879/(Sens!K8830-Sens!K8786)</f>
        <v>0.0670835909013032</v>
      </c>
    </row>
    <row r="8920" customFormat="false" ht="17.15" hidden="false" customHeight="false" outlineLevel="0" collapsed="false">
      <c r="A8920" s="0" t="s">
        <v>949</v>
      </c>
      <c r="B8920" s="0" t="s">
        <v>95</v>
      </c>
      <c r="F8920" s="6" t="n">
        <f aca="false">Sens!F8815*(al_m365+Sens!F8919)</f>
        <v>78.5019656508429</v>
      </c>
      <c r="G8920" s="6" t="n">
        <f aca="false">Sens!G8815*(al_m365+Sens!G8919)</f>
        <v>88.3187353223571</v>
      </c>
      <c r="H8920" s="6" t="n">
        <f aca="false">Sens!H8815*(al_m365+Sens!H8919)</f>
        <v>98.2940495842201</v>
      </c>
      <c r="I8920" s="6" t="n">
        <f aca="false">Sens!I8815*(al_m365+Sens!I8919)</f>
        <v>107.789418828807</v>
      </c>
      <c r="J8920" s="6" t="n">
        <f aca="false">Sens!J8815*(al_m365+Sens!J8919)</f>
        <v>116.626715069557</v>
      </c>
      <c r="K8920" s="6" t="n">
        <f aca="false">Sens!K8815*(al_m365+Sens!K8919)</f>
        <v>125.096846284828</v>
      </c>
    </row>
    <row r="8921" customFormat="false" ht="17.15" hidden="false" customHeight="false" outlineLevel="0" collapsed="false">
      <c r="A8921" s="0" t="s">
        <v>950</v>
      </c>
      <c r="B8921" s="0" t="s">
        <v>95</v>
      </c>
      <c r="F8921" s="6" t="n">
        <f aca="false">Sens!F8816*(al_lic+Sens!F8919)</f>
        <v>31.9888725189096</v>
      </c>
      <c r="G8921" s="6" t="n">
        <f aca="false">Sens!G8816*(al_lic+Sens!G8919)</f>
        <v>33.2464932161943</v>
      </c>
      <c r="H8921" s="6" t="n">
        <f aca="false">Sens!H8816*(al_lic+Sens!H8919)</f>
        <v>34.4185490684651</v>
      </c>
      <c r="I8921" s="6" t="n">
        <f aca="false">Sens!I8816*(al_lic+Sens!I8919)</f>
        <v>35.4858870035386</v>
      </c>
      <c r="J8921" s="6" t="n">
        <f aca="false">Sens!J8816*(al_lic+Sens!J8919)</f>
        <v>36.4260484520077</v>
      </c>
      <c r="K8921" s="6" t="n">
        <f aca="false">Sens!K8816*(al_lic+Sens!K8919)</f>
        <v>37.2156143521925</v>
      </c>
    </row>
    <row r="8922" customFormat="false" ht="17.15" hidden="false" customHeight="false" outlineLevel="0" collapsed="false">
      <c r="A8922" s="0" t="s">
        <v>951</v>
      </c>
      <c r="B8922" s="0" t="s">
        <v>95</v>
      </c>
      <c r="F8922" s="6" t="n">
        <f aca="false">Sens!F8818*(al_ind+Sens!F8919)</f>
        <v>8.24342631709648</v>
      </c>
      <c r="G8922" s="6" t="n">
        <f aca="false">Sens!G8818*(al_ind+Sens!G8919)</f>
        <v>8.95292355691431</v>
      </c>
      <c r="H8922" s="6" t="n">
        <f aca="false">Sens!H8818*(al_ind+Sens!H8919)</f>
        <v>9.70341400012854</v>
      </c>
      <c r="I8922" s="6" t="n">
        <f aca="false">Sens!I8818*(al_ind+Sens!I8919)</f>
        <v>10.4911719263547</v>
      </c>
      <c r="J8922" s="6" t="n">
        <f aca="false">Sens!J8818*(al_ind+Sens!J8919)</f>
        <v>11.3085109679332</v>
      </c>
      <c r="K8922" s="6" t="n">
        <f aca="false">Sens!K8818*(al_ind+Sens!K8919)</f>
        <v>12.1444475532719</v>
      </c>
    </row>
    <row r="8923" customFormat="false" ht="17.15" hidden="false" customHeight="false" outlineLevel="0" collapsed="false">
      <c r="A8923" s="0" t="s">
        <v>952</v>
      </c>
      <c r="B8923" s="0" t="s">
        <v>95</v>
      </c>
      <c r="F8923" s="6" t="n">
        <f aca="false">Sens!F8820*(al_fro+Sens!F8919)</f>
        <v>3.24464153943798</v>
      </c>
      <c r="G8923" s="6" t="n">
        <f aca="false">Sens!G8820*(al_fro+Sens!G8919)</f>
        <v>3.43739333403244</v>
      </c>
      <c r="H8923" s="6" t="n">
        <f aca="false">Sens!H8820*(al_fro+Sens!H8919)</f>
        <v>3.65657851937342</v>
      </c>
      <c r="I8923" s="6" t="n">
        <f aca="false">Sens!I8820*(al_fro+Sens!I8919)</f>
        <v>3.90438720548429</v>
      </c>
      <c r="J8923" s="6" t="n">
        <f aca="false">Sens!J8820*(al_fro+Sens!J8919)</f>
        <v>4.18232194121182</v>
      </c>
      <c r="K8923" s="6" t="n">
        <f aca="false">Sens!K8820*(al_fro+Sens!K8919)</f>
        <v>4.49148341545343</v>
      </c>
    </row>
    <row r="8924" customFormat="false" ht="17.15" hidden="false" customHeight="false" outlineLevel="0" collapsed="false">
      <c r="A8924" s="0" t="s">
        <v>953</v>
      </c>
      <c r="B8924" s="0" t="s">
        <v>95</v>
      </c>
      <c r="F8924" s="6" t="n">
        <f aca="false">Sens!F8823*(al_srch+Sens!F8919)</f>
        <v>10.1807506030659</v>
      </c>
      <c r="G8924" s="6" t="n">
        <f aca="false">Sens!G8823*(al_srch+Sens!G8919)</f>
        <v>11.1613169434768</v>
      </c>
      <c r="H8924" s="6" t="n">
        <f aca="false">Sens!H8823*(al_srch+Sens!H8919)</f>
        <v>12.1829883751525</v>
      </c>
      <c r="I8924" s="6" t="n">
        <f aca="false">Sens!I8823*(al_srch+Sens!I8919)</f>
        <v>13.2348530266647</v>
      </c>
      <c r="J8924" s="6" t="n">
        <f aca="false">Sens!J8823*(al_srch+Sens!J8919)</f>
        <v>14.3001385808541</v>
      </c>
      <c r="K8924" s="6" t="n">
        <f aca="false">Sens!K8823*(al_srch+Sens!K8919)</f>
        <v>15.3572193096119</v>
      </c>
    </row>
    <row r="8925" customFormat="false" ht="17.15" hidden="false" customHeight="false" outlineLevel="0" collapsed="false">
      <c r="A8925" s="0" t="s">
        <v>954</v>
      </c>
      <c r="B8925" s="0" t="s">
        <v>95</v>
      </c>
      <c r="F8925" s="6" t="n">
        <f aca="false">Sens!F8792</f>
        <v>35.0573455625419</v>
      </c>
      <c r="G8925" s="6" t="n">
        <f aca="false">Sens!G8792</f>
        <v>52.2504971712871</v>
      </c>
      <c r="H8925" s="6" t="n">
        <f aca="false">Sens!H8792</f>
        <v>65.2796698510271</v>
      </c>
      <c r="I8925" s="6" t="n">
        <f aca="false">Sens!I8792</f>
        <v>85.5659922535278</v>
      </c>
      <c r="J8925" s="6" t="n">
        <f aca="false">Sens!J8792</f>
        <v>105.90773710582</v>
      </c>
      <c r="K8925" s="6" t="n">
        <f aca="false">Sens!K8792</f>
        <v>126.282084319851</v>
      </c>
    </row>
    <row r="8926" customFormat="false" ht="17.15" hidden="false" customHeight="false" outlineLevel="0" collapsed="false">
      <c r="A8926" s="0" t="s">
        <v>955</v>
      </c>
      <c r="B8926" s="0" t="s">
        <v>95</v>
      </c>
      <c r="F8926" s="6" t="n">
        <f aca="false">Sens!F8852+Sens!F8803+Sens!F8919*(Sens!F8822-Sens!F8786)</f>
        <v>206.162199305271</v>
      </c>
      <c r="G8926" s="6" t="n">
        <f aca="false">Sens!G8852+Sens!G8803+Sens!G8919*(Sens!G8822-Sens!G8786)</f>
        <v>241.652950200042</v>
      </c>
      <c r="H8926" s="6" t="n">
        <f aca="false">Sens!H8852+Sens!H8803+Sens!H8919*(Sens!H8822-Sens!H8786)</f>
        <v>273.201142798734</v>
      </c>
      <c r="I8926" s="6" t="n">
        <f aca="false">Sens!I8852+Sens!I8803+Sens!I8919*(Sens!I8822-Sens!I8786)</f>
        <v>311.296260027124</v>
      </c>
      <c r="J8926" s="6" t="n">
        <f aca="false">Sens!J8852+Sens!J8803+Sens!J8919*(Sens!J8822-Sens!J8786)</f>
        <v>347.93004914138</v>
      </c>
      <c r="K8926" s="6" t="n">
        <f aca="false">Sens!K8852+Sens!K8803+Sens!K8919*(Sens!K8822-Sens!K8786)</f>
        <v>382.665548467622</v>
      </c>
    </row>
    <row r="8927" customFormat="false" ht="17.15" hidden="false" customHeight="false" outlineLevel="0" collapsed="false">
      <c r="A8927" s="0" t="s">
        <v>956</v>
      </c>
      <c r="B8927" s="0" t="s">
        <v>95</v>
      </c>
      <c r="F8927" s="6" t="n">
        <f aca="false">Sens!F8926-Sens!F8920-Sens!F8921-Sens!F8922-Sens!F8923-Sens!F8925</f>
        <v>49.1259477164421</v>
      </c>
      <c r="G8927" s="6" t="n">
        <f aca="false">Sens!G8926-Sens!G8920-Sens!G8921-Sens!G8922-Sens!G8923-Sens!G8925</f>
        <v>55.4469075992566</v>
      </c>
      <c r="H8927" s="6" t="n">
        <f aca="false">Sens!H8926-Sens!H8920-Sens!H8921-Sens!H8922-Sens!H8923-Sens!H8925</f>
        <v>61.8488817755198</v>
      </c>
      <c r="I8927" s="6" t="n">
        <f aca="false">Sens!I8926-Sens!I8920-Sens!I8921-Sens!I8922-Sens!I8923-Sens!I8925</f>
        <v>68.0594028094115</v>
      </c>
      <c r="J8927" s="6" t="n">
        <f aca="false">Sens!J8926-Sens!J8920-Sens!J8921-Sens!J8922-Sens!J8923-Sens!J8925</f>
        <v>73.4787156048498</v>
      </c>
      <c r="K8927" s="6" t="n">
        <f aca="false">Sens!K8926-Sens!K8920-Sens!K8921-Sens!K8922-Sens!K8923-Sens!K8925</f>
        <v>77.4350725420248</v>
      </c>
    </row>
    <row r="8928" customFormat="false" ht="17.15" hidden="false" customHeight="false" outlineLevel="0" collapsed="false">
      <c r="A8928" s="0" t="s">
        <v>957</v>
      </c>
      <c r="B8928" s="0" t="s">
        <v>95</v>
      </c>
      <c r="F8928" s="6" t="n">
        <f aca="false">Sens!F8854+Sens!F8919*Sens!F8829</f>
        <v>23.7185971532607</v>
      </c>
      <c r="G8928" s="6" t="n">
        <f aca="false">Sens!G8854+Sens!G8919*Sens!G8829</f>
        <v>24.1865107009557</v>
      </c>
      <c r="H8928" s="6" t="n">
        <f aca="false">Sens!H8854+Sens!H8919*Sens!H8829</f>
        <v>24.8574425036368</v>
      </c>
      <c r="I8928" s="6" t="n">
        <f aca="false">Sens!I8854+Sens!I8919*Sens!I8829</f>
        <v>25.7021510549234</v>
      </c>
      <c r="J8928" s="6" t="n">
        <f aca="false">Sens!J8854+Sens!J8919*Sens!J8829</f>
        <v>26.6883394033697</v>
      </c>
      <c r="K8928" s="6" t="n">
        <f aca="false">Sens!K8854+Sens!K8919*Sens!K8829</f>
        <v>27.7823393578904</v>
      </c>
    </row>
    <row r="8929" customFormat="false" ht="17.15" hidden="false" customHeight="false" outlineLevel="0" collapsed="false">
      <c r="A8929" s="0" t="s">
        <v>958</v>
      </c>
      <c r="B8929" s="0" t="s">
        <v>95</v>
      </c>
      <c r="F8929" s="6" t="n">
        <f aca="false">(Sens!F8928-Sens!F8924)*Sens!F8825/(Sens!F8825+Sens!F8827)</f>
        <v>7.39754854050626</v>
      </c>
      <c r="G8929" s="6" t="n">
        <f aca="false">(Sens!G8928-Sens!G8924)*Sens!G8825/(Sens!G8825+Sens!G8827)</f>
        <v>6.94467746980419</v>
      </c>
      <c r="H8929" s="6" t="n">
        <f aca="false">(Sens!H8928-Sens!H8924)*Sens!H8825/(Sens!H8825+Sens!H8827)</f>
        <v>6.59980164243543</v>
      </c>
      <c r="I8929" s="6" t="n">
        <f aca="false">(Sens!I8928-Sens!I8924)*Sens!I8825/(Sens!I8825+Sens!I8827)</f>
        <v>6.34681823369132</v>
      </c>
      <c r="J8929" s="6" t="n">
        <f aca="false">(Sens!J8928-Sens!J8924)*Sens!J8825/(Sens!J8825+Sens!J8827)</f>
        <v>6.17252345474538</v>
      </c>
      <c r="K8929" s="6" t="n">
        <f aca="false">(Sens!K8928-Sens!K8924)*Sens!K8825/(Sens!K8825+Sens!K8827)</f>
        <v>6.0666777271846</v>
      </c>
    </row>
    <row r="8930" customFormat="false" ht="17.15" hidden="false" customHeight="false" outlineLevel="0" collapsed="false">
      <c r="A8930" s="0" t="s">
        <v>959</v>
      </c>
      <c r="B8930" s="0" t="s">
        <v>95</v>
      </c>
      <c r="F8930" s="6" t="n">
        <f aca="false">Sens!F8928-Sens!F8924-Sens!F8929</f>
        <v>6.14029800968861</v>
      </c>
      <c r="G8930" s="6" t="n">
        <f aca="false">Sens!G8928-Sens!G8924-Sens!G8929</f>
        <v>6.08051628767471</v>
      </c>
      <c r="H8930" s="6" t="n">
        <f aca="false">Sens!H8928-Sens!H8924-Sens!H8929</f>
        <v>6.07465248604887</v>
      </c>
      <c r="I8930" s="6" t="n">
        <f aca="false">Sens!I8928-Sens!I8924-Sens!I8929</f>
        <v>6.12047979456736</v>
      </c>
      <c r="J8930" s="6" t="n">
        <f aca="false">Sens!J8928-Sens!J8924-Sens!J8929</f>
        <v>6.2156773677702</v>
      </c>
      <c r="K8930" s="6" t="n">
        <f aca="false">Sens!K8928-Sens!K8924-Sens!K8929</f>
        <v>6.35844232109381</v>
      </c>
    </row>
    <row r="8931" customFormat="false" ht="17.15" hidden="false" customHeight="false" outlineLevel="0" collapsed="false">
      <c r="A8931" s="1" t="s">
        <v>960</v>
      </c>
      <c r="B8931" s="0" t="s">
        <v>95</v>
      </c>
      <c r="C8931" s="6" t="n">
        <f aca="false">(w_ntm28*Sens!G8925+(1-w_ntm28)*Sens!H8925)*m_ai*1</f>
        <v>338.776008390068</v>
      </c>
    </row>
    <row r="8932" customFormat="false" ht="17.15" hidden="false" customHeight="false" outlineLevel="0" collapsed="false">
      <c r="A8932" s="1" t="s">
        <v>961</v>
      </c>
      <c r="B8932" s="0" t="s">
        <v>95</v>
      </c>
      <c r="C8932" s="6" t="n">
        <f aca="false">(w_ntm28*Sens!G8927+(1-w_ntm28)*Sens!H8927)*m_cloud*1</f>
        <v>794.879231261954</v>
      </c>
    </row>
    <row r="8933" customFormat="false" ht="17.15" hidden="false" customHeight="false" outlineLevel="0" collapsed="false">
      <c r="A8933" s="1" t="s">
        <v>962</v>
      </c>
      <c r="B8933" s="0" t="s">
        <v>95</v>
      </c>
      <c r="C8933" s="6" t="n">
        <f aca="false">(w_ntm28*Sens!G8920+(1-w_ntm28)*Sens!H8920)*m_sw*1</f>
        <v>988.671219550822</v>
      </c>
    </row>
    <row r="8934" customFormat="false" ht="17.15" hidden="false" customHeight="false" outlineLevel="0" collapsed="false">
      <c r="A8934" s="1" t="s">
        <v>963</v>
      </c>
      <c r="B8934" s="0" t="s">
        <v>95</v>
      </c>
      <c r="C8934" s="6" t="n">
        <f aca="false">(w_ntm28*Sens!G8921+(1-w_ntm28)*Sens!H8921)*m_sw*1</f>
        <v>363.154367770881</v>
      </c>
    </row>
    <row r="8935" customFormat="false" ht="17.15" hidden="false" customHeight="false" outlineLevel="0" collapsed="false">
      <c r="A8935" s="1" t="s">
        <v>964</v>
      </c>
      <c r="B8935" s="0" t="s">
        <v>95</v>
      </c>
      <c r="C8935" s="6" t="n">
        <f aca="false">(w_ntm28*Sens!G8922+(1-w_ntm28)*Sens!H8922)*m_sw*1</f>
        <v>99.3119169375026</v>
      </c>
    </row>
    <row r="8936" customFormat="false" ht="17.15" hidden="false" customHeight="false" outlineLevel="0" collapsed="false">
      <c r="A8936" s="1" t="s">
        <v>965</v>
      </c>
      <c r="B8936" s="0" t="s">
        <v>95</v>
      </c>
      <c r="C8936" s="6" t="n">
        <f aca="false">(w_ntm28*Sens!G8923+(1-w_ntm28)*Sens!H8923)*m_sw*1</f>
        <v>37.8891345834368</v>
      </c>
    </row>
    <row r="8937" customFormat="false" ht="17.15" hidden="false" customHeight="false" outlineLevel="0" collapsed="false">
      <c r="A8937" s="1" t="s">
        <v>966</v>
      </c>
      <c r="B8937" s="0" t="s">
        <v>95</v>
      </c>
      <c r="C8937" s="6" t="n">
        <f aca="false">(w_ntm28*Sens!G8924+(1-w_ntm28)*Sens!H8924)*m_ads*1</f>
        <v>104.688573671849</v>
      </c>
    </row>
    <row r="8938" customFormat="false" ht="17.15" hidden="false" customHeight="false" outlineLevel="0" collapsed="false">
      <c r="A8938" s="1" t="s">
        <v>967</v>
      </c>
      <c r="B8938" s="0" t="s">
        <v>95</v>
      </c>
      <c r="C8938" s="6" t="n">
        <f aca="false">(w_ntm28*Sens!G8929+(1-w_ntm28)*Sens!H8929)*m_game*1</f>
        <v>86.3031059215426</v>
      </c>
    </row>
    <row r="8939" customFormat="false" ht="17.15" hidden="false" customHeight="false" outlineLevel="0" collapsed="false">
      <c r="A8939" s="1" t="s">
        <v>968</v>
      </c>
      <c r="B8939" s="0" t="s">
        <v>95</v>
      </c>
      <c r="C8939" s="6" t="n">
        <f aca="false">(w_ntm28*Sens!G8930+(1-w_ntm28)*Sens!H8930)*m_pc*1</f>
        <v>87.9576399792995</v>
      </c>
    </row>
    <row r="8940" customFormat="false" ht="17.15" hidden="false" customHeight="false" outlineLevel="0" collapsed="false">
      <c r="A8940" s="1" t="s">
        <v>969</v>
      </c>
      <c r="B8940" s="0" t="s">
        <v>95</v>
      </c>
      <c r="C8940" s="6" t="n">
        <f aca="false">Sens!$C$8931+Sens!$C$8932+Sens!$C$8933+Sens!$C$8934+Sens!$C$8935+Sens!$C$8936+Sens!$C$8937+Sens!$C$8938+Sens!$C$8939</f>
        <v>2901.63119806735</v>
      </c>
    </row>
    <row r="8941" customFormat="false" ht="17.15" hidden="false" customHeight="false" outlineLevel="0" collapsed="false">
      <c r="A8941" s="1" t="s">
        <v>903</v>
      </c>
      <c r="B8941" s="0" t="s">
        <v>95</v>
      </c>
      <c r="C8941" s="6" t="n">
        <f aca="false">Sens!F8898+oai_v-Sens!F8887</f>
        <v>106.773818068813</v>
      </c>
      <c r="L8941" s="1" t="s">
        <v>970</v>
      </c>
    </row>
    <row r="8942" customFormat="false" ht="15" hidden="false" customHeight="false" outlineLevel="0" collapsed="false">
      <c r="A8942" s="1" t="s">
        <v>904</v>
      </c>
      <c r="B8942" s="0" t="s">
        <v>73</v>
      </c>
      <c r="C8942" s="5" t="n">
        <f aca="false">(Sens!$C$8940+Sens!$C$8941)/Sens!F8900</f>
        <v>402.623797662763</v>
      </c>
    </row>
    <row r="8943" customFormat="false" ht="17.15" hidden="false" customHeight="false" outlineLevel="0" collapsed="false">
      <c r="A8943" s="1" t="s">
        <v>971</v>
      </c>
      <c r="B8943" s="0" t="s">
        <v>73</v>
      </c>
      <c r="C8943" s="5" t="n">
        <f aca="false">w_dcf*Sens!$C$8918+(1-w_dcf)*Sens!$C$8942</f>
        <v>290.596539143707</v>
      </c>
    </row>
    <row r="8944" customFormat="false" ht="17.15" hidden="false" customHeight="false" outlineLevel="0" collapsed="false">
      <c r="A8944" s="3" t="s">
        <v>1369</v>
      </c>
    </row>
    <row r="8945" customFormat="false" ht="15" hidden="false" customHeight="false" outlineLevel="0" collapsed="false">
      <c r="A8945" s="4" t="s">
        <v>43</v>
      </c>
      <c r="B8945" s="4" t="s">
        <v>63</v>
      </c>
      <c r="C8945" s="19" t="s">
        <v>710</v>
      </c>
      <c r="D8945" s="19" t="s">
        <v>711</v>
      </c>
      <c r="E8945" s="19" t="s">
        <v>712</v>
      </c>
      <c r="F8945" s="19" t="s">
        <v>713</v>
      </c>
      <c r="G8945" s="19" t="s">
        <v>714</v>
      </c>
      <c r="H8945" s="19" t="s">
        <v>715</v>
      </c>
      <c r="I8945" s="19" t="s">
        <v>716</v>
      </c>
      <c r="J8945" s="19" t="s">
        <v>717</v>
      </c>
      <c r="K8945" s="19" t="s">
        <v>718</v>
      </c>
      <c r="L8945" s="4" t="s">
        <v>47</v>
      </c>
    </row>
    <row r="8946" customFormat="false" ht="17.15" hidden="false" customHeight="false" outlineLevel="0" collapsed="false">
      <c r="A8946" s="1" t="s">
        <v>719</v>
      </c>
      <c r="B8946" s="0" t="s">
        <v>340</v>
      </c>
      <c r="C8946" s="27" t="n">
        <f aca="false">mw_ext_24</f>
        <v>640</v>
      </c>
      <c r="D8946" s="27" t="n">
        <f aca="false">mw_ext_25</f>
        <v>1630</v>
      </c>
      <c r="E8946" s="27" t="n">
        <f aca="false">mw_ext_26</f>
        <v>3250</v>
      </c>
      <c r="F8946" s="27" t="n">
        <f aca="false">MIN(1000000000,Sens!E8946+pace)</f>
        <v>5777.2</v>
      </c>
      <c r="G8946" s="27" t="n">
        <f aca="false">MIN(1000000000,Sens!F8946+pace)</f>
        <v>8304.4</v>
      </c>
      <c r="H8946" s="27" t="n">
        <f aca="false">MIN(1000000000,Sens!G8946+pace)</f>
        <v>10831.6</v>
      </c>
      <c r="I8946" s="27" t="n">
        <f aca="false">MIN(1000000000,Sens!H8946+pace)</f>
        <v>13358.8</v>
      </c>
      <c r="J8946" s="27" t="n">
        <f aca="false">MIN(1000000000,Sens!I8946+pace)</f>
        <v>15886</v>
      </c>
      <c r="K8946" s="27" t="n">
        <f aca="false">MIN(1000000000,Sens!J8946+pace)</f>
        <v>18413.2</v>
      </c>
      <c r="L8946" s="11" t="s">
        <v>720</v>
      </c>
    </row>
    <row r="8947" customFormat="false" ht="17.15" hidden="false" customHeight="false" outlineLevel="0" collapsed="false">
      <c r="A8947" s="1" t="s">
        <v>721</v>
      </c>
      <c r="B8947" s="0" t="s">
        <v>340</v>
      </c>
      <c r="C8947" s="27" t="n">
        <f aca="false">rent_ext_24</f>
        <v>150</v>
      </c>
      <c r="D8947" s="27" t="n">
        <f aca="false">rent_ext_25</f>
        <v>400</v>
      </c>
      <c r="E8947" s="27" t="n">
        <f aca="false">rent_ext_26</f>
        <v>550</v>
      </c>
      <c r="F8947" s="27" t="n">
        <f aca="false">rent_ext_f</f>
        <v>756</v>
      </c>
      <c r="G8947" s="27" t="n">
        <f aca="false">rent_ext_f</f>
        <v>756</v>
      </c>
      <c r="H8947" s="27" t="n">
        <f aca="false">rent_ext_f</f>
        <v>756</v>
      </c>
      <c r="I8947" s="27" t="n">
        <f aca="false">rent_ext_f</f>
        <v>756</v>
      </c>
      <c r="J8947" s="27" t="n">
        <f aca="false">rent_ext_f</f>
        <v>756</v>
      </c>
      <c r="K8947" s="27" t="n">
        <f aca="false">rent_ext_f</f>
        <v>756</v>
      </c>
      <c r="L8947" s="1" t="s">
        <v>722</v>
      </c>
    </row>
    <row r="8948" customFormat="false" ht="17.15" hidden="false" customHeight="false" outlineLevel="0" collapsed="false">
      <c r="A8948" s="1" t="s">
        <v>723</v>
      </c>
      <c r="B8948" s="0" t="s">
        <v>340</v>
      </c>
      <c r="C8948" s="27" t="n">
        <f aca="false">Sens!C8946-Sens!C8947</f>
        <v>490</v>
      </c>
      <c r="D8948" s="27" t="n">
        <f aca="false">Sens!D8946-Sens!D8947</f>
        <v>1230</v>
      </c>
      <c r="E8948" s="27" t="n">
        <f aca="false">Sens!E8946-Sens!E8947</f>
        <v>2700</v>
      </c>
      <c r="F8948" s="27" t="n">
        <f aca="false">Sens!F8946-Sens!F8947</f>
        <v>5021.2</v>
      </c>
      <c r="G8948" s="27" t="n">
        <f aca="false">Sens!G8946-Sens!G8947</f>
        <v>7548.4</v>
      </c>
      <c r="H8948" s="27" t="n">
        <f aca="false">Sens!H8946-Sens!H8947</f>
        <v>10075.6</v>
      </c>
      <c r="I8948" s="27" t="n">
        <f aca="false">Sens!I8946-Sens!I8947</f>
        <v>12602.8</v>
      </c>
      <c r="J8948" s="27" t="n">
        <f aca="false">Sens!J8946-Sens!J8947</f>
        <v>15130</v>
      </c>
      <c r="K8948" s="27" t="n">
        <f aca="false">Sens!K8946-Sens!K8947</f>
        <v>17657.2</v>
      </c>
    </row>
    <row r="8949" customFormat="false" ht="17.15" hidden="false" customHeight="false" outlineLevel="0" collapsed="false">
      <c r="A8949" s="1" t="s">
        <v>724</v>
      </c>
      <c r="B8949" s="0" t="s">
        <v>340</v>
      </c>
      <c r="C8949" s="27" t="n">
        <f aca="false">Sens!C8948/ext_sh</f>
        <v>816.666666666667</v>
      </c>
      <c r="D8949" s="27" t="n">
        <f aca="false">Sens!D8948/ext_sh</f>
        <v>2050</v>
      </c>
      <c r="E8949" s="27" t="n">
        <f aca="false">Sens!E8948/ext_sh</f>
        <v>4500</v>
      </c>
      <c r="F8949" s="27" t="n">
        <f aca="false">Sens!F8948/ext_sh</f>
        <v>8368.66666666667</v>
      </c>
      <c r="G8949" s="27" t="n">
        <f aca="false">Sens!G8948/ext_sh</f>
        <v>12580.6666666667</v>
      </c>
      <c r="H8949" s="27" t="n">
        <f aca="false">Sens!H8948/ext_sh</f>
        <v>16792.6666666667</v>
      </c>
      <c r="I8949" s="27" t="n">
        <f aca="false">Sens!I8948/ext_sh</f>
        <v>21004.6666666667</v>
      </c>
      <c r="J8949" s="27" t="n">
        <f aca="false">Sens!J8948/ext_sh</f>
        <v>25216.6666666667</v>
      </c>
      <c r="K8949" s="27" t="n">
        <f aca="false">Sens!K8948/ext_sh</f>
        <v>29428.6666666667</v>
      </c>
      <c r="L8949" s="1" t="s">
        <v>725</v>
      </c>
    </row>
    <row r="8950" customFormat="false" ht="17.15" hidden="false" customHeight="false" outlineLevel="0" collapsed="false">
      <c r="A8950" s="1" t="s">
        <v>726</v>
      </c>
      <c r="B8950" s="0" t="s">
        <v>340</v>
      </c>
      <c r="C8950" s="27" t="n">
        <f aca="false">Sens!C8949-Sens!C8948</f>
        <v>326.666666666667</v>
      </c>
      <c r="D8950" s="27" t="n">
        <f aca="false">Sens!D8949-Sens!D8948</f>
        <v>820</v>
      </c>
      <c r="E8950" s="27" t="n">
        <f aca="false">Sens!E8949-Sens!E8948</f>
        <v>1800</v>
      </c>
      <c r="F8950" s="27" t="n">
        <f aca="false">Sens!F8949-Sens!F8948</f>
        <v>3347.46666666667</v>
      </c>
      <c r="G8950" s="27" t="n">
        <f aca="false">Sens!G8949-Sens!G8948</f>
        <v>5032.26666666667</v>
      </c>
      <c r="H8950" s="27" t="n">
        <f aca="false">Sens!H8949-Sens!H8948</f>
        <v>6717.06666666667</v>
      </c>
      <c r="I8950" s="27" t="n">
        <f aca="false">Sens!I8949-Sens!I8948</f>
        <v>8401.86666666667</v>
      </c>
      <c r="J8950" s="27" t="n">
        <f aca="false">Sens!J8949-Sens!J8948</f>
        <v>10086.6666666667</v>
      </c>
      <c r="K8950" s="27" t="n">
        <f aca="false">Sens!K8949-Sens!K8948</f>
        <v>11771.4666666667</v>
      </c>
    </row>
    <row r="8951" customFormat="false" ht="17.15" hidden="false" customHeight="false" outlineLevel="0" collapsed="false">
      <c r="A8951" s="1" t="s">
        <v>727</v>
      </c>
      <c r="B8951" s="0" t="s">
        <v>340</v>
      </c>
      <c r="C8951" s="27" t="n">
        <f aca="false">Sens!C8949</f>
        <v>816.666666666667</v>
      </c>
      <c r="D8951" s="27" t="n">
        <f aca="false">Sens!D8949-Sens!C8949</f>
        <v>1233.33333333333</v>
      </c>
      <c r="E8951" s="27" t="n">
        <f aca="false">Sens!E8949-Sens!D8949</f>
        <v>2450</v>
      </c>
      <c r="F8951" s="27" t="n">
        <f aca="false">Sens!F8949-Sens!E8949</f>
        <v>3868.66666666667</v>
      </c>
      <c r="G8951" s="27" t="n">
        <f aca="false">Sens!G8949-Sens!F8949</f>
        <v>4212</v>
      </c>
      <c r="H8951" s="27" t="n">
        <f aca="false">Sens!H8949-Sens!G8949</f>
        <v>4212</v>
      </c>
      <c r="I8951" s="27" t="n">
        <f aca="false">Sens!I8949-Sens!H8949</f>
        <v>4212</v>
      </c>
      <c r="J8951" s="27" t="n">
        <f aca="false">Sens!J8949-Sens!I8949</f>
        <v>4212</v>
      </c>
      <c r="K8951" s="27" t="n">
        <f aca="false">Sens!K8949-Sens!J8949</f>
        <v>4212</v>
      </c>
    </row>
    <row r="8952" customFormat="false" ht="17.15" hidden="false" customHeight="false" outlineLevel="0" collapsed="false">
      <c r="A8952" s="1" t="s">
        <v>728</v>
      </c>
      <c r="B8952" s="0" t="s">
        <v>340</v>
      </c>
      <c r="D8952" s="27" t="n">
        <f aca="false">Sens!D8946-Sens!C8946</f>
        <v>990</v>
      </c>
      <c r="E8952" s="27" t="n">
        <f aca="false">Sens!E8946-Sens!D8946</f>
        <v>1620</v>
      </c>
      <c r="F8952" s="27" t="n">
        <f aca="false">Sens!F8946-Sens!E8946</f>
        <v>2527.2</v>
      </c>
      <c r="G8952" s="27" t="n">
        <f aca="false">Sens!G8946-Sens!F8946</f>
        <v>2527.2</v>
      </c>
      <c r="H8952" s="27" t="n">
        <f aca="false">Sens!H8946-Sens!G8946</f>
        <v>2527.2</v>
      </c>
      <c r="I8952" s="27" t="n">
        <f aca="false">Sens!I8946-Sens!H8946</f>
        <v>2527.2</v>
      </c>
      <c r="J8952" s="27" t="n">
        <f aca="false">Sens!J8946-Sens!I8946</f>
        <v>2527.2</v>
      </c>
      <c r="K8952" s="27" t="n">
        <f aca="false">Sens!K8946-Sens!J8946</f>
        <v>2527.2</v>
      </c>
    </row>
    <row r="8953" customFormat="false" ht="17.15" hidden="false" customHeight="false" outlineLevel="0" collapsed="false">
      <c r="A8953" s="1" t="s">
        <v>729</v>
      </c>
      <c r="B8953" s="0" t="s">
        <v>340</v>
      </c>
      <c r="C8953" s="27" t="n">
        <f aca="false">mix_h*Sens!C8946</f>
        <v>128</v>
      </c>
      <c r="D8953" s="27" t="n">
        <f aca="false">mix_h*Sens!D8946</f>
        <v>326</v>
      </c>
      <c r="E8953" s="27" t="n">
        <f aca="false">mix_h*Sens!E8946</f>
        <v>650</v>
      </c>
      <c r="F8953" s="27" t="n">
        <f aca="false">Sens!E8953</f>
        <v>650</v>
      </c>
      <c r="G8953" s="27" t="n">
        <f aca="false">Sens!F8953</f>
        <v>650</v>
      </c>
      <c r="H8953" s="27" t="n">
        <f aca="false">Sens!G8953</f>
        <v>650</v>
      </c>
      <c r="I8953" s="27" t="n">
        <f aca="false">Sens!H8953</f>
        <v>650</v>
      </c>
      <c r="J8953" s="27" t="n">
        <f aca="false">Sens!I8953</f>
        <v>650</v>
      </c>
      <c r="K8953" s="27" t="n">
        <f aca="false">Sens!J8953</f>
        <v>650</v>
      </c>
    </row>
    <row r="8954" customFormat="false" ht="17.15" hidden="false" customHeight="false" outlineLevel="0" collapsed="false">
      <c r="A8954" s="1" t="s">
        <v>730</v>
      </c>
      <c r="B8954" s="0" t="s">
        <v>340</v>
      </c>
      <c r="C8954" s="27" t="n">
        <f aca="false">mix_g2*Sens!C8946</f>
        <v>288</v>
      </c>
      <c r="D8954" s="27" t="n">
        <f aca="false">mix_g2*Sens!D8946</f>
        <v>733.5</v>
      </c>
      <c r="E8954" s="27" t="n">
        <f aca="false">mix_g2*Sens!E8946</f>
        <v>1462.5</v>
      </c>
      <c r="F8954" s="27" t="n">
        <f aca="false">Sens!E8954</f>
        <v>1462.5</v>
      </c>
      <c r="G8954" s="27" t="n">
        <f aca="false">Sens!F8954</f>
        <v>1462.5</v>
      </c>
      <c r="H8954" s="27" t="n">
        <f aca="false">Sens!G8954</f>
        <v>1462.5</v>
      </c>
      <c r="I8954" s="27" t="n">
        <f aca="false">Sens!H8954</f>
        <v>1462.5</v>
      </c>
      <c r="J8954" s="27" t="n">
        <f aca="false">Sens!I8954</f>
        <v>1462.5</v>
      </c>
      <c r="K8954" s="27" t="n">
        <f aca="false">Sens!J8954</f>
        <v>1462.5</v>
      </c>
    </row>
    <row r="8955" customFormat="false" ht="17.15" hidden="false" customHeight="false" outlineLevel="0" collapsed="false">
      <c r="A8955" s="1" t="s">
        <v>731</v>
      </c>
      <c r="B8955" s="0" t="s">
        <v>340</v>
      </c>
      <c r="C8955" s="27" t="n">
        <f aca="false">mix_g3*Sens!C8946</f>
        <v>224</v>
      </c>
      <c r="D8955" s="27" t="n">
        <f aca="false">mix_g3*Sens!D8946</f>
        <v>570.5</v>
      </c>
      <c r="E8955" s="27" t="n">
        <f aca="false">mix_g3*Sens!E8946</f>
        <v>1137.5</v>
      </c>
      <c r="F8955" s="27" t="n">
        <f aca="false">Sens!E8955+Sens!F8952*a_g3_27</f>
        <v>2906.54</v>
      </c>
      <c r="G8955" s="27" t="n">
        <f aca="false">Sens!F8955+Sens!G8952*a_g3_28</f>
        <v>3664.7</v>
      </c>
      <c r="H8955" s="27" t="n">
        <f aca="false">Sens!G8955+Sens!H8952*a_g3_29</f>
        <v>3917.42</v>
      </c>
      <c r="I8955" s="27" t="n">
        <f aca="false">Sens!H8955+Sens!I8952*a_g3_29</f>
        <v>4170.14</v>
      </c>
      <c r="J8955" s="27" t="n">
        <f aca="false">Sens!I8955+Sens!J8952*a_g3_29</f>
        <v>4422.86</v>
      </c>
      <c r="K8955" s="27" t="n">
        <f aca="false">Sens!J8955+Sens!K8952*a_g3_29</f>
        <v>4675.58</v>
      </c>
    </row>
    <row r="8956" customFormat="false" ht="17.15" hidden="false" customHeight="false" outlineLevel="0" collapsed="false">
      <c r="A8956" s="1" t="s">
        <v>732</v>
      </c>
      <c r="B8956" s="0" t="s">
        <v>340</v>
      </c>
      <c r="C8956" s="27" t="n">
        <f aca="false">0</f>
        <v>0</v>
      </c>
      <c r="D8956" s="27" t="n">
        <f aca="false">0</f>
        <v>0</v>
      </c>
      <c r="E8956" s="27" t="n">
        <f aca="false">0</f>
        <v>0</v>
      </c>
      <c r="F8956" s="27" t="n">
        <f aca="false">Sens!E8956+Sens!F8952*(1-a_g3_27)</f>
        <v>758.16</v>
      </c>
      <c r="G8956" s="27" t="n">
        <f aca="false">Sens!F8956+Sens!G8952*(1-a_g3_28)</f>
        <v>2527.2</v>
      </c>
      <c r="H8956" s="27" t="n">
        <f aca="false">Sens!G8956+Sens!H8952*(1-a_g3_29)</f>
        <v>4801.68</v>
      </c>
      <c r="I8956" s="27" t="n">
        <f aca="false">Sens!H8956+Sens!I8952*(1-a_g3_29)</f>
        <v>7076.16</v>
      </c>
      <c r="J8956" s="27" t="n">
        <f aca="false">Sens!I8956+Sens!J8952*(1-a_g3_29)</f>
        <v>9350.64</v>
      </c>
      <c r="K8956" s="27" t="n">
        <f aca="false">Sens!J8956+Sens!K8952*(1-a_g3_29)</f>
        <v>11625.12</v>
      </c>
    </row>
    <row r="8957" customFormat="false" ht="17.15" hidden="false" customHeight="false" outlineLevel="0" collapsed="false">
      <c r="A8957" s="1" t="s">
        <v>733</v>
      </c>
      <c r="B8957" s="0" t="s">
        <v>291</v>
      </c>
      <c r="C8957" s="18" t="n">
        <f aca="false">(Sens!C8953*tk_hold_h100+Sens!C8954*tk_hold_gb200+Sens!C8955*tk_hold_gb300+Sens!C8956*tk_hold_vr200)/Sens!C8946</f>
        <v>9.7235358126469</v>
      </c>
      <c r="D8957" s="18" t="n">
        <f aca="false">(Sens!D8953*tk_hold_h100+Sens!D8954*tk_hold_gb200+Sens!D8955*tk_hold_gb300+Sens!D8956*tk_hold_vr200)/Sens!D8946</f>
        <v>9.7235358126469</v>
      </c>
      <c r="E8957" s="18" t="n">
        <f aca="false">(Sens!E8953*tk_hold_h100+Sens!E8954*tk_hold_gb200+Sens!E8955*tk_hold_gb300+Sens!E8956*tk_hold_vr200)/Sens!E8946</f>
        <v>9.7235358126469</v>
      </c>
      <c r="F8957" s="18" t="n">
        <f aca="false">(Sens!F8953*tk_hold_h100+Sens!F8954*tk_hold_gb200+Sens!F8955*tk_hold_gb300+Sens!F8956*tk_hold_vr200)/Sens!F8946</f>
        <v>10.4079573161931</v>
      </c>
      <c r="G8957" s="18" t="n">
        <f aca="false">(Sens!G8953*tk_hold_h100+Sens!G8954*tk_hold_gb200+Sens!G8955*tk_hold_gb300+Sens!G8956*tk_hold_vr200)/Sens!G8946</f>
        <v>10.8388131109316</v>
      </c>
      <c r="H8957" s="18" t="n">
        <f aca="false">(Sens!H8953*tk_hold_h100+Sens!H8954*tk_hold_gb200+Sens!H8955*tk_hold_gb300+Sens!H8956*tk_hold_vr200)/Sens!H8946</f>
        <v>11.1311018388216</v>
      </c>
      <c r="I8957" s="18" t="n">
        <f aca="false">(Sens!I8953*tk_hold_h100+Sens!I8954*tk_hold_gb200+Sens!I8955*tk_hold_gb300+Sens!I8956*tk_hold_vr200)/Sens!I8946</f>
        <v>11.3128009818501</v>
      </c>
      <c r="J8957" s="18" t="n">
        <f aca="false">(Sens!J8953*tk_hold_h100+Sens!J8954*tk_hold_gb200+Sens!J8955*tk_hold_gb300+Sens!J8956*tk_hold_vr200)/Sens!J8946</f>
        <v>11.4366894646418</v>
      </c>
      <c r="K8957" s="18" t="n">
        <f aca="false">(Sens!K8953*tk_hold_h100+Sens!K8954*tk_hold_gb200+Sens!K8955*tk_hold_gb300+Sens!K8956*tk_hold_vr200)/Sens!K8946</f>
        <v>11.526570716348</v>
      </c>
    </row>
    <row r="8958" customFormat="false" ht="17.15" hidden="false" customHeight="false" outlineLevel="0" collapsed="false">
      <c r="A8958" s="0" t="s">
        <v>734</v>
      </c>
      <c r="B8958" s="0" t="s">
        <v>182</v>
      </c>
      <c r="C8958" s="18" t="n">
        <f aca="false">k_B</f>
        <v>1.17213932619116</v>
      </c>
      <c r="D8958" s="18" t="n">
        <f aca="false">k_B</f>
        <v>1.17213932619116</v>
      </c>
      <c r="E8958" s="18" t="n">
        <f aca="false">k_B</f>
        <v>1.17213932619116</v>
      </c>
      <c r="F8958" s="18" t="n">
        <f aca="false">(k_B+((ls_A*k_long+(1-ls_A)*k_spot)-k_B)*MIN(1,1/3))*1</f>
        <v>1.25022828131298</v>
      </c>
      <c r="G8958" s="18" t="n">
        <f aca="false">(k_B+((ls_A*k_long+(1-ls_A)*k_spot)-k_B)*MIN(1,2/3))*1</f>
        <v>1.3283172364348</v>
      </c>
      <c r="H8958" s="18" t="n">
        <f aca="false">(k_B+((ls_A*k_long+(1-ls_A)*k_spot)-k_B)*MIN(1,3/3))*1</f>
        <v>1.40640619155662</v>
      </c>
      <c r="I8958" s="18" t="n">
        <f aca="false">(k_B+((ls_A*k_long+(1-ls_A)*k_spot)-k_B)*MIN(1,4/3))*1</f>
        <v>1.40640619155662</v>
      </c>
      <c r="J8958" s="18" t="n">
        <f aca="false">(k_B+((ls_A*k_long+(1-ls_A)*k_spot)-k_B)*MIN(1,5/3))*1</f>
        <v>1.40640619155662</v>
      </c>
      <c r="K8958" s="18" t="n">
        <f aca="false">(k_B+((ls_A*k_long+(1-ls_A)*k_spot)-k_B)*MIN(1,6/3))*1</f>
        <v>1.40640619155662</v>
      </c>
      <c r="L8958" s="1" t="s">
        <v>735</v>
      </c>
    </row>
    <row r="8959" customFormat="false" ht="17.15" hidden="false" customHeight="false" outlineLevel="0" collapsed="false">
      <c r="A8959" s="1" t="s">
        <v>736</v>
      </c>
      <c r="B8959" s="0" t="s">
        <v>291</v>
      </c>
      <c r="C8959" s="18" t="n">
        <f aca="false">Sens!C8957*Sens!C8958*chip_f</f>
        <v>11.3973387156315</v>
      </c>
      <c r="D8959" s="18" t="n">
        <f aca="false">Sens!D8957*Sens!D8958*chip_f</f>
        <v>11.3973387156315</v>
      </c>
      <c r="E8959" s="18" t="n">
        <f aca="false">Sens!E8957*Sens!E8958*chip_f</f>
        <v>11.3973387156315</v>
      </c>
      <c r="F8959" s="18" t="n">
        <f aca="false">Sens!F8957*Sens!F8958*chip_f</f>
        <v>13.0123225874029</v>
      </c>
      <c r="G8959" s="18" t="n">
        <f aca="false">Sens!G8957*Sens!G8958*chip_f</f>
        <v>14.3973822777458</v>
      </c>
      <c r="H8959" s="18" t="n">
        <f aca="false">Sens!H8957*Sens!H8958*chip_f</f>
        <v>15.6548505449659</v>
      </c>
      <c r="I8959" s="18" t="n">
        <f aca="false">Sens!I8957*Sens!I8958*chip_f</f>
        <v>15.9103933447218</v>
      </c>
      <c r="J8959" s="18" t="n">
        <f aca="false">Sens!J8957*Sens!J8958*chip_f</f>
        <v>16.0846308739825</v>
      </c>
      <c r="K8959" s="18" t="n">
        <f aca="false">Sens!K8957*Sens!K8958*chip_f</f>
        <v>16.211040422887</v>
      </c>
      <c r="L8959" s="1" t="s">
        <v>737</v>
      </c>
    </row>
    <row r="8960" customFormat="false" ht="17.15" hidden="false" customHeight="false" outlineLevel="0" collapsed="false">
      <c r="A8960" s="0" t="s">
        <v>738</v>
      </c>
      <c r="B8960" s="0" t="s">
        <v>95</v>
      </c>
      <c r="D8960" s="6" t="n">
        <f aca="false">(Sens!C8946+Sens!D8946)/2*Sens!D8959/1000</f>
        <v>12.9359794422418</v>
      </c>
      <c r="E8960" s="6" t="n">
        <f aca="false">(Sens!D8946+Sens!E8946)/2*Sens!E8959/1000</f>
        <v>27.8095064661409</v>
      </c>
      <c r="F8960" s="6" t="n">
        <f aca="false">(Sens!E8946+Sens!F8946)/2*Sens!F8959/1000</f>
        <v>58.7324192305018</v>
      </c>
      <c r="G8960" s="6" t="n">
        <f aca="false">(Sens!F8946+Sens!G8946)/2*Sens!G8959/1000</f>
        <v>101.369089141153</v>
      </c>
      <c r="H8960" s="6" t="n">
        <f aca="false">(Sens!G8946+Sens!H8946)/2*Sens!H8959/1000</f>
        <v>149.785610014234</v>
      </c>
      <c r="I8960" s="6" t="n">
        <f aca="false">(Sens!H8946+Sens!I8946)/2*Sens!I8959/1000</f>
        <v>192.439389583079</v>
      </c>
      <c r="J8960" s="6" t="n">
        <f aca="false">(Sens!I8946+Sens!J8946)/2*Sens!J8959/1000</f>
        <v>235.195906491722</v>
      </c>
      <c r="K8960" s="6" t="n">
        <f aca="false">(Sens!J8946+Sens!K8946)/2*Sens!K8959/1000</f>
        <v>278.012858836343</v>
      </c>
      <c r="L8960" s="11" t="s">
        <v>739</v>
      </c>
    </row>
    <row r="8961" customFormat="false" ht="17.15" hidden="false" customHeight="false" outlineLevel="0" collapsed="false">
      <c r="A8961" s="1" t="s">
        <v>740</v>
      </c>
      <c r="B8961" s="0" t="s">
        <v>291</v>
      </c>
      <c r="C8961" s="18" t="n">
        <f aca="false">(Sens!C8953*tk_opex_h100+Sens!C8954*tk_opex_gb200+Sens!C8955*tk_opex_gb300+Sens!C8956*tk_opex_vr200)/Sens!C8946</f>
        <v>1.88636041306092</v>
      </c>
      <c r="D8961" s="18" t="n">
        <f aca="false">(Sens!D8953*tk_opex_h100+Sens!D8954*tk_opex_gb200+Sens!D8955*tk_opex_gb300+Sens!D8956*tk_opex_vr200)/Sens!D8946</f>
        <v>1.88636041306092</v>
      </c>
      <c r="E8961" s="18" t="n">
        <f aca="false">(Sens!E8953*tk_opex_h100+Sens!E8954*tk_opex_gb200+Sens!E8955*tk_opex_gb300+Sens!E8956*tk_opex_vr200)/Sens!E8946</f>
        <v>1.88636041306092</v>
      </c>
      <c r="F8961" s="18" t="n">
        <f aca="false">(Sens!F8953*tk_opex_h100+Sens!F8954*tk_opex_gb200+Sens!F8955*tk_opex_gb300+Sens!F8956*tk_opex_vr200)/Sens!F8946</f>
        <v>1.9430236476499</v>
      </c>
      <c r="G8961" s="18" t="n">
        <f aca="false">(Sens!G8953*tk_opex_h100+Sens!G8954*tk_opex_gb200+Sens!G8955*tk_opex_gb300+Sens!G8956*tk_opex_vr200)/Sens!G8946</f>
        <v>1.9786941852423</v>
      </c>
      <c r="H8961" s="18" t="n">
        <f aca="false">(Sens!H8953*tk_opex_h100+Sens!H8954*tk_opex_gb200+Sens!H8955*tk_opex_gb300+Sens!H8956*tk_opex_vr200)/Sens!H8946</f>
        <v>2.00289275976156</v>
      </c>
      <c r="I8961" s="18" t="n">
        <f aca="false">(Sens!I8953*tk_opex_h100+Sens!I8954*tk_opex_gb200+Sens!I8955*tk_opex_gb300+Sens!I8956*tk_opex_vr200)/Sens!I8946</f>
        <v>2.01793562605478</v>
      </c>
      <c r="J8961" s="18" t="n">
        <f aca="false">(Sens!J8953*tk_opex_h100+Sens!J8954*tk_opex_gb200+Sens!J8955*tk_opex_gb300+Sens!J8956*tk_opex_vr200)/Sens!J8946</f>
        <v>2.02819234961902</v>
      </c>
      <c r="K8961" s="18" t="n">
        <f aca="false">(Sens!K8953*tk_opex_h100+Sens!K8954*tk_opex_gb200+Sens!K8955*tk_opex_gb300+Sens!K8956*tk_opex_vr200)/Sens!K8946</f>
        <v>2.0356336155994</v>
      </c>
    </row>
    <row r="8962" customFormat="false" ht="17.15" hidden="false" customHeight="false" outlineLevel="0" collapsed="false">
      <c r="A8962" s="0" t="s">
        <v>741</v>
      </c>
      <c r="B8962" s="0" t="s">
        <v>95</v>
      </c>
      <c r="D8962" s="6" t="n">
        <f aca="false">(Sens!C8949+Sens!D8949)/2*Sens!D8961/1000</f>
        <v>2.70378325872065</v>
      </c>
      <c r="E8962" s="6" t="n">
        <f aca="false">(Sens!D8949+Sens!E8949)/2*Sens!E8961/1000</f>
        <v>6.17783035277451</v>
      </c>
      <c r="F8962" s="6" t="n">
        <f aca="false">(Sens!E8949+Sens!F8949)/2*Sens!F8961/1000</f>
        <v>12.5020618235287</v>
      </c>
      <c r="G8962" s="6" t="n">
        <f aca="false">(Sens!F8949+Sens!G8949)/2*Sens!G8961/1000</f>
        <v>20.7261620256847</v>
      </c>
      <c r="H8962" s="6" t="n">
        <f aca="false">(Sens!G8949+Sens!H8949)/2*Sens!H8961/1000</f>
        <v>29.4158183316982</v>
      </c>
      <c r="I8962" s="6" t="n">
        <f aca="false">(Sens!H8949+Sens!I8949)/2*Sens!I8961/1000</f>
        <v>38.1362927516005</v>
      </c>
      <c r="J8962" s="6" t="n">
        <f aca="false">(Sens!I8949+Sens!J8949)/2*Sens!J8961/1000</f>
        <v>46.8728773279286</v>
      </c>
      <c r="K8962" s="6" t="n">
        <f aca="false">(Sens!J8949+Sens!K8949)/2*Sens!K8961/1000</f>
        <v>55.618938734484</v>
      </c>
    </row>
    <row r="8963" customFormat="false" ht="17.15" hidden="false" customHeight="false" outlineLevel="0" collapsed="false">
      <c r="A8963" s="0" t="s">
        <v>742</v>
      </c>
      <c r="B8963" s="0" t="s">
        <v>95</v>
      </c>
      <c r="D8963" s="6" t="n">
        <f aca="false">(Sens!C8947+Sens!D8947)/2*rent_mw/1000</f>
        <v>2.44475</v>
      </c>
      <c r="E8963" s="6" t="n">
        <f aca="false">(Sens!D8947+Sens!E8947)/2*rent_mw/1000</f>
        <v>4.22275</v>
      </c>
      <c r="F8963" s="6" t="n">
        <f aca="false">(Sens!E8947+Sens!F8947)/2*rent_mw/1000</f>
        <v>5.80517</v>
      </c>
      <c r="G8963" s="6" t="n">
        <f aca="false">(Sens!F8947+Sens!G8947)/2*rent_mw/1000</f>
        <v>6.72084</v>
      </c>
      <c r="H8963" s="6" t="n">
        <f aca="false">(Sens!G8947+Sens!H8947)/2*rent_mw/1000</f>
        <v>6.72084</v>
      </c>
      <c r="I8963" s="6" t="n">
        <f aca="false">(Sens!H8947+Sens!I8947)/2*rent_mw/1000</f>
        <v>6.72084</v>
      </c>
      <c r="J8963" s="6" t="n">
        <f aca="false">(Sens!I8947+Sens!J8947)/2*rent_mw/1000</f>
        <v>6.72084</v>
      </c>
      <c r="K8963" s="6" t="n">
        <f aca="false">(Sens!J8947+Sens!K8947)/2*rent_mw/1000</f>
        <v>6.72084</v>
      </c>
    </row>
    <row r="8964" customFormat="false" ht="17.15" hidden="false" customHeight="false" outlineLevel="0" collapsed="false">
      <c r="A8964" s="0" t="s">
        <v>743</v>
      </c>
      <c r="B8964" s="0" t="s">
        <v>95</v>
      </c>
      <c r="D8964" s="6" t="n">
        <f aca="false">(Sens!C8949+Sens!D8949)/2*(1-self_build)*fac_rent/1000</f>
        <v>0.853242375631075</v>
      </c>
      <c r="E8964" s="6" t="n">
        <f aca="false">(Sens!D8949+Sens!E8949)/2*(1-self_build)*fac_rent/1000</f>
        <v>1.94955961408728</v>
      </c>
      <c r="F8964" s="6" t="n">
        <f aca="false">(Sens!E8949+Sens!F8949)/2*(1-self_build)*fac_rent/1000</f>
        <v>3.83026455274573</v>
      </c>
      <c r="G8964" s="6" t="n">
        <f aca="false">(Sens!F8949+Sens!G8949)/2*(1-self_build)*fac_rent/1000</f>
        <v>6.23541590972812</v>
      </c>
      <c r="H8964" s="6" t="n">
        <f aca="false">(Sens!G8949+Sens!H8949)/2*(1-self_build)*fac_rent/1000</f>
        <v>8.74275792332679</v>
      </c>
      <c r="I8964" s="6" t="n">
        <f aca="false">(Sens!H8949+Sens!I8949)/2*(1-self_build)*fac_rent/1000</f>
        <v>11.2500999369255</v>
      </c>
      <c r="J8964" s="6" t="n">
        <f aca="false">(Sens!I8949+Sens!J8949)/2*(1-self_build)*fac_rent/1000</f>
        <v>13.7574419505241</v>
      </c>
      <c r="K8964" s="6" t="n">
        <f aca="false">(Sens!J8949+Sens!K8949)/2*(1-self_build)*fac_rent/1000</f>
        <v>16.2647839641228</v>
      </c>
      <c r="L8964" s="11" t="s">
        <v>744</v>
      </c>
    </row>
    <row r="8965" customFormat="false" ht="17.15" hidden="false" customHeight="false" outlineLevel="0" collapsed="false">
      <c r="A8965" s="1" t="s">
        <v>745</v>
      </c>
      <c r="B8965" s="0" t="s">
        <v>126</v>
      </c>
      <c r="D8965" s="7" t="n">
        <f aca="false">(Sens!C8948+Sens!D8948)/(Sens!C8949+Sens!D8949)</f>
        <v>0.6</v>
      </c>
      <c r="E8965" s="7" t="n">
        <f aca="false">(Sens!D8948+Sens!E8948)/(Sens!D8949+Sens!E8949)</f>
        <v>0.6</v>
      </c>
      <c r="F8965" s="7" t="n">
        <f aca="false">(Sens!E8948+Sens!F8948)/(Sens!E8949+Sens!F8949)</f>
        <v>0.6</v>
      </c>
      <c r="G8965" s="7" t="n">
        <f aca="false">(Sens!F8948+Sens!G8948)/(Sens!F8949+Sens!G8949)</f>
        <v>0.6</v>
      </c>
      <c r="H8965" s="7" t="n">
        <f aca="false">(Sens!G8948+Sens!H8948)/(Sens!G8949+Sens!H8949)</f>
        <v>0.6</v>
      </c>
      <c r="I8965" s="7" t="n">
        <f aca="false">(Sens!H8948+Sens!I8948)/(Sens!H8949+Sens!I8949)</f>
        <v>0.6</v>
      </c>
      <c r="J8965" s="7" t="n">
        <f aca="false">(Sens!I8948+Sens!J8948)/(Sens!I8949+Sens!J8949)</f>
        <v>0.6</v>
      </c>
      <c r="K8965" s="7" t="n">
        <f aca="false">(Sens!J8948+Sens!K8948)/(Sens!J8949+Sens!K8949)</f>
        <v>0.6</v>
      </c>
    </row>
    <row r="8966" customFormat="false" ht="17.15" hidden="false" customHeight="false" outlineLevel="0" collapsed="false">
      <c r="A8966" s="0" t="s">
        <v>746</v>
      </c>
      <c r="B8966" s="0" t="s">
        <v>95</v>
      </c>
      <c r="D8966" s="6" t="n">
        <f aca="false">Sens!D8960-Sens!D8965*(Sens!D8962+Sens!D8964)-Sens!D8963</f>
        <v>8.35701406163072</v>
      </c>
      <c r="E8966" s="6" t="n">
        <f aca="false">Sens!E8960-Sens!E8965*(Sens!E8962+Sens!E8964)-Sens!E8963</f>
        <v>18.7103224860238</v>
      </c>
      <c r="F8966" s="6" t="n">
        <f aca="false">Sens!F8960-Sens!F8965*(Sens!F8962+Sens!F8964)-Sens!F8963</f>
        <v>43.1278534047371</v>
      </c>
      <c r="G8966" s="6" t="n">
        <f aca="false">Sens!G8960-Sens!G8965*(Sens!G8962+Sens!G8964)-Sens!G8963</f>
        <v>78.4713023799053</v>
      </c>
      <c r="H8966" s="6" t="n">
        <f aca="false">Sens!H8960-Sens!H8965*(Sens!H8962+Sens!H8964)-Sens!H8963</f>
        <v>120.169624261219</v>
      </c>
      <c r="I8966" s="6" t="n">
        <f aca="false">Sens!I8960-Sens!I8965*(Sens!I8962+Sens!I8964)-Sens!I8963</f>
        <v>156.086713969963</v>
      </c>
      <c r="J8966" s="6" t="n">
        <f aca="false">Sens!J8960-Sens!J8965*(Sens!J8962+Sens!J8964)-Sens!J8963</f>
        <v>192.09687492465</v>
      </c>
      <c r="K8966" s="6" t="n">
        <f aca="false">Sens!K8960-Sens!K8965*(Sens!K8962+Sens!K8964)-Sens!K8963</f>
        <v>228.161785217179</v>
      </c>
    </row>
    <row r="8967" customFormat="false" ht="17.15" hidden="false" customHeight="false" outlineLevel="0" collapsed="false">
      <c r="A8967" s="1" t="s">
        <v>747</v>
      </c>
      <c r="B8967" s="0" t="s">
        <v>95</v>
      </c>
      <c r="D8967" s="6" t="n">
        <f aca="false">(1-Sens!D8965)*(Sens!D8962+Sens!D8964)</f>
        <v>1.42281025374069</v>
      </c>
      <c r="E8967" s="6" t="n">
        <f aca="false">(1-Sens!E8965)*(Sens!E8962+Sens!E8964)</f>
        <v>3.25095598674472</v>
      </c>
      <c r="F8967" s="6" t="n">
        <f aca="false">(1-Sens!F8965)*(Sens!F8962+Sens!F8964)</f>
        <v>6.53293055050977</v>
      </c>
      <c r="G8967" s="6" t="n">
        <f aca="false">(1-Sens!G8965)*(Sens!G8962+Sens!G8964)</f>
        <v>10.7846311741651</v>
      </c>
      <c r="H8967" s="6" t="n">
        <f aca="false">(1-Sens!H8965)*(Sens!H8962+Sens!H8964)</f>
        <v>15.26343050201</v>
      </c>
      <c r="I8967" s="6" t="n">
        <f aca="false">(1-Sens!I8965)*(Sens!I8962+Sens!I8964)</f>
        <v>19.7545570754104</v>
      </c>
      <c r="J8967" s="6" t="n">
        <f aca="false">(1-Sens!J8965)*(Sens!J8962+Sens!J8964)</f>
        <v>24.2521277113811</v>
      </c>
      <c r="K8967" s="6" t="n">
        <f aca="false">(1-Sens!K8965)*(Sens!K8962+Sens!K8964)</f>
        <v>28.7534890794427</v>
      </c>
    </row>
    <row r="8968" customFormat="false" ht="17.15" hidden="false" customHeight="false" outlineLevel="0" collapsed="false">
      <c r="A8968" s="1" t="s">
        <v>748</v>
      </c>
      <c r="B8968" s="0" t="s">
        <v>302</v>
      </c>
      <c r="C8968" s="8" t="n">
        <f aca="false">cxit_open</f>
        <v>27.5918995</v>
      </c>
      <c r="D8968" s="8" t="n">
        <f aca="false">cxit_open</f>
        <v>27.5918995</v>
      </c>
      <c r="E8968" s="8" t="n">
        <f aca="false">cxit_open</f>
        <v>27.5918995</v>
      </c>
      <c r="F8968" s="8" t="n">
        <f aca="false">(a_g3_27*tk_cxit_gb300+(1-a_g3_27)*tk_cxit_vr200)</f>
        <v>33.8419624</v>
      </c>
      <c r="G8968" s="8" t="n">
        <f aca="false">(a_g3_28*tk_cxit_gb300+(1-a_g3_28)*tk_cxit_vr200)</f>
        <v>35.9816136</v>
      </c>
      <c r="H8968" s="8" t="n">
        <f aca="false">(a_g3_29*tk_cxit_gb300+(1-a_g3_29)*tk_cxit_vr200)</f>
        <v>37.0514392</v>
      </c>
      <c r="I8968" s="8" t="n">
        <f aca="false">(a_g3_29*tk_cxit_gb300+(1-a_g3_29)*tk_cxit_vr200)</f>
        <v>37.0514392</v>
      </c>
      <c r="J8968" s="8" t="n">
        <f aca="false">(a_g3_29*tk_cxit_gb300+(1-a_g3_29)*tk_cxit_vr200)</f>
        <v>37.0514392</v>
      </c>
      <c r="K8968" s="8" t="n">
        <f aca="false">(a_g3_29*tk_cxit_gb300+(1-a_g3_29)*tk_cxit_vr200)</f>
        <v>37.0514392</v>
      </c>
      <c r="L8968" s="11" t="s">
        <v>749</v>
      </c>
    </row>
    <row r="8969" customFormat="false" ht="17.15" hidden="false" customHeight="false" outlineLevel="0" collapsed="false">
      <c r="A8969" s="0" t="s">
        <v>750</v>
      </c>
      <c r="B8969" s="0" t="s">
        <v>340</v>
      </c>
      <c r="F8969" s="27" t="n">
        <f aca="false">Sens!C8951*IF(3=life_it,1,0)+Sens!D8951*IF(2=life_it,1,0)+Sens!E8951*IF(1=life_it,1,0)</f>
        <v>0</v>
      </c>
      <c r="G8969" s="27" t="n">
        <f aca="false">Sens!C8951*IF(4=life_it,1,0)+Sens!D8951*IF(3=life_it,1,0)+Sens!E8951*IF(2=life_it,1,0)+Sens!F8951*IF(1=life_it,1,0)</f>
        <v>0</v>
      </c>
      <c r="H8969" s="27" t="n">
        <f aca="false">Sens!C8951*IF(5=life_it,1,0)+Sens!D8951*IF(4=life_it,1,0)+Sens!E8951*IF(3=life_it,1,0)+Sens!F8951*IF(2=life_it,1,0)+Sens!G8951*IF(1=life_it,1,0)</f>
        <v>0</v>
      </c>
      <c r="I8969" s="27" t="n">
        <f aca="false">Sens!C8951*IF(6=life_it,1,0)+Sens!D8951*IF(5=life_it,1,0)+Sens!E8951*IF(4=life_it,1,0)+Sens!F8951*IF(3=life_it,1,0)+Sens!G8951*IF(2=life_it,1,0)+Sens!H8951*IF(1=life_it,1,0)</f>
        <v>816.666666666667</v>
      </c>
      <c r="J8969" s="27" t="n">
        <f aca="false">Sens!C8951*IF(7=life_it,1,0)+Sens!D8951*IF(6=life_it,1,0)+Sens!E8951*IF(5=life_it,1,0)+Sens!F8951*IF(4=life_it,1,0)+Sens!G8951*IF(3=life_it,1,0)+Sens!H8951*IF(2=life_it,1,0)+Sens!I8951*IF(1=life_it,1,0)</f>
        <v>1233.33333333333</v>
      </c>
      <c r="K8969" s="27" t="n">
        <f aca="false">Sens!C8951*IF(8=life_it,1,0)+Sens!D8951*IF(7=life_it,1,0)+Sens!E8951*IF(6=life_it,1,0)+Sens!F8951*IF(5=life_it,1,0)+Sens!G8951*IF(4=life_it,1,0)+Sens!H8951*IF(3=life_it,1,0)+Sens!I8951*IF(2=life_it,1,0)+Sens!J8951*IF(1=life_it,1,0)</f>
        <v>2450</v>
      </c>
      <c r="L8969" s="1" t="s">
        <v>751</v>
      </c>
    </row>
    <row r="8970" customFormat="false" ht="17.15" hidden="false" customHeight="false" outlineLevel="0" collapsed="false">
      <c r="A8970" s="0" t="s">
        <v>752</v>
      </c>
      <c r="B8970" s="0" t="s">
        <v>95</v>
      </c>
      <c r="C8970" s="6" t="n">
        <f aca="false">Sens!C8951*Sens!C8968/1000</f>
        <v>22.5333845916667</v>
      </c>
      <c r="D8970" s="6" t="n">
        <f aca="false">Sens!D8951*Sens!D8968/1000</f>
        <v>34.0300093833333</v>
      </c>
      <c r="E8970" s="6" t="n">
        <f aca="false">Sens!E8951*Sens!E8968/1000</f>
        <v>67.600153775</v>
      </c>
      <c r="F8970" s="6" t="n">
        <f aca="false">(Sens!F8951+Sens!F8969)*Sens!F8968/1000</f>
        <v>130.923271871467</v>
      </c>
      <c r="G8970" s="6" t="n">
        <f aca="false">(Sens!G8951+Sens!G8969)*Sens!G8968/1000</f>
        <v>151.5545564832</v>
      </c>
      <c r="H8970" s="6" t="n">
        <f aca="false">(Sens!H8951+Sens!H8969)*Sens!H8968/1000</f>
        <v>156.0606619104</v>
      </c>
      <c r="I8970" s="6" t="n">
        <f aca="false">(Sens!I8951+Sens!I8969)*Sens!I8968/1000</f>
        <v>186.319337257067</v>
      </c>
      <c r="J8970" s="6" t="n">
        <f aca="false">(Sens!J8951+Sens!J8969)*Sens!J8968/1000</f>
        <v>201.757436923733</v>
      </c>
      <c r="K8970" s="6" t="n">
        <f aca="false">(Sens!K8951+Sens!K8969)*Sens!K8968/1000</f>
        <v>246.8366879504</v>
      </c>
    </row>
    <row r="8971" customFormat="false" ht="17.15" hidden="false" customHeight="false" outlineLevel="0" collapsed="false">
      <c r="A8971" s="0" t="s">
        <v>753</v>
      </c>
      <c r="B8971" s="0" t="s">
        <v>95</v>
      </c>
      <c r="C8971" s="6" t="n">
        <f aca="false">Sens!C8951*self_build*tk_cxfac/1000</f>
        <v>6.2083</v>
      </c>
      <c r="D8971" s="6" t="n">
        <f aca="false">Sens!D8951*self_build*tk_cxfac/1000</f>
        <v>9.3758</v>
      </c>
      <c r="E8971" s="6" t="n">
        <f aca="false">Sens!E8951*self_build*tk_cxfac/1000</f>
        <v>18.6249</v>
      </c>
      <c r="F8971" s="6" t="n">
        <f aca="false">Sens!F8951*self_build*tk_cxfac/1000</f>
        <v>29.409604</v>
      </c>
      <c r="G8971" s="6" t="n">
        <f aca="false">Sens!G8951*self_build*tk_cxfac/1000</f>
        <v>32.019624</v>
      </c>
      <c r="H8971" s="6" t="n">
        <f aca="false">Sens!H8951*self_build*tk_cxfac/1000</f>
        <v>32.019624</v>
      </c>
      <c r="I8971" s="6" t="n">
        <f aca="false">Sens!I8951*self_build*tk_cxfac/1000</f>
        <v>32.019624</v>
      </c>
      <c r="J8971" s="6" t="n">
        <f aca="false">Sens!J8951*self_build*tk_cxfac/1000</f>
        <v>32.019624</v>
      </c>
      <c r="K8971" s="6" t="n">
        <f aca="false">Sens!K8951*self_build*tk_cxfac/1000</f>
        <v>32.019624</v>
      </c>
    </row>
    <row r="8972" customFormat="false" ht="17.15" hidden="false" customHeight="false" outlineLevel="0" collapsed="false">
      <c r="A8972" s="0" t="s">
        <v>754</v>
      </c>
      <c r="B8972" s="0" t="s">
        <v>95</v>
      </c>
      <c r="F8972" s="6" t="n">
        <f aca="false">MAX(0,capex_floor27-Sens!F8970-Sens!F8971-Sens!F9059)</f>
        <v>8.13450839897089</v>
      </c>
      <c r="G8972" s="6" t="n">
        <f aca="false">0</f>
        <v>0</v>
      </c>
      <c r="H8972" s="6" t="n">
        <f aca="false">0</f>
        <v>0</v>
      </c>
      <c r="I8972" s="6" t="n">
        <f aca="false">0</f>
        <v>0</v>
      </c>
      <c r="J8972" s="6" t="n">
        <f aca="false">0</f>
        <v>0</v>
      </c>
      <c r="K8972" s="6" t="n">
        <f aca="false">0</f>
        <v>0</v>
      </c>
      <c r="L8972" s="1" t="s">
        <v>755</v>
      </c>
    </row>
    <row r="8973" customFormat="false" ht="17.15" hidden="false" customHeight="false" outlineLevel="0" collapsed="false">
      <c r="A8973" s="0" t="s">
        <v>756</v>
      </c>
      <c r="B8973" s="0" t="s">
        <v>95</v>
      </c>
      <c r="C8973" s="6" t="n">
        <f aca="false">Sens!C8970</f>
        <v>22.5333845916667</v>
      </c>
      <c r="D8973" s="6" t="n">
        <f aca="false">Sens!D8970</f>
        <v>34.0300093833333</v>
      </c>
      <c r="E8973" s="6" t="n">
        <f aca="false">Sens!E8970</f>
        <v>67.600153775</v>
      </c>
      <c r="F8973" s="6" t="n">
        <f aca="false">Sens!F8970+Sens!F8972</f>
        <v>139.057780270438</v>
      </c>
      <c r="G8973" s="6" t="n">
        <f aca="false">Sens!G8970+Sens!G8972</f>
        <v>151.5545564832</v>
      </c>
      <c r="H8973" s="6" t="n">
        <f aca="false">Sens!H8970+Sens!H8972</f>
        <v>156.0606619104</v>
      </c>
      <c r="I8973" s="6" t="n">
        <f aca="false">Sens!I8970+Sens!I8972</f>
        <v>186.319337257067</v>
      </c>
      <c r="J8973" s="6" t="n">
        <f aca="false">Sens!J8970+Sens!J8972</f>
        <v>201.757436923733</v>
      </c>
      <c r="K8973" s="6" t="n">
        <f aca="false">Sens!K8970+Sens!K8972</f>
        <v>246.8366879504</v>
      </c>
    </row>
    <row r="8974" customFormat="false" ht="17.15" hidden="false" customHeight="false" outlineLevel="0" collapsed="false">
      <c r="A8974" s="0" t="s">
        <v>757</v>
      </c>
      <c r="B8974" s="0" t="s">
        <v>95</v>
      </c>
      <c r="C8974" s="6" t="n">
        <f aca="false">Sens!C8973+Sens!C8971</f>
        <v>28.7416845916667</v>
      </c>
      <c r="D8974" s="6" t="n">
        <f aca="false">Sens!D8973+Sens!D8971</f>
        <v>43.4058093833333</v>
      </c>
      <c r="E8974" s="6" t="n">
        <f aca="false">Sens!E8973+Sens!E8971</f>
        <v>86.225053775</v>
      </c>
      <c r="F8974" s="6" t="n">
        <f aca="false">Sens!F8973+Sens!F8971</f>
        <v>168.467384270438</v>
      </c>
      <c r="G8974" s="6" t="n">
        <f aca="false">Sens!G8973+Sens!G8971</f>
        <v>183.5741804832</v>
      </c>
      <c r="H8974" s="6" t="n">
        <f aca="false">Sens!H8973+Sens!H8971</f>
        <v>188.0802859104</v>
      </c>
      <c r="I8974" s="6" t="n">
        <f aca="false">Sens!I8973+Sens!I8971</f>
        <v>218.338961257067</v>
      </c>
      <c r="J8974" s="6" t="n">
        <f aca="false">Sens!J8973+Sens!J8971</f>
        <v>233.777060923733</v>
      </c>
      <c r="K8974" s="6" t="n">
        <f aca="false">Sens!K8973+Sens!K8971</f>
        <v>278.8563119504</v>
      </c>
      <c r="L8974" s="11" t="s">
        <v>758</v>
      </c>
    </row>
    <row r="8975" customFormat="false" ht="17.15" hidden="false" customHeight="false" outlineLevel="0" collapsed="false">
      <c r="A8975" s="0" t="s">
        <v>759</v>
      </c>
      <c r="B8975" s="0" t="s">
        <v>95</v>
      </c>
      <c r="E8975" s="6" t="n">
        <f aca="false">(Sens!C8973*IF(2&lt;life_it,1,IF(2=life_it,0.5,0))+Sens!D8973*IF(1&lt;life_it,1,IF(1=life_it,0.5,0))+Sens!E8973*0.5)/life_it</f>
        <v>15.0605784770833</v>
      </c>
      <c r="F8975" s="6" t="n">
        <f aca="false">(Sens!C8973*IF(3&lt;life_it,1,IF(3=life_it,0.5,0))+Sens!D8973*IF(2&lt;life_it,1,IF(2=life_it,0.5,0))+Sens!E8973*IF(1&lt;life_it,1,IF(1=life_it,0.5,0))+Sens!F8973*0.5)/life_it</f>
        <v>32.2820729808698</v>
      </c>
      <c r="G8975" s="6" t="n">
        <f aca="false">(Sens!C8973*IF(4&lt;life_it,1,IF(4=life_it,0.5,0))+Sens!D8973*IF(3&lt;life_it,1,IF(3=life_it,0.5,0))+Sens!E8973*IF(2&lt;life_it,1,IF(2=life_it,0.5,0))+Sens!F8973*IF(1&lt;life_it,1,IF(1=life_it,0.5,0))+Sens!G8973*0.5)/life_it</f>
        <v>56.4997677103396</v>
      </c>
      <c r="H8975" s="6" t="n">
        <f aca="false">(Sens!C8973*IF(5&lt;life_it,1,IF(5=life_it,0.5,0))+Sens!D8973*IF(4&lt;life_it,1,IF(4=life_it,0.5,0))+Sens!E8973*IF(3&lt;life_it,1,IF(3=life_it,0.5,0))+Sens!F8973*IF(2&lt;life_it,1,IF(2=life_it,0.5,0))+Sens!G8973*IF(1&lt;life_it,1,IF(1=life_it,0.5,0))+Sens!H8973*0.5)/life_it</f>
        <v>82.1343692431396</v>
      </c>
      <c r="I8975" s="6" t="n">
        <f aca="false">(Sens!C8973*IF(6&lt;life_it,1,IF(6=life_it,0.5,0))+Sens!D8973*IF(5&lt;life_it,1,IF(5=life_it,0.5,0))+Sens!E8973*IF(4&lt;life_it,1,IF(4=life_it,0.5,0))+Sens!F8973*IF(3&lt;life_it,1,IF(3=life_it,0.5,0))+Sens!G8973*IF(2&lt;life_it,1,IF(2=life_it,0.5,0))+Sens!H8973*IF(1&lt;life_it,1,IF(1=life_it,0.5,0))+Sens!I8973*0.5)/life_it</f>
        <v>108.788253791123</v>
      </c>
      <c r="J8975" s="6" t="n">
        <f aca="false">(Sens!C8973*IF(7&lt;life_it,1,IF(7=life_it,0.5,0))+Sens!D8973*IF(6&lt;life_it,1,IF(6=life_it,0.5,0))+Sens!E8973*IF(5&lt;life_it,1,IF(5=life_it,0.5,0))+Sens!F8973*IF(4&lt;life_it,1,IF(4=life_it,0.5,0))+Sens!G8973*IF(3&lt;life_it,1,IF(3=life_it,0.5,0))+Sens!H8973*IF(2&lt;life_it,1,IF(2=life_it,0.5,0))+Sens!I8973*IF(1&lt;life_it,1,IF(1=life_it,0.5,0))+Sens!J8973*0.5)/life_it</f>
        <v>136.414368808273</v>
      </c>
      <c r="K8975" s="6" t="n">
        <f aca="false">(Sens!C8973*IF(8&lt;life_it,1,IF(8=life_it,0.5,0))+Sens!D8973*IF(7&lt;life_it,1,IF(7=life_it,0.5,0))+Sens!E8973*IF(6&lt;life_it,1,IF(6=life_it,0.5,0))+Sens!F8973*IF(5&lt;life_it,1,IF(5=life_it,0.5,0))+Sens!G8973*IF(4&lt;life_it,1,IF(4=life_it,0.5,0))+Sens!H8973*IF(3&lt;life_it,1,IF(3=life_it,0.5,0))+Sens!I8973*IF(2&lt;life_it,1,IF(2=life_it,0.5,0))+Sens!J8973*IF(1&lt;life_it,1,IF(1=life_it,0.5,0))+Sens!K8973*0.5)/life_it</f>
        <v>165.32803228459</v>
      </c>
    </row>
    <row r="8976" customFormat="false" ht="17.15" hidden="false" customHeight="false" outlineLevel="0" collapsed="false">
      <c r="A8976" s="0" t="s">
        <v>760</v>
      </c>
      <c r="B8976" s="0" t="s">
        <v>95</v>
      </c>
      <c r="E8976" s="6" t="n">
        <f aca="false">(Sens!C8971*IF(2&lt;life_fac,1,IF(2=life_fac,0.5,0))+Sens!D8971*IF(1&lt;life_fac,1,IF(1=life_fac,0.5,0))+Sens!E8971*0.5)/life_fac</f>
        <v>1.2448275</v>
      </c>
      <c r="F8976" s="6" t="n">
        <f aca="false">(Sens!C8971*IF(3&lt;life_fac,1,IF(3=life_fac,0.5,0))+Sens!D8971*IF(2&lt;life_fac,1,IF(2=life_fac,0.5,0))+Sens!E8971*IF(1&lt;life_fac,1,IF(1=life_fac,0.5,0))+Sens!F8971*0.5)/life_fac</f>
        <v>2.4456901</v>
      </c>
      <c r="G8976" s="6" t="n">
        <f aca="false">(Sens!C8971*IF(4&lt;life_fac,1,IF(4=life_fac,0.5,0))+Sens!D8971*IF(3&lt;life_fac,1,IF(3=life_fac,0.5,0))+Sens!E8971*IF(2&lt;life_fac,1,IF(2=life_fac,0.5,0))+Sens!F8971*IF(1&lt;life_fac,1,IF(1=life_fac,0.5,0))+Sens!G8971*0.5)/life_fac</f>
        <v>3.9814208</v>
      </c>
      <c r="H8976" s="6" t="n">
        <f aca="false">(Sens!C8971*IF(5&lt;life_fac,1,IF(5=life_fac,0.5,0))+Sens!D8971*IF(4&lt;life_fac,1,IF(4=life_fac,0.5,0))+Sens!E8971*IF(3&lt;life_fac,1,IF(3=life_fac,0.5,0))+Sens!F8971*IF(2&lt;life_fac,1,IF(2=life_fac,0.5,0))+Sens!G8971*IF(1&lt;life_fac,1,IF(1=life_fac,0.5,0))+Sens!H8971*0.5)/life_fac</f>
        <v>5.582402</v>
      </c>
      <c r="I8976" s="6" t="n">
        <f aca="false">(Sens!C8971*IF(6&lt;life_fac,1,IF(6=life_fac,0.5,0))+Sens!D8971*IF(5&lt;life_fac,1,IF(5=life_fac,0.5,0))+Sens!E8971*IF(4&lt;life_fac,1,IF(4=life_fac,0.5,0))+Sens!F8971*IF(3&lt;life_fac,1,IF(3=life_fac,0.5,0))+Sens!G8971*IF(2&lt;life_fac,1,IF(2=life_fac,0.5,0))+Sens!H8971*IF(1&lt;life_fac,1,IF(1=life_fac,0.5,0))+Sens!I8971*0.5)/life_fac</f>
        <v>7.1833832</v>
      </c>
      <c r="J8976" s="6" t="n">
        <f aca="false">(Sens!C8971*IF(7&lt;life_fac,1,IF(7=life_fac,0.5,0))+Sens!D8971*IF(6&lt;life_fac,1,IF(6=life_fac,0.5,0))+Sens!E8971*IF(5&lt;life_fac,1,IF(5=life_fac,0.5,0))+Sens!F8971*IF(4&lt;life_fac,1,IF(4=life_fac,0.5,0))+Sens!G8971*IF(3&lt;life_fac,1,IF(3=life_fac,0.5,0))+Sens!H8971*IF(2&lt;life_fac,1,IF(2=life_fac,0.5,0))+Sens!I8971*IF(1&lt;life_fac,1,IF(1=life_fac,0.5,0))+Sens!J8971*0.5)/life_fac</f>
        <v>8.7843644</v>
      </c>
      <c r="K8976" s="6" t="n">
        <f aca="false">(Sens!C8971*IF(8&lt;life_fac,1,IF(8=life_fac,0.5,0))+Sens!D8971*IF(7&lt;life_fac,1,IF(7=life_fac,0.5,0))+Sens!E8971*IF(6&lt;life_fac,1,IF(6=life_fac,0.5,0))+Sens!F8971*IF(5&lt;life_fac,1,IF(5=life_fac,0.5,0))+Sens!G8971*IF(4&lt;life_fac,1,IF(4=life_fac,0.5,0))+Sens!H8971*IF(3&lt;life_fac,1,IF(3=life_fac,0.5,0))+Sens!I8971*IF(2&lt;life_fac,1,IF(2=life_fac,0.5,0))+Sens!J8971*IF(1&lt;life_fac,1,IF(1=life_fac,0.5,0))+Sens!K8971*0.5)/life_fac</f>
        <v>10.3853456</v>
      </c>
    </row>
    <row r="8977" customFormat="false" ht="17.15" hidden="false" customHeight="false" outlineLevel="0" collapsed="false">
      <c r="A8977" s="0" t="s">
        <v>761</v>
      </c>
      <c r="B8977" s="0" t="s">
        <v>95</v>
      </c>
      <c r="E8977" s="6" t="n">
        <f aca="false">Sens!E8975+Sens!E8976</f>
        <v>16.3054059770833</v>
      </c>
      <c r="F8977" s="6" t="n">
        <f aca="false">Sens!F8975+Sens!F8976</f>
        <v>34.7277630808698</v>
      </c>
      <c r="G8977" s="6" t="n">
        <f aca="false">Sens!G8975+Sens!G8976</f>
        <v>60.4811885103396</v>
      </c>
      <c r="H8977" s="6" t="n">
        <f aca="false">Sens!H8975+Sens!H8976</f>
        <v>87.7167712431396</v>
      </c>
      <c r="I8977" s="6" t="n">
        <f aca="false">Sens!I8975+Sens!I8976</f>
        <v>115.971636991123</v>
      </c>
      <c r="J8977" s="6" t="n">
        <f aca="false">Sens!J8975+Sens!J8976</f>
        <v>145.198733208273</v>
      </c>
      <c r="K8977" s="6" t="n">
        <f aca="false">Sens!K8975+Sens!K8976</f>
        <v>175.71337788459</v>
      </c>
    </row>
    <row r="8978" customFormat="false" ht="17.15" hidden="false" customHeight="false" outlineLevel="0" collapsed="false">
      <c r="A8978" s="0" t="s">
        <v>762</v>
      </c>
      <c r="B8978" s="0" t="s">
        <v>95</v>
      </c>
      <c r="E8978" s="6" t="n">
        <f aca="false">Sens!E8966-Sens!E8965*Sens!E8977</f>
        <v>8.92707889977379</v>
      </c>
      <c r="F8978" s="6" t="n">
        <f aca="false">Sens!F8966-Sens!F8965*Sens!F8977</f>
        <v>22.2911955562152</v>
      </c>
      <c r="G8978" s="6" t="n">
        <f aca="false">Sens!G8966-Sens!G8965*Sens!G8977</f>
        <v>42.1825892737015</v>
      </c>
      <c r="H8978" s="6" t="n">
        <f aca="false">Sens!H8966-Sens!H8965*Sens!H8977</f>
        <v>67.5395615153351</v>
      </c>
      <c r="I8978" s="6" t="n">
        <f aca="false">Sens!I8966-Sens!I8965*Sens!I8977</f>
        <v>86.5037317752897</v>
      </c>
      <c r="J8978" s="6" t="n">
        <f aca="false">Sens!J8966-Sens!J8965*Sens!J8977</f>
        <v>104.977634999687</v>
      </c>
      <c r="K8978" s="6" t="n">
        <f aca="false">Sens!K8966-Sens!K8965*Sens!K8977</f>
        <v>122.733758486425</v>
      </c>
    </row>
    <row r="8979" customFormat="false" ht="17.15" hidden="false" customHeight="false" outlineLevel="0" collapsed="false">
      <c r="A8979" s="3" t="s">
        <v>1370</v>
      </c>
    </row>
    <row r="8980" customFormat="false" ht="15" hidden="false" customHeight="false" outlineLevel="0" collapsed="false">
      <c r="A8980" s="4" t="s">
        <v>43</v>
      </c>
      <c r="B8980" s="4" t="s">
        <v>63</v>
      </c>
      <c r="C8980" s="19" t="s">
        <v>710</v>
      </c>
      <c r="D8980" s="19" t="s">
        <v>711</v>
      </c>
      <c r="E8980" s="19" t="s">
        <v>712</v>
      </c>
      <c r="F8980" s="19" t="s">
        <v>713</v>
      </c>
      <c r="G8980" s="19" t="s">
        <v>714</v>
      </c>
      <c r="H8980" s="19" t="s">
        <v>715</v>
      </c>
      <c r="I8980" s="19" t="s">
        <v>716</v>
      </c>
      <c r="J8980" s="19" t="s">
        <v>717</v>
      </c>
      <c r="K8980" s="19" t="s">
        <v>718</v>
      </c>
      <c r="L8980" s="4" t="s">
        <v>47</v>
      </c>
    </row>
    <row r="8981" customFormat="false" ht="17.15" hidden="false" customHeight="false" outlineLevel="0" collapsed="false">
      <c r="A8981" s="0" t="s">
        <v>780</v>
      </c>
      <c r="B8981" s="0" t="s">
        <v>95</v>
      </c>
      <c r="D8981" s="6" t="n">
        <f aca="false">Sens!D8960</f>
        <v>12.9359794422418</v>
      </c>
      <c r="E8981" s="6" t="n">
        <f aca="false">Sens!E8960</f>
        <v>27.8095064661409</v>
      </c>
      <c r="F8981" s="6" t="n">
        <f aca="false">Sens!F8960</f>
        <v>58.7324192305018</v>
      </c>
      <c r="G8981" s="6" t="n">
        <f aca="false">Sens!G8960</f>
        <v>101.369089141153</v>
      </c>
      <c r="H8981" s="6" t="n">
        <f aca="false">Sens!H8960</f>
        <v>149.785610014234</v>
      </c>
      <c r="I8981" s="6" t="n">
        <f aca="false">Sens!I8960</f>
        <v>192.439389583079</v>
      </c>
      <c r="J8981" s="6" t="n">
        <f aca="false">Sens!J8960</f>
        <v>235.195906491722</v>
      </c>
      <c r="K8981" s="6" t="n">
        <f aca="false">Sens!K8960</f>
        <v>278.012858836343</v>
      </c>
    </row>
    <row r="8982" customFormat="false" ht="17.15" hidden="false" customHeight="false" outlineLevel="0" collapsed="false">
      <c r="A8982" s="0" t="s">
        <v>781</v>
      </c>
      <c r="B8982" s="0" t="s">
        <v>95</v>
      </c>
      <c r="D8982" s="6" t="n">
        <f aca="false">Q!L6-Sens!D8981</f>
        <v>59.6740205577583</v>
      </c>
      <c r="E8982" s="6" t="n">
        <f aca="false">Q!M6-Sens!E8981</f>
        <v>74.1284935338591</v>
      </c>
      <c r="F8982" s="6" t="n">
        <f aca="false">Sens!E8982*(1+Sens!F8983)</f>
        <v>90.0799497373663</v>
      </c>
      <c r="G8982" s="6" t="n">
        <f aca="false">Sens!F8982*(1+Sens!G8983)</f>
        <v>107.02842520331</v>
      </c>
      <c r="H8982" s="6" t="n">
        <f aca="false">Sens!G8982*(1+Sens!H8983)</f>
        <v>124.271982585636</v>
      </c>
      <c r="I8982" s="6" t="n">
        <f aca="false">Sens!H8982*(1+Sens!I8983)</f>
        <v>140.933702381855</v>
      </c>
      <c r="J8982" s="6" t="n">
        <f aca="false">Sens!I8982*(1+Sens!J8983)</f>
        <v>156.018867314332</v>
      </c>
      <c r="K8982" s="6" t="n">
        <f aca="false">Sens!J8982*(1+Sens!K8983)</f>
        <v>168.500376699478</v>
      </c>
    </row>
    <row r="8983" customFormat="false" ht="15" hidden="false" customHeight="false" outlineLevel="0" collapsed="false">
      <c r="A8983" s="1" t="s">
        <v>782</v>
      </c>
      <c r="B8983" s="0" t="s">
        <v>126</v>
      </c>
      <c r="E8983" s="7" t="n">
        <f aca="false">Sens!E8982/Sens!D8982-1</f>
        <v>0.242223883039864</v>
      </c>
      <c r="F8983" s="7" t="n">
        <f aca="false">Sens!$E$8983+(glt_azo-Sens!$E$8983)*MIN(1,1/n_conv)</f>
        <v>0.215186569199887</v>
      </c>
      <c r="G8983" s="7" t="n">
        <f aca="false">Sens!$E$8983+(glt_azo-Sens!$E$8983)*MIN(1,2/n_conv)</f>
        <v>0.18814925535991</v>
      </c>
      <c r="H8983" s="7" t="n">
        <f aca="false">Sens!$E$8983+(glt_azo-Sens!$E$8983)*MIN(1,3/n_conv)</f>
        <v>0.161111941519932</v>
      </c>
      <c r="I8983" s="7" t="n">
        <f aca="false">Sens!$E$8983+(glt_azo-Sens!$E$8983)*MIN(1,4/n_conv)</f>
        <v>0.134074627679955</v>
      </c>
      <c r="J8983" s="7" t="n">
        <f aca="false">Sens!$E$8983+(glt_azo-Sens!$E$8983)*MIN(1,5/n_conv)</f>
        <v>0.107037313839977</v>
      </c>
      <c r="K8983" s="7" t="n">
        <f aca="false">Sens!$E$8983+(glt_azo-Sens!$E$8983)*MIN(1,6/n_conv)</f>
        <v>0.08</v>
      </c>
    </row>
    <row r="8984" customFormat="false" ht="15" hidden="false" customHeight="false" outlineLevel="0" collapsed="false">
      <c r="A8984" s="0" t="s">
        <v>783</v>
      </c>
      <c r="B8984" s="0" t="s">
        <v>95</v>
      </c>
      <c r="D8984" s="6" t="n">
        <f aca="false">Sens!D8981+Sens!D8982</f>
        <v>72.61</v>
      </c>
      <c r="E8984" s="6" t="n">
        <f aca="false">Sens!E8981+Sens!E8982</f>
        <v>101.938</v>
      </c>
      <c r="F8984" s="6" t="n">
        <f aca="false">Sens!F8981+Sens!F8982</f>
        <v>148.812368967868</v>
      </c>
      <c r="G8984" s="6" t="n">
        <f aca="false">Sens!G8981+Sens!G8982</f>
        <v>208.397514344463</v>
      </c>
      <c r="H8984" s="6" t="n">
        <f aca="false">Sens!H8981+Sens!H8982</f>
        <v>274.05759259987</v>
      </c>
      <c r="I8984" s="6" t="n">
        <f aca="false">Sens!I8981+Sens!I8982</f>
        <v>333.373091964934</v>
      </c>
      <c r="J8984" s="6" t="n">
        <f aca="false">Sens!J8981+Sens!J8982</f>
        <v>391.214773806054</v>
      </c>
      <c r="K8984" s="6" t="n">
        <f aca="false">Sens!K8981+Sens!K8982</f>
        <v>446.513235535821</v>
      </c>
    </row>
    <row r="8985" customFormat="false" ht="17.15" hidden="false" customHeight="false" outlineLevel="0" collapsed="false">
      <c r="A8985" s="0" t="s">
        <v>784</v>
      </c>
      <c r="B8985" s="1" t="s">
        <v>451</v>
      </c>
      <c r="C8985" s="27" t="n">
        <f aca="false">cop_s24</f>
        <v>1</v>
      </c>
      <c r="D8985" s="27" t="n">
        <f aca="false">cop_s25</f>
        <v>5</v>
      </c>
      <c r="E8985" s="27" t="n">
        <f aca="false">cop_s26</f>
        <v>30</v>
      </c>
      <c r="F8985" s="27" t="n">
        <f aca="false">Sens!E8985+IF(2027&lt;=2029,cop_add_A,cop_add_A*cop_tail)</f>
        <v>60</v>
      </c>
      <c r="G8985" s="27" t="n">
        <f aca="false">Sens!F8985+IF(2028&lt;=2029,cop_add_A,cop_add_A*cop_tail)</f>
        <v>90</v>
      </c>
      <c r="H8985" s="27" t="n">
        <f aca="false">Sens!G8985+IF(2029&lt;=2029,cop_add_A,cop_add_A*cop_tail)</f>
        <v>120</v>
      </c>
      <c r="I8985" s="27" t="n">
        <f aca="false">Sens!H8985+IF(2030&lt;=2029,cop_add_A,cop_add_A*cop_tail)</f>
        <v>135</v>
      </c>
      <c r="J8985" s="27" t="n">
        <f aca="false">Sens!I8985+IF(2031&lt;=2029,cop_add_A,cop_add_A*cop_tail)</f>
        <v>150</v>
      </c>
      <c r="K8985" s="27" t="n">
        <f aca="false">Sens!J8985+IF(2032&lt;=2029,cop_add_A,cop_add_A*cop_tail)</f>
        <v>165</v>
      </c>
    </row>
    <row r="8986" customFormat="false" ht="17.15" hidden="false" customHeight="false" outlineLevel="0" collapsed="false">
      <c r="A8986" s="0" t="s">
        <v>785</v>
      </c>
      <c r="B8986" s="0" t="s">
        <v>95</v>
      </c>
      <c r="D8986" s="6" t="n">
        <f aca="false">(Sens!C8985+Sens!D8985)/2*cop_px*12/1000</f>
        <v>0.9</v>
      </c>
      <c r="E8986" s="6" t="n">
        <f aca="false">(Sens!D8985+Sens!E8985)/2*cop_px*12/1000</f>
        <v>5.25</v>
      </c>
      <c r="F8986" s="6" t="n">
        <f aca="false">(Sens!E8985+Sens!F8985)/2*cop_px*12/1000</f>
        <v>13.5</v>
      </c>
      <c r="G8986" s="6" t="n">
        <f aca="false">(Sens!F8985+Sens!G8985)/2*cop_px*12/1000</f>
        <v>22.5</v>
      </c>
      <c r="H8986" s="6" t="n">
        <f aca="false">(Sens!G8985+Sens!H8985)/2*cop_px*12/1000</f>
        <v>31.5</v>
      </c>
      <c r="I8986" s="6" t="n">
        <f aca="false">(Sens!H8985+Sens!I8985)/2*cop_px*12/1000</f>
        <v>38.25</v>
      </c>
      <c r="J8986" s="6" t="n">
        <f aca="false">(Sens!I8985+Sens!J8985)/2*cop_px*12/1000</f>
        <v>42.75</v>
      </c>
      <c r="K8986" s="6" t="n">
        <f aca="false">(Sens!J8985+Sens!K8985)/2*cop_px*12/1000</f>
        <v>47.25</v>
      </c>
      <c r="L8986" s="1" t="s">
        <v>786</v>
      </c>
    </row>
    <row r="8987" customFormat="false" ht="17.15" hidden="false" customHeight="false" outlineLevel="0" collapsed="false">
      <c r="A8987" s="0" t="s">
        <v>787</v>
      </c>
      <c r="B8987" s="0" t="s">
        <v>95</v>
      </c>
      <c r="D8987" s="6" t="n">
        <f aca="false">Q!L7-Sens!D8986</f>
        <v>83.705</v>
      </c>
      <c r="E8987" s="6" t="n">
        <f aca="false">Q!M7-Sens!E8986</f>
        <v>95.049</v>
      </c>
      <c r="F8987" s="6" t="n">
        <f aca="false">Sens!E8987*(1+Sens!F8988)</f>
        <v>106.89238776686</v>
      </c>
      <c r="G8987" s="6" t="n">
        <f aca="false">Sens!F8987*(1+Sens!G8988)</f>
        <v>119.044168448684</v>
      </c>
      <c r="H8987" s="6" t="n">
        <f aca="false">Sens!G8987*(1+Sens!H8988)</f>
        <v>131.277359388781</v>
      </c>
      <c r="I8987" s="6" t="n">
        <f aca="false">Sens!H8987*(1+Sens!I8988)</f>
        <v>143.334028071957</v>
      </c>
      <c r="J8987" s="6" t="n">
        <f aca="false">Sens!I8987*(1+Sens!J8988)</f>
        <v>154.932702785465</v>
      </c>
      <c r="K8987" s="6" t="n">
        <f aca="false">Sens!J8987*(1+Sens!K8988)</f>
        <v>165.777991980448</v>
      </c>
    </row>
    <row r="8988" customFormat="false" ht="15" hidden="false" customHeight="false" outlineLevel="0" collapsed="false">
      <c r="A8988" s="1" t="s">
        <v>782</v>
      </c>
      <c r="B8988" s="0" t="s">
        <v>126</v>
      </c>
      <c r="E8988" s="7" t="n">
        <f aca="false">Sens!E8987/Sens!D8987-1</f>
        <v>0.135523564900544</v>
      </c>
      <c r="F8988" s="7" t="n">
        <f aca="false">Sens!$E$8988+(glt_m365b-Sens!$E$8988)*MIN(1,1/n_conv)</f>
        <v>0.124602970750453</v>
      </c>
      <c r="G8988" s="7" t="n">
        <f aca="false">Sens!$E$8988+(glt_m365b-Sens!$E$8988)*MIN(1,2/n_conv)</f>
        <v>0.113682376600363</v>
      </c>
      <c r="H8988" s="7" t="n">
        <f aca="false">Sens!$E$8988+(glt_m365b-Sens!$E$8988)*MIN(1,3/n_conv)</f>
        <v>0.102761782450272</v>
      </c>
      <c r="I8988" s="7" t="n">
        <f aca="false">Sens!$E$8988+(glt_m365b-Sens!$E$8988)*MIN(1,4/n_conv)</f>
        <v>0.0918411883001813</v>
      </c>
      <c r="J8988" s="7" t="n">
        <f aca="false">Sens!$E$8988+(glt_m365b-Sens!$E$8988)*MIN(1,5/n_conv)</f>
        <v>0.0809205941500906</v>
      </c>
      <c r="K8988" s="7" t="n">
        <f aca="false">Sens!$E$8988+(glt_m365b-Sens!$E$8988)*MIN(1,6/n_conv)</f>
        <v>0.07</v>
      </c>
    </row>
    <row r="8989" customFormat="false" ht="15" hidden="false" customHeight="false" outlineLevel="0" collapsed="false">
      <c r="A8989" s="0" t="s">
        <v>788</v>
      </c>
      <c r="B8989" s="0" t="s">
        <v>95</v>
      </c>
      <c r="D8989" s="6" t="n">
        <f aca="false">Sens!D8987+Sens!D8986</f>
        <v>84.605</v>
      </c>
      <c r="E8989" s="6" t="n">
        <f aca="false">Sens!E8987+Sens!E8986</f>
        <v>100.299</v>
      </c>
      <c r="F8989" s="6" t="n">
        <f aca="false">Sens!F8987+Sens!F8986</f>
        <v>120.39238776686</v>
      </c>
      <c r="G8989" s="6" t="n">
        <f aca="false">Sens!G8987+Sens!G8986</f>
        <v>141.544168448684</v>
      </c>
      <c r="H8989" s="6" t="n">
        <f aca="false">Sens!H8987+Sens!H8986</f>
        <v>162.777359388781</v>
      </c>
      <c r="I8989" s="6" t="n">
        <f aca="false">Sens!I8987+Sens!I8986</f>
        <v>181.584028071957</v>
      </c>
      <c r="J8989" s="6" t="n">
        <f aca="false">Sens!J8987+Sens!J8986</f>
        <v>197.682702785465</v>
      </c>
      <c r="K8989" s="6" t="n">
        <f aca="false">Sens!K8987+Sens!K8986</f>
        <v>213.027991980448</v>
      </c>
    </row>
    <row r="8990" customFormat="false" ht="15" hidden="false" customHeight="false" outlineLevel="0" collapsed="false">
      <c r="A8990" s="0" t="s">
        <v>789</v>
      </c>
      <c r="B8990" s="0" t="s">
        <v>95</v>
      </c>
      <c r="D8990" s="6" t="n">
        <f aca="false">Q!L8</f>
        <v>35.391</v>
      </c>
      <c r="E8990" s="6" t="n">
        <f aca="false">Q!M8</f>
        <v>37.285</v>
      </c>
      <c r="F8990" s="6" t="n">
        <f aca="false">Sens!E8990*(1+Sens!F8991)</f>
        <v>39.0720834331704</v>
      </c>
      <c r="G8990" s="6" t="n">
        <f aca="false">Sens!F8990*(1+Sens!G8991)</f>
        <v>40.726562953769</v>
      </c>
      <c r="H8990" s="6" t="n">
        <f aca="false">Sens!G8990*(1+Sens!H8991)</f>
        <v>42.2235987259198</v>
      </c>
      <c r="I8990" s="6" t="n">
        <f aca="false">Sens!H8990*(1+Sens!I8991)</f>
        <v>43.5397988077414</v>
      </c>
      <c r="J8990" s="6" t="n">
        <f aca="false">Sens!I8990*(1+Sens!J8991)</f>
        <v>44.653811225693</v>
      </c>
      <c r="K8990" s="6" t="n">
        <f aca="false">Sens!J8990*(1+Sens!K8991)</f>
        <v>45.5468874502068</v>
      </c>
    </row>
    <row r="8991" customFormat="false" ht="15" hidden="false" customHeight="false" outlineLevel="0" collapsed="false">
      <c r="A8991" s="1" t="s">
        <v>782</v>
      </c>
      <c r="B8991" s="0" t="s">
        <v>126</v>
      </c>
      <c r="E8991" s="7" t="n">
        <f aca="false">Sens!E8990/Sens!D8990-1</f>
        <v>0.0535164307309768</v>
      </c>
      <c r="F8991" s="7" t="n">
        <f aca="false">Sens!$E$8991+(glt_lic-Sens!$E$8991)*MIN(1,1/n_conv)</f>
        <v>0.0479303589424807</v>
      </c>
      <c r="G8991" s="7" t="n">
        <f aca="false">Sens!$E$8991+(glt_lic-Sens!$E$8991)*MIN(1,2/n_conv)</f>
        <v>0.0423442871539845</v>
      </c>
      <c r="H8991" s="7" t="n">
        <f aca="false">Sens!$E$8991+(glt_lic-Sens!$E$8991)*MIN(1,3/n_conv)</f>
        <v>0.0367582153654884</v>
      </c>
      <c r="I8991" s="7" t="n">
        <f aca="false">Sens!$E$8991+(glt_lic-Sens!$E$8991)*MIN(1,4/n_conv)</f>
        <v>0.0311721435769923</v>
      </c>
      <c r="J8991" s="7" t="n">
        <f aca="false">Sens!$E$8991+(glt_lic-Sens!$E$8991)*MIN(1,5/n_conv)</f>
        <v>0.0255860717884961</v>
      </c>
      <c r="K8991" s="7" t="n">
        <f aca="false">Sens!$E$8991+(glt_lic-Sens!$E$8991)*MIN(1,6/n_conv)</f>
        <v>0.02</v>
      </c>
    </row>
    <row r="8992" customFormat="false" ht="15" hidden="false" customHeight="false" outlineLevel="0" collapsed="false">
      <c r="A8992" s="0" t="s">
        <v>790</v>
      </c>
      <c r="B8992" s="0" t="s">
        <v>95</v>
      </c>
      <c r="D8992" s="6" t="n">
        <f aca="false">Q!L9</f>
        <v>18.417</v>
      </c>
      <c r="E8992" s="6" t="n">
        <f aca="false">Q!M9</f>
        <v>20.345</v>
      </c>
      <c r="F8992" s="6" t="n">
        <f aca="false">Sens!E8992*(1+Sens!F8993)</f>
        <v>22.3572203267814</v>
      </c>
      <c r="G8992" s="6" t="n">
        <f aca="false">Sens!F8992*(1+Sens!G8993)</f>
        <v>24.4392124437232</v>
      </c>
      <c r="H8992" s="6" t="n">
        <f aca="false">Sens!G8992*(1+Sens!H8993)</f>
        <v>26.5738052080665</v>
      </c>
      <c r="I8992" s="6" t="n">
        <f aca="false">Sens!H8992*(1+Sens!I8993)</f>
        <v>28.7412169166967</v>
      </c>
      <c r="J8992" s="6" t="n">
        <f aca="false">Sens!I8992*(1+Sens!J8993)</f>
        <v>30.9192545395413</v>
      </c>
      <c r="K8992" s="6" t="n">
        <f aca="false">Sens!J8992*(1+Sens!K8993)</f>
        <v>33.0836023573092</v>
      </c>
    </row>
    <row r="8993" customFormat="false" ht="15" hidden="false" customHeight="false" outlineLevel="0" collapsed="false">
      <c r="A8993" s="1" t="s">
        <v>782</v>
      </c>
      <c r="B8993" s="0" t="s">
        <v>126</v>
      </c>
      <c r="E8993" s="7" t="n">
        <f aca="false">Sens!E8992/Sens!D8992-1</f>
        <v>0.104685888038225</v>
      </c>
      <c r="F8993" s="7" t="n">
        <f aca="false">Sens!$E$8993+(glt_ind-Sens!$E$8993)*MIN(1,1/n_conv)</f>
        <v>0.0989049066985211</v>
      </c>
      <c r="G8993" s="7" t="n">
        <f aca="false">Sens!$E$8993+(glt_ind-Sens!$E$8993)*MIN(1,2/n_conv)</f>
        <v>0.0931239253588169</v>
      </c>
      <c r="H8993" s="7" t="n">
        <f aca="false">Sens!$E$8993+(glt_ind-Sens!$E$8993)*MIN(1,3/n_conv)</f>
        <v>0.0873429440191127</v>
      </c>
      <c r="I8993" s="7" t="n">
        <f aca="false">Sens!$E$8993+(glt_ind-Sens!$E$8993)*MIN(1,4/n_conv)</f>
        <v>0.0815619626794085</v>
      </c>
      <c r="J8993" s="7" t="n">
        <f aca="false">Sens!$E$8993+(glt_ind-Sens!$E$8993)*MIN(1,5/n_conv)</f>
        <v>0.0757809813397042</v>
      </c>
      <c r="K8993" s="7" t="n">
        <f aca="false">Sens!$E$8993+(glt_ind-Sens!$E$8993)*MIN(1,6/n_conv)</f>
        <v>0.07</v>
      </c>
    </row>
    <row r="8994" customFormat="false" ht="15" hidden="false" customHeight="false" outlineLevel="0" collapsed="false">
      <c r="A8994" s="0" t="s">
        <v>791</v>
      </c>
      <c r="B8994" s="0" t="s">
        <v>95</v>
      </c>
      <c r="D8994" s="6" t="n">
        <f aca="false">Q!L10</f>
        <v>7.76</v>
      </c>
      <c r="E8994" s="6" t="n">
        <f aca="false">Q!M10</f>
        <v>8.26</v>
      </c>
      <c r="F8994" s="6" t="n">
        <f aca="false">Sens!E8994*(1+Sens!F8995)</f>
        <v>8.79988041237113</v>
      </c>
      <c r="G8994" s="6" t="n">
        <f aca="false">Sens!F8994*(1+Sens!G8995)</f>
        <v>9.38321269125306</v>
      </c>
      <c r="H8994" s="6" t="n">
        <f aca="false">Sens!G8994*(1+Sens!H8995)</f>
        <v>10.0139193587476</v>
      </c>
      <c r="I8994" s="6" t="n">
        <f aca="false">Sens!H8994*(1+Sens!I8995)</f>
        <v>10.6963111830911</v>
      </c>
      <c r="J8994" s="6" t="n">
        <f aca="false">Sens!I8994*(1+Sens!J8995)</f>
        <v>11.4351285534696</v>
      </c>
      <c r="K8994" s="6" t="n">
        <f aca="false">Sens!J8994*(1+Sens!K8995)</f>
        <v>12.2355875522124</v>
      </c>
    </row>
    <row r="8995" customFormat="false" ht="15" hidden="false" customHeight="false" outlineLevel="0" collapsed="false">
      <c r="A8995" s="1" t="s">
        <v>782</v>
      </c>
      <c r="B8995" s="0" t="s">
        <v>126</v>
      </c>
      <c r="E8995" s="7" t="n">
        <f aca="false">Sens!E8994/Sens!D8994-1</f>
        <v>0.0644329896907216</v>
      </c>
      <c r="F8995" s="7" t="n">
        <f aca="false">Sens!$E$8995+(glt_fro-Sens!$E$8995)*MIN(1,1/n_conv)</f>
        <v>0.065360824742268</v>
      </c>
      <c r="G8995" s="7" t="n">
        <f aca="false">Sens!$E$8995+(glt_fro-Sens!$E$8995)*MIN(1,2/n_conv)</f>
        <v>0.0662886597938144</v>
      </c>
      <c r="H8995" s="7" t="n">
        <f aca="false">Sens!$E$8995+(glt_fro-Sens!$E$8995)*MIN(1,3/n_conv)</f>
        <v>0.0672164948453608</v>
      </c>
      <c r="I8995" s="7" t="n">
        <f aca="false">Sens!$E$8995+(glt_fro-Sens!$E$8995)*MIN(1,4/n_conv)</f>
        <v>0.0681443298969072</v>
      </c>
      <c r="J8995" s="7" t="n">
        <f aca="false">Sens!$E$8995+(glt_fro-Sens!$E$8995)*MIN(1,5/n_conv)</f>
        <v>0.0690721649484536</v>
      </c>
      <c r="K8995" s="7" t="n">
        <f aca="false">Sens!$E$8995+(glt_fro-Sens!$E$8995)*MIN(1,6/n_conv)</f>
        <v>0.07</v>
      </c>
    </row>
    <row r="8996" customFormat="false" ht="15" hidden="false" customHeight="false" outlineLevel="0" collapsed="false">
      <c r="A8996" s="0" t="s">
        <v>626</v>
      </c>
      <c r="B8996" s="0" t="s">
        <v>95</v>
      </c>
      <c r="D8996" s="6" t="n">
        <f aca="false">Sens!D8984+Sens!D8989+Sens!D8990+Sens!D8992+Sens!D8994</f>
        <v>218.783</v>
      </c>
      <c r="E8996" s="6" t="n">
        <f aca="false">Sens!E8984+Sens!E8989+Sens!E8990+Sens!E8992+Sens!E8994</f>
        <v>268.127</v>
      </c>
      <c r="F8996" s="6" t="n">
        <f aca="false">Sens!F8984+Sens!F8989+Sens!F8990+Sens!F8992+Sens!F8994</f>
        <v>339.433940907051</v>
      </c>
      <c r="G8996" s="6" t="n">
        <f aca="false">Sens!G8984+Sens!G8989+Sens!G8990+Sens!G8992+Sens!G8994</f>
        <v>424.490670881892</v>
      </c>
      <c r="H8996" s="6" t="n">
        <f aca="false">Sens!H8984+Sens!H8989+Sens!H8990+Sens!H8992+Sens!H8994</f>
        <v>515.646275281385</v>
      </c>
      <c r="I8996" s="6" t="n">
        <f aca="false">Sens!I8984+Sens!I8989+Sens!I8990+Sens!I8992+Sens!I8994</f>
        <v>597.93444694442</v>
      </c>
      <c r="J8996" s="6" t="n">
        <f aca="false">Sens!J8984+Sens!J8989+Sens!J8990+Sens!J8992+Sens!J8994</f>
        <v>675.905670910223</v>
      </c>
      <c r="K8996" s="6" t="n">
        <f aca="false">Sens!K8984+Sens!K8989+Sens!K8990+Sens!K8992+Sens!K8994</f>
        <v>750.407304875998</v>
      </c>
    </row>
    <row r="8997" customFormat="false" ht="15" hidden="false" customHeight="false" outlineLevel="0" collapsed="false">
      <c r="A8997" s="0" t="s">
        <v>792</v>
      </c>
      <c r="B8997" s="0" t="s">
        <v>95</v>
      </c>
      <c r="D8997" s="6" t="n">
        <f aca="false">Q!L13</f>
        <v>22.171</v>
      </c>
      <c r="E8997" s="6" t="n">
        <f aca="false">Q!M13</f>
        <v>24.835</v>
      </c>
      <c r="F8997" s="6" t="n">
        <f aca="false">Sens!E8997*(1+Sens!F8998)</f>
        <v>27.6114901218559</v>
      </c>
      <c r="G8997" s="6" t="n">
        <f aca="false">Sens!F8997*(1+Sens!G8998)</f>
        <v>30.4675667338515</v>
      </c>
      <c r="H8997" s="6" t="n">
        <f aca="false">Sens!G8997*(1+Sens!H8998)</f>
        <v>33.3643766955789</v>
      </c>
      <c r="I8997" s="6" t="n">
        <f aca="false">Sens!H8997*(1+Sens!I8998)</f>
        <v>36.2577016533691</v>
      </c>
      <c r="J8997" s="6" t="n">
        <f aca="false">Sens!I8997*(1+Sens!J8998)</f>
        <v>39.0988367952171</v>
      </c>
      <c r="K8997" s="6" t="n">
        <f aca="false">Sens!J8997*(1+Sens!K8998)</f>
        <v>41.8357553708823</v>
      </c>
    </row>
    <row r="8998" customFormat="false" ht="15" hidden="false" customHeight="false" outlineLevel="0" collapsed="false">
      <c r="A8998" s="1" t="s">
        <v>782</v>
      </c>
      <c r="B8998" s="0" t="s">
        <v>126</v>
      </c>
      <c r="E8998" s="7" t="n">
        <f aca="false">Sens!E8997/Sens!D8997-1</f>
        <v>0.120156961796942</v>
      </c>
      <c r="F8998" s="7" t="n">
        <f aca="false">Sens!$E$8998+(glt_srch-Sens!$E$8998)*MIN(1,1/n_conv)</f>
        <v>0.111797468164118</v>
      </c>
      <c r="G8998" s="7" t="n">
        <f aca="false">Sens!$E$8998+(glt_srch-Sens!$E$8998)*MIN(1,2/n_conv)</f>
        <v>0.103437974531295</v>
      </c>
      <c r="H8998" s="7" t="n">
        <f aca="false">Sens!$E$8998+(glt_srch-Sens!$E$8998)*MIN(1,3/n_conv)</f>
        <v>0.095078480898471</v>
      </c>
      <c r="I8998" s="7" t="n">
        <f aca="false">Sens!$E$8998+(glt_srch-Sens!$E$8998)*MIN(1,4/n_conv)</f>
        <v>0.0867189872656474</v>
      </c>
      <c r="J8998" s="7" t="n">
        <f aca="false">Sens!$E$8998+(glt_srch-Sens!$E$8998)*MIN(1,5/n_conv)</f>
        <v>0.0783594936328237</v>
      </c>
      <c r="K8998" s="7" t="n">
        <f aca="false">Sens!$E$8998+(glt_srch-Sens!$E$8998)*MIN(1,6/n_conv)</f>
        <v>0.07</v>
      </c>
    </row>
    <row r="8999" customFormat="false" ht="15" hidden="false" customHeight="false" outlineLevel="0" collapsed="false">
      <c r="A8999" s="0" t="s">
        <v>793</v>
      </c>
      <c r="B8999" s="0" t="s">
        <v>95</v>
      </c>
      <c r="D8999" s="6" t="n">
        <f aca="false">Q!L14</f>
        <v>23.455</v>
      </c>
      <c r="E8999" s="6" t="n">
        <f aca="false">Q!M14</f>
        <v>21.79</v>
      </c>
      <c r="F8999" s="6" t="n">
        <f aca="false">Sens!E8999*(1+Sens!F9000)</f>
        <v>20.6825777908051</v>
      </c>
      <c r="G8999" s="6" t="n">
        <f aca="false">Sens!F8999*(1+Sens!G9000)</f>
        <v>20.0484913708632</v>
      </c>
      <c r="H8999" s="6" t="n">
        <f aca="false">Sens!G8999*(1+Sens!H9000)</f>
        <v>19.8381125629905</v>
      </c>
      <c r="I8999" s="6" t="n">
        <f aca="false">Sens!H8999*(1+Sens!I9000)</f>
        <v>20.0299669735513</v>
      </c>
      <c r="J8999" s="6" t="n">
        <f aca="false">Sens!I8999*(1+Sens!J9000)</f>
        <v>20.6275710652887</v>
      </c>
      <c r="K8999" s="6" t="n">
        <f aca="false">Sens!J8999*(1+Sens!K9000)</f>
        <v>21.6589496185531</v>
      </c>
    </row>
    <row r="9000" customFormat="false" ht="15" hidden="false" customHeight="false" outlineLevel="0" collapsed="false">
      <c r="A9000" s="1" t="s">
        <v>782</v>
      </c>
      <c r="B9000" s="0" t="s">
        <v>126</v>
      </c>
      <c r="E9000" s="7" t="n">
        <f aca="false">Sens!E8999/Sens!D8999-1</f>
        <v>-0.0709869963760392</v>
      </c>
      <c r="F9000" s="7" t="n">
        <f aca="false">Sens!$E$9000+(glt_xbox_hi-Sens!$E$9000)*MIN(1,1/n_conv)</f>
        <v>-0.0508224969800327</v>
      </c>
      <c r="G9000" s="7" t="n">
        <f aca="false">Sens!$E$9000+(glt_xbox_hi-Sens!$E$9000)*MIN(1,2/n_conv)</f>
        <v>-0.0306579975840262</v>
      </c>
      <c r="H9000" s="7" t="n">
        <f aca="false">Sens!$E$9000+(glt_xbox_hi-Sens!$E$9000)*MIN(1,3/n_conv)</f>
        <v>-0.0104934981880196</v>
      </c>
      <c r="I9000" s="7" t="n">
        <f aca="false">Sens!$E$9000+(glt_xbox_hi-Sens!$E$9000)*MIN(1,4/n_conv)</f>
        <v>0.00967100120798692</v>
      </c>
      <c r="J9000" s="7" t="n">
        <f aca="false">Sens!$E$9000+(glt_xbox_hi-Sens!$E$9000)*MIN(1,5/n_conv)</f>
        <v>0.0298355006039935</v>
      </c>
      <c r="K9000" s="7" t="n">
        <f aca="false">Sens!$E$9000+(glt_xbox_hi-Sens!$E$9000)*MIN(1,6/n_conv)</f>
        <v>0.05</v>
      </c>
    </row>
    <row r="9001" customFormat="false" ht="15" hidden="false" customHeight="false" outlineLevel="0" collapsed="false">
      <c r="A9001" s="0" t="s">
        <v>794</v>
      </c>
      <c r="B9001" s="0" t="s">
        <v>95</v>
      </c>
      <c r="D9001" s="6" t="n">
        <f aca="false">Q!L15</f>
        <v>17.315</v>
      </c>
      <c r="E9001" s="6" t="n">
        <f aca="false">Q!M15</f>
        <v>17.087</v>
      </c>
      <c r="F9001" s="6" t="n">
        <f aca="false">Sens!E9001*(1+Sens!F9002)</f>
        <v>16.9564585436519</v>
      </c>
      <c r="G9001" s="6" t="n">
        <f aca="false">Sens!F9001*(1+Sens!G9002)</f>
        <v>16.9206490624268</v>
      </c>
      <c r="H9001" s="6" t="n">
        <f aca="false">Sens!G9001*(1+Sens!H9002)</f>
        <v>16.9784519149849</v>
      </c>
      <c r="I9001" s="6" t="n">
        <f aca="false">Sens!H9001*(1+Sens!I9002)</f>
        <v>17.1303084701817</v>
      </c>
      <c r="J9001" s="6" t="n">
        <f aca="false">Sens!I9001*(1+Sens!J9002)</f>
        <v>17.3782189407267</v>
      </c>
      <c r="K9001" s="6" t="n">
        <f aca="false">Sens!J9001*(1+Sens!K9002)</f>
        <v>17.7257833195413</v>
      </c>
    </row>
    <row r="9002" customFormat="false" ht="15" hidden="false" customHeight="false" outlineLevel="0" collapsed="false">
      <c r="A9002" s="1" t="s">
        <v>782</v>
      </c>
      <c r="B9002" s="0" t="s">
        <v>126</v>
      </c>
      <c r="E9002" s="7" t="n">
        <f aca="false">Sens!E9001/Sens!D9001-1</f>
        <v>-0.0131677736066995</v>
      </c>
      <c r="F9002" s="7" t="n">
        <f aca="false">Sens!$E$9002+(glt_win-Sens!$E$9002)*MIN(1,1/n_conv)</f>
        <v>-0.00763981133891627</v>
      </c>
      <c r="G9002" s="7" t="n">
        <f aca="false">Sens!$E$9002+(glt_win-Sens!$E$9002)*MIN(1,2/n_conv)</f>
        <v>-0.00211184907113301</v>
      </c>
      <c r="H9002" s="7" t="n">
        <f aca="false">Sens!$E$9002+(glt_win-Sens!$E$9002)*MIN(1,3/n_conv)</f>
        <v>0.00341611319665024</v>
      </c>
      <c r="I9002" s="7" t="n">
        <f aca="false">Sens!$E$9002+(glt_win-Sens!$E$9002)*MIN(1,4/n_conv)</f>
        <v>0.00894407546443349</v>
      </c>
      <c r="J9002" s="7" t="n">
        <f aca="false">Sens!$E$9002+(glt_win-Sens!$E$9002)*MIN(1,5/n_conv)</f>
        <v>0.0144720377322168</v>
      </c>
      <c r="K9002" s="7" t="n">
        <f aca="false">Sens!$E$9002+(glt_win-Sens!$E$9002)*MIN(1,6/n_conv)</f>
        <v>0.02</v>
      </c>
    </row>
    <row r="9003" customFormat="false" ht="15" hidden="false" customHeight="false" outlineLevel="0" collapsed="false">
      <c r="A9003" s="0" t="s">
        <v>640</v>
      </c>
      <c r="B9003" s="0" t="s">
        <v>95</v>
      </c>
      <c r="D9003" s="6" t="n">
        <f aca="false">Sens!D8997+Sens!D8999+Sens!D9001</f>
        <v>62.941</v>
      </c>
      <c r="E9003" s="6" t="n">
        <f aca="false">Sens!E8997+Sens!E8999+Sens!E9001</f>
        <v>63.712</v>
      </c>
      <c r="F9003" s="6" t="n">
        <f aca="false">Sens!F8997+Sens!F8999+Sens!F9001</f>
        <v>65.2505264563129</v>
      </c>
      <c r="G9003" s="6" t="n">
        <f aca="false">Sens!G8997+Sens!G8999+Sens!G9001</f>
        <v>67.4367071671415</v>
      </c>
      <c r="H9003" s="6" t="n">
        <f aca="false">Sens!H8997+Sens!H8999+Sens!H9001</f>
        <v>70.1809411735542</v>
      </c>
      <c r="I9003" s="6" t="n">
        <f aca="false">Sens!I8997+Sens!I8999+Sens!I9001</f>
        <v>73.4179770971021</v>
      </c>
      <c r="J9003" s="6" t="n">
        <f aca="false">Sens!J8997+Sens!J8999+Sens!J9001</f>
        <v>77.1046268012325</v>
      </c>
      <c r="K9003" s="6" t="n">
        <f aca="false">Sens!K8997+Sens!K8999+Sens!K9001</f>
        <v>81.2204883089766</v>
      </c>
    </row>
    <row r="9004" customFormat="false" ht="15" hidden="false" customHeight="false" outlineLevel="0" collapsed="false">
      <c r="A9004" s="1" t="s">
        <v>795</v>
      </c>
      <c r="B9004" s="0" t="s">
        <v>95</v>
      </c>
      <c r="D9004" s="6" t="n">
        <f aca="false">Sens!D8996+Sens!D9003</f>
        <v>281.724</v>
      </c>
      <c r="E9004" s="6" t="n">
        <f aca="false">Sens!E8996+Sens!E9003</f>
        <v>331.839</v>
      </c>
      <c r="F9004" s="6" t="n">
        <f aca="false">Sens!F8996+Sens!F9003</f>
        <v>404.684467363364</v>
      </c>
      <c r="G9004" s="6" t="n">
        <f aca="false">Sens!G8996+Sens!G9003</f>
        <v>491.927378049033</v>
      </c>
      <c r="H9004" s="6" t="n">
        <f aca="false">Sens!H8996+Sens!H9003</f>
        <v>585.827216454939</v>
      </c>
      <c r="I9004" s="6" t="n">
        <f aca="false">Sens!I8996+Sens!I9003</f>
        <v>671.352424041522</v>
      </c>
      <c r="J9004" s="6" t="n">
        <f aca="false">Sens!J8996+Sens!J9003</f>
        <v>753.010297711455</v>
      </c>
      <c r="K9004" s="6" t="n">
        <f aca="false">Sens!K8996+Sens!K9003</f>
        <v>831.627793184974</v>
      </c>
    </row>
    <row r="9005" customFormat="false" ht="15" hidden="false" customHeight="false" outlineLevel="0" collapsed="false">
      <c r="A9005" s="22" t="s">
        <v>796</v>
      </c>
      <c r="B9005" s="28" t="s">
        <v>95</v>
      </c>
      <c r="C9005" s="28"/>
      <c r="D9005" s="23" t="n">
        <f aca="false">(Sens!D8984+Sens!D8989+Sens!D8990+Sens!D8992+Sens!D8994-Sens!D8996)+(Sens!D8997+Sens!D8999+Sens!D9001-Sens!D9003)+(Sens!D8996-Q!L5)+(Sens!D9003-Q!L12)+(Sens!D8984-Q!L6)+(Sens!D8989-Q!L7)</f>
        <v>0</v>
      </c>
      <c r="E9005" s="23" t="n">
        <f aca="false">(Sens!E8984+Sens!E8989+Sens!E8990+Sens!E8992+Sens!E8994-Sens!E8996)+(Sens!E8997+Sens!E8999+Sens!E9001-Sens!E9003)+(Sens!E8996-Q!M5)+(Sens!E9003-Q!M12)+(Sens!E8984-Q!M6)+(Sens!E8989-Q!M7)</f>
        <v>0</v>
      </c>
      <c r="F9005" s="23" t="n">
        <f aca="false">(Sens!F8984+Sens!F8989+Sens!F8990+Sens!F8992+Sens!F8994-Sens!F8996)+(Sens!F8997+Sens!F8999+Sens!F9001-Sens!F9003)</f>
        <v>0</v>
      </c>
      <c r="G9005" s="23" t="n">
        <f aca="false">(Sens!G8984+Sens!G8989+Sens!G8990+Sens!G8992+Sens!G8994-Sens!G8996)+(Sens!G8997+Sens!G8999+Sens!G9001-Sens!G9003)</f>
        <v>0</v>
      </c>
      <c r="H9005" s="23" t="n">
        <f aca="false">(Sens!H8984+Sens!H8989+Sens!H8990+Sens!H8992+Sens!H8994-Sens!H8996)+(Sens!H8997+Sens!H8999+Sens!H9001-Sens!H9003)</f>
        <v>0</v>
      </c>
      <c r="I9005" s="23" t="n">
        <f aca="false">(Sens!I8984+Sens!I8989+Sens!I8990+Sens!I8992+Sens!I8994-Sens!I8996)+(Sens!I8997+Sens!I8999+Sens!I9001-Sens!I9003)</f>
        <v>0</v>
      </c>
      <c r="J9005" s="23" t="n">
        <f aca="false">(Sens!J8984+Sens!J8989+Sens!J8990+Sens!J8992+Sens!J8994-Sens!J8996)+(Sens!J8997+Sens!J8999+Sens!J9001-Sens!J9003)</f>
        <v>0</v>
      </c>
      <c r="K9005" s="23" t="n">
        <f aca="false">(Sens!K8984+Sens!K8989+Sens!K8990+Sens!K8992+Sens!K8994-Sens!K8996)+(Sens!K8997+Sens!K8999+Sens!K9001-Sens!K9003)</f>
        <v>0</v>
      </c>
    </row>
    <row r="9006" customFormat="false" ht="17.15" hidden="false" customHeight="false" outlineLevel="0" collapsed="false">
      <c r="A9006" s="3" t="s">
        <v>1371</v>
      </c>
    </row>
    <row r="9007" customFormat="false" ht="15" hidden="false" customHeight="false" outlineLevel="0" collapsed="false">
      <c r="A9007" s="4" t="s">
        <v>43</v>
      </c>
      <c r="B9007" s="4" t="s">
        <v>63</v>
      </c>
      <c r="C9007" s="19" t="s">
        <v>710</v>
      </c>
      <c r="D9007" s="19" t="s">
        <v>711</v>
      </c>
      <c r="E9007" s="19" t="s">
        <v>712</v>
      </c>
      <c r="F9007" s="19" t="s">
        <v>713</v>
      </c>
      <c r="G9007" s="19" t="s">
        <v>714</v>
      </c>
      <c r="H9007" s="19" t="s">
        <v>715</v>
      </c>
      <c r="I9007" s="19" t="s">
        <v>716</v>
      </c>
      <c r="J9007" s="19" t="s">
        <v>717</v>
      </c>
      <c r="K9007" s="19" t="s">
        <v>718</v>
      </c>
      <c r="L9007" s="4" t="s">
        <v>47</v>
      </c>
    </row>
    <row r="9008" customFormat="false" ht="15" hidden="false" customHeight="false" outlineLevel="0" collapsed="false">
      <c r="A9008" s="0" t="s">
        <v>783</v>
      </c>
      <c r="B9008" s="0" t="s">
        <v>95</v>
      </c>
      <c r="D9008" s="6" t="n">
        <f aca="false">Sens!D8984</f>
        <v>72.61</v>
      </c>
      <c r="E9008" s="6" t="n">
        <f aca="false">Sens!E8984</f>
        <v>101.938</v>
      </c>
      <c r="F9008" s="6" t="n">
        <f aca="false">Sens!F8984</f>
        <v>148.812368967868</v>
      </c>
      <c r="G9008" s="6" t="n">
        <f aca="false">Sens!G8984</f>
        <v>208.397514344463</v>
      </c>
      <c r="H9008" s="6" t="n">
        <f aca="false">Sens!H8984</f>
        <v>274.05759259987</v>
      </c>
      <c r="I9008" s="6" t="n">
        <f aca="false">Sens!I8984</f>
        <v>333.373091964934</v>
      </c>
      <c r="J9008" s="6" t="n">
        <f aca="false">Sens!J8984</f>
        <v>391.214773806054</v>
      </c>
      <c r="K9008" s="6" t="n">
        <f aca="false">Sens!K8984</f>
        <v>446.513235535821</v>
      </c>
    </row>
    <row r="9009" customFormat="false" ht="17.15" hidden="false" customHeight="false" outlineLevel="0" collapsed="false">
      <c r="A9009" s="0" t="s">
        <v>780</v>
      </c>
      <c r="B9009" s="0" t="s">
        <v>95</v>
      </c>
      <c r="D9009" s="6" t="n">
        <f aca="false">Sens!D8981</f>
        <v>12.9359794422418</v>
      </c>
      <c r="E9009" s="6" t="n">
        <f aca="false">Sens!E8981</f>
        <v>27.8095064661409</v>
      </c>
      <c r="F9009" s="6" t="n">
        <f aca="false">Sens!F8981</f>
        <v>58.7324192305018</v>
      </c>
      <c r="G9009" s="6" t="n">
        <f aca="false">Sens!G8981</f>
        <v>101.369089141153</v>
      </c>
      <c r="H9009" s="6" t="n">
        <f aca="false">Sens!H8981</f>
        <v>149.785610014234</v>
      </c>
      <c r="I9009" s="6" t="n">
        <f aca="false">Sens!I8981</f>
        <v>192.439389583079</v>
      </c>
      <c r="J9009" s="6" t="n">
        <f aca="false">Sens!J8981</f>
        <v>235.195906491722</v>
      </c>
      <c r="K9009" s="6" t="n">
        <f aca="false">Sens!K8981</f>
        <v>278.012858836343</v>
      </c>
    </row>
    <row r="9010" customFormat="false" ht="17.15" hidden="false" customHeight="false" outlineLevel="0" collapsed="false">
      <c r="A9010" s="0" t="s">
        <v>807</v>
      </c>
      <c r="B9010" s="0" t="s">
        <v>95</v>
      </c>
      <c r="D9010" s="6" t="n">
        <f aca="false">Sens!D8982</f>
        <v>59.6740205577583</v>
      </c>
      <c r="E9010" s="6" t="n">
        <f aca="false">Sens!E8982</f>
        <v>74.1284935338591</v>
      </c>
      <c r="F9010" s="6" t="n">
        <f aca="false">Sens!F8982</f>
        <v>90.0799497373663</v>
      </c>
      <c r="G9010" s="6" t="n">
        <f aca="false">Sens!G8982</f>
        <v>107.02842520331</v>
      </c>
      <c r="H9010" s="6" t="n">
        <f aca="false">Sens!H8982</f>
        <v>124.271982585636</v>
      </c>
      <c r="I9010" s="6" t="n">
        <f aca="false">Sens!I8982</f>
        <v>140.933702381855</v>
      </c>
      <c r="J9010" s="6" t="n">
        <f aca="false">Sens!J8982</f>
        <v>156.018867314332</v>
      </c>
      <c r="K9010" s="6" t="n">
        <f aca="false">Sens!K8982</f>
        <v>168.500376699478</v>
      </c>
    </row>
    <row r="9011" customFormat="false" ht="15" hidden="false" customHeight="false" outlineLevel="0" collapsed="false">
      <c r="A9011" s="0" t="s">
        <v>788</v>
      </c>
      <c r="B9011" s="0" t="s">
        <v>95</v>
      </c>
      <c r="D9011" s="6" t="n">
        <f aca="false">Sens!D8989</f>
        <v>84.605</v>
      </c>
      <c r="E9011" s="6" t="n">
        <f aca="false">Sens!E8989</f>
        <v>100.299</v>
      </c>
      <c r="F9011" s="6" t="n">
        <f aca="false">Sens!F8989</f>
        <v>120.39238776686</v>
      </c>
      <c r="G9011" s="6" t="n">
        <f aca="false">Sens!G8989</f>
        <v>141.544168448684</v>
      </c>
      <c r="H9011" s="6" t="n">
        <f aca="false">Sens!H8989</f>
        <v>162.777359388781</v>
      </c>
      <c r="I9011" s="6" t="n">
        <f aca="false">Sens!I8989</f>
        <v>181.584028071957</v>
      </c>
      <c r="J9011" s="6" t="n">
        <f aca="false">Sens!J8989</f>
        <v>197.682702785465</v>
      </c>
      <c r="K9011" s="6" t="n">
        <f aca="false">Sens!K8989</f>
        <v>213.027991980448</v>
      </c>
    </row>
    <row r="9012" customFormat="false" ht="17.15" hidden="false" customHeight="false" outlineLevel="0" collapsed="false">
      <c r="A9012" s="0" t="s">
        <v>808</v>
      </c>
      <c r="B9012" s="0" t="s">
        <v>95</v>
      </c>
      <c r="D9012" s="6" t="n">
        <f aca="false">Sens!D8987</f>
        <v>83.705</v>
      </c>
      <c r="E9012" s="6" t="n">
        <f aca="false">Sens!E8987</f>
        <v>95.049</v>
      </c>
      <c r="F9012" s="6" t="n">
        <f aca="false">Sens!F8987</f>
        <v>106.89238776686</v>
      </c>
      <c r="G9012" s="6" t="n">
        <f aca="false">Sens!G8987</f>
        <v>119.044168448684</v>
      </c>
      <c r="H9012" s="6" t="n">
        <f aca="false">Sens!H8987</f>
        <v>131.277359388781</v>
      </c>
      <c r="I9012" s="6" t="n">
        <f aca="false">Sens!I8987</f>
        <v>143.334028071957</v>
      </c>
      <c r="J9012" s="6" t="n">
        <f aca="false">Sens!J8987</f>
        <v>154.932702785465</v>
      </c>
      <c r="K9012" s="6" t="n">
        <f aca="false">Sens!K8987</f>
        <v>165.777991980448</v>
      </c>
    </row>
    <row r="9013" customFormat="false" ht="17.15" hidden="false" customHeight="false" outlineLevel="0" collapsed="false">
      <c r="A9013" s="0" t="s">
        <v>809</v>
      </c>
      <c r="B9013" s="0" t="s">
        <v>95</v>
      </c>
      <c r="D9013" s="6" t="n">
        <f aca="false">Sens!D8986</f>
        <v>0.9</v>
      </c>
      <c r="E9013" s="6" t="n">
        <f aca="false">Sens!E8986</f>
        <v>5.25</v>
      </c>
      <c r="F9013" s="6" t="n">
        <f aca="false">Sens!F8986</f>
        <v>13.5</v>
      </c>
      <c r="G9013" s="6" t="n">
        <f aca="false">Sens!G8986</f>
        <v>22.5</v>
      </c>
      <c r="H9013" s="6" t="n">
        <f aca="false">Sens!H8986</f>
        <v>31.5</v>
      </c>
      <c r="I9013" s="6" t="n">
        <f aca="false">Sens!I8986</f>
        <v>38.25</v>
      </c>
      <c r="J9013" s="6" t="n">
        <f aca="false">Sens!J8986</f>
        <v>42.75</v>
      </c>
      <c r="K9013" s="6" t="n">
        <f aca="false">Sens!K8986</f>
        <v>47.25</v>
      </c>
    </row>
    <row r="9014" customFormat="false" ht="15" hidden="false" customHeight="false" outlineLevel="0" collapsed="false">
      <c r="A9014" s="0" t="s">
        <v>789</v>
      </c>
      <c r="B9014" s="0" t="s">
        <v>95</v>
      </c>
      <c r="D9014" s="6" t="n">
        <f aca="false">Sens!D8990</f>
        <v>35.391</v>
      </c>
      <c r="E9014" s="6" t="n">
        <f aca="false">Sens!E8990</f>
        <v>37.285</v>
      </c>
      <c r="F9014" s="6" t="n">
        <f aca="false">Sens!F8990</f>
        <v>39.0720834331704</v>
      </c>
      <c r="G9014" s="6" t="n">
        <f aca="false">Sens!G8990</f>
        <v>40.726562953769</v>
      </c>
      <c r="H9014" s="6" t="n">
        <f aca="false">Sens!H8990</f>
        <v>42.2235987259198</v>
      </c>
      <c r="I9014" s="6" t="n">
        <f aca="false">Sens!I8990</f>
        <v>43.5397988077414</v>
      </c>
      <c r="J9014" s="6" t="n">
        <f aca="false">Sens!J8990</f>
        <v>44.653811225693</v>
      </c>
      <c r="K9014" s="6" t="n">
        <f aca="false">Sens!K8990</f>
        <v>45.5468874502068</v>
      </c>
    </row>
    <row r="9015" customFormat="false" ht="15" hidden="false" customHeight="false" outlineLevel="0" collapsed="false">
      <c r="A9015" s="0" t="s">
        <v>790</v>
      </c>
      <c r="B9015" s="0" t="s">
        <v>95</v>
      </c>
      <c r="D9015" s="6" t="n">
        <f aca="false">Sens!D8992</f>
        <v>18.417</v>
      </c>
      <c r="E9015" s="6" t="n">
        <f aca="false">Sens!E8992</f>
        <v>20.345</v>
      </c>
      <c r="F9015" s="6" t="n">
        <f aca="false">Sens!F8992</f>
        <v>22.3572203267814</v>
      </c>
      <c r="G9015" s="6" t="n">
        <f aca="false">Sens!G8992</f>
        <v>24.4392124437232</v>
      </c>
      <c r="H9015" s="6" t="n">
        <f aca="false">Sens!H8992</f>
        <v>26.5738052080665</v>
      </c>
      <c r="I9015" s="6" t="n">
        <f aca="false">Sens!I8992</f>
        <v>28.7412169166967</v>
      </c>
      <c r="J9015" s="6" t="n">
        <f aca="false">Sens!J8992</f>
        <v>30.9192545395413</v>
      </c>
      <c r="K9015" s="6" t="n">
        <f aca="false">Sens!K8992</f>
        <v>33.0836023573092</v>
      </c>
    </row>
    <row r="9016" customFormat="false" ht="15" hidden="false" customHeight="false" outlineLevel="0" collapsed="false">
      <c r="A9016" s="0" t="s">
        <v>791</v>
      </c>
      <c r="B9016" s="0" t="s">
        <v>95</v>
      </c>
      <c r="D9016" s="6" t="n">
        <f aca="false">Sens!D8994</f>
        <v>7.76</v>
      </c>
      <c r="E9016" s="6" t="n">
        <f aca="false">Sens!E8994</f>
        <v>8.26</v>
      </c>
      <c r="F9016" s="6" t="n">
        <f aca="false">Sens!F8994</f>
        <v>8.79988041237113</v>
      </c>
      <c r="G9016" s="6" t="n">
        <f aca="false">Sens!G8994</f>
        <v>9.38321269125306</v>
      </c>
      <c r="H9016" s="6" t="n">
        <f aca="false">Sens!H8994</f>
        <v>10.0139193587476</v>
      </c>
      <c r="I9016" s="6" t="n">
        <f aca="false">Sens!I8994</f>
        <v>10.6963111830911</v>
      </c>
      <c r="J9016" s="6" t="n">
        <f aca="false">Sens!J8994</f>
        <v>11.4351285534696</v>
      </c>
      <c r="K9016" s="6" t="n">
        <f aca="false">Sens!K8994</f>
        <v>12.2355875522124</v>
      </c>
    </row>
    <row r="9017" customFormat="false" ht="15" hidden="false" customHeight="false" outlineLevel="0" collapsed="false">
      <c r="A9017" s="0" t="s">
        <v>626</v>
      </c>
      <c r="B9017" s="0" t="s">
        <v>95</v>
      </c>
      <c r="D9017" s="6" t="n">
        <f aca="false">Sens!D8996</f>
        <v>218.783</v>
      </c>
      <c r="E9017" s="6" t="n">
        <f aca="false">Sens!E8996</f>
        <v>268.127</v>
      </c>
      <c r="F9017" s="6" t="n">
        <f aca="false">Sens!F8996</f>
        <v>339.433940907051</v>
      </c>
      <c r="G9017" s="6" t="n">
        <f aca="false">Sens!G8996</f>
        <v>424.490670881892</v>
      </c>
      <c r="H9017" s="6" t="n">
        <f aca="false">Sens!H8996</f>
        <v>515.646275281385</v>
      </c>
      <c r="I9017" s="6" t="n">
        <f aca="false">Sens!I8996</f>
        <v>597.93444694442</v>
      </c>
      <c r="J9017" s="6" t="n">
        <f aca="false">Sens!J8996</f>
        <v>675.905670910223</v>
      </c>
      <c r="K9017" s="6" t="n">
        <f aca="false">Sens!K8996</f>
        <v>750.407304875998</v>
      </c>
    </row>
    <row r="9018" customFormat="false" ht="15" hidden="false" customHeight="false" outlineLevel="0" collapsed="false">
      <c r="A9018" s="0" t="s">
        <v>792</v>
      </c>
      <c r="B9018" s="0" t="s">
        <v>95</v>
      </c>
      <c r="D9018" s="6" t="n">
        <f aca="false">Sens!D8997</f>
        <v>22.171</v>
      </c>
      <c r="E9018" s="6" t="n">
        <f aca="false">Sens!E8997</f>
        <v>24.835</v>
      </c>
      <c r="F9018" s="6" t="n">
        <f aca="false">Sens!F8997</f>
        <v>27.6114901218559</v>
      </c>
      <c r="G9018" s="6" t="n">
        <f aca="false">Sens!G8997</f>
        <v>30.4675667338515</v>
      </c>
      <c r="H9018" s="6" t="n">
        <f aca="false">Sens!H8997</f>
        <v>33.3643766955789</v>
      </c>
      <c r="I9018" s="6" t="n">
        <f aca="false">Sens!I8997</f>
        <v>36.2577016533691</v>
      </c>
      <c r="J9018" s="6" t="n">
        <f aca="false">Sens!J8997</f>
        <v>39.0988367952171</v>
      </c>
      <c r="K9018" s="6" t="n">
        <f aca="false">Sens!K8997</f>
        <v>41.8357553708823</v>
      </c>
    </row>
    <row r="9019" customFormat="false" ht="15" hidden="false" customHeight="false" outlineLevel="0" collapsed="false">
      <c r="A9019" s="0" t="s">
        <v>793</v>
      </c>
      <c r="B9019" s="0" t="s">
        <v>95</v>
      </c>
      <c r="D9019" s="6" t="n">
        <f aca="false">Sens!D8999</f>
        <v>23.455</v>
      </c>
      <c r="E9019" s="6" t="n">
        <f aca="false">Sens!E8999</f>
        <v>21.79</v>
      </c>
      <c r="F9019" s="6" t="n">
        <f aca="false">Sens!F8999</f>
        <v>20.6825777908051</v>
      </c>
      <c r="G9019" s="6" t="n">
        <f aca="false">Sens!G8999</f>
        <v>20.0484913708632</v>
      </c>
      <c r="H9019" s="6" t="n">
        <f aca="false">Sens!H8999</f>
        <v>19.8381125629905</v>
      </c>
      <c r="I9019" s="6" t="n">
        <f aca="false">Sens!I8999</f>
        <v>20.0299669735513</v>
      </c>
      <c r="J9019" s="6" t="n">
        <f aca="false">Sens!J8999</f>
        <v>20.6275710652887</v>
      </c>
      <c r="K9019" s="6" t="n">
        <f aca="false">Sens!K8999</f>
        <v>21.6589496185531</v>
      </c>
    </row>
    <row r="9020" customFormat="false" ht="15" hidden="false" customHeight="false" outlineLevel="0" collapsed="false">
      <c r="A9020" s="0" t="s">
        <v>794</v>
      </c>
      <c r="B9020" s="0" t="s">
        <v>95</v>
      </c>
      <c r="D9020" s="6" t="n">
        <f aca="false">Sens!D9001</f>
        <v>17.315</v>
      </c>
      <c r="E9020" s="6" t="n">
        <f aca="false">Sens!E9001</f>
        <v>17.087</v>
      </c>
      <c r="F9020" s="6" t="n">
        <f aca="false">Sens!F9001</f>
        <v>16.9564585436519</v>
      </c>
      <c r="G9020" s="6" t="n">
        <f aca="false">Sens!G9001</f>
        <v>16.9206490624268</v>
      </c>
      <c r="H9020" s="6" t="n">
        <f aca="false">Sens!H9001</f>
        <v>16.9784519149849</v>
      </c>
      <c r="I9020" s="6" t="n">
        <f aca="false">Sens!I9001</f>
        <v>17.1303084701817</v>
      </c>
      <c r="J9020" s="6" t="n">
        <f aca="false">Sens!J9001</f>
        <v>17.3782189407267</v>
      </c>
      <c r="K9020" s="6" t="n">
        <f aca="false">Sens!K9001</f>
        <v>17.7257833195413</v>
      </c>
    </row>
    <row r="9021" customFormat="false" ht="15" hidden="false" customHeight="false" outlineLevel="0" collapsed="false">
      <c r="A9021" s="0" t="s">
        <v>640</v>
      </c>
      <c r="B9021" s="0" t="s">
        <v>95</v>
      </c>
      <c r="D9021" s="6" t="n">
        <f aca="false">Sens!D9003</f>
        <v>62.941</v>
      </c>
      <c r="E9021" s="6" t="n">
        <f aca="false">Sens!E9003</f>
        <v>63.712</v>
      </c>
      <c r="F9021" s="6" t="n">
        <f aca="false">Sens!F9003</f>
        <v>65.2505264563129</v>
      </c>
      <c r="G9021" s="6" t="n">
        <f aca="false">Sens!G9003</f>
        <v>67.4367071671415</v>
      </c>
      <c r="H9021" s="6" t="n">
        <f aca="false">Sens!H9003</f>
        <v>70.1809411735542</v>
      </c>
      <c r="I9021" s="6" t="n">
        <f aca="false">Sens!I9003</f>
        <v>73.4179770971021</v>
      </c>
      <c r="J9021" s="6" t="n">
        <f aca="false">Sens!J9003</f>
        <v>77.1046268012325</v>
      </c>
      <c r="K9021" s="6" t="n">
        <f aca="false">Sens!K9003</f>
        <v>81.2204883089766</v>
      </c>
    </row>
    <row r="9022" customFormat="false" ht="15" hidden="false" customHeight="false" outlineLevel="0" collapsed="false">
      <c r="A9022" s="1" t="s">
        <v>810</v>
      </c>
      <c r="B9022" s="0" t="s">
        <v>95</v>
      </c>
      <c r="D9022" s="6" t="n">
        <f aca="false">Sens!D9004</f>
        <v>281.724</v>
      </c>
      <c r="E9022" s="6" t="n">
        <f aca="false">Sens!E9004</f>
        <v>331.839</v>
      </c>
      <c r="F9022" s="6" t="n">
        <f aca="false">Sens!F9004</f>
        <v>404.684467363364</v>
      </c>
      <c r="G9022" s="6" t="n">
        <f aca="false">Sens!G9004</f>
        <v>491.927378049033</v>
      </c>
      <c r="H9022" s="6" t="n">
        <f aca="false">Sens!H9004</f>
        <v>585.827216454939</v>
      </c>
      <c r="I9022" s="6" t="n">
        <f aca="false">Sens!I9004</f>
        <v>671.352424041522</v>
      </c>
      <c r="J9022" s="6" t="n">
        <f aca="false">Sens!J9004</f>
        <v>753.010297711455</v>
      </c>
      <c r="K9022" s="6" t="n">
        <f aca="false">Sens!K9004</f>
        <v>831.627793184974</v>
      </c>
    </row>
    <row r="9023" customFormat="false" ht="15" hidden="false" customHeight="false" outlineLevel="0" collapsed="false">
      <c r="A9023" s="1" t="s">
        <v>811</v>
      </c>
      <c r="B9023" s="0" t="s">
        <v>126</v>
      </c>
      <c r="E9023" s="7" t="n">
        <f aca="false">Sens!E9022/Sens!D9022-1</f>
        <v>0.177886867998467</v>
      </c>
      <c r="F9023" s="7" t="n">
        <f aca="false">Sens!F9022/Sens!E9022-1</f>
        <v>0.219520512547843</v>
      </c>
      <c r="G9023" s="7" t="n">
        <f aca="false">Sens!G9022/Sens!F9022-1</f>
        <v>0.215582553128571</v>
      </c>
      <c r="H9023" s="7" t="n">
        <f aca="false">Sens!H9022/Sens!G9022-1</f>
        <v>0.190881505270776</v>
      </c>
      <c r="I9023" s="7" t="n">
        <f aca="false">Sens!I9022/Sens!H9022-1</f>
        <v>0.145990498878029</v>
      </c>
      <c r="J9023" s="7" t="n">
        <f aca="false">Sens!J9022/Sens!I9022-1</f>
        <v>0.121631904117296</v>
      </c>
      <c r="K9023" s="7" t="n">
        <f aca="false">Sens!K9022/Sens!J9022-1</f>
        <v>0.104404276691106</v>
      </c>
    </row>
    <row r="9024" customFormat="false" ht="17.15" hidden="false" customHeight="false" outlineLevel="0" collapsed="false">
      <c r="A9024" s="22" t="s">
        <v>812</v>
      </c>
      <c r="B9024" s="28" t="s">
        <v>95</v>
      </c>
      <c r="C9024" s="28"/>
      <c r="D9024" s="23" t="n">
        <f aca="false">(Sens!D9017+Sens!D9021-Sens!D9022)+(Sens!D9009+Sens!D9010-Sens!D9008)+(Sens!D9012+Sens!D9013-Sens!D9011)+(Sens!D9022-Q!L18)</f>
        <v>0</v>
      </c>
      <c r="E9024" s="23" t="n">
        <f aca="false">(Sens!E9017+Sens!E9021-Sens!E9022)+(Sens!E9009+Sens!E9010-Sens!E9008)+(Sens!E9012+Sens!E9013-Sens!E9011)+(Sens!E9022-Q!M18)</f>
        <v>0</v>
      </c>
      <c r="F9024" s="23" t="n">
        <f aca="false">(Sens!F9017+Sens!F9021-Sens!F9022)+(Sens!F9009+Sens!F9010-Sens!F9008)+(Sens!F9012+Sens!F9013-Sens!F9011)</f>
        <v>0</v>
      </c>
      <c r="G9024" s="23" t="n">
        <f aca="false">(Sens!G9017+Sens!G9021-Sens!G9022)+(Sens!G9009+Sens!G9010-Sens!G9008)+(Sens!G9012+Sens!G9013-Sens!G9011)</f>
        <v>0</v>
      </c>
      <c r="H9024" s="23" t="n">
        <f aca="false">(Sens!H9017+Sens!H9021-Sens!H9022)+(Sens!H9009+Sens!H9010-Sens!H9008)+(Sens!H9012+Sens!H9013-Sens!H9011)</f>
        <v>0</v>
      </c>
      <c r="I9024" s="23" t="n">
        <f aca="false">(Sens!I9017+Sens!I9021-Sens!I9022)+(Sens!I9009+Sens!I9010-Sens!I9008)+(Sens!I9012+Sens!I9013-Sens!I9011)</f>
        <v>0</v>
      </c>
      <c r="J9024" s="23" t="n">
        <f aca="false">(Sens!J9017+Sens!J9021-Sens!J9022)+(Sens!J9009+Sens!J9010-Sens!J9008)+(Sens!J9012+Sens!J9013-Sens!J9011)</f>
        <v>0</v>
      </c>
      <c r="K9024" s="23" t="n">
        <f aca="false">(Sens!K9017+Sens!K9021-Sens!K9022)+(Sens!K9009+Sens!K9010-Sens!K9008)+(Sens!K9012+Sens!K9013-Sens!K9011)</f>
        <v>0</v>
      </c>
    </row>
    <row r="9025" customFormat="false" ht="17.15" hidden="false" customHeight="false" outlineLevel="0" collapsed="false">
      <c r="A9025" s="0" t="s">
        <v>813</v>
      </c>
      <c r="B9025" s="0" t="s">
        <v>126</v>
      </c>
      <c r="E9025" s="7" t="n">
        <f aca="false">(Q!M21+Sens!E8962+Sens!E8963+Sens!E8964+Sens!E8977-Sens!E8960)/(Q!M5-Sens!E8960)</f>
        <v>0.570957350878296</v>
      </c>
      <c r="F9025" s="7" t="n">
        <f aca="false">Sens!$E$9025+dm_seg</f>
        <v>0.570957350878296</v>
      </c>
      <c r="G9025" s="7" t="n">
        <f aca="false">Sens!$E$9025+dm_seg</f>
        <v>0.570957350878296</v>
      </c>
      <c r="H9025" s="7" t="n">
        <f aca="false">Sens!$E$9025+dm_seg</f>
        <v>0.570957350878296</v>
      </c>
      <c r="I9025" s="7" t="n">
        <f aca="false">Sens!$E$9025+dm_seg</f>
        <v>0.570957350878296</v>
      </c>
      <c r="J9025" s="7" t="n">
        <f aca="false">Sens!$E$9025+dm_seg</f>
        <v>0.570957350878296</v>
      </c>
      <c r="K9025" s="7" t="n">
        <f aca="false">Sens!$E$9025+dm_seg</f>
        <v>0.570957350878296</v>
      </c>
      <c r="L9025" s="11" t="s">
        <v>814</v>
      </c>
    </row>
    <row r="9026" customFormat="false" ht="17.15" hidden="false" customHeight="false" outlineLevel="0" collapsed="false">
      <c r="A9026" s="0" t="s">
        <v>654</v>
      </c>
      <c r="B9026" s="0" t="s">
        <v>95</v>
      </c>
      <c r="D9026" s="6" t="n">
        <f aca="false">Q!L21</f>
        <v>110.814</v>
      </c>
      <c r="E9026" s="6" t="n">
        <f aca="false">Q!M21</f>
        <v>136.365</v>
      </c>
      <c r="F9026" s="6" t="n">
        <f aca="false">Sens!F9025*(Sens!F8996-Sens!F8960)+Sens!F8960-(Sens!F8962+Sens!F8963+Sens!F8964)-Sens!F8977</f>
        <v>162.135756977307</v>
      </c>
      <c r="G9026" s="6" t="n">
        <f aca="false">Sens!G9025*(Sens!G8996-Sens!G8960)+Sens!G8960-(Sens!G8962+Sens!G8963+Sens!G8964)-Sens!G8977</f>
        <v>191.694125017698</v>
      </c>
      <c r="H9026" s="6" t="n">
        <f aca="false">Sens!H9025*(Sens!H8996-Sens!H8960)+Sens!H8960-(Sens!H8962+Sens!H8963+Sens!H8964)-Sens!H8977</f>
        <v>226.080258747573</v>
      </c>
      <c r="I9026" s="6" t="n">
        <f aca="false">Sens!I9025*(Sens!I8996-Sens!I8960)+Sens!I8960-(Sens!I8962+Sens!I8963+Sens!I8964)-Sens!I8977</f>
        <v>251.880903648704</v>
      </c>
      <c r="J9026" s="6" t="n">
        <f aca="false">Sens!J9025*(Sens!J8996-Sens!J8960)+Sens!J8960-(Sens!J8962+Sens!J8963+Sens!J8964)-Sens!J8977</f>
        <v>274.272493603581</v>
      </c>
      <c r="K9026" s="6" t="n">
        <f aca="false">Sens!K9025*(Sens!K8996-Sens!K8960)+Sens!K8960-(Sens!K8962+Sens!K8963+Sens!K8964)-Sens!K8977</f>
        <v>293.411999733568</v>
      </c>
      <c r="L9026" s="1" t="s">
        <v>815</v>
      </c>
    </row>
    <row r="9027" customFormat="false" ht="17.15" hidden="false" customHeight="false" outlineLevel="0" collapsed="false">
      <c r="A9027" s="0" t="s">
        <v>816</v>
      </c>
      <c r="B9027" s="0" t="s">
        <v>126</v>
      </c>
      <c r="E9027" s="7" t="n">
        <f aca="false">Q!M22/Q!M12</f>
        <v>0.296207935710698</v>
      </c>
      <c r="F9027" s="7" t="n">
        <f aca="false">Sens!$E$9027+dm_seg</f>
        <v>0.296207935710698</v>
      </c>
      <c r="G9027" s="7" t="n">
        <f aca="false">Sens!$E$9027+dm_seg</f>
        <v>0.296207935710698</v>
      </c>
      <c r="H9027" s="7" t="n">
        <f aca="false">Sens!$E$9027+dm_seg</f>
        <v>0.296207935710698</v>
      </c>
      <c r="I9027" s="7" t="n">
        <f aca="false">Sens!$E$9027+dm_seg</f>
        <v>0.296207935710698</v>
      </c>
      <c r="J9027" s="7" t="n">
        <f aca="false">Sens!$E$9027+dm_seg</f>
        <v>0.296207935710698</v>
      </c>
      <c r="K9027" s="7" t="n">
        <f aca="false">Sens!$E$9027+dm_seg</f>
        <v>0.296207935710698</v>
      </c>
      <c r="L9027" s="11" t="s">
        <v>817</v>
      </c>
    </row>
    <row r="9028" customFormat="false" ht="17.15" hidden="false" customHeight="false" outlineLevel="0" collapsed="false">
      <c r="A9028" s="0" t="s">
        <v>656</v>
      </c>
      <c r="B9028" s="0" t="s">
        <v>95</v>
      </c>
      <c r="D9028" s="6" t="n">
        <f aca="false">Q!L22</f>
        <v>17.714</v>
      </c>
      <c r="E9028" s="6" t="n">
        <f aca="false">Q!M22</f>
        <v>18.872</v>
      </c>
      <c r="F9028" s="6" t="n">
        <f aca="false">Sens!F9003*Sens!F9027</f>
        <v>19.3277237456607</v>
      </c>
      <c r="G9028" s="6" t="n">
        <f aca="false">Sens!G9003*Sens!G9027</f>
        <v>19.9752878211058</v>
      </c>
      <c r="H9028" s="6" t="n">
        <f aca="false">Sens!H9003*Sens!H9027</f>
        <v>20.7881517112524</v>
      </c>
      <c r="I9028" s="6" t="n">
        <f aca="false">Sens!I9003*Sens!I9027</f>
        <v>21.7469874399879</v>
      </c>
      <c r="J9028" s="6" t="n">
        <f aca="false">Sens!J9003*Sens!J9027</f>
        <v>22.8390023385368</v>
      </c>
      <c r="K9028" s="6" t="n">
        <f aca="false">Sens!K9003*Sens!K9027</f>
        <v>24.0581531794169</v>
      </c>
    </row>
    <row r="9029" customFormat="false" ht="15" hidden="false" customHeight="false" outlineLevel="0" collapsed="false">
      <c r="A9029" s="1" t="s">
        <v>818</v>
      </c>
      <c r="B9029" s="0" t="s">
        <v>95</v>
      </c>
      <c r="D9029" s="6" t="n">
        <f aca="false">Sens!D9026+Sens!D9028</f>
        <v>128.528</v>
      </c>
      <c r="E9029" s="6" t="n">
        <f aca="false">Sens!E9026+Sens!E9028</f>
        <v>155.237</v>
      </c>
      <c r="F9029" s="6" t="n">
        <f aca="false">Sens!F9026+Sens!F9028</f>
        <v>181.463480722967</v>
      </c>
      <c r="G9029" s="6" t="n">
        <f aca="false">Sens!G9026+Sens!G9028</f>
        <v>211.669412838804</v>
      </c>
      <c r="H9029" s="6" t="n">
        <f aca="false">Sens!H9026+Sens!H9028</f>
        <v>246.868410458825</v>
      </c>
      <c r="I9029" s="6" t="n">
        <f aca="false">Sens!I9026+Sens!I9028</f>
        <v>273.627891088692</v>
      </c>
      <c r="J9029" s="6" t="n">
        <f aca="false">Sens!J9026+Sens!J9028</f>
        <v>297.111495942118</v>
      </c>
      <c r="K9029" s="6" t="n">
        <f aca="false">Sens!K9026+Sens!K9028</f>
        <v>317.470152912985</v>
      </c>
    </row>
    <row r="9030" customFormat="false" ht="15" hidden="false" customHeight="false" outlineLevel="0" collapsed="false">
      <c r="A9030" s="22" t="s">
        <v>819</v>
      </c>
      <c r="B9030" s="28" t="s">
        <v>95</v>
      </c>
      <c r="C9030" s="28"/>
      <c r="D9030" s="23" t="n">
        <f aca="false">Sens!D9029-Q!L23</f>
        <v>0</v>
      </c>
      <c r="E9030" s="23" t="n">
        <f aca="false">Sens!E9029-Q!M23</f>
        <v>0</v>
      </c>
      <c r="F9030" s="28"/>
      <c r="G9030" s="28"/>
      <c r="H9030" s="28"/>
      <c r="I9030" s="28"/>
      <c r="J9030" s="28"/>
      <c r="K9030" s="28"/>
    </row>
    <row r="9031" customFormat="false" ht="15" hidden="false" customHeight="false" outlineLevel="0" collapsed="false">
      <c r="A9031" s="1" t="s">
        <v>820</v>
      </c>
      <c r="B9031" s="0" t="s">
        <v>126</v>
      </c>
      <c r="D9031" s="7" t="n">
        <f aca="false">Sens!D9029/Sens!D9022</f>
        <v>0.456219562408598</v>
      </c>
      <c r="E9031" s="7" t="n">
        <f aca="false">Sens!E9029/Sens!E9022</f>
        <v>0.467808184089272</v>
      </c>
      <c r="F9031" s="7" t="n">
        <f aca="false">Sens!F9029/Sens!F9022</f>
        <v>0.448407328072793</v>
      </c>
      <c r="G9031" s="7" t="n">
        <f aca="false">Sens!G9029/Sens!G9022</f>
        <v>0.430285896422917</v>
      </c>
      <c r="H9031" s="7" t="n">
        <f aca="false">Sens!H9029/Sens!H9022</f>
        <v>0.421401402196229</v>
      </c>
      <c r="I9031" s="7" t="n">
        <f aca="false">Sens!I9029/Sens!I9022</f>
        <v>0.40757712535163</v>
      </c>
      <c r="J9031" s="7" t="n">
        <f aca="false">Sens!J9029/Sens!J9022</f>
        <v>0.394564983832357</v>
      </c>
      <c r="K9031" s="7" t="n">
        <f aca="false">Sens!K9029/Sens!K9022</f>
        <v>0.38174548219118</v>
      </c>
    </row>
    <row r="9032" customFormat="false" ht="17.15" hidden="false" customHeight="false" outlineLevel="0" collapsed="false">
      <c r="A9032" s="1" t="s">
        <v>821</v>
      </c>
      <c r="B9032" s="0" t="s">
        <v>95</v>
      </c>
      <c r="E9032" s="6" t="n">
        <f aca="false">Sens!E8977</f>
        <v>16.3054059770833</v>
      </c>
      <c r="F9032" s="6" t="n">
        <f aca="false">Sens!F8977</f>
        <v>34.7277630808698</v>
      </c>
      <c r="G9032" s="6" t="n">
        <f aca="false">Sens!G8977</f>
        <v>60.4811885103396</v>
      </c>
      <c r="H9032" s="6" t="n">
        <f aca="false">Sens!H8977</f>
        <v>87.7167712431396</v>
      </c>
      <c r="I9032" s="6" t="n">
        <f aca="false">Sens!I8977</f>
        <v>115.971636991123</v>
      </c>
      <c r="J9032" s="6" t="n">
        <f aca="false">Sens!J8977</f>
        <v>145.198733208273</v>
      </c>
      <c r="K9032" s="6" t="n">
        <f aca="false">Sens!K8977</f>
        <v>175.71337788459</v>
      </c>
    </row>
    <row r="9033" customFormat="false" ht="17.15" hidden="false" customHeight="false" outlineLevel="0" collapsed="false">
      <c r="A9033" s="1" t="s">
        <v>822</v>
      </c>
      <c r="B9033" s="0" t="s">
        <v>95</v>
      </c>
      <c r="E9033" s="6" t="n">
        <f aca="false">Sens!E9053</f>
        <v>22.2285940229167</v>
      </c>
      <c r="F9033" s="6" t="n">
        <f aca="false">Sens!F9053</f>
        <v>23.5789961935812</v>
      </c>
      <c r="G9033" s="6" t="n">
        <f aca="false">Sens!G9053</f>
        <v>25.3823199695293</v>
      </c>
      <c r="H9033" s="6" t="n">
        <f aca="false">Sens!H9053</f>
        <v>27.6020517454613</v>
      </c>
      <c r="I9033" s="6" t="n">
        <f aca="false">Sens!I9053</f>
        <v>30.1621705769444</v>
      </c>
      <c r="J9033" s="6" t="n">
        <f aca="false">Sens!J9053</f>
        <v>32.9710454956875</v>
      </c>
      <c r="K9033" s="6" t="n">
        <f aca="false">Sens!K9053</f>
        <v>35.9447583661421</v>
      </c>
    </row>
    <row r="9034" customFormat="false" ht="17.15" hidden="false" customHeight="false" outlineLevel="0" collapsed="false">
      <c r="A9034" s="1" t="s">
        <v>823</v>
      </c>
      <c r="B9034" s="0" t="s">
        <v>95</v>
      </c>
      <c r="D9034" s="6" t="n">
        <f aca="false">Q!L27</f>
        <v>-4.901</v>
      </c>
      <c r="E9034" s="6" t="n">
        <f aca="false">Q!M27</f>
        <v>10.697</v>
      </c>
      <c r="F9034" s="6" t="n">
        <f aca="false">oie_f</f>
        <v>-0.4</v>
      </c>
      <c r="G9034" s="6" t="n">
        <f aca="false">oie_f</f>
        <v>-0.4</v>
      </c>
      <c r="H9034" s="6" t="n">
        <f aca="false">oie_f</f>
        <v>-0.4</v>
      </c>
      <c r="I9034" s="6" t="n">
        <f aca="false">oie_f</f>
        <v>-0.4</v>
      </c>
      <c r="J9034" s="6" t="n">
        <f aca="false">oie_f</f>
        <v>-0.4</v>
      </c>
      <c r="K9034" s="6" t="n">
        <f aca="false">oie_f</f>
        <v>-0.4</v>
      </c>
      <c r="L9034" s="11" t="s">
        <v>824</v>
      </c>
    </row>
    <row r="9035" customFormat="false" ht="15" hidden="false" customHeight="false" outlineLevel="0" collapsed="false">
      <c r="A9035" s="1" t="s">
        <v>666</v>
      </c>
      <c r="B9035" s="0" t="s">
        <v>95</v>
      </c>
      <c r="D9035" s="6" t="n">
        <f aca="false">Sens!D9029+Sens!D9034</f>
        <v>123.627</v>
      </c>
      <c r="E9035" s="6" t="n">
        <f aca="false">Sens!E9029+Sens!E9034</f>
        <v>165.934</v>
      </c>
      <c r="F9035" s="6" t="n">
        <f aca="false">Sens!F9029+Sens!F9034</f>
        <v>181.063480722967</v>
      </c>
      <c r="G9035" s="6" t="n">
        <f aca="false">Sens!G9029+Sens!G9034</f>
        <v>211.269412838804</v>
      </c>
      <c r="H9035" s="6" t="n">
        <f aca="false">Sens!H9029+Sens!H9034</f>
        <v>246.468410458825</v>
      </c>
      <c r="I9035" s="6" t="n">
        <f aca="false">Sens!I9029+Sens!I9034</f>
        <v>273.227891088692</v>
      </c>
      <c r="J9035" s="6" t="n">
        <f aca="false">Sens!J9029+Sens!J9034</f>
        <v>296.711495942118</v>
      </c>
      <c r="K9035" s="6" t="n">
        <f aca="false">Sens!K9029+Sens!K9034</f>
        <v>317.070152912985</v>
      </c>
    </row>
    <row r="9036" customFormat="false" ht="15" hidden="false" customHeight="false" outlineLevel="0" collapsed="false">
      <c r="A9036" s="1" t="s">
        <v>668</v>
      </c>
      <c r="B9036" s="0" t="s">
        <v>95</v>
      </c>
      <c r="D9036" s="6" t="n">
        <f aca="false">Q!L29</f>
        <v>21.795</v>
      </c>
      <c r="E9036" s="6" t="n">
        <f aca="false">Q!M29</f>
        <v>32.185</v>
      </c>
      <c r="F9036" s="6" t="n">
        <f aca="false">Sens!F9035*tax_f</f>
        <v>36.2126961445935</v>
      </c>
      <c r="G9036" s="6" t="n">
        <f aca="false">Sens!G9035*tax_f</f>
        <v>42.2538825677607</v>
      </c>
      <c r="H9036" s="6" t="n">
        <f aca="false">Sens!H9035*tax_f</f>
        <v>49.2936820917651</v>
      </c>
      <c r="I9036" s="6" t="n">
        <f aca="false">Sens!I9035*tax_f</f>
        <v>54.6455782177384</v>
      </c>
      <c r="J9036" s="6" t="n">
        <f aca="false">Sens!J9035*tax_f</f>
        <v>59.3422991884237</v>
      </c>
      <c r="K9036" s="6" t="n">
        <f aca="false">Sens!K9035*tax_f</f>
        <v>63.414030582597</v>
      </c>
    </row>
    <row r="9037" customFormat="false" ht="15" hidden="false" customHeight="false" outlineLevel="0" collapsed="false">
      <c r="A9037" s="1" t="s">
        <v>825</v>
      </c>
      <c r="B9037" s="0" t="s">
        <v>95</v>
      </c>
      <c r="D9037" s="6" t="n">
        <f aca="false">Sens!D9035-Sens!D9036</f>
        <v>101.832</v>
      </c>
      <c r="E9037" s="6" t="n">
        <f aca="false">Sens!E9035-Sens!E9036</f>
        <v>133.749</v>
      </c>
      <c r="F9037" s="6" t="n">
        <f aca="false">Sens!F9035-Sens!F9036</f>
        <v>144.850784578374</v>
      </c>
      <c r="G9037" s="6" t="n">
        <f aca="false">Sens!G9035-Sens!G9036</f>
        <v>169.015530271043</v>
      </c>
      <c r="H9037" s="6" t="n">
        <f aca="false">Sens!H9035-Sens!H9036</f>
        <v>197.17472836706</v>
      </c>
      <c r="I9037" s="6" t="n">
        <f aca="false">Sens!I9035-Sens!I9036</f>
        <v>218.582312870954</v>
      </c>
      <c r="J9037" s="6" t="n">
        <f aca="false">Sens!J9035-Sens!J9036</f>
        <v>237.369196753695</v>
      </c>
      <c r="K9037" s="6" t="n">
        <f aca="false">Sens!K9035-Sens!K9036</f>
        <v>253.656122330388</v>
      </c>
    </row>
    <row r="9038" customFormat="false" ht="17.15" hidden="false" customHeight="false" outlineLevel="0" collapsed="false">
      <c r="A9038" s="1" t="s">
        <v>826</v>
      </c>
      <c r="B9038" s="1" t="s">
        <v>79</v>
      </c>
      <c r="D9038" s="18" t="n">
        <f aca="false">Q!L31</f>
        <v>7.465</v>
      </c>
      <c r="E9038" s="18" t="n">
        <f aca="false">Q!M31</f>
        <v>7.453</v>
      </c>
      <c r="F9038" s="18" t="n">
        <f aca="false">Sens!F9075</f>
        <v>7.4735</v>
      </c>
      <c r="G9038" s="18" t="n">
        <f aca="false">Sens!G9075</f>
        <v>7.50801885639496</v>
      </c>
      <c r="H9038" s="18" t="n">
        <f aca="false">Sens!H9075</f>
        <v>7.52528929863986</v>
      </c>
      <c r="I9038" s="18" t="n">
        <f aca="false">Sens!I9075</f>
        <v>7.53707013064717</v>
      </c>
      <c r="J9038" s="18" t="n">
        <f aca="false">Sens!J9075</f>
        <v>7.55131164176506</v>
      </c>
      <c r="K9038" s="18" t="n">
        <f aca="false">Sens!K9075</f>
        <v>7.5678315594668</v>
      </c>
    </row>
    <row r="9039" customFormat="false" ht="17.15" hidden="false" customHeight="false" outlineLevel="0" collapsed="false">
      <c r="A9039" s="0" t="s">
        <v>827</v>
      </c>
      <c r="B9039" s="0" t="s">
        <v>73</v>
      </c>
      <c r="D9039" s="8" t="n">
        <f aca="false">Sens!D9037/Sens!D9038</f>
        <v>13.641259209645</v>
      </c>
      <c r="E9039" s="8" t="n">
        <f aca="false">Sens!E9037/Sens!E9038</f>
        <v>17.9456594659869</v>
      </c>
      <c r="F9039" s="8" t="n">
        <f aca="false">Sens!F9037/Sens!F9038</f>
        <v>19.3819207303638</v>
      </c>
      <c r="G9039" s="8" t="n">
        <f aca="false">Sens!G9037/Sens!G9038</f>
        <v>22.5113353474178</v>
      </c>
      <c r="H9039" s="8" t="n">
        <f aca="false">Sens!H9037/Sens!H9038</f>
        <v>26.2016143887914</v>
      </c>
      <c r="I9039" s="8" t="n">
        <f aca="false">Sens!I9037/Sens!I9038</f>
        <v>29.0009657707915</v>
      </c>
      <c r="J9039" s="8" t="n">
        <f aca="false">Sens!J9037/Sens!J9038</f>
        <v>31.4341677333041</v>
      </c>
      <c r="K9039" s="8" t="n">
        <f aca="false">Sens!K9037/Sens!K9038</f>
        <v>33.5176754843444</v>
      </c>
      <c r="L9039" s="1" t="s">
        <v>828</v>
      </c>
    </row>
    <row r="9040" customFormat="false" ht="17.15" hidden="false" customHeight="false" outlineLevel="0" collapsed="false">
      <c r="A9040" s="0" t="s">
        <v>829</v>
      </c>
      <c r="B9040" s="0" t="s">
        <v>126</v>
      </c>
      <c r="E9040" s="7" t="n">
        <f aca="false">Sens!E9039/Sens!D9039-1</f>
        <v>0.315542736208578</v>
      </c>
      <c r="F9040" s="7" t="n">
        <f aca="false">Sens!F9039/Sens!E9039-1</f>
        <v>0.0800339083163344</v>
      </c>
      <c r="G9040" s="7" t="n">
        <f aca="false">Sens!G9039/Sens!F9039-1</f>
        <v>0.161460500256375</v>
      </c>
      <c r="H9040" s="7" t="n">
        <f aca="false">Sens!H9039/Sens!G9039-1</f>
        <v>0.163929815109656</v>
      </c>
      <c r="I9040" s="7" t="n">
        <f aca="false">Sens!I9039/Sens!H9039-1</f>
        <v>0.106838889408188</v>
      </c>
      <c r="J9040" s="7" t="n">
        <f aca="false">Sens!J9039/Sens!I9039-1</f>
        <v>0.0839007218498638</v>
      </c>
      <c r="K9040" s="7" t="n">
        <f aca="false">Sens!K9039/Sens!J9039-1</f>
        <v>0.0662816260547225</v>
      </c>
    </row>
    <row r="9041" customFormat="false" ht="17.15" hidden="false" customHeight="false" outlineLevel="0" collapsed="false">
      <c r="A9041" s="0" t="s">
        <v>763</v>
      </c>
      <c r="B9041" s="0" t="s">
        <v>95</v>
      </c>
      <c r="E9041" s="6" t="n">
        <f aca="false">Sens!E8986</f>
        <v>5.25</v>
      </c>
      <c r="F9041" s="6" t="n">
        <f aca="false">Sens!F8986</f>
        <v>13.5</v>
      </c>
      <c r="G9041" s="6" t="n">
        <f aca="false">Sens!G8986</f>
        <v>22.5</v>
      </c>
      <c r="H9041" s="6" t="n">
        <f aca="false">Sens!H8986</f>
        <v>31.5</v>
      </c>
      <c r="I9041" s="6" t="n">
        <f aca="false">Sens!I8986</f>
        <v>38.25</v>
      </c>
      <c r="J9041" s="6" t="n">
        <f aca="false">Sens!J8986</f>
        <v>42.75</v>
      </c>
      <c r="K9041" s="6" t="n">
        <f aca="false">Sens!K8986</f>
        <v>47.25</v>
      </c>
    </row>
    <row r="9042" customFormat="false" ht="17.15" hidden="false" customHeight="false" outlineLevel="0" collapsed="false">
      <c r="A9042" s="0" t="s">
        <v>764</v>
      </c>
      <c r="B9042" s="0" t="s">
        <v>95</v>
      </c>
      <c r="E9042" s="6" t="n">
        <f aca="false">Sens!E8966+Sens!E9041*Sens!E9025-Sens!E8967-Sens!E8977</f>
        <v>2.1514866143068</v>
      </c>
      <c r="F9042" s="6" t="n">
        <f aca="false">Sens!F8966+Sens!F9041*Sens!F9025-Sens!F8967-Sens!F8977</f>
        <v>9.57508401021455</v>
      </c>
      <c r="G9042" s="6" t="n">
        <f aca="false">Sens!G8966+Sens!G9041*Sens!G9025-Sens!G8967-Sens!G8977</f>
        <v>20.0520230901622</v>
      </c>
      <c r="H9042" s="6" t="n">
        <f aca="false">Sens!H8966+Sens!H9041*Sens!H9025-Sens!H8967-Sens!H8977</f>
        <v>35.1745790687356</v>
      </c>
      <c r="I9042" s="6" t="n">
        <f aca="false">Sens!I8966+Sens!I9041*Sens!I9025-Sens!I8967-Sens!I8977</f>
        <v>42.199638574525</v>
      </c>
      <c r="J9042" s="6" t="n">
        <f aca="false">Sens!J8966+Sens!J9041*Sens!J9025-Sens!J8967-Sens!J8977</f>
        <v>47.0544407550436</v>
      </c>
      <c r="K9042" s="6" t="n">
        <f aca="false">Sens!K8966+Sens!K9041*Sens!K9025-Sens!K8967-Sens!K8977</f>
        <v>50.6726530821464</v>
      </c>
    </row>
    <row r="9043" customFormat="false" ht="17.15" hidden="false" customHeight="false" outlineLevel="0" collapsed="false">
      <c r="A9043" s="0" t="s">
        <v>765</v>
      </c>
      <c r="B9043" s="0" t="s">
        <v>95</v>
      </c>
      <c r="E9043" s="6" t="n">
        <f aca="false">Sens!E8949*(cxit_open+self_build*tk_cxfac)/1000*ai_net_open</f>
        <v>126.6980382</v>
      </c>
      <c r="F9043" s="6" t="n">
        <f aca="false">Sens!E9043+Sens!F8974-Sens!F8977</f>
        <v>260.437659389568</v>
      </c>
      <c r="G9043" s="6" t="n">
        <f aca="false">Sens!F9043+Sens!G8974-Sens!G8977</f>
        <v>383.530651362428</v>
      </c>
      <c r="H9043" s="6" t="n">
        <f aca="false">Sens!G9043+Sens!H8974-Sens!H8977</f>
        <v>483.894166029688</v>
      </c>
      <c r="I9043" s="6" t="n">
        <f aca="false">Sens!H9043+Sens!I8974-Sens!I8977</f>
        <v>586.261490295632</v>
      </c>
      <c r="J9043" s="6" t="n">
        <f aca="false">Sens!I9043+Sens!J8974-Sens!J8977</f>
        <v>674.839818011093</v>
      </c>
      <c r="K9043" s="6" t="n">
        <f aca="false">Sens!J9043+Sens!K8974-Sens!K8977</f>
        <v>777.982752076903</v>
      </c>
      <c r="L9043" s="1" t="s">
        <v>766</v>
      </c>
    </row>
    <row r="9044" customFormat="false" ht="17.15" hidden="false" customHeight="false" outlineLevel="0" collapsed="false">
      <c r="A9044" s="0" t="s">
        <v>767</v>
      </c>
      <c r="B9044" s="0" t="s">
        <v>126</v>
      </c>
      <c r="F9044" s="7" t="n">
        <f aca="false">Sens!F9042*(1-tax_f)/((Sens!E9043+Sens!F9043)/2)</f>
        <v>0.039573034756886</v>
      </c>
      <c r="G9044" s="7" t="n">
        <f aca="false">Sens!G9042*(1-tax_f)/((Sens!F9043+Sens!G9043)/2)</f>
        <v>0.0498211424515505</v>
      </c>
      <c r="H9044" s="7" t="n">
        <f aca="false">Sens!H9042*(1-tax_f)/((Sens!G9043+Sens!H9043)/2)</f>
        <v>0.0648809272937094</v>
      </c>
      <c r="I9044" s="7" t="n">
        <f aca="false">Sens!I9042*(1-tax_f)/((Sens!H9043+Sens!I9043)/2)</f>
        <v>0.063093084935968</v>
      </c>
      <c r="J9044" s="7" t="n">
        <f aca="false">Sens!J9042*(1-tax_f)/((Sens!I9043+Sens!J9043)/2)</f>
        <v>0.0596994902092025</v>
      </c>
      <c r="K9044" s="7" t="n">
        <f aca="false">Sens!K9042*(1-tax_f)/((Sens!J9043+Sens!K9043)/2)</f>
        <v>0.055806019675564</v>
      </c>
    </row>
    <row r="9045" customFormat="false" ht="17.15" hidden="false" customHeight="false" outlineLevel="0" collapsed="false">
      <c r="A9045" s="1" t="s">
        <v>768</v>
      </c>
      <c r="B9045" s="0" t="s">
        <v>126</v>
      </c>
      <c r="F9045" s="7" t="n">
        <f aca="false">Sens!F8978*(1-tax_f)/(Sens!F8965*(Sens!E9043+Sens!F9043)/2)</f>
        <v>0.153546130000462</v>
      </c>
      <c r="G9045" s="7" t="n">
        <f aca="false">Sens!G8978*(1-tax_f)/(Sens!G8965*(Sens!F9043+Sens!G9043)/2)</f>
        <v>0.174677702072814</v>
      </c>
      <c r="H9045" s="7" t="n">
        <f aca="false">Sens!H8978*(1-tax_f)/(Sens!H8965*(Sens!G9043+Sens!H9043)/2)</f>
        <v>0.207632400829513</v>
      </c>
      <c r="I9045" s="7" t="n">
        <f aca="false">Sens!I8978*(1-tax_f)/(Sens!I8965*(Sens!H9043+Sens!I9043)/2)</f>
        <v>0.215554266992834</v>
      </c>
      <c r="J9045" s="7" t="n">
        <f aca="false">Sens!J8978*(1-tax_f)/(Sens!J8965*(Sens!I9043+Sens!J9043)/2)</f>
        <v>0.221980865577754</v>
      </c>
      <c r="K9045" s="7" t="n">
        <f aca="false">Sens!K8978*(1-tax_f)/(Sens!K8965*(Sens!J9043+Sens!K9043)/2)</f>
        <v>0.225278729398212</v>
      </c>
    </row>
    <row r="9046" customFormat="false" ht="17.15" hidden="false" customHeight="false" outlineLevel="0" collapsed="false">
      <c r="A9046" s="0" t="s">
        <v>769</v>
      </c>
      <c r="B9046" s="0" t="s">
        <v>208</v>
      </c>
      <c r="F9046" s="7" t="n">
        <f aca="false">Sens!F9044-wacc</f>
        <v>-0.069390186393368</v>
      </c>
      <c r="G9046" s="7" t="n">
        <f aca="false">Sens!G9044-wacc</f>
        <v>-0.0591420786987035</v>
      </c>
      <c r="H9046" s="7" t="n">
        <f aca="false">Sens!H9044-wacc</f>
        <v>-0.0440822938565446</v>
      </c>
      <c r="I9046" s="7" t="n">
        <f aca="false">Sens!I9044-wacc</f>
        <v>-0.045870136214286</v>
      </c>
      <c r="J9046" s="7" t="n">
        <f aca="false">Sens!J9044-wacc</f>
        <v>-0.0492637309410515</v>
      </c>
      <c r="K9046" s="7" t="n">
        <f aca="false">Sens!K9044-wacc</f>
        <v>-0.05315720147469</v>
      </c>
    </row>
    <row r="9047" customFormat="false" ht="17.15" hidden="false" customHeight="false" outlineLevel="0" collapsed="false">
      <c r="A9047" s="0" t="s">
        <v>770</v>
      </c>
      <c r="B9047" s="0" t="s">
        <v>95</v>
      </c>
      <c r="F9047" s="6" t="n">
        <f aca="false">Sens!F9042*(1-tax_f)-wacc*(Sens!E9043+Sens!F9043)/2</f>
        <v>-13.4317091076333</v>
      </c>
      <c r="G9047" s="6" t="n">
        <f aca="false">Sens!G9042*(1-tax_f)-wacc*(Sens!F9043+Sens!G9043)/2</f>
        <v>-19.0428122569828</v>
      </c>
      <c r="H9047" s="6" t="n">
        <f aca="false">Sens!H9042*(1-tax_f)-wacc*(Sens!G9043+Sens!H9043)/2</f>
        <v>-19.1190378493694</v>
      </c>
      <c r="I9047" s="6" t="n">
        <f aca="false">Sens!I9042*(1-tax_f)-wacc*(Sens!H9043+Sens!I9043)/2</f>
        <v>-24.5440928630656</v>
      </c>
      <c r="J9047" s="6" t="n">
        <f aca="false">Sens!J9042*(1-tax_f)-wacc*(Sens!I9043+Sens!J9043)/2</f>
        <v>-31.0632777709153</v>
      </c>
      <c r="K9047" s="6" t="n">
        <f aca="false">Sens!K9042*(1-tax_f)-wacc*(Sens!J9043+Sens!K9043)/2</f>
        <v>-38.6139910325722</v>
      </c>
    </row>
    <row r="9048" customFormat="false" ht="17.15" hidden="false" customHeight="false" outlineLevel="0" collapsed="false">
      <c r="A9048" s="1" t="s">
        <v>771</v>
      </c>
      <c r="B9048" s="0" t="s">
        <v>95</v>
      </c>
      <c r="F9048" s="6" t="n">
        <f aca="false">(Sens!E8950+Sens!F8950)/2*Sens!F8957/1000</f>
        <v>26.7873066765967</v>
      </c>
      <c r="G9048" s="6" t="n">
        <f aca="false">(Sens!F8950+Sens!G8950)/2*Sens!G8957/1000</f>
        <v>45.4131817597218</v>
      </c>
      <c r="H9048" s="6" t="n">
        <f aca="false">(Sens!G8950+Sens!H8950)/2*Sens!H8957/1000</f>
        <v>65.3915129357971</v>
      </c>
      <c r="I9048" s="6" t="n">
        <f aca="false">(Sens!H8950+Sens!I8950)/2*Sens!I8957/1000</f>
        <v>85.5187419289299</v>
      </c>
      <c r="J9048" s="6" t="n">
        <f aca="false">(Sens!I8950+Sens!J8950)/2*Sens!J8957/1000</f>
        <v>105.723807195006</v>
      </c>
      <c r="K9048" s="6" t="n">
        <f aca="false">(Sens!J8950+Sens!K8950)/2*Sens!K8957/1000</f>
        <v>125.974659797015</v>
      </c>
      <c r="L9048" s="1" t="s">
        <v>772</v>
      </c>
    </row>
    <row r="9049" customFormat="false" ht="17.15" hidden="false" customHeight="false" outlineLevel="0" collapsed="false">
      <c r="A9049" s="1" t="s">
        <v>773</v>
      </c>
      <c r="B9049" s="0" t="s">
        <v>126</v>
      </c>
      <c r="F9049" s="7" t="n">
        <f aca="false">(Sens!F8966+Sens!F9048-Sens!F8967-Sens!F8977)*(1-tax_f)/((Sens!E9043+Sens!F9043)/2)</f>
        <v>0.118426553287093</v>
      </c>
      <c r="G9049" s="7" t="n">
        <f aca="false">(Sens!G8966+Sens!G9048-Sens!G8967-Sens!G8977)*(1-tax_f)/((Sens!F9043+Sens!G9043)/2)</f>
        <v>0.130736034246596</v>
      </c>
      <c r="H9049" s="7" t="n">
        <f aca="false">(Sens!H8966+Sens!H9048-Sens!H8967-Sens!H8977)*(1-tax_f)/((Sens!G9043+Sens!H9043)/2)</f>
        <v>0.152323860320516</v>
      </c>
      <c r="I9049" s="7" t="n">
        <f aca="false">(Sens!I8966+Sens!I9048-Sens!I8967-Sens!I8977)*(1-tax_f)/((Sens!H9043+Sens!I9043)/2)</f>
        <v>0.15830110127482</v>
      </c>
      <c r="J9049" s="7" t="n">
        <f aca="false">(Sens!J8966+Sens!J9048-Sens!J8967-Sens!J8977)*(1-tax_f)/((Sens!I9043+Sens!J9043)/2)</f>
        <v>0.162866942225111</v>
      </c>
      <c r="K9049" s="7" t="n">
        <f aca="false">(Sens!K8966+Sens!K9048-Sens!K8967-Sens!K8977)*(1-tax_f)/((Sens!J9043+Sens!K9043)/2)</f>
        <v>0.164831776302701</v>
      </c>
      <c r="L9049" s="1" t="s">
        <v>774</v>
      </c>
    </row>
    <row r="9050" customFormat="false" ht="17.15" hidden="false" customHeight="false" outlineLevel="0" collapsed="false">
      <c r="A9050" s="3" t="s">
        <v>1372</v>
      </c>
    </row>
    <row r="9051" customFormat="false" ht="15" hidden="false" customHeight="false" outlineLevel="0" collapsed="false">
      <c r="A9051" s="4" t="s">
        <v>43</v>
      </c>
      <c r="B9051" s="4" t="s">
        <v>63</v>
      </c>
      <c r="C9051" s="19" t="s">
        <v>710</v>
      </c>
      <c r="D9051" s="19" t="s">
        <v>711</v>
      </c>
      <c r="E9051" s="19" t="s">
        <v>712</v>
      </c>
      <c r="F9051" s="19" t="s">
        <v>713</v>
      </c>
      <c r="G9051" s="19" t="s">
        <v>714</v>
      </c>
      <c r="H9051" s="19" t="s">
        <v>715</v>
      </c>
      <c r="I9051" s="19" t="s">
        <v>716</v>
      </c>
      <c r="J9051" s="19" t="s">
        <v>717</v>
      </c>
      <c r="K9051" s="19" t="s">
        <v>718</v>
      </c>
      <c r="L9051" s="4" t="s">
        <v>47</v>
      </c>
    </row>
    <row r="9052" customFormat="false" ht="15" hidden="false" customHeight="false" outlineLevel="0" collapsed="false">
      <c r="A9052" s="1" t="s">
        <v>825</v>
      </c>
      <c r="B9052" s="0" t="s">
        <v>95</v>
      </c>
      <c r="F9052" s="6" t="n">
        <f aca="false">Sens!F9037</f>
        <v>144.850784578374</v>
      </c>
      <c r="G9052" s="6" t="n">
        <f aca="false">Sens!G9037</f>
        <v>169.015530271043</v>
      </c>
      <c r="H9052" s="6" t="n">
        <f aca="false">Sens!H9037</f>
        <v>197.17472836706</v>
      </c>
      <c r="I9052" s="6" t="n">
        <f aca="false">Sens!I9037</f>
        <v>218.582312870954</v>
      </c>
      <c r="J9052" s="6" t="n">
        <f aca="false">Sens!J9037</f>
        <v>237.369196753695</v>
      </c>
      <c r="K9052" s="6" t="n">
        <f aca="false">Sens!K9037</f>
        <v>253.656122330388</v>
      </c>
    </row>
    <row r="9053" customFormat="false" ht="17.15" hidden="false" customHeight="false" outlineLevel="0" collapsed="false">
      <c r="A9053" s="1" t="s">
        <v>843</v>
      </c>
      <c r="B9053" s="0" t="s">
        <v>95</v>
      </c>
      <c r="E9053" s="6" t="n">
        <f aca="false">Q!M38-Sens!E8977</f>
        <v>22.2285940229167</v>
      </c>
      <c r="F9053" s="6" t="n">
        <f aca="false">Sens!E9053*(1-1/life_nonai)+Sens!F9059/life_nonai</f>
        <v>23.5789961935812</v>
      </c>
      <c r="G9053" s="6" t="n">
        <f aca="false">Sens!F9053*(1-1/life_nonai)+Sens!G9059/life_nonai</f>
        <v>25.3823199695293</v>
      </c>
      <c r="H9053" s="6" t="n">
        <f aca="false">Sens!G9053*(1-1/life_nonai)+Sens!H9059/life_nonai</f>
        <v>27.6020517454613</v>
      </c>
      <c r="I9053" s="6" t="n">
        <f aca="false">Sens!H9053*(1-1/life_nonai)+Sens!I9059/life_nonai</f>
        <v>30.1621705769444</v>
      </c>
      <c r="J9053" s="6" t="n">
        <f aca="false">Sens!I9053*(1-1/life_nonai)+Sens!J9059/life_nonai</f>
        <v>32.9710454956875</v>
      </c>
      <c r="K9053" s="6" t="n">
        <f aca="false">Sens!J9053*(1-1/life_nonai)+Sens!K9059/life_nonai</f>
        <v>35.9447583661421</v>
      </c>
      <c r="L9053" s="11" t="s">
        <v>844</v>
      </c>
    </row>
    <row r="9054" customFormat="false" ht="17.15" hidden="false" customHeight="false" outlineLevel="0" collapsed="false">
      <c r="A9054" s="1" t="s">
        <v>845</v>
      </c>
      <c r="B9054" s="0" t="s">
        <v>95</v>
      </c>
      <c r="E9054" s="6" t="n">
        <f aca="false">Sens!E8977+Sens!E9053</f>
        <v>38.534</v>
      </c>
      <c r="F9054" s="6" t="n">
        <f aca="false">Sens!F8977+Sens!F9053</f>
        <v>58.306759274451</v>
      </c>
      <c r="G9054" s="6" t="n">
        <f aca="false">Sens!G8977+Sens!G9053</f>
        <v>85.8635084798689</v>
      </c>
      <c r="H9054" s="6" t="n">
        <f aca="false">Sens!H8977+Sens!H9053</f>
        <v>115.318822988601</v>
      </c>
      <c r="I9054" s="6" t="n">
        <f aca="false">Sens!I8977+Sens!I9053</f>
        <v>146.133807568067</v>
      </c>
      <c r="J9054" s="6" t="n">
        <f aca="false">Sens!J8977+Sens!J9053</f>
        <v>178.16977870396</v>
      </c>
      <c r="K9054" s="6" t="n">
        <f aca="false">Sens!K8977+Sens!K9053</f>
        <v>211.658136250732</v>
      </c>
    </row>
    <row r="9055" customFormat="false" ht="15" hidden="false" customHeight="false" outlineLevel="0" collapsed="false">
      <c r="A9055" s="1" t="s">
        <v>685</v>
      </c>
      <c r="B9055" s="0" t="s">
        <v>95</v>
      </c>
      <c r="F9055" s="6" t="n">
        <f aca="false">Sens!F9004*sbc_r</f>
        <v>15.128151958156</v>
      </c>
      <c r="G9055" s="6" t="n">
        <f aca="false">Sens!G9004*sbc_r</f>
        <v>18.3895175814123</v>
      </c>
      <c r="H9055" s="6" t="n">
        <f aca="false">Sens!H9004*sbc_r</f>
        <v>21.8997363785556</v>
      </c>
      <c r="I9055" s="6" t="n">
        <f aca="false">Sens!I9004*sbc_r</f>
        <v>25.0968898177583</v>
      </c>
      <c r="J9055" s="6" t="n">
        <f aca="false">Sens!J9004*sbc_r</f>
        <v>28.1494723137142</v>
      </c>
      <c r="K9055" s="6" t="n">
        <f aca="false">Sens!K9004*sbc_r</f>
        <v>31.0883976098638</v>
      </c>
    </row>
    <row r="9056" customFormat="false" ht="17.15" hidden="false" customHeight="false" outlineLevel="0" collapsed="false">
      <c r="A9056" s="1" t="s">
        <v>846</v>
      </c>
      <c r="B9056" s="0" t="s">
        <v>95</v>
      </c>
      <c r="F9056" s="6" t="n">
        <f aca="false">wc27</f>
        <v>-4.895</v>
      </c>
      <c r="G9056" s="6" t="n">
        <f aca="false">0</f>
        <v>0</v>
      </c>
      <c r="H9056" s="6" t="n">
        <f aca="false">0</f>
        <v>0</v>
      </c>
      <c r="I9056" s="6" t="n">
        <f aca="false">0</f>
        <v>0</v>
      </c>
      <c r="J9056" s="6" t="n">
        <f aca="false">0</f>
        <v>0</v>
      </c>
      <c r="K9056" s="6" t="n">
        <f aca="false">0</f>
        <v>0</v>
      </c>
      <c r="L9056" s="11" t="s">
        <v>847</v>
      </c>
    </row>
    <row r="9057" customFormat="false" ht="15" hidden="false" customHeight="false" outlineLevel="0" collapsed="false">
      <c r="A9057" s="1" t="s">
        <v>678</v>
      </c>
      <c r="B9057" s="0" t="s">
        <v>95</v>
      </c>
      <c r="E9057" s="6" t="n">
        <f aca="false">Q!M35</f>
        <v>182.935</v>
      </c>
      <c r="F9057" s="6" t="n">
        <f aca="false">Sens!F9052+Sens!F9054+Sens!F9055+Sens!F9056</f>
        <v>213.390695810981</v>
      </c>
      <c r="G9057" s="6" t="n">
        <f aca="false">Sens!G9052+Sens!G9054+Sens!G9055+Sens!G9056</f>
        <v>273.268556332324</v>
      </c>
      <c r="H9057" s="6" t="n">
        <f aca="false">Sens!H9052+Sens!H9054+Sens!H9055+Sens!H9056</f>
        <v>334.393287734217</v>
      </c>
      <c r="I9057" s="6" t="n">
        <f aca="false">Sens!I9052+Sens!I9054+Sens!I9055+Sens!I9056</f>
        <v>389.813010256779</v>
      </c>
      <c r="J9057" s="6" t="n">
        <f aca="false">Sens!J9052+Sens!J9054+Sens!J9055+Sens!J9056</f>
        <v>443.688447771369</v>
      </c>
      <c r="K9057" s="6" t="n">
        <f aca="false">Sens!K9052+Sens!K9054+Sens!K9055+Sens!K9056</f>
        <v>496.402656190984</v>
      </c>
    </row>
    <row r="9058" customFormat="false" ht="17.15" hidden="false" customHeight="false" outlineLevel="0" collapsed="false">
      <c r="A9058" s="0" t="s">
        <v>848</v>
      </c>
      <c r="B9058" s="0" t="s">
        <v>95</v>
      </c>
      <c r="F9058" s="6" t="n">
        <f aca="false">Sens!F8974</f>
        <v>168.467384270438</v>
      </c>
      <c r="G9058" s="6" t="n">
        <f aca="false">Sens!G8974</f>
        <v>183.5741804832</v>
      </c>
      <c r="H9058" s="6" t="n">
        <f aca="false">Sens!H8974</f>
        <v>188.0802859104</v>
      </c>
      <c r="I9058" s="6" t="n">
        <f aca="false">Sens!I8974</f>
        <v>218.338961257067</v>
      </c>
      <c r="J9058" s="6" t="n">
        <f aca="false">Sens!J8974</f>
        <v>233.777060923733</v>
      </c>
      <c r="K9058" s="6" t="n">
        <f aca="false">Sens!K8974</f>
        <v>278.8563119504</v>
      </c>
    </row>
    <row r="9059" customFormat="false" ht="17.15" hidden="false" customHeight="false" outlineLevel="0" collapsed="false">
      <c r="A9059" s="1" t="s">
        <v>849</v>
      </c>
      <c r="B9059" s="0" t="s">
        <v>95</v>
      </c>
      <c r="E9059" s="6" t="n">
        <f aca="false">Sens!E8982*cx_azo+Sens!E8989*cx_m365+Sens!E8990*cx_lic+(Sens!E8992+Sens!E8994)*cx_ind+Sens!E8997*cx_srch+(Sens!E8999+Sens!E9001)*cx_dev</f>
        <v>30.1846587067718</v>
      </c>
      <c r="F9059" s="6" t="n">
        <f aca="false">Sens!F8982*cx_azo+Sens!F8989*cx_m365+Sens!F8990*cx_lic+(Sens!F8992+Sens!F8994)*cx_ind+Sens!F8997*cx_srch+(Sens!F8999+Sens!F9001)*cx_dev</f>
        <v>35.7326157295625</v>
      </c>
      <c r="G9059" s="6" t="n">
        <f aca="false">Sens!G8982*cx_azo+Sens!G8989*cx_m365+Sens!G8990*cx_lic+(Sens!G8992+Sens!G8994)*cx_ind+Sens!G8997*cx_srch+(Sens!G8999+Sens!G9001)*cx_dev</f>
        <v>41.6122339530614</v>
      </c>
      <c r="H9059" s="6" t="n">
        <f aca="false">Sens!H8982*cx_azo+Sens!H8989*cx_m365+Sens!H8990*cx_lic+(Sens!H8992+Sens!H8994)*cx_ind+Sens!H8997*cx_srch+(Sens!H8999+Sens!H9001)*cx_dev</f>
        <v>47.57963772885</v>
      </c>
      <c r="I9059" s="6" t="n">
        <f aca="false">Sens!I8982*cx_azo+Sens!I8989*cx_m365+Sens!I8990*cx_lic+(Sens!I8992+Sens!I8994)*cx_ind+Sens!I8997*cx_srch+(Sens!I8999+Sens!I9001)*cx_dev</f>
        <v>53.2032400602924</v>
      </c>
      <c r="J9059" s="6" t="n">
        <f aca="false">Sens!J8982*cx_azo+Sens!J8989*cx_m365+Sens!J8990*cx_lic+(Sens!J8992+Sens!J8994)*cx_ind+Sens!J8997*cx_srch+(Sens!J8999+Sens!J9001)*cx_dev</f>
        <v>58.2509197643751</v>
      </c>
      <c r="K9059" s="6" t="n">
        <f aca="false">Sens!K8982*cx_azo+Sens!K8989*cx_m365+Sens!K8990*cx_lic+(Sens!K8992+Sens!K8994)*cx_ind+Sens!K8997*cx_srch+(Sens!K8999+Sens!K9001)*cx_dev</f>
        <v>62.708174200234</v>
      </c>
    </row>
    <row r="9060" customFormat="false" ht="17.15" hidden="false" customHeight="false" outlineLevel="0" collapsed="false">
      <c r="A9060" s="1" t="s">
        <v>850</v>
      </c>
      <c r="B9060" s="0" t="s">
        <v>95</v>
      </c>
      <c r="E9060" s="6" t="n">
        <f aca="false">Q!M42</f>
        <v>145.3</v>
      </c>
      <c r="F9060" s="6" t="n">
        <f aca="false">Sens!F9058+Sens!F9059</f>
        <v>204.2</v>
      </c>
      <c r="G9060" s="6" t="n">
        <f aca="false">Sens!G9058+Sens!G9059</f>
        <v>225.186414436261</v>
      </c>
      <c r="H9060" s="6" t="n">
        <f aca="false">Sens!H9058+Sens!H9059</f>
        <v>235.65992363925</v>
      </c>
      <c r="I9060" s="6" t="n">
        <f aca="false">Sens!I9058+Sens!I9059</f>
        <v>271.542201317359</v>
      </c>
      <c r="J9060" s="6" t="n">
        <f aca="false">Sens!J9058+Sens!J9059</f>
        <v>292.027980688108</v>
      </c>
      <c r="K9060" s="6" t="n">
        <f aca="false">Sens!K9058+Sens!K9059</f>
        <v>341.564486150634</v>
      </c>
      <c r="L9060" s="1" t="s">
        <v>851</v>
      </c>
    </row>
    <row r="9061" customFormat="false" ht="15" hidden="false" customHeight="false" outlineLevel="0" collapsed="false">
      <c r="A9061" s="1" t="s">
        <v>852</v>
      </c>
      <c r="B9061" s="0" t="s">
        <v>95</v>
      </c>
      <c r="E9061" s="6" t="n">
        <f aca="false">fl_liab</f>
        <v>66.594</v>
      </c>
      <c r="F9061" s="6" t="n">
        <f aca="false">Sens!E9061-Sens!F9062</f>
        <v>62.46973</v>
      </c>
      <c r="G9061" s="6" t="n">
        <f aca="false">Sens!F9061-Sens!G9062</f>
        <v>57.98686785</v>
      </c>
      <c r="H9061" s="6" t="n">
        <f aca="false">Sens!G9061-Sens!H9062</f>
        <v>53.92827690325</v>
      </c>
      <c r="I9061" s="6" t="n">
        <f aca="false">Sens!H9061-Sens!I9062</f>
        <v>49.7850493638962</v>
      </c>
      <c r="J9061" s="6" t="n">
        <f aca="false">Sens!I9061-Sens!J9062</f>
        <v>45.4823765852716</v>
      </c>
      <c r="K9061" s="6" t="n">
        <f aca="false">Sens!J9061-Sens!K9062</f>
        <v>40.9860835316088</v>
      </c>
    </row>
    <row r="9062" customFormat="false" ht="15" hidden="false" customHeight="false" outlineLevel="0" collapsed="false">
      <c r="A9062" s="1" t="s">
        <v>853</v>
      </c>
      <c r="B9062" s="0" t="s">
        <v>95</v>
      </c>
      <c r="F9062" s="6" t="n">
        <f aca="false">fl_pay_27-Sens!E9061*fl_rate</f>
        <v>4.12427</v>
      </c>
      <c r="G9062" s="6" t="n">
        <f aca="false">fl_pay_28-Sens!F9061*fl_rate</f>
        <v>4.48286215</v>
      </c>
      <c r="H9062" s="6" t="n">
        <f aca="false">fl_pay_29-Sens!G9061*fl_rate</f>
        <v>4.05859094675</v>
      </c>
      <c r="I9062" s="6" t="n">
        <f aca="false">fl_pay_30-Sens!H9061*fl_rate</f>
        <v>4.14322753935375</v>
      </c>
      <c r="J9062" s="6" t="n">
        <f aca="false">fl_pay_31-Sens!I9061*fl_rate</f>
        <v>4.30267277862467</v>
      </c>
      <c r="K9062" s="6" t="n">
        <f aca="false">fl_pay_32-Sens!J9061*fl_rate</f>
        <v>4.49629305366278</v>
      </c>
    </row>
    <row r="9063" customFormat="false" ht="17.15" hidden="false" customHeight="false" outlineLevel="0" collapsed="false">
      <c r="A9063" s="1" t="s">
        <v>854</v>
      </c>
      <c r="B9063" s="0" t="s">
        <v>95</v>
      </c>
      <c r="E9063" s="6" t="n">
        <f aca="false">Q!M35-Q!M36-Q!M43</f>
        <v>63.886</v>
      </c>
      <c r="F9063" s="6" t="n">
        <f aca="false">Sens!F9057-Sens!F9060-Sens!F9062</f>
        <v>5.06642581098088</v>
      </c>
      <c r="G9063" s="6" t="n">
        <f aca="false">Sens!G9057-Sens!G9060-Sens!G9062</f>
        <v>43.5992797460625</v>
      </c>
      <c r="H9063" s="6" t="n">
        <f aca="false">Sens!H9057-Sens!H9060-Sens!H9062</f>
        <v>94.6747731482168</v>
      </c>
      <c r="I9063" s="6" t="n">
        <f aca="false">Sens!I9057-Sens!I9060-Sens!I9062</f>
        <v>114.127581400066</v>
      </c>
      <c r="J9063" s="6" t="n">
        <f aca="false">Sens!J9057-Sens!J9060-Sens!J9062</f>
        <v>147.357794304636</v>
      </c>
      <c r="K9063" s="6" t="n">
        <f aca="false">Sens!K9057-Sens!K9060-Sens!K9062</f>
        <v>150.341876986687</v>
      </c>
      <c r="L9063" s="11" t="s">
        <v>855</v>
      </c>
    </row>
    <row r="9064" customFormat="false" ht="15" hidden="false" customHeight="false" outlineLevel="0" collapsed="false">
      <c r="A9064" s="1" t="s">
        <v>856</v>
      </c>
      <c r="B9064" s="0" t="s">
        <v>73</v>
      </c>
      <c r="F9064" s="8" t="n">
        <f aca="false">dps_27</f>
        <v>3.85</v>
      </c>
      <c r="G9064" s="8" t="n">
        <f aca="false">Sens!F9064*(1+dps_g)</f>
        <v>4.158</v>
      </c>
      <c r="H9064" s="8" t="n">
        <f aca="false">Sens!G9064*(1+dps_g)</f>
        <v>4.49064</v>
      </c>
      <c r="I9064" s="8" t="n">
        <f aca="false">Sens!H9064*(1+dps_g)</f>
        <v>4.8498912</v>
      </c>
      <c r="J9064" s="8" t="n">
        <f aca="false">Sens!I9064*(1+dps_g)</f>
        <v>5.237882496</v>
      </c>
      <c r="K9064" s="8" t="n">
        <f aca="false">Sens!J9064*(1+dps_g)</f>
        <v>5.65691309568</v>
      </c>
    </row>
    <row r="9065" customFormat="false" ht="17.15" hidden="false" customHeight="false" outlineLevel="0" collapsed="false">
      <c r="A9065" s="1" t="s">
        <v>857</v>
      </c>
      <c r="B9065" s="0" t="s">
        <v>95</v>
      </c>
      <c r="E9065" s="6" t="n">
        <f aca="false">Q!M41</f>
        <v>26.445</v>
      </c>
      <c r="F9065" s="6" t="n">
        <f aca="false">Sens!F9064*Sens!E9074</f>
        <v>28.59395</v>
      </c>
      <c r="G9065" s="6" t="n">
        <f aca="false">Sens!G9064*Sens!F9074</f>
        <v>31.068576</v>
      </c>
      <c r="H9065" s="6" t="n">
        <f aca="false">Sens!H9064*Sens!G9074</f>
        <v>33.6620067945629</v>
      </c>
      <c r="I9065" s="6" t="n">
        <f aca="false">Sens!I9064*Sens!H9074</f>
        <v>36.4059065781274</v>
      </c>
      <c r="J9065" s="6" t="n">
        <f aca="false">Sens!J9064*Sens!I9074</f>
        <v>39.386777952697</v>
      </c>
      <c r="K9065" s="6" t="n">
        <f aca="false">Sens!K9064*Sens!J9074</f>
        <v>42.6249754142178</v>
      </c>
      <c r="L9065" s="1" t="s">
        <v>858</v>
      </c>
    </row>
    <row r="9066" customFormat="false" ht="15" hidden="false" customHeight="false" outlineLevel="0" collapsed="false">
      <c r="A9066" s="1" t="s">
        <v>859</v>
      </c>
      <c r="B9066" s="0" t="s">
        <v>95</v>
      </c>
      <c r="E9066" s="6" t="n">
        <f aca="false">Sens!E9063-Sens!E9065</f>
        <v>37.441</v>
      </c>
      <c r="F9066" s="6" t="n">
        <f aca="false">Sens!F9063-Sens!F9065</f>
        <v>-23.5275241890191</v>
      </c>
      <c r="G9066" s="6" t="n">
        <f aca="false">Sens!G9063-Sens!G9065</f>
        <v>12.5307037460625</v>
      </c>
      <c r="H9066" s="6" t="n">
        <f aca="false">Sens!H9063-Sens!H9065</f>
        <v>61.0127663536539</v>
      </c>
      <c r="I9066" s="6" t="n">
        <f aca="false">Sens!I9063-Sens!I9065</f>
        <v>77.7216748219389</v>
      </c>
      <c r="J9066" s="6" t="n">
        <f aca="false">Sens!J9063-Sens!J9065</f>
        <v>107.971016351939</v>
      </c>
      <c r="K9066" s="6" t="n">
        <f aca="false">Sens!K9063-Sens!K9065</f>
        <v>107.716901572469</v>
      </c>
    </row>
    <row r="9067" customFormat="false" ht="15" hidden="false" customHeight="false" outlineLevel="0" collapsed="false">
      <c r="A9067" s="1" t="s">
        <v>860</v>
      </c>
      <c r="B9067" s="0" t="s">
        <v>95</v>
      </c>
      <c r="F9067" s="6" t="n">
        <f aca="false">debt_mat_27</f>
        <v>9.25</v>
      </c>
      <c r="G9067" s="6" t="n">
        <f aca="false">debt_mat_28</f>
        <v>0</v>
      </c>
      <c r="H9067" s="6" t="n">
        <f aca="false">debt_mat_29</f>
        <v>2.001</v>
      </c>
      <c r="I9067" s="6" t="n">
        <f aca="false">debt_mat_30</f>
        <v>0</v>
      </c>
      <c r="J9067" s="6" t="n">
        <f aca="false">debt_mat_31</f>
        <v>0.5</v>
      </c>
      <c r="K9067" s="6" t="n">
        <f aca="false">debt_mat_32</f>
        <v>0</v>
      </c>
    </row>
    <row r="9068" customFormat="false" ht="15" hidden="false" customHeight="false" outlineLevel="0" collapsed="false">
      <c r="A9068" s="1" t="s">
        <v>861</v>
      </c>
      <c r="B9068" s="0" t="s">
        <v>95</v>
      </c>
      <c r="E9068" s="6" t="n">
        <f aca="false">Q!M40</f>
        <v>22.271</v>
      </c>
      <c r="F9068" s="6" t="n">
        <f aca="false">MAX(0,MIN(bb_target,Sens!E9070+Sens!F9066-Sens!F9067-min_cash))</f>
        <v>0</v>
      </c>
      <c r="G9068" s="6" t="n">
        <f aca="false">MAX(0,MIN(bb_target,Sens!F9070+Sens!G9066-Sens!G9067-min_cash))</f>
        <v>12.5307037460625</v>
      </c>
      <c r="H9068" s="6" t="n">
        <f aca="false">MAX(0,MIN(bb_target,Sens!G9070+Sens!H9066-Sens!H9067-min_cash))</f>
        <v>22.271</v>
      </c>
      <c r="I9068" s="6" t="n">
        <f aca="false">MAX(0,MIN(bb_target,Sens!H9070+Sens!I9066-Sens!I9067-min_cash))</f>
        <v>22.271</v>
      </c>
      <c r="J9068" s="6" t="n">
        <f aca="false">MAX(0,MIN(bb_target,Sens!I9070+Sens!J9066-Sens!J9067-min_cash))</f>
        <v>22.271</v>
      </c>
      <c r="K9068" s="6" t="n">
        <f aca="false">MAX(0,MIN(bb_target,Sens!J9070+Sens!K9066-Sens!K9067-min_cash))</f>
        <v>22.271</v>
      </c>
    </row>
    <row r="9069" customFormat="false" ht="15" hidden="false" customHeight="false" outlineLevel="0" collapsed="false">
      <c r="A9069" s="1" t="s">
        <v>862</v>
      </c>
      <c r="B9069" s="0" t="s">
        <v>95</v>
      </c>
      <c r="F9069" s="6" t="n">
        <f aca="false">MAX(0,min_cash-(Sens!E9070+Sens!F9066-Sens!F9067-Sens!F9068))</f>
        <v>5.93452418901912</v>
      </c>
      <c r="G9069" s="6" t="n">
        <f aca="false">MAX(0,min_cash-(Sens!F9070+Sens!G9066-Sens!G9067-Sens!G9068))</f>
        <v>0</v>
      </c>
      <c r="H9069" s="6" t="n">
        <f aca="false">MAX(0,min_cash-(Sens!G9070+Sens!H9066-Sens!H9067-Sens!H9068))</f>
        <v>0</v>
      </c>
      <c r="I9069" s="6" t="n">
        <f aca="false">MAX(0,min_cash-(Sens!H9070+Sens!I9066-Sens!I9067-Sens!I9068))</f>
        <v>0</v>
      </c>
      <c r="J9069" s="6" t="n">
        <f aca="false">MAX(0,min_cash-(Sens!I9070+Sens!J9066-Sens!J9067-Sens!J9068))</f>
        <v>0</v>
      </c>
      <c r="K9069" s="6" t="n">
        <f aca="false">MAX(0,min_cash-(Sens!J9070+Sens!K9066-Sens!K9067-Sens!K9068))</f>
        <v>0</v>
      </c>
    </row>
    <row r="9070" customFormat="false" ht="15" hidden="false" customHeight="false" outlineLevel="0" collapsed="false">
      <c r="A9070" s="1" t="s">
        <v>863</v>
      </c>
      <c r="B9070" s="0" t="s">
        <v>95</v>
      </c>
      <c r="E9070" s="6" t="n">
        <f aca="false">cash_open</f>
        <v>76.843</v>
      </c>
      <c r="F9070" s="6" t="n">
        <f aca="false">Sens!E9070+Sens!F9066-Sens!F9067-Sens!F9068+Sens!F9069</f>
        <v>50</v>
      </c>
      <c r="G9070" s="6" t="n">
        <f aca="false">Sens!F9070+Sens!G9066-Sens!G9067-Sens!G9068+Sens!G9069</f>
        <v>50</v>
      </c>
      <c r="H9070" s="6" t="n">
        <f aca="false">Sens!G9070+Sens!H9066-Sens!H9067-Sens!H9068+Sens!H9069</f>
        <v>86.7407663536539</v>
      </c>
      <c r="I9070" s="6" t="n">
        <f aca="false">Sens!H9070+Sens!I9066-Sens!I9067-Sens!I9068+Sens!I9069</f>
        <v>142.191441175593</v>
      </c>
      <c r="J9070" s="6" t="n">
        <f aca="false">Sens!I9070+Sens!J9066-Sens!J9067-Sens!J9068+Sens!J9069</f>
        <v>227.391457527532</v>
      </c>
      <c r="K9070" s="6" t="n">
        <f aca="false">Sens!J9070+Sens!K9066-Sens!K9067-Sens!K9068+Sens!K9069</f>
        <v>312.837359100001</v>
      </c>
    </row>
    <row r="9071" customFormat="false" ht="15" hidden="false" customHeight="false" outlineLevel="0" collapsed="false">
      <c r="A9071" s="1" t="s">
        <v>864</v>
      </c>
      <c r="B9071" s="0" t="s">
        <v>95</v>
      </c>
      <c r="E9071" s="6" t="n">
        <f aca="false">debt_face</f>
        <v>46.136</v>
      </c>
      <c r="F9071" s="6" t="n">
        <f aca="false">Sens!E9071-Sens!F9067+Sens!F9069</f>
        <v>42.8205241890191</v>
      </c>
      <c r="G9071" s="6" t="n">
        <f aca="false">Sens!F9071-Sens!G9067+Sens!G9069</f>
        <v>42.8205241890191</v>
      </c>
      <c r="H9071" s="6" t="n">
        <f aca="false">Sens!G9071-Sens!H9067+Sens!H9069</f>
        <v>40.8195241890191</v>
      </c>
      <c r="I9071" s="6" t="n">
        <f aca="false">Sens!H9071-Sens!I9067+Sens!I9069</f>
        <v>40.8195241890191</v>
      </c>
      <c r="J9071" s="6" t="n">
        <f aca="false">Sens!I9071-Sens!J9067+Sens!J9069</f>
        <v>40.3195241890191</v>
      </c>
      <c r="K9071" s="6" t="n">
        <f aca="false">Sens!J9071-Sens!K9067+Sens!K9069</f>
        <v>40.3195241890191</v>
      </c>
    </row>
    <row r="9072" customFormat="false" ht="15" hidden="false" customHeight="false" outlineLevel="0" collapsed="false">
      <c r="A9072" s="1" t="s">
        <v>865</v>
      </c>
      <c r="B9072" s="0" t="s">
        <v>95</v>
      </c>
      <c r="E9072" s="6" t="n">
        <f aca="false">Sens!E9070-Sens!E9071</f>
        <v>30.707</v>
      </c>
      <c r="F9072" s="6" t="n">
        <f aca="false">Sens!F9070-Sens!F9071</f>
        <v>7.17947581098088</v>
      </c>
      <c r="G9072" s="6" t="n">
        <f aca="false">Sens!G9070-Sens!G9071</f>
        <v>7.17947581098088</v>
      </c>
      <c r="H9072" s="6" t="n">
        <f aca="false">Sens!H9070-Sens!H9071</f>
        <v>45.9212421646348</v>
      </c>
      <c r="I9072" s="6" t="n">
        <f aca="false">Sens!I9070-Sens!I9071</f>
        <v>101.371916986574</v>
      </c>
      <c r="J9072" s="6" t="n">
        <f aca="false">Sens!J9070-Sens!J9071</f>
        <v>187.071933338513</v>
      </c>
      <c r="K9072" s="6" t="n">
        <f aca="false">Sens!K9070-Sens!K9071</f>
        <v>272.517834910982</v>
      </c>
    </row>
    <row r="9073" customFormat="false" ht="15" hidden="false" customHeight="false" outlineLevel="0" collapsed="false">
      <c r="A9073" s="1" t="s">
        <v>866</v>
      </c>
      <c r="B9073" s="0" t="s">
        <v>73</v>
      </c>
      <c r="F9073" s="27" t="n">
        <f aca="false">px*(1+bb_g)^(1-0.5)</f>
        <v>553.494156066711</v>
      </c>
      <c r="G9073" s="27" t="n">
        <f aca="false">px*(1+bb_g)^(2-0.5)</f>
        <v>597.773688552047</v>
      </c>
      <c r="H9073" s="27" t="n">
        <f aca="false">px*(1+bb_g)^(3-0.5)</f>
        <v>645.595583636211</v>
      </c>
      <c r="I9073" s="27" t="n">
        <f aca="false">px*(1+bb_g)^(4-0.5)</f>
        <v>697.243230327108</v>
      </c>
      <c r="J9073" s="27" t="n">
        <f aca="false">px*(1+bb_g)^(5-0.5)</f>
        <v>753.022688753277</v>
      </c>
      <c r="K9073" s="27" t="n">
        <f aca="false">px*(1+bb_g)^(6-0.5)</f>
        <v>813.264503853539</v>
      </c>
    </row>
    <row r="9074" customFormat="false" ht="15" hidden="false" customHeight="false" outlineLevel="0" collapsed="false">
      <c r="A9074" s="1" t="s">
        <v>867</v>
      </c>
      <c r="B9074" s="1" t="s">
        <v>79</v>
      </c>
      <c r="E9074" s="18" t="n">
        <f aca="false">sh_out26</f>
        <v>7.427</v>
      </c>
      <c r="F9074" s="18" t="n">
        <f aca="false">Sens!E9074+sh_iss-Sens!F9068/Sens!F9073</f>
        <v>7.472</v>
      </c>
      <c r="G9074" s="18" t="n">
        <f aca="false">Sens!F9074+sh_iss-Sens!G9068/Sens!G9073</f>
        <v>7.49603771278991</v>
      </c>
      <c r="H9074" s="18" t="n">
        <f aca="false">Sens!G9074+sh_iss-Sens!H9068/Sens!H9073</f>
        <v>7.50654088448981</v>
      </c>
      <c r="I9074" s="18" t="n">
        <f aca="false">Sens!H9074+sh_iss-Sens!I9068/Sens!I9073</f>
        <v>7.51959937680454</v>
      </c>
      <c r="J9074" s="18" t="n">
        <f aca="false">Sens!I9074+sh_iss-Sens!J9068/Sens!J9073</f>
        <v>7.53502390672558</v>
      </c>
      <c r="K9074" s="18" t="n">
        <f aca="false">Sens!J9074+sh_iss-Sens!K9068/Sens!K9073</f>
        <v>7.55263921220802</v>
      </c>
    </row>
    <row r="9075" customFormat="false" ht="15" hidden="false" customHeight="false" outlineLevel="0" collapsed="false">
      <c r="A9075" s="1" t="s">
        <v>868</v>
      </c>
      <c r="B9075" s="1" t="s">
        <v>79</v>
      </c>
      <c r="E9075" s="18" t="n">
        <f aca="false">sh_dil26</f>
        <v>7.453</v>
      </c>
      <c r="F9075" s="18" t="n">
        <f aca="false">(Sens!E9074+Sens!F9074)/2+dil_gap</f>
        <v>7.4735</v>
      </c>
      <c r="G9075" s="18" t="n">
        <f aca="false">(Sens!F9074+Sens!G9074)/2+dil_gap</f>
        <v>7.50801885639496</v>
      </c>
      <c r="H9075" s="18" t="n">
        <f aca="false">(Sens!G9074+Sens!H9074)/2+dil_gap</f>
        <v>7.52528929863986</v>
      </c>
      <c r="I9075" s="18" t="n">
        <f aca="false">(Sens!H9074+Sens!I9074)/2+dil_gap</f>
        <v>7.53707013064717</v>
      </c>
      <c r="J9075" s="18" t="n">
        <f aca="false">(Sens!I9074+Sens!J9074)/2+dil_gap</f>
        <v>7.55131164176506</v>
      </c>
      <c r="K9075" s="18" t="n">
        <f aca="false">(Sens!J9074+Sens!K9074)/2+dil_gap</f>
        <v>7.5678315594668</v>
      </c>
    </row>
    <row r="9076" customFormat="false" ht="17.15" hidden="false" customHeight="false" outlineLevel="0" collapsed="false">
      <c r="A9076" s="1" t="s">
        <v>869</v>
      </c>
      <c r="B9076" s="0" t="s">
        <v>95</v>
      </c>
      <c r="C9076" s="6" t="n">
        <f aca="false">SUM(Sens!F9066:J9066)</f>
        <v>235.708637084575</v>
      </c>
    </row>
    <row r="9077" customFormat="false" ht="17.15" hidden="false" customHeight="false" outlineLevel="0" collapsed="false">
      <c r="A9077" s="1" t="s">
        <v>836</v>
      </c>
      <c r="B9077" s="1" t="s">
        <v>870</v>
      </c>
      <c r="C9077" s="30" t="str">
        <f aca="false">IF(SUM(Sens!F9069:J9069)&gt;0.05,"需要舉債 "&amp;TEXT(SUM(Sens!F9069:J9069),"0.0")&amp;" 十億美元","不需舉債")&amp;"；"&amp;IF(SUM(Sens!F9068:J9068)&lt;5*bb_target-0.05,"回購較每年 "&amp;TEXT(bb_target,"0.0")&amp;" 的目標少 "&amp;TEXT(5*bb_target-SUM(Sens!F9068:J9068),"0.0")&amp;" 十億美元（"&amp;TEXT(COUNTIF(Sens!F9068:J9068,"&lt;"&amp;(bb_target-0.05)),"0")&amp;" 年減少）","回購不減")</f>
        <v>需要舉債 5.9 十億美元；回購較每年 22.3 的目標少 32.0 十億美元（2 年減少）</v>
      </c>
    </row>
    <row r="9078" customFormat="false" ht="17.15" hidden="false" customHeight="false" outlineLevel="0" collapsed="false">
      <c r="A9078" s="3" t="s">
        <v>1373</v>
      </c>
    </row>
    <row r="9079" customFormat="false" ht="15" hidden="false" customHeight="false" outlineLevel="0" collapsed="false">
      <c r="A9079" s="4" t="s">
        <v>43</v>
      </c>
      <c r="B9079" s="4" t="s">
        <v>63</v>
      </c>
      <c r="C9079" s="19" t="s">
        <v>710</v>
      </c>
      <c r="D9079" s="19" t="s">
        <v>711</v>
      </c>
      <c r="E9079" s="19" t="s">
        <v>712</v>
      </c>
      <c r="F9079" s="19" t="s">
        <v>713</v>
      </c>
      <c r="G9079" s="19" t="s">
        <v>714</v>
      </c>
      <c r="H9079" s="19" t="s">
        <v>715</v>
      </c>
      <c r="I9079" s="19" t="s">
        <v>716</v>
      </c>
      <c r="J9079" s="19" t="s">
        <v>717</v>
      </c>
      <c r="K9079" s="19" t="s">
        <v>718</v>
      </c>
      <c r="L9079" s="4" t="s">
        <v>47</v>
      </c>
    </row>
    <row r="9080" customFormat="false" ht="17.15" hidden="false" customHeight="false" outlineLevel="0" collapsed="false">
      <c r="A9080" s="1" t="s">
        <v>938</v>
      </c>
      <c r="B9080" s="1" t="s">
        <v>213</v>
      </c>
      <c r="F9080" s="34" t="n">
        <f aca="false">1-0.5</f>
        <v>0.5</v>
      </c>
      <c r="G9080" s="34" t="n">
        <f aca="false">2-0.5</f>
        <v>1.5</v>
      </c>
      <c r="H9080" s="34" t="n">
        <f aca="false">3-0.5</f>
        <v>2.5</v>
      </c>
      <c r="I9080" s="34" t="n">
        <f aca="false">4-0.5</f>
        <v>3.5</v>
      </c>
      <c r="J9080" s="34" t="n">
        <f aca="false">5-0.5</f>
        <v>4.5</v>
      </c>
      <c r="K9080" s="34" t="n">
        <f aca="false">6-0.5</f>
        <v>5.5</v>
      </c>
    </row>
    <row r="9081" customFormat="false" ht="15" hidden="false" customHeight="false" outlineLevel="0" collapsed="false">
      <c r="A9081" s="1" t="s">
        <v>939</v>
      </c>
      <c r="B9081" s="0" t="s">
        <v>182</v>
      </c>
      <c r="F9081" s="18" t="n">
        <f aca="false">1/(1+wacc)^Sens!F9080</f>
        <v>0.949601579913219</v>
      </c>
      <c r="G9081" s="18" t="n">
        <f aca="false">1/(1+wacc)^Sens!G9080</f>
        <v>0.856296729956707</v>
      </c>
      <c r="H9081" s="18" t="n">
        <f aca="false">1/(1+wacc)^Sens!H9080</f>
        <v>0.772159719660069</v>
      </c>
      <c r="I9081" s="18" t="n">
        <f aca="false">1/(1+wacc)^Sens!I9080</f>
        <v>0.696289746073958</v>
      </c>
      <c r="J9081" s="18" t="n">
        <f aca="false">1/(1+wacc)^Sens!J9080</f>
        <v>0.627874516299776</v>
      </c>
      <c r="K9081" s="18" t="n">
        <f aca="false">1/(1+wacc)^Sens!K9080</f>
        <v>0.566181550771831</v>
      </c>
    </row>
    <row r="9082" customFormat="false" ht="15" hidden="false" customHeight="false" outlineLevel="0" collapsed="false">
      <c r="A9082" s="1" t="s">
        <v>940</v>
      </c>
      <c r="B9082" s="0" t="s">
        <v>95</v>
      </c>
      <c r="F9082" s="6" t="n">
        <f aca="false">Sens!F9063*Sens!F9081</f>
        <v>4.81108595462056</v>
      </c>
      <c r="G9082" s="6" t="n">
        <f aca="false">Sens!G9063*Sens!G9081</f>
        <v>37.333920675021</v>
      </c>
      <c r="H9082" s="6" t="n">
        <f aca="false">Sens!H9063*Sens!H9081</f>
        <v>73.1040462930077</v>
      </c>
      <c r="I9082" s="6" t="n">
        <f aca="false">Sens!I9063*Sens!I9081</f>
        <v>79.4658646730871</v>
      </c>
      <c r="J9082" s="6" t="n">
        <f aca="false">Sens!J9063*Sens!J9081</f>
        <v>92.5222038220254</v>
      </c>
      <c r="K9082" s="6" t="n">
        <f aca="false">Sens!K9063*Sens!K9081</f>
        <v>85.1207970582702</v>
      </c>
    </row>
    <row r="9083" customFormat="false" ht="17.15" hidden="false" customHeight="false" outlineLevel="0" collapsed="false">
      <c r="A9083" s="1" t="s">
        <v>941</v>
      </c>
      <c r="B9083" s="0" t="s">
        <v>95</v>
      </c>
      <c r="C9083" s="6" t="n">
        <f aca="false">SUM(Sens!F9082:K9082)</f>
        <v>372.357918476032</v>
      </c>
    </row>
    <row r="9084" customFormat="false" ht="17.15" hidden="false" customHeight="false" outlineLevel="0" collapsed="false">
      <c r="A9084" s="1" t="s">
        <v>942</v>
      </c>
      <c r="B9084" s="0" t="s">
        <v>95</v>
      </c>
      <c r="C9084" s="6" t="n">
        <f aca="false">Sens!K9029*(1+g_tv)*(1-tax_f)</f>
        <v>261.5954060003</v>
      </c>
    </row>
    <row r="9085" customFormat="false" ht="17.15" hidden="false" customHeight="false" outlineLevel="0" collapsed="false">
      <c r="A9085" s="1" t="s">
        <v>943</v>
      </c>
      <c r="B9085" s="0" t="s">
        <v>95</v>
      </c>
      <c r="C9085" s="6" t="n">
        <f aca="false">Sens!$C$9084*(1-g_tv/(wacc+ronic_prem))</f>
        <v>189.572368344436</v>
      </c>
    </row>
    <row r="9086" customFormat="false" ht="17.15" hidden="false" customHeight="false" outlineLevel="0" collapsed="false">
      <c r="A9086" s="1" t="s">
        <v>944</v>
      </c>
      <c r="B9086" s="0" t="s">
        <v>95</v>
      </c>
      <c r="C9086" s="6" t="n">
        <f aca="false">Sens!$C$9085/(wacc-g_tv)</f>
        <v>2400.76792186214</v>
      </c>
    </row>
    <row r="9087" customFormat="false" ht="15" hidden="false" customHeight="false" outlineLevel="0" collapsed="false">
      <c r="A9087" s="1" t="s">
        <v>945</v>
      </c>
      <c r="B9087" s="0" t="s">
        <v>95</v>
      </c>
      <c r="C9087" s="6" t="n">
        <f aca="false">Sens!$C$9086/(1+wacc)^6</f>
        <v>1290.76541911843</v>
      </c>
    </row>
    <row r="9088" customFormat="false" ht="17.15" hidden="false" customHeight="false" outlineLevel="0" collapsed="false">
      <c r="A9088" s="0" t="s">
        <v>877</v>
      </c>
      <c r="B9088" s="0" t="s">
        <v>95</v>
      </c>
      <c r="C9088" s="6" t="n">
        <f aca="false">Sens!$C$9083+Sens!$C$9087</f>
        <v>1663.12333759447</v>
      </c>
    </row>
    <row r="9089" customFormat="false" ht="15" hidden="false" customHeight="false" outlineLevel="0" collapsed="false">
      <c r="A9089" s="1" t="s">
        <v>878</v>
      </c>
      <c r="B9089" s="0" t="s">
        <v>126</v>
      </c>
      <c r="C9089" s="7" t="n">
        <f aca="false">Sens!$C$9087/Sens!$C$9088</f>
        <v>0.776109257768814</v>
      </c>
    </row>
    <row r="9090" customFormat="false" ht="17.15" hidden="false" customHeight="false" outlineLevel="0" collapsed="false">
      <c r="A9090" s="1" t="s">
        <v>946</v>
      </c>
      <c r="B9090" s="0" t="s">
        <v>95</v>
      </c>
      <c r="C9090" s="6" t="n">
        <f aca="false">Sens!$C$9088+Sens!E9072+oai_v</f>
        <v>1864.23033759447</v>
      </c>
    </row>
    <row r="9091" customFormat="false" ht="17.15" hidden="false" customHeight="false" outlineLevel="0" collapsed="false">
      <c r="A9091" s="0" t="s">
        <v>883</v>
      </c>
      <c r="B9091" s="0" t="s">
        <v>73</v>
      </c>
      <c r="C9091" s="5" t="n">
        <f aca="false">Sens!$C$9090/sh_dil26</f>
        <v>250.131535971349</v>
      </c>
    </row>
    <row r="9092" customFormat="false" ht="17.15" hidden="false" customHeight="false" outlineLevel="0" collapsed="false">
      <c r="A9092" s="0" t="s">
        <v>947</v>
      </c>
      <c r="B9092" s="0" t="s">
        <v>73</v>
      </c>
      <c r="C9092" s="5" t="n">
        <f aca="false">Sens!$C$9091*(1+wacc)^t_roll</f>
        <v>286.899513735367</v>
      </c>
    </row>
    <row r="9093" customFormat="false" ht="17.15" hidden="false" customHeight="false" outlineLevel="0" collapsed="false">
      <c r="A9093" s="1" t="s">
        <v>948</v>
      </c>
      <c r="B9093" s="0" t="s">
        <v>126</v>
      </c>
      <c r="F9093" s="7" t="n">
        <f aca="false">Sens!F9053/(Sens!F9004-Sens!F8960)</f>
        <v>0.0681568336445454</v>
      </c>
      <c r="G9093" s="7" t="n">
        <f aca="false">Sens!G9053/(Sens!G9004-Sens!G8960)</f>
        <v>0.0649898381122724</v>
      </c>
      <c r="H9093" s="7" t="n">
        <f aca="false">Sens!H9053/(Sens!H9004-Sens!H8960)</f>
        <v>0.0633014174284187</v>
      </c>
      <c r="I9093" s="7" t="n">
        <f aca="false">Sens!I9053/(Sens!I9004-Sens!I8960)</f>
        <v>0.0629804753822413</v>
      </c>
      <c r="J9093" s="7" t="n">
        <f aca="false">Sens!J9053/(Sens!J9004-Sens!J8960)</f>
        <v>0.0636734823418539</v>
      </c>
      <c r="K9093" s="7" t="n">
        <f aca="false">Sens!K9053/(Sens!K9004-Sens!K8960)</f>
        <v>0.064927364014184</v>
      </c>
    </row>
    <row r="9094" customFormat="false" ht="17.15" hidden="false" customHeight="false" outlineLevel="0" collapsed="false">
      <c r="A9094" s="0" t="s">
        <v>949</v>
      </c>
      <c r="B9094" s="0" t="s">
        <v>95</v>
      </c>
      <c r="F9094" s="6" t="n">
        <f aca="false">Sens!F8989*(al_m365+Sens!F9093)</f>
        <v>80.4409966052114</v>
      </c>
      <c r="G9094" s="6" t="n">
        <f aca="false">Sens!G8989*(al_m365+Sens!G9093)</f>
        <v>94.1254336624265</v>
      </c>
      <c r="H9094" s="6" t="n">
        <f aca="false">Sens!H8989*(al_m365+Sens!H9093)</f>
        <v>107.970453207834</v>
      </c>
      <c r="I9094" s="6" t="n">
        <f aca="false">Sens!I8989*(al_m365+Sens!I9093)</f>
        <v>120.386665252968</v>
      </c>
      <c r="J9094" s="6" t="n">
        <f aca="false">Sens!J8989*(al_m365+Sens!J9093)</f>
        <v>131.196767756379</v>
      </c>
      <c r="K9094" s="6" t="n">
        <f aca="false">Sens!K8989*(al_m365+Sens!K9093)</f>
        <v>141.648141168794</v>
      </c>
    </row>
    <row r="9095" customFormat="false" ht="17.15" hidden="false" customHeight="false" outlineLevel="0" collapsed="false">
      <c r="A9095" s="0" t="s">
        <v>950</v>
      </c>
      <c r="B9095" s="0" t="s">
        <v>95</v>
      </c>
      <c r="F9095" s="6" t="n">
        <f aca="false">Sens!F8990*(al_lic+Sens!F9093)</f>
        <v>31.9670920655782</v>
      </c>
      <c r="G9095" s="6" t="n">
        <f aca="false">Sens!G8990*(al_lic+Sens!G9093)</f>
        <v>33.1917349485615</v>
      </c>
      <c r="H9095" s="6" t="n">
        <f aca="false">Sens!H8990*(al_lic+Sens!H9093)</f>
        <v>34.3405126927193</v>
      </c>
      <c r="I9095" s="6" t="n">
        <f aca="false">Sens!I8990*(al_lic+Sens!I9093)</f>
        <v>35.3970063327648</v>
      </c>
      <c r="J9095" s="6" t="n">
        <f aca="false">Sens!J8990*(al_lic+Sens!J9093)</f>
        <v>36.3336220798454</v>
      </c>
      <c r="K9095" s="6" t="n">
        <f aca="false">Sens!K8990*(al_lic+Sens!K9093)</f>
        <v>37.1174049288478</v>
      </c>
    </row>
    <row r="9096" customFormat="false" ht="17.15" hidden="false" customHeight="false" outlineLevel="0" collapsed="false">
      <c r="A9096" s="0" t="s">
        <v>951</v>
      </c>
      <c r="B9096" s="0" t="s">
        <v>95</v>
      </c>
      <c r="F9096" s="6" t="n">
        <f aca="false">Sens!F8992*(al_ind+Sens!F9093)</f>
        <v>8.23096344460131</v>
      </c>
      <c r="G9096" s="6" t="n">
        <f aca="false">Sens!G8992*(al_ind+Sens!G9093)</f>
        <v>8.92006419342597</v>
      </c>
      <c r="H9096" s="6" t="n">
        <f aca="false">Sens!H8992*(al_ind+Sens!H9093)</f>
        <v>9.65430109855727</v>
      </c>
      <c r="I9096" s="6" t="n">
        <f aca="false">Sens!I8992*(al_ind+Sens!I9093)</f>
        <v>10.4325005794867</v>
      </c>
      <c r="J9096" s="6" t="n">
        <f aca="false">Sens!J8992*(al_ind+Sens!J9093)</f>
        <v>11.2445129698092</v>
      </c>
      <c r="K9096" s="6" t="n">
        <f aca="false">Sens!K8992*(al_ind+Sens!K9093)</f>
        <v>12.0731118003463</v>
      </c>
    </row>
    <row r="9097" customFormat="false" ht="17.15" hidden="false" customHeight="false" outlineLevel="0" collapsed="false">
      <c r="A9097" s="0" t="s">
        <v>952</v>
      </c>
      <c r="B9097" s="0" t="s">
        <v>95</v>
      </c>
      <c r="F9097" s="6" t="n">
        <f aca="false">Sens!F8994*(al_fro+Sens!F9093)</f>
        <v>3.23973610906921</v>
      </c>
      <c r="G9097" s="6" t="n">
        <f aca="false">Sens!G8994*(al_fro+Sens!G9093)</f>
        <v>3.42477728115347</v>
      </c>
      <c r="H9097" s="6" t="n">
        <f aca="false">Sens!H8994*(al_fro+Sens!H9093)</f>
        <v>3.63807109704688</v>
      </c>
      <c r="I9097" s="6" t="n">
        <f aca="false">Sens!I8994*(al_fro+Sens!I9093)</f>
        <v>3.8825521180748</v>
      </c>
      <c r="J9097" s="6" t="n">
        <f aca="false">Sens!J8994*(al_fro+Sens!J9093)</f>
        <v>4.15865302206705</v>
      </c>
      <c r="K9097" s="6" t="n">
        <f aca="false">Sens!K8994*(al_fro+Sens!K9093)</f>
        <v>4.46510071259365</v>
      </c>
    </row>
    <row r="9098" customFormat="false" ht="17.15" hidden="false" customHeight="false" outlineLevel="0" collapsed="false">
      <c r="A9098" s="0" t="s">
        <v>953</v>
      </c>
      <c r="B9098" s="0" t="s">
        <v>95</v>
      </c>
      <c r="F9098" s="6" t="n">
        <f aca="false">Sens!F8997*(al_srch+Sens!F9093)</f>
        <v>10.1653587754701</v>
      </c>
      <c r="G9098" s="6" t="n">
        <f aca="false">Sens!G8997*(al_srch+Sens!G9093)</f>
        <v>11.1203522498633</v>
      </c>
      <c r="H9098" s="6" t="n">
        <f aca="false">Sens!H8997*(al_srch+Sens!H9093)</f>
        <v>12.1213253451195</v>
      </c>
      <c r="I9098" s="6" t="n">
        <f aca="false">Sens!I8997*(al_srch+Sens!I9093)</f>
        <v>13.1608377824074</v>
      </c>
      <c r="J9098" s="6" t="n">
        <f aca="false">Sens!J8997*(al_srch+Sens!J9093)</f>
        <v>14.2192101328324</v>
      </c>
      <c r="K9098" s="6" t="n">
        <f aca="false">Sens!K8997*(al_srch+Sens!K9093)</f>
        <v>15.2670119290383</v>
      </c>
    </row>
    <row r="9099" customFormat="false" ht="17.15" hidden="false" customHeight="false" outlineLevel="0" collapsed="false">
      <c r="A9099" s="0" t="s">
        <v>954</v>
      </c>
      <c r="B9099" s="0" t="s">
        <v>95</v>
      </c>
      <c r="F9099" s="6" t="n">
        <f aca="false">Sens!F8966</f>
        <v>43.1278534047371</v>
      </c>
      <c r="G9099" s="6" t="n">
        <f aca="false">Sens!G8966</f>
        <v>78.4713023799053</v>
      </c>
      <c r="H9099" s="6" t="n">
        <f aca="false">Sens!H8966</f>
        <v>120.169624261219</v>
      </c>
      <c r="I9099" s="6" t="n">
        <f aca="false">Sens!I8966</f>
        <v>156.086713969963</v>
      </c>
      <c r="J9099" s="6" t="n">
        <f aca="false">Sens!J8966</f>
        <v>192.09687492465</v>
      </c>
      <c r="K9099" s="6" t="n">
        <f aca="false">Sens!K8966</f>
        <v>228.161785217179</v>
      </c>
    </row>
    <row r="9100" customFormat="false" ht="17.15" hidden="false" customHeight="false" outlineLevel="0" collapsed="false">
      <c r="A9100" s="0" t="s">
        <v>955</v>
      </c>
      <c r="B9100" s="0" t="s">
        <v>95</v>
      </c>
      <c r="F9100" s="6" t="n">
        <f aca="false">Sens!F9026+Sens!F8977+Sens!F9093*(Sens!F8996-Sens!F8960)</f>
        <v>215.995246974856</v>
      </c>
      <c r="G9100" s="6" t="n">
        <f aca="false">Sens!G9026+Sens!G8977+Sens!G9093*(Sens!G8996-Sens!G8960)</f>
        <v>273.174932815949</v>
      </c>
      <c r="H9100" s="6" t="n">
        <f aca="false">Sens!H9026+Sens!H8977+Sens!H9093*(Sens!H8996-Sens!H8960)</f>
        <v>336.956528683427</v>
      </c>
      <c r="I9100" s="6" t="n">
        <f aca="false">Sens!I9026+Sens!I8977+Sens!I9093*(Sens!I8996-Sens!I8960)</f>
        <v>393.390812117593</v>
      </c>
      <c r="J9100" s="6" t="n">
        <f aca="false">Sens!J9026+Sens!J8977+Sens!J9093*(Sens!J8996-Sens!J8960)</f>
        <v>447.532752214438</v>
      </c>
      <c r="K9100" s="6" t="n">
        <f aca="false">Sens!K9026+Sens!K8977+Sens!K9093*(Sens!K8996-Sens!K8960)</f>
        <v>499.796703774453</v>
      </c>
    </row>
    <row r="9101" customFormat="false" ht="17.15" hidden="false" customHeight="false" outlineLevel="0" collapsed="false">
      <c r="A9101" s="0" t="s">
        <v>956</v>
      </c>
      <c r="B9101" s="0" t="s">
        <v>95</v>
      </c>
      <c r="F9101" s="6" t="n">
        <f aca="false">Sens!F9100-Sens!F9094-Sens!F9095-Sens!F9096-Sens!F9097-Sens!F9099</f>
        <v>48.9886053456585</v>
      </c>
      <c r="G9101" s="6" t="n">
        <f aca="false">Sens!G9100-Sens!G9094-Sens!G9095-Sens!G9096-Sens!G9097-Sens!G9099</f>
        <v>55.0416203504766</v>
      </c>
      <c r="H9101" s="6" t="n">
        <f aca="false">Sens!H9100-Sens!H9094-Sens!H9095-Sens!H9096-Sens!H9097-Sens!H9099</f>
        <v>61.1835663260513</v>
      </c>
      <c r="I9101" s="6" t="n">
        <f aca="false">Sens!I9100-Sens!I9094-Sens!I9095-Sens!I9096-Sens!I9097-Sens!I9099</f>
        <v>67.2053738643356</v>
      </c>
      <c r="J9101" s="6" t="n">
        <f aca="false">Sens!J9100-Sens!J9094-Sens!J9095-Sens!J9096-Sens!J9097-Sens!J9099</f>
        <v>72.5023214616869</v>
      </c>
      <c r="K9101" s="6" t="n">
        <f aca="false">Sens!K9100-Sens!K9094-Sens!K9095-Sens!K9096-Sens!K9097-Sens!K9099</f>
        <v>76.3311599466924</v>
      </c>
    </row>
    <row r="9102" customFormat="false" ht="17.15" hidden="false" customHeight="false" outlineLevel="0" collapsed="false">
      <c r="A9102" s="0" t="s">
        <v>957</v>
      </c>
      <c r="B9102" s="0" t="s">
        <v>95</v>
      </c>
      <c r="F9102" s="6" t="n">
        <f aca="false">Sens!F9028+Sens!F9093*Sens!F9003</f>
        <v>23.7749930225627</v>
      </c>
      <c r="G9102" s="6" t="n">
        <f aca="false">Sens!G9028+Sens!G9093*Sens!G9003</f>
        <v>24.3579885027231</v>
      </c>
      <c r="H9102" s="6" t="n">
        <f aca="false">Sens!H9028+Sens!H9093*Sens!H9003</f>
        <v>25.2307047639989</v>
      </c>
      <c r="I9102" s="6" t="n">
        <f aca="false">Sens!I9028+Sens!I9093*Sens!I9003</f>
        <v>26.3708865391659</v>
      </c>
      <c r="J9102" s="6" t="n">
        <f aca="false">Sens!J9028+Sens!J9093*Sens!J9003</f>
        <v>27.7485224316404</v>
      </c>
      <c r="K9102" s="6" t="n">
        <f aca="false">Sens!K9028+Sens!K9093*Sens!K9003</f>
        <v>29.3315853892636</v>
      </c>
    </row>
    <row r="9103" customFormat="false" ht="17.15" hidden="false" customHeight="false" outlineLevel="0" collapsed="false">
      <c r="A9103" s="0" t="s">
        <v>958</v>
      </c>
      <c r="B9103" s="0" t="s">
        <v>95</v>
      </c>
      <c r="F9103" s="6" t="n">
        <f aca="false">(Sens!F9102-Sens!F9098)*Sens!F8999/(Sens!F8999+Sens!F9001)</f>
        <v>7.47846774074317</v>
      </c>
      <c r="G9103" s="6" t="n">
        <f aca="false">(Sens!G9102-Sens!G9098)*Sens!G8999/(Sens!G8999+Sens!G9001)</f>
        <v>7.17881544108343</v>
      </c>
      <c r="H9103" s="6" t="n">
        <f aca="false">(Sens!H9102-Sens!H9098)*Sens!H8999/(Sens!H8999+Sens!H9001)</f>
        <v>7.06381348260395</v>
      </c>
      <c r="I9103" s="6" t="n">
        <f aca="false">(Sens!I9102-Sens!I9098)*Sens!I8999/(Sens!I8999+Sens!I9001)</f>
        <v>7.12042193329597</v>
      </c>
      <c r="J9103" s="6" t="n">
        <f aca="false">(Sens!J9102-Sens!J9098)*Sens!J8999/(Sens!J8999+Sens!J9001)</f>
        <v>7.3430088116567</v>
      </c>
      <c r="K9103" s="6" t="n">
        <f aca="false">(Sens!K9102-Sens!K9098)*Sens!K8999/(Sens!K8999+Sens!K9001)</f>
        <v>7.73456781997917</v>
      </c>
    </row>
    <row r="9104" customFormat="false" ht="17.15" hidden="false" customHeight="false" outlineLevel="0" collapsed="false">
      <c r="A9104" s="0" t="s">
        <v>959</v>
      </c>
      <c r="B9104" s="0" t="s">
        <v>95</v>
      </c>
      <c r="F9104" s="6" t="n">
        <f aca="false">Sens!F9102-Sens!F9098-Sens!F9103</f>
        <v>6.13116650634939</v>
      </c>
      <c r="G9104" s="6" t="n">
        <f aca="false">Sens!G9102-Sens!G9098-Sens!G9103</f>
        <v>6.05882081177632</v>
      </c>
      <c r="H9104" s="6" t="n">
        <f aca="false">Sens!H9102-Sens!H9098-Sens!H9103</f>
        <v>6.04556593627543</v>
      </c>
      <c r="I9104" s="6" t="n">
        <f aca="false">Sens!I9102-Sens!I9098-Sens!I9103</f>
        <v>6.08962682346258</v>
      </c>
      <c r="J9104" s="6" t="n">
        <f aca="false">Sens!J9102-Sens!J9098-Sens!J9103</f>
        <v>6.18630348715125</v>
      </c>
      <c r="K9104" s="6" t="n">
        <f aca="false">Sens!K9102-Sens!K9098-Sens!K9103</f>
        <v>6.3300056402461</v>
      </c>
    </row>
    <row r="9105" customFormat="false" ht="17.15" hidden="false" customHeight="false" outlineLevel="0" collapsed="false">
      <c r="A9105" s="1" t="s">
        <v>960</v>
      </c>
      <c r="B9105" s="0" t="s">
        <v>95</v>
      </c>
      <c r="C9105" s="6" t="n">
        <f aca="false">(w_ntm28*Sens!G9099+(1-w_ntm28)*Sens!H9099)*m_ai*1</f>
        <v>551.711134531404</v>
      </c>
    </row>
    <row r="9106" customFormat="false" ht="17.15" hidden="false" customHeight="false" outlineLevel="0" collapsed="false">
      <c r="A9106" s="1" t="s">
        <v>961</v>
      </c>
      <c r="B9106" s="0" t="s">
        <v>95</v>
      </c>
      <c r="C9106" s="6" t="n">
        <f aca="false">(w_ntm28*Sens!G9101+(1-w_ntm28)*Sens!H9101)*m_cloud*1</f>
        <v>788.1163982275</v>
      </c>
    </row>
    <row r="9107" customFormat="false" ht="17.15" hidden="false" customHeight="false" outlineLevel="0" collapsed="false">
      <c r="A9107" s="1" t="s">
        <v>962</v>
      </c>
      <c r="B9107" s="0" t="s">
        <v>95</v>
      </c>
      <c r="C9107" s="6" t="n">
        <f aca="false">(w_ntm28*Sens!G9094+(1-w_ntm28)*Sens!H9094)*m_sw*1</f>
        <v>1064.8946641259</v>
      </c>
    </row>
    <row r="9108" customFormat="false" ht="17.15" hidden="false" customHeight="false" outlineLevel="0" collapsed="false">
      <c r="A9108" s="1" t="s">
        <v>963</v>
      </c>
      <c r="B9108" s="0" t="s">
        <v>95</v>
      </c>
      <c r="C9108" s="6" t="n">
        <f aca="false">(w_ntm28*Sens!G9095+(1-w_ntm28)*Sens!H9095)*m_sw*1</f>
        <v>362.481702806532</v>
      </c>
    </row>
    <row r="9109" customFormat="false" ht="17.15" hidden="false" customHeight="false" outlineLevel="0" collapsed="false">
      <c r="A9109" s="1" t="s">
        <v>964</v>
      </c>
      <c r="B9109" s="0" t="s">
        <v>95</v>
      </c>
      <c r="C9109" s="6" t="n">
        <f aca="false">(w_ntm28*Sens!G9096+(1-w_ntm28)*Sens!H9096)*m_sw*1</f>
        <v>98.9002864722863</v>
      </c>
    </row>
    <row r="9110" customFormat="false" ht="17.15" hidden="false" customHeight="false" outlineLevel="0" collapsed="false">
      <c r="A9110" s="1" t="s">
        <v>965</v>
      </c>
      <c r="B9110" s="0" t="s">
        <v>95</v>
      </c>
      <c r="C9110" s="6" t="n">
        <f aca="false">(w_ntm28*Sens!G9097+(1-w_ntm28)*Sens!H9097)*m_sw*1</f>
        <v>37.7323114555659</v>
      </c>
    </row>
    <row r="9111" customFormat="false" ht="17.15" hidden="false" customHeight="false" outlineLevel="0" collapsed="false">
      <c r="A9111" s="1" t="s">
        <v>966</v>
      </c>
      <c r="B9111" s="0" t="s">
        <v>95</v>
      </c>
      <c r="C9111" s="6" t="n">
        <f aca="false">(w_ntm28*Sens!G9098+(1-w_ntm28)*Sens!H9098)*m_ads*1</f>
        <v>104.254425593347</v>
      </c>
    </row>
    <row r="9112" customFormat="false" ht="17.15" hidden="false" customHeight="false" outlineLevel="0" collapsed="false">
      <c r="A9112" s="1" t="s">
        <v>967</v>
      </c>
      <c r="B9112" s="0" t="s">
        <v>95</v>
      </c>
      <c r="C9112" s="6" t="n">
        <f aca="false">(w_ntm28*Sens!G9103+(1-w_ntm28)*Sens!H9103)*m_game*1</f>
        <v>90.1988718460884</v>
      </c>
    </row>
    <row r="9113" customFormat="false" ht="17.15" hidden="false" customHeight="false" outlineLevel="0" collapsed="false">
      <c r="A9113" s="1" t="s">
        <v>968</v>
      </c>
      <c r="B9113" s="0" t="s">
        <v>95</v>
      </c>
      <c r="C9113" s="6" t="n">
        <f aca="false">(w_ntm28*Sens!G9104+(1-w_ntm28)*Sens!H9104)*m_pc*1</f>
        <v>87.6091312019574</v>
      </c>
    </row>
    <row r="9114" customFormat="false" ht="17.15" hidden="false" customHeight="false" outlineLevel="0" collapsed="false">
      <c r="A9114" s="1" t="s">
        <v>969</v>
      </c>
      <c r="B9114" s="0" t="s">
        <v>95</v>
      </c>
      <c r="C9114" s="6" t="n">
        <f aca="false">Sens!$C$9105+Sens!$C$9106+Sens!$C$9107+Sens!$C$9108+Sens!$C$9109+Sens!$C$9110+Sens!$C$9111+Sens!$C$9112+Sens!$C$9113</f>
        <v>3185.89892626058</v>
      </c>
    </row>
    <row r="9115" customFormat="false" ht="17.15" hidden="false" customHeight="false" outlineLevel="0" collapsed="false">
      <c r="A9115" s="1" t="s">
        <v>903</v>
      </c>
      <c r="B9115" s="0" t="s">
        <v>95</v>
      </c>
      <c r="C9115" s="6" t="n">
        <f aca="false">Sens!F9072+oai_v-Sens!F9061</f>
        <v>115.109745810981</v>
      </c>
      <c r="L9115" s="1" t="s">
        <v>970</v>
      </c>
    </row>
    <row r="9116" customFormat="false" ht="15" hidden="false" customHeight="false" outlineLevel="0" collapsed="false">
      <c r="A9116" s="1" t="s">
        <v>904</v>
      </c>
      <c r="B9116" s="0" t="s">
        <v>73</v>
      </c>
      <c r="C9116" s="5" t="n">
        <f aca="false">(Sens!$C$9114+Sens!$C$9115)/Sens!F9074</f>
        <v>441.783815855401</v>
      </c>
    </row>
    <row r="9117" customFormat="false" ht="17.15" hidden="false" customHeight="false" outlineLevel="0" collapsed="false">
      <c r="A9117" s="1" t="s">
        <v>971</v>
      </c>
      <c r="B9117" s="0" t="s">
        <v>73</v>
      </c>
      <c r="C9117" s="5" t="n">
        <f aca="false">w_dcf*Sens!$C$9092+(1-w_dcf)*Sens!$C$9116</f>
        <v>364.341664795384</v>
      </c>
    </row>
    <row r="9118" customFormat="false" ht="17.15" hidden="false" customHeight="false" outlineLevel="0" collapsed="false">
      <c r="A9118" s="3" t="s">
        <v>1374</v>
      </c>
    </row>
    <row r="9119" customFormat="false" ht="15" hidden="false" customHeight="false" outlineLevel="0" collapsed="false">
      <c r="A9119" s="4" t="s">
        <v>43</v>
      </c>
      <c r="B9119" s="4" t="s">
        <v>63</v>
      </c>
      <c r="C9119" s="19" t="s">
        <v>710</v>
      </c>
      <c r="D9119" s="19" t="s">
        <v>711</v>
      </c>
      <c r="E9119" s="19" t="s">
        <v>712</v>
      </c>
      <c r="F9119" s="19" t="s">
        <v>713</v>
      </c>
      <c r="G9119" s="19" t="s">
        <v>714</v>
      </c>
      <c r="H9119" s="19" t="s">
        <v>715</v>
      </c>
      <c r="I9119" s="19" t="s">
        <v>716</v>
      </c>
      <c r="J9119" s="19" t="s">
        <v>717</v>
      </c>
      <c r="K9119" s="19" t="s">
        <v>718</v>
      </c>
      <c r="L9119" s="4" t="s">
        <v>47</v>
      </c>
    </row>
    <row r="9120" customFormat="false" ht="17.15" hidden="false" customHeight="false" outlineLevel="0" collapsed="false">
      <c r="A9120" s="1" t="s">
        <v>719</v>
      </c>
      <c r="B9120" s="0" t="s">
        <v>340</v>
      </c>
      <c r="C9120" s="27" t="n">
        <f aca="false">mw_ext_24</f>
        <v>640</v>
      </c>
      <c r="D9120" s="27" t="n">
        <f aca="false">mw_ext_25</f>
        <v>1630</v>
      </c>
      <c r="E9120" s="27" t="n">
        <f aca="false">mw_ext_26</f>
        <v>3250</v>
      </c>
      <c r="F9120" s="27" t="n">
        <f aca="false">MIN(1000000000,Sens!E9120+pace)</f>
        <v>5777.2</v>
      </c>
      <c r="G9120" s="27" t="n">
        <f aca="false">MIN(1000000000,Sens!F9120+pace)</f>
        <v>8304.4</v>
      </c>
      <c r="H9120" s="27" t="n">
        <f aca="false">MIN(1000000000,Sens!G9120+pace)</f>
        <v>10831.6</v>
      </c>
      <c r="I9120" s="27" t="n">
        <f aca="false">MIN(1000000000,Sens!H9120+pace)</f>
        <v>13358.8</v>
      </c>
      <c r="J9120" s="27" t="n">
        <f aca="false">MIN(1000000000,Sens!I9120+pace)</f>
        <v>15886</v>
      </c>
      <c r="K9120" s="27" t="n">
        <f aca="false">MIN(1000000000,Sens!J9120+pace)</f>
        <v>18413.2</v>
      </c>
      <c r="L9120" s="11" t="s">
        <v>720</v>
      </c>
    </row>
    <row r="9121" customFormat="false" ht="17.15" hidden="false" customHeight="false" outlineLevel="0" collapsed="false">
      <c r="A9121" s="1" t="s">
        <v>721</v>
      </c>
      <c r="B9121" s="0" t="s">
        <v>340</v>
      </c>
      <c r="C9121" s="27" t="n">
        <f aca="false">rent_ext_24</f>
        <v>150</v>
      </c>
      <c r="D9121" s="27" t="n">
        <f aca="false">rent_ext_25</f>
        <v>400</v>
      </c>
      <c r="E9121" s="27" t="n">
        <f aca="false">rent_ext_26</f>
        <v>550</v>
      </c>
      <c r="F9121" s="27" t="n">
        <f aca="false">rent_ext_f</f>
        <v>756</v>
      </c>
      <c r="G9121" s="27" t="n">
        <f aca="false">rent_ext_f</f>
        <v>756</v>
      </c>
      <c r="H9121" s="27" t="n">
        <f aca="false">rent_ext_f</f>
        <v>756</v>
      </c>
      <c r="I9121" s="27" t="n">
        <f aca="false">rent_ext_f</f>
        <v>756</v>
      </c>
      <c r="J9121" s="27" t="n">
        <f aca="false">rent_ext_f</f>
        <v>756</v>
      </c>
      <c r="K9121" s="27" t="n">
        <f aca="false">rent_ext_f</f>
        <v>756</v>
      </c>
      <c r="L9121" s="1" t="s">
        <v>722</v>
      </c>
    </row>
    <row r="9122" customFormat="false" ht="17.15" hidden="false" customHeight="false" outlineLevel="0" collapsed="false">
      <c r="A9122" s="1" t="s">
        <v>723</v>
      </c>
      <c r="B9122" s="0" t="s">
        <v>340</v>
      </c>
      <c r="C9122" s="27" t="n">
        <f aca="false">Sens!C9120-Sens!C9121</f>
        <v>490</v>
      </c>
      <c r="D9122" s="27" t="n">
        <f aca="false">Sens!D9120-Sens!D9121</f>
        <v>1230</v>
      </c>
      <c r="E9122" s="27" t="n">
        <f aca="false">Sens!E9120-Sens!E9121</f>
        <v>2700</v>
      </c>
      <c r="F9122" s="27" t="n">
        <f aca="false">Sens!F9120-Sens!F9121</f>
        <v>5021.2</v>
      </c>
      <c r="G9122" s="27" t="n">
        <f aca="false">Sens!G9120-Sens!G9121</f>
        <v>7548.4</v>
      </c>
      <c r="H9122" s="27" t="n">
        <f aca="false">Sens!H9120-Sens!H9121</f>
        <v>10075.6</v>
      </c>
      <c r="I9122" s="27" t="n">
        <f aca="false">Sens!I9120-Sens!I9121</f>
        <v>12602.8</v>
      </c>
      <c r="J9122" s="27" t="n">
        <f aca="false">Sens!J9120-Sens!J9121</f>
        <v>15130</v>
      </c>
      <c r="K9122" s="27" t="n">
        <f aca="false">Sens!K9120-Sens!K9121</f>
        <v>17657.2</v>
      </c>
    </row>
    <row r="9123" customFormat="false" ht="17.15" hidden="false" customHeight="false" outlineLevel="0" collapsed="false">
      <c r="A9123" s="1" t="s">
        <v>724</v>
      </c>
      <c r="B9123" s="0" t="s">
        <v>340</v>
      </c>
      <c r="C9123" s="27" t="n">
        <f aca="false">Sens!C9122/ext_sh</f>
        <v>816.666666666667</v>
      </c>
      <c r="D9123" s="27" t="n">
        <f aca="false">Sens!D9122/ext_sh</f>
        <v>2050</v>
      </c>
      <c r="E9123" s="27" t="n">
        <f aca="false">Sens!E9122/ext_sh</f>
        <v>4500</v>
      </c>
      <c r="F9123" s="27" t="n">
        <f aca="false">Sens!F9122/ext_sh</f>
        <v>8368.66666666667</v>
      </c>
      <c r="G9123" s="27" t="n">
        <f aca="false">Sens!G9122/ext_sh</f>
        <v>12580.6666666667</v>
      </c>
      <c r="H9123" s="27" t="n">
        <f aca="false">Sens!H9122/ext_sh</f>
        <v>16792.6666666667</v>
      </c>
      <c r="I9123" s="27" t="n">
        <f aca="false">Sens!I9122/ext_sh</f>
        <v>21004.6666666667</v>
      </c>
      <c r="J9123" s="27" t="n">
        <f aca="false">Sens!J9122/ext_sh</f>
        <v>25216.6666666667</v>
      </c>
      <c r="K9123" s="27" t="n">
        <f aca="false">Sens!K9122/ext_sh</f>
        <v>29428.6666666667</v>
      </c>
      <c r="L9123" s="1" t="s">
        <v>725</v>
      </c>
    </row>
    <row r="9124" customFormat="false" ht="17.15" hidden="false" customHeight="false" outlineLevel="0" collapsed="false">
      <c r="A9124" s="1" t="s">
        <v>726</v>
      </c>
      <c r="B9124" s="0" t="s">
        <v>340</v>
      </c>
      <c r="C9124" s="27" t="n">
        <f aca="false">Sens!C9123-Sens!C9122</f>
        <v>326.666666666667</v>
      </c>
      <c r="D9124" s="27" t="n">
        <f aca="false">Sens!D9123-Sens!D9122</f>
        <v>820</v>
      </c>
      <c r="E9124" s="27" t="n">
        <f aca="false">Sens!E9123-Sens!E9122</f>
        <v>1800</v>
      </c>
      <c r="F9124" s="27" t="n">
        <f aca="false">Sens!F9123-Sens!F9122</f>
        <v>3347.46666666667</v>
      </c>
      <c r="G9124" s="27" t="n">
        <f aca="false">Sens!G9123-Sens!G9122</f>
        <v>5032.26666666667</v>
      </c>
      <c r="H9124" s="27" t="n">
        <f aca="false">Sens!H9123-Sens!H9122</f>
        <v>6717.06666666667</v>
      </c>
      <c r="I9124" s="27" t="n">
        <f aca="false">Sens!I9123-Sens!I9122</f>
        <v>8401.86666666667</v>
      </c>
      <c r="J9124" s="27" t="n">
        <f aca="false">Sens!J9123-Sens!J9122</f>
        <v>10086.6666666667</v>
      </c>
      <c r="K9124" s="27" t="n">
        <f aca="false">Sens!K9123-Sens!K9122</f>
        <v>11771.4666666667</v>
      </c>
    </row>
    <row r="9125" customFormat="false" ht="17.15" hidden="false" customHeight="false" outlineLevel="0" collapsed="false">
      <c r="A9125" s="1" t="s">
        <v>727</v>
      </c>
      <c r="B9125" s="0" t="s">
        <v>340</v>
      </c>
      <c r="C9125" s="27" t="n">
        <f aca="false">Sens!C9123</f>
        <v>816.666666666667</v>
      </c>
      <c r="D9125" s="27" t="n">
        <f aca="false">Sens!D9123-Sens!C9123</f>
        <v>1233.33333333333</v>
      </c>
      <c r="E9125" s="27" t="n">
        <f aca="false">Sens!E9123-Sens!D9123</f>
        <v>2450</v>
      </c>
      <c r="F9125" s="27" t="n">
        <f aca="false">Sens!F9123-Sens!E9123</f>
        <v>3868.66666666667</v>
      </c>
      <c r="G9125" s="27" t="n">
        <f aca="false">Sens!G9123-Sens!F9123</f>
        <v>4212</v>
      </c>
      <c r="H9125" s="27" t="n">
        <f aca="false">Sens!H9123-Sens!G9123</f>
        <v>4212</v>
      </c>
      <c r="I9125" s="27" t="n">
        <f aca="false">Sens!I9123-Sens!H9123</f>
        <v>4212</v>
      </c>
      <c r="J9125" s="27" t="n">
        <f aca="false">Sens!J9123-Sens!I9123</f>
        <v>4212</v>
      </c>
      <c r="K9125" s="27" t="n">
        <f aca="false">Sens!K9123-Sens!J9123</f>
        <v>4212</v>
      </c>
    </row>
    <row r="9126" customFormat="false" ht="17.15" hidden="false" customHeight="false" outlineLevel="0" collapsed="false">
      <c r="A9126" s="1" t="s">
        <v>728</v>
      </c>
      <c r="B9126" s="0" t="s">
        <v>340</v>
      </c>
      <c r="D9126" s="27" t="n">
        <f aca="false">Sens!D9120-Sens!C9120</f>
        <v>990</v>
      </c>
      <c r="E9126" s="27" t="n">
        <f aca="false">Sens!E9120-Sens!D9120</f>
        <v>1620</v>
      </c>
      <c r="F9126" s="27" t="n">
        <f aca="false">Sens!F9120-Sens!E9120</f>
        <v>2527.2</v>
      </c>
      <c r="G9126" s="27" t="n">
        <f aca="false">Sens!G9120-Sens!F9120</f>
        <v>2527.2</v>
      </c>
      <c r="H9126" s="27" t="n">
        <f aca="false">Sens!H9120-Sens!G9120</f>
        <v>2527.2</v>
      </c>
      <c r="I9126" s="27" t="n">
        <f aca="false">Sens!I9120-Sens!H9120</f>
        <v>2527.2</v>
      </c>
      <c r="J9126" s="27" t="n">
        <f aca="false">Sens!J9120-Sens!I9120</f>
        <v>2527.2</v>
      </c>
      <c r="K9126" s="27" t="n">
        <f aca="false">Sens!K9120-Sens!J9120</f>
        <v>2527.2</v>
      </c>
    </row>
    <row r="9127" customFormat="false" ht="17.15" hidden="false" customHeight="false" outlineLevel="0" collapsed="false">
      <c r="A9127" s="1" t="s">
        <v>729</v>
      </c>
      <c r="B9127" s="0" t="s">
        <v>340</v>
      </c>
      <c r="C9127" s="27" t="n">
        <f aca="false">mix_h*Sens!C9120</f>
        <v>128</v>
      </c>
      <c r="D9127" s="27" t="n">
        <f aca="false">mix_h*Sens!D9120</f>
        <v>326</v>
      </c>
      <c r="E9127" s="27" t="n">
        <f aca="false">mix_h*Sens!E9120</f>
        <v>650</v>
      </c>
      <c r="F9127" s="27" t="n">
        <f aca="false">Sens!E9127</f>
        <v>650</v>
      </c>
      <c r="G9127" s="27" t="n">
        <f aca="false">Sens!F9127</f>
        <v>650</v>
      </c>
      <c r="H9127" s="27" t="n">
        <f aca="false">Sens!G9127</f>
        <v>650</v>
      </c>
      <c r="I9127" s="27" t="n">
        <f aca="false">Sens!H9127</f>
        <v>650</v>
      </c>
      <c r="J9127" s="27" t="n">
        <f aca="false">Sens!I9127</f>
        <v>650</v>
      </c>
      <c r="K9127" s="27" t="n">
        <f aca="false">Sens!J9127</f>
        <v>650</v>
      </c>
    </row>
    <row r="9128" customFormat="false" ht="17.15" hidden="false" customHeight="false" outlineLevel="0" collapsed="false">
      <c r="A9128" s="1" t="s">
        <v>730</v>
      </c>
      <c r="B9128" s="0" t="s">
        <v>340</v>
      </c>
      <c r="C9128" s="27" t="n">
        <f aca="false">mix_g2*Sens!C9120</f>
        <v>288</v>
      </c>
      <c r="D9128" s="27" t="n">
        <f aca="false">mix_g2*Sens!D9120</f>
        <v>733.5</v>
      </c>
      <c r="E9128" s="27" t="n">
        <f aca="false">mix_g2*Sens!E9120</f>
        <v>1462.5</v>
      </c>
      <c r="F9128" s="27" t="n">
        <f aca="false">Sens!E9128</f>
        <v>1462.5</v>
      </c>
      <c r="G9128" s="27" t="n">
        <f aca="false">Sens!F9128</f>
        <v>1462.5</v>
      </c>
      <c r="H9128" s="27" t="n">
        <f aca="false">Sens!G9128</f>
        <v>1462.5</v>
      </c>
      <c r="I9128" s="27" t="n">
        <f aca="false">Sens!H9128</f>
        <v>1462.5</v>
      </c>
      <c r="J9128" s="27" t="n">
        <f aca="false">Sens!I9128</f>
        <v>1462.5</v>
      </c>
      <c r="K9128" s="27" t="n">
        <f aca="false">Sens!J9128</f>
        <v>1462.5</v>
      </c>
    </row>
    <row r="9129" customFormat="false" ht="17.15" hidden="false" customHeight="false" outlineLevel="0" collapsed="false">
      <c r="A9129" s="1" t="s">
        <v>731</v>
      </c>
      <c r="B9129" s="0" t="s">
        <v>340</v>
      </c>
      <c r="C9129" s="27" t="n">
        <f aca="false">mix_g3*Sens!C9120</f>
        <v>224</v>
      </c>
      <c r="D9129" s="27" t="n">
        <f aca="false">mix_g3*Sens!D9120</f>
        <v>570.5</v>
      </c>
      <c r="E9129" s="27" t="n">
        <f aca="false">mix_g3*Sens!E9120</f>
        <v>1137.5</v>
      </c>
      <c r="F9129" s="27" t="n">
        <f aca="false">Sens!E9129+Sens!F9126*a_g3_27</f>
        <v>2906.54</v>
      </c>
      <c r="G9129" s="27" t="n">
        <f aca="false">Sens!F9129+Sens!G9126*a_g3_28</f>
        <v>3664.7</v>
      </c>
      <c r="H9129" s="27" t="n">
        <f aca="false">Sens!G9129+Sens!H9126*a_g3_29</f>
        <v>3917.42</v>
      </c>
      <c r="I9129" s="27" t="n">
        <f aca="false">Sens!H9129+Sens!I9126*a_g3_29</f>
        <v>4170.14</v>
      </c>
      <c r="J9129" s="27" t="n">
        <f aca="false">Sens!I9129+Sens!J9126*a_g3_29</f>
        <v>4422.86</v>
      </c>
      <c r="K9129" s="27" t="n">
        <f aca="false">Sens!J9129+Sens!K9126*a_g3_29</f>
        <v>4675.58</v>
      </c>
    </row>
    <row r="9130" customFormat="false" ht="17.15" hidden="false" customHeight="false" outlineLevel="0" collapsed="false">
      <c r="A9130" s="1" t="s">
        <v>732</v>
      </c>
      <c r="B9130" s="0" t="s">
        <v>340</v>
      </c>
      <c r="C9130" s="27" t="n">
        <f aca="false">0</f>
        <v>0</v>
      </c>
      <c r="D9130" s="27" t="n">
        <f aca="false">0</f>
        <v>0</v>
      </c>
      <c r="E9130" s="27" t="n">
        <f aca="false">0</f>
        <v>0</v>
      </c>
      <c r="F9130" s="27" t="n">
        <f aca="false">Sens!E9130+Sens!F9126*(1-a_g3_27)</f>
        <v>758.16</v>
      </c>
      <c r="G9130" s="27" t="n">
        <f aca="false">Sens!F9130+Sens!G9126*(1-a_g3_28)</f>
        <v>2527.2</v>
      </c>
      <c r="H9130" s="27" t="n">
        <f aca="false">Sens!G9130+Sens!H9126*(1-a_g3_29)</f>
        <v>4801.68</v>
      </c>
      <c r="I9130" s="27" t="n">
        <f aca="false">Sens!H9130+Sens!I9126*(1-a_g3_29)</f>
        <v>7076.16</v>
      </c>
      <c r="J9130" s="27" t="n">
        <f aca="false">Sens!I9130+Sens!J9126*(1-a_g3_29)</f>
        <v>9350.64</v>
      </c>
      <c r="K9130" s="27" t="n">
        <f aca="false">Sens!J9130+Sens!K9126*(1-a_g3_29)</f>
        <v>11625.12</v>
      </c>
    </row>
    <row r="9131" customFormat="false" ht="17.15" hidden="false" customHeight="false" outlineLevel="0" collapsed="false">
      <c r="A9131" s="1" t="s">
        <v>733</v>
      </c>
      <c r="B9131" s="0" t="s">
        <v>291</v>
      </c>
      <c r="C9131" s="18" t="n">
        <f aca="false">(Sens!C9127*tk_hold_h100+Sens!C9128*tk_hold_gb200+Sens!C9129*tk_hold_gb300+Sens!C9130*tk_hold_vr200)/Sens!C9120</f>
        <v>9.7235358126469</v>
      </c>
      <c r="D9131" s="18" t="n">
        <f aca="false">(Sens!D9127*tk_hold_h100+Sens!D9128*tk_hold_gb200+Sens!D9129*tk_hold_gb300+Sens!D9130*tk_hold_vr200)/Sens!D9120</f>
        <v>9.7235358126469</v>
      </c>
      <c r="E9131" s="18" t="n">
        <f aca="false">(Sens!E9127*tk_hold_h100+Sens!E9128*tk_hold_gb200+Sens!E9129*tk_hold_gb300+Sens!E9130*tk_hold_vr200)/Sens!E9120</f>
        <v>9.7235358126469</v>
      </c>
      <c r="F9131" s="18" t="n">
        <f aca="false">(Sens!F9127*tk_hold_h100+Sens!F9128*tk_hold_gb200+Sens!F9129*tk_hold_gb300+Sens!F9130*tk_hold_vr200)/Sens!F9120</f>
        <v>10.4079573161931</v>
      </c>
      <c r="G9131" s="18" t="n">
        <f aca="false">(Sens!G9127*tk_hold_h100+Sens!G9128*tk_hold_gb200+Sens!G9129*tk_hold_gb300+Sens!G9130*tk_hold_vr200)/Sens!G9120</f>
        <v>10.8388131109316</v>
      </c>
      <c r="H9131" s="18" t="n">
        <f aca="false">(Sens!H9127*tk_hold_h100+Sens!H9128*tk_hold_gb200+Sens!H9129*tk_hold_gb300+Sens!H9130*tk_hold_vr200)/Sens!H9120</f>
        <v>11.1311018388216</v>
      </c>
      <c r="I9131" s="18" t="n">
        <f aca="false">(Sens!I9127*tk_hold_h100+Sens!I9128*tk_hold_gb200+Sens!I9129*tk_hold_gb300+Sens!I9130*tk_hold_vr200)/Sens!I9120</f>
        <v>11.3128009818501</v>
      </c>
      <c r="J9131" s="18" t="n">
        <f aca="false">(Sens!J9127*tk_hold_h100+Sens!J9128*tk_hold_gb200+Sens!J9129*tk_hold_gb300+Sens!J9130*tk_hold_vr200)/Sens!J9120</f>
        <v>11.4366894646418</v>
      </c>
      <c r="K9131" s="18" t="n">
        <f aca="false">(Sens!K9127*tk_hold_h100+Sens!K9128*tk_hold_gb200+Sens!K9129*tk_hold_gb300+Sens!K9130*tk_hold_vr200)/Sens!K9120</f>
        <v>11.526570716348</v>
      </c>
    </row>
    <row r="9132" customFormat="false" ht="17.15" hidden="false" customHeight="false" outlineLevel="0" collapsed="false">
      <c r="A9132" s="0" t="s">
        <v>734</v>
      </c>
      <c r="B9132" s="0" t="s">
        <v>182</v>
      </c>
      <c r="C9132" s="18" t="n">
        <f aca="false">k_B</f>
        <v>1.17213932619116</v>
      </c>
      <c r="D9132" s="18" t="n">
        <f aca="false">k_B</f>
        <v>1.17213932619116</v>
      </c>
      <c r="E9132" s="18" t="n">
        <f aca="false">k_B</f>
        <v>1.17213932619116</v>
      </c>
      <c r="F9132" s="18" t="n">
        <f aca="false">(k_B+((ls_B*k_long+(1-ls_B)*k_spot)-k_B)*MIN(1,1/3))*1</f>
        <v>1.17213932619116</v>
      </c>
      <c r="G9132" s="18" t="n">
        <f aca="false">(k_B+((ls_B*k_long+(1-ls_B)*k_spot)-k_B)*MIN(1,2/3))*1</f>
        <v>1.17213932619116</v>
      </c>
      <c r="H9132" s="18" t="n">
        <f aca="false">(k_B+((ls_B*k_long+(1-ls_B)*k_spot)-k_B)*MIN(1,3/3))*1</f>
        <v>1.17213932619116</v>
      </c>
      <c r="I9132" s="18" t="n">
        <f aca="false">(k_B+((ls_B*k_long+(1-ls_B)*k_spot)-k_B)*MIN(1,4/3))*1</f>
        <v>1.17213932619116</v>
      </c>
      <c r="J9132" s="18" t="n">
        <f aca="false">(k_B+((ls_B*k_long+(1-ls_B)*k_spot)-k_B)*MIN(1,5/3))*1</f>
        <v>1.17213932619116</v>
      </c>
      <c r="K9132" s="18" t="n">
        <f aca="false">(k_B+((ls_B*k_long+(1-ls_B)*k_spot)-k_B)*MIN(1,6/3))*1</f>
        <v>1.17213932619116</v>
      </c>
      <c r="L9132" s="1" t="s">
        <v>735</v>
      </c>
    </row>
    <row r="9133" customFormat="false" ht="17.15" hidden="false" customHeight="false" outlineLevel="0" collapsed="false">
      <c r="A9133" s="1" t="s">
        <v>736</v>
      </c>
      <c r="B9133" s="0" t="s">
        <v>291</v>
      </c>
      <c r="C9133" s="18" t="n">
        <f aca="false">Sens!C9131*Sens!C9132*chip_f</f>
        <v>11.3973387156315</v>
      </c>
      <c r="D9133" s="18" t="n">
        <f aca="false">Sens!D9131*Sens!D9132*chip_f</f>
        <v>11.3973387156315</v>
      </c>
      <c r="E9133" s="18" t="n">
        <f aca="false">Sens!E9131*Sens!E9132*chip_f</f>
        <v>11.3973387156315</v>
      </c>
      <c r="F9133" s="18" t="n">
        <f aca="false">Sens!F9131*Sens!F9132*chip_f</f>
        <v>12.1995760756289</v>
      </c>
      <c r="G9133" s="18" t="n">
        <f aca="false">Sens!G9131*Sens!G9132*chip_f</f>
        <v>12.7045990965592</v>
      </c>
      <c r="H9133" s="18" t="n">
        <f aca="false">Sens!H9131*Sens!H9132*chip_f</f>
        <v>13.0472022091214</v>
      </c>
      <c r="I9133" s="18" t="n">
        <f aca="false">Sens!I9131*Sens!I9132*chip_f</f>
        <v>13.2601789202004</v>
      </c>
      <c r="J9133" s="18" t="n">
        <f aca="false">Sens!J9131*Sens!J9132*chip_f</f>
        <v>13.4053934829427</v>
      </c>
      <c r="K9133" s="18" t="n">
        <f aca="false">Sens!K9131*Sens!K9132*chip_f</f>
        <v>13.5107468327548</v>
      </c>
      <c r="L9133" s="1" t="s">
        <v>737</v>
      </c>
    </row>
    <row r="9134" customFormat="false" ht="17.15" hidden="false" customHeight="false" outlineLevel="0" collapsed="false">
      <c r="A9134" s="0" t="s">
        <v>738</v>
      </c>
      <c r="B9134" s="0" t="s">
        <v>95</v>
      </c>
      <c r="D9134" s="6" t="n">
        <f aca="false">(Sens!C9120+Sens!D9120)/2*Sens!D9133/1000</f>
        <v>12.9359794422418</v>
      </c>
      <c r="E9134" s="6" t="n">
        <f aca="false">(Sens!D9120+Sens!E9120)/2*Sens!E9133/1000</f>
        <v>27.8095064661409</v>
      </c>
      <c r="F9134" s="6" t="n">
        <f aca="false">(Sens!E9120+Sens!F9120)/2*Sens!F9133/1000</f>
        <v>55.0640065749585</v>
      </c>
      <c r="G9134" s="6" t="n">
        <f aca="false">(Sens!F9120+Sens!G9120)/2*Sens!G9133/1000</f>
        <v>89.4505413190538</v>
      </c>
      <c r="H9134" s="6" t="n">
        <f aca="false">(Sens!G9120+Sens!H9120)/2*Sens!H9133/1000</f>
        <v>124.835630736874</v>
      </c>
      <c r="I9134" s="6" t="n">
        <f aca="false">(Sens!H9120+Sens!I9120)/2*Sens!I9133/1000</f>
        <v>160.384516075608</v>
      </c>
      <c r="J9134" s="6" t="n">
        <f aca="false">(Sens!I9120+Sens!J9120)/2*Sens!J9133/1000</f>
        <v>196.019025664981</v>
      </c>
      <c r="K9134" s="6" t="n">
        <f aca="false">(Sens!J9120+Sens!K9120)/2*Sens!K9133/1000</f>
        <v>231.703903883012</v>
      </c>
      <c r="L9134" s="11" t="s">
        <v>739</v>
      </c>
    </row>
    <row r="9135" customFormat="false" ht="17.15" hidden="false" customHeight="false" outlineLevel="0" collapsed="false">
      <c r="A9135" s="1" t="s">
        <v>740</v>
      </c>
      <c r="B9135" s="0" t="s">
        <v>291</v>
      </c>
      <c r="C9135" s="18" t="n">
        <f aca="false">(Sens!C9127*tk_opex_h100+Sens!C9128*tk_opex_gb200+Sens!C9129*tk_opex_gb300+Sens!C9130*tk_opex_vr200)/Sens!C9120</f>
        <v>1.88636041306092</v>
      </c>
      <c r="D9135" s="18" t="n">
        <f aca="false">(Sens!D9127*tk_opex_h100+Sens!D9128*tk_opex_gb200+Sens!D9129*tk_opex_gb300+Sens!D9130*tk_opex_vr200)/Sens!D9120</f>
        <v>1.88636041306092</v>
      </c>
      <c r="E9135" s="18" t="n">
        <f aca="false">(Sens!E9127*tk_opex_h100+Sens!E9128*tk_opex_gb200+Sens!E9129*tk_opex_gb300+Sens!E9130*tk_opex_vr200)/Sens!E9120</f>
        <v>1.88636041306092</v>
      </c>
      <c r="F9135" s="18" t="n">
        <f aca="false">(Sens!F9127*tk_opex_h100+Sens!F9128*tk_opex_gb200+Sens!F9129*tk_opex_gb300+Sens!F9130*tk_opex_vr200)/Sens!F9120</f>
        <v>1.9430236476499</v>
      </c>
      <c r="G9135" s="18" t="n">
        <f aca="false">(Sens!G9127*tk_opex_h100+Sens!G9128*tk_opex_gb200+Sens!G9129*tk_opex_gb300+Sens!G9130*tk_opex_vr200)/Sens!G9120</f>
        <v>1.9786941852423</v>
      </c>
      <c r="H9135" s="18" t="n">
        <f aca="false">(Sens!H9127*tk_opex_h100+Sens!H9128*tk_opex_gb200+Sens!H9129*tk_opex_gb300+Sens!H9130*tk_opex_vr200)/Sens!H9120</f>
        <v>2.00289275976156</v>
      </c>
      <c r="I9135" s="18" t="n">
        <f aca="false">(Sens!I9127*tk_opex_h100+Sens!I9128*tk_opex_gb200+Sens!I9129*tk_opex_gb300+Sens!I9130*tk_opex_vr200)/Sens!I9120</f>
        <v>2.01793562605478</v>
      </c>
      <c r="J9135" s="18" t="n">
        <f aca="false">(Sens!J9127*tk_opex_h100+Sens!J9128*tk_opex_gb200+Sens!J9129*tk_opex_gb300+Sens!J9130*tk_opex_vr200)/Sens!J9120</f>
        <v>2.02819234961902</v>
      </c>
      <c r="K9135" s="18" t="n">
        <f aca="false">(Sens!K9127*tk_opex_h100+Sens!K9128*tk_opex_gb200+Sens!K9129*tk_opex_gb300+Sens!K9130*tk_opex_vr200)/Sens!K9120</f>
        <v>2.0356336155994</v>
      </c>
    </row>
    <row r="9136" customFormat="false" ht="17.15" hidden="false" customHeight="false" outlineLevel="0" collapsed="false">
      <c r="A9136" s="0" t="s">
        <v>741</v>
      </c>
      <c r="B9136" s="0" t="s">
        <v>95</v>
      </c>
      <c r="D9136" s="6" t="n">
        <f aca="false">(Sens!C9123+Sens!D9123)/2*Sens!D9135/1000</f>
        <v>2.70378325872065</v>
      </c>
      <c r="E9136" s="6" t="n">
        <f aca="false">(Sens!D9123+Sens!E9123)/2*Sens!E9135/1000</f>
        <v>6.17783035277451</v>
      </c>
      <c r="F9136" s="6" t="n">
        <f aca="false">(Sens!E9123+Sens!F9123)/2*Sens!F9135/1000</f>
        <v>12.5020618235287</v>
      </c>
      <c r="G9136" s="6" t="n">
        <f aca="false">(Sens!F9123+Sens!G9123)/2*Sens!G9135/1000</f>
        <v>20.7261620256847</v>
      </c>
      <c r="H9136" s="6" t="n">
        <f aca="false">(Sens!G9123+Sens!H9123)/2*Sens!H9135/1000</f>
        <v>29.4158183316982</v>
      </c>
      <c r="I9136" s="6" t="n">
        <f aca="false">(Sens!H9123+Sens!I9123)/2*Sens!I9135/1000</f>
        <v>38.1362927516005</v>
      </c>
      <c r="J9136" s="6" t="n">
        <f aca="false">(Sens!I9123+Sens!J9123)/2*Sens!J9135/1000</f>
        <v>46.8728773279286</v>
      </c>
      <c r="K9136" s="6" t="n">
        <f aca="false">(Sens!J9123+Sens!K9123)/2*Sens!K9135/1000</f>
        <v>55.618938734484</v>
      </c>
    </row>
    <row r="9137" customFormat="false" ht="17.15" hidden="false" customHeight="false" outlineLevel="0" collapsed="false">
      <c r="A9137" s="0" t="s">
        <v>742</v>
      </c>
      <c r="B9137" s="0" t="s">
        <v>95</v>
      </c>
      <c r="D9137" s="6" t="n">
        <f aca="false">(Sens!C9121+Sens!D9121)/2*rent_mw/1000</f>
        <v>2.44475</v>
      </c>
      <c r="E9137" s="6" t="n">
        <f aca="false">(Sens!D9121+Sens!E9121)/2*rent_mw/1000</f>
        <v>4.22275</v>
      </c>
      <c r="F9137" s="6" t="n">
        <f aca="false">(Sens!E9121+Sens!F9121)/2*rent_mw/1000</f>
        <v>5.80517</v>
      </c>
      <c r="G9137" s="6" t="n">
        <f aca="false">(Sens!F9121+Sens!G9121)/2*rent_mw/1000</f>
        <v>6.72084</v>
      </c>
      <c r="H9137" s="6" t="n">
        <f aca="false">(Sens!G9121+Sens!H9121)/2*rent_mw/1000</f>
        <v>6.72084</v>
      </c>
      <c r="I9137" s="6" t="n">
        <f aca="false">(Sens!H9121+Sens!I9121)/2*rent_mw/1000</f>
        <v>6.72084</v>
      </c>
      <c r="J9137" s="6" t="n">
        <f aca="false">(Sens!I9121+Sens!J9121)/2*rent_mw/1000</f>
        <v>6.72084</v>
      </c>
      <c r="K9137" s="6" t="n">
        <f aca="false">(Sens!J9121+Sens!K9121)/2*rent_mw/1000</f>
        <v>6.72084</v>
      </c>
    </row>
    <row r="9138" customFormat="false" ht="17.15" hidden="false" customHeight="false" outlineLevel="0" collapsed="false">
      <c r="A9138" s="0" t="s">
        <v>743</v>
      </c>
      <c r="B9138" s="0" t="s">
        <v>95</v>
      </c>
      <c r="D9138" s="6" t="n">
        <f aca="false">(Sens!C9123+Sens!D9123)/2*(1-self_build)*fac_rent/1000</f>
        <v>0.853242375631075</v>
      </c>
      <c r="E9138" s="6" t="n">
        <f aca="false">(Sens!D9123+Sens!E9123)/2*(1-self_build)*fac_rent/1000</f>
        <v>1.94955961408728</v>
      </c>
      <c r="F9138" s="6" t="n">
        <f aca="false">(Sens!E9123+Sens!F9123)/2*(1-self_build)*fac_rent/1000</f>
        <v>3.83026455274573</v>
      </c>
      <c r="G9138" s="6" t="n">
        <f aca="false">(Sens!F9123+Sens!G9123)/2*(1-self_build)*fac_rent/1000</f>
        <v>6.23541590972812</v>
      </c>
      <c r="H9138" s="6" t="n">
        <f aca="false">(Sens!G9123+Sens!H9123)/2*(1-self_build)*fac_rent/1000</f>
        <v>8.74275792332679</v>
      </c>
      <c r="I9138" s="6" t="n">
        <f aca="false">(Sens!H9123+Sens!I9123)/2*(1-self_build)*fac_rent/1000</f>
        <v>11.2500999369255</v>
      </c>
      <c r="J9138" s="6" t="n">
        <f aca="false">(Sens!I9123+Sens!J9123)/2*(1-self_build)*fac_rent/1000</f>
        <v>13.7574419505241</v>
      </c>
      <c r="K9138" s="6" t="n">
        <f aca="false">(Sens!J9123+Sens!K9123)/2*(1-self_build)*fac_rent/1000</f>
        <v>16.2647839641228</v>
      </c>
      <c r="L9138" s="11" t="s">
        <v>744</v>
      </c>
    </row>
    <row r="9139" customFormat="false" ht="17.15" hidden="false" customHeight="false" outlineLevel="0" collapsed="false">
      <c r="A9139" s="1" t="s">
        <v>745</v>
      </c>
      <c r="B9139" s="0" t="s">
        <v>126</v>
      </c>
      <c r="D9139" s="7" t="n">
        <f aca="false">(Sens!C9122+Sens!D9122)/(Sens!C9123+Sens!D9123)</f>
        <v>0.6</v>
      </c>
      <c r="E9139" s="7" t="n">
        <f aca="false">(Sens!D9122+Sens!E9122)/(Sens!D9123+Sens!E9123)</f>
        <v>0.6</v>
      </c>
      <c r="F9139" s="7" t="n">
        <f aca="false">(Sens!E9122+Sens!F9122)/(Sens!E9123+Sens!F9123)</f>
        <v>0.6</v>
      </c>
      <c r="G9139" s="7" t="n">
        <f aca="false">(Sens!F9122+Sens!G9122)/(Sens!F9123+Sens!G9123)</f>
        <v>0.6</v>
      </c>
      <c r="H9139" s="7" t="n">
        <f aca="false">(Sens!G9122+Sens!H9122)/(Sens!G9123+Sens!H9123)</f>
        <v>0.6</v>
      </c>
      <c r="I9139" s="7" t="n">
        <f aca="false">(Sens!H9122+Sens!I9122)/(Sens!H9123+Sens!I9123)</f>
        <v>0.6</v>
      </c>
      <c r="J9139" s="7" t="n">
        <f aca="false">(Sens!I9122+Sens!J9122)/(Sens!I9123+Sens!J9123)</f>
        <v>0.6</v>
      </c>
      <c r="K9139" s="7" t="n">
        <f aca="false">(Sens!J9122+Sens!K9122)/(Sens!J9123+Sens!K9123)</f>
        <v>0.6</v>
      </c>
    </row>
    <row r="9140" customFormat="false" ht="17.15" hidden="false" customHeight="false" outlineLevel="0" collapsed="false">
      <c r="A9140" s="0" t="s">
        <v>746</v>
      </c>
      <c r="B9140" s="0" t="s">
        <v>95</v>
      </c>
      <c r="D9140" s="6" t="n">
        <f aca="false">Sens!D9134-Sens!D9139*(Sens!D9136+Sens!D9138)-Sens!D9137</f>
        <v>8.35701406163072</v>
      </c>
      <c r="E9140" s="6" t="n">
        <f aca="false">Sens!E9134-Sens!E9139*(Sens!E9136+Sens!E9138)-Sens!E9137</f>
        <v>18.7103224860238</v>
      </c>
      <c r="F9140" s="6" t="n">
        <f aca="false">Sens!F9134-Sens!F9139*(Sens!F9136+Sens!F9138)-Sens!F9137</f>
        <v>39.4594407491938</v>
      </c>
      <c r="G9140" s="6" t="n">
        <f aca="false">Sens!G9134-Sens!G9139*(Sens!G9136+Sens!G9138)-Sens!G9137</f>
        <v>66.5527545578061</v>
      </c>
      <c r="H9140" s="6" t="n">
        <f aca="false">Sens!H9134-Sens!H9139*(Sens!H9136+Sens!H9138)-Sens!H9137</f>
        <v>95.219644983859</v>
      </c>
      <c r="I9140" s="6" t="n">
        <f aca="false">Sens!I9134-Sens!I9139*(Sens!I9136+Sens!I9138)-Sens!I9137</f>
        <v>124.031840462493</v>
      </c>
      <c r="J9140" s="6" t="n">
        <f aca="false">Sens!J9134-Sens!J9139*(Sens!J9136+Sens!J9138)-Sens!J9137</f>
        <v>152.919994097909</v>
      </c>
      <c r="K9140" s="6" t="n">
        <f aca="false">Sens!K9134-Sens!K9139*(Sens!K9136+Sens!K9138)-Sens!K9137</f>
        <v>181.852830263848</v>
      </c>
    </row>
    <row r="9141" customFormat="false" ht="17.15" hidden="false" customHeight="false" outlineLevel="0" collapsed="false">
      <c r="A9141" s="1" t="s">
        <v>747</v>
      </c>
      <c r="B9141" s="0" t="s">
        <v>95</v>
      </c>
      <c r="D9141" s="6" t="n">
        <f aca="false">(1-Sens!D9139)*(Sens!D9136+Sens!D9138)</f>
        <v>1.42281025374069</v>
      </c>
      <c r="E9141" s="6" t="n">
        <f aca="false">(1-Sens!E9139)*(Sens!E9136+Sens!E9138)</f>
        <v>3.25095598674472</v>
      </c>
      <c r="F9141" s="6" t="n">
        <f aca="false">(1-Sens!F9139)*(Sens!F9136+Sens!F9138)</f>
        <v>6.53293055050977</v>
      </c>
      <c r="G9141" s="6" t="n">
        <f aca="false">(1-Sens!G9139)*(Sens!G9136+Sens!G9138)</f>
        <v>10.7846311741651</v>
      </c>
      <c r="H9141" s="6" t="n">
        <f aca="false">(1-Sens!H9139)*(Sens!H9136+Sens!H9138)</f>
        <v>15.26343050201</v>
      </c>
      <c r="I9141" s="6" t="n">
        <f aca="false">(1-Sens!I9139)*(Sens!I9136+Sens!I9138)</f>
        <v>19.7545570754104</v>
      </c>
      <c r="J9141" s="6" t="n">
        <f aca="false">(1-Sens!J9139)*(Sens!J9136+Sens!J9138)</f>
        <v>24.2521277113811</v>
      </c>
      <c r="K9141" s="6" t="n">
        <f aca="false">(1-Sens!K9139)*(Sens!K9136+Sens!K9138)</f>
        <v>28.7534890794427</v>
      </c>
    </row>
    <row r="9142" customFormat="false" ht="17.15" hidden="false" customHeight="false" outlineLevel="0" collapsed="false">
      <c r="A9142" s="1" t="s">
        <v>748</v>
      </c>
      <c r="B9142" s="0" t="s">
        <v>302</v>
      </c>
      <c r="C9142" s="8" t="n">
        <f aca="false">cxit_open</f>
        <v>27.5918995</v>
      </c>
      <c r="D9142" s="8" t="n">
        <f aca="false">cxit_open</f>
        <v>27.5918995</v>
      </c>
      <c r="E9142" s="8" t="n">
        <f aca="false">cxit_open</f>
        <v>27.5918995</v>
      </c>
      <c r="F9142" s="8" t="n">
        <f aca="false">(a_g3_27*tk_cxit_gb300+(1-a_g3_27)*tk_cxit_vr200)</f>
        <v>33.8419624</v>
      </c>
      <c r="G9142" s="8" t="n">
        <f aca="false">(a_g3_28*tk_cxit_gb300+(1-a_g3_28)*tk_cxit_vr200)</f>
        <v>35.9816136</v>
      </c>
      <c r="H9142" s="8" t="n">
        <f aca="false">(a_g3_29*tk_cxit_gb300+(1-a_g3_29)*tk_cxit_vr200)</f>
        <v>37.0514392</v>
      </c>
      <c r="I9142" s="8" t="n">
        <f aca="false">(a_g3_29*tk_cxit_gb300+(1-a_g3_29)*tk_cxit_vr200)</f>
        <v>37.0514392</v>
      </c>
      <c r="J9142" s="8" t="n">
        <f aca="false">(a_g3_29*tk_cxit_gb300+(1-a_g3_29)*tk_cxit_vr200)</f>
        <v>37.0514392</v>
      </c>
      <c r="K9142" s="8" t="n">
        <f aca="false">(a_g3_29*tk_cxit_gb300+(1-a_g3_29)*tk_cxit_vr200)</f>
        <v>37.0514392</v>
      </c>
      <c r="L9142" s="11" t="s">
        <v>749</v>
      </c>
    </row>
    <row r="9143" customFormat="false" ht="17.15" hidden="false" customHeight="false" outlineLevel="0" collapsed="false">
      <c r="A9143" s="0" t="s">
        <v>750</v>
      </c>
      <c r="B9143" s="0" t="s">
        <v>340</v>
      </c>
      <c r="F9143" s="27" t="n">
        <f aca="false">Sens!C9125*IF(3=life_it,1,0)+Sens!D9125*IF(2=life_it,1,0)+Sens!E9125*IF(1=life_it,1,0)</f>
        <v>0</v>
      </c>
      <c r="G9143" s="27" t="n">
        <f aca="false">Sens!C9125*IF(4=life_it,1,0)+Sens!D9125*IF(3=life_it,1,0)+Sens!E9125*IF(2=life_it,1,0)+Sens!F9125*IF(1=life_it,1,0)</f>
        <v>0</v>
      </c>
      <c r="H9143" s="27" t="n">
        <f aca="false">Sens!C9125*IF(5=life_it,1,0)+Sens!D9125*IF(4=life_it,1,0)+Sens!E9125*IF(3=life_it,1,0)+Sens!F9125*IF(2=life_it,1,0)+Sens!G9125*IF(1=life_it,1,0)</f>
        <v>0</v>
      </c>
      <c r="I9143" s="27" t="n">
        <f aca="false">Sens!C9125*IF(6=life_it,1,0)+Sens!D9125*IF(5=life_it,1,0)+Sens!E9125*IF(4=life_it,1,0)+Sens!F9125*IF(3=life_it,1,0)+Sens!G9125*IF(2=life_it,1,0)+Sens!H9125*IF(1=life_it,1,0)</f>
        <v>816.666666666667</v>
      </c>
      <c r="J9143" s="27" t="n">
        <f aca="false">Sens!C9125*IF(7=life_it,1,0)+Sens!D9125*IF(6=life_it,1,0)+Sens!E9125*IF(5=life_it,1,0)+Sens!F9125*IF(4=life_it,1,0)+Sens!G9125*IF(3=life_it,1,0)+Sens!H9125*IF(2=life_it,1,0)+Sens!I9125*IF(1=life_it,1,0)</f>
        <v>1233.33333333333</v>
      </c>
      <c r="K9143" s="27" t="n">
        <f aca="false">Sens!C9125*IF(8=life_it,1,0)+Sens!D9125*IF(7=life_it,1,0)+Sens!E9125*IF(6=life_it,1,0)+Sens!F9125*IF(5=life_it,1,0)+Sens!G9125*IF(4=life_it,1,0)+Sens!H9125*IF(3=life_it,1,0)+Sens!I9125*IF(2=life_it,1,0)+Sens!J9125*IF(1=life_it,1,0)</f>
        <v>2450</v>
      </c>
      <c r="L9143" s="1" t="s">
        <v>751</v>
      </c>
    </row>
    <row r="9144" customFormat="false" ht="17.15" hidden="false" customHeight="false" outlineLevel="0" collapsed="false">
      <c r="A9144" s="0" t="s">
        <v>752</v>
      </c>
      <c r="B9144" s="0" t="s">
        <v>95</v>
      </c>
      <c r="C9144" s="6" t="n">
        <f aca="false">Sens!C9125*Sens!C9142/1000</f>
        <v>22.5333845916667</v>
      </c>
      <c r="D9144" s="6" t="n">
        <f aca="false">Sens!D9125*Sens!D9142/1000</f>
        <v>34.0300093833333</v>
      </c>
      <c r="E9144" s="6" t="n">
        <f aca="false">Sens!E9125*Sens!E9142/1000</f>
        <v>67.600153775</v>
      </c>
      <c r="F9144" s="6" t="n">
        <f aca="false">(Sens!F9125+Sens!F9143)*Sens!F9142/1000</f>
        <v>130.923271871467</v>
      </c>
      <c r="G9144" s="6" t="n">
        <f aca="false">(Sens!G9125+Sens!G9143)*Sens!G9142/1000</f>
        <v>151.5545564832</v>
      </c>
      <c r="H9144" s="6" t="n">
        <f aca="false">(Sens!H9125+Sens!H9143)*Sens!H9142/1000</f>
        <v>156.0606619104</v>
      </c>
      <c r="I9144" s="6" t="n">
        <f aca="false">(Sens!I9125+Sens!I9143)*Sens!I9142/1000</f>
        <v>186.319337257067</v>
      </c>
      <c r="J9144" s="6" t="n">
        <f aca="false">(Sens!J9125+Sens!J9143)*Sens!J9142/1000</f>
        <v>201.757436923733</v>
      </c>
      <c r="K9144" s="6" t="n">
        <f aca="false">(Sens!K9125+Sens!K9143)*Sens!K9142/1000</f>
        <v>246.8366879504</v>
      </c>
    </row>
    <row r="9145" customFormat="false" ht="17.15" hidden="false" customHeight="false" outlineLevel="0" collapsed="false">
      <c r="A9145" s="0" t="s">
        <v>753</v>
      </c>
      <c r="B9145" s="0" t="s">
        <v>95</v>
      </c>
      <c r="C9145" s="6" t="n">
        <f aca="false">Sens!C9125*self_build*tk_cxfac/1000</f>
        <v>6.2083</v>
      </c>
      <c r="D9145" s="6" t="n">
        <f aca="false">Sens!D9125*self_build*tk_cxfac/1000</f>
        <v>9.3758</v>
      </c>
      <c r="E9145" s="6" t="n">
        <f aca="false">Sens!E9125*self_build*tk_cxfac/1000</f>
        <v>18.6249</v>
      </c>
      <c r="F9145" s="6" t="n">
        <f aca="false">Sens!F9125*self_build*tk_cxfac/1000</f>
        <v>29.409604</v>
      </c>
      <c r="G9145" s="6" t="n">
        <f aca="false">Sens!G9125*self_build*tk_cxfac/1000</f>
        <v>32.019624</v>
      </c>
      <c r="H9145" s="6" t="n">
        <f aca="false">Sens!H9125*self_build*tk_cxfac/1000</f>
        <v>32.019624</v>
      </c>
      <c r="I9145" s="6" t="n">
        <f aca="false">Sens!I9125*self_build*tk_cxfac/1000</f>
        <v>32.019624</v>
      </c>
      <c r="J9145" s="6" t="n">
        <f aca="false">Sens!J9125*self_build*tk_cxfac/1000</f>
        <v>32.019624</v>
      </c>
      <c r="K9145" s="6" t="n">
        <f aca="false">Sens!K9125*self_build*tk_cxfac/1000</f>
        <v>32.019624</v>
      </c>
    </row>
    <row r="9146" customFormat="false" ht="17.15" hidden="false" customHeight="false" outlineLevel="0" collapsed="false">
      <c r="A9146" s="0" t="s">
        <v>754</v>
      </c>
      <c r="B9146" s="0" t="s">
        <v>95</v>
      </c>
      <c r="F9146" s="6" t="n">
        <f aca="false">MAX(0,capex_floor27-Sens!F9144-Sens!F9145-Sens!F9233)</f>
        <v>8.28450839897089</v>
      </c>
      <c r="G9146" s="6" t="n">
        <f aca="false">0</f>
        <v>0</v>
      </c>
      <c r="H9146" s="6" t="n">
        <f aca="false">0</f>
        <v>0</v>
      </c>
      <c r="I9146" s="6" t="n">
        <f aca="false">0</f>
        <v>0</v>
      </c>
      <c r="J9146" s="6" t="n">
        <f aca="false">0</f>
        <v>0</v>
      </c>
      <c r="K9146" s="6" t="n">
        <f aca="false">0</f>
        <v>0</v>
      </c>
      <c r="L9146" s="1" t="s">
        <v>755</v>
      </c>
    </row>
    <row r="9147" customFormat="false" ht="17.15" hidden="false" customHeight="false" outlineLevel="0" collapsed="false">
      <c r="A9147" s="0" t="s">
        <v>756</v>
      </c>
      <c r="B9147" s="0" t="s">
        <v>95</v>
      </c>
      <c r="C9147" s="6" t="n">
        <f aca="false">Sens!C9144</f>
        <v>22.5333845916667</v>
      </c>
      <c r="D9147" s="6" t="n">
        <f aca="false">Sens!D9144</f>
        <v>34.0300093833333</v>
      </c>
      <c r="E9147" s="6" t="n">
        <f aca="false">Sens!E9144</f>
        <v>67.600153775</v>
      </c>
      <c r="F9147" s="6" t="n">
        <f aca="false">Sens!F9144+Sens!F9146</f>
        <v>139.207780270438</v>
      </c>
      <c r="G9147" s="6" t="n">
        <f aca="false">Sens!G9144+Sens!G9146</f>
        <v>151.5545564832</v>
      </c>
      <c r="H9147" s="6" t="n">
        <f aca="false">Sens!H9144+Sens!H9146</f>
        <v>156.0606619104</v>
      </c>
      <c r="I9147" s="6" t="n">
        <f aca="false">Sens!I9144+Sens!I9146</f>
        <v>186.319337257067</v>
      </c>
      <c r="J9147" s="6" t="n">
        <f aca="false">Sens!J9144+Sens!J9146</f>
        <v>201.757436923733</v>
      </c>
      <c r="K9147" s="6" t="n">
        <f aca="false">Sens!K9144+Sens!K9146</f>
        <v>246.8366879504</v>
      </c>
    </row>
    <row r="9148" customFormat="false" ht="17.15" hidden="false" customHeight="false" outlineLevel="0" collapsed="false">
      <c r="A9148" s="0" t="s">
        <v>757</v>
      </c>
      <c r="B9148" s="0" t="s">
        <v>95</v>
      </c>
      <c r="C9148" s="6" t="n">
        <f aca="false">Sens!C9147+Sens!C9145</f>
        <v>28.7416845916667</v>
      </c>
      <c r="D9148" s="6" t="n">
        <f aca="false">Sens!D9147+Sens!D9145</f>
        <v>43.4058093833333</v>
      </c>
      <c r="E9148" s="6" t="n">
        <f aca="false">Sens!E9147+Sens!E9145</f>
        <v>86.225053775</v>
      </c>
      <c r="F9148" s="6" t="n">
        <f aca="false">Sens!F9147+Sens!F9145</f>
        <v>168.617384270438</v>
      </c>
      <c r="G9148" s="6" t="n">
        <f aca="false">Sens!G9147+Sens!G9145</f>
        <v>183.5741804832</v>
      </c>
      <c r="H9148" s="6" t="n">
        <f aca="false">Sens!H9147+Sens!H9145</f>
        <v>188.0802859104</v>
      </c>
      <c r="I9148" s="6" t="n">
        <f aca="false">Sens!I9147+Sens!I9145</f>
        <v>218.338961257067</v>
      </c>
      <c r="J9148" s="6" t="n">
        <f aca="false">Sens!J9147+Sens!J9145</f>
        <v>233.777060923733</v>
      </c>
      <c r="K9148" s="6" t="n">
        <f aca="false">Sens!K9147+Sens!K9145</f>
        <v>278.8563119504</v>
      </c>
      <c r="L9148" s="11" t="s">
        <v>758</v>
      </c>
    </row>
    <row r="9149" customFormat="false" ht="17.15" hidden="false" customHeight="false" outlineLevel="0" collapsed="false">
      <c r="A9149" s="0" t="s">
        <v>759</v>
      </c>
      <c r="B9149" s="0" t="s">
        <v>95</v>
      </c>
      <c r="E9149" s="6" t="n">
        <f aca="false">(Sens!C9147*IF(2&lt;life_it,1,IF(2=life_it,0.5,0))+Sens!D9147*IF(1&lt;life_it,1,IF(1=life_it,0.5,0))+Sens!E9147*0.5)/life_it</f>
        <v>15.0605784770833</v>
      </c>
      <c r="F9149" s="6" t="n">
        <f aca="false">(Sens!C9147*IF(3&lt;life_it,1,IF(3=life_it,0.5,0))+Sens!D9147*IF(2&lt;life_it,1,IF(2=life_it,0.5,0))+Sens!E9147*IF(1&lt;life_it,1,IF(1=life_it,0.5,0))+Sens!F9147*0.5)/life_it</f>
        <v>32.2945729808698</v>
      </c>
      <c r="G9149" s="6" t="n">
        <f aca="false">(Sens!C9147*IF(4&lt;life_it,1,IF(4=life_it,0.5,0))+Sens!D9147*IF(3&lt;life_it,1,IF(3=life_it,0.5,0))+Sens!E9147*IF(2&lt;life_it,1,IF(2=life_it,0.5,0))+Sens!F9147*IF(1&lt;life_it,1,IF(1=life_it,0.5,0))+Sens!G9147*0.5)/life_it</f>
        <v>56.5247677103396</v>
      </c>
      <c r="H9149" s="6" t="n">
        <f aca="false">(Sens!C9147*IF(5&lt;life_it,1,IF(5=life_it,0.5,0))+Sens!D9147*IF(4&lt;life_it,1,IF(4=life_it,0.5,0))+Sens!E9147*IF(3&lt;life_it,1,IF(3=life_it,0.5,0))+Sens!F9147*IF(2&lt;life_it,1,IF(2=life_it,0.5,0))+Sens!G9147*IF(1&lt;life_it,1,IF(1=life_it,0.5,0))+Sens!H9147*0.5)/life_it</f>
        <v>82.1593692431396</v>
      </c>
      <c r="I9149" s="6" t="n">
        <f aca="false">(Sens!C9147*IF(6&lt;life_it,1,IF(6=life_it,0.5,0))+Sens!D9147*IF(5&lt;life_it,1,IF(5=life_it,0.5,0))+Sens!E9147*IF(4&lt;life_it,1,IF(4=life_it,0.5,0))+Sens!F9147*IF(3&lt;life_it,1,IF(3=life_it,0.5,0))+Sens!G9147*IF(2&lt;life_it,1,IF(2=life_it,0.5,0))+Sens!H9147*IF(1&lt;life_it,1,IF(1=life_it,0.5,0))+Sens!I9147*0.5)/life_it</f>
        <v>108.813253791123</v>
      </c>
      <c r="J9149" s="6" t="n">
        <f aca="false">(Sens!C9147*IF(7&lt;life_it,1,IF(7=life_it,0.5,0))+Sens!D9147*IF(6&lt;life_it,1,IF(6=life_it,0.5,0))+Sens!E9147*IF(5&lt;life_it,1,IF(5=life_it,0.5,0))+Sens!F9147*IF(4&lt;life_it,1,IF(4=life_it,0.5,0))+Sens!G9147*IF(3&lt;life_it,1,IF(3=life_it,0.5,0))+Sens!H9147*IF(2&lt;life_it,1,IF(2=life_it,0.5,0))+Sens!I9147*IF(1&lt;life_it,1,IF(1=life_it,0.5,0))+Sens!J9147*0.5)/life_it</f>
        <v>136.439368808273</v>
      </c>
      <c r="K9149" s="6" t="n">
        <f aca="false">(Sens!C9147*IF(8&lt;life_it,1,IF(8=life_it,0.5,0))+Sens!D9147*IF(7&lt;life_it,1,IF(7=life_it,0.5,0))+Sens!E9147*IF(6&lt;life_it,1,IF(6=life_it,0.5,0))+Sens!F9147*IF(5&lt;life_it,1,IF(5=life_it,0.5,0))+Sens!G9147*IF(4&lt;life_it,1,IF(4=life_it,0.5,0))+Sens!H9147*IF(3&lt;life_it,1,IF(3=life_it,0.5,0))+Sens!I9147*IF(2&lt;life_it,1,IF(2=life_it,0.5,0))+Sens!J9147*IF(1&lt;life_it,1,IF(1=life_it,0.5,0))+Sens!K9147*0.5)/life_it</f>
        <v>165.35303228459</v>
      </c>
    </row>
    <row r="9150" customFormat="false" ht="17.15" hidden="false" customHeight="false" outlineLevel="0" collapsed="false">
      <c r="A9150" s="0" t="s">
        <v>760</v>
      </c>
      <c r="B9150" s="0" t="s">
        <v>95</v>
      </c>
      <c r="E9150" s="6" t="n">
        <f aca="false">(Sens!C9145*IF(2&lt;life_fac,1,IF(2=life_fac,0.5,0))+Sens!D9145*IF(1&lt;life_fac,1,IF(1=life_fac,0.5,0))+Sens!E9145*0.5)/life_fac</f>
        <v>1.2448275</v>
      </c>
      <c r="F9150" s="6" t="n">
        <f aca="false">(Sens!C9145*IF(3&lt;life_fac,1,IF(3=life_fac,0.5,0))+Sens!D9145*IF(2&lt;life_fac,1,IF(2=life_fac,0.5,0))+Sens!E9145*IF(1&lt;life_fac,1,IF(1=life_fac,0.5,0))+Sens!F9145*0.5)/life_fac</f>
        <v>2.4456901</v>
      </c>
      <c r="G9150" s="6" t="n">
        <f aca="false">(Sens!C9145*IF(4&lt;life_fac,1,IF(4=life_fac,0.5,0))+Sens!D9145*IF(3&lt;life_fac,1,IF(3=life_fac,0.5,0))+Sens!E9145*IF(2&lt;life_fac,1,IF(2=life_fac,0.5,0))+Sens!F9145*IF(1&lt;life_fac,1,IF(1=life_fac,0.5,0))+Sens!G9145*0.5)/life_fac</f>
        <v>3.9814208</v>
      </c>
      <c r="H9150" s="6" t="n">
        <f aca="false">(Sens!C9145*IF(5&lt;life_fac,1,IF(5=life_fac,0.5,0))+Sens!D9145*IF(4&lt;life_fac,1,IF(4=life_fac,0.5,0))+Sens!E9145*IF(3&lt;life_fac,1,IF(3=life_fac,0.5,0))+Sens!F9145*IF(2&lt;life_fac,1,IF(2=life_fac,0.5,0))+Sens!G9145*IF(1&lt;life_fac,1,IF(1=life_fac,0.5,0))+Sens!H9145*0.5)/life_fac</f>
        <v>5.582402</v>
      </c>
      <c r="I9150" s="6" t="n">
        <f aca="false">(Sens!C9145*IF(6&lt;life_fac,1,IF(6=life_fac,0.5,0))+Sens!D9145*IF(5&lt;life_fac,1,IF(5=life_fac,0.5,0))+Sens!E9145*IF(4&lt;life_fac,1,IF(4=life_fac,0.5,0))+Sens!F9145*IF(3&lt;life_fac,1,IF(3=life_fac,0.5,0))+Sens!G9145*IF(2&lt;life_fac,1,IF(2=life_fac,0.5,0))+Sens!H9145*IF(1&lt;life_fac,1,IF(1=life_fac,0.5,0))+Sens!I9145*0.5)/life_fac</f>
        <v>7.1833832</v>
      </c>
      <c r="J9150" s="6" t="n">
        <f aca="false">(Sens!C9145*IF(7&lt;life_fac,1,IF(7=life_fac,0.5,0))+Sens!D9145*IF(6&lt;life_fac,1,IF(6=life_fac,0.5,0))+Sens!E9145*IF(5&lt;life_fac,1,IF(5=life_fac,0.5,0))+Sens!F9145*IF(4&lt;life_fac,1,IF(4=life_fac,0.5,0))+Sens!G9145*IF(3&lt;life_fac,1,IF(3=life_fac,0.5,0))+Sens!H9145*IF(2&lt;life_fac,1,IF(2=life_fac,0.5,0))+Sens!I9145*IF(1&lt;life_fac,1,IF(1=life_fac,0.5,0))+Sens!J9145*0.5)/life_fac</f>
        <v>8.7843644</v>
      </c>
      <c r="K9150" s="6" t="n">
        <f aca="false">(Sens!C9145*IF(8&lt;life_fac,1,IF(8=life_fac,0.5,0))+Sens!D9145*IF(7&lt;life_fac,1,IF(7=life_fac,0.5,0))+Sens!E9145*IF(6&lt;life_fac,1,IF(6=life_fac,0.5,0))+Sens!F9145*IF(5&lt;life_fac,1,IF(5=life_fac,0.5,0))+Sens!G9145*IF(4&lt;life_fac,1,IF(4=life_fac,0.5,0))+Sens!H9145*IF(3&lt;life_fac,1,IF(3=life_fac,0.5,0))+Sens!I9145*IF(2&lt;life_fac,1,IF(2=life_fac,0.5,0))+Sens!J9145*IF(1&lt;life_fac,1,IF(1=life_fac,0.5,0))+Sens!K9145*0.5)/life_fac</f>
        <v>10.3853456</v>
      </c>
    </row>
    <row r="9151" customFormat="false" ht="17.15" hidden="false" customHeight="false" outlineLevel="0" collapsed="false">
      <c r="A9151" s="0" t="s">
        <v>761</v>
      </c>
      <c r="B9151" s="0" t="s">
        <v>95</v>
      </c>
      <c r="E9151" s="6" t="n">
        <f aca="false">Sens!E9149+Sens!E9150</f>
        <v>16.3054059770833</v>
      </c>
      <c r="F9151" s="6" t="n">
        <f aca="false">Sens!F9149+Sens!F9150</f>
        <v>34.7402630808698</v>
      </c>
      <c r="G9151" s="6" t="n">
        <f aca="false">Sens!G9149+Sens!G9150</f>
        <v>60.5061885103396</v>
      </c>
      <c r="H9151" s="6" t="n">
        <f aca="false">Sens!H9149+Sens!H9150</f>
        <v>87.7417712431396</v>
      </c>
      <c r="I9151" s="6" t="n">
        <f aca="false">Sens!I9149+Sens!I9150</f>
        <v>115.996636991123</v>
      </c>
      <c r="J9151" s="6" t="n">
        <f aca="false">Sens!J9149+Sens!J9150</f>
        <v>145.223733208273</v>
      </c>
      <c r="K9151" s="6" t="n">
        <f aca="false">Sens!K9149+Sens!K9150</f>
        <v>175.73837788459</v>
      </c>
    </row>
    <row r="9152" customFormat="false" ht="17.15" hidden="false" customHeight="false" outlineLevel="0" collapsed="false">
      <c r="A9152" s="0" t="s">
        <v>762</v>
      </c>
      <c r="B9152" s="0" t="s">
        <v>95</v>
      </c>
      <c r="E9152" s="6" t="n">
        <f aca="false">Sens!E9140-Sens!E9139*Sens!E9151</f>
        <v>8.92707889977379</v>
      </c>
      <c r="F9152" s="6" t="n">
        <f aca="false">Sens!F9140-Sens!F9139*Sens!F9151</f>
        <v>18.615282900672</v>
      </c>
      <c r="G9152" s="6" t="n">
        <f aca="false">Sens!G9140-Sens!G9139*Sens!G9151</f>
        <v>30.2490414516024</v>
      </c>
      <c r="H9152" s="6" t="n">
        <f aca="false">Sens!H9140-Sens!H9139*Sens!H9151</f>
        <v>42.5745822379752</v>
      </c>
      <c r="I9152" s="6" t="n">
        <f aca="false">Sens!I9140-Sens!I9139*Sens!I9151</f>
        <v>54.4338582678191</v>
      </c>
      <c r="J9152" s="6" t="n">
        <f aca="false">Sens!J9140-Sens!J9139*Sens!J9151</f>
        <v>65.7857541729457</v>
      </c>
      <c r="K9152" s="6" t="n">
        <f aca="false">Sens!K9140-Sens!K9139*Sens!K9151</f>
        <v>76.4098035330945</v>
      </c>
    </row>
    <row r="9153" customFormat="false" ht="17.15" hidden="false" customHeight="false" outlineLevel="0" collapsed="false">
      <c r="A9153" s="3" t="s">
        <v>1375</v>
      </c>
    </row>
    <row r="9154" customFormat="false" ht="15" hidden="false" customHeight="false" outlineLevel="0" collapsed="false">
      <c r="A9154" s="4" t="s">
        <v>43</v>
      </c>
      <c r="B9154" s="4" t="s">
        <v>63</v>
      </c>
      <c r="C9154" s="19" t="s">
        <v>710</v>
      </c>
      <c r="D9154" s="19" t="s">
        <v>711</v>
      </c>
      <c r="E9154" s="19" t="s">
        <v>712</v>
      </c>
      <c r="F9154" s="19" t="s">
        <v>713</v>
      </c>
      <c r="G9154" s="19" t="s">
        <v>714</v>
      </c>
      <c r="H9154" s="19" t="s">
        <v>715</v>
      </c>
      <c r="I9154" s="19" t="s">
        <v>716</v>
      </c>
      <c r="J9154" s="19" t="s">
        <v>717</v>
      </c>
      <c r="K9154" s="19" t="s">
        <v>718</v>
      </c>
      <c r="L9154" s="4" t="s">
        <v>47</v>
      </c>
    </row>
    <row r="9155" customFormat="false" ht="17.15" hidden="false" customHeight="false" outlineLevel="0" collapsed="false">
      <c r="A9155" s="0" t="s">
        <v>780</v>
      </c>
      <c r="B9155" s="0" t="s">
        <v>95</v>
      </c>
      <c r="D9155" s="6" t="n">
        <f aca="false">Sens!D9134</f>
        <v>12.9359794422418</v>
      </c>
      <c r="E9155" s="6" t="n">
        <f aca="false">Sens!E9134</f>
        <v>27.8095064661409</v>
      </c>
      <c r="F9155" s="6" t="n">
        <f aca="false">Sens!F9134</f>
        <v>55.0640065749585</v>
      </c>
      <c r="G9155" s="6" t="n">
        <f aca="false">Sens!G9134</f>
        <v>89.4505413190538</v>
      </c>
      <c r="H9155" s="6" t="n">
        <f aca="false">Sens!H9134</f>
        <v>124.835630736874</v>
      </c>
      <c r="I9155" s="6" t="n">
        <f aca="false">Sens!I9134</f>
        <v>160.384516075608</v>
      </c>
      <c r="J9155" s="6" t="n">
        <f aca="false">Sens!J9134</f>
        <v>196.019025664981</v>
      </c>
      <c r="K9155" s="6" t="n">
        <f aca="false">Sens!K9134</f>
        <v>231.703903883012</v>
      </c>
    </row>
    <row r="9156" customFormat="false" ht="17.15" hidden="false" customHeight="false" outlineLevel="0" collapsed="false">
      <c r="A9156" s="0" t="s">
        <v>781</v>
      </c>
      <c r="B9156" s="0" t="s">
        <v>95</v>
      </c>
      <c r="D9156" s="6" t="n">
        <f aca="false">Q!L6-Sens!D9155</f>
        <v>59.6740205577583</v>
      </c>
      <c r="E9156" s="6" t="n">
        <f aca="false">Q!M6-Sens!E9155</f>
        <v>74.1284935338591</v>
      </c>
      <c r="F9156" s="6" t="n">
        <f aca="false">Sens!E9156*(1+Sens!F9157)</f>
        <v>90.0799497373663</v>
      </c>
      <c r="G9156" s="6" t="n">
        <f aca="false">Sens!F9156*(1+Sens!G9157)</f>
        <v>107.02842520331</v>
      </c>
      <c r="H9156" s="6" t="n">
        <f aca="false">Sens!G9156*(1+Sens!H9157)</f>
        <v>124.271982585636</v>
      </c>
      <c r="I9156" s="6" t="n">
        <f aca="false">Sens!H9156*(1+Sens!I9157)</f>
        <v>140.933702381855</v>
      </c>
      <c r="J9156" s="6" t="n">
        <f aca="false">Sens!I9156*(1+Sens!J9157)</f>
        <v>156.018867314332</v>
      </c>
      <c r="K9156" s="6" t="n">
        <f aca="false">Sens!J9156*(1+Sens!K9157)</f>
        <v>168.500376699478</v>
      </c>
    </row>
    <row r="9157" customFormat="false" ht="15" hidden="false" customHeight="false" outlineLevel="0" collapsed="false">
      <c r="A9157" s="1" t="s">
        <v>782</v>
      </c>
      <c r="B9157" s="0" t="s">
        <v>126</v>
      </c>
      <c r="E9157" s="7" t="n">
        <f aca="false">Sens!E9156/Sens!D9156-1</f>
        <v>0.242223883039864</v>
      </c>
      <c r="F9157" s="7" t="n">
        <f aca="false">Sens!$E$9157+(glt_azo-Sens!$E$9157)*MIN(1,1/n_conv)</f>
        <v>0.215186569199887</v>
      </c>
      <c r="G9157" s="7" t="n">
        <f aca="false">Sens!$E$9157+(glt_azo-Sens!$E$9157)*MIN(1,2/n_conv)</f>
        <v>0.18814925535991</v>
      </c>
      <c r="H9157" s="7" t="n">
        <f aca="false">Sens!$E$9157+(glt_azo-Sens!$E$9157)*MIN(1,3/n_conv)</f>
        <v>0.161111941519932</v>
      </c>
      <c r="I9157" s="7" t="n">
        <f aca="false">Sens!$E$9157+(glt_azo-Sens!$E$9157)*MIN(1,4/n_conv)</f>
        <v>0.134074627679955</v>
      </c>
      <c r="J9157" s="7" t="n">
        <f aca="false">Sens!$E$9157+(glt_azo-Sens!$E$9157)*MIN(1,5/n_conv)</f>
        <v>0.107037313839977</v>
      </c>
      <c r="K9157" s="7" t="n">
        <f aca="false">Sens!$E$9157+(glt_azo-Sens!$E$9157)*MIN(1,6/n_conv)</f>
        <v>0.08</v>
      </c>
    </row>
    <row r="9158" customFormat="false" ht="15" hidden="false" customHeight="false" outlineLevel="0" collapsed="false">
      <c r="A9158" s="0" t="s">
        <v>783</v>
      </c>
      <c r="B9158" s="0" t="s">
        <v>95</v>
      </c>
      <c r="D9158" s="6" t="n">
        <f aca="false">Sens!D9155+Sens!D9156</f>
        <v>72.61</v>
      </c>
      <c r="E9158" s="6" t="n">
        <f aca="false">Sens!E9155+Sens!E9156</f>
        <v>101.938</v>
      </c>
      <c r="F9158" s="6" t="n">
        <f aca="false">Sens!F9155+Sens!F9156</f>
        <v>145.143956312325</v>
      </c>
      <c r="G9158" s="6" t="n">
        <f aca="false">Sens!G9155+Sens!G9156</f>
        <v>196.478966522364</v>
      </c>
      <c r="H9158" s="6" t="n">
        <f aca="false">Sens!H9155+Sens!H9156</f>
        <v>249.10761332251</v>
      </c>
      <c r="I9158" s="6" t="n">
        <f aca="false">Sens!I9155+Sens!I9156</f>
        <v>301.318218457463</v>
      </c>
      <c r="J9158" s="6" t="n">
        <f aca="false">Sens!J9155+Sens!J9156</f>
        <v>352.037892979313</v>
      </c>
      <c r="K9158" s="6" t="n">
        <f aca="false">Sens!K9155+Sens!K9156</f>
        <v>400.20428058249</v>
      </c>
    </row>
    <row r="9159" customFormat="false" ht="17.15" hidden="false" customHeight="false" outlineLevel="0" collapsed="false">
      <c r="A9159" s="0" t="s">
        <v>784</v>
      </c>
      <c r="B9159" s="1" t="s">
        <v>451</v>
      </c>
      <c r="C9159" s="27" t="n">
        <f aca="false">cop_s24</f>
        <v>1</v>
      </c>
      <c r="D9159" s="27" t="n">
        <f aca="false">cop_s25</f>
        <v>5</v>
      </c>
      <c r="E9159" s="27" t="n">
        <f aca="false">cop_s26</f>
        <v>30</v>
      </c>
      <c r="F9159" s="27" t="n">
        <f aca="false">Sens!E9159+IF(2027&lt;=2029,cop_add_B,cop_add_B*cop_tail)</f>
        <v>50</v>
      </c>
      <c r="G9159" s="27" t="n">
        <f aca="false">Sens!F9159+IF(2028&lt;=2029,cop_add_B,cop_add_B*cop_tail)</f>
        <v>70</v>
      </c>
      <c r="H9159" s="27" t="n">
        <f aca="false">Sens!G9159+IF(2029&lt;=2029,cop_add_B,cop_add_B*cop_tail)</f>
        <v>90</v>
      </c>
      <c r="I9159" s="27" t="n">
        <f aca="false">Sens!H9159+IF(2030&lt;=2029,cop_add_B,cop_add_B*cop_tail)</f>
        <v>100</v>
      </c>
      <c r="J9159" s="27" t="n">
        <f aca="false">Sens!I9159+IF(2031&lt;=2029,cop_add_B,cop_add_B*cop_tail)</f>
        <v>110</v>
      </c>
      <c r="K9159" s="27" t="n">
        <f aca="false">Sens!J9159+IF(2032&lt;=2029,cop_add_B,cop_add_B*cop_tail)</f>
        <v>120</v>
      </c>
    </row>
    <row r="9160" customFormat="false" ht="17.15" hidden="false" customHeight="false" outlineLevel="0" collapsed="false">
      <c r="A9160" s="0" t="s">
        <v>785</v>
      </c>
      <c r="B9160" s="0" t="s">
        <v>95</v>
      </c>
      <c r="D9160" s="6" t="n">
        <f aca="false">(Sens!C9159+Sens!D9159)/2*cop_px*12/1000</f>
        <v>0.9</v>
      </c>
      <c r="E9160" s="6" t="n">
        <f aca="false">(Sens!D9159+Sens!E9159)/2*cop_px*12/1000</f>
        <v>5.25</v>
      </c>
      <c r="F9160" s="6" t="n">
        <f aca="false">(Sens!E9159+Sens!F9159)/2*cop_px*12/1000</f>
        <v>12</v>
      </c>
      <c r="G9160" s="6" t="n">
        <f aca="false">(Sens!F9159+Sens!G9159)/2*cop_px*12/1000</f>
        <v>18</v>
      </c>
      <c r="H9160" s="6" t="n">
        <f aca="false">(Sens!G9159+Sens!H9159)/2*cop_px*12/1000</f>
        <v>24</v>
      </c>
      <c r="I9160" s="6" t="n">
        <f aca="false">(Sens!H9159+Sens!I9159)/2*cop_px*12/1000</f>
        <v>28.5</v>
      </c>
      <c r="J9160" s="6" t="n">
        <f aca="false">(Sens!I9159+Sens!J9159)/2*cop_px*12/1000</f>
        <v>31.5</v>
      </c>
      <c r="K9160" s="6" t="n">
        <f aca="false">(Sens!J9159+Sens!K9159)/2*cop_px*12/1000</f>
        <v>34.5</v>
      </c>
      <c r="L9160" s="1" t="s">
        <v>786</v>
      </c>
    </row>
    <row r="9161" customFormat="false" ht="17.15" hidden="false" customHeight="false" outlineLevel="0" collapsed="false">
      <c r="A9161" s="0" t="s">
        <v>787</v>
      </c>
      <c r="B9161" s="0" t="s">
        <v>95</v>
      </c>
      <c r="D9161" s="6" t="n">
        <f aca="false">Q!L7-Sens!D9160</f>
        <v>83.705</v>
      </c>
      <c r="E9161" s="6" t="n">
        <f aca="false">Q!M7-Sens!E9160</f>
        <v>95.049</v>
      </c>
      <c r="F9161" s="6" t="n">
        <f aca="false">Sens!E9161*(1+Sens!F9162)</f>
        <v>106.89238776686</v>
      </c>
      <c r="G9161" s="6" t="n">
        <f aca="false">Sens!F9161*(1+Sens!G9162)</f>
        <v>119.044168448684</v>
      </c>
      <c r="H9161" s="6" t="n">
        <f aca="false">Sens!G9161*(1+Sens!H9162)</f>
        <v>131.277359388781</v>
      </c>
      <c r="I9161" s="6" t="n">
        <f aca="false">Sens!H9161*(1+Sens!I9162)</f>
        <v>143.334028071957</v>
      </c>
      <c r="J9161" s="6" t="n">
        <f aca="false">Sens!I9161*(1+Sens!J9162)</f>
        <v>154.932702785465</v>
      </c>
      <c r="K9161" s="6" t="n">
        <f aca="false">Sens!J9161*(1+Sens!K9162)</f>
        <v>165.777991980448</v>
      </c>
    </row>
    <row r="9162" customFormat="false" ht="15" hidden="false" customHeight="false" outlineLevel="0" collapsed="false">
      <c r="A9162" s="1" t="s">
        <v>782</v>
      </c>
      <c r="B9162" s="0" t="s">
        <v>126</v>
      </c>
      <c r="E9162" s="7" t="n">
        <f aca="false">Sens!E9161/Sens!D9161-1</f>
        <v>0.135523564900544</v>
      </c>
      <c r="F9162" s="7" t="n">
        <f aca="false">Sens!$E$9162+(glt_m365b-Sens!$E$9162)*MIN(1,1/n_conv)</f>
        <v>0.124602970750453</v>
      </c>
      <c r="G9162" s="7" t="n">
        <f aca="false">Sens!$E$9162+(glt_m365b-Sens!$E$9162)*MIN(1,2/n_conv)</f>
        <v>0.113682376600363</v>
      </c>
      <c r="H9162" s="7" t="n">
        <f aca="false">Sens!$E$9162+(glt_m365b-Sens!$E$9162)*MIN(1,3/n_conv)</f>
        <v>0.102761782450272</v>
      </c>
      <c r="I9162" s="7" t="n">
        <f aca="false">Sens!$E$9162+(glt_m365b-Sens!$E$9162)*MIN(1,4/n_conv)</f>
        <v>0.0918411883001813</v>
      </c>
      <c r="J9162" s="7" t="n">
        <f aca="false">Sens!$E$9162+(glt_m365b-Sens!$E$9162)*MIN(1,5/n_conv)</f>
        <v>0.0809205941500906</v>
      </c>
      <c r="K9162" s="7" t="n">
        <f aca="false">Sens!$E$9162+(glt_m365b-Sens!$E$9162)*MIN(1,6/n_conv)</f>
        <v>0.07</v>
      </c>
    </row>
    <row r="9163" customFormat="false" ht="15" hidden="false" customHeight="false" outlineLevel="0" collapsed="false">
      <c r="A9163" s="0" t="s">
        <v>788</v>
      </c>
      <c r="B9163" s="0" t="s">
        <v>95</v>
      </c>
      <c r="D9163" s="6" t="n">
        <f aca="false">Sens!D9161+Sens!D9160</f>
        <v>84.605</v>
      </c>
      <c r="E9163" s="6" t="n">
        <f aca="false">Sens!E9161+Sens!E9160</f>
        <v>100.299</v>
      </c>
      <c r="F9163" s="6" t="n">
        <f aca="false">Sens!F9161+Sens!F9160</f>
        <v>118.89238776686</v>
      </c>
      <c r="G9163" s="6" t="n">
        <f aca="false">Sens!G9161+Sens!G9160</f>
        <v>137.044168448684</v>
      </c>
      <c r="H9163" s="6" t="n">
        <f aca="false">Sens!H9161+Sens!H9160</f>
        <v>155.277359388781</v>
      </c>
      <c r="I9163" s="6" t="n">
        <f aca="false">Sens!I9161+Sens!I9160</f>
        <v>171.834028071957</v>
      </c>
      <c r="J9163" s="6" t="n">
        <f aca="false">Sens!J9161+Sens!J9160</f>
        <v>186.432702785465</v>
      </c>
      <c r="K9163" s="6" t="n">
        <f aca="false">Sens!K9161+Sens!K9160</f>
        <v>200.277991980448</v>
      </c>
    </row>
    <row r="9164" customFormat="false" ht="15" hidden="false" customHeight="false" outlineLevel="0" collapsed="false">
      <c r="A9164" s="0" t="s">
        <v>789</v>
      </c>
      <c r="B9164" s="0" t="s">
        <v>95</v>
      </c>
      <c r="D9164" s="6" t="n">
        <f aca="false">Q!L8</f>
        <v>35.391</v>
      </c>
      <c r="E9164" s="6" t="n">
        <f aca="false">Q!M8</f>
        <v>37.285</v>
      </c>
      <c r="F9164" s="6" t="n">
        <f aca="false">Sens!E9164*(1+Sens!F9165)</f>
        <v>39.0720834331704</v>
      </c>
      <c r="G9164" s="6" t="n">
        <f aca="false">Sens!F9164*(1+Sens!G9165)</f>
        <v>40.726562953769</v>
      </c>
      <c r="H9164" s="6" t="n">
        <f aca="false">Sens!G9164*(1+Sens!H9165)</f>
        <v>42.2235987259198</v>
      </c>
      <c r="I9164" s="6" t="n">
        <f aca="false">Sens!H9164*(1+Sens!I9165)</f>
        <v>43.5397988077414</v>
      </c>
      <c r="J9164" s="6" t="n">
        <f aca="false">Sens!I9164*(1+Sens!J9165)</f>
        <v>44.653811225693</v>
      </c>
      <c r="K9164" s="6" t="n">
        <f aca="false">Sens!J9164*(1+Sens!K9165)</f>
        <v>45.5468874502068</v>
      </c>
    </row>
    <row r="9165" customFormat="false" ht="15" hidden="false" customHeight="false" outlineLevel="0" collapsed="false">
      <c r="A9165" s="1" t="s">
        <v>782</v>
      </c>
      <c r="B9165" s="0" t="s">
        <v>126</v>
      </c>
      <c r="E9165" s="7" t="n">
        <f aca="false">Sens!E9164/Sens!D9164-1</f>
        <v>0.0535164307309768</v>
      </c>
      <c r="F9165" s="7" t="n">
        <f aca="false">Sens!$E$9165+(glt_lic-Sens!$E$9165)*MIN(1,1/n_conv)</f>
        <v>0.0479303589424807</v>
      </c>
      <c r="G9165" s="7" t="n">
        <f aca="false">Sens!$E$9165+(glt_lic-Sens!$E$9165)*MIN(1,2/n_conv)</f>
        <v>0.0423442871539845</v>
      </c>
      <c r="H9165" s="7" t="n">
        <f aca="false">Sens!$E$9165+(glt_lic-Sens!$E$9165)*MIN(1,3/n_conv)</f>
        <v>0.0367582153654884</v>
      </c>
      <c r="I9165" s="7" t="n">
        <f aca="false">Sens!$E$9165+(glt_lic-Sens!$E$9165)*MIN(1,4/n_conv)</f>
        <v>0.0311721435769923</v>
      </c>
      <c r="J9165" s="7" t="n">
        <f aca="false">Sens!$E$9165+(glt_lic-Sens!$E$9165)*MIN(1,5/n_conv)</f>
        <v>0.0255860717884961</v>
      </c>
      <c r="K9165" s="7" t="n">
        <f aca="false">Sens!$E$9165+(glt_lic-Sens!$E$9165)*MIN(1,6/n_conv)</f>
        <v>0.02</v>
      </c>
    </row>
    <row r="9166" customFormat="false" ht="15" hidden="false" customHeight="false" outlineLevel="0" collapsed="false">
      <c r="A9166" s="0" t="s">
        <v>790</v>
      </c>
      <c r="B9166" s="0" t="s">
        <v>95</v>
      </c>
      <c r="D9166" s="6" t="n">
        <f aca="false">Q!L9</f>
        <v>18.417</v>
      </c>
      <c r="E9166" s="6" t="n">
        <f aca="false">Q!M9</f>
        <v>20.345</v>
      </c>
      <c r="F9166" s="6" t="n">
        <f aca="false">Sens!E9166*(1+Sens!F9167)</f>
        <v>22.3572203267814</v>
      </c>
      <c r="G9166" s="6" t="n">
        <f aca="false">Sens!F9166*(1+Sens!G9167)</f>
        <v>24.4392124437232</v>
      </c>
      <c r="H9166" s="6" t="n">
        <f aca="false">Sens!G9166*(1+Sens!H9167)</f>
        <v>26.5738052080665</v>
      </c>
      <c r="I9166" s="6" t="n">
        <f aca="false">Sens!H9166*(1+Sens!I9167)</f>
        <v>28.7412169166967</v>
      </c>
      <c r="J9166" s="6" t="n">
        <f aca="false">Sens!I9166*(1+Sens!J9167)</f>
        <v>30.9192545395413</v>
      </c>
      <c r="K9166" s="6" t="n">
        <f aca="false">Sens!J9166*(1+Sens!K9167)</f>
        <v>33.0836023573092</v>
      </c>
    </row>
    <row r="9167" customFormat="false" ht="15" hidden="false" customHeight="false" outlineLevel="0" collapsed="false">
      <c r="A9167" s="1" t="s">
        <v>782</v>
      </c>
      <c r="B9167" s="0" t="s">
        <v>126</v>
      </c>
      <c r="E9167" s="7" t="n">
        <f aca="false">Sens!E9166/Sens!D9166-1</f>
        <v>0.104685888038225</v>
      </c>
      <c r="F9167" s="7" t="n">
        <f aca="false">Sens!$E$9167+(glt_ind-Sens!$E$9167)*MIN(1,1/n_conv)</f>
        <v>0.0989049066985211</v>
      </c>
      <c r="G9167" s="7" t="n">
        <f aca="false">Sens!$E$9167+(glt_ind-Sens!$E$9167)*MIN(1,2/n_conv)</f>
        <v>0.0931239253588169</v>
      </c>
      <c r="H9167" s="7" t="n">
        <f aca="false">Sens!$E$9167+(glt_ind-Sens!$E$9167)*MIN(1,3/n_conv)</f>
        <v>0.0873429440191127</v>
      </c>
      <c r="I9167" s="7" t="n">
        <f aca="false">Sens!$E$9167+(glt_ind-Sens!$E$9167)*MIN(1,4/n_conv)</f>
        <v>0.0815619626794085</v>
      </c>
      <c r="J9167" s="7" t="n">
        <f aca="false">Sens!$E$9167+(glt_ind-Sens!$E$9167)*MIN(1,5/n_conv)</f>
        <v>0.0757809813397042</v>
      </c>
      <c r="K9167" s="7" t="n">
        <f aca="false">Sens!$E$9167+(glt_ind-Sens!$E$9167)*MIN(1,6/n_conv)</f>
        <v>0.07</v>
      </c>
    </row>
    <row r="9168" customFormat="false" ht="15" hidden="false" customHeight="false" outlineLevel="0" collapsed="false">
      <c r="A9168" s="0" t="s">
        <v>791</v>
      </c>
      <c r="B9168" s="0" t="s">
        <v>95</v>
      </c>
      <c r="D9168" s="6" t="n">
        <f aca="false">Q!L10</f>
        <v>7.76</v>
      </c>
      <c r="E9168" s="6" t="n">
        <f aca="false">Q!M10</f>
        <v>8.26</v>
      </c>
      <c r="F9168" s="6" t="n">
        <f aca="false">Sens!E9168*(1+Sens!F9169)</f>
        <v>8.79988041237113</v>
      </c>
      <c r="G9168" s="6" t="n">
        <f aca="false">Sens!F9168*(1+Sens!G9169)</f>
        <v>9.38321269125306</v>
      </c>
      <c r="H9168" s="6" t="n">
        <f aca="false">Sens!G9168*(1+Sens!H9169)</f>
        <v>10.0139193587476</v>
      </c>
      <c r="I9168" s="6" t="n">
        <f aca="false">Sens!H9168*(1+Sens!I9169)</f>
        <v>10.6963111830911</v>
      </c>
      <c r="J9168" s="6" t="n">
        <f aca="false">Sens!I9168*(1+Sens!J9169)</f>
        <v>11.4351285534696</v>
      </c>
      <c r="K9168" s="6" t="n">
        <f aca="false">Sens!J9168*(1+Sens!K9169)</f>
        <v>12.2355875522124</v>
      </c>
    </row>
    <row r="9169" customFormat="false" ht="15" hidden="false" customHeight="false" outlineLevel="0" collapsed="false">
      <c r="A9169" s="1" t="s">
        <v>782</v>
      </c>
      <c r="B9169" s="0" t="s">
        <v>126</v>
      </c>
      <c r="E9169" s="7" t="n">
        <f aca="false">Sens!E9168/Sens!D9168-1</f>
        <v>0.0644329896907216</v>
      </c>
      <c r="F9169" s="7" t="n">
        <f aca="false">Sens!$E$9169+(glt_fro-Sens!$E$9169)*MIN(1,1/n_conv)</f>
        <v>0.065360824742268</v>
      </c>
      <c r="G9169" s="7" t="n">
        <f aca="false">Sens!$E$9169+(glt_fro-Sens!$E$9169)*MIN(1,2/n_conv)</f>
        <v>0.0662886597938144</v>
      </c>
      <c r="H9169" s="7" t="n">
        <f aca="false">Sens!$E$9169+(glt_fro-Sens!$E$9169)*MIN(1,3/n_conv)</f>
        <v>0.0672164948453608</v>
      </c>
      <c r="I9169" s="7" t="n">
        <f aca="false">Sens!$E$9169+(glt_fro-Sens!$E$9169)*MIN(1,4/n_conv)</f>
        <v>0.0681443298969072</v>
      </c>
      <c r="J9169" s="7" t="n">
        <f aca="false">Sens!$E$9169+(glt_fro-Sens!$E$9169)*MIN(1,5/n_conv)</f>
        <v>0.0690721649484536</v>
      </c>
      <c r="K9169" s="7" t="n">
        <f aca="false">Sens!$E$9169+(glt_fro-Sens!$E$9169)*MIN(1,6/n_conv)</f>
        <v>0.07</v>
      </c>
    </row>
    <row r="9170" customFormat="false" ht="15" hidden="false" customHeight="false" outlineLevel="0" collapsed="false">
      <c r="A9170" s="0" t="s">
        <v>626</v>
      </c>
      <c r="B9170" s="0" t="s">
        <v>95</v>
      </c>
      <c r="D9170" s="6" t="n">
        <f aca="false">Sens!D9158+Sens!D9163+Sens!D9164+Sens!D9166+Sens!D9168</f>
        <v>218.783</v>
      </c>
      <c r="E9170" s="6" t="n">
        <f aca="false">Sens!E9158+Sens!E9163+Sens!E9164+Sens!E9166+Sens!E9168</f>
        <v>268.127</v>
      </c>
      <c r="F9170" s="6" t="n">
        <f aca="false">Sens!F9158+Sens!F9163+Sens!F9164+Sens!F9166+Sens!F9168</f>
        <v>334.265528251508</v>
      </c>
      <c r="G9170" s="6" t="n">
        <f aca="false">Sens!G9158+Sens!G9163+Sens!G9164+Sens!G9166+Sens!G9168</f>
        <v>408.072123059793</v>
      </c>
      <c r="H9170" s="6" t="n">
        <f aca="false">Sens!H9158+Sens!H9163+Sens!H9164+Sens!H9166+Sens!H9168</f>
        <v>483.196296004025</v>
      </c>
      <c r="I9170" s="6" t="n">
        <f aca="false">Sens!I9158+Sens!I9163+Sens!I9164+Sens!I9166+Sens!I9168</f>
        <v>556.129573436949</v>
      </c>
      <c r="J9170" s="6" t="n">
        <f aca="false">Sens!J9158+Sens!J9163+Sens!J9164+Sens!J9166+Sens!J9168</f>
        <v>625.478790083482</v>
      </c>
      <c r="K9170" s="6" t="n">
        <f aca="false">Sens!K9158+Sens!K9163+Sens!K9164+Sens!K9166+Sens!K9168</f>
        <v>691.348349922667</v>
      </c>
    </row>
    <row r="9171" customFormat="false" ht="15" hidden="false" customHeight="false" outlineLevel="0" collapsed="false">
      <c r="A9171" s="0" t="s">
        <v>792</v>
      </c>
      <c r="B9171" s="0" t="s">
        <v>95</v>
      </c>
      <c r="D9171" s="6" t="n">
        <f aca="false">Q!L13</f>
        <v>22.171</v>
      </c>
      <c r="E9171" s="6" t="n">
        <f aca="false">Q!M13</f>
        <v>24.835</v>
      </c>
      <c r="F9171" s="6" t="n">
        <f aca="false">Sens!E9171*(1+Sens!F9172)</f>
        <v>27.6114901218559</v>
      </c>
      <c r="G9171" s="6" t="n">
        <f aca="false">Sens!F9171*(1+Sens!G9172)</f>
        <v>30.4675667338515</v>
      </c>
      <c r="H9171" s="6" t="n">
        <f aca="false">Sens!G9171*(1+Sens!H9172)</f>
        <v>33.3643766955789</v>
      </c>
      <c r="I9171" s="6" t="n">
        <f aca="false">Sens!H9171*(1+Sens!I9172)</f>
        <v>36.2577016533691</v>
      </c>
      <c r="J9171" s="6" t="n">
        <f aca="false">Sens!I9171*(1+Sens!J9172)</f>
        <v>39.0988367952171</v>
      </c>
      <c r="K9171" s="6" t="n">
        <f aca="false">Sens!J9171*(1+Sens!K9172)</f>
        <v>41.8357553708823</v>
      </c>
    </row>
    <row r="9172" customFormat="false" ht="15" hidden="false" customHeight="false" outlineLevel="0" collapsed="false">
      <c r="A9172" s="1" t="s">
        <v>782</v>
      </c>
      <c r="B9172" s="0" t="s">
        <v>126</v>
      </c>
      <c r="E9172" s="7" t="n">
        <f aca="false">Sens!E9171/Sens!D9171-1</f>
        <v>0.120156961796942</v>
      </c>
      <c r="F9172" s="7" t="n">
        <f aca="false">Sens!$E$9172+(glt_srch-Sens!$E$9172)*MIN(1,1/n_conv)</f>
        <v>0.111797468164118</v>
      </c>
      <c r="G9172" s="7" t="n">
        <f aca="false">Sens!$E$9172+(glt_srch-Sens!$E$9172)*MIN(1,2/n_conv)</f>
        <v>0.103437974531295</v>
      </c>
      <c r="H9172" s="7" t="n">
        <f aca="false">Sens!$E$9172+(glt_srch-Sens!$E$9172)*MIN(1,3/n_conv)</f>
        <v>0.095078480898471</v>
      </c>
      <c r="I9172" s="7" t="n">
        <f aca="false">Sens!$E$9172+(glt_srch-Sens!$E$9172)*MIN(1,4/n_conv)</f>
        <v>0.0867189872656474</v>
      </c>
      <c r="J9172" s="7" t="n">
        <f aca="false">Sens!$E$9172+(glt_srch-Sens!$E$9172)*MIN(1,5/n_conv)</f>
        <v>0.0783594936328237</v>
      </c>
      <c r="K9172" s="7" t="n">
        <f aca="false">Sens!$E$9172+(glt_srch-Sens!$E$9172)*MIN(1,6/n_conv)</f>
        <v>0.07</v>
      </c>
    </row>
    <row r="9173" customFormat="false" ht="15" hidden="false" customHeight="false" outlineLevel="0" collapsed="false">
      <c r="A9173" s="0" t="s">
        <v>793</v>
      </c>
      <c r="B9173" s="0" t="s">
        <v>95</v>
      </c>
      <c r="D9173" s="6" t="n">
        <f aca="false">Q!L14</f>
        <v>23.455</v>
      </c>
      <c r="E9173" s="6" t="n">
        <f aca="false">Q!M14</f>
        <v>21.79</v>
      </c>
      <c r="F9173" s="6" t="n">
        <f aca="false">Sens!E9173*(1+Sens!F9174)</f>
        <v>20.6825777908051</v>
      </c>
      <c r="G9173" s="6" t="n">
        <f aca="false">Sens!F9173*(1+Sens!G9174)</f>
        <v>20.0484913708632</v>
      </c>
      <c r="H9173" s="6" t="n">
        <f aca="false">Sens!G9173*(1+Sens!H9174)</f>
        <v>19.8381125629905</v>
      </c>
      <c r="I9173" s="6" t="n">
        <f aca="false">Sens!H9173*(1+Sens!I9174)</f>
        <v>20.0299669735513</v>
      </c>
      <c r="J9173" s="6" t="n">
        <f aca="false">Sens!I9173*(1+Sens!J9174)</f>
        <v>20.6275710652887</v>
      </c>
      <c r="K9173" s="6" t="n">
        <f aca="false">Sens!J9173*(1+Sens!K9174)</f>
        <v>21.6589496185531</v>
      </c>
    </row>
    <row r="9174" customFormat="false" ht="15" hidden="false" customHeight="false" outlineLevel="0" collapsed="false">
      <c r="A9174" s="1" t="s">
        <v>782</v>
      </c>
      <c r="B9174" s="0" t="s">
        <v>126</v>
      </c>
      <c r="E9174" s="7" t="n">
        <f aca="false">Sens!E9173/Sens!D9173-1</f>
        <v>-0.0709869963760392</v>
      </c>
      <c r="F9174" s="7" t="n">
        <f aca="false">Sens!$E$9174+(glt_xbox_hi-Sens!$E$9174)*MIN(1,1/n_conv)</f>
        <v>-0.0508224969800327</v>
      </c>
      <c r="G9174" s="7" t="n">
        <f aca="false">Sens!$E$9174+(glt_xbox_hi-Sens!$E$9174)*MIN(1,2/n_conv)</f>
        <v>-0.0306579975840262</v>
      </c>
      <c r="H9174" s="7" t="n">
        <f aca="false">Sens!$E$9174+(glt_xbox_hi-Sens!$E$9174)*MIN(1,3/n_conv)</f>
        <v>-0.0104934981880196</v>
      </c>
      <c r="I9174" s="7" t="n">
        <f aca="false">Sens!$E$9174+(glt_xbox_hi-Sens!$E$9174)*MIN(1,4/n_conv)</f>
        <v>0.00967100120798692</v>
      </c>
      <c r="J9174" s="7" t="n">
        <f aca="false">Sens!$E$9174+(glt_xbox_hi-Sens!$E$9174)*MIN(1,5/n_conv)</f>
        <v>0.0298355006039935</v>
      </c>
      <c r="K9174" s="7" t="n">
        <f aca="false">Sens!$E$9174+(glt_xbox_hi-Sens!$E$9174)*MIN(1,6/n_conv)</f>
        <v>0.05</v>
      </c>
    </row>
    <row r="9175" customFormat="false" ht="15" hidden="false" customHeight="false" outlineLevel="0" collapsed="false">
      <c r="A9175" s="0" t="s">
        <v>794</v>
      </c>
      <c r="B9175" s="0" t="s">
        <v>95</v>
      </c>
      <c r="D9175" s="6" t="n">
        <f aca="false">Q!L15</f>
        <v>17.315</v>
      </c>
      <c r="E9175" s="6" t="n">
        <f aca="false">Q!M15</f>
        <v>17.087</v>
      </c>
      <c r="F9175" s="6" t="n">
        <f aca="false">Sens!E9175*(1+Sens!F9176)</f>
        <v>16.9564585436519</v>
      </c>
      <c r="G9175" s="6" t="n">
        <f aca="false">Sens!F9175*(1+Sens!G9176)</f>
        <v>16.9206490624268</v>
      </c>
      <c r="H9175" s="6" t="n">
        <f aca="false">Sens!G9175*(1+Sens!H9176)</f>
        <v>16.9784519149849</v>
      </c>
      <c r="I9175" s="6" t="n">
        <f aca="false">Sens!H9175*(1+Sens!I9176)</f>
        <v>17.1303084701817</v>
      </c>
      <c r="J9175" s="6" t="n">
        <f aca="false">Sens!I9175*(1+Sens!J9176)</f>
        <v>17.3782189407267</v>
      </c>
      <c r="K9175" s="6" t="n">
        <f aca="false">Sens!J9175*(1+Sens!K9176)</f>
        <v>17.7257833195413</v>
      </c>
    </row>
    <row r="9176" customFormat="false" ht="15" hidden="false" customHeight="false" outlineLevel="0" collapsed="false">
      <c r="A9176" s="1" t="s">
        <v>782</v>
      </c>
      <c r="B9176" s="0" t="s">
        <v>126</v>
      </c>
      <c r="E9176" s="7" t="n">
        <f aca="false">Sens!E9175/Sens!D9175-1</f>
        <v>-0.0131677736066995</v>
      </c>
      <c r="F9176" s="7" t="n">
        <f aca="false">Sens!$E$9176+(glt_win-Sens!$E$9176)*MIN(1,1/n_conv)</f>
        <v>-0.00763981133891627</v>
      </c>
      <c r="G9176" s="7" t="n">
        <f aca="false">Sens!$E$9176+(glt_win-Sens!$E$9176)*MIN(1,2/n_conv)</f>
        <v>-0.00211184907113301</v>
      </c>
      <c r="H9176" s="7" t="n">
        <f aca="false">Sens!$E$9176+(glt_win-Sens!$E$9176)*MIN(1,3/n_conv)</f>
        <v>0.00341611319665024</v>
      </c>
      <c r="I9176" s="7" t="n">
        <f aca="false">Sens!$E$9176+(glt_win-Sens!$E$9176)*MIN(1,4/n_conv)</f>
        <v>0.00894407546443349</v>
      </c>
      <c r="J9176" s="7" t="n">
        <f aca="false">Sens!$E$9176+(glt_win-Sens!$E$9176)*MIN(1,5/n_conv)</f>
        <v>0.0144720377322168</v>
      </c>
      <c r="K9176" s="7" t="n">
        <f aca="false">Sens!$E$9176+(glt_win-Sens!$E$9176)*MIN(1,6/n_conv)</f>
        <v>0.02</v>
      </c>
    </row>
    <row r="9177" customFormat="false" ht="15" hidden="false" customHeight="false" outlineLevel="0" collapsed="false">
      <c r="A9177" s="0" t="s">
        <v>640</v>
      </c>
      <c r="B9177" s="0" t="s">
        <v>95</v>
      </c>
      <c r="D9177" s="6" t="n">
        <f aca="false">Sens!D9171+Sens!D9173+Sens!D9175</f>
        <v>62.941</v>
      </c>
      <c r="E9177" s="6" t="n">
        <f aca="false">Sens!E9171+Sens!E9173+Sens!E9175</f>
        <v>63.712</v>
      </c>
      <c r="F9177" s="6" t="n">
        <f aca="false">Sens!F9171+Sens!F9173+Sens!F9175</f>
        <v>65.2505264563129</v>
      </c>
      <c r="G9177" s="6" t="n">
        <f aca="false">Sens!G9171+Sens!G9173+Sens!G9175</f>
        <v>67.4367071671415</v>
      </c>
      <c r="H9177" s="6" t="n">
        <f aca="false">Sens!H9171+Sens!H9173+Sens!H9175</f>
        <v>70.1809411735542</v>
      </c>
      <c r="I9177" s="6" t="n">
        <f aca="false">Sens!I9171+Sens!I9173+Sens!I9175</f>
        <v>73.4179770971021</v>
      </c>
      <c r="J9177" s="6" t="n">
        <f aca="false">Sens!J9171+Sens!J9173+Sens!J9175</f>
        <v>77.1046268012325</v>
      </c>
      <c r="K9177" s="6" t="n">
        <f aca="false">Sens!K9171+Sens!K9173+Sens!K9175</f>
        <v>81.2204883089766</v>
      </c>
    </row>
    <row r="9178" customFormat="false" ht="15" hidden="false" customHeight="false" outlineLevel="0" collapsed="false">
      <c r="A9178" s="1" t="s">
        <v>795</v>
      </c>
      <c r="B9178" s="0" t="s">
        <v>95</v>
      </c>
      <c r="D9178" s="6" t="n">
        <f aca="false">Sens!D9170+Sens!D9177</f>
        <v>281.724</v>
      </c>
      <c r="E9178" s="6" t="n">
        <f aca="false">Sens!E9170+Sens!E9177</f>
        <v>331.839</v>
      </c>
      <c r="F9178" s="6" t="n">
        <f aca="false">Sens!F9170+Sens!F9177</f>
        <v>399.516054707821</v>
      </c>
      <c r="G9178" s="6" t="n">
        <f aca="false">Sens!G9170+Sens!G9177</f>
        <v>475.508830226934</v>
      </c>
      <c r="H9178" s="6" t="n">
        <f aca="false">Sens!H9170+Sens!H9177</f>
        <v>553.377237177579</v>
      </c>
      <c r="I9178" s="6" t="n">
        <f aca="false">Sens!I9170+Sens!I9177</f>
        <v>629.547550534052</v>
      </c>
      <c r="J9178" s="6" t="n">
        <f aca="false">Sens!J9170+Sens!J9177</f>
        <v>702.583416884714</v>
      </c>
      <c r="K9178" s="6" t="n">
        <f aca="false">Sens!K9170+Sens!K9177</f>
        <v>772.568838231643</v>
      </c>
    </row>
    <row r="9179" customFormat="false" ht="15" hidden="false" customHeight="false" outlineLevel="0" collapsed="false">
      <c r="A9179" s="22" t="s">
        <v>796</v>
      </c>
      <c r="B9179" s="28" t="s">
        <v>95</v>
      </c>
      <c r="C9179" s="28"/>
      <c r="D9179" s="23" t="n">
        <f aca="false">(Sens!D9158+Sens!D9163+Sens!D9164+Sens!D9166+Sens!D9168-Sens!D9170)+(Sens!D9171+Sens!D9173+Sens!D9175-Sens!D9177)+(Sens!D9170-Q!L5)+(Sens!D9177-Q!L12)+(Sens!D9158-Q!L6)+(Sens!D9163-Q!L7)</f>
        <v>0</v>
      </c>
      <c r="E9179" s="23" t="n">
        <f aca="false">(Sens!E9158+Sens!E9163+Sens!E9164+Sens!E9166+Sens!E9168-Sens!E9170)+(Sens!E9171+Sens!E9173+Sens!E9175-Sens!E9177)+(Sens!E9170-Q!M5)+(Sens!E9177-Q!M12)+(Sens!E9158-Q!M6)+(Sens!E9163-Q!M7)</f>
        <v>0</v>
      </c>
      <c r="F9179" s="23" t="n">
        <f aca="false">(Sens!F9158+Sens!F9163+Sens!F9164+Sens!F9166+Sens!F9168-Sens!F9170)+(Sens!F9171+Sens!F9173+Sens!F9175-Sens!F9177)</f>
        <v>0</v>
      </c>
      <c r="G9179" s="23" t="n">
        <f aca="false">(Sens!G9158+Sens!G9163+Sens!G9164+Sens!G9166+Sens!G9168-Sens!G9170)+(Sens!G9171+Sens!G9173+Sens!G9175-Sens!G9177)</f>
        <v>0</v>
      </c>
      <c r="H9179" s="23" t="n">
        <f aca="false">(Sens!H9158+Sens!H9163+Sens!H9164+Sens!H9166+Sens!H9168-Sens!H9170)+(Sens!H9171+Sens!H9173+Sens!H9175-Sens!H9177)</f>
        <v>0</v>
      </c>
      <c r="I9179" s="23" t="n">
        <f aca="false">(Sens!I9158+Sens!I9163+Sens!I9164+Sens!I9166+Sens!I9168-Sens!I9170)+(Sens!I9171+Sens!I9173+Sens!I9175-Sens!I9177)</f>
        <v>0</v>
      </c>
      <c r="J9179" s="23" t="n">
        <f aca="false">(Sens!J9158+Sens!J9163+Sens!J9164+Sens!J9166+Sens!J9168-Sens!J9170)+(Sens!J9171+Sens!J9173+Sens!J9175-Sens!J9177)</f>
        <v>0</v>
      </c>
      <c r="K9179" s="23" t="n">
        <f aca="false">(Sens!K9158+Sens!K9163+Sens!K9164+Sens!K9166+Sens!K9168-Sens!K9170)+(Sens!K9171+Sens!K9173+Sens!K9175-Sens!K9177)</f>
        <v>0</v>
      </c>
    </row>
    <row r="9180" customFormat="false" ht="17.15" hidden="false" customHeight="false" outlineLevel="0" collapsed="false">
      <c r="A9180" s="3" t="s">
        <v>1376</v>
      </c>
    </row>
    <row r="9181" customFormat="false" ht="15" hidden="false" customHeight="false" outlineLevel="0" collapsed="false">
      <c r="A9181" s="4" t="s">
        <v>43</v>
      </c>
      <c r="B9181" s="4" t="s">
        <v>63</v>
      </c>
      <c r="C9181" s="19" t="s">
        <v>710</v>
      </c>
      <c r="D9181" s="19" t="s">
        <v>711</v>
      </c>
      <c r="E9181" s="19" t="s">
        <v>712</v>
      </c>
      <c r="F9181" s="19" t="s">
        <v>713</v>
      </c>
      <c r="G9181" s="19" t="s">
        <v>714</v>
      </c>
      <c r="H9181" s="19" t="s">
        <v>715</v>
      </c>
      <c r="I9181" s="19" t="s">
        <v>716</v>
      </c>
      <c r="J9181" s="19" t="s">
        <v>717</v>
      </c>
      <c r="K9181" s="19" t="s">
        <v>718</v>
      </c>
      <c r="L9181" s="4" t="s">
        <v>47</v>
      </c>
    </row>
    <row r="9182" customFormat="false" ht="15" hidden="false" customHeight="false" outlineLevel="0" collapsed="false">
      <c r="A9182" s="0" t="s">
        <v>783</v>
      </c>
      <c r="B9182" s="0" t="s">
        <v>95</v>
      </c>
      <c r="D9182" s="6" t="n">
        <f aca="false">Sens!D9158</f>
        <v>72.61</v>
      </c>
      <c r="E9182" s="6" t="n">
        <f aca="false">Sens!E9158</f>
        <v>101.938</v>
      </c>
      <c r="F9182" s="6" t="n">
        <f aca="false">Sens!F9158</f>
        <v>145.143956312325</v>
      </c>
      <c r="G9182" s="6" t="n">
        <f aca="false">Sens!G9158</f>
        <v>196.478966522364</v>
      </c>
      <c r="H9182" s="6" t="n">
        <f aca="false">Sens!H9158</f>
        <v>249.10761332251</v>
      </c>
      <c r="I9182" s="6" t="n">
        <f aca="false">Sens!I9158</f>
        <v>301.318218457463</v>
      </c>
      <c r="J9182" s="6" t="n">
        <f aca="false">Sens!J9158</f>
        <v>352.037892979313</v>
      </c>
      <c r="K9182" s="6" t="n">
        <f aca="false">Sens!K9158</f>
        <v>400.20428058249</v>
      </c>
    </row>
    <row r="9183" customFormat="false" ht="17.15" hidden="false" customHeight="false" outlineLevel="0" collapsed="false">
      <c r="A9183" s="0" t="s">
        <v>780</v>
      </c>
      <c r="B9183" s="0" t="s">
        <v>95</v>
      </c>
      <c r="D9183" s="6" t="n">
        <f aca="false">Sens!D9155</f>
        <v>12.9359794422418</v>
      </c>
      <c r="E9183" s="6" t="n">
        <f aca="false">Sens!E9155</f>
        <v>27.8095064661409</v>
      </c>
      <c r="F9183" s="6" t="n">
        <f aca="false">Sens!F9155</f>
        <v>55.0640065749585</v>
      </c>
      <c r="G9183" s="6" t="n">
        <f aca="false">Sens!G9155</f>
        <v>89.4505413190538</v>
      </c>
      <c r="H9183" s="6" t="n">
        <f aca="false">Sens!H9155</f>
        <v>124.835630736874</v>
      </c>
      <c r="I9183" s="6" t="n">
        <f aca="false">Sens!I9155</f>
        <v>160.384516075608</v>
      </c>
      <c r="J9183" s="6" t="n">
        <f aca="false">Sens!J9155</f>
        <v>196.019025664981</v>
      </c>
      <c r="K9183" s="6" t="n">
        <f aca="false">Sens!K9155</f>
        <v>231.703903883012</v>
      </c>
    </row>
    <row r="9184" customFormat="false" ht="17.15" hidden="false" customHeight="false" outlineLevel="0" collapsed="false">
      <c r="A9184" s="0" t="s">
        <v>807</v>
      </c>
      <c r="B9184" s="0" t="s">
        <v>95</v>
      </c>
      <c r="D9184" s="6" t="n">
        <f aca="false">Sens!D9156</f>
        <v>59.6740205577583</v>
      </c>
      <c r="E9184" s="6" t="n">
        <f aca="false">Sens!E9156</f>
        <v>74.1284935338591</v>
      </c>
      <c r="F9184" s="6" t="n">
        <f aca="false">Sens!F9156</f>
        <v>90.0799497373663</v>
      </c>
      <c r="G9184" s="6" t="n">
        <f aca="false">Sens!G9156</f>
        <v>107.02842520331</v>
      </c>
      <c r="H9184" s="6" t="n">
        <f aca="false">Sens!H9156</f>
        <v>124.271982585636</v>
      </c>
      <c r="I9184" s="6" t="n">
        <f aca="false">Sens!I9156</f>
        <v>140.933702381855</v>
      </c>
      <c r="J9184" s="6" t="n">
        <f aca="false">Sens!J9156</f>
        <v>156.018867314332</v>
      </c>
      <c r="K9184" s="6" t="n">
        <f aca="false">Sens!K9156</f>
        <v>168.500376699478</v>
      </c>
    </row>
    <row r="9185" customFormat="false" ht="15" hidden="false" customHeight="false" outlineLevel="0" collapsed="false">
      <c r="A9185" s="0" t="s">
        <v>788</v>
      </c>
      <c r="B9185" s="0" t="s">
        <v>95</v>
      </c>
      <c r="D9185" s="6" t="n">
        <f aca="false">Sens!D9163</f>
        <v>84.605</v>
      </c>
      <c r="E9185" s="6" t="n">
        <f aca="false">Sens!E9163</f>
        <v>100.299</v>
      </c>
      <c r="F9185" s="6" t="n">
        <f aca="false">Sens!F9163</f>
        <v>118.89238776686</v>
      </c>
      <c r="G9185" s="6" t="n">
        <f aca="false">Sens!G9163</f>
        <v>137.044168448684</v>
      </c>
      <c r="H9185" s="6" t="n">
        <f aca="false">Sens!H9163</f>
        <v>155.277359388781</v>
      </c>
      <c r="I9185" s="6" t="n">
        <f aca="false">Sens!I9163</f>
        <v>171.834028071957</v>
      </c>
      <c r="J9185" s="6" t="n">
        <f aca="false">Sens!J9163</f>
        <v>186.432702785465</v>
      </c>
      <c r="K9185" s="6" t="n">
        <f aca="false">Sens!K9163</f>
        <v>200.277991980448</v>
      </c>
    </row>
    <row r="9186" customFormat="false" ht="17.15" hidden="false" customHeight="false" outlineLevel="0" collapsed="false">
      <c r="A9186" s="0" t="s">
        <v>808</v>
      </c>
      <c r="B9186" s="0" t="s">
        <v>95</v>
      </c>
      <c r="D9186" s="6" t="n">
        <f aca="false">Sens!D9161</f>
        <v>83.705</v>
      </c>
      <c r="E9186" s="6" t="n">
        <f aca="false">Sens!E9161</f>
        <v>95.049</v>
      </c>
      <c r="F9186" s="6" t="n">
        <f aca="false">Sens!F9161</f>
        <v>106.89238776686</v>
      </c>
      <c r="G9186" s="6" t="n">
        <f aca="false">Sens!G9161</f>
        <v>119.044168448684</v>
      </c>
      <c r="H9186" s="6" t="n">
        <f aca="false">Sens!H9161</f>
        <v>131.277359388781</v>
      </c>
      <c r="I9186" s="6" t="n">
        <f aca="false">Sens!I9161</f>
        <v>143.334028071957</v>
      </c>
      <c r="J9186" s="6" t="n">
        <f aca="false">Sens!J9161</f>
        <v>154.932702785465</v>
      </c>
      <c r="K9186" s="6" t="n">
        <f aca="false">Sens!K9161</f>
        <v>165.777991980448</v>
      </c>
    </row>
    <row r="9187" customFormat="false" ht="17.15" hidden="false" customHeight="false" outlineLevel="0" collapsed="false">
      <c r="A9187" s="0" t="s">
        <v>809</v>
      </c>
      <c r="B9187" s="0" t="s">
        <v>95</v>
      </c>
      <c r="D9187" s="6" t="n">
        <f aca="false">Sens!D9160</f>
        <v>0.9</v>
      </c>
      <c r="E9187" s="6" t="n">
        <f aca="false">Sens!E9160</f>
        <v>5.25</v>
      </c>
      <c r="F9187" s="6" t="n">
        <f aca="false">Sens!F9160</f>
        <v>12</v>
      </c>
      <c r="G9187" s="6" t="n">
        <f aca="false">Sens!G9160</f>
        <v>18</v>
      </c>
      <c r="H9187" s="6" t="n">
        <f aca="false">Sens!H9160</f>
        <v>24</v>
      </c>
      <c r="I9187" s="6" t="n">
        <f aca="false">Sens!I9160</f>
        <v>28.5</v>
      </c>
      <c r="J9187" s="6" t="n">
        <f aca="false">Sens!J9160</f>
        <v>31.5</v>
      </c>
      <c r="K9187" s="6" t="n">
        <f aca="false">Sens!K9160</f>
        <v>34.5</v>
      </c>
    </row>
    <row r="9188" customFormat="false" ht="15" hidden="false" customHeight="false" outlineLevel="0" collapsed="false">
      <c r="A9188" s="0" t="s">
        <v>789</v>
      </c>
      <c r="B9188" s="0" t="s">
        <v>95</v>
      </c>
      <c r="D9188" s="6" t="n">
        <f aca="false">Sens!D9164</f>
        <v>35.391</v>
      </c>
      <c r="E9188" s="6" t="n">
        <f aca="false">Sens!E9164</f>
        <v>37.285</v>
      </c>
      <c r="F9188" s="6" t="n">
        <f aca="false">Sens!F9164</f>
        <v>39.0720834331704</v>
      </c>
      <c r="G9188" s="6" t="n">
        <f aca="false">Sens!G9164</f>
        <v>40.726562953769</v>
      </c>
      <c r="H9188" s="6" t="n">
        <f aca="false">Sens!H9164</f>
        <v>42.2235987259198</v>
      </c>
      <c r="I9188" s="6" t="n">
        <f aca="false">Sens!I9164</f>
        <v>43.5397988077414</v>
      </c>
      <c r="J9188" s="6" t="n">
        <f aca="false">Sens!J9164</f>
        <v>44.653811225693</v>
      </c>
      <c r="K9188" s="6" t="n">
        <f aca="false">Sens!K9164</f>
        <v>45.5468874502068</v>
      </c>
    </row>
    <row r="9189" customFormat="false" ht="15" hidden="false" customHeight="false" outlineLevel="0" collapsed="false">
      <c r="A9189" s="0" t="s">
        <v>790</v>
      </c>
      <c r="B9189" s="0" t="s">
        <v>95</v>
      </c>
      <c r="D9189" s="6" t="n">
        <f aca="false">Sens!D9166</f>
        <v>18.417</v>
      </c>
      <c r="E9189" s="6" t="n">
        <f aca="false">Sens!E9166</f>
        <v>20.345</v>
      </c>
      <c r="F9189" s="6" t="n">
        <f aca="false">Sens!F9166</f>
        <v>22.3572203267814</v>
      </c>
      <c r="G9189" s="6" t="n">
        <f aca="false">Sens!G9166</f>
        <v>24.4392124437232</v>
      </c>
      <c r="H9189" s="6" t="n">
        <f aca="false">Sens!H9166</f>
        <v>26.5738052080665</v>
      </c>
      <c r="I9189" s="6" t="n">
        <f aca="false">Sens!I9166</f>
        <v>28.7412169166967</v>
      </c>
      <c r="J9189" s="6" t="n">
        <f aca="false">Sens!J9166</f>
        <v>30.9192545395413</v>
      </c>
      <c r="K9189" s="6" t="n">
        <f aca="false">Sens!K9166</f>
        <v>33.0836023573092</v>
      </c>
    </row>
    <row r="9190" customFormat="false" ht="15" hidden="false" customHeight="false" outlineLevel="0" collapsed="false">
      <c r="A9190" s="0" t="s">
        <v>791</v>
      </c>
      <c r="B9190" s="0" t="s">
        <v>95</v>
      </c>
      <c r="D9190" s="6" t="n">
        <f aca="false">Sens!D9168</f>
        <v>7.76</v>
      </c>
      <c r="E9190" s="6" t="n">
        <f aca="false">Sens!E9168</f>
        <v>8.26</v>
      </c>
      <c r="F9190" s="6" t="n">
        <f aca="false">Sens!F9168</f>
        <v>8.79988041237113</v>
      </c>
      <c r="G9190" s="6" t="n">
        <f aca="false">Sens!G9168</f>
        <v>9.38321269125306</v>
      </c>
      <c r="H9190" s="6" t="n">
        <f aca="false">Sens!H9168</f>
        <v>10.0139193587476</v>
      </c>
      <c r="I9190" s="6" t="n">
        <f aca="false">Sens!I9168</f>
        <v>10.6963111830911</v>
      </c>
      <c r="J9190" s="6" t="n">
        <f aca="false">Sens!J9168</f>
        <v>11.4351285534696</v>
      </c>
      <c r="K9190" s="6" t="n">
        <f aca="false">Sens!K9168</f>
        <v>12.2355875522124</v>
      </c>
    </row>
    <row r="9191" customFormat="false" ht="15" hidden="false" customHeight="false" outlineLevel="0" collapsed="false">
      <c r="A9191" s="0" t="s">
        <v>626</v>
      </c>
      <c r="B9191" s="0" t="s">
        <v>95</v>
      </c>
      <c r="D9191" s="6" t="n">
        <f aca="false">Sens!D9170</f>
        <v>218.783</v>
      </c>
      <c r="E9191" s="6" t="n">
        <f aca="false">Sens!E9170</f>
        <v>268.127</v>
      </c>
      <c r="F9191" s="6" t="n">
        <f aca="false">Sens!F9170</f>
        <v>334.265528251508</v>
      </c>
      <c r="G9191" s="6" t="n">
        <f aca="false">Sens!G9170</f>
        <v>408.072123059793</v>
      </c>
      <c r="H9191" s="6" t="n">
        <f aca="false">Sens!H9170</f>
        <v>483.196296004025</v>
      </c>
      <c r="I9191" s="6" t="n">
        <f aca="false">Sens!I9170</f>
        <v>556.129573436949</v>
      </c>
      <c r="J9191" s="6" t="n">
        <f aca="false">Sens!J9170</f>
        <v>625.478790083482</v>
      </c>
      <c r="K9191" s="6" t="n">
        <f aca="false">Sens!K9170</f>
        <v>691.348349922667</v>
      </c>
    </row>
    <row r="9192" customFormat="false" ht="15" hidden="false" customHeight="false" outlineLevel="0" collapsed="false">
      <c r="A9192" s="0" t="s">
        <v>792</v>
      </c>
      <c r="B9192" s="0" t="s">
        <v>95</v>
      </c>
      <c r="D9192" s="6" t="n">
        <f aca="false">Sens!D9171</f>
        <v>22.171</v>
      </c>
      <c r="E9192" s="6" t="n">
        <f aca="false">Sens!E9171</f>
        <v>24.835</v>
      </c>
      <c r="F9192" s="6" t="n">
        <f aca="false">Sens!F9171</f>
        <v>27.6114901218559</v>
      </c>
      <c r="G9192" s="6" t="n">
        <f aca="false">Sens!G9171</f>
        <v>30.4675667338515</v>
      </c>
      <c r="H9192" s="6" t="n">
        <f aca="false">Sens!H9171</f>
        <v>33.3643766955789</v>
      </c>
      <c r="I9192" s="6" t="n">
        <f aca="false">Sens!I9171</f>
        <v>36.2577016533691</v>
      </c>
      <c r="J9192" s="6" t="n">
        <f aca="false">Sens!J9171</f>
        <v>39.0988367952171</v>
      </c>
      <c r="K9192" s="6" t="n">
        <f aca="false">Sens!K9171</f>
        <v>41.8357553708823</v>
      </c>
    </row>
    <row r="9193" customFormat="false" ht="15" hidden="false" customHeight="false" outlineLevel="0" collapsed="false">
      <c r="A9193" s="0" t="s">
        <v>793</v>
      </c>
      <c r="B9193" s="0" t="s">
        <v>95</v>
      </c>
      <c r="D9193" s="6" t="n">
        <f aca="false">Sens!D9173</f>
        <v>23.455</v>
      </c>
      <c r="E9193" s="6" t="n">
        <f aca="false">Sens!E9173</f>
        <v>21.79</v>
      </c>
      <c r="F9193" s="6" t="n">
        <f aca="false">Sens!F9173</f>
        <v>20.6825777908051</v>
      </c>
      <c r="G9193" s="6" t="n">
        <f aca="false">Sens!G9173</f>
        <v>20.0484913708632</v>
      </c>
      <c r="H9193" s="6" t="n">
        <f aca="false">Sens!H9173</f>
        <v>19.8381125629905</v>
      </c>
      <c r="I9193" s="6" t="n">
        <f aca="false">Sens!I9173</f>
        <v>20.0299669735513</v>
      </c>
      <c r="J9193" s="6" t="n">
        <f aca="false">Sens!J9173</f>
        <v>20.6275710652887</v>
      </c>
      <c r="K9193" s="6" t="n">
        <f aca="false">Sens!K9173</f>
        <v>21.6589496185531</v>
      </c>
    </row>
    <row r="9194" customFormat="false" ht="15" hidden="false" customHeight="false" outlineLevel="0" collapsed="false">
      <c r="A9194" s="0" t="s">
        <v>794</v>
      </c>
      <c r="B9194" s="0" t="s">
        <v>95</v>
      </c>
      <c r="D9194" s="6" t="n">
        <f aca="false">Sens!D9175</f>
        <v>17.315</v>
      </c>
      <c r="E9194" s="6" t="n">
        <f aca="false">Sens!E9175</f>
        <v>17.087</v>
      </c>
      <c r="F9194" s="6" t="n">
        <f aca="false">Sens!F9175</f>
        <v>16.9564585436519</v>
      </c>
      <c r="G9194" s="6" t="n">
        <f aca="false">Sens!G9175</f>
        <v>16.9206490624268</v>
      </c>
      <c r="H9194" s="6" t="n">
        <f aca="false">Sens!H9175</f>
        <v>16.9784519149849</v>
      </c>
      <c r="I9194" s="6" t="n">
        <f aca="false">Sens!I9175</f>
        <v>17.1303084701817</v>
      </c>
      <c r="J9194" s="6" t="n">
        <f aca="false">Sens!J9175</f>
        <v>17.3782189407267</v>
      </c>
      <c r="K9194" s="6" t="n">
        <f aca="false">Sens!K9175</f>
        <v>17.7257833195413</v>
      </c>
    </row>
    <row r="9195" customFormat="false" ht="15" hidden="false" customHeight="false" outlineLevel="0" collapsed="false">
      <c r="A9195" s="0" t="s">
        <v>640</v>
      </c>
      <c r="B9195" s="0" t="s">
        <v>95</v>
      </c>
      <c r="D9195" s="6" t="n">
        <f aca="false">Sens!D9177</f>
        <v>62.941</v>
      </c>
      <c r="E9195" s="6" t="n">
        <f aca="false">Sens!E9177</f>
        <v>63.712</v>
      </c>
      <c r="F9195" s="6" t="n">
        <f aca="false">Sens!F9177</f>
        <v>65.2505264563129</v>
      </c>
      <c r="G9195" s="6" t="n">
        <f aca="false">Sens!G9177</f>
        <v>67.4367071671415</v>
      </c>
      <c r="H9195" s="6" t="n">
        <f aca="false">Sens!H9177</f>
        <v>70.1809411735542</v>
      </c>
      <c r="I9195" s="6" t="n">
        <f aca="false">Sens!I9177</f>
        <v>73.4179770971021</v>
      </c>
      <c r="J9195" s="6" t="n">
        <f aca="false">Sens!J9177</f>
        <v>77.1046268012325</v>
      </c>
      <c r="K9195" s="6" t="n">
        <f aca="false">Sens!K9177</f>
        <v>81.2204883089766</v>
      </c>
    </row>
    <row r="9196" customFormat="false" ht="15" hidden="false" customHeight="false" outlineLevel="0" collapsed="false">
      <c r="A9196" s="1" t="s">
        <v>810</v>
      </c>
      <c r="B9196" s="0" t="s">
        <v>95</v>
      </c>
      <c r="D9196" s="6" t="n">
        <f aca="false">Sens!D9178</f>
        <v>281.724</v>
      </c>
      <c r="E9196" s="6" t="n">
        <f aca="false">Sens!E9178</f>
        <v>331.839</v>
      </c>
      <c r="F9196" s="6" t="n">
        <f aca="false">Sens!F9178</f>
        <v>399.516054707821</v>
      </c>
      <c r="G9196" s="6" t="n">
        <f aca="false">Sens!G9178</f>
        <v>475.508830226934</v>
      </c>
      <c r="H9196" s="6" t="n">
        <f aca="false">Sens!H9178</f>
        <v>553.377237177579</v>
      </c>
      <c r="I9196" s="6" t="n">
        <f aca="false">Sens!I9178</f>
        <v>629.547550534052</v>
      </c>
      <c r="J9196" s="6" t="n">
        <f aca="false">Sens!J9178</f>
        <v>702.583416884714</v>
      </c>
      <c r="K9196" s="6" t="n">
        <f aca="false">Sens!K9178</f>
        <v>772.568838231643</v>
      </c>
    </row>
    <row r="9197" customFormat="false" ht="15" hidden="false" customHeight="false" outlineLevel="0" collapsed="false">
      <c r="A9197" s="1" t="s">
        <v>811</v>
      </c>
      <c r="B9197" s="0" t="s">
        <v>126</v>
      </c>
      <c r="E9197" s="7" t="n">
        <f aca="false">Sens!E9196/Sens!D9196-1</f>
        <v>0.177886867998467</v>
      </c>
      <c r="F9197" s="7" t="n">
        <f aca="false">Sens!F9196/Sens!E9196-1</f>
        <v>0.203945451582908</v>
      </c>
      <c r="G9197" s="7" t="n">
        <f aca="false">Sens!G9196/Sens!F9196-1</f>
        <v>0.190212069386523</v>
      </c>
      <c r="H9197" s="7" t="n">
        <f aca="false">Sens!H9196/Sens!G9196-1</f>
        <v>0.163758067149841</v>
      </c>
      <c r="I9197" s="7" t="n">
        <f aca="false">Sens!I9196/Sens!H9196-1</f>
        <v>0.137646271366289</v>
      </c>
      <c r="J9197" s="7" t="n">
        <f aca="false">Sens!J9196/Sens!I9196-1</f>
        <v>0.116013264270039</v>
      </c>
      <c r="K9197" s="7" t="n">
        <f aca="false">Sens!K9196/Sens!J9196-1</f>
        <v>0.099611547419163</v>
      </c>
    </row>
    <row r="9198" customFormat="false" ht="17.15" hidden="false" customHeight="false" outlineLevel="0" collapsed="false">
      <c r="A9198" s="22" t="s">
        <v>812</v>
      </c>
      <c r="B9198" s="28" t="s">
        <v>95</v>
      </c>
      <c r="C9198" s="28"/>
      <c r="D9198" s="23" t="n">
        <f aca="false">(Sens!D9191+Sens!D9195-Sens!D9196)+(Sens!D9183+Sens!D9184-Sens!D9182)+(Sens!D9186+Sens!D9187-Sens!D9185)+(Sens!D9196-Q!L18)</f>
        <v>0</v>
      </c>
      <c r="E9198" s="23" t="n">
        <f aca="false">(Sens!E9191+Sens!E9195-Sens!E9196)+(Sens!E9183+Sens!E9184-Sens!E9182)+(Sens!E9186+Sens!E9187-Sens!E9185)+(Sens!E9196-Q!M18)</f>
        <v>0</v>
      </c>
      <c r="F9198" s="23" t="n">
        <f aca="false">(Sens!F9191+Sens!F9195-Sens!F9196)+(Sens!F9183+Sens!F9184-Sens!F9182)+(Sens!F9186+Sens!F9187-Sens!F9185)</f>
        <v>0</v>
      </c>
      <c r="G9198" s="23" t="n">
        <f aca="false">(Sens!G9191+Sens!G9195-Sens!G9196)+(Sens!G9183+Sens!G9184-Sens!G9182)+(Sens!G9186+Sens!G9187-Sens!G9185)</f>
        <v>0</v>
      </c>
      <c r="H9198" s="23" t="n">
        <f aca="false">(Sens!H9191+Sens!H9195-Sens!H9196)+(Sens!H9183+Sens!H9184-Sens!H9182)+(Sens!H9186+Sens!H9187-Sens!H9185)</f>
        <v>0</v>
      </c>
      <c r="I9198" s="23" t="n">
        <f aca="false">(Sens!I9191+Sens!I9195-Sens!I9196)+(Sens!I9183+Sens!I9184-Sens!I9182)+(Sens!I9186+Sens!I9187-Sens!I9185)</f>
        <v>0</v>
      </c>
      <c r="J9198" s="23" t="n">
        <f aca="false">(Sens!J9191+Sens!J9195-Sens!J9196)+(Sens!J9183+Sens!J9184-Sens!J9182)+(Sens!J9186+Sens!J9187-Sens!J9185)</f>
        <v>0</v>
      </c>
      <c r="K9198" s="23" t="n">
        <f aca="false">(Sens!K9191+Sens!K9195-Sens!K9196)+(Sens!K9183+Sens!K9184-Sens!K9182)+(Sens!K9186+Sens!K9187-Sens!K9185)</f>
        <v>0</v>
      </c>
    </row>
    <row r="9199" customFormat="false" ht="17.15" hidden="false" customHeight="false" outlineLevel="0" collapsed="false">
      <c r="A9199" s="0" t="s">
        <v>813</v>
      </c>
      <c r="B9199" s="0" t="s">
        <v>126</v>
      </c>
      <c r="E9199" s="7" t="n">
        <f aca="false">(Q!M21+Sens!E9136+Sens!E9137+Sens!E9138+Sens!E9151-Sens!E9134)/(Q!M5-Sens!E9134)</f>
        <v>0.570957350878296</v>
      </c>
      <c r="F9199" s="7" t="n">
        <f aca="false">Sens!$E$9199+dm_seg</f>
        <v>0.570957350878296</v>
      </c>
      <c r="G9199" s="7" t="n">
        <f aca="false">Sens!$E$9199+dm_seg</f>
        <v>0.570957350878296</v>
      </c>
      <c r="H9199" s="7" t="n">
        <f aca="false">Sens!$E$9199+dm_seg</f>
        <v>0.570957350878296</v>
      </c>
      <c r="I9199" s="7" t="n">
        <f aca="false">Sens!$E$9199+dm_seg</f>
        <v>0.570957350878296</v>
      </c>
      <c r="J9199" s="7" t="n">
        <f aca="false">Sens!$E$9199+dm_seg</f>
        <v>0.570957350878296</v>
      </c>
      <c r="K9199" s="7" t="n">
        <f aca="false">Sens!$E$9199+dm_seg</f>
        <v>0.570957350878296</v>
      </c>
      <c r="L9199" s="11" t="s">
        <v>814</v>
      </c>
    </row>
    <row r="9200" customFormat="false" ht="17.15" hidden="false" customHeight="false" outlineLevel="0" collapsed="false">
      <c r="A9200" s="0" t="s">
        <v>654</v>
      </c>
      <c r="B9200" s="0" t="s">
        <v>95</v>
      </c>
      <c r="D9200" s="6" t="n">
        <f aca="false">Q!L21</f>
        <v>110.814</v>
      </c>
      <c r="E9200" s="6" t="n">
        <f aca="false">Q!M21</f>
        <v>136.365</v>
      </c>
      <c r="F9200" s="6" t="n">
        <f aca="false">Sens!F9199*(Sens!F9170-Sens!F9134)+Sens!F9134-(Sens!F9136+Sens!F9137+Sens!F9138)-Sens!F9151</f>
        <v>157.598408295446</v>
      </c>
      <c r="G9200" s="6" t="n">
        <f aca="false">Sens!G9199*(Sens!G9170-Sens!G9134)+Sens!G9134-(Sens!G9136+Sens!G9137+Sens!G9138)-Sens!G9151</f>
        <v>177.181269116646</v>
      </c>
      <c r="H9200" s="6" t="n">
        <f aca="false">Sens!H9199*(Sens!H9170-Sens!H9134)+Sens!H9134-(Sens!H9136+Sens!H9137+Sens!H9138)-Sens!H9151</f>
        <v>196.823099338626</v>
      </c>
      <c r="I9200" s="6" t="n">
        <f aca="false">Sens!I9199*(Sens!I9170-Sens!I9134)+Sens!I9134-(Sens!I9136+Sens!I9137+Sens!I9138)-Sens!I9151</f>
        <v>214.23419597017</v>
      </c>
      <c r="J9200" s="6" t="n">
        <f aca="false">Sens!J9199*(Sens!J9170-Sens!J9134)+Sens!J9134-(Sens!J9136+Sens!J9137+Sens!J9138)-Sens!J9151</f>
        <v>228.64734257946</v>
      </c>
      <c r="K9200" s="6" t="n">
        <f aca="false">Sens!K9199*(Sens!K9170-Sens!K9134)+Sens!K9134-(Sens!K9136+Sens!K9137+Sens!K9138)-Sens!K9151</f>
        <v>239.798338556539</v>
      </c>
      <c r="L9200" s="1" t="s">
        <v>815</v>
      </c>
    </row>
    <row r="9201" customFormat="false" ht="17.15" hidden="false" customHeight="false" outlineLevel="0" collapsed="false">
      <c r="A9201" s="0" t="s">
        <v>816</v>
      </c>
      <c r="B9201" s="0" t="s">
        <v>126</v>
      </c>
      <c r="E9201" s="7" t="n">
        <f aca="false">Q!M22/Q!M12</f>
        <v>0.296207935710698</v>
      </c>
      <c r="F9201" s="7" t="n">
        <f aca="false">Sens!$E$9201+dm_seg</f>
        <v>0.296207935710698</v>
      </c>
      <c r="G9201" s="7" t="n">
        <f aca="false">Sens!$E$9201+dm_seg</f>
        <v>0.296207935710698</v>
      </c>
      <c r="H9201" s="7" t="n">
        <f aca="false">Sens!$E$9201+dm_seg</f>
        <v>0.296207935710698</v>
      </c>
      <c r="I9201" s="7" t="n">
        <f aca="false">Sens!$E$9201+dm_seg</f>
        <v>0.296207935710698</v>
      </c>
      <c r="J9201" s="7" t="n">
        <f aca="false">Sens!$E$9201+dm_seg</f>
        <v>0.296207935710698</v>
      </c>
      <c r="K9201" s="7" t="n">
        <f aca="false">Sens!$E$9201+dm_seg</f>
        <v>0.296207935710698</v>
      </c>
      <c r="L9201" s="11" t="s">
        <v>817</v>
      </c>
    </row>
    <row r="9202" customFormat="false" ht="17.15" hidden="false" customHeight="false" outlineLevel="0" collapsed="false">
      <c r="A9202" s="0" t="s">
        <v>656</v>
      </c>
      <c r="B9202" s="0" t="s">
        <v>95</v>
      </c>
      <c r="D9202" s="6" t="n">
        <f aca="false">Q!L22</f>
        <v>17.714</v>
      </c>
      <c r="E9202" s="6" t="n">
        <f aca="false">Q!M22</f>
        <v>18.872</v>
      </c>
      <c r="F9202" s="6" t="n">
        <f aca="false">Sens!F9177*Sens!F9201</f>
        <v>19.3277237456607</v>
      </c>
      <c r="G9202" s="6" t="n">
        <f aca="false">Sens!G9177*Sens!G9201</f>
        <v>19.9752878211058</v>
      </c>
      <c r="H9202" s="6" t="n">
        <f aca="false">Sens!H9177*Sens!H9201</f>
        <v>20.7881517112524</v>
      </c>
      <c r="I9202" s="6" t="n">
        <f aca="false">Sens!I9177*Sens!I9201</f>
        <v>21.7469874399879</v>
      </c>
      <c r="J9202" s="6" t="n">
        <f aca="false">Sens!J9177*Sens!J9201</f>
        <v>22.8390023385368</v>
      </c>
      <c r="K9202" s="6" t="n">
        <f aca="false">Sens!K9177*Sens!K9201</f>
        <v>24.0581531794169</v>
      </c>
    </row>
    <row r="9203" customFormat="false" ht="15" hidden="false" customHeight="false" outlineLevel="0" collapsed="false">
      <c r="A9203" s="1" t="s">
        <v>818</v>
      </c>
      <c r="B9203" s="0" t="s">
        <v>95</v>
      </c>
      <c r="D9203" s="6" t="n">
        <f aca="false">Sens!D9200+Sens!D9202</f>
        <v>128.528</v>
      </c>
      <c r="E9203" s="6" t="n">
        <f aca="false">Sens!E9200+Sens!E9202</f>
        <v>155.237</v>
      </c>
      <c r="F9203" s="6" t="n">
        <f aca="false">Sens!F9200+Sens!F9202</f>
        <v>176.926132041107</v>
      </c>
      <c r="G9203" s="6" t="n">
        <f aca="false">Sens!G9200+Sens!G9202</f>
        <v>197.156556937752</v>
      </c>
      <c r="H9203" s="6" t="n">
        <f aca="false">Sens!H9200+Sens!H9202</f>
        <v>217.611251049878</v>
      </c>
      <c r="I9203" s="6" t="n">
        <f aca="false">Sens!I9200+Sens!I9202</f>
        <v>235.981183410158</v>
      </c>
      <c r="J9203" s="6" t="n">
        <f aca="false">Sens!J9200+Sens!J9202</f>
        <v>251.486344917996</v>
      </c>
      <c r="K9203" s="6" t="n">
        <f aca="false">Sens!K9200+Sens!K9202</f>
        <v>263.856491735956</v>
      </c>
    </row>
    <row r="9204" customFormat="false" ht="15" hidden="false" customHeight="false" outlineLevel="0" collapsed="false">
      <c r="A9204" s="22" t="s">
        <v>819</v>
      </c>
      <c r="B9204" s="28" t="s">
        <v>95</v>
      </c>
      <c r="C9204" s="28"/>
      <c r="D9204" s="23" t="n">
        <f aca="false">Sens!D9203-Q!L23</f>
        <v>0</v>
      </c>
      <c r="E9204" s="23" t="n">
        <f aca="false">Sens!E9203-Q!M23</f>
        <v>0</v>
      </c>
      <c r="F9204" s="28"/>
      <c r="G9204" s="28"/>
      <c r="H9204" s="28"/>
      <c r="I9204" s="28"/>
      <c r="J9204" s="28"/>
      <c r="K9204" s="28"/>
    </row>
    <row r="9205" customFormat="false" ht="15" hidden="false" customHeight="false" outlineLevel="0" collapsed="false">
      <c r="A9205" s="1" t="s">
        <v>820</v>
      </c>
      <c r="B9205" s="0" t="s">
        <v>126</v>
      </c>
      <c r="D9205" s="7" t="n">
        <f aca="false">Sens!D9203/Sens!D9196</f>
        <v>0.456219562408598</v>
      </c>
      <c r="E9205" s="7" t="n">
        <f aca="false">Sens!E9203/Sens!E9196</f>
        <v>0.467808184089272</v>
      </c>
      <c r="F9205" s="7" t="n">
        <f aca="false">Sens!F9203/Sens!F9196</f>
        <v>0.442851119388678</v>
      </c>
      <c r="G9205" s="7" t="n">
        <f aca="false">Sens!G9203/Sens!G9196</f>
        <v>0.414622283341531</v>
      </c>
      <c r="H9205" s="7" t="n">
        <f aca="false">Sens!H9203/Sens!H9196</f>
        <v>0.393242143749485</v>
      </c>
      <c r="I9205" s="7" t="n">
        <f aca="false">Sens!I9203/Sens!I9196</f>
        <v>0.374842509052688</v>
      </c>
      <c r="J9205" s="7" t="n">
        <f aca="false">Sens!J9203/Sens!J9196</f>
        <v>0.357945176151606</v>
      </c>
      <c r="K9205" s="7" t="n">
        <f aca="false">Sens!K9203/Sens!K9196</f>
        <v>0.341531367405272</v>
      </c>
    </row>
    <row r="9206" customFormat="false" ht="17.15" hidden="false" customHeight="false" outlineLevel="0" collapsed="false">
      <c r="A9206" s="1" t="s">
        <v>821</v>
      </c>
      <c r="B9206" s="0" t="s">
        <v>95</v>
      </c>
      <c r="E9206" s="6" t="n">
        <f aca="false">Sens!E9151</f>
        <v>16.3054059770833</v>
      </c>
      <c r="F9206" s="6" t="n">
        <f aca="false">Sens!F9151</f>
        <v>34.7402630808698</v>
      </c>
      <c r="G9206" s="6" t="n">
        <f aca="false">Sens!G9151</f>
        <v>60.5061885103396</v>
      </c>
      <c r="H9206" s="6" t="n">
        <f aca="false">Sens!H9151</f>
        <v>87.7417712431396</v>
      </c>
      <c r="I9206" s="6" t="n">
        <f aca="false">Sens!I9151</f>
        <v>115.996636991123</v>
      </c>
      <c r="J9206" s="6" t="n">
        <f aca="false">Sens!J9151</f>
        <v>145.223733208273</v>
      </c>
      <c r="K9206" s="6" t="n">
        <f aca="false">Sens!K9151</f>
        <v>175.73837788459</v>
      </c>
    </row>
    <row r="9207" customFormat="false" ht="17.15" hidden="false" customHeight="false" outlineLevel="0" collapsed="false">
      <c r="A9207" s="1" t="s">
        <v>822</v>
      </c>
      <c r="B9207" s="0" t="s">
        <v>95</v>
      </c>
      <c r="E9207" s="6" t="n">
        <f aca="false">Sens!E9227</f>
        <v>22.2285940229167</v>
      </c>
      <c r="F9207" s="6" t="n">
        <f aca="false">Sens!F9227</f>
        <v>23.5639961935813</v>
      </c>
      <c r="G9207" s="6" t="n">
        <f aca="false">Sens!G9227</f>
        <v>25.3238199695293</v>
      </c>
      <c r="H9207" s="6" t="n">
        <f aca="false">Sens!H9227</f>
        <v>27.4744017454613</v>
      </c>
      <c r="I9207" s="6" t="n">
        <f aca="false">Sens!I9227</f>
        <v>29.9497855769444</v>
      </c>
      <c r="J9207" s="6" t="n">
        <f aca="false">Sens!J9227</f>
        <v>32.6673989956875</v>
      </c>
      <c r="K9207" s="6" t="n">
        <f aca="false">Sens!K9227</f>
        <v>35.5439765161422</v>
      </c>
    </row>
    <row r="9208" customFormat="false" ht="17.15" hidden="false" customHeight="false" outlineLevel="0" collapsed="false">
      <c r="A9208" s="1" t="s">
        <v>823</v>
      </c>
      <c r="B9208" s="0" t="s">
        <v>95</v>
      </c>
      <c r="D9208" s="6" t="n">
        <f aca="false">Q!L27</f>
        <v>-4.901</v>
      </c>
      <c r="E9208" s="6" t="n">
        <f aca="false">Q!M27</f>
        <v>10.697</v>
      </c>
      <c r="F9208" s="6" t="n">
        <f aca="false">oie_f</f>
        <v>-0.4</v>
      </c>
      <c r="G9208" s="6" t="n">
        <f aca="false">oie_f</f>
        <v>-0.4</v>
      </c>
      <c r="H9208" s="6" t="n">
        <f aca="false">oie_f</f>
        <v>-0.4</v>
      </c>
      <c r="I9208" s="6" t="n">
        <f aca="false">oie_f</f>
        <v>-0.4</v>
      </c>
      <c r="J9208" s="6" t="n">
        <f aca="false">oie_f</f>
        <v>-0.4</v>
      </c>
      <c r="K9208" s="6" t="n">
        <f aca="false">oie_f</f>
        <v>-0.4</v>
      </c>
      <c r="L9208" s="11" t="s">
        <v>824</v>
      </c>
    </row>
    <row r="9209" customFormat="false" ht="15" hidden="false" customHeight="false" outlineLevel="0" collapsed="false">
      <c r="A9209" s="1" t="s">
        <v>666</v>
      </c>
      <c r="B9209" s="0" t="s">
        <v>95</v>
      </c>
      <c r="D9209" s="6" t="n">
        <f aca="false">Sens!D9203+Sens!D9208</f>
        <v>123.627</v>
      </c>
      <c r="E9209" s="6" t="n">
        <f aca="false">Sens!E9203+Sens!E9208</f>
        <v>165.934</v>
      </c>
      <c r="F9209" s="6" t="n">
        <f aca="false">Sens!F9203+Sens!F9208</f>
        <v>176.526132041107</v>
      </c>
      <c r="G9209" s="6" t="n">
        <f aca="false">Sens!G9203+Sens!G9208</f>
        <v>196.756556937752</v>
      </c>
      <c r="H9209" s="6" t="n">
        <f aca="false">Sens!H9203+Sens!H9208</f>
        <v>217.211251049878</v>
      </c>
      <c r="I9209" s="6" t="n">
        <f aca="false">Sens!I9203+Sens!I9208</f>
        <v>235.581183410158</v>
      </c>
      <c r="J9209" s="6" t="n">
        <f aca="false">Sens!J9203+Sens!J9208</f>
        <v>251.086344917996</v>
      </c>
      <c r="K9209" s="6" t="n">
        <f aca="false">Sens!K9203+Sens!K9208</f>
        <v>263.456491735956</v>
      </c>
    </row>
    <row r="9210" customFormat="false" ht="15" hidden="false" customHeight="false" outlineLevel="0" collapsed="false">
      <c r="A9210" s="1" t="s">
        <v>668</v>
      </c>
      <c r="B9210" s="0" t="s">
        <v>95</v>
      </c>
      <c r="D9210" s="6" t="n">
        <f aca="false">Q!L29</f>
        <v>21.795</v>
      </c>
      <c r="E9210" s="6" t="n">
        <f aca="false">Q!M29</f>
        <v>32.185</v>
      </c>
      <c r="F9210" s="6" t="n">
        <f aca="false">Sens!F9209*tax_f</f>
        <v>35.3052264082213</v>
      </c>
      <c r="G9210" s="6" t="n">
        <f aca="false">Sens!G9209*tax_f</f>
        <v>39.3513113875504</v>
      </c>
      <c r="H9210" s="6" t="n">
        <f aca="false">Sens!H9209*tax_f</f>
        <v>43.4422502099756</v>
      </c>
      <c r="I9210" s="6" t="n">
        <f aca="false">Sens!I9209*tax_f</f>
        <v>47.1162366820316</v>
      </c>
      <c r="J9210" s="6" t="n">
        <f aca="false">Sens!J9209*tax_f</f>
        <v>50.2172689835993</v>
      </c>
      <c r="K9210" s="6" t="n">
        <f aca="false">Sens!K9209*tax_f</f>
        <v>52.6912983471912</v>
      </c>
    </row>
    <row r="9211" customFormat="false" ht="15" hidden="false" customHeight="false" outlineLevel="0" collapsed="false">
      <c r="A9211" s="1" t="s">
        <v>825</v>
      </c>
      <c r="B9211" s="0" t="s">
        <v>95</v>
      </c>
      <c r="D9211" s="6" t="n">
        <f aca="false">Sens!D9209-Sens!D9210</f>
        <v>101.832</v>
      </c>
      <c r="E9211" s="6" t="n">
        <f aca="false">Sens!E9209-Sens!E9210</f>
        <v>133.749</v>
      </c>
      <c r="F9211" s="6" t="n">
        <f aca="false">Sens!F9209-Sens!F9210</f>
        <v>141.220905632885</v>
      </c>
      <c r="G9211" s="6" t="n">
        <f aca="false">Sens!G9209-Sens!G9210</f>
        <v>157.405245550202</v>
      </c>
      <c r="H9211" s="6" t="n">
        <f aca="false">Sens!H9209-Sens!H9210</f>
        <v>173.769000839903</v>
      </c>
      <c r="I9211" s="6" t="n">
        <f aca="false">Sens!I9209-Sens!I9210</f>
        <v>188.464946728126</v>
      </c>
      <c r="J9211" s="6" t="n">
        <f aca="false">Sens!J9209-Sens!J9210</f>
        <v>200.869075934397</v>
      </c>
      <c r="K9211" s="6" t="n">
        <f aca="false">Sens!K9209-Sens!K9210</f>
        <v>210.765193388765</v>
      </c>
    </row>
    <row r="9212" customFormat="false" ht="17.15" hidden="false" customHeight="false" outlineLevel="0" collapsed="false">
      <c r="A9212" s="1" t="s">
        <v>826</v>
      </c>
      <c r="B9212" s="1" t="s">
        <v>79</v>
      </c>
      <c r="D9212" s="18" t="n">
        <f aca="false">Q!L31</f>
        <v>7.465</v>
      </c>
      <c r="E9212" s="18" t="n">
        <f aca="false">Q!M31</f>
        <v>7.453</v>
      </c>
      <c r="F9212" s="18" t="n">
        <f aca="false">Sens!F9249</f>
        <v>7.4735</v>
      </c>
      <c r="G9212" s="18" t="n">
        <f aca="false">Sens!G9249</f>
        <v>7.51789512957753</v>
      </c>
      <c r="H9212" s="18" t="n">
        <f aca="false">Sens!H9249</f>
        <v>7.54504184500501</v>
      </c>
      <c r="I9212" s="18" t="n">
        <f aca="false">Sens!I9249</f>
        <v>7.55682267701232</v>
      </c>
      <c r="J9212" s="18" t="n">
        <f aca="false">Sens!J9249</f>
        <v>7.57106418813021</v>
      </c>
      <c r="K9212" s="18" t="n">
        <f aca="false">Sens!K9249</f>
        <v>7.58758410583195</v>
      </c>
    </row>
    <row r="9213" customFormat="false" ht="17.15" hidden="false" customHeight="false" outlineLevel="0" collapsed="false">
      <c r="A9213" s="0" t="s">
        <v>827</v>
      </c>
      <c r="B9213" s="0" t="s">
        <v>73</v>
      </c>
      <c r="D9213" s="8" t="n">
        <f aca="false">Sens!D9211/Sens!D9212</f>
        <v>13.641259209645</v>
      </c>
      <c r="E9213" s="8" t="n">
        <f aca="false">Sens!E9211/Sens!E9212</f>
        <v>17.9456594659869</v>
      </c>
      <c r="F9213" s="8" t="n">
        <f aca="false">Sens!F9211/Sens!F9212</f>
        <v>18.8962207309675</v>
      </c>
      <c r="G9213" s="8" t="n">
        <f aca="false">Sens!G9211/Sens!G9212</f>
        <v>20.9374090536226</v>
      </c>
      <c r="H9213" s="8" t="n">
        <f aca="false">Sens!H9211/Sens!H9212</f>
        <v>23.0308862971968</v>
      </c>
      <c r="I9213" s="8" t="n">
        <f aca="false">Sens!I9211/Sens!I9212</f>
        <v>24.9397074383434</v>
      </c>
      <c r="J9213" s="8" t="n">
        <f aca="false">Sens!J9211/Sens!J9212</f>
        <v>26.5311547945025</v>
      </c>
      <c r="K9213" s="8" t="n">
        <f aca="false">Sens!K9211/Sens!K9212</f>
        <v>27.7776417959923</v>
      </c>
      <c r="L9213" s="1" t="s">
        <v>828</v>
      </c>
    </row>
    <row r="9214" customFormat="false" ht="17.15" hidden="false" customHeight="false" outlineLevel="0" collapsed="false">
      <c r="A9214" s="0" t="s">
        <v>829</v>
      </c>
      <c r="B9214" s="0" t="s">
        <v>126</v>
      </c>
      <c r="E9214" s="7" t="n">
        <f aca="false">Sens!E9213/Sens!D9213-1</f>
        <v>0.315542736208578</v>
      </c>
      <c r="F9214" s="7" t="n">
        <f aca="false">Sens!F9213/Sens!E9213-1</f>
        <v>0.0529688678636884</v>
      </c>
      <c r="G9214" s="7" t="n">
        <f aca="false">Sens!G9213/Sens!F9213-1</f>
        <v>0.10802098216973</v>
      </c>
      <c r="H9214" s="7" t="n">
        <f aca="false">Sens!H9213/Sens!G9213-1</f>
        <v>0.0999874071434848</v>
      </c>
      <c r="I9214" s="7" t="n">
        <f aca="false">Sens!I9213/Sens!H9213-1</f>
        <v>0.0828809241865312</v>
      </c>
      <c r="J9214" s="7" t="n">
        <f aca="false">Sens!J9213/Sens!I9213-1</f>
        <v>0.0638117892959869</v>
      </c>
      <c r="K9214" s="7" t="n">
        <f aca="false">Sens!K9213/Sens!J9213-1</f>
        <v>0.0469820108150014</v>
      </c>
    </row>
    <row r="9215" customFormat="false" ht="17.15" hidden="false" customHeight="false" outlineLevel="0" collapsed="false">
      <c r="A9215" s="0" t="s">
        <v>763</v>
      </c>
      <c r="B9215" s="0" t="s">
        <v>95</v>
      </c>
      <c r="E9215" s="6" t="n">
        <f aca="false">Sens!E9160</f>
        <v>5.25</v>
      </c>
      <c r="F9215" s="6" t="n">
        <f aca="false">Sens!F9160</f>
        <v>12</v>
      </c>
      <c r="G9215" s="6" t="n">
        <f aca="false">Sens!G9160</f>
        <v>18</v>
      </c>
      <c r="H9215" s="6" t="n">
        <f aca="false">Sens!H9160</f>
        <v>24</v>
      </c>
      <c r="I9215" s="6" t="n">
        <f aca="false">Sens!I9160</f>
        <v>28.5</v>
      </c>
      <c r="J9215" s="6" t="n">
        <f aca="false">Sens!J9160</f>
        <v>31.5</v>
      </c>
      <c r="K9215" s="6" t="n">
        <f aca="false">Sens!K9160</f>
        <v>34.5</v>
      </c>
    </row>
    <row r="9216" customFormat="false" ht="17.15" hidden="false" customHeight="false" outlineLevel="0" collapsed="false">
      <c r="A9216" s="0" t="s">
        <v>764</v>
      </c>
      <c r="B9216" s="0" t="s">
        <v>95</v>
      </c>
      <c r="E9216" s="6" t="n">
        <f aca="false">Sens!E9140+Sens!E9215*Sens!E9199-Sens!E9141-Sens!E9151</f>
        <v>2.1514866143068</v>
      </c>
      <c r="F9216" s="6" t="n">
        <f aca="false">Sens!F9140+Sens!F9215*Sens!F9199-Sens!F9141-Sens!F9151</f>
        <v>5.03773532835383</v>
      </c>
      <c r="G9216" s="6" t="n">
        <f aca="false">Sens!G9140+Sens!G9215*Sens!G9199-Sens!G9141-Sens!G9151</f>
        <v>5.53916718911071</v>
      </c>
      <c r="H9216" s="6" t="n">
        <f aca="false">Sens!H9140+Sens!H9215*Sens!H9199-Sens!H9141-Sens!H9151</f>
        <v>5.91741965978851</v>
      </c>
      <c r="I9216" s="6" t="n">
        <f aca="false">Sens!I9140+Sens!I9215*Sens!I9199-Sens!I9141-Sens!I9151</f>
        <v>4.55293089599093</v>
      </c>
      <c r="J9216" s="6" t="n">
        <f aca="false">Sens!J9140+Sens!J9215*Sens!J9199-Sens!J9141-Sens!J9151</f>
        <v>1.4292897309218</v>
      </c>
      <c r="K9216" s="6" t="n">
        <f aca="false">Sens!K9140+Sens!K9215*Sens!K9199-Sens!K9141-Sens!K9151</f>
        <v>-2.94100809488285</v>
      </c>
    </row>
    <row r="9217" customFormat="false" ht="17.15" hidden="false" customHeight="false" outlineLevel="0" collapsed="false">
      <c r="A9217" s="0" t="s">
        <v>765</v>
      </c>
      <c r="B9217" s="0" t="s">
        <v>95</v>
      </c>
      <c r="E9217" s="6" t="n">
        <f aca="false">Sens!E9123*(cxit_open+self_build*tk_cxfac)/1000*ai_net_open</f>
        <v>126.6980382</v>
      </c>
      <c r="F9217" s="6" t="n">
        <f aca="false">Sens!E9217+Sens!F9148-Sens!F9151</f>
        <v>260.575159389568</v>
      </c>
      <c r="G9217" s="6" t="n">
        <f aca="false">Sens!F9217+Sens!G9148-Sens!G9151</f>
        <v>383.643151362428</v>
      </c>
      <c r="H9217" s="6" t="n">
        <f aca="false">Sens!G9217+Sens!H9148-Sens!H9151</f>
        <v>483.981666029689</v>
      </c>
      <c r="I9217" s="6" t="n">
        <f aca="false">Sens!H9217+Sens!I9148-Sens!I9151</f>
        <v>586.323990295633</v>
      </c>
      <c r="J9217" s="6" t="n">
        <f aca="false">Sens!I9217+Sens!J9148-Sens!J9151</f>
        <v>674.877318011093</v>
      </c>
      <c r="K9217" s="6" t="n">
        <f aca="false">Sens!J9217+Sens!K9148-Sens!K9151</f>
        <v>777.995252076903</v>
      </c>
      <c r="L9217" s="1" t="s">
        <v>766</v>
      </c>
    </row>
    <row r="9218" customFormat="false" ht="17.15" hidden="false" customHeight="false" outlineLevel="0" collapsed="false">
      <c r="A9218" s="0" t="s">
        <v>767</v>
      </c>
      <c r="B9218" s="0" t="s">
        <v>126</v>
      </c>
      <c r="F9218" s="7" t="n">
        <f aca="false">Sens!F9216*(1-tax_f)/((Sens!E9217+Sens!F9217)/2)</f>
        <v>0.0208131535451842</v>
      </c>
      <c r="G9218" s="7" t="n">
        <f aca="false">Sens!G9216*(1-tax_f)/((Sens!F9217+Sens!G9217)/2)</f>
        <v>0.0137572424668149</v>
      </c>
      <c r="H9218" s="7" t="n">
        <f aca="false">Sens!H9216*(1-tax_f)/((Sens!G9217+Sens!H9217)/2)</f>
        <v>0.010912402764273</v>
      </c>
      <c r="I9218" s="7" t="n">
        <f aca="false">Sens!I9216*(1-tax_f)/((Sens!H9217+Sens!I9217)/2)</f>
        <v>0.00680617671273083</v>
      </c>
      <c r="J9218" s="7" t="n">
        <f aca="false">Sens!J9216*(1-tax_f)/((Sens!I9217+Sens!J9217)/2)</f>
        <v>0.00181324230669027</v>
      </c>
      <c r="K9218" s="7" t="n">
        <f aca="false">Sens!K9216*(1-tax_f)/((Sens!J9217+Sens!K9217)/2)</f>
        <v>-0.00323883391337449</v>
      </c>
    </row>
    <row r="9219" customFormat="false" ht="17.15" hidden="false" customHeight="false" outlineLevel="0" collapsed="false">
      <c r="A9219" s="1" t="s">
        <v>768</v>
      </c>
      <c r="B9219" s="0" t="s">
        <v>126</v>
      </c>
      <c r="F9219" s="7" t="n">
        <f aca="false">Sens!F9152*(1-tax_f)/(Sens!F9139*(Sens!E9217+Sens!F9217)/2)</f>
        <v>0.128180196075436</v>
      </c>
      <c r="G9219" s="7" t="n">
        <f aca="false">Sens!G9152*(1-tax_f)/(Sens!G9139*(Sens!F9217+Sens!G9217)/2)</f>
        <v>0.125212384049511</v>
      </c>
      <c r="H9219" s="7" t="n">
        <f aca="false">Sens!H9152*(1-tax_f)/(Sens!H9139*(Sens!G9217+Sens!H9217)/2)</f>
        <v>0.130854047769771</v>
      </c>
      <c r="I9219" s="7" t="n">
        <f aca="false">Sens!I9152*(1-tax_f)/(Sens!I9139*(Sens!H9217+Sens!I9217)/2)</f>
        <v>0.135621964177241</v>
      </c>
      <c r="J9219" s="7" t="n">
        <f aca="false">Sens!J9152*(1-tax_f)/(Sens!J9139*(Sens!I9217+Sens!J9217)/2)</f>
        <v>0.139096492081863</v>
      </c>
      <c r="K9219" s="7" t="n">
        <f aca="false">Sens!K9152*(1-tax_f)/(Sens!K9139*(Sens!J9217+Sens!K9217)/2)</f>
        <v>0.140245937794745</v>
      </c>
    </row>
    <row r="9220" customFormat="false" ht="17.15" hidden="false" customHeight="false" outlineLevel="0" collapsed="false">
      <c r="A9220" s="0" t="s">
        <v>769</v>
      </c>
      <c r="B9220" s="0" t="s">
        <v>208</v>
      </c>
      <c r="F9220" s="7" t="n">
        <f aca="false">Sens!F9218-wacc</f>
        <v>-0.0881500676050698</v>
      </c>
      <c r="G9220" s="7" t="n">
        <f aca="false">Sens!G9218-wacc</f>
        <v>-0.095205978683439</v>
      </c>
      <c r="H9220" s="7" t="n">
        <f aca="false">Sens!H9218-wacc</f>
        <v>-0.098050818385981</v>
      </c>
      <c r="I9220" s="7" t="n">
        <f aca="false">Sens!I9218-wacc</f>
        <v>-0.102157044437523</v>
      </c>
      <c r="J9220" s="7" t="n">
        <f aca="false">Sens!J9218-wacc</f>
        <v>-0.107149978843564</v>
      </c>
      <c r="K9220" s="7" t="n">
        <f aca="false">Sens!K9218-wacc</f>
        <v>-0.112202055063628</v>
      </c>
    </row>
    <row r="9221" customFormat="false" ht="17.15" hidden="false" customHeight="false" outlineLevel="0" collapsed="false">
      <c r="A9221" s="0" t="s">
        <v>770</v>
      </c>
      <c r="B9221" s="0" t="s">
        <v>95</v>
      </c>
      <c r="F9221" s="6" t="n">
        <f aca="false">Sens!F9216*(1-tax_f)-wacc*(Sens!E9217+Sens!F9217)/2</f>
        <v>-17.069079274576</v>
      </c>
      <c r="G9221" s="6" t="n">
        <f aca="false">Sens!G9216*(1-tax_f)-wacc*(Sens!F9217+Sens!G9217)/2</f>
        <v>-30.6667173804678</v>
      </c>
      <c r="H9221" s="6" t="n">
        <f aca="false">Sens!H9216*(1-tax_f)-wacc*(Sens!G9217+Sens!H9217)/2</f>
        <v>-42.5356616986422</v>
      </c>
      <c r="I9221" s="6" t="n">
        <f aca="false">Sens!I9216*(1-tax_f)-wacc*(Sens!H9217+Sens!I9217)/2</f>
        <v>-54.6696312474791</v>
      </c>
      <c r="J9221" s="6" t="n">
        <f aca="false">Sens!J9216*(1-tax_f)-wacc*(Sens!I9217+Sens!J9217)/2</f>
        <v>-67.5688467512703</v>
      </c>
      <c r="K9221" s="6" t="n">
        <f aca="false">Sens!K9216*(1-tax_f)-wacc*(Sens!J9217+Sens!K9217)/2</f>
        <v>-81.5076440547244</v>
      </c>
    </row>
    <row r="9222" customFormat="false" ht="17.15" hidden="false" customHeight="false" outlineLevel="0" collapsed="false">
      <c r="A9222" s="1" t="s">
        <v>771</v>
      </c>
      <c r="B9222" s="0" t="s">
        <v>95</v>
      </c>
      <c r="F9222" s="6" t="n">
        <f aca="false">(Sens!E9124+Sens!F9124)/2*Sens!F9131/1000</f>
        <v>26.7873066765967</v>
      </c>
      <c r="G9222" s="6" t="n">
        <f aca="false">(Sens!F9124+Sens!G9124)/2*Sens!G9131/1000</f>
        <v>45.4131817597218</v>
      </c>
      <c r="H9222" s="6" t="n">
        <f aca="false">(Sens!G9124+Sens!H9124)/2*Sens!H9131/1000</f>
        <v>65.3915129357971</v>
      </c>
      <c r="I9222" s="6" t="n">
        <f aca="false">(Sens!H9124+Sens!I9124)/2*Sens!I9131/1000</f>
        <v>85.5187419289299</v>
      </c>
      <c r="J9222" s="6" t="n">
        <f aca="false">(Sens!I9124+Sens!J9124)/2*Sens!J9131/1000</f>
        <v>105.723807195006</v>
      </c>
      <c r="K9222" s="6" t="n">
        <f aca="false">(Sens!J9124+Sens!K9124)/2*Sens!K9131/1000</f>
        <v>125.974659797015</v>
      </c>
      <c r="L9222" s="1" t="s">
        <v>772</v>
      </c>
    </row>
    <row r="9223" customFormat="false" ht="17.15" hidden="false" customHeight="false" outlineLevel="0" collapsed="false">
      <c r="A9223" s="1" t="s">
        <v>773</v>
      </c>
      <c r="B9223" s="0" t="s">
        <v>126</v>
      </c>
      <c r="F9223" s="7" t="n">
        <f aca="false">(Sens!F9140+Sens!F9222-Sens!F9141-Sens!F9151)*(1-tax_f)/((Sens!E9217+Sens!F9217)/2)</f>
        <v>0.103176998356093</v>
      </c>
      <c r="G9223" s="7" t="n">
        <f aca="false">(Sens!G9140+Sens!G9222-Sens!G9141-Sens!G9151)*(1-tax_f)/((Sens!F9217+Sens!G9217)/2)</f>
        <v>0.10102194477656</v>
      </c>
      <c r="H9223" s="7" t="n">
        <f aca="false">(Sens!H9140+Sens!H9222-Sens!H9141-Sens!H9151)*(1-tax_f)/((Sens!G9217+Sens!H9217)/2)</f>
        <v>0.106232011846147</v>
      </c>
      <c r="I9223" s="7" t="n">
        <f aca="false">(Sens!I9140+Sens!I9222-Sens!I9141-Sens!I9151)*(1-tax_f)/((Sens!H9217+Sens!I9217)/2)</f>
        <v>0.110322710734075</v>
      </c>
      <c r="J9223" s="7" t="n">
        <f aca="false">(Sens!J9140+Sens!J9222-Sens!J9141-Sens!J9151)*(1-tax_f)/((Sens!I9217+Sens!J9217)/2)</f>
        <v>0.113121278623445</v>
      </c>
      <c r="K9223" s="7" t="n">
        <f aca="false">(Sens!K9140+Sens!K9222-Sens!K9141-Sens!K9151)*(1-tax_f)/((Sens!J9217+Sens!K9217)/2)</f>
        <v>0.113800067782211</v>
      </c>
      <c r="L9223" s="1" t="s">
        <v>774</v>
      </c>
    </row>
    <row r="9224" customFormat="false" ht="17.15" hidden="false" customHeight="false" outlineLevel="0" collapsed="false">
      <c r="A9224" s="3" t="s">
        <v>1377</v>
      </c>
    </row>
    <row r="9225" customFormat="false" ht="15" hidden="false" customHeight="false" outlineLevel="0" collapsed="false">
      <c r="A9225" s="4" t="s">
        <v>43</v>
      </c>
      <c r="B9225" s="4" t="s">
        <v>63</v>
      </c>
      <c r="C9225" s="19" t="s">
        <v>710</v>
      </c>
      <c r="D9225" s="19" t="s">
        <v>711</v>
      </c>
      <c r="E9225" s="19" t="s">
        <v>712</v>
      </c>
      <c r="F9225" s="19" t="s">
        <v>713</v>
      </c>
      <c r="G9225" s="19" t="s">
        <v>714</v>
      </c>
      <c r="H9225" s="19" t="s">
        <v>715</v>
      </c>
      <c r="I9225" s="19" t="s">
        <v>716</v>
      </c>
      <c r="J9225" s="19" t="s">
        <v>717</v>
      </c>
      <c r="K9225" s="19" t="s">
        <v>718</v>
      </c>
      <c r="L9225" s="4" t="s">
        <v>47</v>
      </c>
    </row>
    <row r="9226" customFormat="false" ht="15" hidden="false" customHeight="false" outlineLevel="0" collapsed="false">
      <c r="A9226" s="1" t="s">
        <v>825</v>
      </c>
      <c r="B9226" s="0" t="s">
        <v>95</v>
      </c>
      <c r="F9226" s="6" t="n">
        <f aca="false">Sens!F9211</f>
        <v>141.220905632885</v>
      </c>
      <c r="G9226" s="6" t="n">
        <f aca="false">Sens!G9211</f>
        <v>157.405245550202</v>
      </c>
      <c r="H9226" s="6" t="n">
        <f aca="false">Sens!H9211</f>
        <v>173.769000839903</v>
      </c>
      <c r="I9226" s="6" t="n">
        <f aca="false">Sens!I9211</f>
        <v>188.464946728126</v>
      </c>
      <c r="J9226" s="6" t="n">
        <f aca="false">Sens!J9211</f>
        <v>200.869075934397</v>
      </c>
      <c r="K9226" s="6" t="n">
        <f aca="false">Sens!K9211</f>
        <v>210.765193388765</v>
      </c>
    </row>
    <row r="9227" customFormat="false" ht="17.15" hidden="false" customHeight="false" outlineLevel="0" collapsed="false">
      <c r="A9227" s="1" t="s">
        <v>843</v>
      </c>
      <c r="B9227" s="0" t="s">
        <v>95</v>
      </c>
      <c r="E9227" s="6" t="n">
        <f aca="false">Q!M38-Sens!E9151</f>
        <v>22.2285940229167</v>
      </c>
      <c r="F9227" s="6" t="n">
        <f aca="false">Sens!E9227*(1-1/life_nonai)+Sens!F9233/life_nonai</f>
        <v>23.5639961935813</v>
      </c>
      <c r="G9227" s="6" t="n">
        <f aca="false">Sens!F9227*(1-1/life_nonai)+Sens!G9233/life_nonai</f>
        <v>25.3238199695293</v>
      </c>
      <c r="H9227" s="6" t="n">
        <f aca="false">Sens!G9227*(1-1/life_nonai)+Sens!H9233/life_nonai</f>
        <v>27.4744017454613</v>
      </c>
      <c r="I9227" s="6" t="n">
        <f aca="false">Sens!H9227*(1-1/life_nonai)+Sens!I9233/life_nonai</f>
        <v>29.9497855769444</v>
      </c>
      <c r="J9227" s="6" t="n">
        <f aca="false">Sens!I9227*(1-1/life_nonai)+Sens!J9233/life_nonai</f>
        <v>32.6673989956875</v>
      </c>
      <c r="K9227" s="6" t="n">
        <f aca="false">Sens!J9227*(1-1/life_nonai)+Sens!K9233/life_nonai</f>
        <v>35.5439765161422</v>
      </c>
      <c r="L9227" s="11" t="s">
        <v>844</v>
      </c>
    </row>
    <row r="9228" customFormat="false" ht="17.15" hidden="false" customHeight="false" outlineLevel="0" collapsed="false">
      <c r="A9228" s="1" t="s">
        <v>845</v>
      </c>
      <c r="B9228" s="0" t="s">
        <v>95</v>
      </c>
      <c r="E9228" s="6" t="n">
        <f aca="false">Sens!E9151+Sens!E9227</f>
        <v>38.534</v>
      </c>
      <c r="F9228" s="6" t="n">
        <f aca="false">Sens!F9151+Sens!F9227</f>
        <v>58.304259274451</v>
      </c>
      <c r="G9228" s="6" t="n">
        <f aca="false">Sens!G9151+Sens!G9227</f>
        <v>85.8300084798689</v>
      </c>
      <c r="H9228" s="6" t="n">
        <f aca="false">Sens!H9151+Sens!H9227</f>
        <v>115.216172988601</v>
      </c>
      <c r="I9228" s="6" t="n">
        <f aca="false">Sens!I9151+Sens!I9227</f>
        <v>145.946422568067</v>
      </c>
      <c r="J9228" s="6" t="n">
        <f aca="false">Sens!J9151+Sens!J9227</f>
        <v>177.89113220396</v>
      </c>
      <c r="K9228" s="6" t="n">
        <f aca="false">Sens!K9151+Sens!K9227</f>
        <v>211.282354400732</v>
      </c>
    </row>
    <row r="9229" customFormat="false" ht="15" hidden="false" customHeight="false" outlineLevel="0" collapsed="false">
      <c r="A9229" s="1" t="s">
        <v>685</v>
      </c>
      <c r="B9229" s="0" t="s">
        <v>95</v>
      </c>
      <c r="F9229" s="6" t="n">
        <f aca="false">Sens!F9178*sbc_r</f>
        <v>14.934943326886</v>
      </c>
      <c r="G9229" s="6" t="n">
        <f aca="false">Sens!G9178*sbc_r</f>
        <v>17.7757498032634</v>
      </c>
      <c r="H9229" s="6" t="n">
        <f aca="false">Sens!H9178*sbc_r</f>
        <v>20.686672233185</v>
      </c>
      <c r="I9229" s="6" t="n">
        <f aca="false">Sens!I9178*sbc_r</f>
        <v>23.5341155330594</v>
      </c>
      <c r="J9229" s="6" t="n">
        <f aca="false">Sens!J9178*sbc_r</f>
        <v>26.2643850977579</v>
      </c>
      <c r="K9229" s="6" t="n">
        <f aca="false">Sens!K9178*sbc_r</f>
        <v>28.8806211393583</v>
      </c>
    </row>
    <row r="9230" customFormat="false" ht="17.15" hidden="false" customHeight="false" outlineLevel="0" collapsed="false">
      <c r="A9230" s="1" t="s">
        <v>846</v>
      </c>
      <c r="B9230" s="0" t="s">
        <v>95</v>
      </c>
      <c r="F9230" s="6" t="n">
        <f aca="false">wc27</f>
        <v>-4.895</v>
      </c>
      <c r="G9230" s="6" t="n">
        <f aca="false">0</f>
        <v>0</v>
      </c>
      <c r="H9230" s="6" t="n">
        <f aca="false">0</f>
        <v>0</v>
      </c>
      <c r="I9230" s="6" t="n">
        <f aca="false">0</f>
        <v>0</v>
      </c>
      <c r="J9230" s="6" t="n">
        <f aca="false">0</f>
        <v>0</v>
      </c>
      <c r="K9230" s="6" t="n">
        <f aca="false">0</f>
        <v>0</v>
      </c>
      <c r="L9230" s="11" t="s">
        <v>847</v>
      </c>
    </row>
    <row r="9231" customFormat="false" ht="15" hidden="false" customHeight="false" outlineLevel="0" collapsed="false">
      <c r="A9231" s="1" t="s">
        <v>678</v>
      </c>
      <c r="B9231" s="0" t="s">
        <v>95</v>
      </c>
      <c r="E9231" s="6" t="n">
        <f aca="false">Q!M35</f>
        <v>182.935</v>
      </c>
      <c r="F9231" s="6" t="n">
        <f aca="false">Sens!F9226+Sens!F9228+Sens!F9229+Sens!F9230</f>
        <v>209.565108234222</v>
      </c>
      <c r="G9231" s="6" t="n">
        <f aca="false">Sens!G9226+Sens!G9228+Sens!G9229+Sens!G9230</f>
        <v>261.011003833334</v>
      </c>
      <c r="H9231" s="6" t="n">
        <f aca="false">Sens!H9226+Sens!H9228+Sens!H9229+Sens!H9230</f>
        <v>309.671846061688</v>
      </c>
      <c r="I9231" s="6" t="n">
        <f aca="false">Sens!I9226+Sens!I9228+Sens!I9229+Sens!I9230</f>
        <v>357.945484829253</v>
      </c>
      <c r="J9231" s="6" t="n">
        <f aca="false">Sens!J9226+Sens!J9228+Sens!J9229+Sens!J9230</f>
        <v>405.024593236116</v>
      </c>
      <c r="K9231" s="6" t="n">
        <f aca="false">Sens!K9226+Sens!K9228+Sens!K9229+Sens!K9230</f>
        <v>450.928168928855</v>
      </c>
    </row>
    <row r="9232" customFormat="false" ht="17.15" hidden="false" customHeight="false" outlineLevel="0" collapsed="false">
      <c r="A9232" s="0" t="s">
        <v>848</v>
      </c>
      <c r="B9232" s="0" t="s">
        <v>95</v>
      </c>
      <c r="F9232" s="6" t="n">
        <f aca="false">Sens!F9148</f>
        <v>168.617384270438</v>
      </c>
      <c r="G9232" s="6" t="n">
        <f aca="false">Sens!G9148</f>
        <v>183.5741804832</v>
      </c>
      <c r="H9232" s="6" t="n">
        <f aca="false">Sens!H9148</f>
        <v>188.0802859104</v>
      </c>
      <c r="I9232" s="6" t="n">
        <f aca="false">Sens!I9148</f>
        <v>218.338961257067</v>
      </c>
      <c r="J9232" s="6" t="n">
        <f aca="false">Sens!J9148</f>
        <v>233.777060923733</v>
      </c>
      <c r="K9232" s="6" t="n">
        <f aca="false">Sens!K9148</f>
        <v>278.8563119504</v>
      </c>
    </row>
    <row r="9233" customFormat="false" ht="17.15" hidden="false" customHeight="false" outlineLevel="0" collapsed="false">
      <c r="A9233" s="1" t="s">
        <v>849</v>
      </c>
      <c r="B9233" s="0" t="s">
        <v>95</v>
      </c>
      <c r="E9233" s="6" t="n">
        <f aca="false">Sens!E9156*cx_azo+Sens!E9163*cx_m365+Sens!E9164*cx_lic+(Sens!E9166+Sens!E9168)*cx_ind+Sens!E9171*cx_srch+(Sens!E9173+Sens!E9175)*cx_dev</f>
        <v>30.1846587067718</v>
      </c>
      <c r="F9233" s="6" t="n">
        <f aca="false">Sens!F9156*cx_azo+Sens!F9163*cx_m365+Sens!F9164*cx_lic+(Sens!F9166+Sens!F9168)*cx_ind+Sens!F9171*cx_srch+(Sens!F9173+Sens!F9175)*cx_dev</f>
        <v>35.5826157295625</v>
      </c>
      <c r="G9233" s="6" t="n">
        <f aca="false">Sens!G9156*cx_azo+Sens!G9163*cx_m365+Sens!G9164*cx_lic+(Sens!G9166+Sens!G9168)*cx_ind+Sens!G9171*cx_srch+(Sens!G9173+Sens!G9175)*cx_dev</f>
        <v>41.1622339530614</v>
      </c>
      <c r="H9233" s="6" t="n">
        <f aca="false">Sens!H9156*cx_azo+Sens!H9163*cx_m365+Sens!H9164*cx_lic+(Sens!H9166+Sens!H9168)*cx_ind+Sens!H9171*cx_srch+(Sens!H9173+Sens!H9175)*cx_dev</f>
        <v>46.82963772885</v>
      </c>
      <c r="I9233" s="6" t="n">
        <f aca="false">Sens!I9156*cx_azo+Sens!I9163*cx_m365+Sens!I9164*cx_lic+(Sens!I9166+Sens!I9168)*cx_ind+Sens!I9171*cx_srch+(Sens!I9173+Sens!I9175)*cx_dev</f>
        <v>52.2282400602924</v>
      </c>
      <c r="J9233" s="6" t="n">
        <f aca="false">Sens!J9156*cx_azo+Sens!J9163*cx_m365+Sens!J9164*cx_lic+(Sens!J9166+Sens!J9168)*cx_ind+Sens!J9171*cx_srch+(Sens!J9173+Sens!J9175)*cx_dev</f>
        <v>57.1259197643751</v>
      </c>
      <c r="K9233" s="6" t="n">
        <f aca="false">Sens!K9156*cx_azo+Sens!K9163*cx_m365+Sens!K9164*cx_lic+(Sens!K9166+Sens!K9168)*cx_ind+Sens!K9171*cx_srch+(Sens!K9173+Sens!K9175)*cx_dev</f>
        <v>61.433174200234</v>
      </c>
    </row>
    <row r="9234" customFormat="false" ht="17.15" hidden="false" customHeight="false" outlineLevel="0" collapsed="false">
      <c r="A9234" s="1" t="s">
        <v>850</v>
      </c>
      <c r="B9234" s="0" t="s">
        <v>95</v>
      </c>
      <c r="E9234" s="6" t="n">
        <f aca="false">Q!M42</f>
        <v>145.3</v>
      </c>
      <c r="F9234" s="6" t="n">
        <f aca="false">Sens!F9232+Sens!F9233</f>
        <v>204.2</v>
      </c>
      <c r="G9234" s="6" t="n">
        <f aca="false">Sens!G9232+Sens!G9233</f>
        <v>224.736414436261</v>
      </c>
      <c r="H9234" s="6" t="n">
        <f aca="false">Sens!H9232+Sens!H9233</f>
        <v>234.90992363925</v>
      </c>
      <c r="I9234" s="6" t="n">
        <f aca="false">Sens!I9232+Sens!I9233</f>
        <v>270.567201317359</v>
      </c>
      <c r="J9234" s="6" t="n">
        <f aca="false">Sens!J9232+Sens!J9233</f>
        <v>290.902980688108</v>
      </c>
      <c r="K9234" s="6" t="n">
        <f aca="false">Sens!K9232+Sens!K9233</f>
        <v>340.289486150634</v>
      </c>
      <c r="L9234" s="1" t="s">
        <v>851</v>
      </c>
    </row>
    <row r="9235" customFormat="false" ht="15" hidden="false" customHeight="false" outlineLevel="0" collapsed="false">
      <c r="A9235" s="1" t="s">
        <v>852</v>
      </c>
      <c r="B9235" s="0" t="s">
        <v>95</v>
      </c>
      <c r="E9235" s="6" t="n">
        <f aca="false">fl_liab</f>
        <v>66.594</v>
      </c>
      <c r="F9235" s="6" t="n">
        <f aca="false">Sens!E9235-Sens!F9236</f>
        <v>62.46973</v>
      </c>
      <c r="G9235" s="6" t="n">
        <f aca="false">Sens!F9235-Sens!G9236</f>
        <v>57.98686785</v>
      </c>
      <c r="H9235" s="6" t="n">
        <f aca="false">Sens!G9235-Sens!H9236</f>
        <v>53.92827690325</v>
      </c>
      <c r="I9235" s="6" t="n">
        <f aca="false">Sens!H9235-Sens!I9236</f>
        <v>49.7850493638962</v>
      </c>
      <c r="J9235" s="6" t="n">
        <f aca="false">Sens!I9235-Sens!J9236</f>
        <v>45.4823765852716</v>
      </c>
      <c r="K9235" s="6" t="n">
        <f aca="false">Sens!J9235-Sens!K9236</f>
        <v>40.9860835316088</v>
      </c>
    </row>
    <row r="9236" customFormat="false" ht="15" hidden="false" customHeight="false" outlineLevel="0" collapsed="false">
      <c r="A9236" s="1" t="s">
        <v>853</v>
      </c>
      <c r="B9236" s="0" t="s">
        <v>95</v>
      </c>
      <c r="F9236" s="6" t="n">
        <f aca="false">fl_pay_27-Sens!E9235*fl_rate</f>
        <v>4.12427</v>
      </c>
      <c r="G9236" s="6" t="n">
        <f aca="false">fl_pay_28-Sens!F9235*fl_rate</f>
        <v>4.48286215</v>
      </c>
      <c r="H9236" s="6" t="n">
        <f aca="false">fl_pay_29-Sens!G9235*fl_rate</f>
        <v>4.05859094675</v>
      </c>
      <c r="I9236" s="6" t="n">
        <f aca="false">fl_pay_30-Sens!H9235*fl_rate</f>
        <v>4.14322753935375</v>
      </c>
      <c r="J9236" s="6" t="n">
        <f aca="false">fl_pay_31-Sens!I9235*fl_rate</f>
        <v>4.30267277862467</v>
      </c>
      <c r="K9236" s="6" t="n">
        <f aca="false">fl_pay_32-Sens!J9235*fl_rate</f>
        <v>4.49629305366278</v>
      </c>
    </row>
    <row r="9237" customFormat="false" ht="17.15" hidden="false" customHeight="false" outlineLevel="0" collapsed="false">
      <c r="A9237" s="1" t="s">
        <v>854</v>
      </c>
      <c r="B9237" s="0" t="s">
        <v>95</v>
      </c>
      <c r="E9237" s="6" t="n">
        <f aca="false">Q!M35-Q!M36-Q!M43</f>
        <v>63.886</v>
      </c>
      <c r="F9237" s="6" t="n">
        <f aca="false">Sens!F9231-Sens!F9234-Sens!F9236</f>
        <v>1.24083823422233</v>
      </c>
      <c r="G9237" s="6" t="n">
        <f aca="false">Sens!G9231-Sens!G9234-Sens!G9236</f>
        <v>31.7917272470725</v>
      </c>
      <c r="H9237" s="6" t="n">
        <f aca="false">Sens!H9231-Sens!H9234-Sens!H9236</f>
        <v>70.7033314756885</v>
      </c>
      <c r="I9237" s="6" t="n">
        <f aca="false">Sens!I9231-Sens!I9234-Sens!I9236</f>
        <v>83.2350559725402</v>
      </c>
      <c r="J9237" s="6" t="n">
        <f aca="false">Sens!J9231-Sens!J9234-Sens!J9236</f>
        <v>109.818939769382</v>
      </c>
      <c r="K9237" s="6" t="n">
        <f aca="false">Sens!K9231-Sens!K9234-Sens!K9236</f>
        <v>106.142389724558</v>
      </c>
      <c r="L9237" s="11" t="s">
        <v>855</v>
      </c>
    </row>
    <row r="9238" customFormat="false" ht="15" hidden="false" customHeight="false" outlineLevel="0" collapsed="false">
      <c r="A9238" s="1" t="s">
        <v>856</v>
      </c>
      <c r="B9238" s="0" t="s">
        <v>73</v>
      </c>
      <c r="F9238" s="8" t="n">
        <f aca="false">dps_27</f>
        <v>3.85</v>
      </c>
      <c r="G9238" s="8" t="n">
        <f aca="false">Sens!F9238*(1+dps_g)</f>
        <v>4.158</v>
      </c>
      <c r="H9238" s="8" t="n">
        <f aca="false">Sens!G9238*(1+dps_g)</f>
        <v>4.49064</v>
      </c>
      <c r="I9238" s="8" t="n">
        <f aca="false">Sens!H9238*(1+dps_g)</f>
        <v>4.8498912</v>
      </c>
      <c r="J9238" s="8" t="n">
        <f aca="false">Sens!I9238*(1+dps_g)</f>
        <v>5.237882496</v>
      </c>
      <c r="K9238" s="8" t="n">
        <f aca="false">Sens!J9238*(1+dps_g)</f>
        <v>5.65691309568</v>
      </c>
    </row>
    <row r="9239" customFormat="false" ht="17.15" hidden="false" customHeight="false" outlineLevel="0" collapsed="false">
      <c r="A9239" s="1" t="s">
        <v>857</v>
      </c>
      <c r="B9239" s="0" t="s">
        <v>95</v>
      </c>
      <c r="E9239" s="6" t="n">
        <f aca="false">Q!M41</f>
        <v>26.445</v>
      </c>
      <c r="F9239" s="6" t="n">
        <f aca="false">Sens!F9238*Sens!E9248</f>
        <v>28.59395</v>
      </c>
      <c r="G9239" s="6" t="n">
        <f aca="false">Sens!G9238*Sens!F9248</f>
        <v>31.068576</v>
      </c>
      <c r="H9239" s="6" t="n">
        <f aca="false">Sens!H9238*Sens!G9248</f>
        <v>33.7507083693721</v>
      </c>
      <c r="I9239" s="6" t="n">
        <f aca="false">Sens!I9238*Sens!H9248</f>
        <v>36.5017042789213</v>
      </c>
      <c r="J9239" s="6" t="n">
        <f aca="false">Sens!J9238*Sens!I9248</f>
        <v>39.4902394695544</v>
      </c>
      <c r="K9239" s="6" t="n">
        <f aca="false">Sens!K9238*Sens!J9248</f>
        <v>42.7367138524238</v>
      </c>
      <c r="L9239" s="1" t="s">
        <v>858</v>
      </c>
    </row>
    <row r="9240" customFormat="false" ht="15" hidden="false" customHeight="false" outlineLevel="0" collapsed="false">
      <c r="A9240" s="1" t="s">
        <v>859</v>
      </c>
      <c r="B9240" s="0" t="s">
        <v>95</v>
      </c>
      <c r="E9240" s="6" t="n">
        <f aca="false">Sens!E9237-Sens!E9239</f>
        <v>37.441</v>
      </c>
      <c r="F9240" s="6" t="n">
        <f aca="false">Sens!F9237-Sens!F9239</f>
        <v>-27.3531117657777</v>
      </c>
      <c r="G9240" s="6" t="n">
        <f aca="false">Sens!G9237-Sens!G9239</f>
        <v>0.723151247072533</v>
      </c>
      <c r="H9240" s="6" t="n">
        <f aca="false">Sens!H9237-Sens!H9239</f>
        <v>36.9526231063165</v>
      </c>
      <c r="I9240" s="6" t="n">
        <f aca="false">Sens!I9237-Sens!I9239</f>
        <v>46.7333516936189</v>
      </c>
      <c r="J9240" s="6" t="n">
        <f aca="false">Sens!J9237-Sens!J9239</f>
        <v>70.328700299828</v>
      </c>
      <c r="K9240" s="6" t="n">
        <f aca="false">Sens!K9237-Sens!K9239</f>
        <v>63.4056758721341</v>
      </c>
    </row>
    <row r="9241" customFormat="false" ht="15" hidden="false" customHeight="false" outlineLevel="0" collapsed="false">
      <c r="A9241" s="1" t="s">
        <v>860</v>
      </c>
      <c r="B9241" s="0" t="s">
        <v>95</v>
      </c>
      <c r="F9241" s="6" t="n">
        <f aca="false">debt_mat_27</f>
        <v>9.25</v>
      </c>
      <c r="G9241" s="6" t="n">
        <f aca="false">debt_mat_28</f>
        <v>0</v>
      </c>
      <c r="H9241" s="6" t="n">
        <f aca="false">debt_mat_29</f>
        <v>2.001</v>
      </c>
      <c r="I9241" s="6" t="n">
        <f aca="false">debt_mat_30</f>
        <v>0</v>
      </c>
      <c r="J9241" s="6" t="n">
        <f aca="false">debt_mat_31</f>
        <v>0.5</v>
      </c>
      <c r="K9241" s="6" t="n">
        <f aca="false">debt_mat_32</f>
        <v>0</v>
      </c>
    </row>
    <row r="9242" customFormat="false" ht="15" hidden="false" customHeight="false" outlineLevel="0" collapsed="false">
      <c r="A9242" s="1" t="s">
        <v>861</v>
      </c>
      <c r="B9242" s="0" t="s">
        <v>95</v>
      </c>
      <c r="E9242" s="6" t="n">
        <f aca="false">Q!M40</f>
        <v>22.271</v>
      </c>
      <c r="F9242" s="6" t="n">
        <f aca="false">MAX(0,MIN(bb_target,Sens!E9244+Sens!F9240-Sens!F9241-min_cash))</f>
        <v>0</v>
      </c>
      <c r="G9242" s="6" t="n">
        <f aca="false">MAX(0,MIN(bb_target,Sens!F9244+Sens!G9240-Sens!G9241-min_cash))</f>
        <v>0.723151247072536</v>
      </c>
      <c r="H9242" s="6" t="n">
        <f aca="false">MAX(0,MIN(bb_target,Sens!G9244+Sens!H9240-Sens!H9241-min_cash))</f>
        <v>22.271</v>
      </c>
      <c r="I9242" s="6" t="n">
        <f aca="false">MAX(0,MIN(bb_target,Sens!H9244+Sens!I9240-Sens!I9241-min_cash))</f>
        <v>22.271</v>
      </c>
      <c r="J9242" s="6" t="n">
        <f aca="false">MAX(0,MIN(bb_target,Sens!I9244+Sens!J9240-Sens!J9241-min_cash))</f>
        <v>22.271</v>
      </c>
      <c r="K9242" s="6" t="n">
        <f aca="false">MAX(0,MIN(bb_target,Sens!J9244+Sens!K9240-Sens!K9241-min_cash))</f>
        <v>22.271</v>
      </c>
    </row>
    <row r="9243" customFormat="false" ht="15" hidden="false" customHeight="false" outlineLevel="0" collapsed="false">
      <c r="A9243" s="1" t="s">
        <v>862</v>
      </c>
      <c r="B9243" s="0" t="s">
        <v>95</v>
      </c>
      <c r="F9243" s="6" t="n">
        <f aca="false">MAX(0,min_cash-(Sens!E9244+Sens!F9240-Sens!F9241-Sens!F9242))</f>
        <v>9.76011176577767</v>
      </c>
      <c r="G9243" s="6" t="n">
        <f aca="false">MAX(0,min_cash-(Sens!F9244+Sens!G9240-Sens!G9241-Sens!G9242))</f>
        <v>0</v>
      </c>
      <c r="H9243" s="6" t="n">
        <f aca="false">MAX(0,min_cash-(Sens!G9244+Sens!H9240-Sens!H9241-Sens!H9242))</f>
        <v>0</v>
      </c>
      <c r="I9243" s="6" t="n">
        <f aca="false">MAX(0,min_cash-(Sens!H9244+Sens!I9240-Sens!I9241-Sens!I9242))</f>
        <v>0</v>
      </c>
      <c r="J9243" s="6" t="n">
        <f aca="false">MAX(0,min_cash-(Sens!I9244+Sens!J9240-Sens!J9241-Sens!J9242))</f>
        <v>0</v>
      </c>
      <c r="K9243" s="6" t="n">
        <f aca="false">MAX(0,min_cash-(Sens!J9244+Sens!K9240-Sens!K9241-Sens!K9242))</f>
        <v>0</v>
      </c>
    </row>
    <row r="9244" customFormat="false" ht="15" hidden="false" customHeight="false" outlineLevel="0" collapsed="false">
      <c r="A9244" s="1" t="s">
        <v>863</v>
      </c>
      <c r="B9244" s="0" t="s">
        <v>95</v>
      </c>
      <c r="E9244" s="6" t="n">
        <f aca="false">cash_open</f>
        <v>76.843</v>
      </c>
      <c r="F9244" s="6" t="n">
        <f aca="false">Sens!E9244+Sens!F9240-Sens!F9241-Sens!F9242+Sens!F9243</f>
        <v>50</v>
      </c>
      <c r="G9244" s="6" t="n">
        <f aca="false">Sens!F9244+Sens!G9240-Sens!G9241-Sens!G9242+Sens!G9243</f>
        <v>50</v>
      </c>
      <c r="H9244" s="6" t="n">
        <f aca="false">Sens!G9244+Sens!H9240-Sens!H9241-Sens!H9242+Sens!H9243</f>
        <v>62.6806231063165</v>
      </c>
      <c r="I9244" s="6" t="n">
        <f aca="false">Sens!H9244+Sens!I9240-Sens!I9241-Sens!I9242+Sens!I9243</f>
        <v>87.1429747999354</v>
      </c>
      <c r="J9244" s="6" t="n">
        <f aca="false">Sens!I9244+Sens!J9240-Sens!J9241-Sens!J9242+Sens!J9243</f>
        <v>134.700675099763</v>
      </c>
      <c r="K9244" s="6" t="n">
        <f aca="false">Sens!J9244+Sens!K9240-Sens!K9241-Sens!K9242+Sens!K9243</f>
        <v>175.835350971898</v>
      </c>
    </row>
    <row r="9245" customFormat="false" ht="15" hidden="false" customHeight="false" outlineLevel="0" collapsed="false">
      <c r="A9245" s="1" t="s">
        <v>864</v>
      </c>
      <c r="B9245" s="0" t="s">
        <v>95</v>
      </c>
      <c r="E9245" s="6" t="n">
        <f aca="false">debt_face</f>
        <v>46.136</v>
      </c>
      <c r="F9245" s="6" t="n">
        <f aca="false">Sens!E9245-Sens!F9241+Sens!F9243</f>
        <v>46.6461117657777</v>
      </c>
      <c r="G9245" s="6" t="n">
        <f aca="false">Sens!F9245-Sens!G9241+Sens!G9243</f>
        <v>46.6461117657777</v>
      </c>
      <c r="H9245" s="6" t="n">
        <f aca="false">Sens!G9245-Sens!H9241+Sens!H9243</f>
        <v>44.6451117657777</v>
      </c>
      <c r="I9245" s="6" t="n">
        <f aca="false">Sens!H9245-Sens!I9241+Sens!I9243</f>
        <v>44.6451117657777</v>
      </c>
      <c r="J9245" s="6" t="n">
        <f aca="false">Sens!I9245-Sens!J9241+Sens!J9243</f>
        <v>44.1451117657777</v>
      </c>
      <c r="K9245" s="6" t="n">
        <f aca="false">Sens!J9245-Sens!K9241+Sens!K9243</f>
        <v>44.1451117657777</v>
      </c>
    </row>
    <row r="9246" customFormat="false" ht="15" hidden="false" customHeight="false" outlineLevel="0" collapsed="false">
      <c r="A9246" s="1" t="s">
        <v>865</v>
      </c>
      <c r="B9246" s="0" t="s">
        <v>95</v>
      </c>
      <c r="E9246" s="6" t="n">
        <f aca="false">Sens!E9244-Sens!E9245</f>
        <v>30.707</v>
      </c>
      <c r="F9246" s="6" t="n">
        <f aca="false">Sens!F9244-Sens!F9245</f>
        <v>3.35388823422233</v>
      </c>
      <c r="G9246" s="6" t="n">
        <f aca="false">Sens!G9244-Sens!G9245</f>
        <v>3.35388823422233</v>
      </c>
      <c r="H9246" s="6" t="n">
        <f aca="false">Sens!H9244-Sens!H9245</f>
        <v>18.0355113405388</v>
      </c>
      <c r="I9246" s="6" t="n">
        <f aca="false">Sens!I9244-Sens!I9245</f>
        <v>42.4978630341577</v>
      </c>
      <c r="J9246" s="6" t="n">
        <f aca="false">Sens!J9244-Sens!J9245</f>
        <v>90.5555633339857</v>
      </c>
      <c r="K9246" s="6" t="n">
        <f aca="false">Sens!K9244-Sens!K9245</f>
        <v>131.69023920612</v>
      </c>
    </row>
    <row r="9247" customFormat="false" ht="15" hidden="false" customHeight="false" outlineLevel="0" collapsed="false">
      <c r="A9247" s="1" t="s">
        <v>866</v>
      </c>
      <c r="B9247" s="0" t="s">
        <v>73</v>
      </c>
      <c r="F9247" s="27" t="n">
        <f aca="false">px*(1+bb_g)^(1-0.5)</f>
        <v>553.494156066711</v>
      </c>
      <c r="G9247" s="27" t="n">
        <f aca="false">px*(1+bb_g)^(2-0.5)</f>
        <v>597.773688552047</v>
      </c>
      <c r="H9247" s="27" t="n">
        <f aca="false">px*(1+bb_g)^(3-0.5)</f>
        <v>645.595583636211</v>
      </c>
      <c r="I9247" s="27" t="n">
        <f aca="false">px*(1+bb_g)^(4-0.5)</f>
        <v>697.243230327108</v>
      </c>
      <c r="J9247" s="27" t="n">
        <f aca="false">px*(1+bb_g)^(5-0.5)</f>
        <v>753.022688753277</v>
      </c>
      <c r="K9247" s="27" t="n">
        <f aca="false">px*(1+bb_g)^(6-0.5)</f>
        <v>813.264503853539</v>
      </c>
    </row>
    <row r="9248" customFormat="false" ht="15" hidden="false" customHeight="false" outlineLevel="0" collapsed="false">
      <c r="A9248" s="1" t="s">
        <v>867</v>
      </c>
      <c r="B9248" s="1" t="s">
        <v>79</v>
      </c>
      <c r="E9248" s="18" t="n">
        <f aca="false">sh_out26</f>
        <v>7.427</v>
      </c>
      <c r="F9248" s="18" t="n">
        <f aca="false">Sens!E9248+sh_iss-Sens!F9242/Sens!F9247</f>
        <v>7.472</v>
      </c>
      <c r="G9248" s="18" t="n">
        <f aca="false">Sens!F9248+sh_iss-Sens!G9242/Sens!G9247</f>
        <v>7.51579025915506</v>
      </c>
      <c r="H9248" s="18" t="n">
        <f aca="false">Sens!G9248+sh_iss-Sens!H9242/Sens!H9247</f>
        <v>7.52629343085496</v>
      </c>
      <c r="I9248" s="18" t="n">
        <f aca="false">Sens!H9248+sh_iss-Sens!I9242/Sens!I9247</f>
        <v>7.53935192316969</v>
      </c>
      <c r="J9248" s="18" t="n">
        <f aca="false">Sens!I9248+sh_iss-Sens!J9242/Sens!J9247</f>
        <v>7.55477645309073</v>
      </c>
      <c r="K9248" s="18" t="n">
        <f aca="false">Sens!J9248+sh_iss-Sens!K9242/Sens!K9247</f>
        <v>7.57239175857317</v>
      </c>
    </row>
    <row r="9249" customFormat="false" ht="15" hidden="false" customHeight="false" outlineLevel="0" collapsed="false">
      <c r="A9249" s="1" t="s">
        <v>868</v>
      </c>
      <c r="B9249" s="1" t="s">
        <v>79</v>
      </c>
      <c r="E9249" s="18" t="n">
        <f aca="false">sh_dil26</f>
        <v>7.453</v>
      </c>
      <c r="F9249" s="18" t="n">
        <f aca="false">(Sens!E9248+Sens!F9248)/2+dil_gap</f>
        <v>7.4735</v>
      </c>
      <c r="G9249" s="18" t="n">
        <f aca="false">(Sens!F9248+Sens!G9248)/2+dil_gap</f>
        <v>7.51789512957753</v>
      </c>
      <c r="H9249" s="18" t="n">
        <f aca="false">(Sens!G9248+Sens!H9248)/2+dil_gap</f>
        <v>7.54504184500501</v>
      </c>
      <c r="I9249" s="18" t="n">
        <f aca="false">(Sens!H9248+Sens!I9248)/2+dil_gap</f>
        <v>7.55682267701232</v>
      </c>
      <c r="J9249" s="18" t="n">
        <f aca="false">(Sens!I9248+Sens!J9248)/2+dil_gap</f>
        <v>7.57106418813021</v>
      </c>
      <c r="K9249" s="18" t="n">
        <f aca="false">(Sens!J9248+Sens!K9248)/2+dil_gap</f>
        <v>7.58758410583195</v>
      </c>
    </row>
    <row r="9250" customFormat="false" ht="17.15" hidden="false" customHeight="false" outlineLevel="0" collapsed="false">
      <c r="A9250" s="1" t="s">
        <v>869</v>
      </c>
      <c r="B9250" s="0" t="s">
        <v>95</v>
      </c>
      <c r="C9250" s="6" t="n">
        <f aca="false">SUM(Sens!F9240:J9240)</f>
        <v>127.384714581058</v>
      </c>
    </row>
    <row r="9251" customFormat="false" ht="17.15" hidden="false" customHeight="false" outlineLevel="0" collapsed="false">
      <c r="A9251" s="1" t="s">
        <v>836</v>
      </c>
      <c r="B9251" s="1" t="s">
        <v>870</v>
      </c>
      <c r="C9251" s="30" t="str">
        <f aca="false">IF(SUM(Sens!F9243:J9243)&gt;0.05,"需要舉債 "&amp;TEXT(SUM(Sens!F9243:J9243),"0.0")&amp;" 十億美元","不需舉債")&amp;"；"&amp;IF(SUM(Sens!F9242:J9242)&lt;5*bb_target-0.05,"回購較每年 "&amp;TEXT(bb_target,"0.0")&amp;" 的目標少 "&amp;TEXT(5*bb_target-SUM(Sens!F9242:J9242),"0.0")&amp;" 十億美元（"&amp;TEXT(COUNTIF(Sens!F9242:J9242,"&lt;"&amp;(bb_target-0.05)),"0")&amp;" 年減少）","回購不減")</f>
        <v>需要舉債 9.8 十億美元；回購較每年 22.3 的目標少 43.8 十億美元（2 年減少）</v>
      </c>
    </row>
    <row r="9252" customFormat="false" ht="17.15" hidden="false" customHeight="false" outlineLevel="0" collapsed="false">
      <c r="A9252" s="3" t="s">
        <v>1378</v>
      </c>
    </row>
    <row r="9253" customFormat="false" ht="15" hidden="false" customHeight="false" outlineLevel="0" collapsed="false">
      <c r="A9253" s="4" t="s">
        <v>43</v>
      </c>
      <c r="B9253" s="4" t="s">
        <v>63</v>
      </c>
      <c r="C9253" s="19" t="s">
        <v>710</v>
      </c>
      <c r="D9253" s="19" t="s">
        <v>711</v>
      </c>
      <c r="E9253" s="19" t="s">
        <v>712</v>
      </c>
      <c r="F9253" s="19" t="s">
        <v>713</v>
      </c>
      <c r="G9253" s="19" t="s">
        <v>714</v>
      </c>
      <c r="H9253" s="19" t="s">
        <v>715</v>
      </c>
      <c r="I9253" s="19" t="s">
        <v>716</v>
      </c>
      <c r="J9253" s="19" t="s">
        <v>717</v>
      </c>
      <c r="K9253" s="19" t="s">
        <v>718</v>
      </c>
      <c r="L9253" s="4" t="s">
        <v>47</v>
      </c>
    </row>
    <row r="9254" customFormat="false" ht="17.15" hidden="false" customHeight="false" outlineLevel="0" collapsed="false">
      <c r="A9254" s="1" t="s">
        <v>938</v>
      </c>
      <c r="B9254" s="1" t="s">
        <v>213</v>
      </c>
      <c r="F9254" s="34" t="n">
        <f aca="false">1-0.5</f>
        <v>0.5</v>
      </c>
      <c r="G9254" s="34" t="n">
        <f aca="false">2-0.5</f>
        <v>1.5</v>
      </c>
      <c r="H9254" s="34" t="n">
        <f aca="false">3-0.5</f>
        <v>2.5</v>
      </c>
      <c r="I9254" s="34" t="n">
        <f aca="false">4-0.5</f>
        <v>3.5</v>
      </c>
      <c r="J9254" s="34" t="n">
        <f aca="false">5-0.5</f>
        <v>4.5</v>
      </c>
      <c r="K9254" s="34" t="n">
        <f aca="false">6-0.5</f>
        <v>5.5</v>
      </c>
    </row>
    <row r="9255" customFormat="false" ht="15" hidden="false" customHeight="false" outlineLevel="0" collapsed="false">
      <c r="A9255" s="1" t="s">
        <v>939</v>
      </c>
      <c r="B9255" s="0" t="s">
        <v>182</v>
      </c>
      <c r="F9255" s="18" t="n">
        <f aca="false">1/(1+wacc)^Sens!F9254</f>
        <v>0.949601579913219</v>
      </c>
      <c r="G9255" s="18" t="n">
        <f aca="false">1/(1+wacc)^Sens!G9254</f>
        <v>0.856296729956707</v>
      </c>
      <c r="H9255" s="18" t="n">
        <f aca="false">1/(1+wacc)^Sens!H9254</f>
        <v>0.772159719660069</v>
      </c>
      <c r="I9255" s="18" t="n">
        <f aca="false">1/(1+wacc)^Sens!I9254</f>
        <v>0.696289746073958</v>
      </c>
      <c r="J9255" s="18" t="n">
        <f aca="false">1/(1+wacc)^Sens!J9254</f>
        <v>0.627874516299776</v>
      </c>
      <c r="K9255" s="18" t="n">
        <f aca="false">1/(1+wacc)^Sens!K9254</f>
        <v>0.566181550771831</v>
      </c>
    </row>
    <row r="9256" customFormat="false" ht="15" hidden="false" customHeight="false" outlineLevel="0" collapsed="false">
      <c r="A9256" s="1" t="s">
        <v>940</v>
      </c>
      <c r="B9256" s="0" t="s">
        <v>95</v>
      </c>
      <c r="F9256" s="6" t="n">
        <f aca="false">Sens!F9237*Sens!F9255</f>
        <v>1.17830194763426</v>
      </c>
      <c r="G9256" s="6" t="n">
        <f aca="false">Sens!G9237*Sens!G9255</f>
        <v>27.2231520813437</v>
      </c>
      <c r="H9256" s="6" t="n">
        <f aca="false">Sens!H9237*Sens!H9255</f>
        <v>54.5942646113006</v>
      </c>
      <c r="I9256" s="6" t="n">
        <f aca="false">Sens!I9237*Sens!I9255</f>
        <v>57.9557159875717</v>
      </c>
      <c r="J9256" s="6" t="n">
        <f aca="false">Sens!J9237*Sens!J9255</f>
        <v>68.9525136882553</v>
      </c>
      <c r="K9256" s="6" t="n">
        <f aca="false">Sens!K9237*Sens!K9255</f>
        <v>60.0958628168783</v>
      </c>
    </row>
    <row r="9257" customFormat="false" ht="17.15" hidden="false" customHeight="false" outlineLevel="0" collapsed="false">
      <c r="A9257" s="1" t="s">
        <v>941</v>
      </c>
      <c r="B9257" s="0" t="s">
        <v>95</v>
      </c>
      <c r="C9257" s="6" t="n">
        <f aca="false">SUM(Sens!F9256:K9256)</f>
        <v>269.999811132984</v>
      </c>
    </row>
    <row r="9258" customFormat="false" ht="17.15" hidden="false" customHeight="false" outlineLevel="0" collapsed="false">
      <c r="A9258" s="1" t="s">
        <v>942</v>
      </c>
      <c r="B9258" s="0" t="s">
        <v>95</v>
      </c>
      <c r="C9258" s="6" t="n">
        <f aca="false">Sens!K9203*(1+g_tv)*(1-tax_f)</f>
        <v>217.417749190428</v>
      </c>
    </row>
    <row r="9259" customFormat="false" ht="17.15" hidden="false" customHeight="false" outlineLevel="0" collapsed="false">
      <c r="A9259" s="1" t="s">
        <v>943</v>
      </c>
      <c r="B9259" s="0" t="s">
        <v>95</v>
      </c>
      <c r="C9259" s="6" t="n">
        <f aca="false">Sens!$C$9258*(1-g_tv/(wacc+ronic_prem))</f>
        <v>157.557803725722</v>
      </c>
    </row>
    <row r="9260" customFormat="false" ht="17.15" hidden="false" customHeight="false" outlineLevel="0" collapsed="false">
      <c r="A9260" s="1" t="s">
        <v>944</v>
      </c>
      <c r="B9260" s="0" t="s">
        <v>95</v>
      </c>
      <c r="C9260" s="6" t="n">
        <f aca="false">Sens!$C$9259/(wacc-g_tv)</f>
        <v>1995.33151549018</v>
      </c>
    </row>
    <row r="9261" customFormat="false" ht="15" hidden="false" customHeight="false" outlineLevel="0" collapsed="false">
      <c r="A9261" s="1" t="s">
        <v>945</v>
      </c>
      <c r="B9261" s="0" t="s">
        <v>95</v>
      </c>
      <c r="C9261" s="6" t="n">
        <f aca="false">Sens!$C$9260/(1+wacc)^6</f>
        <v>1072.78379405962</v>
      </c>
    </row>
    <row r="9262" customFormat="false" ht="17.15" hidden="false" customHeight="false" outlineLevel="0" collapsed="false">
      <c r="A9262" s="0" t="s">
        <v>877</v>
      </c>
      <c r="B9262" s="0" t="s">
        <v>95</v>
      </c>
      <c r="C9262" s="6" t="n">
        <f aca="false">Sens!$C$9257+Sens!$C$9261</f>
        <v>1342.78360519261</v>
      </c>
    </row>
    <row r="9263" customFormat="false" ht="15" hidden="false" customHeight="false" outlineLevel="0" collapsed="false">
      <c r="A9263" s="1" t="s">
        <v>878</v>
      </c>
      <c r="B9263" s="0" t="s">
        <v>126</v>
      </c>
      <c r="C9263" s="7" t="n">
        <f aca="false">Sens!$C$9261/Sens!$C$9262</f>
        <v>0.798925299587453</v>
      </c>
    </row>
    <row r="9264" customFormat="false" ht="17.15" hidden="false" customHeight="false" outlineLevel="0" collapsed="false">
      <c r="A9264" s="1" t="s">
        <v>946</v>
      </c>
      <c r="B9264" s="0" t="s">
        <v>95</v>
      </c>
      <c r="C9264" s="6" t="n">
        <f aca="false">Sens!$C$9262+Sens!E9246+oai_v</f>
        <v>1543.89060519261</v>
      </c>
    </row>
    <row r="9265" customFormat="false" ht="17.15" hidden="false" customHeight="false" outlineLevel="0" collapsed="false">
      <c r="A9265" s="0" t="s">
        <v>883</v>
      </c>
      <c r="B9265" s="0" t="s">
        <v>73</v>
      </c>
      <c r="C9265" s="5" t="n">
        <f aca="false">Sens!$C$9264/sh_dil26</f>
        <v>207.150222084074</v>
      </c>
    </row>
    <row r="9266" customFormat="false" ht="17.15" hidden="false" customHeight="false" outlineLevel="0" collapsed="false">
      <c r="A9266" s="0" t="s">
        <v>947</v>
      </c>
      <c r="B9266" s="0" t="s">
        <v>73</v>
      </c>
      <c r="C9266" s="5" t="n">
        <f aca="false">Sens!$C$9265*(1+wacc)^t_roll</f>
        <v>237.600180062468</v>
      </c>
    </row>
    <row r="9267" customFormat="false" ht="17.15" hidden="false" customHeight="false" outlineLevel="0" collapsed="false">
      <c r="A9267" s="1" t="s">
        <v>948</v>
      </c>
      <c r="B9267" s="0" t="s">
        <v>126</v>
      </c>
      <c r="F9267" s="7" t="n">
        <f aca="false">Sens!F9227/(Sens!F9178-Sens!F9134)</f>
        <v>0.0684100916842049</v>
      </c>
      <c r="G9267" s="7" t="n">
        <f aca="false">Sens!G9227/(Sens!G9178-Sens!G9134)</f>
        <v>0.0655958457495311</v>
      </c>
      <c r="H9267" s="7" t="n">
        <f aca="false">Sens!H9227/(Sens!H9178-Sens!H9134)</f>
        <v>0.0641113985959326</v>
      </c>
      <c r="I9267" s="7" t="n">
        <f aca="false">Sens!I9227/(Sens!I9178-Sens!I9134)</f>
        <v>0.0638366268807081</v>
      </c>
      <c r="J9267" s="7" t="n">
        <f aca="false">Sens!J9227/(Sens!J9178-Sens!J9134)</f>
        <v>0.0644881471376801</v>
      </c>
      <c r="K9267" s="7" t="n">
        <f aca="false">Sens!K9227/(Sens!K9178-Sens!K9134)</f>
        <v>0.06571691795651</v>
      </c>
    </row>
    <row r="9268" customFormat="false" ht="17.15" hidden="false" customHeight="false" outlineLevel="0" collapsed="false">
      <c r="A9268" s="0" t="s">
        <v>949</v>
      </c>
      <c r="B9268" s="0" t="s">
        <v>95</v>
      </c>
      <c r="F9268" s="6" t="n">
        <f aca="false">Sens!F9163*(al_m365+Sens!F9267)</f>
        <v>79.4688718078008</v>
      </c>
      <c r="G9268" s="6" t="n">
        <f aca="false">Sens!G9163*(al_m365+Sens!G9267)</f>
        <v>91.216029203643</v>
      </c>
      <c r="H9268" s="6" t="n">
        <f aca="false">Sens!H9163*(al_m365+Sens!H9267)</f>
        <v>103.121464313967</v>
      </c>
      <c r="I9268" s="6" t="n">
        <f aca="false">Sens!I9163*(al_m365+Sens!I9267)</f>
        <v>114.069721578613</v>
      </c>
      <c r="J9268" s="6" t="n">
        <f aca="false">Sens!J9163*(al_m365+Sens!J9267)</f>
        <v>123.882321239784</v>
      </c>
      <c r="K9268" s="6" t="n">
        <f aca="false">Sens!K9163*(al_m365+Sens!K9267)</f>
        <v>133.328447555742</v>
      </c>
    </row>
    <row r="9269" customFormat="false" ht="17.15" hidden="false" customHeight="false" outlineLevel="0" collapsed="false">
      <c r="A9269" s="0" t="s">
        <v>950</v>
      </c>
      <c r="B9269" s="0" t="s">
        <v>95</v>
      </c>
      <c r="F9269" s="6" t="n">
        <f aca="false">Sens!F9164*(al_lic+Sens!F9267)</f>
        <v>31.9769873848339</v>
      </c>
      <c r="G9269" s="6" t="n">
        <f aca="false">Sens!G9164*(al_lic+Sens!G9267)</f>
        <v>33.2164155567507</v>
      </c>
      <c r="H9269" s="6" t="n">
        <f aca="false">Sens!H9164*(al_lic+Sens!H9267)</f>
        <v>34.374713012512</v>
      </c>
      <c r="I9269" s="6" t="n">
        <f aca="false">Sens!I9164*(al_lic+Sens!I9267)</f>
        <v>35.434282996757</v>
      </c>
      <c r="J9269" s="6" t="n">
        <f aca="false">Sens!J9164*(al_lic+Sens!J9267)</f>
        <v>36.3699999678504</v>
      </c>
      <c r="K9269" s="6" t="n">
        <f aca="false">Sens!K9164*(al_lic+Sens!K9267)</f>
        <v>37.1533666533948</v>
      </c>
    </row>
    <row r="9270" customFormat="false" ht="17.15" hidden="false" customHeight="false" outlineLevel="0" collapsed="false">
      <c r="A9270" s="0" t="s">
        <v>951</v>
      </c>
      <c r="B9270" s="0" t="s">
        <v>95</v>
      </c>
      <c r="F9270" s="6" t="n">
        <f aca="false">Sens!F9166*(al_ind+Sens!F9267)</f>
        <v>8.23662559039351</v>
      </c>
      <c r="G9270" s="6" t="n">
        <f aca="false">Sens!G9166*(al_ind+Sens!G9267)</f>
        <v>8.93487454281546</v>
      </c>
      <c r="H9270" s="6" t="n">
        <f aca="false">Sens!H9166*(al_ind+Sens!H9267)</f>
        <v>9.67582538032499</v>
      </c>
      <c r="I9270" s="6" t="n">
        <f aca="false">Sens!I9166*(al_ind+Sens!I9267)</f>
        <v>10.4571074154177</v>
      </c>
      <c r="J9270" s="6" t="n">
        <f aca="false">Sens!J9166*(al_ind+Sens!J9267)</f>
        <v>11.2697017979957</v>
      </c>
      <c r="K9270" s="6" t="n">
        <f aca="false">Sens!K9166*(al_ind+Sens!K9267)</f>
        <v>12.0992330890139</v>
      </c>
    </row>
    <row r="9271" customFormat="false" ht="17.15" hidden="false" customHeight="false" outlineLevel="0" collapsed="false">
      <c r="A9271" s="0" t="s">
        <v>952</v>
      </c>
      <c r="B9271" s="0" t="s">
        <v>95</v>
      </c>
      <c r="F9271" s="6" t="n">
        <f aca="false">Sens!F9168*(al_fro+Sens!F9267)</f>
        <v>3.24196474953169</v>
      </c>
      <c r="G9271" s="6" t="n">
        <f aca="false">Sens!G9168*(al_fro+Sens!G9267)</f>
        <v>3.4304635797064</v>
      </c>
      <c r="H9271" s="6" t="n">
        <f aca="false">Sens!H9168*(al_fro+Sens!H9267)</f>
        <v>3.64618218314047</v>
      </c>
      <c r="I9271" s="6" t="n">
        <f aca="false">Sens!I9168*(al_fro+Sens!I9267)</f>
        <v>3.89170978092227</v>
      </c>
      <c r="J9271" s="6" t="n">
        <f aca="false">Sens!J9168*(al_fro+Sens!J9267)</f>
        <v>4.16796881873531</v>
      </c>
      <c r="K9271" s="6" t="n">
        <f aca="false">Sens!K9168*(al_fro+Sens!K9267)</f>
        <v>4.47476136898217</v>
      </c>
    </row>
    <row r="9272" customFormat="false" ht="17.15" hidden="false" customHeight="false" outlineLevel="0" collapsed="false">
      <c r="A9272" s="0" t="s">
        <v>953</v>
      </c>
      <c r="B9272" s="0" t="s">
        <v>95</v>
      </c>
      <c r="F9272" s="6" t="n">
        <f aca="false">Sens!F9171*(al_srch+Sens!F9267)</f>
        <v>10.1723516073304</v>
      </c>
      <c r="G9272" s="6" t="n">
        <f aca="false">Sens!G9171*(al_srch+Sens!G9267)</f>
        <v>11.1388158279927</v>
      </c>
      <c r="H9272" s="6" t="n">
        <f aca="false">Sens!H9171*(al_srch+Sens!H9267)</f>
        <v>12.1483498619088</v>
      </c>
      <c r="I9272" s="6" t="n">
        <f aca="false">Sens!I9171*(al_srch+Sens!I9267)</f>
        <v>13.1918798680089</v>
      </c>
      <c r="J9272" s="6" t="n">
        <f aca="false">Sens!J9171*(al_srch+Sens!J9267)</f>
        <v>14.2510625787272</v>
      </c>
      <c r="K9272" s="6" t="n">
        <f aca="false">Sens!K9171*(al_srch+Sens!K9267)</f>
        <v>15.3000435146216</v>
      </c>
    </row>
    <row r="9273" customFormat="false" ht="17.15" hidden="false" customHeight="false" outlineLevel="0" collapsed="false">
      <c r="A9273" s="0" t="s">
        <v>954</v>
      </c>
      <c r="B9273" s="0" t="s">
        <v>95</v>
      </c>
      <c r="F9273" s="6" t="n">
        <f aca="false">Sens!F9140</f>
        <v>39.4594407491938</v>
      </c>
      <c r="G9273" s="6" t="n">
        <f aca="false">Sens!G9140</f>
        <v>66.5527545578061</v>
      </c>
      <c r="H9273" s="6" t="n">
        <f aca="false">Sens!H9140</f>
        <v>95.219644983859</v>
      </c>
      <c r="I9273" s="6" t="n">
        <f aca="false">Sens!I9140</f>
        <v>124.031840462493</v>
      </c>
      <c r="J9273" s="6" t="n">
        <f aca="false">Sens!J9140</f>
        <v>152.919994097909</v>
      </c>
      <c r="K9273" s="6" t="n">
        <f aca="false">Sens!K9140</f>
        <v>181.852830263848</v>
      </c>
    </row>
    <row r="9274" customFormat="false" ht="17.15" hidden="false" customHeight="false" outlineLevel="0" collapsed="false">
      <c r="A9274" s="0" t="s">
        <v>955</v>
      </c>
      <c r="B9274" s="0" t="s">
        <v>95</v>
      </c>
      <c r="F9274" s="6" t="n">
        <f aca="false">Sens!F9200+Sens!F9151+Sens!F9267*(Sens!F9170-Sens!F9134)</f>
        <v>211.438873072578</v>
      </c>
      <c r="G9274" s="6" t="n">
        <f aca="false">Sens!G9200+Sens!G9151+Sens!G9267*(Sens!G9170-Sens!G9134)</f>
        <v>258.587709755323</v>
      </c>
      <c r="H9274" s="6" t="n">
        <f aca="false">Sens!H9200+Sens!H9151+Sens!H9267*(Sens!H9170-Sens!H9134)</f>
        <v>307.539874033811</v>
      </c>
      <c r="I9274" s="6" t="n">
        <f aca="false">Sens!I9200+Sens!I9151+Sens!I9267*(Sens!I9170-Sens!I9134)</f>
        <v>355.493862527953</v>
      </c>
      <c r="J9274" s="6" t="n">
        <f aca="false">Sens!J9200+Sens!J9151+Sens!J9267*(Sens!J9170-Sens!J9134)</f>
        <v>401.566140265266</v>
      </c>
      <c r="K9274" s="6" t="n">
        <f aca="false">Sens!K9200+Sens!K9151+Sens!K9267*(Sens!K9170-Sens!K9134)</f>
        <v>445.743132790682</v>
      </c>
    </row>
    <row r="9275" customFormat="false" ht="17.15" hidden="false" customHeight="false" outlineLevel="0" collapsed="false">
      <c r="A9275" s="0" t="s">
        <v>956</v>
      </c>
      <c r="B9275" s="0" t="s">
        <v>95</v>
      </c>
      <c r="F9275" s="6" t="n">
        <f aca="false">Sens!F9274-Sens!F9268-Sens!F9269-Sens!F9270-Sens!F9271-Sens!F9273</f>
        <v>49.0549827908243</v>
      </c>
      <c r="G9275" s="6" t="n">
        <f aca="false">Sens!G9274-Sens!G9268-Sens!G9269-Sens!G9270-Sens!G9271-Sens!G9273</f>
        <v>55.2371723146013</v>
      </c>
      <c r="H9275" s="6" t="n">
        <f aca="false">Sens!H9274-Sens!H9268-Sens!H9269-Sens!H9270-Sens!H9271-Sens!H9273</f>
        <v>61.5020441600081</v>
      </c>
      <c r="I9275" s="6" t="n">
        <f aca="false">Sens!I9274-Sens!I9268-Sens!I9269-Sens!I9270-Sens!I9271-Sens!I9273</f>
        <v>67.6092002937509</v>
      </c>
      <c r="J9275" s="6" t="n">
        <f aca="false">Sens!J9274-Sens!J9268-Sens!J9269-Sens!J9270-Sens!J9271-Sens!J9273</f>
        <v>72.9561543429917</v>
      </c>
      <c r="K9275" s="6" t="n">
        <f aca="false">Sens!K9274-Sens!K9268-Sens!K9269-Sens!K9270-Sens!K9271-Sens!K9273</f>
        <v>76.8344938597006</v>
      </c>
    </row>
    <row r="9276" customFormat="false" ht="17.15" hidden="false" customHeight="false" outlineLevel="0" collapsed="false">
      <c r="A9276" s="0" t="s">
        <v>957</v>
      </c>
      <c r="B9276" s="0" t="s">
        <v>95</v>
      </c>
      <c r="F9276" s="6" t="n">
        <f aca="false">Sens!F9202+Sens!F9267*Sens!F9177</f>
        <v>23.7915182429797</v>
      </c>
      <c r="G9276" s="6" t="n">
        <f aca="false">Sens!G9202+Sens!G9267*Sens!G9177</f>
        <v>24.3988556622979</v>
      </c>
      <c r="H9276" s="6" t="n">
        <f aca="false">Sens!H9202+Sens!H9267*Sens!H9177</f>
        <v>25.2875500046679</v>
      </c>
      <c r="I9276" s="6" t="n">
        <f aca="false">Sens!I9202+Sens!I9267*Sens!I9177</f>
        <v>26.433743450272</v>
      </c>
      <c r="J9276" s="6" t="n">
        <f aca="false">Sens!J9202+Sens!J9267*Sens!J9177</f>
        <v>27.8113368566906</v>
      </c>
      <c r="K9276" s="6" t="n">
        <f aca="false">Sens!K9202+Sens!K9267*Sens!K9177</f>
        <v>29.3957133460056</v>
      </c>
    </row>
    <row r="9277" customFormat="false" ht="17.15" hidden="false" customHeight="false" outlineLevel="0" collapsed="false">
      <c r="A9277" s="0" t="s">
        <v>958</v>
      </c>
      <c r="B9277" s="0" t="s">
        <v>95</v>
      </c>
      <c r="F9277" s="6" t="n">
        <f aca="false">(Sens!F9276-Sens!F9272)*Sens!F9173/(Sens!F9173+Sens!F9175)</f>
        <v>7.48370576984958</v>
      </c>
      <c r="G9277" s="6" t="n">
        <f aca="false">(Sens!G9276-Sens!G9272)*Sens!G9173/(Sens!G9173+Sens!G9175)</f>
        <v>7.19096497996969</v>
      </c>
      <c r="H9277" s="6" t="n">
        <f aca="false">(Sens!H9276-Sens!H9272)*Sens!H9173/(Sens!H9173+Sens!H9175)</f>
        <v>7.07988198017899</v>
      </c>
      <c r="I9277" s="6" t="n">
        <f aca="false">(Sens!I9276-Sens!I9272)*Sens!I9173/(Sens!I9173+Sens!I9175)</f>
        <v>7.13757061953462</v>
      </c>
      <c r="J9277" s="6" t="n">
        <f aca="false">(Sens!J9276-Sens!J9272)*Sens!J9173/(Sens!J9173+Sens!J9175)</f>
        <v>7.359813367627</v>
      </c>
      <c r="K9277" s="6" t="n">
        <f aca="false">(Sens!K9276-Sens!K9272)*Sens!K9173/(Sens!K9173+Sens!K9175)</f>
        <v>7.75166872903714</v>
      </c>
    </row>
    <row r="9278" customFormat="false" ht="17.15" hidden="false" customHeight="false" outlineLevel="0" collapsed="false">
      <c r="A9278" s="0" t="s">
        <v>959</v>
      </c>
      <c r="B9278" s="0" t="s">
        <v>95</v>
      </c>
      <c r="F9278" s="6" t="n">
        <f aca="false">Sens!F9276-Sens!F9272-Sens!F9277</f>
        <v>6.13546086579973</v>
      </c>
      <c r="G9278" s="6" t="n">
        <f aca="false">Sens!G9276-Sens!G9272-Sens!G9277</f>
        <v>6.06907485433552</v>
      </c>
      <c r="H9278" s="6" t="n">
        <f aca="false">Sens!H9276-Sens!H9272-Sens!H9277</f>
        <v>6.05931816258011</v>
      </c>
      <c r="I9278" s="6" t="n">
        <f aca="false">Sens!I9276-Sens!I9272-Sens!I9277</f>
        <v>6.10429296272852</v>
      </c>
      <c r="J9278" s="6" t="n">
        <f aca="false">Sens!J9276-Sens!J9272-Sens!J9277</f>
        <v>6.20046091033642</v>
      </c>
      <c r="K9278" s="6" t="n">
        <f aca="false">Sens!K9276-Sens!K9272-Sens!K9277</f>
        <v>6.34400110234686</v>
      </c>
    </row>
    <row r="9279" customFormat="false" ht="17.15" hidden="false" customHeight="false" outlineLevel="0" collapsed="false">
      <c r="A9279" s="1" t="s">
        <v>960</v>
      </c>
      <c r="B9279" s="0" t="s">
        <v>95</v>
      </c>
      <c r="C9279" s="6" t="n">
        <f aca="false">(w_ntm28*Sens!G9273+(1-w_ntm28)*Sens!H9273)*m_ai*1</f>
        <v>454.922440830797</v>
      </c>
    </row>
    <row r="9280" customFormat="false" ht="17.15" hidden="false" customHeight="false" outlineLevel="0" collapsed="false">
      <c r="A9280" s="1" t="s">
        <v>961</v>
      </c>
      <c r="B9280" s="0" t="s">
        <v>95</v>
      </c>
      <c r="C9280" s="6" t="n">
        <f aca="false">(w_ntm28*Sens!G9275+(1-w_ntm28)*Sens!H9275)*m_cloud*1</f>
        <v>791.368138951121</v>
      </c>
    </row>
    <row r="9281" customFormat="false" ht="17.15" hidden="false" customHeight="false" outlineLevel="0" collapsed="false">
      <c r="A9281" s="1" t="s">
        <v>962</v>
      </c>
      <c r="B9281" s="0" t="s">
        <v>95</v>
      </c>
      <c r="C9281" s="6" t="n">
        <f aca="false">(w_ntm28*Sens!G9268+(1-w_ntm28)*Sens!H9268)*m_sw*1</f>
        <v>1026.70102363112</v>
      </c>
    </row>
    <row r="9282" customFormat="false" ht="17.15" hidden="false" customHeight="false" outlineLevel="0" collapsed="false">
      <c r="A9282" s="1" t="s">
        <v>963</v>
      </c>
      <c r="B9282" s="0" t="s">
        <v>95</v>
      </c>
      <c r="C9282" s="6" t="n">
        <f aca="false">(w_ntm28*Sens!G9269+(1-w_ntm28)*Sens!H9269)*m_sw*1</f>
        <v>362.781491513243</v>
      </c>
    </row>
    <row r="9283" customFormat="false" ht="17.15" hidden="false" customHeight="false" outlineLevel="0" collapsed="false">
      <c r="A9283" s="1" t="s">
        <v>964</v>
      </c>
      <c r="B9283" s="0" t="s">
        <v>95</v>
      </c>
      <c r="C9283" s="6" t="n">
        <f aca="false">(w_ntm28*Sens!G9270+(1-w_ntm28)*Sens!H9270)*m_sw*1</f>
        <v>99.0836799865772</v>
      </c>
    </row>
    <row r="9284" customFormat="false" ht="17.15" hidden="false" customHeight="false" outlineLevel="0" collapsed="false">
      <c r="A9284" s="1" t="s">
        <v>965</v>
      </c>
      <c r="B9284" s="0" t="s">
        <v>95</v>
      </c>
      <c r="C9284" s="6" t="n">
        <f aca="false">(w_ntm28*Sens!G9271+(1-w_ntm28)*Sens!H9271)*m_sw*1</f>
        <v>37.8021896422438</v>
      </c>
    </row>
    <row r="9285" customFormat="false" ht="17.15" hidden="false" customHeight="false" outlineLevel="0" collapsed="false">
      <c r="A9285" s="1" t="s">
        <v>966</v>
      </c>
      <c r="B9285" s="0" t="s">
        <v>95</v>
      </c>
      <c r="C9285" s="6" t="n">
        <f aca="false">(w_ntm28*Sens!G9272+(1-w_ntm28)*Sens!H9272)*m_ads*1</f>
        <v>104.447842044463</v>
      </c>
    </row>
    <row r="9286" customFormat="false" ht="17.15" hidden="false" customHeight="false" outlineLevel="0" collapsed="false">
      <c r="A9286" s="1" t="s">
        <v>967</v>
      </c>
      <c r="B9286" s="0" t="s">
        <v>95</v>
      </c>
      <c r="C9286" s="6" t="n">
        <f aca="false">(w_ntm28*Sens!G9277+(1-w_ntm28)*Sens!H9277)*m_game*1</f>
        <v>90.3683221137074</v>
      </c>
    </row>
    <row r="9287" customFormat="false" ht="17.15" hidden="false" customHeight="false" outlineLevel="0" collapsed="false">
      <c r="A9287" s="1" t="s">
        <v>968</v>
      </c>
      <c r="B9287" s="0" t="s">
        <v>95</v>
      </c>
      <c r="C9287" s="6" t="n">
        <f aca="false">(w_ntm28*Sens!G9278+(1-w_ntm28)*Sens!H9278)*m_pc*1</f>
        <v>87.7738716055098</v>
      </c>
    </row>
    <row r="9288" customFormat="false" ht="17.15" hidden="false" customHeight="false" outlineLevel="0" collapsed="false">
      <c r="A9288" s="1" t="s">
        <v>969</v>
      </c>
      <c r="B9288" s="0" t="s">
        <v>95</v>
      </c>
      <c r="C9288" s="6" t="n">
        <f aca="false">Sens!$C$9279+Sens!$C$9280+Sens!$C$9281+Sens!$C$9282+Sens!$C$9283+Sens!$C$9284+Sens!$C$9285+Sens!$C$9286+Sens!$C$9287</f>
        <v>3055.24900031878</v>
      </c>
    </row>
    <row r="9289" customFormat="false" ht="17.15" hidden="false" customHeight="false" outlineLevel="0" collapsed="false">
      <c r="A9289" s="1" t="s">
        <v>903</v>
      </c>
      <c r="B9289" s="0" t="s">
        <v>95</v>
      </c>
      <c r="C9289" s="6" t="n">
        <f aca="false">Sens!F9246+oai_v-Sens!F9235</f>
        <v>111.284158234222</v>
      </c>
      <c r="L9289" s="1" t="s">
        <v>970</v>
      </c>
    </row>
    <row r="9290" customFormat="false" ht="15" hidden="false" customHeight="false" outlineLevel="0" collapsed="false">
      <c r="A9290" s="1" t="s">
        <v>904</v>
      </c>
      <c r="B9290" s="0" t="s">
        <v>73</v>
      </c>
      <c r="C9290" s="5" t="n">
        <f aca="false">(Sens!$C$9288+Sens!$C$9289)/Sens!F9248</f>
        <v>423.786557622189</v>
      </c>
    </row>
    <row r="9291" customFormat="false" ht="17.15" hidden="false" customHeight="false" outlineLevel="0" collapsed="false">
      <c r="A9291" s="1" t="s">
        <v>971</v>
      </c>
      <c r="B9291" s="0" t="s">
        <v>73</v>
      </c>
      <c r="C9291" s="5" t="n">
        <f aca="false">w_dcf*Sens!$C$9266+(1-w_dcf)*Sens!$C$9290</f>
        <v>330.693368842329</v>
      </c>
    </row>
    <row r="9292" customFormat="false" ht="17.15" hidden="false" customHeight="false" outlineLevel="0" collapsed="false">
      <c r="A9292" s="3" t="s">
        <v>1379</v>
      </c>
    </row>
    <row r="9293" customFormat="false" ht="15" hidden="false" customHeight="false" outlineLevel="0" collapsed="false">
      <c r="A9293" s="4" t="s">
        <v>43</v>
      </c>
      <c r="B9293" s="4" t="s">
        <v>63</v>
      </c>
      <c r="C9293" s="19" t="s">
        <v>710</v>
      </c>
      <c r="D9293" s="19" t="s">
        <v>711</v>
      </c>
      <c r="E9293" s="19" t="s">
        <v>712</v>
      </c>
      <c r="F9293" s="19" t="s">
        <v>713</v>
      </c>
      <c r="G9293" s="19" t="s">
        <v>714</v>
      </c>
      <c r="H9293" s="19" t="s">
        <v>715</v>
      </c>
      <c r="I9293" s="19" t="s">
        <v>716</v>
      </c>
      <c r="J9293" s="19" t="s">
        <v>717</v>
      </c>
      <c r="K9293" s="19" t="s">
        <v>718</v>
      </c>
      <c r="L9293" s="4" t="s">
        <v>47</v>
      </c>
    </row>
    <row r="9294" customFormat="false" ht="17.15" hidden="false" customHeight="false" outlineLevel="0" collapsed="false">
      <c r="A9294" s="1" t="s">
        <v>719</v>
      </c>
      <c r="B9294" s="0" t="s">
        <v>340</v>
      </c>
      <c r="C9294" s="27" t="n">
        <f aca="false">mw_ext_24</f>
        <v>640</v>
      </c>
      <c r="D9294" s="27" t="n">
        <f aca="false">mw_ext_25</f>
        <v>1630</v>
      </c>
      <c r="E9294" s="27" t="n">
        <f aca="false">mw_ext_26</f>
        <v>3250</v>
      </c>
      <c r="F9294" s="27" t="n">
        <f aca="false">MIN(1000000000,Sens!E9294+pace)</f>
        <v>5777.2</v>
      </c>
      <c r="G9294" s="27" t="n">
        <f aca="false">MIN(1000000000,Sens!F9294+pace)</f>
        <v>8304.4</v>
      </c>
      <c r="H9294" s="27" t="n">
        <f aca="false">MIN(1000000000,Sens!G9294+pace)</f>
        <v>10831.6</v>
      </c>
      <c r="I9294" s="27" t="n">
        <f aca="false">MIN(1000000000,Sens!H9294+pace)</f>
        <v>13358.8</v>
      </c>
      <c r="J9294" s="27" t="n">
        <f aca="false">MIN(1000000000,Sens!I9294+pace)</f>
        <v>15886</v>
      </c>
      <c r="K9294" s="27" t="n">
        <f aca="false">MIN(1000000000,Sens!J9294+pace)</f>
        <v>18413.2</v>
      </c>
      <c r="L9294" s="11" t="s">
        <v>720</v>
      </c>
    </row>
    <row r="9295" customFormat="false" ht="17.15" hidden="false" customHeight="false" outlineLevel="0" collapsed="false">
      <c r="A9295" s="1" t="s">
        <v>721</v>
      </c>
      <c r="B9295" s="0" t="s">
        <v>340</v>
      </c>
      <c r="C9295" s="27" t="n">
        <f aca="false">rent_ext_24</f>
        <v>150</v>
      </c>
      <c r="D9295" s="27" t="n">
        <f aca="false">rent_ext_25</f>
        <v>400</v>
      </c>
      <c r="E9295" s="27" t="n">
        <f aca="false">rent_ext_26</f>
        <v>550</v>
      </c>
      <c r="F9295" s="27" t="n">
        <f aca="false">rent_ext_f</f>
        <v>756</v>
      </c>
      <c r="G9295" s="27" t="n">
        <f aca="false">rent_ext_f</f>
        <v>756</v>
      </c>
      <c r="H9295" s="27" t="n">
        <f aca="false">rent_ext_f</f>
        <v>756</v>
      </c>
      <c r="I9295" s="27" t="n">
        <f aca="false">rent_ext_f</f>
        <v>756</v>
      </c>
      <c r="J9295" s="27" t="n">
        <f aca="false">rent_ext_f</f>
        <v>756</v>
      </c>
      <c r="K9295" s="27" t="n">
        <f aca="false">rent_ext_f</f>
        <v>756</v>
      </c>
      <c r="L9295" s="1" t="s">
        <v>722</v>
      </c>
    </row>
    <row r="9296" customFormat="false" ht="17.15" hidden="false" customHeight="false" outlineLevel="0" collapsed="false">
      <c r="A9296" s="1" t="s">
        <v>723</v>
      </c>
      <c r="B9296" s="0" t="s">
        <v>340</v>
      </c>
      <c r="C9296" s="27" t="n">
        <f aca="false">Sens!C9294-Sens!C9295</f>
        <v>490</v>
      </c>
      <c r="D9296" s="27" t="n">
        <f aca="false">Sens!D9294-Sens!D9295</f>
        <v>1230</v>
      </c>
      <c r="E9296" s="27" t="n">
        <f aca="false">Sens!E9294-Sens!E9295</f>
        <v>2700</v>
      </c>
      <c r="F9296" s="27" t="n">
        <f aca="false">Sens!F9294-Sens!F9295</f>
        <v>5021.2</v>
      </c>
      <c r="G9296" s="27" t="n">
        <f aca="false">Sens!G9294-Sens!G9295</f>
        <v>7548.4</v>
      </c>
      <c r="H9296" s="27" t="n">
        <f aca="false">Sens!H9294-Sens!H9295</f>
        <v>10075.6</v>
      </c>
      <c r="I9296" s="27" t="n">
        <f aca="false">Sens!I9294-Sens!I9295</f>
        <v>12602.8</v>
      </c>
      <c r="J9296" s="27" t="n">
        <f aca="false">Sens!J9294-Sens!J9295</f>
        <v>15130</v>
      </c>
      <c r="K9296" s="27" t="n">
        <f aca="false">Sens!K9294-Sens!K9295</f>
        <v>17657.2</v>
      </c>
    </row>
    <row r="9297" customFormat="false" ht="17.15" hidden="false" customHeight="false" outlineLevel="0" collapsed="false">
      <c r="A9297" s="1" t="s">
        <v>724</v>
      </c>
      <c r="B9297" s="0" t="s">
        <v>340</v>
      </c>
      <c r="C9297" s="27" t="n">
        <f aca="false">Sens!C9296/ext_sh</f>
        <v>816.666666666667</v>
      </c>
      <c r="D9297" s="27" t="n">
        <f aca="false">Sens!D9296/ext_sh</f>
        <v>2050</v>
      </c>
      <c r="E9297" s="27" t="n">
        <f aca="false">Sens!E9296/ext_sh</f>
        <v>4500</v>
      </c>
      <c r="F9297" s="27" t="n">
        <f aca="false">Sens!F9296/ext_sh</f>
        <v>8368.66666666667</v>
      </c>
      <c r="G9297" s="27" t="n">
        <f aca="false">Sens!G9296/ext_sh</f>
        <v>12580.6666666667</v>
      </c>
      <c r="H9297" s="27" t="n">
        <f aca="false">Sens!H9296/ext_sh</f>
        <v>16792.6666666667</v>
      </c>
      <c r="I9297" s="27" t="n">
        <f aca="false">Sens!I9296/ext_sh</f>
        <v>21004.6666666667</v>
      </c>
      <c r="J9297" s="27" t="n">
        <f aca="false">Sens!J9296/ext_sh</f>
        <v>25216.6666666667</v>
      </c>
      <c r="K9297" s="27" t="n">
        <f aca="false">Sens!K9296/ext_sh</f>
        <v>29428.6666666667</v>
      </c>
      <c r="L9297" s="1" t="s">
        <v>725</v>
      </c>
    </row>
    <row r="9298" customFormat="false" ht="17.15" hidden="false" customHeight="false" outlineLevel="0" collapsed="false">
      <c r="A9298" s="1" t="s">
        <v>726</v>
      </c>
      <c r="B9298" s="0" t="s">
        <v>340</v>
      </c>
      <c r="C9298" s="27" t="n">
        <f aca="false">Sens!C9297-Sens!C9296</f>
        <v>326.666666666667</v>
      </c>
      <c r="D9298" s="27" t="n">
        <f aca="false">Sens!D9297-Sens!D9296</f>
        <v>820</v>
      </c>
      <c r="E9298" s="27" t="n">
        <f aca="false">Sens!E9297-Sens!E9296</f>
        <v>1800</v>
      </c>
      <c r="F9298" s="27" t="n">
        <f aca="false">Sens!F9297-Sens!F9296</f>
        <v>3347.46666666667</v>
      </c>
      <c r="G9298" s="27" t="n">
        <f aca="false">Sens!G9297-Sens!G9296</f>
        <v>5032.26666666667</v>
      </c>
      <c r="H9298" s="27" t="n">
        <f aca="false">Sens!H9297-Sens!H9296</f>
        <v>6717.06666666667</v>
      </c>
      <c r="I9298" s="27" t="n">
        <f aca="false">Sens!I9297-Sens!I9296</f>
        <v>8401.86666666667</v>
      </c>
      <c r="J9298" s="27" t="n">
        <f aca="false">Sens!J9297-Sens!J9296</f>
        <v>10086.6666666667</v>
      </c>
      <c r="K9298" s="27" t="n">
        <f aca="false">Sens!K9297-Sens!K9296</f>
        <v>11771.4666666667</v>
      </c>
    </row>
    <row r="9299" customFormat="false" ht="17.15" hidden="false" customHeight="false" outlineLevel="0" collapsed="false">
      <c r="A9299" s="1" t="s">
        <v>727</v>
      </c>
      <c r="B9299" s="0" t="s">
        <v>340</v>
      </c>
      <c r="C9299" s="27" t="n">
        <f aca="false">Sens!C9297</f>
        <v>816.666666666667</v>
      </c>
      <c r="D9299" s="27" t="n">
        <f aca="false">Sens!D9297-Sens!C9297</f>
        <v>1233.33333333333</v>
      </c>
      <c r="E9299" s="27" t="n">
        <f aca="false">Sens!E9297-Sens!D9297</f>
        <v>2450</v>
      </c>
      <c r="F9299" s="27" t="n">
        <f aca="false">Sens!F9297-Sens!E9297</f>
        <v>3868.66666666667</v>
      </c>
      <c r="G9299" s="27" t="n">
        <f aca="false">Sens!G9297-Sens!F9297</f>
        <v>4212</v>
      </c>
      <c r="H9299" s="27" t="n">
        <f aca="false">Sens!H9297-Sens!G9297</f>
        <v>4212</v>
      </c>
      <c r="I9299" s="27" t="n">
        <f aca="false">Sens!I9297-Sens!H9297</f>
        <v>4212</v>
      </c>
      <c r="J9299" s="27" t="n">
        <f aca="false">Sens!J9297-Sens!I9297</f>
        <v>4212</v>
      </c>
      <c r="K9299" s="27" t="n">
        <f aca="false">Sens!K9297-Sens!J9297</f>
        <v>4212</v>
      </c>
    </row>
    <row r="9300" customFormat="false" ht="17.15" hidden="false" customHeight="false" outlineLevel="0" collapsed="false">
      <c r="A9300" s="1" t="s">
        <v>728</v>
      </c>
      <c r="B9300" s="0" t="s">
        <v>340</v>
      </c>
      <c r="D9300" s="27" t="n">
        <f aca="false">Sens!D9294-Sens!C9294</f>
        <v>990</v>
      </c>
      <c r="E9300" s="27" t="n">
        <f aca="false">Sens!E9294-Sens!D9294</f>
        <v>1620</v>
      </c>
      <c r="F9300" s="27" t="n">
        <f aca="false">Sens!F9294-Sens!E9294</f>
        <v>2527.2</v>
      </c>
      <c r="G9300" s="27" t="n">
        <f aca="false">Sens!G9294-Sens!F9294</f>
        <v>2527.2</v>
      </c>
      <c r="H9300" s="27" t="n">
        <f aca="false">Sens!H9294-Sens!G9294</f>
        <v>2527.2</v>
      </c>
      <c r="I9300" s="27" t="n">
        <f aca="false">Sens!I9294-Sens!H9294</f>
        <v>2527.2</v>
      </c>
      <c r="J9300" s="27" t="n">
        <f aca="false">Sens!J9294-Sens!I9294</f>
        <v>2527.2</v>
      </c>
      <c r="K9300" s="27" t="n">
        <f aca="false">Sens!K9294-Sens!J9294</f>
        <v>2527.2</v>
      </c>
    </row>
    <row r="9301" customFormat="false" ht="17.15" hidden="false" customHeight="false" outlineLevel="0" collapsed="false">
      <c r="A9301" s="1" t="s">
        <v>729</v>
      </c>
      <c r="B9301" s="0" t="s">
        <v>340</v>
      </c>
      <c r="C9301" s="27" t="n">
        <f aca="false">mix_h*Sens!C9294</f>
        <v>128</v>
      </c>
      <c r="D9301" s="27" t="n">
        <f aca="false">mix_h*Sens!D9294</f>
        <v>326</v>
      </c>
      <c r="E9301" s="27" t="n">
        <f aca="false">mix_h*Sens!E9294</f>
        <v>650</v>
      </c>
      <c r="F9301" s="27" t="n">
        <f aca="false">Sens!E9301</f>
        <v>650</v>
      </c>
      <c r="G9301" s="27" t="n">
        <f aca="false">Sens!F9301</f>
        <v>650</v>
      </c>
      <c r="H9301" s="27" t="n">
        <f aca="false">Sens!G9301</f>
        <v>650</v>
      </c>
      <c r="I9301" s="27" t="n">
        <f aca="false">Sens!H9301</f>
        <v>650</v>
      </c>
      <c r="J9301" s="27" t="n">
        <f aca="false">Sens!I9301</f>
        <v>650</v>
      </c>
      <c r="K9301" s="27" t="n">
        <f aca="false">Sens!J9301</f>
        <v>650</v>
      </c>
    </row>
    <row r="9302" customFormat="false" ht="17.15" hidden="false" customHeight="false" outlineLevel="0" collapsed="false">
      <c r="A9302" s="1" t="s">
        <v>730</v>
      </c>
      <c r="B9302" s="0" t="s">
        <v>340</v>
      </c>
      <c r="C9302" s="27" t="n">
        <f aca="false">mix_g2*Sens!C9294</f>
        <v>288</v>
      </c>
      <c r="D9302" s="27" t="n">
        <f aca="false">mix_g2*Sens!D9294</f>
        <v>733.5</v>
      </c>
      <c r="E9302" s="27" t="n">
        <f aca="false">mix_g2*Sens!E9294</f>
        <v>1462.5</v>
      </c>
      <c r="F9302" s="27" t="n">
        <f aca="false">Sens!E9302</f>
        <v>1462.5</v>
      </c>
      <c r="G9302" s="27" t="n">
        <f aca="false">Sens!F9302</f>
        <v>1462.5</v>
      </c>
      <c r="H9302" s="27" t="n">
        <f aca="false">Sens!G9302</f>
        <v>1462.5</v>
      </c>
      <c r="I9302" s="27" t="n">
        <f aca="false">Sens!H9302</f>
        <v>1462.5</v>
      </c>
      <c r="J9302" s="27" t="n">
        <f aca="false">Sens!I9302</f>
        <v>1462.5</v>
      </c>
      <c r="K9302" s="27" t="n">
        <f aca="false">Sens!J9302</f>
        <v>1462.5</v>
      </c>
    </row>
    <row r="9303" customFormat="false" ht="17.15" hidden="false" customHeight="false" outlineLevel="0" collapsed="false">
      <c r="A9303" s="1" t="s">
        <v>731</v>
      </c>
      <c r="B9303" s="0" t="s">
        <v>340</v>
      </c>
      <c r="C9303" s="27" t="n">
        <f aca="false">mix_g3*Sens!C9294</f>
        <v>224</v>
      </c>
      <c r="D9303" s="27" t="n">
        <f aca="false">mix_g3*Sens!D9294</f>
        <v>570.5</v>
      </c>
      <c r="E9303" s="27" t="n">
        <f aca="false">mix_g3*Sens!E9294</f>
        <v>1137.5</v>
      </c>
      <c r="F9303" s="27" t="n">
        <f aca="false">Sens!E9303+Sens!F9300*a_g3_27</f>
        <v>2906.54</v>
      </c>
      <c r="G9303" s="27" t="n">
        <f aca="false">Sens!F9303+Sens!G9300*a_g3_28</f>
        <v>3664.7</v>
      </c>
      <c r="H9303" s="27" t="n">
        <f aca="false">Sens!G9303+Sens!H9300*a_g3_29</f>
        <v>3917.42</v>
      </c>
      <c r="I9303" s="27" t="n">
        <f aca="false">Sens!H9303+Sens!I9300*a_g3_29</f>
        <v>4170.14</v>
      </c>
      <c r="J9303" s="27" t="n">
        <f aca="false">Sens!I9303+Sens!J9300*a_g3_29</f>
        <v>4422.86</v>
      </c>
      <c r="K9303" s="27" t="n">
        <f aca="false">Sens!J9303+Sens!K9300*a_g3_29</f>
        <v>4675.58</v>
      </c>
    </row>
    <row r="9304" customFormat="false" ht="17.15" hidden="false" customHeight="false" outlineLevel="0" collapsed="false">
      <c r="A9304" s="1" t="s">
        <v>732</v>
      </c>
      <c r="B9304" s="0" t="s">
        <v>340</v>
      </c>
      <c r="C9304" s="27" t="n">
        <f aca="false">0</f>
        <v>0</v>
      </c>
      <c r="D9304" s="27" t="n">
        <f aca="false">0</f>
        <v>0</v>
      </c>
      <c r="E9304" s="27" t="n">
        <f aca="false">0</f>
        <v>0</v>
      </c>
      <c r="F9304" s="27" t="n">
        <f aca="false">Sens!E9304+Sens!F9300*(1-a_g3_27)</f>
        <v>758.16</v>
      </c>
      <c r="G9304" s="27" t="n">
        <f aca="false">Sens!F9304+Sens!G9300*(1-a_g3_28)</f>
        <v>2527.2</v>
      </c>
      <c r="H9304" s="27" t="n">
        <f aca="false">Sens!G9304+Sens!H9300*(1-a_g3_29)</f>
        <v>4801.68</v>
      </c>
      <c r="I9304" s="27" t="n">
        <f aca="false">Sens!H9304+Sens!I9300*(1-a_g3_29)</f>
        <v>7076.16</v>
      </c>
      <c r="J9304" s="27" t="n">
        <f aca="false">Sens!I9304+Sens!J9300*(1-a_g3_29)</f>
        <v>9350.64</v>
      </c>
      <c r="K9304" s="27" t="n">
        <f aca="false">Sens!J9304+Sens!K9300*(1-a_g3_29)</f>
        <v>11625.12</v>
      </c>
    </row>
    <row r="9305" customFormat="false" ht="17.15" hidden="false" customHeight="false" outlineLevel="0" collapsed="false">
      <c r="A9305" s="1" t="s">
        <v>733</v>
      </c>
      <c r="B9305" s="0" t="s">
        <v>291</v>
      </c>
      <c r="C9305" s="18" t="n">
        <f aca="false">(Sens!C9301*tk_hold_h100+Sens!C9302*tk_hold_gb200+Sens!C9303*tk_hold_gb300+Sens!C9304*tk_hold_vr200)/Sens!C9294</f>
        <v>9.7235358126469</v>
      </c>
      <c r="D9305" s="18" t="n">
        <f aca="false">(Sens!D9301*tk_hold_h100+Sens!D9302*tk_hold_gb200+Sens!D9303*tk_hold_gb300+Sens!D9304*tk_hold_vr200)/Sens!D9294</f>
        <v>9.7235358126469</v>
      </c>
      <c r="E9305" s="18" t="n">
        <f aca="false">(Sens!E9301*tk_hold_h100+Sens!E9302*tk_hold_gb200+Sens!E9303*tk_hold_gb300+Sens!E9304*tk_hold_vr200)/Sens!E9294</f>
        <v>9.7235358126469</v>
      </c>
      <c r="F9305" s="18" t="n">
        <f aca="false">(Sens!F9301*tk_hold_h100+Sens!F9302*tk_hold_gb200+Sens!F9303*tk_hold_gb300+Sens!F9304*tk_hold_vr200)/Sens!F9294</f>
        <v>10.4079573161931</v>
      </c>
      <c r="G9305" s="18" t="n">
        <f aca="false">(Sens!G9301*tk_hold_h100+Sens!G9302*tk_hold_gb200+Sens!G9303*tk_hold_gb300+Sens!G9304*tk_hold_vr200)/Sens!G9294</f>
        <v>10.8388131109316</v>
      </c>
      <c r="H9305" s="18" t="n">
        <f aca="false">(Sens!H9301*tk_hold_h100+Sens!H9302*tk_hold_gb200+Sens!H9303*tk_hold_gb300+Sens!H9304*tk_hold_vr200)/Sens!H9294</f>
        <v>11.1311018388216</v>
      </c>
      <c r="I9305" s="18" t="n">
        <f aca="false">(Sens!I9301*tk_hold_h100+Sens!I9302*tk_hold_gb200+Sens!I9303*tk_hold_gb300+Sens!I9304*tk_hold_vr200)/Sens!I9294</f>
        <v>11.3128009818501</v>
      </c>
      <c r="J9305" s="18" t="n">
        <f aca="false">(Sens!J9301*tk_hold_h100+Sens!J9302*tk_hold_gb200+Sens!J9303*tk_hold_gb300+Sens!J9304*tk_hold_vr200)/Sens!J9294</f>
        <v>11.4366894646418</v>
      </c>
      <c r="K9305" s="18" t="n">
        <f aca="false">(Sens!K9301*tk_hold_h100+Sens!K9302*tk_hold_gb200+Sens!K9303*tk_hold_gb300+Sens!K9304*tk_hold_vr200)/Sens!K9294</f>
        <v>11.526570716348</v>
      </c>
    </row>
    <row r="9306" customFormat="false" ht="17.15" hidden="false" customHeight="false" outlineLevel="0" collapsed="false">
      <c r="A9306" s="0" t="s">
        <v>734</v>
      </c>
      <c r="B9306" s="0" t="s">
        <v>182</v>
      </c>
      <c r="C9306" s="18" t="n">
        <f aca="false">k_B</f>
        <v>1.17213932619116</v>
      </c>
      <c r="D9306" s="18" t="n">
        <f aca="false">k_B</f>
        <v>1.17213932619116</v>
      </c>
      <c r="E9306" s="18" t="n">
        <f aca="false">k_B</f>
        <v>1.17213932619116</v>
      </c>
      <c r="F9306" s="18" t="n">
        <f aca="false">(k_B+((ls_C*k_long+(1-ls_C)*k_spot)-k_B)*MIN(1,1/3))*1</f>
        <v>1.07843258004497</v>
      </c>
      <c r="G9306" s="18" t="n">
        <f aca="false">(k_B+((ls_C*k_long+(1-ls_C)*k_spot)-k_B)*MIN(1,2/3))*1</f>
        <v>0.984725833898784</v>
      </c>
      <c r="H9306" s="18" t="n">
        <f aca="false">(k_B+((ls_C*k_long+(1-ls_C)*k_spot)-k_B)*MIN(1,3/3))*1</f>
        <v>0.891019087752599</v>
      </c>
      <c r="I9306" s="18" t="n">
        <f aca="false">(k_B+((ls_C*k_long+(1-ls_C)*k_spot)-k_B)*MIN(1,4/3))*1</f>
        <v>0.891019087752599</v>
      </c>
      <c r="J9306" s="18" t="n">
        <f aca="false">(k_B+((ls_C*k_long+(1-ls_C)*k_spot)-k_B)*MIN(1,5/3))*1</f>
        <v>0.891019087752599</v>
      </c>
      <c r="K9306" s="18" t="n">
        <f aca="false">(k_B+((ls_C*k_long+(1-ls_C)*k_spot)-k_B)*MIN(1,6/3))*1</f>
        <v>0.891019087752599</v>
      </c>
      <c r="L9306" s="1" t="s">
        <v>735</v>
      </c>
    </row>
    <row r="9307" customFormat="false" ht="17.15" hidden="false" customHeight="false" outlineLevel="0" collapsed="false">
      <c r="A9307" s="1" t="s">
        <v>736</v>
      </c>
      <c r="B9307" s="0" t="s">
        <v>291</v>
      </c>
      <c r="C9307" s="18" t="n">
        <f aca="false">Sens!C9305*Sens!C9306*chip_f</f>
        <v>11.3973387156315</v>
      </c>
      <c r="D9307" s="18" t="n">
        <f aca="false">Sens!D9305*Sens!D9306*chip_f</f>
        <v>11.3973387156315</v>
      </c>
      <c r="E9307" s="18" t="n">
        <f aca="false">Sens!E9305*Sens!E9306*chip_f</f>
        <v>11.3973387156315</v>
      </c>
      <c r="F9307" s="18" t="n">
        <f aca="false">Sens!F9305*Sens!F9306*chip_f</f>
        <v>11.2242802615</v>
      </c>
      <c r="G9307" s="18" t="n">
        <f aca="false">Sens!G9305*Sens!G9306*chip_f</f>
        <v>10.6732592791352</v>
      </c>
      <c r="H9307" s="18" t="n">
        <f aca="false">Sens!H9305*Sens!H9306*chip_f</f>
        <v>9.91802420610807</v>
      </c>
      <c r="I9307" s="18" t="n">
        <f aca="false">Sens!I9305*Sens!I9306*chip_f</f>
        <v>10.0799216107748</v>
      </c>
      <c r="J9307" s="18" t="n">
        <f aca="false">Sens!J9305*Sens!J9306*chip_f</f>
        <v>10.1903086136949</v>
      </c>
      <c r="K9307" s="18" t="n">
        <f aca="false">Sens!K9305*Sens!K9306*chip_f</f>
        <v>10.2703945245962</v>
      </c>
      <c r="L9307" s="1" t="s">
        <v>737</v>
      </c>
    </row>
    <row r="9308" customFormat="false" ht="17.15" hidden="false" customHeight="false" outlineLevel="0" collapsed="false">
      <c r="A9308" s="0" t="s">
        <v>738</v>
      </c>
      <c r="B9308" s="0" t="s">
        <v>95</v>
      </c>
      <c r="D9308" s="6" t="n">
        <f aca="false">(Sens!C9294+Sens!D9294)/2*Sens!D9307/1000</f>
        <v>12.9359794422418</v>
      </c>
      <c r="E9308" s="6" t="n">
        <f aca="false">(Sens!D9294+Sens!E9294)/2*Sens!E9307/1000</f>
        <v>27.8095064661409</v>
      </c>
      <c r="F9308" s="6" t="n">
        <f aca="false">(Sens!E9294+Sens!F9294)/2*Sens!F9307/1000</f>
        <v>50.6619113883066</v>
      </c>
      <c r="G9308" s="6" t="n">
        <f aca="false">(Sens!F9294+Sens!G9294)/2*Sens!G9307/1000</f>
        <v>75.1482839325348</v>
      </c>
      <c r="H9308" s="6" t="n">
        <f aca="false">(Sens!G9294+Sens!H9294)/2*Sens!H9307/1000</f>
        <v>94.895655604042</v>
      </c>
      <c r="I9308" s="6" t="n">
        <f aca="false">(Sens!H9294+Sens!I9294)/2*Sens!I9307/1000</f>
        <v>121.918667866643</v>
      </c>
      <c r="J9308" s="6" t="n">
        <f aca="false">(Sens!I9294+Sens!J9294)/2*Sens!J9307/1000</f>
        <v>149.006768672892</v>
      </c>
      <c r="K9308" s="6" t="n">
        <f aca="false">(Sens!J9294+Sens!K9294)/2*Sens!K9307/1000</f>
        <v>176.133157939015</v>
      </c>
      <c r="L9308" s="11" t="s">
        <v>739</v>
      </c>
    </row>
    <row r="9309" customFormat="false" ht="17.15" hidden="false" customHeight="false" outlineLevel="0" collapsed="false">
      <c r="A9309" s="1" t="s">
        <v>740</v>
      </c>
      <c r="B9309" s="0" t="s">
        <v>291</v>
      </c>
      <c r="C9309" s="18" t="n">
        <f aca="false">(Sens!C9301*tk_opex_h100+Sens!C9302*tk_opex_gb200+Sens!C9303*tk_opex_gb300+Sens!C9304*tk_opex_vr200)/Sens!C9294</f>
        <v>1.88636041306092</v>
      </c>
      <c r="D9309" s="18" t="n">
        <f aca="false">(Sens!D9301*tk_opex_h100+Sens!D9302*tk_opex_gb200+Sens!D9303*tk_opex_gb300+Sens!D9304*tk_opex_vr200)/Sens!D9294</f>
        <v>1.88636041306092</v>
      </c>
      <c r="E9309" s="18" t="n">
        <f aca="false">(Sens!E9301*tk_opex_h100+Sens!E9302*tk_opex_gb200+Sens!E9303*tk_opex_gb300+Sens!E9304*tk_opex_vr200)/Sens!E9294</f>
        <v>1.88636041306092</v>
      </c>
      <c r="F9309" s="18" t="n">
        <f aca="false">(Sens!F9301*tk_opex_h100+Sens!F9302*tk_opex_gb200+Sens!F9303*tk_opex_gb300+Sens!F9304*tk_opex_vr200)/Sens!F9294</f>
        <v>1.9430236476499</v>
      </c>
      <c r="G9309" s="18" t="n">
        <f aca="false">(Sens!G9301*tk_opex_h100+Sens!G9302*tk_opex_gb200+Sens!G9303*tk_opex_gb300+Sens!G9304*tk_opex_vr200)/Sens!G9294</f>
        <v>1.9786941852423</v>
      </c>
      <c r="H9309" s="18" t="n">
        <f aca="false">(Sens!H9301*tk_opex_h100+Sens!H9302*tk_opex_gb200+Sens!H9303*tk_opex_gb300+Sens!H9304*tk_opex_vr200)/Sens!H9294</f>
        <v>2.00289275976156</v>
      </c>
      <c r="I9309" s="18" t="n">
        <f aca="false">(Sens!I9301*tk_opex_h100+Sens!I9302*tk_opex_gb200+Sens!I9303*tk_opex_gb300+Sens!I9304*tk_opex_vr200)/Sens!I9294</f>
        <v>2.01793562605478</v>
      </c>
      <c r="J9309" s="18" t="n">
        <f aca="false">(Sens!J9301*tk_opex_h100+Sens!J9302*tk_opex_gb200+Sens!J9303*tk_opex_gb300+Sens!J9304*tk_opex_vr200)/Sens!J9294</f>
        <v>2.02819234961902</v>
      </c>
      <c r="K9309" s="18" t="n">
        <f aca="false">(Sens!K9301*tk_opex_h100+Sens!K9302*tk_opex_gb200+Sens!K9303*tk_opex_gb300+Sens!K9304*tk_opex_vr200)/Sens!K9294</f>
        <v>2.0356336155994</v>
      </c>
    </row>
    <row r="9310" customFormat="false" ht="17.15" hidden="false" customHeight="false" outlineLevel="0" collapsed="false">
      <c r="A9310" s="0" t="s">
        <v>741</v>
      </c>
      <c r="B9310" s="0" t="s">
        <v>95</v>
      </c>
      <c r="D9310" s="6" t="n">
        <f aca="false">(Sens!C9297+Sens!D9297)/2*Sens!D9309/1000</f>
        <v>2.70378325872065</v>
      </c>
      <c r="E9310" s="6" t="n">
        <f aca="false">(Sens!D9297+Sens!E9297)/2*Sens!E9309/1000</f>
        <v>6.17783035277451</v>
      </c>
      <c r="F9310" s="6" t="n">
        <f aca="false">(Sens!E9297+Sens!F9297)/2*Sens!F9309/1000</f>
        <v>12.5020618235287</v>
      </c>
      <c r="G9310" s="6" t="n">
        <f aca="false">(Sens!F9297+Sens!G9297)/2*Sens!G9309/1000</f>
        <v>20.7261620256847</v>
      </c>
      <c r="H9310" s="6" t="n">
        <f aca="false">(Sens!G9297+Sens!H9297)/2*Sens!H9309/1000</f>
        <v>29.4158183316982</v>
      </c>
      <c r="I9310" s="6" t="n">
        <f aca="false">(Sens!H9297+Sens!I9297)/2*Sens!I9309/1000</f>
        <v>38.1362927516005</v>
      </c>
      <c r="J9310" s="6" t="n">
        <f aca="false">(Sens!I9297+Sens!J9297)/2*Sens!J9309/1000</f>
        <v>46.8728773279286</v>
      </c>
      <c r="K9310" s="6" t="n">
        <f aca="false">(Sens!J9297+Sens!K9297)/2*Sens!K9309/1000</f>
        <v>55.618938734484</v>
      </c>
    </row>
    <row r="9311" customFormat="false" ht="17.15" hidden="false" customHeight="false" outlineLevel="0" collapsed="false">
      <c r="A9311" s="0" t="s">
        <v>742</v>
      </c>
      <c r="B9311" s="0" t="s">
        <v>95</v>
      </c>
      <c r="D9311" s="6" t="n">
        <f aca="false">(Sens!C9295+Sens!D9295)/2*rent_mw/1000</f>
        <v>2.44475</v>
      </c>
      <c r="E9311" s="6" t="n">
        <f aca="false">(Sens!D9295+Sens!E9295)/2*rent_mw/1000</f>
        <v>4.22275</v>
      </c>
      <c r="F9311" s="6" t="n">
        <f aca="false">(Sens!E9295+Sens!F9295)/2*rent_mw/1000</f>
        <v>5.80517</v>
      </c>
      <c r="G9311" s="6" t="n">
        <f aca="false">(Sens!F9295+Sens!G9295)/2*rent_mw/1000</f>
        <v>6.72084</v>
      </c>
      <c r="H9311" s="6" t="n">
        <f aca="false">(Sens!G9295+Sens!H9295)/2*rent_mw/1000</f>
        <v>6.72084</v>
      </c>
      <c r="I9311" s="6" t="n">
        <f aca="false">(Sens!H9295+Sens!I9295)/2*rent_mw/1000</f>
        <v>6.72084</v>
      </c>
      <c r="J9311" s="6" t="n">
        <f aca="false">(Sens!I9295+Sens!J9295)/2*rent_mw/1000</f>
        <v>6.72084</v>
      </c>
      <c r="K9311" s="6" t="n">
        <f aca="false">(Sens!J9295+Sens!K9295)/2*rent_mw/1000</f>
        <v>6.72084</v>
      </c>
    </row>
    <row r="9312" customFormat="false" ht="17.15" hidden="false" customHeight="false" outlineLevel="0" collapsed="false">
      <c r="A9312" s="0" t="s">
        <v>743</v>
      </c>
      <c r="B9312" s="0" t="s">
        <v>95</v>
      </c>
      <c r="D9312" s="6" t="n">
        <f aca="false">(Sens!C9297+Sens!D9297)/2*(1-self_build)*fac_rent/1000</f>
        <v>0.853242375631075</v>
      </c>
      <c r="E9312" s="6" t="n">
        <f aca="false">(Sens!D9297+Sens!E9297)/2*(1-self_build)*fac_rent/1000</f>
        <v>1.94955961408728</v>
      </c>
      <c r="F9312" s="6" t="n">
        <f aca="false">(Sens!E9297+Sens!F9297)/2*(1-self_build)*fac_rent/1000</f>
        <v>3.83026455274573</v>
      </c>
      <c r="G9312" s="6" t="n">
        <f aca="false">(Sens!F9297+Sens!G9297)/2*(1-self_build)*fac_rent/1000</f>
        <v>6.23541590972812</v>
      </c>
      <c r="H9312" s="6" t="n">
        <f aca="false">(Sens!G9297+Sens!H9297)/2*(1-self_build)*fac_rent/1000</f>
        <v>8.74275792332679</v>
      </c>
      <c r="I9312" s="6" t="n">
        <f aca="false">(Sens!H9297+Sens!I9297)/2*(1-self_build)*fac_rent/1000</f>
        <v>11.2500999369255</v>
      </c>
      <c r="J9312" s="6" t="n">
        <f aca="false">(Sens!I9297+Sens!J9297)/2*(1-self_build)*fac_rent/1000</f>
        <v>13.7574419505241</v>
      </c>
      <c r="K9312" s="6" t="n">
        <f aca="false">(Sens!J9297+Sens!K9297)/2*(1-self_build)*fac_rent/1000</f>
        <v>16.2647839641228</v>
      </c>
      <c r="L9312" s="11" t="s">
        <v>744</v>
      </c>
    </row>
    <row r="9313" customFormat="false" ht="17.15" hidden="false" customHeight="false" outlineLevel="0" collapsed="false">
      <c r="A9313" s="1" t="s">
        <v>745</v>
      </c>
      <c r="B9313" s="0" t="s">
        <v>126</v>
      </c>
      <c r="D9313" s="7" t="n">
        <f aca="false">(Sens!C9296+Sens!D9296)/(Sens!C9297+Sens!D9297)</f>
        <v>0.6</v>
      </c>
      <c r="E9313" s="7" t="n">
        <f aca="false">(Sens!D9296+Sens!E9296)/(Sens!D9297+Sens!E9297)</f>
        <v>0.6</v>
      </c>
      <c r="F9313" s="7" t="n">
        <f aca="false">(Sens!E9296+Sens!F9296)/(Sens!E9297+Sens!F9297)</f>
        <v>0.6</v>
      </c>
      <c r="G9313" s="7" t="n">
        <f aca="false">(Sens!F9296+Sens!G9296)/(Sens!F9297+Sens!G9297)</f>
        <v>0.6</v>
      </c>
      <c r="H9313" s="7" t="n">
        <f aca="false">(Sens!G9296+Sens!H9296)/(Sens!G9297+Sens!H9297)</f>
        <v>0.6</v>
      </c>
      <c r="I9313" s="7" t="n">
        <f aca="false">(Sens!H9296+Sens!I9296)/(Sens!H9297+Sens!I9297)</f>
        <v>0.6</v>
      </c>
      <c r="J9313" s="7" t="n">
        <f aca="false">(Sens!I9296+Sens!J9296)/(Sens!I9297+Sens!J9297)</f>
        <v>0.6</v>
      </c>
      <c r="K9313" s="7" t="n">
        <f aca="false">(Sens!J9296+Sens!K9296)/(Sens!J9297+Sens!K9297)</f>
        <v>0.6</v>
      </c>
    </row>
    <row r="9314" customFormat="false" ht="17.15" hidden="false" customHeight="false" outlineLevel="0" collapsed="false">
      <c r="A9314" s="0" t="s">
        <v>746</v>
      </c>
      <c r="B9314" s="0" t="s">
        <v>95</v>
      </c>
      <c r="D9314" s="6" t="n">
        <f aca="false">Sens!D9308-Sens!D9313*(Sens!D9310+Sens!D9312)-Sens!D9311</f>
        <v>8.35701406163072</v>
      </c>
      <c r="E9314" s="6" t="n">
        <f aca="false">Sens!E9308-Sens!E9313*(Sens!E9310+Sens!E9312)-Sens!E9311</f>
        <v>18.7103224860238</v>
      </c>
      <c r="F9314" s="6" t="n">
        <f aca="false">Sens!F9308-Sens!F9313*(Sens!F9310+Sens!F9312)-Sens!F9311</f>
        <v>35.0573455625419</v>
      </c>
      <c r="G9314" s="6" t="n">
        <f aca="false">Sens!G9308-Sens!G9313*(Sens!G9310+Sens!G9312)-Sens!G9311</f>
        <v>52.2504971712871</v>
      </c>
      <c r="H9314" s="6" t="n">
        <f aca="false">Sens!H9308-Sens!H9313*(Sens!H9310+Sens!H9312)-Sens!H9311</f>
        <v>65.2796698510271</v>
      </c>
      <c r="I9314" s="6" t="n">
        <f aca="false">Sens!I9308-Sens!I9313*(Sens!I9310+Sens!I9312)-Sens!I9311</f>
        <v>85.5659922535278</v>
      </c>
      <c r="J9314" s="6" t="n">
        <f aca="false">Sens!J9308-Sens!J9313*(Sens!J9310+Sens!J9312)-Sens!J9311</f>
        <v>105.90773710582</v>
      </c>
      <c r="K9314" s="6" t="n">
        <f aca="false">Sens!K9308-Sens!K9313*(Sens!K9310+Sens!K9312)-Sens!K9311</f>
        <v>126.282084319851</v>
      </c>
    </row>
    <row r="9315" customFormat="false" ht="17.15" hidden="false" customHeight="false" outlineLevel="0" collapsed="false">
      <c r="A9315" s="1" t="s">
        <v>747</v>
      </c>
      <c r="B9315" s="0" t="s">
        <v>95</v>
      </c>
      <c r="D9315" s="6" t="n">
        <f aca="false">(1-Sens!D9313)*(Sens!D9310+Sens!D9312)</f>
        <v>1.42281025374069</v>
      </c>
      <c r="E9315" s="6" t="n">
        <f aca="false">(1-Sens!E9313)*(Sens!E9310+Sens!E9312)</f>
        <v>3.25095598674472</v>
      </c>
      <c r="F9315" s="6" t="n">
        <f aca="false">(1-Sens!F9313)*(Sens!F9310+Sens!F9312)</f>
        <v>6.53293055050977</v>
      </c>
      <c r="G9315" s="6" t="n">
        <f aca="false">(1-Sens!G9313)*(Sens!G9310+Sens!G9312)</f>
        <v>10.7846311741651</v>
      </c>
      <c r="H9315" s="6" t="n">
        <f aca="false">(1-Sens!H9313)*(Sens!H9310+Sens!H9312)</f>
        <v>15.26343050201</v>
      </c>
      <c r="I9315" s="6" t="n">
        <f aca="false">(1-Sens!I9313)*(Sens!I9310+Sens!I9312)</f>
        <v>19.7545570754104</v>
      </c>
      <c r="J9315" s="6" t="n">
        <f aca="false">(1-Sens!J9313)*(Sens!J9310+Sens!J9312)</f>
        <v>24.2521277113811</v>
      </c>
      <c r="K9315" s="6" t="n">
        <f aca="false">(1-Sens!K9313)*(Sens!K9310+Sens!K9312)</f>
        <v>28.7534890794427</v>
      </c>
    </row>
    <row r="9316" customFormat="false" ht="17.15" hidden="false" customHeight="false" outlineLevel="0" collapsed="false">
      <c r="A9316" s="1" t="s">
        <v>748</v>
      </c>
      <c r="B9316" s="0" t="s">
        <v>302</v>
      </c>
      <c r="C9316" s="8" t="n">
        <f aca="false">cxit_open</f>
        <v>27.5918995</v>
      </c>
      <c r="D9316" s="8" t="n">
        <f aca="false">cxit_open</f>
        <v>27.5918995</v>
      </c>
      <c r="E9316" s="8" t="n">
        <f aca="false">cxit_open</f>
        <v>27.5918995</v>
      </c>
      <c r="F9316" s="8" t="n">
        <f aca="false">(a_g3_27*tk_cxit_gb300+(1-a_g3_27)*tk_cxit_vr200)</f>
        <v>33.8419624</v>
      </c>
      <c r="G9316" s="8" t="n">
        <f aca="false">(a_g3_28*tk_cxit_gb300+(1-a_g3_28)*tk_cxit_vr200)</f>
        <v>35.9816136</v>
      </c>
      <c r="H9316" s="8" t="n">
        <f aca="false">(a_g3_29*tk_cxit_gb300+(1-a_g3_29)*tk_cxit_vr200)</f>
        <v>37.0514392</v>
      </c>
      <c r="I9316" s="8" t="n">
        <f aca="false">(a_g3_29*tk_cxit_gb300+(1-a_g3_29)*tk_cxit_vr200)</f>
        <v>37.0514392</v>
      </c>
      <c r="J9316" s="8" t="n">
        <f aca="false">(a_g3_29*tk_cxit_gb300+(1-a_g3_29)*tk_cxit_vr200)</f>
        <v>37.0514392</v>
      </c>
      <c r="K9316" s="8" t="n">
        <f aca="false">(a_g3_29*tk_cxit_gb300+(1-a_g3_29)*tk_cxit_vr200)</f>
        <v>37.0514392</v>
      </c>
      <c r="L9316" s="11" t="s">
        <v>749</v>
      </c>
    </row>
    <row r="9317" customFormat="false" ht="17.15" hidden="false" customHeight="false" outlineLevel="0" collapsed="false">
      <c r="A9317" s="0" t="s">
        <v>750</v>
      </c>
      <c r="B9317" s="0" t="s">
        <v>340</v>
      </c>
      <c r="F9317" s="27" t="n">
        <f aca="false">Sens!C9299*IF(3=life_it,1,0)+Sens!D9299*IF(2=life_it,1,0)+Sens!E9299*IF(1=life_it,1,0)</f>
        <v>0</v>
      </c>
      <c r="G9317" s="27" t="n">
        <f aca="false">Sens!C9299*IF(4=life_it,1,0)+Sens!D9299*IF(3=life_it,1,0)+Sens!E9299*IF(2=life_it,1,0)+Sens!F9299*IF(1=life_it,1,0)</f>
        <v>0</v>
      </c>
      <c r="H9317" s="27" t="n">
        <f aca="false">Sens!C9299*IF(5=life_it,1,0)+Sens!D9299*IF(4=life_it,1,0)+Sens!E9299*IF(3=life_it,1,0)+Sens!F9299*IF(2=life_it,1,0)+Sens!G9299*IF(1=life_it,1,0)</f>
        <v>0</v>
      </c>
      <c r="I9317" s="27" t="n">
        <f aca="false">Sens!C9299*IF(6=life_it,1,0)+Sens!D9299*IF(5=life_it,1,0)+Sens!E9299*IF(4=life_it,1,0)+Sens!F9299*IF(3=life_it,1,0)+Sens!G9299*IF(2=life_it,1,0)+Sens!H9299*IF(1=life_it,1,0)</f>
        <v>816.666666666667</v>
      </c>
      <c r="J9317" s="27" t="n">
        <f aca="false">Sens!C9299*IF(7=life_it,1,0)+Sens!D9299*IF(6=life_it,1,0)+Sens!E9299*IF(5=life_it,1,0)+Sens!F9299*IF(4=life_it,1,0)+Sens!G9299*IF(3=life_it,1,0)+Sens!H9299*IF(2=life_it,1,0)+Sens!I9299*IF(1=life_it,1,0)</f>
        <v>1233.33333333333</v>
      </c>
      <c r="K9317" s="27" t="n">
        <f aca="false">Sens!C9299*IF(8=life_it,1,0)+Sens!D9299*IF(7=life_it,1,0)+Sens!E9299*IF(6=life_it,1,0)+Sens!F9299*IF(5=life_it,1,0)+Sens!G9299*IF(4=life_it,1,0)+Sens!H9299*IF(3=life_it,1,0)+Sens!I9299*IF(2=life_it,1,0)+Sens!J9299*IF(1=life_it,1,0)</f>
        <v>2450</v>
      </c>
      <c r="L9317" s="1" t="s">
        <v>751</v>
      </c>
    </row>
    <row r="9318" customFormat="false" ht="17.15" hidden="false" customHeight="false" outlineLevel="0" collapsed="false">
      <c r="A9318" s="0" t="s">
        <v>752</v>
      </c>
      <c r="B9318" s="0" t="s">
        <v>95</v>
      </c>
      <c r="C9318" s="6" t="n">
        <f aca="false">Sens!C9299*Sens!C9316/1000</f>
        <v>22.5333845916667</v>
      </c>
      <c r="D9318" s="6" t="n">
        <f aca="false">Sens!D9299*Sens!D9316/1000</f>
        <v>34.0300093833333</v>
      </c>
      <c r="E9318" s="6" t="n">
        <f aca="false">Sens!E9299*Sens!E9316/1000</f>
        <v>67.600153775</v>
      </c>
      <c r="F9318" s="6" t="n">
        <f aca="false">(Sens!F9299+Sens!F9317)*Sens!F9316/1000</f>
        <v>130.923271871467</v>
      </c>
      <c r="G9318" s="6" t="n">
        <f aca="false">(Sens!G9299+Sens!G9317)*Sens!G9316/1000</f>
        <v>151.5545564832</v>
      </c>
      <c r="H9318" s="6" t="n">
        <f aca="false">(Sens!H9299+Sens!H9317)*Sens!H9316/1000</f>
        <v>156.0606619104</v>
      </c>
      <c r="I9318" s="6" t="n">
        <f aca="false">(Sens!I9299+Sens!I9317)*Sens!I9316/1000</f>
        <v>186.319337257067</v>
      </c>
      <c r="J9318" s="6" t="n">
        <f aca="false">(Sens!J9299+Sens!J9317)*Sens!J9316/1000</f>
        <v>201.757436923733</v>
      </c>
      <c r="K9318" s="6" t="n">
        <f aca="false">(Sens!K9299+Sens!K9317)*Sens!K9316/1000</f>
        <v>246.8366879504</v>
      </c>
    </row>
    <row r="9319" customFormat="false" ht="17.15" hidden="false" customHeight="false" outlineLevel="0" collapsed="false">
      <c r="A9319" s="0" t="s">
        <v>753</v>
      </c>
      <c r="B9319" s="0" t="s">
        <v>95</v>
      </c>
      <c r="C9319" s="6" t="n">
        <f aca="false">Sens!C9299*self_build*tk_cxfac/1000</f>
        <v>6.2083</v>
      </c>
      <c r="D9319" s="6" t="n">
        <f aca="false">Sens!D9299*self_build*tk_cxfac/1000</f>
        <v>9.3758</v>
      </c>
      <c r="E9319" s="6" t="n">
        <f aca="false">Sens!E9299*self_build*tk_cxfac/1000</f>
        <v>18.6249</v>
      </c>
      <c r="F9319" s="6" t="n">
        <f aca="false">Sens!F9299*self_build*tk_cxfac/1000</f>
        <v>29.409604</v>
      </c>
      <c r="G9319" s="6" t="n">
        <f aca="false">Sens!G9299*self_build*tk_cxfac/1000</f>
        <v>32.019624</v>
      </c>
      <c r="H9319" s="6" t="n">
        <f aca="false">Sens!H9299*self_build*tk_cxfac/1000</f>
        <v>32.019624</v>
      </c>
      <c r="I9319" s="6" t="n">
        <f aca="false">Sens!I9299*self_build*tk_cxfac/1000</f>
        <v>32.019624</v>
      </c>
      <c r="J9319" s="6" t="n">
        <f aca="false">Sens!J9299*self_build*tk_cxfac/1000</f>
        <v>32.019624</v>
      </c>
      <c r="K9319" s="6" t="n">
        <f aca="false">Sens!K9299*self_build*tk_cxfac/1000</f>
        <v>32.019624</v>
      </c>
    </row>
    <row r="9320" customFormat="false" ht="17.15" hidden="false" customHeight="false" outlineLevel="0" collapsed="false">
      <c r="A9320" s="0" t="s">
        <v>754</v>
      </c>
      <c r="B9320" s="0" t="s">
        <v>95</v>
      </c>
      <c r="F9320" s="6" t="n">
        <f aca="false">MAX(0,capex_floor27-Sens!F9318-Sens!F9319-Sens!F9407)</f>
        <v>8.43450839897088</v>
      </c>
      <c r="G9320" s="6" t="n">
        <f aca="false">0</f>
        <v>0</v>
      </c>
      <c r="H9320" s="6" t="n">
        <f aca="false">0</f>
        <v>0</v>
      </c>
      <c r="I9320" s="6" t="n">
        <f aca="false">0</f>
        <v>0</v>
      </c>
      <c r="J9320" s="6" t="n">
        <f aca="false">0</f>
        <v>0</v>
      </c>
      <c r="K9320" s="6" t="n">
        <f aca="false">0</f>
        <v>0</v>
      </c>
      <c r="L9320" s="1" t="s">
        <v>755</v>
      </c>
    </row>
    <row r="9321" customFormat="false" ht="17.15" hidden="false" customHeight="false" outlineLevel="0" collapsed="false">
      <c r="A9321" s="0" t="s">
        <v>756</v>
      </c>
      <c r="B9321" s="0" t="s">
        <v>95</v>
      </c>
      <c r="C9321" s="6" t="n">
        <f aca="false">Sens!C9318</f>
        <v>22.5333845916667</v>
      </c>
      <c r="D9321" s="6" t="n">
        <f aca="false">Sens!D9318</f>
        <v>34.0300093833333</v>
      </c>
      <c r="E9321" s="6" t="n">
        <f aca="false">Sens!E9318</f>
        <v>67.600153775</v>
      </c>
      <c r="F9321" s="6" t="n">
        <f aca="false">Sens!F9318+Sens!F9320</f>
        <v>139.357780270438</v>
      </c>
      <c r="G9321" s="6" t="n">
        <f aca="false">Sens!G9318+Sens!G9320</f>
        <v>151.5545564832</v>
      </c>
      <c r="H9321" s="6" t="n">
        <f aca="false">Sens!H9318+Sens!H9320</f>
        <v>156.0606619104</v>
      </c>
      <c r="I9321" s="6" t="n">
        <f aca="false">Sens!I9318+Sens!I9320</f>
        <v>186.319337257067</v>
      </c>
      <c r="J9321" s="6" t="n">
        <f aca="false">Sens!J9318+Sens!J9320</f>
        <v>201.757436923733</v>
      </c>
      <c r="K9321" s="6" t="n">
        <f aca="false">Sens!K9318+Sens!K9320</f>
        <v>246.8366879504</v>
      </c>
    </row>
    <row r="9322" customFormat="false" ht="17.15" hidden="false" customHeight="false" outlineLevel="0" collapsed="false">
      <c r="A9322" s="0" t="s">
        <v>757</v>
      </c>
      <c r="B9322" s="0" t="s">
        <v>95</v>
      </c>
      <c r="C9322" s="6" t="n">
        <f aca="false">Sens!C9321+Sens!C9319</f>
        <v>28.7416845916667</v>
      </c>
      <c r="D9322" s="6" t="n">
        <f aca="false">Sens!D9321+Sens!D9319</f>
        <v>43.4058093833333</v>
      </c>
      <c r="E9322" s="6" t="n">
        <f aca="false">Sens!E9321+Sens!E9319</f>
        <v>86.225053775</v>
      </c>
      <c r="F9322" s="6" t="n">
        <f aca="false">Sens!F9321+Sens!F9319</f>
        <v>168.767384270438</v>
      </c>
      <c r="G9322" s="6" t="n">
        <f aca="false">Sens!G9321+Sens!G9319</f>
        <v>183.5741804832</v>
      </c>
      <c r="H9322" s="6" t="n">
        <f aca="false">Sens!H9321+Sens!H9319</f>
        <v>188.0802859104</v>
      </c>
      <c r="I9322" s="6" t="n">
        <f aca="false">Sens!I9321+Sens!I9319</f>
        <v>218.338961257067</v>
      </c>
      <c r="J9322" s="6" t="n">
        <f aca="false">Sens!J9321+Sens!J9319</f>
        <v>233.777060923733</v>
      </c>
      <c r="K9322" s="6" t="n">
        <f aca="false">Sens!K9321+Sens!K9319</f>
        <v>278.8563119504</v>
      </c>
      <c r="L9322" s="11" t="s">
        <v>758</v>
      </c>
    </row>
    <row r="9323" customFormat="false" ht="17.15" hidden="false" customHeight="false" outlineLevel="0" collapsed="false">
      <c r="A9323" s="0" t="s">
        <v>759</v>
      </c>
      <c r="B9323" s="0" t="s">
        <v>95</v>
      </c>
      <c r="E9323" s="6" t="n">
        <f aca="false">(Sens!C9321*IF(2&lt;life_it,1,IF(2=life_it,0.5,0))+Sens!D9321*IF(1&lt;life_it,1,IF(1=life_it,0.5,0))+Sens!E9321*0.5)/life_it</f>
        <v>15.0605784770833</v>
      </c>
      <c r="F9323" s="6" t="n">
        <f aca="false">(Sens!C9321*IF(3&lt;life_it,1,IF(3=life_it,0.5,0))+Sens!D9321*IF(2&lt;life_it,1,IF(2=life_it,0.5,0))+Sens!E9321*IF(1&lt;life_it,1,IF(1=life_it,0.5,0))+Sens!F9321*0.5)/life_it</f>
        <v>32.3070729808698</v>
      </c>
      <c r="G9323" s="6" t="n">
        <f aca="false">(Sens!C9321*IF(4&lt;life_it,1,IF(4=life_it,0.5,0))+Sens!D9321*IF(3&lt;life_it,1,IF(3=life_it,0.5,0))+Sens!E9321*IF(2&lt;life_it,1,IF(2=life_it,0.5,0))+Sens!F9321*IF(1&lt;life_it,1,IF(1=life_it,0.5,0))+Sens!G9321*0.5)/life_it</f>
        <v>56.5497677103396</v>
      </c>
      <c r="H9323" s="6" t="n">
        <f aca="false">(Sens!C9321*IF(5&lt;life_it,1,IF(5=life_it,0.5,0))+Sens!D9321*IF(4&lt;life_it,1,IF(4=life_it,0.5,0))+Sens!E9321*IF(3&lt;life_it,1,IF(3=life_it,0.5,0))+Sens!F9321*IF(2&lt;life_it,1,IF(2=life_it,0.5,0))+Sens!G9321*IF(1&lt;life_it,1,IF(1=life_it,0.5,0))+Sens!H9321*0.5)/life_it</f>
        <v>82.1843692431396</v>
      </c>
      <c r="I9323" s="6" t="n">
        <f aca="false">(Sens!C9321*IF(6&lt;life_it,1,IF(6=life_it,0.5,0))+Sens!D9321*IF(5&lt;life_it,1,IF(5=life_it,0.5,0))+Sens!E9321*IF(4&lt;life_it,1,IF(4=life_it,0.5,0))+Sens!F9321*IF(3&lt;life_it,1,IF(3=life_it,0.5,0))+Sens!G9321*IF(2&lt;life_it,1,IF(2=life_it,0.5,0))+Sens!H9321*IF(1&lt;life_it,1,IF(1=life_it,0.5,0))+Sens!I9321*0.5)/life_it</f>
        <v>108.838253791123</v>
      </c>
      <c r="J9323" s="6" t="n">
        <f aca="false">(Sens!C9321*IF(7&lt;life_it,1,IF(7=life_it,0.5,0))+Sens!D9321*IF(6&lt;life_it,1,IF(6=life_it,0.5,0))+Sens!E9321*IF(5&lt;life_it,1,IF(5=life_it,0.5,0))+Sens!F9321*IF(4&lt;life_it,1,IF(4=life_it,0.5,0))+Sens!G9321*IF(3&lt;life_it,1,IF(3=life_it,0.5,0))+Sens!H9321*IF(2&lt;life_it,1,IF(2=life_it,0.5,0))+Sens!I9321*IF(1&lt;life_it,1,IF(1=life_it,0.5,0))+Sens!J9321*0.5)/life_it</f>
        <v>136.464368808273</v>
      </c>
      <c r="K9323" s="6" t="n">
        <f aca="false">(Sens!C9321*IF(8&lt;life_it,1,IF(8=life_it,0.5,0))+Sens!D9321*IF(7&lt;life_it,1,IF(7=life_it,0.5,0))+Sens!E9321*IF(6&lt;life_it,1,IF(6=life_it,0.5,0))+Sens!F9321*IF(5&lt;life_it,1,IF(5=life_it,0.5,0))+Sens!G9321*IF(4&lt;life_it,1,IF(4=life_it,0.5,0))+Sens!H9321*IF(3&lt;life_it,1,IF(3=life_it,0.5,0))+Sens!I9321*IF(2&lt;life_it,1,IF(2=life_it,0.5,0))+Sens!J9321*IF(1&lt;life_it,1,IF(1=life_it,0.5,0))+Sens!K9321*0.5)/life_it</f>
        <v>165.37803228459</v>
      </c>
    </row>
    <row r="9324" customFormat="false" ht="17.15" hidden="false" customHeight="false" outlineLevel="0" collapsed="false">
      <c r="A9324" s="0" t="s">
        <v>760</v>
      </c>
      <c r="B9324" s="0" t="s">
        <v>95</v>
      </c>
      <c r="E9324" s="6" t="n">
        <f aca="false">(Sens!C9319*IF(2&lt;life_fac,1,IF(2=life_fac,0.5,0))+Sens!D9319*IF(1&lt;life_fac,1,IF(1=life_fac,0.5,0))+Sens!E9319*0.5)/life_fac</f>
        <v>1.2448275</v>
      </c>
      <c r="F9324" s="6" t="n">
        <f aca="false">(Sens!C9319*IF(3&lt;life_fac,1,IF(3=life_fac,0.5,0))+Sens!D9319*IF(2&lt;life_fac,1,IF(2=life_fac,0.5,0))+Sens!E9319*IF(1&lt;life_fac,1,IF(1=life_fac,0.5,0))+Sens!F9319*0.5)/life_fac</f>
        <v>2.4456901</v>
      </c>
      <c r="G9324" s="6" t="n">
        <f aca="false">(Sens!C9319*IF(4&lt;life_fac,1,IF(4=life_fac,0.5,0))+Sens!D9319*IF(3&lt;life_fac,1,IF(3=life_fac,0.5,0))+Sens!E9319*IF(2&lt;life_fac,1,IF(2=life_fac,0.5,0))+Sens!F9319*IF(1&lt;life_fac,1,IF(1=life_fac,0.5,0))+Sens!G9319*0.5)/life_fac</f>
        <v>3.9814208</v>
      </c>
      <c r="H9324" s="6" t="n">
        <f aca="false">(Sens!C9319*IF(5&lt;life_fac,1,IF(5=life_fac,0.5,0))+Sens!D9319*IF(4&lt;life_fac,1,IF(4=life_fac,0.5,0))+Sens!E9319*IF(3&lt;life_fac,1,IF(3=life_fac,0.5,0))+Sens!F9319*IF(2&lt;life_fac,1,IF(2=life_fac,0.5,0))+Sens!G9319*IF(1&lt;life_fac,1,IF(1=life_fac,0.5,0))+Sens!H9319*0.5)/life_fac</f>
        <v>5.582402</v>
      </c>
      <c r="I9324" s="6" t="n">
        <f aca="false">(Sens!C9319*IF(6&lt;life_fac,1,IF(6=life_fac,0.5,0))+Sens!D9319*IF(5&lt;life_fac,1,IF(5=life_fac,0.5,0))+Sens!E9319*IF(4&lt;life_fac,1,IF(4=life_fac,0.5,0))+Sens!F9319*IF(3&lt;life_fac,1,IF(3=life_fac,0.5,0))+Sens!G9319*IF(2&lt;life_fac,1,IF(2=life_fac,0.5,0))+Sens!H9319*IF(1&lt;life_fac,1,IF(1=life_fac,0.5,0))+Sens!I9319*0.5)/life_fac</f>
        <v>7.1833832</v>
      </c>
      <c r="J9324" s="6" t="n">
        <f aca="false">(Sens!C9319*IF(7&lt;life_fac,1,IF(7=life_fac,0.5,0))+Sens!D9319*IF(6&lt;life_fac,1,IF(6=life_fac,0.5,0))+Sens!E9319*IF(5&lt;life_fac,1,IF(5=life_fac,0.5,0))+Sens!F9319*IF(4&lt;life_fac,1,IF(4=life_fac,0.5,0))+Sens!G9319*IF(3&lt;life_fac,1,IF(3=life_fac,0.5,0))+Sens!H9319*IF(2&lt;life_fac,1,IF(2=life_fac,0.5,0))+Sens!I9319*IF(1&lt;life_fac,1,IF(1=life_fac,0.5,0))+Sens!J9319*0.5)/life_fac</f>
        <v>8.7843644</v>
      </c>
      <c r="K9324" s="6" t="n">
        <f aca="false">(Sens!C9319*IF(8&lt;life_fac,1,IF(8=life_fac,0.5,0))+Sens!D9319*IF(7&lt;life_fac,1,IF(7=life_fac,0.5,0))+Sens!E9319*IF(6&lt;life_fac,1,IF(6=life_fac,0.5,0))+Sens!F9319*IF(5&lt;life_fac,1,IF(5=life_fac,0.5,0))+Sens!G9319*IF(4&lt;life_fac,1,IF(4=life_fac,0.5,0))+Sens!H9319*IF(3&lt;life_fac,1,IF(3=life_fac,0.5,0))+Sens!I9319*IF(2&lt;life_fac,1,IF(2=life_fac,0.5,0))+Sens!J9319*IF(1&lt;life_fac,1,IF(1=life_fac,0.5,0))+Sens!K9319*0.5)/life_fac</f>
        <v>10.3853456</v>
      </c>
    </row>
    <row r="9325" customFormat="false" ht="17.15" hidden="false" customHeight="false" outlineLevel="0" collapsed="false">
      <c r="A9325" s="0" t="s">
        <v>761</v>
      </c>
      <c r="B9325" s="0" t="s">
        <v>95</v>
      </c>
      <c r="E9325" s="6" t="n">
        <f aca="false">Sens!E9323+Sens!E9324</f>
        <v>16.3054059770833</v>
      </c>
      <c r="F9325" s="6" t="n">
        <f aca="false">Sens!F9323+Sens!F9324</f>
        <v>34.7527630808698</v>
      </c>
      <c r="G9325" s="6" t="n">
        <f aca="false">Sens!G9323+Sens!G9324</f>
        <v>60.5311885103396</v>
      </c>
      <c r="H9325" s="6" t="n">
        <f aca="false">Sens!H9323+Sens!H9324</f>
        <v>87.7667712431396</v>
      </c>
      <c r="I9325" s="6" t="n">
        <f aca="false">Sens!I9323+Sens!I9324</f>
        <v>116.021636991123</v>
      </c>
      <c r="J9325" s="6" t="n">
        <f aca="false">Sens!J9323+Sens!J9324</f>
        <v>145.248733208273</v>
      </c>
      <c r="K9325" s="6" t="n">
        <f aca="false">Sens!K9323+Sens!K9324</f>
        <v>175.76337788459</v>
      </c>
    </row>
    <row r="9326" customFormat="false" ht="17.15" hidden="false" customHeight="false" outlineLevel="0" collapsed="false">
      <c r="A9326" s="0" t="s">
        <v>762</v>
      </c>
      <c r="B9326" s="0" t="s">
        <v>95</v>
      </c>
      <c r="E9326" s="6" t="n">
        <f aca="false">Sens!E9314-Sens!E9313*Sens!E9325</f>
        <v>8.92707889977379</v>
      </c>
      <c r="F9326" s="6" t="n">
        <f aca="false">Sens!F9314-Sens!F9313*Sens!F9325</f>
        <v>14.20568771402</v>
      </c>
      <c r="G9326" s="6" t="n">
        <f aca="false">Sens!G9314-Sens!G9313*Sens!G9325</f>
        <v>15.9317840650833</v>
      </c>
      <c r="H9326" s="6" t="n">
        <f aca="false">Sens!H9314-Sens!H9313*Sens!H9325</f>
        <v>12.6196071051433</v>
      </c>
      <c r="I9326" s="6" t="n">
        <f aca="false">Sens!I9314-Sens!I9313*Sens!I9325</f>
        <v>15.9530100588541</v>
      </c>
      <c r="J9326" s="6" t="n">
        <f aca="false">Sens!J9314-Sens!J9313*Sens!J9325</f>
        <v>18.7584971808565</v>
      </c>
      <c r="K9326" s="6" t="n">
        <f aca="false">Sens!K9314-Sens!K9313*Sens!K9325</f>
        <v>20.8240575890974</v>
      </c>
    </row>
    <row r="9327" customFormat="false" ht="17.15" hidden="false" customHeight="false" outlineLevel="0" collapsed="false">
      <c r="A9327" s="3" t="s">
        <v>1380</v>
      </c>
    </row>
    <row r="9328" customFormat="false" ht="15" hidden="false" customHeight="false" outlineLevel="0" collapsed="false">
      <c r="A9328" s="4" t="s">
        <v>43</v>
      </c>
      <c r="B9328" s="4" t="s">
        <v>63</v>
      </c>
      <c r="C9328" s="19" t="s">
        <v>710</v>
      </c>
      <c r="D9328" s="19" t="s">
        <v>711</v>
      </c>
      <c r="E9328" s="19" t="s">
        <v>712</v>
      </c>
      <c r="F9328" s="19" t="s">
        <v>713</v>
      </c>
      <c r="G9328" s="19" t="s">
        <v>714</v>
      </c>
      <c r="H9328" s="19" t="s">
        <v>715</v>
      </c>
      <c r="I9328" s="19" t="s">
        <v>716</v>
      </c>
      <c r="J9328" s="19" t="s">
        <v>717</v>
      </c>
      <c r="K9328" s="19" t="s">
        <v>718</v>
      </c>
      <c r="L9328" s="4" t="s">
        <v>47</v>
      </c>
    </row>
    <row r="9329" customFormat="false" ht="17.15" hidden="false" customHeight="false" outlineLevel="0" collapsed="false">
      <c r="A9329" s="0" t="s">
        <v>780</v>
      </c>
      <c r="B9329" s="0" t="s">
        <v>95</v>
      </c>
      <c r="D9329" s="6" t="n">
        <f aca="false">Sens!D9308</f>
        <v>12.9359794422418</v>
      </c>
      <c r="E9329" s="6" t="n">
        <f aca="false">Sens!E9308</f>
        <v>27.8095064661409</v>
      </c>
      <c r="F9329" s="6" t="n">
        <f aca="false">Sens!F9308</f>
        <v>50.6619113883066</v>
      </c>
      <c r="G9329" s="6" t="n">
        <f aca="false">Sens!G9308</f>
        <v>75.1482839325348</v>
      </c>
      <c r="H9329" s="6" t="n">
        <f aca="false">Sens!H9308</f>
        <v>94.895655604042</v>
      </c>
      <c r="I9329" s="6" t="n">
        <f aca="false">Sens!I9308</f>
        <v>121.918667866643</v>
      </c>
      <c r="J9329" s="6" t="n">
        <f aca="false">Sens!J9308</f>
        <v>149.006768672892</v>
      </c>
      <c r="K9329" s="6" t="n">
        <f aca="false">Sens!K9308</f>
        <v>176.133157939015</v>
      </c>
    </row>
    <row r="9330" customFormat="false" ht="17.15" hidden="false" customHeight="false" outlineLevel="0" collapsed="false">
      <c r="A9330" s="0" t="s">
        <v>781</v>
      </c>
      <c r="B9330" s="0" t="s">
        <v>95</v>
      </c>
      <c r="D9330" s="6" t="n">
        <f aca="false">Q!L6-Sens!D9329</f>
        <v>59.6740205577583</v>
      </c>
      <c r="E9330" s="6" t="n">
        <f aca="false">Q!M6-Sens!E9329</f>
        <v>74.1284935338591</v>
      </c>
      <c r="F9330" s="6" t="n">
        <f aca="false">Sens!E9330*(1+Sens!F9331)</f>
        <v>90.0799497373663</v>
      </c>
      <c r="G9330" s="6" t="n">
        <f aca="false">Sens!F9330*(1+Sens!G9331)</f>
        <v>107.02842520331</v>
      </c>
      <c r="H9330" s="6" t="n">
        <f aca="false">Sens!G9330*(1+Sens!H9331)</f>
        <v>124.271982585636</v>
      </c>
      <c r="I9330" s="6" t="n">
        <f aca="false">Sens!H9330*(1+Sens!I9331)</f>
        <v>140.933702381855</v>
      </c>
      <c r="J9330" s="6" t="n">
        <f aca="false">Sens!I9330*(1+Sens!J9331)</f>
        <v>156.018867314332</v>
      </c>
      <c r="K9330" s="6" t="n">
        <f aca="false">Sens!J9330*(1+Sens!K9331)</f>
        <v>168.500376699478</v>
      </c>
    </row>
    <row r="9331" customFormat="false" ht="15" hidden="false" customHeight="false" outlineLevel="0" collapsed="false">
      <c r="A9331" s="1" t="s">
        <v>782</v>
      </c>
      <c r="B9331" s="0" t="s">
        <v>126</v>
      </c>
      <c r="E9331" s="7" t="n">
        <f aca="false">Sens!E9330/Sens!D9330-1</f>
        <v>0.242223883039864</v>
      </c>
      <c r="F9331" s="7" t="n">
        <f aca="false">Sens!$E$9331+(glt_azo-Sens!$E$9331)*MIN(1,1/n_conv)</f>
        <v>0.215186569199887</v>
      </c>
      <c r="G9331" s="7" t="n">
        <f aca="false">Sens!$E$9331+(glt_azo-Sens!$E$9331)*MIN(1,2/n_conv)</f>
        <v>0.18814925535991</v>
      </c>
      <c r="H9331" s="7" t="n">
        <f aca="false">Sens!$E$9331+(glt_azo-Sens!$E$9331)*MIN(1,3/n_conv)</f>
        <v>0.161111941519932</v>
      </c>
      <c r="I9331" s="7" t="n">
        <f aca="false">Sens!$E$9331+(glt_azo-Sens!$E$9331)*MIN(1,4/n_conv)</f>
        <v>0.134074627679955</v>
      </c>
      <c r="J9331" s="7" t="n">
        <f aca="false">Sens!$E$9331+(glt_azo-Sens!$E$9331)*MIN(1,5/n_conv)</f>
        <v>0.107037313839977</v>
      </c>
      <c r="K9331" s="7" t="n">
        <f aca="false">Sens!$E$9331+(glt_azo-Sens!$E$9331)*MIN(1,6/n_conv)</f>
        <v>0.08</v>
      </c>
    </row>
    <row r="9332" customFormat="false" ht="15" hidden="false" customHeight="false" outlineLevel="0" collapsed="false">
      <c r="A9332" s="0" t="s">
        <v>783</v>
      </c>
      <c r="B9332" s="0" t="s">
        <v>95</v>
      </c>
      <c r="D9332" s="6" t="n">
        <f aca="false">Sens!D9329+Sens!D9330</f>
        <v>72.61</v>
      </c>
      <c r="E9332" s="6" t="n">
        <f aca="false">Sens!E9329+Sens!E9330</f>
        <v>101.938</v>
      </c>
      <c r="F9332" s="6" t="n">
        <f aca="false">Sens!F9329+Sens!F9330</f>
        <v>140.741861125673</v>
      </c>
      <c r="G9332" s="6" t="n">
        <f aca="false">Sens!G9329+Sens!G9330</f>
        <v>182.176709135845</v>
      </c>
      <c r="H9332" s="6" t="n">
        <f aca="false">Sens!H9329+Sens!H9330</f>
        <v>219.167638189678</v>
      </c>
      <c r="I9332" s="6" t="n">
        <f aca="false">Sens!I9329+Sens!I9330</f>
        <v>262.852370248498</v>
      </c>
      <c r="J9332" s="6" t="n">
        <f aca="false">Sens!J9329+Sens!J9330</f>
        <v>305.025635987223</v>
      </c>
      <c r="K9332" s="6" t="n">
        <f aca="false">Sens!K9329+Sens!K9330</f>
        <v>344.633534638493</v>
      </c>
    </row>
    <row r="9333" customFormat="false" ht="17.15" hidden="false" customHeight="false" outlineLevel="0" collapsed="false">
      <c r="A9333" s="0" t="s">
        <v>784</v>
      </c>
      <c r="B9333" s="1" t="s">
        <v>451</v>
      </c>
      <c r="C9333" s="27" t="n">
        <f aca="false">cop_s24</f>
        <v>1</v>
      </c>
      <c r="D9333" s="27" t="n">
        <f aca="false">cop_s25</f>
        <v>5</v>
      </c>
      <c r="E9333" s="27" t="n">
        <f aca="false">cop_s26</f>
        <v>30</v>
      </c>
      <c r="F9333" s="27" t="n">
        <f aca="false">Sens!E9333+IF(2027&lt;=2029,cop_add_C,cop_add_C*cop_tail)</f>
        <v>40</v>
      </c>
      <c r="G9333" s="27" t="n">
        <f aca="false">Sens!F9333+IF(2028&lt;=2029,cop_add_C,cop_add_C*cop_tail)</f>
        <v>50</v>
      </c>
      <c r="H9333" s="27" t="n">
        <f aca="false">Sens!G9333+IF(2029&lt;=2029,cop_add_C,cop_add_C*cop_tail)</f>
        <v>60</v>
      </c>
      <c r="I9333" s="27" t="n">
        <f aca="false">Sens!H9333+IF(2030&lt;=2029,cop_add_C,cop_add_C*cop_tail)</f>
        <v>65</v>
      </c>
      <c r="J9333" s="27" t="n">
        <f aca="false">Sens!I9333+IF(2031&lt;=2029,cop_add_C,cop_add_C*cop_tail)</f>
        <v>70</v>
      </c>
      <c r="K9333" s="27" t="n">
        <f aca="false">Sens!J9333+IF(2032&lt;=2029,cop_add_C,cop_add_C*cop_tail)</f>
        <v>75</v>
      </c>
    </row>
    <row r="9334" customFormat="false" ht="17.15" hidden="false" customHeight="false" outlineLevel="0" collapsed="false">
      <c r="A9334" s="0" t="s">
        <v>785</v>
      </c>
      <c r="B9334" s="0" t="s">
        <v>95</v>
      </c>
      <c r="D9334" s="6" t="n">
        <f aca="false">(Sens!C9333+Sens!D9333)/2*cop_px*12/1000</f>
        <v>0.9</v>
      </c>
      <c r="E9334" s="6" t="n">
        <f aca="false">(Sens!D9333+Sens!E9333)/2*cop_px*12/1000</f>
        <v>5.25</v>
      </c>
      <c r="F9334" s="6" t="n">
        <f aca="false">(Sens!E9333+Sens!F9333)/2*cop_px*12/1000</f>
        <v>10.5</v>
      </c>
      <c r="G9334" s="6" t="n">
        <f aca="false">(Sens!F9333+Sens!G9333)/2*cop_px*12/1000</f>
        <v>13.5</v>
      </c>
      <c r="H9334" s="6" t="n">
        <f aca="false">(Sens!G9333+Sens!H9333)/2*cop_px*12/1000</f>
        <v>16.5</v>
      </c>
      <c r="I9334" s="6" t="n">
        <f aca="false">(Sens!H9333+Sens!I9333)/2*cop_px*12/1000</f>
        <v>18.75</v>
      </c>
      <c r="J9334" s="6" t="n">
        <f aca="false">(Sens!I9333+Sens!J9333)/2*cop_px*12/1000</f>
        <v>20.25</v>
      </c>
      <c r="K9334" s="6" t="n">
        <f aca="false">(Sens!J9333+Sens!K9333)/2*cop_px*12/1000</f>
        <v>21.75</v>
      </c>
      <c r="L9334" s="1" t="s">
        <v>786</v>
      </c>
    </row>
    <row r="9335" customFormat="false" ht="17.15" hidden="false" customHeight="false" outlineLevel="0" collapsed="false">
      <c r="A9335" s="0" t="s">
        <v>787</v>
      </c>
      <c r="B9335" s="0" t="s">
        <v>95</v>
      </c>
      <c r="D9335" s="6" t="n">
        <f aca="false">Q!L7-Sens!D9334</f>
        <v>83.705</v>
      </c>
      <c r="E9335" s="6" t="n">
        <f aca="false">Q!M7-Sens!E9334</f>
        <v>95.049</v>
      </c>
      <c r="F9335" s="6" t="n">
        <f aca="false">Sens!E9335*(1+Sens!F9336)</f>
        <v>106.89238776686</v>
      </c>
      <c r="G9335" s="6" t="n">
        <f aca="false">Sens!F9335*(1+Sens!G9336)</f>
        <v>119.044168448684</v>
      </c>
      <c r="H9335" s="6" t="n">
        <f aca="false">Sens!G9335*(1+Sens!H9336)</f>
        <v>131.277359388781</v>
      </c>
      <c r="I9335" s="6" t="n">
        <f aca="false">Sens!H9335*(1+Sens!I9336)</f>
        <v>143.334028071957</v>
      </c>
      <c r="J9335" s="6" t="n">
        <f aca="false">Sens!I9335*(1+Sens!J9336)</f>
        <v>154.932702785465</v>
      </c>
      <c r="K9335" s="6" t="n">
        <f aca="false">Sens!J9335*(1+Sens!K9336)</f>
        <v>165.777991980448</v>
      </c>
    </row>
    <row r="9336" customFormat="false" ht="15" hidden="false" customHeight="false" outlineLevel="0" collapsed="false">
      <c r="A9336" s="1" t="s">
        <v>782</v>
      </c>
      <c r="B9336" s="0" t="s">
        <v>126</v>
      </c>
      <c r="E9336" s="7" t="n">
        <f aca="false">Sens!E9335/Sens!D9335-1</f>
        <v>0.135523564900544</v>
      </c>
      <c r="F9336" s="7" t="n">
        <f aca="false">Sens!$E$9336+(glt_m365b-Sens!$E$9336)*MIN(1,1/n_conv)</f>
        <v>0.124602970750453</v>
      </c>
      <c r="G9336" s="7" t="n">
        <f aca="false">Sens!$E$9336+(glt_m365b-Sens!$E$9336)*MIN(1,2/n_conv)</f>
        <v>0.113682376600363</v>
      </c>
      <c r="H9336" s="7" t="n">
        <f aca="false">Sens!$E$9336+(glt_m365b-Sens!$E$9336)*MIN(1,3/n_conv)</f>
        <v>0.102761782450272</v>
      </c>
      <c r="I9336" s="7" t="n">
        <f aca="false">Sens!$E$9336+(glt_m365b-Sens!$E$9336)*MIN(1,4/n_conv)</f>
        <v>0.0918411883001813</v>
      </c>
      <c r="J9336" s="7" t="n">
        <f aca="false">Sens!$E$9336+(glt_m365b-Sens!$E$9336)*MIN(1,5/n_conv)</f>
        <v>0.0809205941500906</v>
      </c>
      <c r="K9336" s="7" t="n">
        <f aca="false">Sens!$E$9336+(glt_m365b-Sens!$E$9336)*MIN(1,6/n_conv)</f>
        <v>0.07</v>
      </c>
    </row>
    <row r="9337" customFormat="false" ht="15" hidden="false" customHeight="false" outlineLevel="0" collapsed="false">
      <c r="A9337" s="0" t="s">
        <v>788</v>
      </c>
      <c r="B9337" s="0" t="s">
        <v>95</v>
      </c>
      <c r="D9337" s="6" t="n">
        <f aca="false">Sens!D9335+Sens!D9334</f>
        <v>84.605</v>
      </c>
      <c r="E9337" s="6" t="n">
        <f aca="false">Sens!E9335+Sens!E9334</f>
        <v>100.299</v>
      </c>
      <c r="F9337" s="6" t="n">
        <f aca="false">Sens!F9335+Sens!F9334</f>
        <v>117.39238776686</v>
      </c>
      <c r="G9337" s="6" t="n">
        <f aca="false">Sens!G9335+Sens!G9334</f>
        <v>132.544168448684</v>
      </c>
      <c r="H9337" s="6" t="n">
        <f aca="false">Sens!H9335+Sens!H9334</f>
        <v>147.777359388781</v>
      </c>
      <c r="I9337" s="6" t="n">
        <f aca="false">Sens!I9335+Sens!I9334</f>
        <v>162.084028071957</v>
      </c>
      <c r="J9337" s="6" t="n">
        <f aca="false">Sens!J9335+Sens!J9334</f>
        <v>175.182702785465</v>
      </c>
      <c r="K9337" s="6" t="n">
        <f aca="false">Sens!K9335+Sens!K9334</f>
        <v>187.527991980448</v>
      </c>
    </row>
    <row r="9338" customFormat="false" ht="15" hidden="false" customHeight="false" outlineLevel="0" collapsed="false">
      <c r="A9338" s="0" t="s">
        <v>789</v>
      </c>
      <c r="B9338" s="0" t="s">
        <v>95</v>
      </c>
      <c r="D9338" s="6" t="n">
        <f aca="false">Q!L8</f>
        <v>35.391</v>
      </c>
      <c r="E9338" s="6" t="n">
        <f aca="false">Q!M8</f>
        <v>37.285</v>
      </c>
      <c r="F9338" s="6" t="n">
        <f aca="false">Sens!E9338*(1+Sens!F9339)</f>
        <v>39.0720834331704</v>
      </c>
      <c r="G9338" s="6" t="n">
        <f aca="false">Sens!F9338*(1+Sens!G9339)</f>
        <v>40.726562953769</v>
      </c>
      <c r="H9338" s="6" t="n">
        <f aca="false">Sens!G9338*(1+Sens!H9339)</f>
        <v>42.2235987259198</v>
      </c>
      <c r="I9338" s="6" t="n">
        <f aca="false">Sens!H9338*(1+Sens!I9339)</f>
        <v>43.5397988077414</v>
      </c>
      <c r="J9338" s="6" t="n">
        <f aca="false">Sens!I9338*(1+Sens!J9339)</f>
        <v>44.653811225693</v>
      </c>
      <c r="K9338" s="6" t="n">
        <f aca="false">Sens!J9338*(1+Sens!K9339)</f>
        <v>45.5468874502068</v>
      </c>
    </row>
    <row r="9339" customFormat="false" ht="15" hidden="false" customHeight="false" outlineLevel="0" collapsed="false">
      <c r="A9339" s="1" t="s">
        <v>782</v>
      </c>
      <c r="B9339" s="0" t="s">
        <v>126</v>
      </c>
      <c r="E9339" s="7" t="n">
        <f aca="false">Sens!E9338/Sens!D9338-1</f>
        <v>0.0535164307309768</v>
      </c>
      <c r="F9339" s="7" t="n">
        <f aca="false">Sens!$E$9339+(glt_lic-Sens!$E$9339)*MIN(1,1/n_conv)</f>
        <v>0.0479303589424807</v>
      </c>
      <c r="G9339" s="7" t="n">
        <f aca="false">Sens!$E$9339+(glt_lic-Sens!$E$9339)*MIN(1,2/n_conv)</f>
        <v>0.0423442871539845</v>
      </c>
      <c r="H9339" s="7" t="n">
        <f aca="false">Sens!$E$9339+(glt_lic-Sens!$E$9339)*MIN(1,3/n_conv)</f>
        <v>0.0367582153654884</v>
      </c>
      <c r="I9339" s="7" t="n">
        <f aca="false">Sens!$E$9339+(glt_lic-Sens!$E$9339)*MIN(1,4/n_conv)</f>
        <v>0.0311721435769923</v>
      </c>
      <c r="J9339" s="7" t="n">
        <f aca="false">Sens!$E$9339+(glt_lic-Sens!$E$9339)*MIN(1,5/n_conv)</f>
        <v>0.0255860717884961</v>
      </c>
      <c r="K9339" s="7" t="n">
        <f aca="false">Sens!$E$9339+(glt_lic-Sens!$E$9339)*MIN(1,6/n_conv)</f>
        <v>0.02</v>
      </c>
    </row>
    <row r="9340" customFormat="false" ht="15" hidden="false" customHeight="false" outlineLevel="0" collapsed="false">
      <c r="A9340" s="0" t="s">
        <v>790</v>
      </c>
      <c r="B9340" s="0" t="s">
        <v>95</v>
      </c>
      <c r="D9340" s="6" t="n">
        <f aca="false">Q!L9</f>
        <v>18.417</v>
      </c>
      <c r="E9340" s="6" t="n">
        <f aca="false">Q!M9</f>
        <v>20.345</v>
      </c>
      <c r="F9340" s="6" t="n">
        <f aca="false">Sens!E9340*(1+Sens!F9341)</f>
        <v>22.3572203267814</v>
      </c>
      <c r="G9340" s="6" t="n">
        <f aca="false">Sens!F9340*(1+Sens!G9341)</f>
        <v>24.4392124437232</v>
      </c>
      <c r="H9340" s="6" t="n">
        <f aca="false">Sens!G9340*(1+Sens!H9341)</f>
        <v>26.5738052080665</v>
      </c>
      <c r="I9340" s="6" t="n">
        <f aca="false">Sens!H9340*(1+Sens!I9341)</f>
        <v>28.7412169166967</v>
      </c>
      <c r="J9340" s="6" t="n">
        <f aca="false">Sens!I9340*(1+Sens!J9341)</f>
        <v>30.9192545395413</v>
      </c>
      <c r="K9340" s="6" t="n">
        <f aca="false">Sens!J9340*(1+Sens!K9341)</f>
        <v>33.0836023573092</v>
      </c>
    </row>
    <row r="9341" customFormat="false" ht="15" hidden="false" customHeight="false" outlineLevel="0" collapsed="false">
      <c r="A9341" s="1" t="s">
        <v>782</v>
      </c>
      <c r="B9341" s="0" t="s">
        <v>126</v>
      </c>
      <c r="E9341" s="7" t="n">
        <f aca="false">Sens!E9340/Sens!D9340-1</f>
        <v>0.104685888038225</v>
      </c>
      <c r="F9341" s="7" t="n">
        <f aca="false">Sens!$E$9341+(glt_ind-Sens!$E$9341)*MIN(1,1/n_conv)</f>
        <v>0.0989049066985211</v>
      </c>
      <c r="G9341" s="7" t="n">
        <f aca="false">Sens!$E$9341+(glt_ind-Sens!$E$9341)*MIN(1,2/n_conv)</f>
        <v>0.0931239253588169</v>
      </c>
      <c r="H9341" s="7" t="n">
        <f aca="false">Sens!$E$9341+(glt_ind-Sens!$E$9341)*MIN(1,3/n_conv)</f>
        <v>0.0873429440191127</v>
      </c>
      <c r="I9341" s="7" t="n">
        <f aca="false">Sens!$E$9341+(glt_ind-Sens!$E$9341)*MIN(1,4/n_conv)</f>
        <v>0.0815619626794085</v>
      </c>
      <c r="J9341" s="7" t="n">
        <f aca="false">Sens!$E$9341+(glt_ind-Sens!$E$9341)*MIN(1,5/n_conv)</f>
        <v>0.0757809813397042</v>
      </c>
      <c r="K9341" s="7" t="n">
        <f aca="false">Sens!$E$9341+(glt_ind-Sens!$E$9341)*MIN(1,6/n_conv)</f>
        <v>0.07</v>
      </c>
    </row>
    <row r="9342" customFormat="false" ht="15" hidden="false" customHeight="false" outlineLevel="0" collapsed="false">
      <c r="A9342" s="0" t="s">
        <v>791</v>
      </c>
      <c r="B9342" s="0" t="s">
        <v>95</v>
      </c>
      <c r="D9342" s="6" t="n">
        <f aca="false">Q!L10</f>
        <v>7.76</v>
      </c>
      <c r="E9342" s="6" t="n">
        <f aca="false">Q!M10</f>
        <v>8.26</v>
      </c>
      <c r="F9342" s="6" t="n">
        <f aca="false">Sens!E9342*(1+Sens!F9343)</f>
        <v>8.79988041237113</v>
      </c>
      <c r="G9342" s="6" t="n">
        <f aca="false">Sens!F9342*(1+Sens!G9343)</f>
        <v>9.38321269125306</v>
      </c>
      <c r="H9342" s="6" t="n">
        <f aca="false">Sens!G9342*(1+Sens!H9343)</f>
        <v>10.0139193587476</v>
      </c>
      <c r="I9342" s="6" t="n">
        <f aca="false">Sens!H9342*(1+Sens!I9343)</f>
        <v>10.6963111830911</v>
      </c>
      <c r="J9342" s="6" t="n">
        <f aca="false">Sens!I9342*(1+Sens!J9343)</f>
        <v>11.4351285534696</v>
      </c>
      <c r="K9342" s="6" t="n">
        <f aca="false">Sens!J9342*(1+Sens!K9343)</f>
        <v>12.2355875522124</v>
      </c>
    </row>
    <row r="9343" customFormat="false" ht="15" hidden="false" customHeight="false" outlineLevel="0" collapsed="false">
      <c r="A9343" s="1" t="s">
        <v>782</v>
      </c>
      <c r="B9343" s="0" t="s">
        <v>126</v>
      </c>
      <c r="E9343" s="7" t="n">
        <f aca="false">Sens!E9342/Sens!D9342-1</f>
        <v>0.0644329896907216</v>
      </c>
      <c r="F9343" s="7" t="n">
        <f aca="false">Sens!$E$9343+(glt_fro-Sens!$E$9343)*MIN(1,1/n_conv)</f>
        <v>0.065360824742268</v>
      </c>
      <c r="G9343" s="7" t="n">
        <f aca="false">Sens!$E$9343+(glt_fro-Sens!$E$9343)*MIN(1,2/n_conv)</f>
        <v>0.0662886597938144</v>
      </c>
      <c r="H9343" s="7" t="n">
        <f aca="false">Sens!$E$9343+(glt_fro-Sens!$E$9343)*MIN(1,3/n_conv)</f>
        <v>0.0672164948453608</v>
      </c>
      <c r="I9343" s="7" t="n">
        <f aca="false">Sens!$E$9343+(glt_fro-Sens!$E$9343)*MIN(1,4/n_conv)</f>
        <v>0.0681443298969072</v>
      </c>
      <c r="J9343" s="7" t="n">
        <f aca="false">Sens!$E$9343+(glt_fro-Sens!$E$9343)*MIN(1,5/n_conv)</f>
        <v>0.0690721649484536</v>
      </c>
      <c r="K9343" s="7" t="n">
        <f aca="false">Sens!$E$9343+(glt_fro-Sens!$E$9343)*MIN(1,6/n_conv)</f>
        <v>0.07</v>
      </c>
    </row>
    <row r="9344" customFormat="false" ht="15" hidden="false" customHeight="false" outlineLevel="0" collapsed="false">
      <c r="A9344" s="0" t="s">
        <v>626</v>
      </c>
      <c r="B9344" s="0" t="s">
        <v>95</v>
      </c>
      <c r="D9344" s="6" t="n">
        <f aca="false">Sens!D9332+Sens!D9337+Sens!D9338+Sens!D9340+Sens!D9342</f>
        <v>218.783</v>
      </c>
      <c r="E9344" s="6" t="n">
        <f aca="false">Sens!E9332+Sens!E9337+Sens!E9338+Sens!E9340+Sens!E9342</f>
        <v>268.127</v>
      </c>
      <c r="F9344" s="6" t="n">
        <f aca="false">Sens!F9332+Sens!F9337+Sens!F9338+Sens!F9340+Sens!F9342</f>
        <v>328.363433064856</v>
      </c>
      <c r="G9344" s="6" t="n">
        <f aca="false">Sens!G9332+Sens!G9337+Sens!G9338+Sens!G9340+Sens!G9342</f>
        <v>389.269865673274</v>
      </c>
      <c r="H9344" s="6" t="n">
        <f aca="false">Sens!H9332+Sens!H9337+Sens!H9338+Sens!H9340+Sens!H9342</f>
        <v>445.756320871193</v>
      </c>
      <c r="I9344" s="6" t="n">
        <f aca="false">Sens!I9332+Sens!I9337+Sens!I9338+Sens!I9340+Sens!I9342</f>
        <v>507.913725227984</v>
      </c>
      <c r="J9344" s="6" t="n">
        <f aca="false">Sens!J9332+Sens!J9337+Sens!J9338+Sens!J9340+Sens!J9342</f>
        <v>567.216533091392</v>
      </c>
      <c r="K9344" s="6" t="n">
        <f aca="false">Sens!K9332+Sens!K9337+Sens!K9338+Sens!K9340+Sens!K9342</f>
        <v>623.027603978669</v>
      </c>
    </row>
    <row r="9345" customFormat="false" ht="15" hidden="false" customHeight="false" outlineLevel="0" collapsed="false">
      <c r="A9345" s="0" t="s">
        <v>792</v>
      </c>
      <c r="B9345" s="0" t="s">
        <v>95</v>
      </c>
      <c r="D9345" s="6" t="n">
        <f aca="false">Q!L13</f>
        <v>22.171</v>
      </c>
      <c r="E9345" s="6" t="n">
        <f aca="false">Q!M13</f>
        <v>24.835</v>
      </c>
      <c r="F9345" s="6" t="n">
        <f aca="false">Sens!E9345*(1+Sens!F9346)</f>
        <v>27.6114901218559</v>
      </c>
      <c r="G9345" s="6" t="n">
        <f aca="false">Sens!F9345*(1+Sens!G9346)</f>
        <v>30.4675667338515</v>
      </c>
      <c r="H9345" s="6" t="n">
        <f aca="false">Sens!G9345*(1+Sens!H9346)</f>
        <v>33.3643766955789</v>
      </c>
      <c r="I9345" s="6" t="n">
        <f aca="false">Sens!H9345*(1+Sens!I9346)</f>
        <v>36.2577016533691</v>
      </c>
      <c r="J9345" s="6" t="n">
        <f aca="false">Sens!I9345*(1+Sens!J9346)</f>
        <v>39.0988367952171</v>
      </c>
      <c r="K9345" s="6" t="n">
        <f aca="false">Sens!J9345*(1+Sens!K9346)</f>
        <v>41.8357553708823</v>
      </c>
    </row>
    <row r="9346" customFormat="false" ht="15" hidden="false" customHeight="false" outlineLevel="0" collapsed="false">
      <c r="A9346" s="1" t="s">
        <v>782</v>
      </c>
      <c r="B9346" s="0" t="s">
        <v>126</v>
      </c>
      <c r="E9346" s="7" t="n">
        <f aca="false">Sens!E9345/Sens!D9345-1</f>
        <v>0.120156961796942</v>
      </c>
      <c r="F9346" s="7" t="n">
        <f aca="false">Sens!$E$9346+(glt_srch-Sens!$E$9346)*MIN(1,1/n_conv)</f>
        <v>0.111797468164118</v>
      </c>
      <c r="G9346" s="7" t="n">
        <f aca="false">Sens!$E$9346+(glt_srch-Sens!$E$9346)*MIN(1,2/n_conv)</f>
        <v>0.103437974531295</v>
      </c>
      <c r="H9346" s="7" t="n">
        <f aca="false">Sens!$E$9346+(glt_srch-Sens!$E$9346)*MIN(1,3/n_conv)</f>
        <v>0.095078480898471</v>
      </c>
      <c r="I9346" s="7" t="n">
        <f aca="false">Sens!$E$9346+(glt_srch-Sens!$E$9346)*MIN(1,4/n_conv)</f>
        <v>0.0867189872656474</v>
      </c>
      <c r="J9346" s="7" t="n">
        <f aca="false">Sens!$E$9346+(glt_srch-Sens!$E$9346)*MIN(1,5/n_conv)</f>
        <v>0.0783594936328237</v>
      </c>
      <c r="K9346" s="7" t="n">
        <f aca="false">Sens!$E$9346+(glt_srch-Sens!$E$9346)*MIN(1,6/n_conv)</f>
        <v>0.07</v>
      </c>
    </row>
    <row r="9347" customFormat="false" ht="15" hidden="false" customHeight="false" outlineLevel="0" collapsed="false">
      <c r="A9347" s="0" t="s">
        <v>793</v>
      </c>
      <c r="B9347" s="0" t="s">
        <v>95</v>
      </c>
      <c r="D9347" s="6" t="n">
        <f aca="false">Q!L14</f>
        <v>23.455</v>
      </c>
      <c r="E9347" s="6" t="n">
        <f aca="false">Q!M14</f>
        <v>21.79</v>
      </c>
      <c r="F9347" s="6" t="n">
        <f aca="false">Sens!E9347*(1+Sens!F9348)</f>
        <v>20.6825777908051</v>
      </c>
      <c r="G9347" s="6" t="n">
        <f aca="false">Sens!F9347*(1+Sens!G9348)</f>
        <v>20.0484913708632</v>
      </c>
      <c r="H9347" s="6" t="n">
        <f aca="false">Sens!G9347*(1+Sens!H9348)</f>
        <v>19.8381125629905</v>
      </c>
      <c r="I9347" s="6" t="n">
        <f aca="false">Sens!H9347*(1+Sens!I9348)</f>
        <v>20.0299669735513</v>
      </c>
      <c r="J9347" s="6" t="n">
        <f aca="false">Sens!I9347*(1+Sens!J9348)</f>
        <v>20.6275710652887</v>
      </c>
      <c r="K9347" s="6" t="n">
        <f aca="false">Sens!J9347*(1+Sens!K9348)</f>
        <v>21.6589496185531</v>
      </c>
    </row>
    <row r="9348" customFormat="false" ht="15" hidden="false" customHeight="false" outlineLevel="0" collapsed="false">
      <c r="A9348" s="1" t="s">
        <v>782</v>
      </c>
      <c r="B9348" s="0" t="s">
        <v>126</v>
      </c>
      <c r="E9348" s="7" t="n">
        <f aca="false">Sens!E9347/Sens!D9347-1</f>
        <v>-0.0709869963760392</v>
      </c>
      <c r="F9348" s="7" t="n">
        <f aca="false">Sens!$E$9348+(glt_xbox_hi-Sens!$E$9348)*MIN(1,1/n_conv)</f>
        <v>-0.0508224969800327</v>
      </c>
      <c r="G9348" s="7" t="n">
        <f aca="false">Sens!$E$9348+(glt_xbox_hi-Sens!$E$9348)*MIN(1,2/n_conv)</f>
        <v>-0.0306579975840262</v>
      </c>
      <c r="H9348" s="7" t="n">
        <f aca="false">Sens!$E$9348+(glt_xbox_hi-Sens!$E$9348)*MIN(1,3/n_conv)</f>
        <v>-0.0104934981880196</v>
      </c>
      <c r="I9348" s="7" t="n">
        <f aca="false">Sens!$E$9348+(glt_xbox_hi-Sens!$E$9348)*MIN(1,4/n_conv)</f>
        <v>0.00967100120798692</v>
      </c>
      <c r="J9348" s="7" t="n">
        <f aca="false">Sens!$E$9348+(glt_xbox_hi-Sens!$E$9348)*MIN(1,5/n_conv)</f>
        <v>0.0298355006039935</v>
      </c>
      <c r="K9348" s="7" t="n">
        <f aca="false">Sens!$E$9348+(glt_xbox_hi-Sens!$E$9348)*MIN(1,6/n_conv)</f>
        <v>0.05</v>
      </c>
    </row>
    <row r="9349" customFormat="false" ht="15" hidden="false" customHeight="false" outlineLevel="0" collapsed="false">
      <c r="A9349" s="0" t="s">
        <v>794</v>
      </c>
      <c r="B9349" s="0" t="s">
        <v>95</v>
      </c>
      <c r="D9349" s="6" t="n">
        <f aca="false">Q!L15</f>
        <v>17.315</v>
      </c>
      <c r="E9349" s="6" t="n">
        <f aca="false">Q!M15</f>
        <v>17.087</v>
      </c>
      <c r="F9349" s="6" t="n">
        <f aca="false">Sens!E9349*(1+Sens!F9350)</f>
        <v>16.9564585436519</v>
      </c>
      <c r="G9349" s="6" t="n">
        <f aca="false">Sens!F9349*(1+Sens!G9350)</f>
        <v>16.9206490624268</v>
      </c>
      <c r="H9349" s="6" t="n">
        <f aca="false">Sens!G9349*(1+Sens!H9350)</f>
        <v>16.9784519149849</v>
      </c>
      <c r="I9349" s="6" t="n">
        <f aca="false">Sens!H9349*(1+Sens!I9350)</f>
        <v>17.1303084701817</v>
      </c>
      <c r="J9349" s="6" t="n">
        <f aca="false">Sens!I9349*(1+Sens!J9350)</f>
        <v>17.3782189407267</v>
      </c>
      <c r="K9349" s="6" t="n">
        <f aca="false">Sens!J9349*(1+Sens!K9350)</f>
        <v>17.7257833195413</v>
      </c>
    </row>
    <row r="9350" customFormat="false" ht="15" hidden="false" customHeight="false" outlineLevel="0" collapsed="false">
      <c r="A9350" s="1" t="s">
        <v>782</v>
      </c>
      <c r="B9350" s="0" t="s">
        <v>126</v>
      </c>
      <c r="E9350" s="7" t="n">
        <f aca="false">Sens!E9349/Sens!D9349-1</f>
        <v>-0.0131677736066995</v>
      </c>
      <c r="F9350" s="7" t="n">
        <f aca="false">Sens!$E$9350+(glt_win-Sens!$E$9350)*MIN(1,1/n_conv)</f>
        <v>-0.00763981133891627</v>
      </c>
      <c r="G9350" s="7" t="n">
        <f aca="false">Sens!$E$9350+(glt_win-Sens!$E$9350)*MIN(1,2/n_conv)</f>
        <v>-0.00211184907113301</v>
      </c>
      <c r="H9350" s="7" t="n">
        <f aca="false">Sens!$E$9350+(glt_win-Sens!$E$9350)*MIN(1,3/n_conv)</f>
        <v>0.00341611319665024</v>
      </c>
      <c r="I9350" s="7" t="n">
        <f aca="false">Sens!$E$9350+(glt_win-Sens!$E$9350)*MIN(1,4/n_conv)</f>
        <v>0.00894407546443349</v>
      </c>
      <c r="J9350" s="7" t="n">
        <f aca="false">Sens!$E$9350+(glt_win-Sens!$E$9350)*MIN(1,5/n_conv)</f>
        <v>0.0144720377322168</v>
      </c>
      <c r="K9350" s="7" t="n">
        <f aca="false">Sens!$E$9350+(glt_win-Sens!$E$9350)*MIN(1,6/n_conv)</f>
        <v>0.02</v>
      </c>
    </row>
    <row r="9351" customFormat="false" ht="15" hidden="false" customHeight="false" outlineLevel="0" collapsed="false">
      <c r="A9351" s="0" t="s">
        <v>640</v>
      </c>
      <c r="B9351" s="0" t="s">
        <v>95</v>
      </c>
      <c r="D9351" s="6" t="n">
        <f aca="false">Sens!D9345+Sens!D9347+Sens!D9349</f>
        <v>62.941</v>
      </c>
      <c r="E9351" s="6" t="n">
        <f aca="false">Sens!E9345+Sens!E9347+Sens!E9349</f>
        <v>63.712</v>
      </c>
      <c r="F9351" s="6" t="n">
        <f aca="false">Sens!F9345+Sens!F9347+Sens!F9349</f>
        <v>65.2505264563129</v>
      </c>
      <c r="G9351" s="6" t="n">
        <f aca="false">Sens!G9345+Sens!G9347+Sens!G9349</f>
        <v>67.4367071671415</v>
      </c>
      <c r="H9351" s="6" t="n">
        <f aca="false">Sens!H9345+Sens!H9347+Sens!H9349</f>
        <v>70.1809411735542</v>
      </c>
      <c r="I9351" s="6" t="n">
        <f aca="false">Sens!I9345+Sens!I9347+Sens!I9349</f>
        <v>73.4179770971021</v>
      </c>
      <c r="J9351" s="6" t="n">
        <f aca="false">Sens!J9345+Sens!J9347+Sens!J9349</f>
        <v>77.1046268012325</v>
      </c>
      <c r="K9351" s="6" t="n">
        <f aca="false">Sens!K9345+Sens!K9347+Sens!K9349</f>
        <v>81.2204883089766</v>
      </c>
    </row>
    <row r="9352" customFormat="false" ht="15" hidden="false" customHeight="false" outlineLevel="0" collapsed="false">
      <c r="A9352" s="1" t="s">
        <v>795</v>
      </c>
      <c r="B9352" s="0" t="s">
        <v>95</v>
      </c>
      <c r="D9352" s="6" t="n">
        <f aca="false">Sens!D9344+Sens!D9351</f>
        <v>281.724</v>
      </c>
      <c r="E9352" s="6" t="n">
        <f aca="false">Sens!E9344+Sens!E9351</f>
        <v>331.839</v>
      </c>
      <c r="F9352" s="6" t="n">
        <f aca="false">Sens!F9344+Sens!F9351</f>
        <v>393.613959521169</v>
      </c>
      <c r="G9352" s="6" t="n">
        <f aca="false">Sens!G9344+Sens!G9351</f>
        <v>456.706572840415</v>
      </c>
      <c r="H9352" s="6" t="n">
        <f aca="false">Sens!H9344+Sens!H9351</f>
        <v>515.937262044747</v>
      </c>
      <c r="I9352" s="6" t="n">
        <f aca="false">Sens!I9344+Sens!I9351</f>
        <v>581.331702325086</v>
      </c>
      <c r="J9352" s="6" t="n">
        <f aca="false">Sens!J9344+Sens!J9351</f>
        <v>644.321159892625</v>
      </c>
      <c r="K9352" s="6" t="n">
        <f aca="false">Sens!K9344+Sens!K9351</f>
        <v>704.248092287646</v>
      </c>
    </row>
    <row r="9353" customFormat="false" ht="15" hidden="false" customHeight="false" outlineLevel="0" collapsed="false">
      <c r="A9353" s="22" t="s">
        <v>796</v>
      </c>
      <c r="B9353" s="28" t="s">
        <v>95</v>
      </c>
      <c r="C9353" s="28"/>
      <c r="D9353" s="23" t="n">
        <f aca="false">(Sens!D9332+Sens!D9337+Sens!D9338+Sens!D9340+Sens!D9342-Sens!D9344)+(Sens!D9345+Sens!D9347+Sens!D9349-Sens!D9351)+(Sens!D9344-Q!L5)+(Sens!D9351-Q!L12)+(Sens!D9332-Q!L6)+(Sens!D9337-Q!L7)</f>
        <v>0</v>
      </c>
      <c r="E9353" s="23" t="n">
        <f aca="false">(Sens!E9332+Sens!E9337+Sens!E9338+Sens!E9340+Sens!E9342-Sens!E9344)+(Sens!E9345+Sens!E9347+Sens!E9349-Sens!E9351)+(Sens!E9344-Q!M5)+(Sens!E9351-Q!M12)+(Sens!E9332-Q!M6)+(Sens!E9337-Q!M7)</f>
        <v>0</v>
      </c>
      <c r="F9353" s="23" t="n">
        <f aca="false">(Sens!F9332+Sens!F9337+Sens!F9338+Sens!F9340+Sens!F9342-Sens!F9344)+(Sens!F9345+Sens!F9347+Sens!F9349-Sens!F9351)</f>
        <v>0</v>
      </c>
      <c r="G9353" s="23" t="n">
        <f aca="false">(Sens!G9332+Sens!G9337+Sens!G9338+Sens!G9340+Sens!G9342-Sens!G9344)+(Sens!G9345+Sens!G9347+Sens!G9349-Sens!G9351)</f>
        <v>0</v>
      </c>
      <c r="H9353" s="23" t="n">
        <f aca="false">(Sens!H9332+Sens!H9337+Sens!H9338+Sens!H9340+Sens!H9342-Sens!H9344)+(Sens!H9345+Sens!H9347+Sens!H9349-Sens!H9351)</f>
        <v>0</v>
      </c>
      <c r="I9353" s="23" t="n">
        <f aca="false">(Sens!I9332+Sens!I9337+Sens!I9338+Sens!I9340+Sens!I9342-Sens!I9344)+(Sens!I9345+Sens!I9347+Sens!I9349-Sens!I9351)</f>
        <v>0</v>
      </c>
      <c r="J9353" s="23" t="n">
        <f aca="false">(Sens!J9332+Sens!J9337+Sens!J9338+Sens!J9340+Sens!J9342-Sens!J9344)+(Sens!J9345+Sens!J9347+Sens!J9349-Sens!J9351)</f>
        <v>0</v>
      </c>
      <c r="K9353" s="23" t="n">
        <f aca="false">(Sens!K9332+Sens!K9337+Sens!K9338+Sens!K9340+Sens!K9342-Sens!K9344)+(Sens!K9345+Sens!K9347+Sens!K9349-Sens!K9351)</f>
        <v>0</v>
      </c>
    </row>
    <row r="9354" customFormat="false" ht="17.15" hidden="false" customHeight="false" outlineLevel="0" collapsed="false">
      <c r="A9354" s="3" t="s">
        <v>1381</v>
      </c>
    </row>
    <row r="9355" customFormat="false" ht="15" hidden="false" customHeight="false" outlineLevel="0" collapsed="false">
      <c r="A9355" s="4" t="s">
        <v>43</v>
      </c>
      <c r="B9355" s="4" t="s">
        <v>63</v>
      </c>
      <c r="C9355" s="19" t="s">
        <v>710</v>
      </c>
      <c r="D9355" s="19" t="s">
        <v>711</v>
      </c>
      <c r="E9355" s="19" t="s">
        <v>712</v>
      </c>
      <c r="F9355" s="19" t="s">
        <v>713</v>
      </c>
      <c r="G9355" s="19" t="s">
        <v>714</v>
      </c>
      <c r="H9355" s="19" t="s">
        <v>715</v>
      </c>
      <c r="I9355" s="19" t="s">
        <v>716</v>
      </c>
      <c r="J9355" s="19" t="s">
        <v>717</v>
      </c>
      <c r="K9355" s="19" t="s">
        <v>718</v>
      </c>
      <c r="L9355" s="4" t="s">
        <v>47</v>
      </c>
    </row>
    <row r="9356" customFormat="false" ht="15" hidden="false" customHeight="false" outlineLevel="0" collapsed="false">
      <c r="A9356" s="0" t="s">
        <v>783</v>
      </c>
      <c r="B9356" s="0" t="s">
        <v>95</v>
      </c>
      <c r="D9356" s="6" t="n">
        <f aca="false">Sens!D9332</f>
        <v>72.61</v>
      </c>
      <c r="E9356" s="6" t="n">
        <f aca="false">Sens!E9332</f>
        <v>101.938</v>
      </c>
      <c r="F9356" s="6" t="n">
        <f aca="false">Sens!F9332</f>
        <v>140.741861125673</v>
      </c>
      <c r="G9356" s="6" t="n">
        <f aca="false">Sens!G9332</f>
        <v>182.176709135845</v>
      </c>
      <c r="H9356" s="6" t="n">
        <f aca="false">Sens!H9332</f>
        <v>219.167638189678</v>
      </c>
      <c r="I9356" s="6" t="n">
        <f aca="false">Sens!I9332</f>
        <v>262.852370248498</v>
      </c>
      <c r="J9356" s="6" t="n">
        <f aca="false">Sens!J9332</f>
        <v>305.025635987223</v>
      </c>
      <c r="K9356" s="6" t="n">
        <f aca="false">Sens!K9332</f>
        <v>344.633534638493</v>
      </c>
    </row>
    <row r="9357" customFormat="false" ht="17.15" hidden="false" customHeight="false" outlineLevel="0" collapsed="false">
      <c r="A9357" s="0" t="s">
        <v>780</v>
      </c>
      <c r="B9357" s="0" t="s">
        <v>95</v>
      </c>
      <c r="D9357" s="6" t="n">
        <f aca="false">Sens!D9329</f>
        <v>12.9359794422418</v>
      </c>
      <c r="E9357" s="6" t="n">
        <f aca="false">Sens!E9329</f>
        <v>27.8095064661409</v>
      </c>
      <c r="F9357" s="6" t="n">
        <f aca="false">Sens!F9329</f>
        <v>50.6619113883066</v>
      </c>
      <c r="G9357" s="6" t="n">
        <f aca="false">Sens!G9329</f>
        <v>75.1482839325348</v>
      </c>
      <c r="H9357" s="6" t="n">
        <f aca="false">Sens!H9329</f>
        <v>94.895655604042</v>
      </c>
      <c r="I9357" s="6" t="n">
        <f aca="false">Sens!I9329</f>
        <v>121.918667866643</v>
      </c>
      <c r="J9357" s="6" t="n">
        <f aca="false">Sens!J9329</f>
        <v>149.006768672892</v>
      </c>
      <c r="K9357" s="6" t="n">
        <f aca="false">Sens!K9329</f>
        <v>176.133157939015</v>
      </c>
    </row>
    <row r="9358" customFormat="false" ht="17.15" hidden="false" customHeight="false" outlineLevel="0" collapsed="false">
      <c r="A9358" s="0" t="s">
        <v>807</v>
      </c>
      <c r="B9358" s="0" t="s">
        <v>95</v>
      </c>
      <c r="D9358" s="6" t="n">
        <f aca="false">Sens!D9330</f>
        <v>59.6740205577583</v>
      </c>
      <c r="E9358" s="6" t="n">
        <f aca="false">Sens!E9330</f>
        <v>74.1284935338591</v>
      </c>
      <c r="F9358" s="6" t="n">
        <f aca="false">Sens!F9330</f>
        <v>90.0799497373663</v>
      </c>
      <c r="G9358" s="6" t="n">
        <f aca="false">Sens!G9330</f>
        <v>107.02842520331</v>
      </c>
      <c r="H9358" s="6" t="n">
        <f aca="false">Sens!H9330</f>
        <v>124.271982585636</v>
      </c>
      <c r="I9358" s="6" t="n">
        <f aca="false">Sens!I9330</f>
        <v>140.933702381855</v>
      </c>
      <c r="J9358" s="6" t="n">
        <f aca="false">Sens!J9330</f>
        <v>156.018867314332</v>
      </c>
      <c r="K9358" s="6" t="n">
        <f aca="false">Sens!K9330</f>
        <v>168.500376699478</v>
      </c>
    </row>
    <row r="9359" customFormat="false" ht="15" hidden="false" customHeight="false" outlineLevel="0" collapsed="false">
      <c r="A9359" s="0" t="s">
        <v>788</v>
      </c>
      <c r="B9359" s="0" t="s">
        <v>95</v>
      </c>
      <c r="D9359" s="6" t="n">
        <f aca="false">Sens!D9337</f>
        <v>84.605</v>
      </c>
      <c r="E9359" s="6" t="n">
        <f aca="false">Sens!E9337</f>
        <v>100.299</v>
      </c>
      <c r="F9359" s="6" t="n">
        <f aca="false">Sens!F9337</f>
        <v>117.39238776686</v>
      </c>
      <c r="G9359" s="6" t="n">
        <f aca="false">Sens!G9337</f>
        <v>132.544168448684</v>
      </c>
      <c r="H9359" s="6" t="n">
        <f aca="false">Sens!H9337</f>
        <v>147.777359388781</v>
      </c>
      <c r="I9359" s="6" t="n">
        <f aca="false">Sens!I9337</f>
        <v>162.084028071957</v>
      </c>
      <c r="J9359" s="6" t="n">
        <f aca="false">Sens!J9337</f>
        <v>175.182702785465</v>
      </c>
      <c r="K9359" s="6" t="n">
        <f aca="false">Sens!K9337</f>
        <v>187.527991980448</v>
      </c>
    </row>
    <row r="9360" customFormat="false" ht="17.15" hidden="false" customHeight="false" outlineLevel="0" collapsed="false">
      <c r="A9360" s="0" t="s">
        <v>808</v>
      </c>
      <c r="B9360" s="0" t="s">
        <v>95</v>
      </c>
      <c r="D9360" s="6" t="n">
        <f aca="false">Sens!D9335</f>
        <v>83.705</v>
      </c>
      <c r="E9360" s="6" t="n">
        <f aca="false">Sens!E9335</f>
        <v>95.049</v>
      </c>
      <c r="F9360" s="6" t="n">
        <f aca="false">Sens!F9335</f>
        <v>106.89238776686</v>
      </c>
      <c r="G9360" s="6" t="n">
        <f aca="false">Sens!G9335</f>
        <v>119.044168448684</v>
      </c>
      <c r="H9360" s="6" t="n">
        <f aca="false">Sens!H9335</f>
        <v>131.277359388781</v>
      </c>
      <c r="I9360" s="6" t="n">
        <f aca="false">Sens!I9335</f>
        <v>143.334028071957</v>
      </c>
      <c r="J9360" s="6" t="n">
        <f aca="false">Sens!J9335</f>
        <v>154.932702785465</v>
      </c>
      <c r="K9360" s="6" t="n">
        <f aca="false">Sens!K9335</f>
        <v>165.777991980448</v>
      </c>
    </row>
    <row r="9361" customFormat="false" ht="17.15" hidden="false" customHeight="false" outlineLevel="0" collapsed="false">
      <c r="A9361" s="0" t="s">
        <v>809</v>
      </c>
      <c r="B9361" s="0" t="s">
        <v>95</v>
      </c>
      <c r="D9361" s="6" t="n">
        <f aca="false">Sens!D9334</f>
        <v>0.9</v>
      </c>
      <c r="E9361" s="6" t="n">
        <f aca="false">Sens!E9334</f>
        <v>5.25</v>
      </c>
      <c r="F9361" s="6" t="n">
        <f aca="false">Sens!F9334</f>
        <v>10.5</v>
      </c>
      <c r="G9361" s="6" t="n">
        <f aca="false">Sens!G9334</f>
        <v>13.5</v>
      </c>
      <c r="H9361" s="6" t="n">
        <f aca="false">Sens!H9334</f>
        <v>16.5</v>
      </c>
      <c r="I9361" s="6" t="n">
        <f aca="false">Sens!I9334</f>
        <v>18.75</v>
      </c>
      <c r="J9361" s="6" t="n">
        <f aca="false">Sens!J9334</f>
        <v>20.25</v>
      </c>
      <c r="K9361" s="6" t="n">
        <f aca="false">Sens!K9334</f>
        <v>21.75</v>
      </c>
    </row>
    <row r="9362" customFormat="false" ht="15" hidden="false" customHeight="false" outlineLevel="0" collapsed="false">
      <c r="A9362" s="0" t="s">
        <v>789</v>
      </c>
      <c r="B9362" s="0" t="s">
        <v>95</v>
      </c>
      <c r="D9362" s="6" t="n">
        <f aca="false">Sens!D9338</f>
        <v>35.391</v>
      </c>
      <c r="E9362" s="6" t="n">
        <f aca="false">Sens!E9338</f>
        <v>37.285</v>
      </c>
      <c r="F9362" s="6" t="n">
        <f aca="false">Sens!F9338</f>
        <v>39.0720834331704</v>
      </c>
      <c r="G9362" s="6" t="n">
        <f aca="false">Sens!G9338</f>
        <v>40.726562953769</v>
      </c>
      <c r="H9362" s="6" t="n">
        <f aca="false">Sens!H9338</f>
        <v>42.2235987259198</v>
      </c>
      <c r="I9362" s="6" t="n">
        <f aca="false">Sens!I9338</f>
        <v>43.5397988077414</v>
      </c>
      <c r="J9362" s="6" t="n">
        <f aca="false">Sens!J9338</f>
        <v>44.653811225693</v>
      </c>
      <c r="K9362" s="6" t="n">
        <f aca="false">Sens!K9338</f>
        <v>45.5468874502068</v>
      </c>
    </row>
    <row r="9363" customFormat="false" ht="15" hidden="false" customHeight="false" outlineLevel="0" collapsed="false">
      <c r="A9363" s="0" t="s">
        <v>790</v>
      </c>
      <c r="B9363" s="0" t="s">
        <v>95</v>
      </c>
      <c r="D9363" s="6" t="n">
        <f aca="false">Sens!D9340</f>
        <v>18.417</v>
      </c>
      <c r="E9363" s="6" t="n">
        <f aca="false">Sens!E9340</f>
        <v>20.345</v>
      </c>
      <c r="F9363" s="6" t="n">
        <f aca="false">Sens!F9340</f>
        <v>22.3572203267814</v>
      </c>
      <c r="G9363" s="6" t="n">
        <f aca="false">Sens!G9340</f>
        <v>24.4392124437232</v>
      </c>
      <c r="H9363" s="6" t="n">
        <f aca="false">Sens!H9340</f>
        <v>26.5738052080665</v>
      </c>
      <c r="I9363" s="6" t="n">
        <f aca="false">Sens!I9340</f>
        <v>28.7412169166967</v>
      </c>
      <c r="J9363" s="6" t="n">
        <f aca="false">Sens!J9340</f>
        <v>30.9192545395413</v>
      </c>
      <c r="K9363" s="6" t="n">
        <f aca="false">Sens!K9340</f>
        <v>33.0836023573092</v>
      </c>
    </row>
    <row r="9364" customFormat="false" ht="15" hidden="false" customHeight="false" outlineLevel="0" collapsed="false">
      <c r="A9364" s="0" t="s">
        <v>791</v>
      </c>
      <c r="B9364" s="0" t="s">
        <v>95</v>
      </c>
      <c r="D9364" s="6" t="n">
        <f aca="false">Sens!D9342</f>
        <v>7.76</v>
      </c>
      <c r="E9364" s="6" t="n">
        <f aca="false">Sens!E9342</f>
        <v>8.26</v>
      </c>
      <c r="F9364" s="6" t="n">
        <f aca="false">Sens!F9342</f>
        <v>8.79988041237113</v>
      </c>
      <c r="G9364" s="6" t="n">
        <f aca="false">Sens!G9342</f>
        <v>9.38321269125306</v>
      </c>
      <c r="H9364" s="6" t="n">
        <f aca="false">Sens!H9342</f>
        <v>10.0139193587476</v>
      </c>
      <c r="I9364" s="6" t="n">
        <f aca="false">Sens!I9342</f>
        <v>10.6963111830911</v>
      </c>
      <c r="J9364" s="6" t="n">
        <f aca="false">Sens!J9342</f>
        <v>11.4351285534696</v>
      </c>
      <c r="K9364" s="6" t="n">
        <f aca="false">Sens!K9342</f>
        <v>12.2355875522124</v>
      </c>
    </row>
    <row r="9365" customFormat="false" ht="15" hidden="false" customHeight="false" outlineLevel="0" collapsed="false">
      <c r="A9365" s="0" t="s">
        <v>626</v>
      </c>
      <c r="B9365" s="0" t="s">
        <v>95</v>
      </c>
      <c r="D9365" s="6" t="n">
        <f aca="false">Sens!D9344</f>
        <v>218.783</v>
      </c>
      <c r="E9365" s="6" t="n">
        <f aca="false">Sens!E9344</f>
        <v>268.127</v>
      </c>
      <c r="F9365" s="6" t="n">
        <f aca="false">Sens!F9344</f>
        <v>328.363433064856</v>
      </c>
      <c r="G9365" s="6" t="n">
        <f aca="false">Sens!G9344</f>
        <v>389.269865673274</v>
      </c>
      <c r="H9365" s="6" t="n">
        <f aca="false">Sens!H9344</f>
        <v>445.756320871193</v>
      </c>
      <c r="I9365" s="6" t="n">
        <f aca="false">Sens!I9344</f>
        <v>507.913725227984</v>
      </c>
      <c r="J9365" s="6" t="n">
        <f aca="false">Sens!J9344</f>
        <v>567.216533091392</v>
      </c>
      <c r="K9365" s="6" t="n">
        <f aca="false">Sens!K9344</f>
        <v>623.027603978669</v>
      </c>
    </row>
    <row r="9366" customFormat="false" ht="15" hidden="false" customHeight="false" outlineLevel="0" collapsed="false">
      <c r="A9366" s="0" t="s">
        <v>792</v>
      </c>
      <c r="B9366" s="0" t="s">
        <v>95</v>
      </c>
      <c r="D9366" s="6" t="n">
        <f aca="false">Sens!D9345</f>
        <v>22.171</v>
      </c>
      <c r="E9366" s="6" t="n">
        <f aca="false">Sens!E9345</f>
        <v>24.835</v>
      </c>
      <c r="F9366" s="6" t="n">
        <f aca="false">Sens!F9345</f>
        <v>27.6114901218559</v>
      </c>
      <c r="G9366" s="6" t="n">
        <f aca="false">Sens!G9345</f>
        <v>30.4675667338515</v>
      </c>
      <c r="H9366" s="6" t="n">
        <f aca="false">Sens!H9345</f>
        <v>33.3643766955789</v>
      </c>
      <c r="I9366" s="6" t="n">
        <f aca="false">Sens!I9345</f>
        <v>36.2577016533691</v>
      </c>
      <c r="J9366" s="6" t="n">
        <f aca="false">Sens!J9345</f>
        <v>39.0988367952171</v>
      </c>
      <c r="K9366" s="6" t="n">
        <f aca="false">Sens!K9345</f>
        <v>41.8357553708823</v>
      </c>
    </row>
    <row r="9367" customFormat="false" ht="15" hidden="false" customHeight="false" outlineLevel="0" collapsed="false">
      <c r="A9367" s="0" t="s">
        <v>793</v>
      </c>
      <c r="B9367" s="0" t="s">
        <v>95</v>
      </c>
      <c r="D9367" s="6" t="n">
        <f aca="false">Sens!D9347</f>
        <v>23.455</v>
      </c>
      <c r="E9367" s="6" t="n">
        <f aca="false">Sens!E9347</f>
        <v>21.79</v>
      </c>
      <c r="F9367" s="6" t="n">
        <f aca="false">Sens!F9347</f>
        <v>20.6825777908051</v>
      </c>
      <c r="G9367" s="6" t="n">
        <f aca="false">Sens!G9347</f>
        <v>20.0484913708632</v>
      </c>
      <c r="H9367" s="6" t="n">
        <f aca="false">Sens!H9347</f>
        <v>19.8381125629905</v>
      </c>
      <c r="I9367" s="6" t="n">
        <f aca="false">Sens!I9347</f>
        <v>20.0299669735513</v>
      </c>
      <c r="J9367" s="6" t="n">
        <f aca="false">Sens!J9347</f>
        <v>20.6275710652887</v>
      </c>
      <c r="K9367" s="6" t="n">
        <f aca="false">Sens!K9347</f>
        <v>21.6589496185531</v>
      </c>
    </row>
    <row r="9368" customFormat="false" ht="15" hidden="false" customHeight="false" outlineLevel="0" collapsed="false">
      <c r="A9368" s="0" t="s">
        <v>794</v>
      </c>
      <c r="B9368" s="0" t="s">
        <v>95</v>
      </c>
      <c r="D9368" s="6" t="n">
        <f aca="false">Sens!D9349</f>
        <v>17.315</v>
      </c>
      <c r="E9368" s="6" t="n">
        <f aca="false">Sens!E9349</f>
        <v>17.087</v>
      </c>
      <c r="F9368" s="6" t="n">
        <f aca="false">Sens!F9349</f>
        <v>16.9564585436519</v>
      </c>
      <c r="G9368" s="6" t="n">
        <f aca="false">Sens!G9349</f>
        <v>16.9206490624268</v>
      </c>
      <c r="H9368" s="6" t="n">
        <f aca="false">Sens!H9349</f>
        <v>16.9784519149849</v>
      </c>
      <c r="I9368" s="6" t="n">
        <f aca="false">Sens!I9349</f>
        <v>17.1303084701817</v>
      </c>
      <c r="J9368" s="6" t="n">
        <f aca="false">Sens!J9349</f>
        <v>17.3782189407267</v>
      </c>
      <c r="K9368" s="6" t="n">
        <f aca="false">Sens!K9349</f>
        <v>17.7257833195413</v>
      </c>
    </row>
    <row r="9369" customFormat="false" ht="15" hidden="false" customHeight="false" outlineLevel="0" collapsed="false">
      <c r="A9369" s="0" t="s">
        <v>640</v>
      </c>
      <c r="B9369" s="0" t="s">
        <v>95</v>
      </c>
      <c r="D9369" s="6" t="n">
        <f aca="false">Sens!D9351</f>
        <v>62.941</v>
      </c>
      <c r="E9369" s="6" t="n">
        <f aca="false">Sens!E9351</f>
        <v>63.712</v>
      </c>
      <c r="F9369" s="6" t="n">
        <f aca="false">Sens!F9351</f>
        <v>65.2505264563129</v>
      </c>
      <c r="G9369" s="6" t="n">
        <f aca="false">Sens!G9351</f>
        <v>67.4367071671415</v>
      </c>
      <c r="H9369" s="6" t="n">
        <f aca="false">Sens!H9351</f>
        <v>70.1809411735542</v>
      </c>
      <c r="I9369" s="6" t="n">
        <f aca="false">Sens!I9351</f>
        <v>73.4179770971021</v>
      </c>
      <c r="J9369" s="6" t="n">
        <f aca="false">Sens!J9351</f>
        <v>77.1046268012325</v>
      </c>
      <c r="K9369" s="6" t="n">
        <f aca="false">Sens!K9351</f>
        <v>81.2204883089766</v>
      </c>
    </row>
    <row r="9370" customFormat="false" ht="15" hidden="false" customHeight="false" outlineLevel="0" collapsed="false">
      <c r="A9370" s="1" t="s">
        <v>810</v>
      </c>
      <c r="B9370" s="0" t="s">
        <v>95</v>
      </c>
      <c r="D9370" s="6" t="n">
        <f aca="false">Sens!D9352</f>
        <v>281.724</v>
      </c>
      <c r="E9370" s="6" t="n">
        <f aca="false">Sens!E9352</f>
        <v>331.839</v>
      </c>
      <c r="F9370" s="6" t="n">
        <f aca="false">Sens!F9352</f>
        <v>393.613959521169</v>
      </c>
      <c r="G9370" s="6" t="n">
        <f aca="false">Sens!G9352</f>
        <v>456.706572840415</v>
      </c>
      <c r="H9370" s="6" t="n">
        <f aca="false">Sens!H9352</f>
        <v>515.937262044747</v>
      </c>
      <c r="I9370" s="6" t="n">
        <f aca="false">Sens!I9352</f>
        <v>581.331702325086</v>
      </c>
      <c r="J9370" s="6" t="n">
        <f aca="false">Sens!J9352</f>
        <v>644.321159892625</v>
      </c>
      <c r="K9370" s="6" t="n">
        <f aca="false">Sens!K9352</f>
        <v>704.248092287646</v>
      </c>
    </row>
    <row r="9371" customFormat="false" ht="15" hidden="false" customHeight="false" outlineLevel="0" collapsed="false">
      <c r="A9371" s="1" t="s">
        <v>811</v>
      </c>
      <c r="B9371" s="0" t="s">
        <v>126</v>
      </c>
      <c r="E9371" s="7" t="n">
        <f aca="false">Sens!E9370/Sens!D9370-1</f>
        <v>0.177886867998467</v>
      </c>
      <c r="F9371" s="7" t="n">
        <f aca="false">Sens!F9370/Sens!E9370-1</f>
        <v>0.186159431293997</v>
      </c>
      <c r="G9371" s="7" t="n">
        <f aca="false">Sens!G9370/Sens!F9370-1</f>
        <v>0.160290588768749</v>
      </c>
      <c r="H9371" s="7" t="n">
        <f aca="false">Sens!H9370/Sens!G9370-1</f>
        <v>0.129690905992344</v>
      </c>
      <c r="I9371" s="7" t="n">
        <f aca="false">Sens!I9370/Sens!H9370-1</f>
        <v>0.126748822174948</v>
      </c>
      <c r="J9371" s="7" t="n">
        <f aca="false">Sens!J9370/Sens!I9370-1</f>
        <v>0.108353728715648</v>
      </c>
      <c r="K9371" s="7" t="n">
        <f aca="false">Sens!K9370/Sens!J9370-1</f>
        <v>0.0930078602493947</v>
      </c>
    </row>
    <row r="9372" customFormat="false" ht="17.15" hidden="false" customHeight="false" outlineLevel="0" collapsed="false">
      <c r="A9372" s="22" t="s">
        <v>812</v>
      </c>
      <c r="B9372" s="28" t="s">
        <v>95</v>
      </c>
      <c r="C9372" s="28"/>
      <c r="D9372" s="23" t="n">
        <f aca="false">(Sens!D9365+Sens!D9369-Sens!D9370)+(Sens!D9357+Sens!D9358-Sens!D9356)+(Sens!D9360+Sens!D9361-Sens!D9359)+(Sens!D9370-Q!L18)</f>
        <v>0</v>
      </c>
      <c r="E9372" s="23" t="n">
        <f aca="false">(Sens!E9365+Sens!E9369-Sens!E9370)+(Sens!E9357+Sens!E9358-Sens!E9356)+(Sens!E9360+Sens!E9361-Sens!E9359)+(Sens!E9370-Q!M18)</f>
        <v>0</v>
      </c>
      <c r="F9372" s="23" t="n">
        <f aca="false">(Sens!F9365+Sens!F9369-Sens!F9370)+(Sens!F9357+Sens!F9358-Sens!F9356)+(Sens!F9360+Sens!F9361-Sens!F9359)</f>
        <v>0</v>
      </c>
      <c r="G9372" s="23" t="n">
        <f aca="false">(Sens!G9365+Sens!G9369-Sens!G9370)+(Sens!G9357+Sens!G9358-Sens!G9356)+(Sens!G9360+Sens!G9361-Sens!G9359)</f>
        <v>0</v>
      </c>
      <c r="H9372" s="23" t="n">
        <f aca="false">(Sens!H9365+Sens!H9369-Sens!H9370)+(Sens!H9357+Sens!H9358-Sens!H9356)+(Sens!H9360+Sens!H9361-Sens!H9359)</f>
        <v>0</v>
      </c>
      <c r="I9372" s="23" t="n">
        <f aca="false">(Sens!I9365+Sens!I9369-Sens!I9370)+(Sens!I9357+Sens!I9358-Sens!I9356)+(Sens!I9360+Sens!I9361-Sens!I9359)</f>
        <v>0</v>
      </c>
      <c r="J9372" s="23" t="n">
        <f aca="false">(Sens!J9365+Sens!J9369-Sens!J9370)+(Sens!J9357+Sens!J9358-Sens!J9356)+(Sens!J9360+Sens!J9361-Sens!J9359)</f>
        <v>0</v>
      </c>
      <c r="K9372" s="23" t="n">
        <f aca="false">(Sens!K9365+Sens!K9369-Sens!K9370)+(Sens!K9357+Sens!K9358-Sens!K9356)+(Sens!K9360+Sens!K9361-Sens!K9359)</f>
        <v>0</v>
      </c>
    </row>
    <row r="9373" customFormat="false" ht="17.15" hidden="false" customHeight="false" outlineLevel="0" collapsed="false">
      <c r="A9373" s="0" t="s">
        <v>813</v>
      </c>
      <c r="B9373" s="0" t="s">
        <v>126</v>
      </c>
      <c r="E9373" s="7" t="n">
        <f aca="false">(Q!M21+Sens!E9310+Sens!E9311+Sens!E9312+Sens!E9325-Sens!E9308)/(Q!M5-Sens!E9308)</f>
        <v>0.570957350878296</v>
      </c>
      <c r="F9373" s="7" t="n">
        <f aca="false">Sens!$E$9373+dm_seg</f>
        <v>0.570957350878296</v>
      </c>
      <c r="G9373" s="7" t="n">
        <f aca="false">Sens!$E$9373+dm_seg</f>
        <v>0.570957350878296</v>
      </c>
      <c r="H9373" s="7" t="n">
        <f aca="false">Sens!$E$9373+dm_seg</f>
        <v>0.570957350878296</v>
      </c>
      <c r="I9373" s="7" t="n">
        <f aca="false">Sens!$E$9373+dm_seg</f>
        <v>0.570957350878296</v>
      </c>
      <c r="J9373" s="7" t="n">
        <f aca="false">Sens!$E$9373+dm_seg</f>
        <v>0.570957350878296</v>
      </c>
      <c r="K9373" s="7" t="n">
        <f aca="false">Sens!$E$9373+dm_seg</f>
        <v>0.570957350878296</v>
      </c>
      <c r="L9373" s="11" t="s">
        <v>814</v>
      </c>
    </row>
    <row r="9374" customFormat="false" ht="17.15" hidden="false" customHeight="false" outlineLevel="0" collapsed="false">
      <c r="A9374" s="0" t="s">
        <v>654</v>
      </c>
      <c r="B9374" s="0" t="s">
        <v>95</v>
      </c>
      <c r="D9374" s="6" t="n">
        <f aca="false">Q!L21</f>
        <v>110.814</v>
      </c>
      <c r="E9374" s="6" t="n">
        <f aca="false">Q!M21</f>
        <v>136.365</v>
      </c>
      <c r="F9374" s="6" t="n">
        <f aca="false">Sens!F9373*(Sens!F9344-Sens!F9308)+Sens!F9308-(Sens!F9310+Sens!F9311+Sens!F9312)-Sens!F9325</f>
        <v>152.327377082477</v>
      </c>
      <c r="G9374" s="6" t="n">
        <f aca="false">Sens!G9373*(Sens!G9344-Sens!G9308)+Sens!G9308-(Sens!G9310+Sens!G9311+Sens!G9312)-Sens!G9325</f>
        <v>160.284703651175</v>
      </c>
      <c r="H9374" s="6" t="n">
        <f aca="false">Sens!H9373*(Sens!H9344-Sens!H9308)+Sens!H9308-(Sens!H9310+Sens!H9311+Sens!H9312)-Sens!H9325</f>
        <v>162.575944074207</v>
      </c>
      <c r="I9374" s="6" t="n">
        <f aca="false">Sens!I9373*(Sens!I9344-Sens!I9308)+Sens!I9308-(Sens!I9310+Sens!I9311+Sens!I9312)-Sens!I9325</f>
        <v>170.176513590142</v>
      </c>
      <c r="J9374" s="6" t="n">
        <f aca="false">Sens!J9373*(Sens!J9344-Sens!J9308)+Sens!J9308-(Sens!J9310+Sens!J9311+Sens!J9312)-Sens!J9325</f>
        <v>175.18681538999</v>
      </c>
      <c r="K9374" s="6" t="n">
        <f aca="false">Sens!K9373*(Sens!K9344-Sens!K9308)+Sens!K9308-(Sens!K9310+Sens!K9311+Sens!K9312)-Sens!K9325</f>
        <v>176.922886388843</v>
      </c>
      <c r="L9374" s="1" t="s">
        <v>815</v>
      </c>
    </row>
    <row r="9375" customFormat="false" ht="17.15" hidden="false" customHeight="false" outlineLevel="0" collapsed="false">
      <c r="A9375" s="0" t="s">
        <v>816</v>
      </c>
      <c r="B9375" s="0" t="s">
        <v>126</v>
      </c>
      <c r="E9375" s="7" t="n">
        <f aca="false">Q!M22/Q!M12</f>
        <v>0.296207935710698</v>
      </c>
      <c r="F9375" s="7" t="n">
        <f aca="false">Sens!$E$9375+dm_seg</f>
        <v>0.296207935710698</v>
      </c>
      <c r="G9375" s="7" t="n">
        <f aca="false">Sens!$E$9375+dm_seg</f>
        <v>0.296207935710698</v>
      </c>
      <c r="H9375" s="7" t="n">
        <f aca="false">Sens!$E$9375+dm_seg</f>
        <v>0.296207935710698</v>
      </c>
      <c r="I9375" s="7" t="n">
        <f aca="false">Sens!$E$9375+dm_seg</f>
        <v>0.296207935710698</v>
      </c>
      <c r="J9375" s="7" t="n">
        <f aca="false">Sens!$E$9375+dm_seg</f>
        <v>0.296207935710698</v>
      </c>
      <c r="K9375" s="7" t="n">
        <f aca="false">Sens!$E$9375+dm_seg</f>
        <v>0.296207935710698</v>
      </c>
      <c r="L9375" s="11" t="s">
        <v>817</v>
      </c>
    </row>
    <row r="9376" customFormat="false" ht="17.15" hidden="false" customHeight="false" outlineLevel="0" collapsed="false">
      <c r="A9376" s="0" t="s">
        <v>656</v>
      </c>
      <c r="B9376" s="0" t="s">
        <v>95</v>
      </c>
      <c r="D9376" s="6" t="n">
        <f aca="false">Q!L22</f>
        <v>17.714</v>
      </c>
      <c r="E9376" s="6" t="n">
        <f aca="false">Q!M22</f>
        <v>18.872</v>
      </c>
      <c r="F9376" s="6" t="n">
        <f aca="false">Sens!F9351*Sens!F9375</f>
        <v>19.3277237456607</v>
      </c>
      <c r="G9376" s="6" t="n">
        <f aca="false">Sens!G9351*Sens!G9375</f>
        <v>19.9752878211058</v>
      </c>
      <c r="H9376" s="6" t="n">
        <f aca="false">Sens!H9351*Sens!H9375</f>
        <v>20.7881517112524</v>
      </c>
      <c r="I9376" s="6" t="n">
        <f aca="false">Sens!I9351*Sens!I9375</f>
        <v>21.7469874399879</v>
      </c>
      <c r="J9376" s="6" t="n">
        <f aca="false">Sens!J9351*Sens!J9375</f>
        <v>22.8390023385368</v>
      </c>
      <c r="K9376" s="6" t="n">
        <f aca="false">Sens!K9351*Sens!K9375</f>
        <v>24.0581531794169</v>
      </c>
    </row>
    <row r="9377" customFormat="false" ht="15" hidden="false" customHeight="false" outlineLevel="0" collapsed="false">
      <c r="A9377" s="1" t="s">
        <v>818</v>
      </c>
      <c r="B9377" s="0" t="s">
        <v>95</v>
      </c>
      <c r="D9377" s="6" t="n">
        <f aca="false">Sens!D9374+Sens!D9376</f>
        <v>128.528</v>
      </c>
      <c r="E9377" s="6" t="n">
        <f aca="false">Sens!E9374+Sens!E9376</f>
        <v>155.237</v>
      </c>
      <c r="F9377" s="6" t="n">
        <f aca="false">Sens!F9374+Sens!F9376</f>
        <v>171.655100828137</v>
      </c>
      <c r="G9377" s="6" t="n">
        <f aca="false">Sens!G9374+Sens!G9376</f>
        <v>180.259991472281</v>
      </c>
      <c r="H9377" s="6" t="n">
        <f aca="false">Sens!H9374+Sens!H9376</f>
        <v>183.364095785459</v>
      </c>
      <c r="I9377" s="6" t="n">
        <f aca="false">Sens!I9374+Sens!I9376</f>
        <v>191.92350103013</v>
      </c>
      <c r="J9377" s="6" t="n">
        <f aca="false">Sens!J9374+Sens!J9376</f>
        <v>198.025817728526</v>
      </c>
      <c r="K9377" s="6" t="n">
        <f aca="false">Sens!K9374+Sens!K9376</f>
        <v>200.98103956826</v>
      </c>
    </row>
    <row r="9378" customFormat="false" ht="15" hidden="false" customHeight="false" outlineLevel="0" collapsed="false">
      <c r="A9378" s="22" t="s">
        <v>819</v>
      </c>
      <c r="B9378" s="28" t="s">
        <v>95</v>
      </c>
      <c r="C9378" s="28"/>
      <c r="D9378" s="23" t="n">
        <f aca="false">Sens!D9377-Q!L23</f>
        <v>0</v>
      </c>
      <c r="E9378" s="23" t="n">
        <f aca="false">Sens!E9377-Q!M23</f>
        <v>0</v>
      </c>
      <c r="F9378" s="28"/>
      <c r="G9378" s="28"/>
      <c r="H9378" s="28"/>
      <c r="I9378" s="28"/>
      <c r="J9378" s="28"/>
      <c r="K9378" s="28"/>
    </row>
    <row r="9379" customFormat="false" ht="15" hidden="false" customHeight="false" outlineLevel="0" collapsed="false">
      <c r="A9379" s="1" t="s">
        <v>820</v>
      </c>
      <c r="B9379" s="0" t="s">
        <v>126</v>
      </c>
      <c r="D9379" s="7" t="n">
        <f aca="false">Sens!D9377/Sens!D9370</f>
        <v>0.456219562408598</v>
      </c>
      <c r="E9379" s="7" t="n">
        <f aca="false">Sens!E9377/Sens!E9370</f>
        <v>0.467808184089272</v>
      </c>
      <c r="F9379" s="7" t="n">
        <f aca="false">Sens!F9377/Sens!F9370</f>
        <v>0.436100134855369</v>
      </c>
      <c r="G9379" s="7" t="n">
        <f aca="false">Sens!G9377/Sens!G9370</f>
        <v>0.394695417565773</v>
      </c>
      <c r="H9379" s="7" t="n">
        <f aca="false">Sens!H9377/Sens!H9370</f>
        <v>0.355399986150944</v>
      </c>
      <c r="I9379" s="7" t="n">
        <f aca="false">Sens!I9377/Sens!I9370</f>
        <v>0.330144563357744</v>
      </c>
      <c r="J9379" s="7" t="n">
        <f aca="false">Sens!J9377/Sens!J9370</f>
        <v>0.307340236601149</v>
      </c>
      <c r="K9379" s="7" t="n">
        <f aca="false">Sens!K9377/Sens!K9370</f>
        <v>0.28538386084285</v>
      </c>
    </row>
    <row r="9380" customFormat="false" ht="17.15" hidden="false" customHeight="false" outlineLevel="0" collapsed="false">
      <c r="A9380" s="1" t="s">
        <v>821</v>
      </c>
      <c r="B9380" s="0" t="s">
        <v>95</v>
      </c>
      <c r="E9380" s="6" t="n">
        <f aca="false">Sens!E9325</f>
        <v>16.3054059770833</v>
      </c>
      <c r="F9380" s="6" t="n">
        <f aca="false">Sens!F9325</f>
        <v>34.7527630808698</v>
      </c>
      <c r="G9380" s="6" t="n">
        <f aca="false">Sens!G9325</f>
        <v>60.5311885103396</v>
      </c>
      <c r="H9380" s="6" t="n">
        <f aca="false">Sens!H9325</f>
        <v>87.7667712431396</v>
      </c>
      <c r="I9380" s="6" t="n">
        <f aca="false">Sens!I9325</f>
        <v>116.021636991123</v>
      </c>
      <c r="J9380" s="6" t="n">
        <f aca="false">Sens!J9325</f>
        <v>145.248733208273</v>
      </c>
      <c r="K9380" s="6" t="n">
        <f aca="false">Sens!K9325</f>
        <v>175.76337788459</v>
      </c>
    </row>
    <row r="9381" customFormat="false" ht="17.15" hidden="false" customHeight="false" outlineLevel="0" collapsed="false">
      <c r="A9381" s="1" t="s">
        <v>822</v>
      </c>
      <c r="B9381" s="0" t="s">
        <v>95</v>
      </c>
      <c r="E9381" s="6" t="n">
        <f aca="false">Sens!E9401</f>
        <v>22.2285940229167</v>
      </c>
      <c r="F9381" s="6" t="n">
        <f aca="false">Sens!F9401</f>
        <v>23.5489961935813</v>
      </c>
      <c r="G9381" s="6" t="n">
        <f aca="false">Sens!G9401</f>
        <v>25.2653199695293</v>
      </c>
      <c r="H9381" s="6" t="n">
        <f aca="false">Sens!H9401</f>
        <v>27.3467517454613</v>
      </c>
      <c r="I9381" s="6" t="n">
        <f aca="false">Sens!I9401</f>
        <v>29.7374005769444</v>
      </c>
      <c r="J9381" s="6" t="n">
        <f aca="false">Sens!J9401</f>
        <v>32.3637524956875</v>
      </c>
      <c r="K9381" s="6" t="n">
        <f aca="false">Sens!K9401</f>
        <v>35.1431946661422</v>
      </c>
    </row>
    <row r="9382" customFormat="false" ht="17.15" hidden="false" customHeight="false" outlineLevel="0" collapsed="false">
      <c r="A9382" s="1" t="s">
        <v>823</v>
      </c>
      <c r="B9382" s="0" t="s">
        <v>95</v>
      </c>
      <c r="D9382" s="6" t="n">
        <f aca="false">Q!L27</f>
        <v>-4.901</v>
      </c>
      <c r="E9382" s="6" t="n">
        <f aca="false">Q!M27</f>
        <v>10.697</v>
      </c>
      <c r="F9382" s="6" t="n">
        <f aca="false">oie_f</f>
        <v>-0.4</v>
      </c>
      <c r="G9382" s="6" t="n">
        <f aca="false">oie_f</f>
        <v>-0.4</v>
      </c>
      <c r="H9382" s="6" t="n">
        <f aca="false">oie_f</f>
        <v>-0.4</v>
      </c>
      <c r="I9382" s="6" t="n">
        <f aca="false">oie_f</f>
        <v>-0.4</v>
      </c>
      <c r="J9382" s="6" t="n">
        <f aca="false">oie_f</f>
        <v>-0.4</v>
      </c>
      <c r="K9382" s="6" t="n">
        <f aca="false">oie_f</f>
        <v>-0.4</v>
      </c>
      <c r="L9382" s="11" t="s">
        <v>824</v>
      </c>
    </row>
    <row r="9383" customFormat="false" ht="15" hidden="false" customHeight="false" outlineLevel="0" collapsed="false">
      <c r="A9383" s="1" t="s">
        <v>666</v>
      </c>
      <c r="B9383" s="0" t="s">
        <v>95</v>
      </c>
      <c r="D9383" s="6" t="n">
        <f aca="false">Sens!D9377+Sens!D9382</f>
        <v>123.627</v>
      </c>
      <c r="E9383" s="6" t="n">
        <f aca="false">Sens!E9377+Sens!E9382</f>
        <v>165.934</v>
      </c>
      <c r="F9383" s="6" t="n">
        <f aca="false">Sens!F9377+Sens!F9382</f>
        <v>171.255100828137</v>
      </c>
      <c r="G9383" s="6" t="n">
        <f aca="false">Sens!G9377+Sens!G9382</f>
        <v>179.859991472281</v>
      </c>
      <c r="H9383" s="6" t="n">
        <f aca="false">Sens!H9377+Sens!H9382</f>
        <v>182.964095785459</v>
      </c>
      <c r="I9383" s="6" t="n">
        <f aca="false">Sens!I9377+Sens!I9382</f>
        <v>191.52350103013</v>
      </c>
      <c r="J9383" s="6" t="n">
        <f aca="false">Sens!J9377+Sens!J9382</f>
        <v>197.625817728526</v>
      </c>
      <c r="K9383" s="6" t="n">
        <f aca="false">Sens!K9377+Sens!K9382</f>
        <v>200.58103956826</v>
      </c>
    </row>
    <row r="9384" customFormat="false" ht="15" hidden="false" customHeight="false" outlineLevel="0" collapsed="false">
      <c r="A9384" s="1" t="s">
        <v>668</v>
      </c>
      <c r="B9384" s="0" t="s">
        <v>95</v>
      </c>
      <c r="D9384" s="6" t="n">
        <f aca="false">Q!L29</f>
        <v>21.795</v>
      </c>
      <c r="E9384" s="6" t="n">
        <f aca="false">Q!M29</f>
        <v>32.185</v>
      </c>
      <c r="F9384" s="6" t="n">
        <f aca="false">Sens!F9383*tax_f</f>
        <v>34.2510201656275</v>
      </c>
      <c r="G9384" s="6" t="n">
        <f aca="false">Sens!G9383*tax_f</f>
        <v>35.9719982944562</v>
      </c>
      <c r="H9384" s="6" t="n">
        <f aca="false">Sens!H9383*tax_f</f>
        <v>36.5928191570918</v>
      </c>
      <c r="I9384" s="6" t="n">
        <f aca="false">Sens!I9383*tax_f</f>
        <v>38.3047002060259</v>
      </c>
      <c r="J9384" s="6" t="n">
        <f aca="false">Sens!J9383*tax_f</f>
        <v>39.5251635457053</v>
      </c>
      <c r="K9384" s="6" t="n">
        <f aca="false">Sens!K9383*tax_f</f>
        <v>40.1162079136521</v>
      </c>
    </row>
    <row r="9385" customFormat="false" ht="15" hidden="false" customHeight="false" outlineLevel="0" collapsed="false">
      <c r="A9385" s="1" t="s">
        <v>825</v>
      </c>
      <c r="B9385" s="0" t="s">
        <v>95</v>
      </c>
      <c r="D9385" s="6" t="n">
        <f aca="false">Sens!D9383-Sens!D9384</f>
        <v>101.832</v>
      </c>
      <c r="E9385" s="6" t="n">
        <f aca="false">Sens!E9383-Sens!E9384</f>
        <v>133.749</v>
      </c>
      <c r="F9385" s="6" t="n">
        <f aca="false">Sens!F9383-Sens!F9384</f>
        <v>137.00408066251</v>
      </c>
      <c r="G9385" s="6" t="n">
        <f aca="false">Sens!G9383-Sens!G9384</f>
        <v>143.887993177825</v>
      </c>
      <c r="H9385" s="6" t="n">
        <f aca="false">Sens!H9383-Sens!H9384</f>
        <v>146.371276628367</v>
      </c>
      <c r="I9385" s="6" t="n">
        <f aca="false">Sens!I9383-Sens!I9384</f>
        <v>153.218800824104</v>
      </c>
      <c r="J9385" s="6" t="n">
        <f aca="false">Sens!J9383-Sens!J9384</f>
        <v>158.100654182821</v>
      </c>
      <c r="K9385" s="6" t="n">
        <f aca="false">Sens!K9383-Sens!K9384</f>
        <v>160.464831654608</v>
      </c>
    </row>
    <row r="9386" customFormat="false" ht="17.15" hidden="false" customHeight="false" outlineLevel="0" collapsed="false">
      <c r="A9386" s="1" t="s">
        <v>826</v>
      </c>
      <c r="B9386" s="1" t="s">
        <v>79</v>
      </c>
      <c r="D9386" s="18" t="n">
        <f aca="false">Q!L31</f>
        <v>7.465</v>
      </c>
      <c r="E9386" s="18" t="n">
        <f aca="false">Q!M31</f>
        <v>7.453</v>
      </c>
      <c r="F9386" s="18" t="n">
        <f aca="false">Sens!F9423</f>
        <v>7.4735</v>
      </c>
      <c r="G9386" s="18" t="n">
        <f aca="false">Sens!G9423</f>
        <v>7.5185</v>
      </c>
      <c r="H9386" s="18" t="n">
        <f aca="false">Sens!H9423</f>
        <v>7.55823647786542</v>
      </c>
      <c r="I9386" s="18" t="n">
        <f aca="false">Sens!I9423</f>
        <v>7.59055067518038</v>
      </c>
      <c r="J9386" s="18" t="n">
        <f aca="false">Sens!J9423</f>
        <v>7.61334065959043</v>
      </c>
      <c r="K9386" s="18" t="n">
        <f aca="false">Sens!K9423</f>
        <v>7.63467046949324</v>
      </c>
    </row>
    <row r="9387" customFormat="false" ht="17.15" hidden="false" customHeight="false" outlineLevel="0" collapsed="false">
      <c r="A9387" s="0" t="s">
        <v>827</v>
      </c>
      <c r="B9387" s="0" t="s">
        <v>73</v>
      </c>
      <c r="D9387" s="8" t="n">
        <f aca="false">Sens!D9385/Sens!D9386</f>
        <v>13.641259209645</v>
      </c>
      <c r="E9387" s="8" t="n">
        <f aca="false">Sens!E9385/Sens!E9386</f>
        <v>17.9456594659869</v>
      </c>
      <c r="F9387" s="8" t="n">
        <f aca="false">Sens!F9385/Sens!F9386</f>
        <v>18.3319837643018</v>
      </c>
      <c r="G9387" s="8" t="n">
        <f aca="false">Sens!G9385/Sens!G9386</f>
        <v>19.1378590380827</v>
      </c>
      <c r="H9387" s="8" t="n">
        <f aca="false">Sens!H9385/Sens!H9386</f>
        <v>19.3657974392599</v>
      </c>
      <c r="I9387" s="8" t="n">
        <f aca="false">Sens!I9385/Sens!I9386</f>
        <v>20.1854657693149</v>
      </c>
      <c r="J9387" s="8" t="n">
        <f aca="false">Sens!J9385/Sens!J9386</f>
        <v>20.7662655924458</v>
      </c>
      <c r="K9387" s="8" t="n">
        <f aca="false">Sens!K9385/Sens!K9386</f>
        <v>21.0179119446997</v>
      </c>
      <c r="L9387" s="1" t="s">
        <v>828</v>
      </c>
    </row>
    <row r="9388" customFormat="false" ht="17.15" hidden="false" customHeight="false" outlineLevel="0" collapsed="false">
      <c r="A9388" s="0" t="s">
        <v>829</v>
      </c>
      <c r="B9388" s="0" t="s">
        <v>126</v>
      </c>
      <c r="E9388" s="7" t="n">
        <f aca="false">Sens!E9387/Sens!D9387-1</f>
        <v>0.315542736208578</v>
      </c>
      <c r="F9388" s="7" t="n">
        <f aca="false">Sens!F9387/Sens!E9387-1</f>
        <v>0.021527450637699</v>
      </c>
      <c r="G9388" s="7" t="n">
        <f aca="false">Sens!G9387/Sens!F9387-1</f>
        <v>0.0439600691415694</v>
      </c>
      <c r="H9388" s="7" t="n">
        <f aca="false">Sens!H9387/Sens!G9387-1</f>
        <v>0.0119103396426783</v>
      </c>
      <c r="I9388" s="7" t="n">
        <f aca="false">Sens!I9387/Sens!H9387-1</f>
        <v>0.0423255656073966</v>
      </c>
      <c r="J9388" s="7" t="n">
        <f aca="false">Sens!J9387/Sens!I9387-1</f>
        <v>0.0287731692579407</v>
      </c>
      <c r="K9388" s="7" t="n">
        <f aca="false">Sens!K9387/Sens!J9387-1</f>
        <v>0.0121180359142421</v>
      </c>
    </row>
    <row r="9389" customFormat="false" ht="17.15" hidden="false" customHeight="false" outlineLevel="0" collapsed="false">
      <c r="A9389" s="0" t="s">
        <v>763</v>
      </c>
      <c r="B9389" s="0" t="s">
        <v>95</v>
      </c>
      <c r="E9389" s="6" t="n">
        <f aca="false">Sens!E9334</f>
        <v>5.25</v>
      </c>
      <c r="F9389" s="6" t="n">
        <f aca="false">Sens!F9334</f>
        <v>10.5</v>
      </c>
      <c r="G9389" s="6" t="n">
        <f aca="false">Sens!G9334</f>
        <v>13.5</v>
      </c>
      <c r="H9389" s="6" t="n">
        <f aca="false">Sens!H9334</f>
        <v>16.5</v>
      </c>
      <c r="I9389" s="6" t="n">
        <f aca="false">Sens!I9334</f>
        <v>18.75</v>
      </c>
      <c r="J9389" s="6" t="n">
        <f aca="false">Sens!J9334</f>
        <v>20.25</v>
      </c>
      <c r="K9389" s="6" t="n">
        <f aca="false">Sens!K9334</f>
        <v>21.75</v>
      </c>
    </row>
    <row r="9390" customFormat="false" ht="17.15" hidden="false" customHeight="false" outlineLevel="0" collapsed="false">
      <c r="A9390" s="0" t="s">
        <v>764</v>
      </c>
      <c r="B9390" s="0" t="s">
        <v>95</v>
      </c>
      <c r="E9390" s="6" t="n">
        <f aca="false">Sens!E9314+Sens!E9389*Sens!E9373-Sens!E9315-Sens!E9325</f>
        <v>2.1514866143068</v>
      </c>
      <c r="F9390" s="6" t="n">
        <f aca="false">Sens!F9314+Sens!F9389*Sens!F9373-Sens!F9315-Sens!F9325</f>
        <v>-0.233295884615529</v>
      </c>
      <c r="G9390" s="6" t="n">
        <f aca="false">Sens!G9314+Sens!G9389*Sens!G9373-Sens!G9315-Sens!G9325</f>
        <v>-11.3573982763606</v>
      </c>
      <c r="H9390" s="6" t="n">
        <f aca="false">Sens!H9314+Sens!H9389*Sens!H9373-Sens!H9315-Sens!H9325</f>
        <v>-28.3297356046306</v>
      </c>
      <c r="I9390" s="6" t="n">
        <f aca="false">Sens!I9314+Sens!I9389*Sens!I9373-Sens!I9315-Sens!I9325</f>
        <v>-39.5047514840374</v>
      </c>
      <c r="J9390" s="6" t="n">
        <f aca="false">Sens!J9314+Sens!J9389*Sens!J9373-Sens!J9315-Sens!J9325</f>
        <v>-52.0312374585483</v>
      </c>
      <c r="K9390" s="6" t="n">
        <f aca="false">Sens!K9314+Sens!K9389*Sens!K9373-Sens!K9315-Sens!K9325</f>
        <v>-65.8164602625783</v>
      </c>
    </row>
    <row r="9391" customFormat="false" ht="17.15" hidden="false" customHeight="false" outlineLevel="0" collapsed="false">
      <c r="A9391" s="0" t="s">
        <v>765</v>
      </c>
      <c r="B9391" s="0" t="s">
        <v>95</v>
      </c>
      <c r="E9391" s="6" t="n">
        <f aca="false">Sens!E9297*(cxit_open+self_build*tk_cxfac)/1000*ai_net_open</f>
        <v>126.6980382</v>
      </c>
      <c r="F9391" s="6" t="n">
        <f aca="false">Sens!E9391+Sens!F9322-Sens!F9325</f>
        <v>260.712659389568</v>
      </c>
      <c r="G9391" s="6" t="n">
        <f aca="false">Sens!F9391+Sens!G9322-Sens!G9325</f>
        <v>383.755651362428</v>
      </c>
      <c r="H9391" s="6" t="n">
        <f aca="false">Sens!G9391+Sens!H9322-Sens!H9325</f>
        <v>484.069166029689</v>
      </c>
      <c r="I9391" s="6" t="n">
        <f aca="false">Sens!H9391+Sens!I9322-Sens!I9325</f>
        <v>586.386490295632</v>
      </c>
      <c r="J9391" s="6" t="n">
        <f aca="false">Sens!I9391+Sens!J9322-Sens!J9325</f>
        <v>674.914818011093</v>
      </c>
      <c r="K9391" s="6" t="n">
        <f aca="false">Sens!J9391+Sens!K9322-Sens!K9325</f>
        <v>778.007752076903</v>
      </c>
      <c r="L9391" s="1" t="s">
        <v>766</v>
      </c>
    </row>
    <row r="9392" customFormat="false" ht="17.15" hidden="false" customHeight="false" outlineLevel="0" collapsed="false">
      <c r="A9392" s="0" t="s">
        <v>767</v>
      </c>
      <c r="B9392" s="0" t="s">
        <v>126</v>
      </c>
      <c r="F9392" s="7" t="n">
        <f aca="false">Sens!F9390*(1-tax_f)/((Sens!E9391+Sens!F9391)/2)</f>
        <v>-0.00096350828128216</v>
      </c>
      <c r="G9392" s="7" t="n">
        <f aca="false">Sens!G9390*(1-tax_f)/((Sens!F9391+Sens!G9391)/2)</f>
        <v>-0.0281966342471878</v>
      </c>
      <c r="H9392" s="7" t="n">
        <f aca="false">Sens!H9390*(1-tax_f)/((Sens!G9391+Sens!H9391)/2)</f>
        <v>-0.0522312522746492</v>
      </c>
      <c r="I9392" s="7" t="n">
        <f aca="false">Sens!I9390*(1-tax_f)/((Sens!H9391+Sens!I9391)/2)</f>
        <v>-0.0590473804318434</v>
      </c>
      <c r="J9392" s="7" t="n">
        <f aca="false">Sens!J9390*(1-tax_f)/((Sens!I9391+Sens!J9391)/2)</f>
        <v>-0.0660032455254002</v>
      </c>
      <c r="K9392" s="7" t="n">
        <f aca="false">Sens!K9390*(1-tax_f)/((Sens!J9391+Sens!K9391)/2)</f>
        <v>-0.0724789734760245</v>
      </c>
    </row>
    <row r="9393" customFormat="false" ht="17.15" hidden="false" customHeight="false" outlineLevel="0" collapsed="false">
      <c r="A9393" s="1" t="s">
        <v>768</v>
      </c>
      <c r="B9393" s="0" t="s">
        <v>126</v>
      </c>
      <c r="F9393" s="7" t="n">
        <f aca="false">Sens!F9326*(1-tax_f)/(Sens!F9313*(Sens!E9391+Sens!F9391)/2)</f>
        <v>0.0977821060175948</v>
      </c>
      <c r="G9393" s="7" t="n">
        <f aca="false">Sens!G9326*(1-tax_f)/(Sens!G9313*(Sens!F9391+Sens!G9391)/2)</f>
        <v>0.0659221823603952</v>
      </c>
      <c r="H9393" s="7" t="n">
        <f aca="false">Sens!H9326*(1-tax_f)/(Sens!H9313*(Sens!G9391+Sens!H9391)/2)</f>
        <v>0.0387777405523424</v>
      </c>
      <c r="I9393" s="7" t="n">
        <f aca="false">Sens!I9326*(1-tax_f)/(Sens!I9313*(Sens!H9391+Sens!I9391)/2)</f>
        <v>0.0397413567816354</v>
      </c>
      <c r="J9393" s="7" t="n">
        <f aca="false">Sens!J9326*(1-tax_f)/(Sens!J9313*(Sens!I9391+Sens!J9391)/2)</f>
        <v>0.0396595633569153</v>
      </c>
      <c r="K9393" s="7" t="n">
        <f aca="false">Sens!K9326*(1-tax_f)/(Sens!K9313*(Sens!J9391+Sens!K9391)/2)</f>
        <v>0.0382200823229209</v>
      </c>
    </row>
    <row r="9394" customFormat="false" ht="17.15" hidden="false" customHeight="false" outlineLevel="0" collapsed="false">
      <c r="A9394" s="0" t="s">
        <v>769</v>
      </c>
      <c r="B9394" s="0" t="s">
        <v>208</v>
      </c>
      <c r="F9394" s="7" t="n">
        <f aca="false">Sens!F9392-wacc</f>
        <v>-0.109926729431536</v>
      </c>
      <c r="G9394" s="7" t="n">
        <f aca="false">Sens!G9392-wacc</f>
        <v>-0.137159855397442</v>
      </c>
      <c r="H9394" s="7" t="n">
        <f aca="false">Sens!H9392-wacc</f>
        <v>-0.161194473424903</v>
      </c>
      <c r="I9394" s="7" t="n">
        <f aca="false">Sens!I9392-wacc</f>
        <v>-0.168010601582097</v>
      </c>
      <c r="J9394" s="7" t="n">
        <f aca="false">Sens!J9392-wacc</f>
        <v>-0.174966466675654</v>
      </c>
      <c r="K9394" s="7" t="n">
        <f aca="false">Sens!K9392-wacc</f>
        <v>-0.181442194626278</v>
      </c>
    </row>
    <row r="9395" customFormat="false" ht="17.15" hidden="false" customHeight="false" outlineLevel="0" collapsed="false">
      <c r="A9395" s="0" t="s">
        <v>770</v>
      </c>
      <c r="B9395" s="0" t="s">
        <v>95</v>
      </c>
      <c r="F9395" s="6" t="n">
        <f aca="false">Sens!F9390*(1-tax_f)-wacc*(Sens!E9391+Sens!F9391)/2</f>
        <v>-21.2933954664055</v>
      </c>
      <c r="G9395" s="6" t="n">
        <f aca="false">Sens!G9390*(1-tax_f)-wacc*(Sens!F9391+Sens!G9391)/2</f>
        <v>-44.1975901554887</v>
      </c>
      <c r="H9395" s="6" t="n">
        <f aca="false">Sens!H9390*(1-tax_f)-wacc*(Sens!G9391+Sens!H9391)/2</f>
        <v>-69.9442822322925</v>
      </c>
      <c r="I9395" s="6" t="n">
        <f aca="false">Sens!I9390*(1-tax_f)-wacc*(Sens!H9391+Sens!I9391)/2</f>
        <v>-89.923949393088</v>
      </c>
      <c r="J9395" s="6" t="n">
        <f aca="false">Sens!J9390*(1-tax_f)-wacc*(Sens!I9391+Sens!J9391)/2</f>
        <v>-110.342716663904</v>
      </c>
      <c r="K9395" s="6" t="n">
        <f aca="false">Sens!K9390*(1-tax_f)-wacc*(Sens!J9391+Sens!K9391)/2</f>
        <v>-131.810729869409</v>
      </c>
    </row>
    <row r="9396" customFormat="false" ht="17.15" hidden="false" customHeight="false" outlineLevel="0" collapsed="false">
      <c r="A9396" s="1" t="s">
        <v>771</v>
      </c>
      <c r="B9396" s="0" t="s">
        <v>95</v>
      </c>
      <c r="F9396" s="6" t="n">
        <f aca="false">(Sens!E9298+Sens!F9298)/2*Sens!F9305/1000</f>
        <v>26.7873066765967</v>
      </c>
      <c r="G9396" s="6" t="n">
        <f aca="false">(Sens!F9298+Sens!G9298)/2*Sens!G9305/1000</f>
        <v>45.4131817597218</v>
      </c>
      <c r="H9396" s="6" t="n">
        <f aca="false">(Sens!G9298+Sens!H9298)/2*Sens!H9305/1000</f>
        <v>65.3915129357971</v>
      </c>
      <c r="I9396" s="6" t="n">
        <f aca="false">(Sens!H9298+Sens!I9298)/2*Sens!I9305/1000</f>
        <v>85.5187419289299</v>
      </c>
      <c r="J9396" s="6" t="n">
        <f aca="false">(Sens!I9298+Sens!J9298)/2*Sens!J9305/1000</f>
        <v>105.723807195006</v>
      </c>
      <c r="K9396" s="6" t="n">
        <f aca="false">(Sens!J9298+Sens!K9298)/2*Sens!K9305/1000</f>
        <v>125.974659797015</v>
      </c>
      <c r="L9396" s="1" t="s">
        <v>772</v>
      </c>
    </row>
    <row r="9397" customFormat="false" ht="17.15" hidden="false" customHeight="false" outlineLevel="0" collapsed="false">
      <c r="A9397" s="1" t="s">
        <v>773</v>
      </c>
      <c r="B9397" s="0" t="s">
        <v>126</v>
      </c>
      <c r="F9397" s="7" t="n">
        <f aca="false">(Sens!F9314+Sens!F9396-Sens!F9315-Sens!F9325)*(1-tax_f)/((Sens!E9391+Sens!F9391)/2)</f>
        <v>0.0849081710367832</v>
      </c>
      <c r="G9397" s="7" t="n">
        <f aca="false">(Sens!G9314+Sens!G9396-Sens!G9315-Sens!G9325)*(1-tax_f)/((Sens!F9391+Sens!G9391)/2)</f>
        <v>0.0654129521825772</v>
      </c>
      <c r="H9397" s="7" t="n">
        <f aca="false">(Sens!H9314+Sens!H9396-Sens!H9315-Sens!H9325)*(1-tax_f)/((Sens!G9391+Sens!H9391)/2)</f>
        <v>0.0509614023249309</v>
      </c>
      <c r="I9397" s="7" t="n">
        <f aca="false">(Sens!I9314+Sens!I9396-Sens!I9315-Sens!I9325)*(1-tax_f)/((Sens!H9391+Sens!I9391)/2)</f>
        <v>0.0527753427726391</v>
      </c>
      <c r="J9397" s="7" t="n">
        <f aca="false">(Sens!J9314+Sens!J9396-Sens!J9315-Sens!J9325)*(1-tax_f)/((Sens!I9391+Sens!J9391)/2)</f>
        <v>0.0534440842691036</v>
      </c>
      <c r="K9397" s="7" t="n">
        <f aca="false">(Sens!K9314+Sens!K9396-Sens!K9315-Sens!K9325)*(1-tax_f)/((Sens!J9391+Sens!K9391)/2)</f>
        <v>0.0525725217689391</v>
      </c>
      <c r="L9397" s="1" t="s">
        <v>774</v>
      </c>
    </row>
    <row r="9398" customFormat="false" ht="17.15" hidden="false" customHeight="false" outlineLevel="0" collapsed="false">
      <c r="A9398" s="3" t="s">
        <v>1382</v>
      </c>
    </row>
    <row r="9399" customFormat="false" ht="15" hidden="false" customHeight="false" outlineLevel="0" collapsed="false">
      <c r="A9399" s="4" t="s">
        <v>43</v>
      </c>
      <c r="B9399" s="4" t="s">
        <v>63</v>
      </c>
      <c r="C9399" s="19" t="s">
        <v>710</v>
      </c>
      <c r="D9399" s="19" t="s">
        <v>711</v>
      </c>
      <c r="E9399" s="19" t="s">
        <v>712</v>
      </c>
      <c r="F9399" s="19" t="s">
        <v>713</v>
      </c>
      <c r="G9399" s="19" t="s">
        <v>714</v>
      </c>
      <c r="H9399" s="19" t="s">
        <v>715</v>
      </c>
      <c r="I9399" s="19" t="s">
        <v>716</v>
      </c>
      <c r="J9399" s="19" t="s">
        <v>717</v>
      </c>
      <c r="K9399" s="19" t="s">
        <v>718</v>
      </c>
      <c r="L9399" s="4" t="s">
        <v>47</v>
      </c>
    </row>
    <row r="9400" customFormat="false" ht="15" hidden="false" customHeight="false" outlineLevel="0" collapsed="false">
      <c r="A9400" s="1" t="s">
        <v>825</v>
      </c>
      <c r="B9400" s="0" t="s">
        <v>95</v>
      </c>
      <c r="F9400" s="6" t="n">
        <f aca="false">Sens!F9385</f>
        <v>137.00408066251</v>
      </c>
      <c r="G9400" s="6" t="n">
        <f aca="false">Sens!G9385</f>
        <v>143.887993177825</v>
      </c>
      <c r="H9400" s="6" t="n">
        <f aca="false">Sens!H9385</f>
        <v>146.371276628367</v>
      </c>
      <c r="I9400" s="6" t="n">
        <f aca="false">Sens!I9385</f>
        <v>153.218800824104</v>
      </c>
      <c r="J9400" s="6" t="n">
        <f aca="false">Sens!J9385</f>
        <v>158.100654182821</v>
      </c>
      <c r="K9400" s="6" t="n">
        <f aca="false">Sens!K9385</f>
        <v>160.464831654608</v>
      </c>
    </row>
    <row r="9401" customFormat="false" ht="17.15" hidden="false" customHeight="false" outlineLevel="0" collapsed="false">
      <c r="A9401" s="1" t="s">
        <v>843</v>
      </c>
      <c r="B9401" s="0" t="s">
        <v>95</v>
      </c>
      <c r="E9401" s="6" t="n">
        <f aca="false">Q!M38-Sens!E9325</f>
        <v>22.2285940229167</v>
      </c>
      <c r="F9401" s="6" t="n">
        <f aca="false">Sens!E9401*(1-1/life_nonai)+Sens!F9407/life_nonai</f>
        <v>23.5489961935813</v>
      </c>
      <c r="G9401" s="6" t="n">
        <f aca="false">Sens!F9401*(1-1/life_nonai)+Sens!G9407/life_nonai</f>
        <v>25.2653199695293</v>
      </c>
      <c r="H9401" s="6" t="n">
        <f aca="false">Sens!G9401*(1-1/life_nonai)+Sens!H9407/life_nonai</f>
        <v>27.3467517454613</v>
      </c>
      <c r="I9401" s="6" t="n">
        <f aca="false">Sens!H9401*(1-1/life_nonai)+Sens!I9407/life_nonai</f>
        <v>29.7374005769444</v>
      </c>
      <c r="J9401" s="6" t="n">
        <f aca="false">Sens!I9401*(1-1/life_nonai)+Sens!J9407/life_nonai</f>
        <v>32.3637524956875</v>
      </c>
      <c r="K9401" s="6" t="n">
        <f aca="false">Sens!J9401*(1-1/life_nonai)+Sens!K9407/life_nonai</f>
        <v>35.1431946661422</v>
      </c>
      <c r="L9401" s="11" t="s">
        <v>844</v>
      </c>
    </row>
    <row r="9402" customFormat="false" ht="17.15" hidden="false" customHeight="false" outlineLevel="0" collapsed="false">
      <c r="A9402" s="1" t="s">
        <v>845</v>
      </c>
      <c r="B9402" s="0" t="s">
        <v>95</v>
      </c>
      <c r="E9402" s="6" t="n">
        <f aca="false">Sens!E9325+Sens!E9401</f>
        <v>38.534</v>
      </c>
      <c r="F9402" s="6" t="n">
        <f aca="false">Sens!F9325+Sens!F9401</f>
        <v>58.301759274451</v>
      </c>
      <c r="G9402" s="6" t="n">
        <f aca="false">Sens!G9325+Sens!G9401</f>
        <v>85.7965084798689</v>
      </c>
      <c r="H9402" s="6" t="n">
        <f aca="false">Sens!H9325+Sens!H9401</f>
        <v>115.113522988601</v>
      </c>
      <c r="I9402" s="6" t="n">
        <f aca="false">Sens!I9325+Sens!I9401</f>
        <v>145.759037568067</v>
      </c>
      <c r="J9402" s="6" t="n">
        <f aca="false">Sens!J9325+Sens!J9401</f>
        <v>177.61248570396</v>
      </c>
      <c r="K9402" s="6" t="n">
        <f aca="false">Sens!K9325+Sens!K9401</f>
        <v>210.906572550732</v>
      </c>
    </row>
    <row r="9403" customFormat="false" ht="15" hidden="false" customHeight="false" outlineLevel="0" collapsed="false">
      <c r="A9403" s="1" t="s">
        <v>685</v>
      </c>
      <c r="B9403" s="0" t="s">
        <v>95</v>
      </c>
      <c r="F9403" s="6" t="n">
        <f aca="false">Sens!F9352*sbc_r</f>
        <v>14.714307745202</v>
      </c>
      <c r="G9403" s="6" t="n">
        <f aca="false">Sens!G9352*sbc_r</f>
        <v>17.072872797005</v>
      </c>
      <c r="H9403" s="6" t="n">
        <f aca="false">Sens!H9352*sbc_r</f>
        <v>19.2870691379407</v>
      </c>
      <c r="I9403" s="6" t="n">
        <f aca="false">Sens!I9352*sbc_r</f>
        <v>21.7316824343814</v>
      </c>
      <c r="J9403" s="6" t="n">
        <f aca="false">Sens!J9352*sbc_r</f>
        <v>24.086391257411</v>
      </c>
      <c r="K9403" s="6" t="n">
        <f aca="false">Sens!K9352*sbc_r</f>
        <v>26.3266149693925</v>
      </c>
    </row>
    <row r="9404" customFormat="false" ht="17.15" hidden="false" customHeight="false" outlineLevel="0" collapsed="false">
      <c r="A9404" s="1" t="s">
        <v>846</v>
      </c>
      <c r="B9404" s="0" t="s">
        <v>95</v>
      </c>
      <c r="F9404" s="6" t="n">
        <f aca="false">wc27</f>
        <v>-4.895</v>
      </c>
      <c r="G9404" s="6" t="n">
        <f aca="false">0</f>
        <v>0</v>
      </c>
      <c r="H9404" s="6" t="n">
        <f aca="false">0</f>
        <v>0</v>
      </c>
      <c r="I9404" s="6" t="n">
        <f aca="false">0</f>
        <v>0</v>
      </c>
      <c r="J9404" s="6" t="n">
        <f aca="false">0</f>
        <v>0</v>
      </c>
      <c r="K9404" s="6" t="n">
        <f aca="false">0</f>
        <v>0</v>
      </c>
      <c r="L9404" s="11" t="s">
        <v>847</v>
      </c>
    </row>
    <row r="9405" customFormat="false" ht="15" hidden="false" customHeight="false" outlineLevel="0" collapsed="false">
      <c r="A9405" s="1" t="s">
        <v>678</v>
      </c>
      <c r="B9405" s="0" t="s">
        <v>95</v>
      </c>
      <c r="E9405" s="6" t="n">
        <f aca="false">Q!M35</f>
        <v>182.935</v>
      </c>
      <c r="F9405" s="6" t="n">
        <f aca="false">Sens!F9400+Sens!F9402+Sens!F9403+Sens!F9404</f>
        <v>205.125147682163</v>
      </c>
      <c r="G9405" s="6" t="n">
        <f aca="false">Sens!G9400+Sens!G9402+Sens!G9403+Sens!G9404</f>
        <v>246.757374454698</v>
      </c>
      <c r="H9405" s="6" t="n">
        <f aca="false">Sens!H9400+Sens!H9402+Sens!H9403+Sens!H9404</f>
        <v>280.771868754909</v>
      </c>
      <c r="I9405" s="6" t="n">
        <f aca="false">Sens!I9400+Sens!I9402+Sens!I9403+Sens!I9404</f>
        <v>320.709520826552</v>
      </c>
      <c r="J9405" s="6" t="n">
        <f aca="false">Sens!J9400+Sens!J9402+Sens!J9403+Sens!J9404</f>
        <v>359.799531144193</v>
      </c>
      <c r="K9405" s="6" t="n">
        <f aca="false">Sens!K9400+Sens!K9402+Sens!K9403+Sens!K9404</f>
        <v>397.698019174733</v>
      </c>
    </row>
    <row r="9406" customFormat="false" ht="17.15" hidden="false" customHeight="false" outlineLevel="0" collapsed="false">
      <c r="A9406" s="0" t="s">
        <v>848</v>
      </c>
      <c r="B9406" s="0" t="s">
        <v>95</v>
      </c>
      <c r="F9406" s="6" t="n">
        <f aca="false">Sens!F9322</f>
        <v>168.767384270438</v>
      </c>
      <c r="G9406" s="6" t="n">
        <f aca="false">Sens!G9322</f>
        <v>183.5741804832</v>
      </c>
      <c r="H9406" s="6" t="n">
        <f aca="false">Sens!H9322</f>
        <v>188.0802859104</v>
      </c>
      <c r="I9406" s="6" t="n">
        <f aca="false">Sens!I9322</f>
        <v>218.338961257067</v>
      </c>
      <c r="J9406" s="6" t="n">
        <f aca="false">Sens!J9322</f>
        <v>233.777060923733</v>
      </c>
      <c r="K9406" s="6" t="n">
        <f aca="false">Sens!K9322</f>
        <v>278.8563119504</v>
      </c>
    </row>
    <row r="9407" customFormat="false" ht="17.15" hidden="false" customHeight="false" outlineLevel="0" collapsed="false">
      <c r="A9407" s="1" t="s">
        <v>849</v>
      </c>
      <c r="B9407" s="0" t="s">
        <v>95</v>
      </c>
      <c r="E9407" s="6" t="n">
        <f aca="false">Sens!E9330*cx_azo+Sens!E9337*cx_m365+Sens!E9338*cx_lic+(Sens!E9340+Sens!E9342)*cx_ind+Sens!E9345*cx_srch+(Sens!E9347+Sens!E9349)*cx_dev</f>
        <v>30.1846587067718</v>
      </c>
      <c r="F9407" s="6" t="n">
        <f aca="false">Sens!F9330*cx_azo+Sens!F9337*cx_m365+Sens!F9338*cx_lic+(Sens!F9340+Sens!F9342)*cx_ind+Sens!F9345*cx_srch+(Sens!F9347+Sens!F9349)*cx_dev</f>
        <v>35.4326157295625</v>
      </c>
      <c r="G9407" s="6" t="n">
        <f aca="false">Sens!G9330*cx_azo+Sens!G9337*cx_m365+Sens!G9338*cx_lic+(Sens!G9340+Sens!G9342)*cx_ind+Sens!G9345*cx_srch+(Sens!G9347+Sens!G9349)*cx_dev</f>
        <v>40.7122339530614</v>
      </c>
      <c r="H9407" s="6" t="n">
        <f aca="false">Sens!H9330*cx_azo+Sens!H9337*cx_m365+Sens!H9338*cx_lic+(Sens!H9340+Sens!H9342)*cx_ind+Sens!H9345*cx_srch+(Sens!H9347+Sens!H9349)*cx_dev</f>
        <v>46.07963772885</v>
      </c>
      <c r="I9407" s="6" t="n">
        <f aca="false">Sens!I9330*cx_azo+Sens!I9337*cx_m365+Sens!I9338*cx_lic+(Sens!I9340+Sens!I9342)*cx_ind+Sens!I9345*cx_srch+(Sens!I9347+Sens!I9349)*cx_dev</f>
        <v>51.2532400602924</v>
      </c>
      <c r="J9407" s="6" t="n">
        <f aca="false">Sens!J9330*cx_azo+Sens!J9337*cx_m365+Sens!J9338*cx_lic+(Sens!J9340+Sens!J9342)*cx_ind+Sens!J9345*cx_srch+(Sens!J9347+Sens!J9349)*cx_dev</f>
        <v>56.0009197643751</v>
      </c>
      <c r="K9407" s="6" t="n">
        <f aca="false">Sens!K9330*cx_azo+Sens!K9337*cx_m365+Sens!K9338*cx_lic+(Sens!K9340+Sens!K9342)*cx_ind+Sens!K9345*cx_srch+(Sens!K9347+Sens!K9349)*cx_dev</f>
        <v>60.158174200234</v>
      </c>
    </row>
    <row r="9408" customFormat="false" ht="17.15" hidden="false" customHeight="false" outlineLevel="0" collapsed="false">
      <c r="A9408" s="1" t="s">
        <v>850</v>
      </c>
      <c r="B9408" s="0" t="s">
        <v>95</v>
      </c>
      <c r="E9408" s="6" t="n">
        <f aca="false">Q!M42</f>
        <v>145.3</v>
      </c>
      <c r="F9408" s="6" t="n">
        <f aca="false">Sens!F9406+Sens!F9407</f>
        <v>204.2</v>
      </c>
      <c r="G9408" s="6" t="n">
        <f aca="false">Sens!G9406+Sens!G9407</f>
        <v>224.286414436261</v>
      </c>
      <c r="H9408" s="6" t="n">
        <f aca="false">Sens!H9406+Sens!H9407</f>
        <v>234.15992363925</v>
      </c>
      <c r="I9408" s="6" t="n">
        <f aca="false">Sens!I9406+Sens!I9407</f>
        <v>269.592201317359</v>
      </c>
      <c r="J9408" s="6" t="n">
        <f aca="false">Sens!J9406+Sens!J9407</f>
        <v>289.777980688108</v>
      </c>
      <c r="K9408" s="6" t="n">
        <f aca="false">Sens!K9406+Sens!K9407</f>
        <v>339.014486150634</v>
      </c>
      <c r="L9408" s="1" t="s">
        <v>851</v>
      </c>
    </row>
    <row r="9409" customFormat="false" ht="15" hidden="false" customHeight="false" outlineLevel="0" collapsed="false">
      <c r="A9409" s="1" t="s">
        <v>852</v>
      </c>
      <c r="B9409" s="0" t="s">
        <v>95</v>
      </c>
      <c r="E9409" s="6" t="n">
        <f aca="false">fl_liab</f>
        <v>66.594</v>
      </c>
      <c r="F9409" s="6" t="n">
        <f aca="false">Sens!E9409-Sens!F9410</f>
        <v>62.46973</v>
      </c>
      <c r="G9409" s="6" t="n">
        <f aca="false">Sens!F9409-Sens!G9410</f>
        <v>57.98686785</v>
      </c>
      <c r="H9409" s="6" t="n">
        <f aca="false">Sens!G9409-Sens!H9410</f>
        <v>53.92827690325</v>
      </c>
      <c r="I9409" s="6" t="n">
        <f aca="false">Sens!H9409-Sens!I9410</f>
        <v>49.7850493638962</v>
      </c>
      <c r="J9409" s="6" t="n">
        <f aca="false">Sens!I9409-Sens!J9410</f>
        <v>45.4823765852716</v>
      </c>
      <c r="K9409" s="6" t="n">
        <f aca="false">Sens!J9409-Sens!K9410</f>
        <v>40.9860835316088</v>
      </c>
    </row>
    <row r="9410" customFormat="false" ht="15" hidden="false" customHeight="false" outlineLevel="0" collapsed="false">
      <c r="A9410" s="1" t="s">
        <v>853</v>
      </c>
      <c r="B9410" s="0" t="s">
        <v>95</v>
      </c>
      <c r="F9410" s="6" t="n">
        <f aca="false">fl_pay_27-Sens!E9409*fl_rate</f>
        <v>4.12427</v>
      </c>
      <c r="G9410" s="6" t="n">
        <f aca="false">fl_pay_28-Sens!F9409*fl_rate</f>
        <v>4.48286215</v>
      </c>
      <c r="H9410" s="6" t="n">
        <f aca="false">fl_pay_29-Sens!G9409*fl_rate</f>
        <v>4.05859094675</v>
      </c>
      <c r="I9410" s="6" t="n">
        <f aca="false">fl_pay_30-Sens!H9409*fl_rate</f>
        <v>4.14322753935375</v>
      </c>
      <c r="J9410" s="6" t="n">
        <f aca="false">fl_pay_31-Sens!I9409*fl_rate</f>
        <v>4.30267277862467</v>
      </c>
      <c r="K9410" s="6" t="n">
        <f aca="false">fl_pay_32-Sens!J9409*fl_rate</f>
        <v>4.49629305366278</v>
      </c>
    </row>
    <row r="9411" customFormat="false" ht="17.15" hidden="false" customHeight="false" outlineLevel="0" collapsed="false">
      <c r="A9411" s="1" t="s">
        <v>854</v>
      </c>
      <c r="B9411" s="0" t="s">
        <v>95</v>
      </c>
      <c r="E9411" s="6" t="n">
        <f aca="false">Q!M35-Q!M36-Q!M43</f>
        <v>63.886</v>
      </c>
      <c r="F9411" s="6" t="n">
        <f aca="false">Sens!F9405-Sens!F9408-Sens!F9410</f>
        <v>-3.1991223178371</v>
      </c>
      <c r="G9411" s="6" t="n">
        <f aca="false">Sens!G9405-Sens!G9408-Sens!G9410</f>
        <v>17.9880978684371</v>
      </c>
      <c r="H9411" s="6" t="n">
        <f aca="false">Sens!H9405-Sens!H9408-Sens!H9410</f>
        <v>42.553354168909</v>
      </c>
      <c r="I9411" s="6" t="n">
        <f aca="false">Sens!I9405-Sens!I9408-Sens!I9410</f>
        <v>46.9740919698394</v>
      </c>
      <c r="J9411" s="6" t="n">
        <f aca="false">Sens!J9405-Sens!J9408-Sens!J9410</f>
        <v>65.7188776774595</v>
      </c>
      <c r="K9411" s="6" t="n">
        <f aca="false">Sens!K9405-Sens!K9408-Sens!K9410</f>
        <v>54.1872399704357</v>
      </c>
      <c r="L9411" s="11" t="s">
        <v>855</v>
      </c>
    </row>
    <row r="9412" customFormat="false" ht="15" hidden="false" customHeight="false" outlineLevel="0" collapsed="false">
      <c r="A9412" s="1" t="s">
        <v>856</v>
      </c>
      <c r="B9412" s="0" t="s">
        <v>73</v>
      </c>
      <c r="F9412" s="8" t="n">
        <f aca="false">dps_27</f>
        <v>3.85</v>
      </c>
      <c r="G9412" s="8" t="n">
        <f aca="false">Sens!F9412*(1+dps_g)</f>
        <v>4.158</v>
      </c>
      <c r="H9412" s="8" t="n">
        <f aca="false">Sens!G9412*(1+dps_g)</f>
        <v>4.49064</v>
      </c>
      <c r="I9412" s="8" t="n">
        <f aca="false">Sens!H9412*(1+dps_g)</f>
        <v>4.8498912</v>
      </c>
      <c r="J9412" s="8" t="n">
        <f aca="false">Sens!I9412*(1+dps_g)</f>
        <v>5.237882496</v>
      </c>
      <c r="K9412" s="8" t="n">
        <f aca="false">Sens!J9412*(1+dps_g)</f>
        <v>5.65691309568</v>
      </c>
    </row>
    <row r="9413" customFormat="false" ht="17.15" hidden="false" customHeight="false" outlineLevel="0" collapsed="false">
      <c r="A9413" s="1" t="s">
        <v>857</v>
      </c>
      <c r="B9413" s="0" t="s">
        <v>95</v>
      </c>
      <c r="E9413" s="6" t="n">
        <f aca="false">Q!M41</f>
        <v>26.445</v>
      </c>
      <c r="F9413" s="6" t="n">
        <f aca="false">Sens!F9412*Sens!E9422</f>
        <v>28.59395</v>
      </c>
      <c r="G9413" s="6" t="n">
        <f aca="false">Sens!G9412*Sens!F9422</f>
        <v>31.068576</v>
      </c>
      <c r="H9413" s="6" t="n">
        <f aca="false">Sens!H9412*Sens!G9422</f>
        <v>33.75614088</v>
      </c>
      <c r="I9413" s="6" t="n">
        <f aca="false">Sens!I9412*Sens!H9422</f>
        <v>36.623822235037</v>
      </c>
      <c r="J9413" s="6" t="n">
        <f aca="false">Sens!J9412*Sens!I9422</f>
        <v>39.7116786594086</v>
      </c>
      <c r="K9413" s="6" t="n">
        <f aca="false">Sens!K9412*Sens!J9422</f>
        <v>42.9758681774663</v>
      </c>
      <c r="L9413" s="1" t="s">
        <v>858</v>
      </c>
    </row>
    <row r="9414" customFormat="false" ht="15" hidden="false" customHeight="false" outlineLevel="0" collapsed="false">
      <c r="A9414" s="1" t="s">
        <v>859</v>
      </c>
      <c r="B9414" s="0" t="s">
        <v>95</v>
      </c>
      <c r="E9414" s="6" t="n">
        <f aca="false">Sens!E9411-Sens!E9413</f>
        <v>37.441</v>
      </c>
      <c r="F9414" s="6" t="n">
        <f aca="false">Sens!F9411-Sens!F9413</f>
        <v>-31.7930723178371</v>
      </c>
      <c r="G9414" s="6" t="n">
        <f aca="false">Sens!G9411-Sens!G9413</f>
        <v>-13.0804781315629</v>
      </c>
      <c r="H9414" s="6" t="n">
        <f aca="false">Sens!H9411-Sens!H9413</f>
        <v>8.79721328890895</v>
      </c>
      <c r="I9414" s="6" t="n">
        <f aca="false">Sens!I9411-Sens!I9413</f>
        <v>10.3502697348023</v>
      </c>
      <c r="J9414" s="6" t="n">
        <f aca="false">Sens!J9411-Sens!J9413</f>
        <v>26.0071990180509</v>
      </c>
      <c r="K9414" s="6" t="n">
        <f aca="false">Sens!K9411-Sens!K9413</f>
        <v>11.2113717929693</v>
      </c>
    </row>
    <row r="9415" customFormat="false" ht="15" hidden="false" customHeight="false" outlineLevel="0" collapsed="false">
      <c r="A9415" s="1" t="s">
        <v>860</v>
      </c>
      <c r="B9415" s="0" t="s">
        <v>95</v>
      </c>
      <c r="F9415" s="6" t="n">
        <f aca="false">debt_mat_27</f>
        <v>9.25</v>
      </c>
      <c r="G9415" s="6" t="n">
        <f aca="false">debt_mat_28</f>
        <v>0</v>
      </c>
      <c r="H9415" s="6" t="n">
        <f aca="false">debt_mat_29</f>
        <v>2.001</v>
      </c>
      <c r="I9415" s="6" t="n">
        <f aca="false">debt_mat_30</f>
        <v>0</v>
      </c>
      <c r="J9415" s="6" t="n">
        <f aca="false">debt_mat_31</f>
        <v>0.5</v>
      </c>
      <c r="K9415" s="6" t="n">
        <f aca="false">debt_mat_32</f>
        <v>0</v>
      </c>
    </row>
    <row r="9416" customFormat="false" ht="15" hidden="false" customHeight="false" outlineLevel="0" collapsed="false">
      <c r="A9416" s="1" t="s">
        <v>861</v>
      </c>
      <c r="B9416" s="0" t="s">
        <v>95</v>
      </c>
      <c r="E9416" s="6" t="n">
        <f aca="false">Q!M40</f>
        <v>22.271</v>
      </c>
      <c r="F9416" s="6" t="n">
        <f aca="false">MAX(0,MIN(bb_target,Sens!E9418+Sens!F9414-Sens!F9415-min_cash))</f>
        <v>0</v>
      </c>
      <c r="G9416" s="6" t="n">
        <f aca="false">MAX(0,MIN(bb_target,Sens!F9418+Sens!G9414-Sens!G9415-min_cash))</f>
        <v>0</v>
      </c>
      <c r="H9416" s="6" t="n">
        <f aca="false">MAX(0,MIN(bb_target,Sens!G9418+Sens!H9414-Sens!H9415-min_cash))</f>
        <v>6.79621328890895</v>
      </c>
      <c r="I9416" s="6" t="n">
        <f aca="false">MAX(0,MIN(bb_target,Sens!H9418+Sens!I9414-Sens!I9415-min_cash))</f>
        <v>10.3502697348023</v>
      </c>
      <c r="J9416" s="6" t="n">
        <f aca="false">MAX(0,MIN(bb_target,Sens!I9418+Sens!J9414-Sens!J9415-min_cash))</f>
        <v>22.271</v>
      </c>
      <c r="K9416" s="6" t="n">
        <f aca="false">MAX(0,MIN(bb_target,Sens!J9418+Sens!K9414-Sens!K9415-min_cash))</f>
        <v>14.4475708110202</v>
      </c>
    </row>
    <row r="9417" customFormat="false" ht="15" hidden="false" customHeight="false" outlineLevel="0" collapsed="false">
      <c r="A9417" s="1" t="s">
        <v>862</v>
      </c>
      <c r="B9417" s="0" t="s">
        <v>95</v>
      </c>
      <c r="F9417" s="6" t="n">
        <f aca="false">MAX(0,min_cash-(Sens!E9418+Sens!F9414-Sens!F9415-Sens!F9416))</f>
        <v>14.2000723178371</v>
      </c>
      <c r="G9417" s="6" t="n">
        <f aca="false">MAX(0,min_cash-(Sens!F9418+Sens!G9414-Sens!G9415-Sens!G9416))</f>
        <v>13.0804781315629</v>
      </c>
      <c r="H9417" s="6" t="n">
        <f aca="false">MAX(0,min_cash-(Sens!G9418+Sens!H9414-Sens!H9415-Sens!H9416))</f>
        <v>0</v>
      </c>
      <c r="I9417" s="6" t="n">
        <f aca="false">MAX(0,min_cash-(Sens!H9418+Sens!I9414-Sens!I9415-Sens!I9416))</f>
        <v>0</v>
      </c>
      <c r="J9417" s="6" t="n">
        <f aca="false">MAX(0,min_cash-(Sens!I9418+Sens!J9414-Sens!J9415-Sens!J9416))</f>
        <v>0</v>
      </c>
      <c r="K9417" s="6" t="n">
        <f aca="false">MAX(0,min_cash-(Sens!J9418+Sens!K9414-Sens!K9415-Sens!K9416))</f>
        <v>0</v>
      </c>
    </row>
    <row r="9418" customFormat="false" ht="15" hidden="false" customHeight="false" outlineLevel="0" collapsed="false">
      <c r="A9418" s="1" t="s">
        <v>863</v>
      </c>
      <c r="B9418" s="0" t="s">
        <v>95</v>
      </c>
      <c r="E9418" s="6" t="n">
        <f aca="false">cash_open</f>
        <v>76.843</v>
      </c>
      <c r="F9418" s="6" t="n">
        <f aca="false">Sens!E9418+Sens!F9414-Sens!F9415-Sens!F9416+Sens!F9417</f>
        <v>50</v>
      </c>
      <c r="G9418" s="6" t="n">
        <f aca="false">Sens!F9418+Sens!G9414-Sens!G9415-Sens!G9416+Sens!G9417</f>
        <v>50</v>
      </c>
      <c r="H9418" s="6" t="n">
        <f aca="false">Sens!G9418+Sens!H9414-Sens!H9415-Sens!H9416+Sens!H9417</f>
        <v>50</v>
      </c>
      <c r="I9418" s="6" t="n">
        <f aca="false">Sens!H9418+Sens!I9414-Sens!I9415-Sens!I9416+Sens!I9417</f>
        <v>50</v>
      </c>
      <c r="J9418" s="6" t="n">
        <f aca="false">Sens!I9418+Sens!J9414-Sens!J9415-Sens!J9416+Sens!J9417</f>
        <v>53.2361990180509</v>
      </c>
      <c r="K9418" s="6" t="n">
        <f aca="false">Sens!J9418+Sens!K9414-Sens!K9415-Sens!K9416+Sens!K9417</f>
        <v>50</v>
      </c>
    </row>
    <row r="9419" customFormat="false" ht="15" hidden="false" customHeight="false" outlineLevel="0" collapsed="false">
      <c r="A9419" s="1" t="s">
        <v>864</v>
      </c>
      <c r="B9419" s="0" t="s">
        <v>95</v>
      </c>
      <c r="E9419" s="6" t="n">
        <f aca="false">debt_face</f>
        <v>46.136</v>
      </c>
      <c r="F9419" s="6" t="n">
        <f aca="false">Sens!E9419-Sens!F9415+Sens!F9417</f>
        <v>51.0860723178371</v>
      </c>
      <c r="G9419" s="6" t="n">
        <f aca="false">Sens!F9419-Sens!G9415+Sens!G9417</f>
        <v>64.1665504494</v>
      </c>
      <c r="H9419" s="6" t="n">
        <f aca="false">Sens!G9419-Sens!H9415+Sens!H9417</f>
        <v>62.1655504494</v>
      </c>
      <c r="I9419" s="6" t="n">
        <f aca="false">Sens!H9419-Sens!I9415+Sens!I9417</f>
        <v>62.1655504494</v>
      </c>
      <c r="J9419" s="6" t="n">
        <f aca="false">Sens!I9419-Sens!J9415+Sens!J9417</f>
        <v>61.6655504494</v>
      </c>
      <c r="K9419" s="6" t="n">
        <f aca="false">Sens!J9419-Sens!K9415+Sens!K9417</f>
        <v>61.6655504494</v>
      </c>
    </row>
    <row r="9420" customFormat="false" ht="15" hidden="false" customHeight="false" outlineLevel="0" collapsed="false">
      <c r="A9420" s="1" t="s">
        <v>865</v>
      </c>
      <c r="B9420" s="0" t="s">
        <v>95</v>
      </c>
      <c r="E9420" s="6" t="n">
        <f aca="false">Sens!E9418-Sens!E9419</f>
        <v>30.707</v>
      </c>
      <c r="F9420" s="6" t="n">
        <f aca="false">Sens!F9418-Sens!F9419</f>
        <v>-1.0860723178371</v>
      </c>
      <c r="G9420" s="6" t="n">
        <f aca="false">Sens!G9418-Sens!G9419</f>
        <v>-14.1665504494</v>
      </c>
      <c r="H9420" s="6" t="n">
        <f aca="false">Sens!H9418-Sens!H9419</f>
        <v>-12.1655504494</v>
      </c>
      <c r="I9420" s="6" t="n">
        <f aca="false">Sens!I9418-Sens!I9419</f>
        <v>-12.1655504494</v>
      </c>
      <c r="J9420" s="6" t="n">
        <f aca="false">Sens!J9418-Sens!J9419</f>
        <v>-8.42935143134915</v>
      </c>
      <c r="K9420" s="6" t="n">
        <f aca="false">Sens!K9418-Sens!K9419</f>
        <v>-11.6655504494</v>
      </c>
    </row>
    <row r="9421" customFormat="false" ht="15" hidden="false" customHeight="false" outlineLevel="0" collapsed="false">
      <c r="A9421" s="1" t="s">
        <v>866</v>
      </c>
      <c r="B9421" s="0" t="s">
        <v>73</v>
      </c>
      <c r="F9421" s="27" t="n">
        <f aca="false">px*(1+bb_g)^(1-0.5)</f>
        <v>553.494156066711</v>
      </c>
      <c r="G9421" s="27" t="n">
        <f aca="false">px*(1+bb_g)^(2-0.5)</f>
        <v>597.773688552047</v>
      </c>
      <c r="H9421" s="27" t="n">
        <f aca="false">px*(1+bb_g)^(3-0.5)</f>
        <v>645.595583636211</v>
      </c>
      <c r="I9421" s="27" t="n">
        <f aca="false">px*(1+bb_g)^(4-0.5)</f>
        <v>697.243230327108</v>
      </c>
      <c r="J9421" s="27" t="n">
        <f aca="false">px*(1+bb_g)^(5-0.5)</f>
        <v>753.022688753277</v>
      </c>
      <c r="K9421" s="27" t="n">
        <f aca="false">px*(1+bb_g)^(6-0.5)</f>
        <v>813.264503853539</v>
      </c>
    </row>
    <row r="9422" customFormat="false" ht="15" hidden="false" customHeight="false" outlineLevel="0" collapsed="false">
      <c r="A9422" s="1" t="s">
        <v>867</v>
      </c>
      <c r="B9422" s="1" t="s">
        <v>79</v>
      </c>
      <c r="E9422" s="18" t="n">
        <f aca="false">sh_out26</f>
        <v>7.427</v>
      </c>
      <c r="F9422" s="18" t="n">
        <f aca="false">Sens!E9422+sh_iss-Sens!F9416/Sens!F9421</f>
        <v>7.472</v>
      </c>
      <c r="G9422" s="18" t="n">
        <f aca="false">Sens!F9422+sh_iss-Sens!G9416/Sens!G9421</f>
        <v>7.517</v>
      </c>
      <c r="H9422" s="18" t="n">
        <f aca="false">Sens!G9422+sh_iss-Sens!H9416/Sens!H9421</f>
        <v>7.55147295573085</v>
      </c>
      <c r="I9422" s="18" t="n">
        <f aca="false">Sens!H9422+sh_iss-Sens!I9416/Sens!I9421</f>
        <v>7.58162839462991</v>
      </c>
      <c r="J9422" s="18" t="n">
        <f aca="false">Sens!I9422+sh_iss-Sens!J9416/Sens!J9421</f>
        <v>7.59705292455095</v>
      </c>
      <c r="K9422" s="18" t="n">
        <f aca="false">Sens!J9422+sh_iss-Sens!K9416/Sens!K9421</f>
        <v>7.62428801443553</v>
      </c>
    </row>
    <row r="9423" customFormat="false" ht="15" hidden="false" customHeight="false" outlineLevel="0" collapsed="false">
      <c r="A9423" s="1" t="s">
        <v>868</v>
      </c>
      <c r="B9423" s="1" t="s">
        <v>79</v>
      </c>
      <c r="E9423" s="18" t="n">
        <f aca="false">sh_dil26</f>
        <v>7.453</v>
      </c>
      <c r="F9423" s="18" t="n">
        <f aca="false">(Sens!E9422+Sens!F9422)/2+dil_gap</f>
        <v>7.4735</v>
      </c>
      <c r="G9423" s="18" t="n">
        <f aca="false">(Sens!F9422+Sens!G9422)/2+dil_gap</f>
        <v>7.5185</v>
      </c>
      <c r="H9423" s="18" t="n">
        <f aca="false">(Sens!G9422+Sens!H9422)/2+dil_gap</f>
        <v>7.55823647786542</v>
      </c>
      <c r="I9423" s="18" t="n">
        <f aca="false">(Sens!H9422+Sens!I9422)/2+dil_gap</f>
        <v>7.59055067518038</v>
      </c>
      <c r="J9423" s="18" t="n">
        <f aca="false">(Sens!I9422+Sens!J9422)/2+dil_gap</f>
        <v>7.61334065959043</v>
      </c>
      <c r="K9423" s="18" t="n">
        <f aca="false">(Sens!J9422+Sens!K9422)/2+dil_gap</f>
        <v>7.63467046949324</v>
      </c>
    </row>
    <row r="9424" customFormat="false" ht="17.15" hidden="false" customHeight="false" outlineLevel="0" collapsed="false">
      <c r="A9424" s="1" t="s">
        <v>869</v>
      </c>
      <c r="B9424" s="0" t="s">
        <v>95</v>
      </c>
      <c r="C9424" s="6" t="n">
        <f aca="false">SUM(Sens!F9414:J9414)</f>
        <v>0.281131592362147</v>
      </c>
    </row>
    <row r="9425" customFormat="false" ht="17.15" hidden="false" customHeight="false" outlineLevel="0" collapsed="false">
      <c r="A9425" s="1" t="s">
        <v>836</v>
      </c>
      <c r="B9425" s="1" t="s">
        <v>870</v>
      </c>
      <c r="C9425" s="30" t="str">
        <f aca="false">IF(SUM(Sens!F9417:J9417)&gt;0.05,"需要舉債 "&amp;TEXT(SUM(Sens!F9417:J9417),"0.0")&amp;" 十億美元","不需舉債")&amp;"；"&amp;IF(SUM(Sens!F9416:J9416)&lt;5*bb_target-0.05,"回購較每年 "&amp;TEXT(bb_target,"0.0")&amp;" 的目標少 "&amp;TEXT(5*bb_target-SUM(Sens!F9416:J9416),"0.0")&amp;" 十億美元（"&amp;TEXT(COUNTIF(Sens!F9416:J9416,"&lt;"&amp;(bb_target-0.05)),"0")&amp;" 年減少）","回購不減")</f>
        <v>需要舉債 27.3 十億美元；回購較每年 22.3 的目標少 71.9 十億美元（4 年減少）</v>
      </c>
    </row>
    <row r="9426" customFormat="false" ht="17.15" hidden="false" customHeight="false" outlineLevel="0" collapsed="false">
      <c r="A9426" s="3" t="s">
        <v>1383</v>
      </c>
    </row>
    <row r="9427" customFormat="false" ht="15" hidden="false" customHeight="false" outlineLevel="0" collapsed="false">
      <c r="A9427" s="4" t="s">
        <v>43</v>
      </c>
      <c r="B9427" s="4" t="s">
        <v>63</v>
      </c>
      <c r="C9427" s="19" t="s">
        <v>710</v>
      </c>
      <c r="D9427" s="19" t="s">
        <v>711</v>
      </c>
      <c r="E9427" s="19" t="s">
        <v>712</v>
      </c>
      <c r="F9427" s="19" t="s">
        <v>713</v>
      </c>
      <c r="G9427" s="19" t="s">
        <v>714</v>
      </c>
      <c r="H9427" s="19" t="s">
        <v>715</v>
      </c>
      <c r="I9427" s="19" t="s">
        <v>716</v>
      </c>
      <c r="J9427" s="19" t="s">
        <v>717</v>
      </c>
      <c r="K9427" s="19" t="s">
        <v>718</v>
      </c>
      <c r="L9427" s="4" t="s">
        <v>47</v>
      </c>
    </row>
    <row r="9428" customFormat="false" ht="17.15" hidden="false" customHeight="false" outlineLevel="0" collapsed="false">
      <c r="A9428" s="1" t="s">
        <v>938</v>
      </c>
      <c r="B9428" s="1" t="s">
        <v>213</v>
      </c>
      <c r="F9428" s="34" t="n">
        <f aca="false">1-0.5</f>
        <v>0.5</v>
      </c>
      <c r="G9428" s="34" t="n">
        <f aca="false">2-0.5</f>
        <v>1.5</v>
      </c>
      <c r="H9428" s="34" t="n">
        <f aca="false">3-0.5</f>
        <v>2.5</v>
      </c>
      <c r="I9428" s="34" t="n">
        <f aca="false">4-0.5</f>
        <v>3.5</v>
      </c>
      <c r="J9428" s="34" t="n">
        <f aca="false">5-0.5</f>
        <v>4.5</v>
      </c>
      <c r="K9428" s="34" t="n">
        <f aca="false">6-0.5</f>
        <v>5.5</v>
      </c>
    </row>
    <row r="9429" customFormat="false" ht="15" hidden="false" customHeight="false" outlineLevel="0" collapsed="false">
      <c r="A9429" s="1" t="s">
        <v>939</v>
      </c>
      <c r="B9429" s="0" t="s">
        <v>182</v>
      </c>
      <c r="F9429" s="18" t="n">
        <f aca="false">1/(1+wacc)^Sens!F9428</f>
        <v>0.949601579913219</v>
      </c>
      <c r="G9429" s="18" t="n">
        <f aca="false">1/(1+wacc)^Sens!G9428</f>
        <v>0.856296729956707</v>
      </c>
      <c r="H9429" s="18" t="n">
        <f aca="false">1/(1+wacc)^Sens!H9428</f>
        <v>0.772159719660069</v>
      </c>
      <c r="I9429" s="18" t="n">
        <f aca="false">1/(1+wacc)^Sens!I9428</f>
        <v>0.696289746073958</v>
      </c>
      <c r="J9429" s="18" t="n">
        <f aca="false">1/(1+wacc)^Sens!J9428</f>
        <v>0.627874516299776</v>
      </c>
      <c r="K9429" s="18" t="n">
        <f aca="false">1/(1+wacc)^Sens!K9428</f>
        <v>0.566181550771831</v>
      </c>
    </row>
    <row r="9430" customFormat="false" ht="15" hidden="false" customHeight="false" outlineLevel="0" collapsed="false">
      <c r="A9430" s="1" t="s">
        <v>940</v>
      </c>
      <c r="B9430" s="0" t="s">
        <v>95</v>
      </c>
      <c r="F9430" s="6" t="n">
        <f aca="false">Sens!F9411*Sens!F9429</f>
        <v>-3.03789160735375</v>
      </c>
      <c r="G9430" s="6" t="n">
        <f aca="false">Sens!G9411*Sens!G9429</f>
        <v>15.4031493828839</v>
      </c>
      <c r="H9430" s="6" t="n">
        <f aca="false">Sens!H9411*Sens!H9429</f>
        <v>32.8579860256603</v>
      </c>
      <c r="I9430" s="6" t="n">
        <f aca="false">Sens!I9411*Sens!I9429</f>
        <v>32.7075785697342</v>
      </c>
      <c r="J9430" s="6" t="n">
        <f aca="false">Sens!J9411*Sens!J9429</f>
        <v>41.263208533499</v>
      </c>
      <c r="K9430" s="6" t="n">
        <f aca="false">Sens!K9411*Sens!K9429</f>
        <v>30.6798155585066</v>
      </c>
    </row>
    <row r="9431" customFormat="false" ht="17.15" hidden="false" customHeight="false" outlineLevel="0" collapsed="false">
      <c r="A9431" s="1" t="s">
        <v>941</v>
      </c>
      <c r="B9431" s="0" t="s">
        <v>95</v>
      </c>
      <c r="C9431" s="6" t="n">
        <f aca="false">SUM(Sens!F9430:K9430)</f>
        <v>149.87384646293</v>
      </c>
    </row>
    <row r="9432" customFormat="false" ht="17.15" hidden="false" customHeight="false" outlineLevel="0" collapsed="false">
      <c r="A9432" s="1" t="s">
        <v>942</v>
      </c>
      <c r="B9432" s="0" t="s">
        <v>95</v>
      </c>
      <c r="C9432" s="6" t="n">
        <f aca="false">Sens!K9377*(1+g_tv)*(1-tax_f)</f>
        <v>165.608376604246</v>
      </c>
    </row>
    <row r="9433" customFormat="false" ht="17.15" hidden="false" customHeight="false" outlineLevel="0" collapsed="false">
      <c r="A9433" s="1" t="s">
        <v>943</v>
      </c>
      <c r="B9433" s="0" t="s">
        <v>95</v>
      </c>
      <c r="C9433" s="6" t="n">
        <f aca="false">Sens!$C$9432*(1-g_tv/(wacc+ronic_prem))</f>
        <v>120.012704544621</v>
      </c>
    </row>
    <row r="9434" customFormat="false" ht="17.15" hidden="false" customHeight="false" outlineLevel="0" collapsed="false">
      <c r="A9434" s="1" t="s">
        <v>944</v>
      </c>
      <c r="B9434" s="0" t="s">
        <v>95</v>
      </c>
      <c r="C9434" s="6" t="n">
        <f aca="false">Sens!$C$9433/(wacc-g_tv)</f>
        <v>1519.85573532084</v>
      </c>
    </row>
    <row r="9435" customFormat="false" ht="15" hidden="false" customHeight="false" outlineLevel="0" collapsed="false">
      <c r="A9435" s="1" t="s">
        <v>945</v>
      </c>
      <c r="B9435" s="0" t="s">
        <v>95</v>
      </c>
      <c r="C9435" s="6" t="n">
        <f aca="false">Sens!$C$9434/(1+wacc)^6</f>
        <v>817.145717141756</v>
      </c>
    </row>
    <row r="9436" customFormat="false" ht="17.15" hidden="false" customHeight="false" outlineLevel="0" collapsed="false">
      <c r="A9436" s="0" t="s">
        <v>877</v>
      </c>
      <c r="B9436" s="0" t="s">
        <v>95</v>
      </c>
      <c r="C9436" s="6" t="n">
        <f aca="false">Sens!$C$9431+Sens!$C$9435</f>
        <v>967.019563604687</v>
      </c>
    </row>
    <row r="9437" customFormat="false" ht="15" hidden="false" customHeight="false" outlineLevel="0" collapsed="false">
      <c r="A9437" s="1" t="s">
        <v>878</v>
      </c>
      <c r="B9437" s="0" t="s">
        <v>126</v>
      </c>
      <c r="C9437" s="7" t="n">
        <f aca="false">Sens!$C$9435/Sens!$C$9436</f>
        <v>0.845014669709208</v>
      </c>
    </row>
    <row r="9438" customFormat="false" ht="17.15" hidden="false" customHeight="false" outlineLevel="0" collapsed="false">
      <c r="A9438" s="1" t="s">
        <v>946</v>
      </c>
      <c r="B9438" s="0" t="s">
        <v>95</v>
      </c>
      <c r="C9438" s="6" t="n">
        <f aca="false">Sens!$C$9436+Sens!E9420+oai_v</f>
        <v>1168.12656360469</v>
      </c>
    </row>
    <row r="9439" customFormat="false" ht="17.15" hidden="false" customHeight="false" outlineLevel="0" collapsed="false">
      <c r="A9439" s="0" t="s">
        <v>883</v>
      </c>
      <c r="B9439" s="0" t="s">
        <v>73</v>
      </c>
      <c r="C9439" s="5" t="n">
        <f aca="false">Sens!$C$9438/sh_dil26</f>
        <v>156.73239817586</v>
      </c>
    </row>
    <row r="9440" customFormat="false" ht="17.15" hidden="false" customHeight="false" outlineLevel="0" collapsed="false">
      <c r="A9440" s="0" t="s">
        <v>947</v>
      </c>
      <c r="B9440" s="0" t="s">
        <v>73</v>
      </c>
      <c r="C9440" s="5" t="n">
        <f aca="false">Sens!$C$9439*(1+wacc)^t_roll</f>
        <v>179.771209770138</v>
      </c>
    </row>
    <row r="9441" customFormat="false" ht="17.15" hidden="false" customHeight="false" outlineLevel="0" collapsed="false">
      <c r="A9441" s="1" t="s">
        <v>948</v>
      </c>
      <c r="B9441" s="0" t="s">
        <v>126</v>
      </c>
      <c r="F9441" s="7" t="n">
        <f aca="false">Sens!F9401/(Sens!F9352-Sens!F9308)</f>
        <v>0.0686655651184745</v>
      </c>
      <c r="G9441" s="7" t="n">
        <f aca="false">Sens!G9401/(Sens!G9352-Sens!G9308)</f>
        <v>0.0662161475821825</v>
      </c>
      <c r="H9441" s="7" t="n">
        <f aca="false">Sens!H9401/(Sens!H9352-Sens!H9308)</f>
        <v>0.0649502360981338</v>
      </c>
      <c r="I9441" s="7" t="n">
        <f aca="false">Sens!I9401/(Sens!I9352-Sens!I9308)</f>
        <v>0.0647291181278715</v>
      </c>
      <c r="J9441" s="7" t="n">
        <f aca="false">Sens!J9401/(Sens!J9352-Sens!J9308)</f>
        <v>0.0653398186472845</v>
      </c>
      <c r="K9441" s="7" t="n">
        <f aca="false">Sens!K9401/(Sens!K9352-Sens!K9308)</f>
        <v>0.0665445954666805</v>
      </c>
    </row>
    <row r="9442" customFormat="false" ht="17.15" hidden="false" customHeight="false" outlineLevel="0" collapsed="false">
      <c r="A9442" s="0" t="s">
        <v>949</v>
      </c>
      <c r="B9442" s="0" t="s">
        <v>95</v>
      </c>
      <c r="F9442" s="6" t="n">
        <f aca="false">Sens!F9337*(al_m365+Sens!F9441)</f>
        <v>78.4962473067344</v>
      </c>
      <c r="G9442" s="6" t="n">
        <f aca="false">Sens!G9337*(al_m365+Sens!G9441)</f>
        <v>88.3030652883661</v>
      </c>
      <c r="H9442" s="6" t="n">
        <f aca="false">Sens!H9337*(al_m365+Sens!H9441)</f>
        <v>98.2645900155288</v>
      </c>
      <c r="I9442" s="6" t="n">
        <f aca="false">Sens!I9337*(al_m365+Sens!I9441)</f>
        <v>107.741973042885</v>
      </c>
      <c r="J9442" s="6" t="n">
        <f aca="false">Sens!J9337*(al_m365+Sens!J9441)</f>
        <v>116.556027701423</v>
      </c>
      <c r="K9442" s="6" t="n">
        <f aca="false">Sens!K9337*(al_m365+Sens!K9441)</f>
        <v>124.995769553286</v>
      </c>
    </row>
    <row r="9443" customFormat="false" ht="17.15" hidden="false" customHeight="false" outlineLevel="0" collapsed="false">
      <c r="A9443" s="0" t="s">
        <v>950</v>
      </c>
      <c r="B9443" s="0" t="s">
        <v>95</v>
      </c>
      <c r="F9443" s="6" t="n">
        <f aca="false">Sens!F9338*(al_lic+Sens!F9441)</f>
        <v>31.9869692641726</v>
      </c>
      <c r="G9443" s="6" t="n">
        <f aca="false">Sens!G9338*(al_lic+Sens!G9441)</f>
        <v>33.2416783183886</v>
      </c>
      <c r="H9443" s="6" t="n">
        <f aca="false">Sens!H9338*(al_lic+Sens!H9441)</f>
        <v>34.4101317506012</v>
      </c>
      <c r="I9443" s="6" t="n">
        <f aca="false">Sens!I9338*(al_lic+Sens!I9441)</f>
        <v>35.4731418860961</v>
      </c>
      <c r="J9443" s="6" t="n">
        <f aca="false">Sens!J9338*(al_lic+Sens!J9441)</f>
        <v>36.4080303466666</v>
      </c>
      <c r="K9443" s="6" t="n">
        <f aca="false">Sens!K9338*(al_lic+Sens!K9441)</f>
        <v>37.1910647877956</v>
      </c>
    </row>
    <row r="9444" customFormat="false" ht="17.15" hidden="false" customHeight="false" outlineLevel="0" collapsed="false">
      <c r="A9444" s="0" t="s">
        <v>951</v>
      </c>
      <c r="B9444" s="0" t="s">
        <v>95</v>
      </c>
      <c r="F9444" s="6" t="n">
        <f aca="false">Sens!F9340*(al_ind+Sens!F9441)</f>
        <v>8.24233726625112</v>
      </c>
      <c r="G9444" s="6" t="n">
        <f aca="false">Sens!G9340*(al_ind+Sens!G9441)</f>
        <v>8.95003423108286</v>
      </c>
      <c r="H9444" s="6" t="n">
        <f aca="false">Sens!H9340*(al_ind+Sens!H9441)</f>
        <v>9.6981164847097</v>
      </c>
      <c r="I9444" s="6" t="n">
        <f aca="false">Sens!I9340*(al_ind+Sens!I9441)</f>
        <v>10.4827586999487</v>
      </c>
      <c r="J9444" s="6" t="n">
        <f aca="false">Sens!J9340*(al_ind+Sens!J9441)</f>
        <v>11.2960348461853</v>
      </c>
      <c r="K9444" s="6" t="n">
        <f aca="false">Sens!K9340*(al_ind+Sens!K9441)</f>
        <v>12.1266156426404</v>
      </c>
    </row>
    <row r="9445" customFormat="false" ht="17.15" hidden="false" customHeight="false" outlineLevel="0" collapsed="false">
      <c r="A9445" s="0" t="s">
        <v>952</v>
      </c>
      <c r="B9445" s="0" t="s">
        <v>95</v>
      </c>
      <c r="F9445" s="6" t="n">
        <f aca="false">Sens!F9342*(al_fro+Sens!F9441)</f>
        <v>3.2442128852018</v>
      </c>
      <c r="G9445" s="6" t="n">
        <f aca="false">Sens!G9342*(al_fro+Sens!G9441)</f>
        <v>3.43628400373494</v>
      </c>
      <c r="H9445" s="6" t="n">
        <f aca="false">Sens!H9342*(al_fro+Sens!H9441)</f>
        <v>3.65458223424261</v>
      </c>
      <c r="I9445" s="6" t="n">
        <f aca="false">Sens!I9342*(al_fro+Sens!I9441)</f>
        <v>3.90125614503011</v>
      </c>
      <c r="J9445" s="6" t="n">
        <f aca="false">Sens!J9342*(al_fro+Sens!J9441)</f>
        <v>4.17770779193296</v>
      </c>
      <c r="K9445" s="6" t="n">
        <f aca="false">Sens!K9342*(al_fro+Sens!K9441)</f>
        <v>4.48488848962286</v>
      </c>
    </row>
    <row r="9446" customFormat="false" ht="17.15" hidden="false" customHeight="false" outlineLevel="0" collapsed="false">
      <c r="A9446" s="0" t="s">
        <v>953</v>
      </c>
      <c r="B9446" s="0" t="s">
        <v>95</v>
      </c>
      <c r="F9446" s="6" t="n">
        <f aca="false">Sens!F9345*(al_srch+Sens!F9441)</f>
        <v>10.1794056095372</v>
      </c>
      <c r="G9446" s="6" t="n">
        <f aca="false">Sens!G9345*(al_srch+Sens!G9441)</f>
        <v>11.1577149154742</v>
      </c>
      <c r="H9446" s="6" t="n">
        <f aca="false">Sens!H9345*(al_srch+Sens!H9441)</f>
        <v>12.1763371523186</v>
      </c>
      <c r="I9446" s="6" t="n">
        <f aca="false">Sens!I9345*(al_srch+Sens!I9441)</f>
        <v>13.2242395493768</v>
      </c>
      <c r="J9446" s="6" t="n">
        <f aca="false">Sens!J9345*(al_srch+Sens!J9441)</f>
        <v>14.2843619440844</v>
      </c>
      <c r="K9446" s="6" t="n">
        <f aca="false">Sens!K9345*(al_srch+Sens!K9441)</f>
        <v>15.334670028463</v>
      </c>
    </row>
    <row r="9447" customFormat="false" ht="17.15" hidden="false" customHeight="false" outlineLevel="0" collapsed="false">
      <c r="A9447" s="0" t="s">
        <v>954</v>
      </c>
      <c r="B9447" s="0" t="s">
        <v>95</v>
      </c>
      <c r="F9447" s="6" t="n">
        <f aca="false">Sens!F9314</f>
        <v>35.0573455625419</v>
      </c>
      <c r="G9447" s="6" t="n">
        <f aca="false">Sens!G9314</f>
        <v>52.2504971712871</v>
      </c>
      <c r="H9447" s="6" t="n">
        <f aca="false">Sens!H9314</f>
        <v>65.2796698510271</v>
      </c>
      <c r="I9447" s="6" t="n">
        <f aca="false">Sens!I9314</f>
        <v>85.5659922535278</v>
      </c>
      <c r="J9447" s="6" t="n">
        <f aca="false">Sens!J9314</f>
        <v>105.90773710582</v>
      </c>
      <c r="K9447" s="6" t="n">
        <f aca="false">Sens!K9314</f>
        <v>126.282084319851</v>
      </c>
    </row>
    <row r="9448" customFormat="false" ht="17.15" hidden="false" customHeight="false" outlineLevel="0" collapsed="false">
      <c r="A9448" s="0" t="s">
        <v>955</v>
      </c>
      <c r="B9448" s="0" t="s">
        <v>95</v>
      </c>
      <c r="F9448" s="6" t="n">
        <f aca="false">Sens!F9374+Sens!F9325+Sens!F9441*(Sens!F9344-Sens!F9308)</f>
        <v>206.148672083527</v>
      </c>
      <c r="G9448" s="6" t="n">
        <f aca="false">Sens!G9374+Sens!G9325+Sens!G9441*(Sens!G9344-Sens!G9308)</f>
        <v>241.615813176808</v>
      </c>
      <c r="H9448" s="6" t="n">
        <f aca="false">Sens!H9374+Sens!H9325+Sens!H9441*(Sens!H9344-Sens!H9308)</f>
        <v>273.131198363996</v>
      </c>
      <c r="I9448" s="6" t="n">
        <f aca="false">Sens!I9374+Sens!I9325+Sens!I9441*(Sens!I9344-Sens!I9308)</f>
        <v>311.183270245981</v>
      </c>
      <c r="J9448" s="6" t="n">
        <f aca="false">Sens!J9374+Sens!J9325+Sens!J9441*(Sens!J9344-Sens!J9308)</f>
        <v>347.761298761891</v>
      </c>
      <c r="K9448" s="6" t="n">
        <f aca="false">Sens!K9374+Sens!K9325+Sens!K9441*(Sens!K9344-Sens!K9308)</f>
        <v>382.424674401448</v>
      </c>
    </row>
    <row r="9449" customFormat="false" ht="17.15" hidden="false" customHeight="false" outlineLevel="0" collapsed="false">
      <c r="A9449" s="0" t="s">
        <v>956</v>
      </c>
      <c r="B9449" s="0" t="s">
        <v>95</v>
      </c>
      <c r="F9449" s="6" t="n">
        <f aca="false">Sens!F9448-Sens!F9442-Sens!F9443-Sens!F9444-Sens!F9445-Sens!F9447</f>
        <v>49.121559798625</v>
      </c>
      <c r="G9449" s="6" t="n">
        <f aca="false">Sens!G9448-Sens!G9442-Sens!G9443-Sens!G9444-Sens!G9445-Sens!G9447</f>
        <v>55.4342541639484</v>
      </c>
      <c r="H9449" s="6" t="n">
        <f aca="false">Sens!H9448-Sens!H9442-Sens!H9443-Sens!H9444-Sens!H9445-Sens!H9447</f>
        <v>61.8241080278867</v>
      </c>
      <c r="I9449" s="6" t="n">
        <f aca="false">Sens!I9448-Sens!I9442-Sens!I9443-Sens!I9444-Sens!I9445-Sens!I9447</f>
        <v>68.0181482184936</v>
      </c>
      <c r="J9449" s="6" t="n">
        <f aca="false">Sens!J9448-Sens!J9442-Sens!J9443-Sens!J9444-Sens!J9445-Sens!J9447</f>
        <v>73.4157609698633</v>
      </c>
      <c r="K9449" s="6" t="n">
        <f aca="false">Sens!K9448-Sens!K9442-Sens!K9443-Sens!K9444-Sens!K9445-Sens!K9447</f>
        <v>77.3442516082516</v>
      </c>
    </row>
    <row r="9450" customFormat="false" ht="17.15" hidden="false" customHeight="false" outlineLevel="0" collapsed="false">
      <c r="A9450" s="0" t="s">
        <v>957</v>
      </c>
      <c r="B9450" s="0" t="s">
        <v>95</v>
      </c>
      <c r="F9450" s="6" t="n">
        <f aca="false">Sens!F9376+Sens!F9441*Sens!F9351</f>
        <v>23.8081880190614</v>
      </c>
      <c r="G9450" s="6" t="n">
        <f aca="false">Sens!G9376+Sens!G9441*Sens!G9351</f>
        <v>24.4406867753417</v>
      </c>
      <c r="H9450" s="6" t="n">
        <f aca="false">Sens!H9376+Sens!H9441*Sens!H9351</f>
        <v>25.346420410064</v>
      </c>
      <c r="I9450" s="6" t="n">
        <f aca="false">Sens!I9376+Sens!I9441*Sens!I9351</f>
        <v>26.4992683522156</v>
      </c>
      <c r="J9450" s="6" t="n">
        <f aca="false">Sens!J9376+Sens!J9441*Sens!J9351</f>
        <v>27.8770046705959</v>
      </c>
      <c r="K9450" s="6" t="n">
        <f aca="false">Sens!K9376+Sens!K9441*Sens!K9351</f>
        <v>29.462937717544</v>
      </c>
    </row>
    <row r="9451" customFormat="false" ht="17.15" hidden="false" customHeight="false" outlineLevel="0" collapsed="false">
      <c r="A9451" s="0" t="s">
        <v>958</v>
      </c>
      <c r="B9451" s="0" t="s">
        <v>95</v>
      </c>
      <c r="F9451" s="6" t="n">
        <f aca="false">(Sens!F9450-Sens!F9446)*Sens!F9347/(Sens!F9347+Sens!F9349)</f>
        <v>7.48898961902734</v>
      </c>
      <c r="G9451" s="6" t="n">
        <f aca="false">(Sens!G9450-Sens!G9446)*Sens!G9347/(Sens!G9347+Sens!G9349)</f>
        <v>7.20340109590894</v>
      </c>
      <c r="H9451" s="6" t="n">
        <f aca="false">(Sens!H9450-Sens!H9446)*Sens!H9347/(Sens!H9347+Sens!H9349)</f>
        <v>7.09652293296972</v>
      </c>
      <c r="I9451" s="6" t="n">
        <f aca="false">(Sens!I9450-Sens!I9446)*Sens!I9347/(Sens!I9347+Sens!I9349)</f>
        <v>7.15544718973948</v>
      </c>
      <c r="J9451" s="6" t="n">
        <f aca="false">(Sens!J9450-Sens!J9446)*Sens!J9347/(Sens!J9347+Sens!J9349)</f>
        <v>7.37738128221564</v>
      </c>
      <c r="K9451" s="6" t="n">
        <f aca="false">(Sens!K9450-Sens!K9446)*Sens!K9347/(Sens!K9347+Sens!K9349)</f>
        <v>7.76959535453033</v>
      </c>
    </row>
    <row r="9452" customFormat="false" ht="17.15" hidden="false" customHeight="false" outlineLevel="0" collapsed="false">
      <c r="A9452" s="0" t="s">
        <v>959</v>
      </c>
      <c r="B9452" s="0" t="s">
        <v>95</v>
      </c>
      <c r="F9452" s="6" t="n">
        <f aca="false">Sens!F9450-Sens!F9446-Sens!F9451</f>
        <v>6.13979279049692</v>
      </c>
      <c r="G9452" s="6" t="n">
        <f aca="false">Sens!G9450-Sens!G9446-Sens!G9451</f>
        <v>6.0795707639586</v>
      </c>
      <c r="H9452" s="6" t="n">
        <f aca="false">Sens!H9450-Sens!H9446-Sens!H9451</f>
        <v>6.07356032477572</v>
      </c>
      <c r="I9452" s="6" t="n">
        <f aca="false">Sens!I9450-Sens!I9446-Sens!I9451</f>
        <v>6.11958161309937</v>
      </c>
      <c r="J9452" s="6" t="n">
        <f aca="false">Sens!J9450-Sens!J9446-Sens!J9451</f>
        <v>6.21526144429591</v>
      </c>
      <c r="K9452" s="6" t="n">
        <f aca="false">Sens!K9450-Sens!K9446-Sens!K9451</f>
        <v>6.35867233455059</v>
      </c>
    </row>
    <row r="9453" customFormat="false" ht="17.15" hidden="false" customHeight="false" outlineLevel="0" collapsed="false">
      <c r="A9453" s="1" t="s">
        <v>960</v>
      </c>
      <c r="B9453" s="0" t="s">
        <v>95</v>
      </c>
      <c r="C9453" s="6" t="n">
        <f aca="false">(w_ntm28*Sens!G9447+(1-w_ntm28)*Sens!H9447)*m_ai*1</f>
        <v>338.776008390068</v>
      </c>
    </row>
    <row r="9454" customFormat="false" ht="17.15" hidden="false" customHeight="false" outlineLevel="0" collapsed="false">
      <c r="A9454" s="1" t="s">
        <v>961</v>
      </c>
      <c r="B9454" s="0" t="s">
        <v>95</v>
      </c>
      <c r="C9454" s="6" t="n">
        <f aca="false">(w_ntm28*Sens!G9449+(1-w_ntm28)*Sens!H9449)*m_cloud*1</f>
        <v>794.650209222906</v>
      </c>
    </row>
    <row r="9455" customFormat="false" ht="17.15" hidden="false" customHeight="false" outlineLevel="0" collapsed="false">
      <c r="A9455" s="1" t="s">
        <v>962</v>
      </c>
      <c r="B9455" s="0" t="s">
        <v>95</v>
      </c>
      <c r="C9455" s="6" t="n">
        <f aca="false">(w_ntm28*Sens!G9442+(1-w_ntm28)*Sens!H9442)*m_sw*1</f>
        <v>988.453836928864</v>
      </c>
    </row>
    <row r="9456" customFormat="false" ht="17.15" hidden="false" customHeight="false" outlineLevel="0" collapsed="false">
      <c r="A9456" s="1" t="s">
        <v>963</v>
      </c>
      <c r="B9456" s="0" t="s">
        <v>95</v>
      </c>
      <c r="C9456" s="6" t="n">
        <f aca="false">(w_ntm28*Sens!G9443+(1-w_ntm28)*Sens!H9443)*m_sw*1</f>
        <v>363.089789000272</v>
      </c>
    </row>
    <row r="9457" customFormat="false" ht="17.15" hidden="false" customHeight="false" outlineLevel="0" collapsed="false">
      <c r="A9457" s="1" t="s">
        <v>964</v>
      </c>
      <c r="B9457" s="0" t="s">
        <v>95</v>
      </c>
      <c r="C9457" s="6" t="n">
        <f aca="false">(w_ntm28*Sens!G9444+(1-w_ntm28)*Sens!H9444)*m_sw*1</f>
        <v>99.2723040080841</v>
      </c>
    </row>
    <row r="9458" customFormat="false" ht="17.15" hidden="false" customHeight="false" outlineLevel="0" collapsed="false">
      <c r="A9458" s="1" t="s">
        <v>965</v>
      </c>
      <c r="B9458" s="0" t="s">
        <v>95</v>
      </c>
      <c r="C9458" s="6" t="n">
        <f aca="false">(w_ntm28*Sens!G9445+(1-w_ntm28)*Sens!H9445)*m_sw*1</f>
        <v>37.8740570073482</v>
      </c>
    </row>
    <row r="9459" customFormat="false" ht="17.15" hidden="false" customHeight="false" outlineLevel="0" collapsed="false">
      <c r="A9459" s="1" t="s">
        <v>966</v>
      </c>
      <c r="B9459" s="0" t="s">
        <v>95</v>
      </c>
      <c r="C9459" s="6" t="n">
        <f aca="false">(w_ntm28*Sens!G9446+(1-w_ntm28)*Sens!H9446)*m_ads*1</f>
        <v>104.646778858498</v>
      </c>
    </row>
    <row r="9460" customFormat="false" ht="17.15" hidden="false" customHeight="false" outlineLevel="0" collapsed="false">
      <c r="A9460" s="1" t="s">
        <v>967</v>
      </c>
      <c r="B9460" s="0" t="s">
        <v>95</v>
      </c>
      <c r="C9460" s="6" t="n">
        <f aca="false">(w_ntm28*Sens!G9451+(1-w_ntm28)*Sens!H9451)*m_game*1</f>
        <v>90.5425591252892</v>
      </c>
    </row>
    <row r="9461" customFormat="false" ht="17.15" hidden="false" customHeight="false" outlineLevel="0" collapsed="false">
      <c r="A9461" s="1" t="s">
        <v>968</v>
      </c>
      <c r="B9461" s="0" t="s">
        <v>95</v>
      </c>
      <c r="C9461" s="6" t="n">
        <f aca="false">(w_ntm28*Sens!G9452+(1-w_ntm28)*Sens!H9452)*m_pc*1</f>
        <v>87.943272284653</v>
      </c>
    </row>
    <row r="9462" customFormat="false" ht="17.15" hidden="false" customHeight="false" outlineLevel="0" collapsed="false">
      <c r="A9462" s="1" t="s">
        <v>969</v>
      </c>
      <c r="B9462" s="0" t="s">
        <v>95</v>
      </c>
      <c r="C9462" s="6" t="n">
        <f aca="false">Sens!$C$9453+Sens!$C$9454+Sens!$C$9455+Sens!$C$9456+Sens!$C$9457+Sens!$C$9458+Sens!$C$9459+Sens!$C$9460+Sens!$C$9461</f>
        <v>2905.24881482598</v>
      </c>
    </row>
    <row r="9463" customFormat="false" ht="17.15" hidden="false" customHeight="false" outlineLevel="0" collapsed="false">
      <c r="A9463" s="1" t="s">
        <v>903</v>
      </c>
      <c r="B9463" s="0" t="s">
        <v>95</v>
      </c>
      <c r="C9463" s="6" t="n">
        <f aca="false">Sens!F9420+oai_v-Sens!F9409</f>
        <v>106.844197682163</v>
      </c>
      <c r="L9463" s="1" t="s">
        <v>970</v>
      </c>
    </row>
    <row r="9464" customFormat="false" ht="15" hidden="false" customHeight="false" outlineLevel="0" collapsed="false">
      <c r="A9464" s="1" t="s">
        <v>904</v>
      </c>
      <c r="B9464" s="0" t="s">
        <v>73</v>
      </c>
      <c r="C9464" s="5" t="n">
        <f aca="false">(Sens!$C$9462+Sens!$C$9463)/Sens!F9422</f>
        <v>403.117373194345</v>
      </c>
    </row>
    <row r="9465" customFormat="false" ht="17.15" hidden="false" customHeight="false" outlineLevel="0" collapsed="false">
      <c r="A9465" s="1" t="s">
        <v>971</v>
      </c>
      <c r="B9465" s="0" t="s">
        <v>73</v>
      </c>
      <c r="C9465" s="5" t="n">
        <f aca="false">w_dcf*Sens!$C$9440+(1-w_dcf)*Sens!$C$9464</f>
        <v>291.444291482242</v>
      </c>
    </row>
    <row r="9466" customFormat="false" ht="17.15" hidden="false" customHeight="false" outlineLevel="0" collapsed="false">
      <c r="A9466" s="3" t="s">
        <v>1384</v>
      </c>
    </row>
    <row r="9467" customFormat="false" ht="15" hidden="false" customHeight="false" outlineLevel="0" collapsed="false">
      <c r="A9467" s="4" t="s">
        <v>43</v>
      </c>
      <c r="B9467" s="4" t="s">
        <v>63</v>
      </c>
      <c r="C9467" s="19" t="s">
        <v>710</v>
      </c>
      <c r="D9467" s="19" t="s">
        <v>711</v>
      </c>
      <c r="E9467" s="19" t="s">
        <v>712</v>
      </c>
      <c r="F9467" s="19" t="s">
        <v>713</v>
      </c>
      <c r="G9467" s="19" t="s">
        <v>714</v>
      </c>
      <c r="H9467" s="19" t="s">
        <v>715</v>
      </c>
      <c r="I9467" s="19" t="s">
        <v>716</v>
      </c>
      <c r="J9467" s="19" t="s">
        <v>717</v>
      </c>
      <c r="K9467" s="19" t="s">
        <v>718</v>
      </c>
      <c r="L9467" s="4" t="s">
        <v>47</v>
      </c>
    </row>
    <row r="9468" customFormat="false" ht="17.15" hidden="false" customHeight="false" outlineLevel="0" collapsed="false">
      <c r="A9468" s="1" t="s">
        <v>719</v>
      </c>
      <c r="B9468" s="0" t="s">
        <v>340</v>
      </c>
      <c r="C9468" s="27" t="n">
        <f aca="false">mw_ext_24</f>
        <v>640</v>
      </c>
      <c r="D9468" s="27" t="n">
        <f aca="false">mw_ext_25</f>
        <v>1630</v>
      </c>
      <c r="E9468" s="27" t="n">
        <f aca="false">mw_ext_26</f>
        <v>3250</v>
      </c>
      <c r="F9468" s="27" t="n">
        <f aca="false">MIN(1000000000,Sens!E9468+pace)</f>
        <v>5777.2</v>
      </c>
      <c r="G9468" s="27" t="n">
        <f aca="false">MIN(1000000000,Sens!F9468+pace)</f>
        <v>8304.4</v>
      </c>
      <c r="H9468" s="27" t="n">
        <f aca="false">MIN(1000000000,Sens!G9468+pace)</f>
        <v>10831.6</v>
      </c>
      <c r="I9468" s="27" t="n">
        <f aca="false">MIN(1000000000,Sens!H9468+pace)</f>
        <v>13358.8</v>
      </c>
      <c r="J9468" s="27" t="n">
        <f aca="false">MIN(1000000000,Sens!I9468+pace)</f>
        <v>15886</v>
      </c>
      <c r="K9468" s="27" t="n">
        <f aca="false">MIN(1000000000,Sens!J9468+pace)</f>
        <v>18413.2</v>
      </c>
      <c r="L9468" s="11" t="s">
        <v>720</v>
      </c>
    </row>
    <row r="9469" customFormat="false" ht="17.15" hidden="false" customHeight="false" outlineLevel="0" collapsed="false">
      <c r="A9469" s="1" t="s">
        <v>721</v>
      </c>
      <c r="B9469" s="0" t="s">
        <v>340</v>
      </c>
      <c r="C9469" s="27" t="n">
        <f aca="false">rent_ext_24</f>
        <v>150</v>
      </c>
      <c r="D9469" s="27" t="n">
        <f aca="false">rent_ext_25</f>
        <v>400</v>
      </c>
      <c r="E9469" s="27" t="n">
        <f aca="false">rent_ext_26</f>
        <v>550</v>
      </c>
      <c r="F9469" s="27" t="n">
        <f aca="false">rent_ext_f</f>
        <v>756</v>
      </c>
      <c r="G9469" s="27" t="n">
        <f aca="false">rent_ext_f</f>
        <v>756</v>
      </c>
      <c r="H9469" s="27" t="n">
        <f aca="false">rent_ext_f</f>
        <v>756</v>
      </c>
      <c r="I9469" s="27" t="n">
        <f aca="false">rent_ext_f</f>
        <v>756</v>
      </c>
      <c r="J9469" s="27" t="n">
        <f aca="false">rent_ext_f</f>
        <v>756</v>
      </c>
      <c r="K9469" s="27" t="n">
        <f aca="false">rent_ext_f</f>
        <v>756</v>
      </c>
      <c r="L9469" s="1" t="s">
        <v>722</v>
      </c>
    </row>
    <row r="9470" customFormat="false" ht="17.15" hidden="false" customHeight="false" outlineLevel="0" collapsed="false">
      <c r="A9470" s="1" t="s">
        <v>723</v>
      </c>
      <c r="B9470" s="0" t="s">
        <v>340</v>
      </c>
      <c r="C9470" s="27" t="n">
        <f aca="false">Sens!C9468-Sens!C9469</f>
        <v>490</v>
      </c>
      <c r="D9470" s="27" t="n">
        <f aca="false">Sens!D9468-Sens!D9469</f>
        <v>1230</v>
      </c>
      <c r="E9470" s="27" t="n">
        <f aca="false">Sens!E9468-Sens!E9469</f>
        <v>2700</v>
      </c>
      <c r="F9470" s="27" t="n">
        <f aca="false">Sens!F9468-Sens!F9469</f>
        <v>5021.2</v>
      </c>
      <c r="G9470" s="27" t="n">
        <f aca="false">Sens!G9468-Sens!G9469</f>
        <v>7548.4</v>
      </c>
      <c r="H9470" s="27" t="n">
        <f aca="false">Sens!H9468-Sens!H9469</f>
        <v>10075.6</v>
      </c>
      <c r="I9470" s="27" t="n">
        <f aca="false">Sens!I9468-Sens!I9469</f>
        <v>12602.8</v>
      </c>
      <c r="J9470" s="27" t="n">
        <f aca="false">Sens!J9468-Sens!J9469</f>
        <v>15130</v>
      </c>
      <c r="K9470" s="27" t="n">
        <f aca="false">Sens!K9468-Sens!K9469</f>
        <v>17657.2</v>
      </c>
    </row>
    <row r="9471" customFormat="false" ht="17.15" hidden="false" customHeight="false" outlineLevel="0" collapsed="false">
      <c r="A9471" s="1" t="s">
        <v>724</v>
      </c>
      <c r="B9471" s="0" t="s">
        <v>340</v>
      </c>
      <c r="C9471" s="27" t="n">
        <f aca="false">Sens!C9470/ext_sh</f>
        <v>816.666666666667</v>
      </c>
      <c r="D9471" s="27" t="n">
        <f aca="false">Sens!D9470/ext_sh</f>
        <v>2050</v>
      </c>
      <c r="E9471" s="27" t="n">
        <f aca="false">Sens!E9470/ext_sh</f>
        <v>4500</v>
      </c>
      <c r="F9471" s="27" t="n">
        <f aca="false">Sens!F9470/ext_sh</f>
        <v>8368.66666666667</v>
      </c>
      <c r="G9471" s="27" t="n">
        <f aca="false">Sens!G9470/ext_sh</f>
        <v>12580.6666666667</v>
      </c>
      <c r="H9471" s="27" t="n">
        <f aca="false">Sens!H9470/ext_sh</f>
        <v>16792.6666666667</v>
      </c>
      <c r="I9471" s="27" t="n">
        <f aca="false">Sens!I9470/ext_sh</f>
        <v>21004.6666666667</v>
      </c>
      <c r="J9471" s="27" t="n">
        <f aca="false">Sens!J9470/ext_sh</f>
        <v>25216.6666666667</v>
      </c>
      <c r="K9471" s="27" t="n">
        <f aca="false">Sens!K9470/ext_sh</f>
        <v>29428.6666666667</v>
      </c>
      <c r="L9471" s="1" t="s">
        <v>725</v>
      </c>
    </row>
    <row r="9472" customFormat="false" ht="17.15" hidden="false" customHeight="false" outlineLevel="0" collapsed="false">
      <c r="A9472" s="1" t="s">
        <v>726</v>
      </c>
      <c r="B9472" s="0" t="s">
        <v>340</v>
      </c>
      <c r="C9472" s="27" t="n">
        <f aca="false">Sens!C9471-Sens!C9470</f>
        <v>326.666666666667</v>
      </c>
      <c r="D9472" s="27" t="n">
        <f aca="false">Sens!D9471-Sens!D9470</f>
        <v>820</v>
      </c>
      <c r="E9472" s="27" t="n">
        <f aca="false">Sens!E9471-Sens!E9470</f>
        <v>1800</v>
      </c>
      <c r="F9472" s="27" t="n">
        <f aca="false">Sens!F9471-Sens!F9470</f>
        <v>3347.46666666667</v>
      </c>
      <c r="G9472" s="27" t="n">
        <f aca="false">Sens!G9471-Sens!G9470</f>
        <v>5032.26666666667</v>
      </c>
      <c r="H9472" s="27" t="n">
        <f aca="false">Sens!H9471-Sens!H9470</f>
        <v>6717.06666666667</v>
      </c>
      <c r="I9472" s="27" t="n">
        <f aca="false">Sens!I9471-Sens!I9470</f>
        <v>8401.86666666667</v>
      </c>
      <c r="J9472" s="27" t="n">
        <f aca="false">Sens!J9471-Sens!J9470</f>
        <v>10086.6666666667</v>
      </c>
      <c r="K9472" s="27" t="n">
        <f aca="false">Sens!K9471-Sens!K9470</f>
        <v>11771.4666666667</v>
      </c>
    </row>
    <row r="9473" customFormat="false" ht="17.15" hidden="false" customHeight="false" outlineLevel="0" collapsed="false">
      <c r="A9473" s="1" t="s">
        <v>727</v>
      </c>
      <c r="B9473" s="0" t="s">
        <v>340</v>
      </c>
      <c r="C9473" s="27" t="n">
        <f aca="false">Sens!C9471</f>
        <v>816.666666666667</v>
      </c>
      <c r="D9473" s="27" t="n">
        <f aca="false">Sens!D9471-Sens!C9471</f>
        <v>1233.33333333333</v>
      </c>
      <c r="E9473" s="27" t="n">
        <f aca="false">Sens!E9471-Sens!D9471</f>
        <v>2450</v>
      </c>
      <c r="F9473" s="27" t="n">
        <f aca="false">Sens!F9471-Sens!E9471</f>
        <v>3868.66666666667</v>
      </c>
      <c r="G9473" s="27" t="n">
        <f aca="false">Sens!G9471-Sens!F9471</f>
        <v>4212</v>
      </c>
      <c r="H9473" s="27" t="n">
        <f aca="false">Sens!H9471-Sens!G9471</f>
        <v>4212</v>
      </c>
      <c r="I9473" s="27" t="n">
        <f aca="false">Sens!I9471-Sens!H9471</f>
        <v>4212</v>
      </c>
      <c r="J9473" s="27" t="n">
        <f aca="false">Sens!J9471-Sens!I9471</f>
        <v>4212</v>
      </c>
      <c r="K9473" s="27" t="n">
        <f aca="false">Sens!K9471-Sens!J9471</f>
        <v>4212</v>
      </c>
    </row>
    <row r="9474" customFormat="false" ht="17.15" hidden="false" customHeight="false" outlineLevel="0" collapsed="false">
      <c r="A9474" s="1" t="s">
        <v>728</v>
      </c>
      <c r="B9474" s="0" t="s">
        <v>340</v>
      </c>
      <c r="D9474" s="27" t="n">
        <f aca="false">Sens!D9468-Sens!C9468</f>
        <v>990</v>
      </c>
      <c r="E9474" s="27" t="n">
        <f aca="false">Sens!E9468-Sens!D9468</f>
        <v>1620</v>
      </c>
      <c r="F9474" s="27" t="n">
        <f aca="false">Sens!F9468-Sens!E9468</f>
        <v>2527.2</v>
      </c>
      <c r="G9474" s="27" t="n">
        <f aca="false">Sens!G9468-Sens!F9468</f>
        <v>2527.2</v>
      </c>
      <c r="H9474" s="27" t="n">
        <f aca="false">Sens!H9468-Sens!G9468</f>
        <v>2527.2</v>
      </c>
      <c r="I9474" s="27" t="n">
        <f aca="false">Sens!I9468-Sens!H9468</f>
        <v>2527.2</v>
      </c>
      <c r="J9474" s="27" t="n">
        <f aca="false">Sens!J9468-Sens!I9468</f>
        <v>2527.2</v>
      </c>
      <c r="K9474" s="27" t="n">
        <f aca="false">Sens!K9468-Sens!J9468</f>
        <v>2527.2</v>
      </c>
    </row>
    <row r="9475" customFormat="false" ht="17.15" hidden="false" customHeight="false" outlineLevel="0" collapsed="false">
      <c r="A9475" s="1" t="s">
        <v>729</v>
      </c>
      <c r="B9475" s="0" t="s">
        <v>340</v>
      </c>
      <c r="C9475" s="27" t="n">
        <f aca="false">mix_h*Sens!C9468</f>
        <v>128</v>
      </c>
      <c r="D9475" s="27" t="n">
        <f aca="false">mix_h*Sens!D9468</f>
        <v>326</v>
      </c>
      <c r="E9475" s="27" t="n">
        <f aca="false">mix_h*Sens!E9468</f>
        <v>650</v>
      </c>
      <c r="F9475" s="27" t="n">
        <f aca="false">Sens!E9475</f>
        <v>650</v>
      </c>
      <c r="G9475" s="27" t="n">
        <f aca="false">Sens!F9475</f>
        <v>650</v>
      </c>
      <c r="H9475" s="27" t="n">
        <f aca="false">Sens!G9475</f>
        <v>650</v>
      </c>
      <c r="I9475" s="27" t="n">
        <f aca="false">Sens!H9475</f>
        <v>650</v>
      </c>
      <c r="J9475" s="27" t="n">
        <f aca="false">Sens!I9475</f>
        <v>650</v>
      </c>
      <c r="K9475" s="27" t="n">
        <f aca="false">Sens!J9475</f>
        <v>650</v>
      </c>
    </row>
    <row r="9476" customFormat="false" ht="17.15" hidden="false" customHeight="false" outlineLevel="0" collapsed="false">
      <c r="A9476" s="1" t="s">
        <v>730</v>
      </c>
      <c r="B9476" s="0" t="s">
        <v>340</v>
      </c>
      <c r="C9476" s="27" t="n">
        <f aca="false">mix_g2*Sens!C9468</f>
        <v>288</v>
      </c>
      <c r="D9476" s="27" t="n">
        <f aca="false">mix_g2*Sens!D9468</f>
        <v>733.5</v>
      </c>
      <c r="E9476" s="27" t="n">
        <f aca="false">mix_g2*Sens!E9468</f>
        <v>1462.5</v>
      </c>
      <c r="F9476" s="27" t="n">
        <f aca="false">Sens!E9476</f>
        <v>1462.5</v>
      </c>
      <c r="G9476" s="27" t="n">
        <f aca="false">Sens!F9476</f>
        <v>1462.5</v>
      </c>
      <c r="H9476" s="27" t="n">
        <f aca="false">Sens!G9476</f>
        <v>1462.5</v>
      </c>
      <c r="I9476" s="27" t="n">
        <f aca="false">Sens!H9476</f>
        <v>1462.5</v>
      </c>
      <c r="J9476" s="27" t="n">
        <f aca="false">Sens!I9476</f>
        <v>1462.5</v>
      </c>
      <c r="K9476" s="27" t="n">
        <f aca="false">Sens!J9476</f>
        <v>1462.5</v>
      </c>
    </row>
    <row r="9477" customFormat="false" ht="17.15" hidden="false" customHeight="false" outlineLevel="0" collapsed="false">
      <c r="A9477" s="1" t="s">
        <v>731</v>
      </c>
      <c r="B9477" s="0" t="s">
        <v>340</v>
      </c>
      <c r="C9477" s="27" t="n">
        <f aca="false">mix_g3*Sens!C9468</f>
        <v>224</v>
      </c>
      <c r="D9477" s="27" t="n">
        <f aca="false">mix_g3*Sens!D9468</f>
        <v>570.5</v>
      </c>
      <c r="E9477" s="27" t="n">
        <f aca="false">mix_g3*Sens!E9468</f>
        <v>1137.5</v>
      </c>
      <c r="F9477" s="27" t="n">
        <f aca="false">Sens!E9477+Sens!F9474*a_g3_27</f>
        <v>2906.54</v>
      </c>
      <c r="G9477" s="27" t="n">
        <f aca="false">Sens!F9477+Sens!G9474*a_g3_28</f>
        <v>3664.7</v>
      </c>
      <c r="H9477" s="27" t="n">
        <f aca="false">Sens!G9477+Sens!H9474*a_g3_29</f>
        <v>3917.42</v>
      </c>
      <c r="I9477" s="27" t="n">
        <f aca="false">Sens!H9477+Sens!I9474*a_g3_29</f>
        <v>4170.14</v>
      </c>
      <c r="J9477" s="27" t="n">
        <f aca="false">Sens!I9477+Sens!J9474*a_g3_29</f>
        <v>4422.86</v>
      </c>
      <c r="K9477" s="27" t="n">
        <f aca="false">Sens!J9477+Sens!K9474*a_g3_29</f>
        <v>4675.58</v>
      </c>
    </row>
    <row r="9478" customFormat="false" ht="17.15" hidden="false" customHeight="false" outlineLevel="0" collapsed="false">
      <c r="A9478" s="1" t="s">
        <v>732</v>
      </c>
      <c r="B9478" s="0" t="s">
        <v>340</v>
      </c>
      <c r="C9478" s="27" t="n">
        <f aca="false">0</f>
        <v>0</v>
      </c>
      <c r="D9478" s="27" t="n">
        <f aca="false">0</f>
        <v>0</v>
      </c>
      <c r="E9478" s="27" t="n">
        <f aca="false">0</f>
        <v>0</v>
      </c>
      <c r="F9478" s="27" t="n">
        <f aca="false">Sens!E9478+Sens!F9474*(1-a_g3_27)</f>
        <v>758.16</v>
      </c>
      <c r="G9478" s="27" t="n">
        <f aca="false">Sens!F9478+Sens!G9474*(1-a_g3_28)</f>
        <v>2527.2</v>
      </c>
      <c r="H9478" s="27" t="n">
        <f aca="false">Sens!G9478+Sens!H9474*(1-a_g3_29)</f>
        <v>4801.68</v>
      </c>
      <c r="I9478" s="27" t="n">
        <f aca="false">Sens!H9478+Sens!I9474*(1-a_g3_29)</f>
        <v>7076.16</v>
      </c>
      <c r="J9478" s="27" t="n">
        <f aca="false">Sens!I9478+Sens!J9474*(1-a_g3_29)</f>
        <v>9350.64</v>
      </c>
      <c r="K9478" s="27" t="n">
        <f aca="false">Sens!J9478+Sens!K9474*(1-a_g3_29)</f>
        <v>11625.12</v>
      </c>
    </row>
    <row r="9479" customFormat="false" ht="17.15" hidden="false" customHeight="false" outlineLevel="0" collapsed="false">
      <c r="A9479" s="1" t="s">
        <v>733</v>
      </c>
      <c r="B9479" s="0" t="s">
        <v>291</v>
      </c>
      <c r="C9479" s="18" t="n">
        <f aca="false">(Sens!C9475*tk_hold_h100+Sens!C9476*tk_hold_gb200+Sens!C9477*tk_hold_gb300+Sens!C9478*tk_hold_vr200)/Sens!C9468</f>
        <v>9.7235358126469</v>
      </c>
      <c r="D9479" s="18" t="n">
        <f aca="false">(Sens!D9475*tk_hold_h100+Sens!D9476*tk_hold_gb200+Sens!D9477*tk_hold_gb300+Sens!D9478*tk_hold_vr200)/Sens!D9468</f>
        <v>9.7235358126469</v>
      </c>
      <c r="E9479" s="18" t="n">
        <f aca="false">(Sens!E9475*tk_hold_h100+Sens!E9476*tk_hold_gb200+Sens!E9477*tk_hold_gb300+Sens!E9478*tk_hold_vr200)/Sens!E9468</f>
        <v>9.7235358126469</v>
      </c>
      <c r="F9479" s="18" t="n">
        <f aca="false">(Sens!F9475*tk_hold_h100+Sens!F9476*tk_hold_gb200+Sens!F9477*tk_hold_gb300+Sens!F9478*tk_hold_vr200)/Sens!F9468</f>
        <v>10.4079573161931</v>
      </c>
      <c r="G9479" s="18" t="n">
        <f aca="false">(Sens!G9475*tk_hold_h100+Sens!G9476*tk_hold_gb200+Sens!G9477*tk_hold_gb300+Sens!G9478*tk_hold_vr200)/Sens!G9468</f>
        <v>10.8388131109316</v>
      </c>
      <c r="H9479" s="18" t="n">
        <f aca="false">(Sens!H9475*tk_hold_h100+Sens!H9476*tk_hold_gb200+Sens!H9477*tk_hold_gb300+Sens!H9478*tk_hold_vr200)/Sens!H9468</f>
        <v>11.1311018388216</v>
      </c>
      <c r="I9479" s="18" t="n">
        <f aca="false">(Sens!I9475*tk_hold_h100+Sens!I9476*tk_hold_gb200+Sens!I9477*tk_hold_gb300+Sens!I9478*tk_hold_vr200)/Sens!I9468</f>
        <v>11.3128009818501</v>
      </c>
      <c r="J9479" s="18" t="n">
        <f aca="false">(Sens!J9475*tk_hold_h100+Sens!J9476*tk_hold_gb200+Sens!J9477*tk_hold_gb300+Sens!J9478*tk_hold_vr200)/Sens!J9468</f>
        <v>11.4366894646418</v>
      </c>
      <c r="K9479" s="18" t="n">
        <f aca="false">(Sens!K9475*tk_hold_h100+Sens!K9476*tk_hold_gb200+Sens!K9477*tk_hold_gb300+Sens!K9478*tk_hold_vr200)/Sens!K9468</f>
        <v>11.526570716348</v>
      </c>
    </row>
    <row r="9480" customFormat="false" ht="17.15" hidden="false" customHeight="false" outlineLevel="0" collapsed="false">
      <c r="A9480" s="0" t="s">
        <v>734</v>
      </c>
      <c r="B9480" s="0" t="s">
        <v>182</v>
      </c>
      <c r="C9480" s="18" t="n">
        <f aca="false">k_B</f>
        <v>1.17213932619116</v>
      </c>
      <c r="D9480" s="18" t="n">
        <f aca="false">k_B</f>
        <v>1.17213932619116</v>
      </c>
      <c r="E9480" s="18" t="n">
        <f aca="false">k_B</f>
        <v>1.17213932619116</v>
      </c>
      <c r="F9480" s="18" t="n">
        <f aca="false">(k_B+((ls_A*k_long+(1-ls_A)*k_spot)-k_B)*MIN(1,1/3))*1</f>
        <v>1.25022828131298</v>
      </c>
      <c r="G9480" s="18" t="n">
        <f aca="false">(k_B+((ls_A*k_long+(1-ls_A)*k_spot)-k_B)*MIN(1,2/3))*1</f>
        <v>1.3283172364348</v>
      </c>
      <c r="H9480" s="18" t="n">
        <f aca="false">(k_B+((ls_A*k_long+(1-ls_A)*k_spot)-k_B)*MIN(1,3/3))*1</f>
        <v>1.40640619155662</v>
      </c>
      <c r="I9480" s="18" t="n">
        <f aca="false">(k_B+((ls_A*k_long+(1-ls_A)*k_spot)-k_B)*MIN(1,4/3))*1</f>
        <v>1.40640619155662</v>
      </c>
      <c r="J9480" s="18" t="n">
        <f aca="false">(k_B+((ls_A*k_long+(1-ls_A)*k_spot)-k_B)*MIN(1,5/3))*1</f>
        <v>1.40640619155662</v>
      </c>
      <c r="K9480" s="18" t="n">
        <f aca="false">(k_B+((ls_A*k_long+(1-ls_A)*k_spot)-k_B)*MIN(1,6/3))*1</f>
        <v>1.40640619155662</v>
      </c>
      <c r="L9480" s="1" t="s">
        <v>735</v>
      </c>
    </row>
    <row r="9481" customFormat="false" ht="17.15" hidden="false" customHeight="false" outlineLevel="0" collapsed="false">
      <c r="A9481" s="1" t="s">
        <v>736</v>
      </c>
      <c r="B9481" s="0" t="s">
        <v>291</v>
      </c>
      <c r="C9481" s="18" t="n">
        <f aca="false">Sens!C9479*Sens!C9480*chip_f</f>
        <v>11.3973387156315</v>
      </c>
      <c r="D9481" s="18" t="n">
        <f aca="false">Sens!D9479*Sens!D9480*chip_f</f>
        <v>11.3973387156315</v>
      </c>
      <c r="E9481" s="18" t="n">
        <f aca="false">Sens!E9479*Sens!E9480*chip_f</f>
        <v>11.3973387156315</v>
      </c>
      <c r="F9481" s="18" t="n">
        <f aca="false">Sens!F9479*Sens!F9480*chip_f</f>
        <v>13.0123225874029</v>
      </c>
      <c r="G9481" s="18" t="n">
        <f aca="false">Sens!G9479*Sens!G9480*chip_f</f>
        <v>14.3973822777458</v>
      </c>
      <c r="H9481" s="18" t="n">
        <f aca="false">Sens!H9479*Sens!H9480*chip_f</f>
        <v>15.6548505449659</v>
      </c>
      <c r="I9481" s="18" t="n">
        <f aca="false">Sens!I9479*Sens!I9480*chip_f</f>
        <v>15.9103933447218</v>
      </c>
      <c r="J9481" s="18" t="n">
        <f aca="false">Sens!J9479*Sens!J9480*chip_f</f>
        <v>16.0846308739825</v>
      </c>
      <c r="K9481" s="18" t="n">
        <f aca="false">Sens!K9479*Sens!K9480*chip_f</f>
        <v>16.211040422887</v>
      </c>
      <c r="L9481" s="1" t="s">
        <v>737</v>
      </c>
    </row>
    <row r="9482" customFormat="false" ht="17.15" hidden="false" customHeight="false" outlineLevel="0" collapsed="false">
      <c r="A9482" s="0" t="s">
        <v>738</v>
      </c>
      <c r="B9482" s="0" t="s">
        <v>95</v>
      </c>
      <c r="D9482" s="6" t="n">
        <f aca="false">(Sens!C9468+Sens!D9468)/2*Sens!D9481/1000</f>
        <v>12.9359794422418</v>
      </c>
      <c r="E9482" s="6" t="n">
        <f aca="false">(Sens!D9468+Sens!E9468)/2*Sens!E9481/1000</f>
        <v>27.8095064661409</v>
      </c>
      <c r="F9482" s="6" t="n">
        <f aca="false">(Sens!E9468+Sens!F9468)/2*Sens!F9481/1000</f>
        <v>58.7324192305018</v>
      </c>
      <c r="G9482" s="6" t="n">
        <f aca="false">(Sens!F9468+Sens!G9468)/2*Sens!G9481/1000</f>
        <v>101.369089141153</v>
      </c>
      <c r="H9482" s="6" t="n">
        <f aca="false">(Sens!G9468+Sens!H9468)/2*Sens!H9481/1000</f>
        <v>149.785610014234</v>
      </c>
      <c r="I9482" s="6" t="n">
        <f aca="false">(Sens!H9468+Sens!I9468)/2*Sens!I9481/1000</f>
        <v>192.439389583079</v>
      </c>
      <c r="J9482" s="6" t="n">
        <f aca="false">(Sens!I9468+Sens!J9468)/2*Sens!J9481/1000</f>
        <v>235.195906491722</v>
      </c>
      <c r="K9482" s="6" t="n">
        <f aca="false">(Sens!J9468+Sens!K9468)/2*Sens!K9481/1000</f>
        <v>278.012858836343</v>
      </c>
      <c r="L9482" s="11" t="s">
        <v>739</v>
      </c>
    </row>
    <row r="9483" customFormat="false" ht="17.15" hidden="false" customHeight="false" outlineLevel="0" collapsed="false">
      <c r="A9483" s="1" t="s">
        <v>740</v>
      </c>
      <c r="B9483" s="0" t="s">
        <v>291</v>
      </c>
      <c r="C9483" s="18" t="n">
        <f aca="false">(Sens!C9475*tk_opex_h100+Sens!C9476*tk_opex_gb200+Sens!C9477*tk_opex_gb300+Sens!C9478*tk_opex_vr200)/Sens!C9468</f>
        <v>1.88636041306092</v>
      </c>
      <c r="D9483" s="18" t="n">
        <f aca="false">(Sens!D9475*tk_opex_h100+Sens!D9476*tk_opex_gb200+Sens!D9477*tk_opex_gb300+Sens!D9478*tk_opex_vr200)/Sens!D9468</f>
        <v>1.88636041306092</v>
      </c>
      <c r="E9483" s="18" t="n">
        <f aca="false">(Sens!E9475*tk_opex_h100+Sens!E9476*tk_opex_gb200+Sens!E9477*tk_opex_gb300+Sens!E9478*tk_opex_vr200)/Sens!E9468</f>
        <v>1.88636041306092</v>
      </c>
      <c r="F9483" s="18" t="n">
        <f aca="false">(Sens!F9475*tk_opex_h100+Sens!F9476*tk_opex_gb200+Sens!F9477*tk_opex_gb300+Sens!F9478*tk_opex_vr200)/Sens!F9468</f>
        <v>1.9430236476499</v>
      </c>
      <c r="G9483" s="18" t="n">
        <f aca="false">(Sens!G9475*tk_opex_h100+Sens!G9476*tk_opex_gb200+Sens!G9477*tk_opex_gb300+Sens!G9478*tk_opex_vr200)/Sens!G9468</f>
        <v>1.9786941852423</v>
      </c>
      <c r="H9483" s="18" t="n">
        <f aca="false">(Sens!H9475*tk_opex_h100+Sens!H9476*tk_opex_gb200+Sens!H9477*tk_opex_gb300+Sens!H9478*tk_opex_vr200)/Sens!H9468</f>
        <v>2.00289275976156</v>
      </c>
      <c r="I9483" s="18" t="n">
        <f aca="false">(Sens!I9475*tk_opex_h100+Sens!I9476*tk_opex_gb200+Sens!I9477*tk_opex_gb300+Sens!I9478*tk_opex_vr200)/Sens!I9468</f>
        <v>2.01793562605478</v>
      </c>
      <c r="J9483" s="18" t="n">
        <f aca="false">(Sens!J9475*tk_opex_h100+Sens!J9476*tk_opex_gb200+Sens!J9477*tk_opex_gb300+Sens!J9478*tk_opex_vr200)/Sens!J9468</f>
        <v>2.02819234961902</v>
      </c>
      <c r="K9483" s="18" t="n">
        <f aca="false">(Sens!K9475*tk_opex_h100+Sens!K9476*tk_opex_gb200+Sens!K9477*tk_opex_gb300+Sens!K9478*tk_opex_vr200)/Sens!K9468</f>
        <v>2.0356336155994</v>
      </c>
    </row>
    <row r="9484" customFormat="false" ht="17.15" hidden="false" customHeight="false" outlineLevel="0" collapsed="false">
      <c r="A9484" s="0" t="s">
        <v>741</v>
      </c>
      <c r="B9484" s="0" t="s">
        <v>95</v>
      </c>
      <c r="D9484" s="6" t="n">
        <f aca="false">(Sens!C9471+Sens!D9471)/2*Sens!D9483/1000</f>
        <v>2.70378325872065</v>
      </c>
      <c r="E9484" s="6" t="n">
        <f aca="false">(Sens!D9471+Sens!E9471)/2*Sens!E9483/1000</f>
        <v>6.17783035277451</v>
      </c>
      <c r="F9484" s="6" t="n">
        <f aca="false">(Sens!E9471+Sens!F9471)/2*Sens!F9483/1000</f>
        <v>12.5020618235287</v>
      </c>
      <c r="G9484" s="6" t="n">
        <f aca="false">(Sens!F9471+Sens!G9471)/2*Sens!G9483/1000</f>
        <v>20.7261620256847</v>
      </c>
      <c r="H9484" s="6" t="n">
        <f aca="false">(Sens!G9471+Sens!H9471)/2*Sens!H9483/1000</f>
        <v>29.4158183316982</v>
      </c>
      <c r="I9484" s="6" t="n">
        <f aca="false">(Sens!H9471+Sens!I9471)/2*Sens!I9483/1000</f>
        <v>38.1362927516005</v>
      </c>
      <c r="J9484" s="6" t="n">
        <f aca="false">(Sens!I9471+Sens!J9471)/2*Sens!J9483/1000</f>
        <v>46.8728773279286</v>
      </c>
      <c r="K9484" s="6" t="n">
        <f aca="false">(Sens!J9471+Sens!K9471)/2*Sens!K9483/1000</f>
        <v>55.618938734484</v>
      </c>
    </row>
    <row r="9485" customFormat="false" ht="17.15" hidden="false" customHeight="false" outlineLevel="0" collapsed="false">
      <c r="A9485" s="0" t="s">
        <v>742</v>
      </c>
      <c r="B9485" s="0" t="s">
        <v>95</v>
      </c>
      <c r="D9485" s="6" t="n">
        <f aca="false">(Sens!C9469+Sens!D9469)/2*rent_mw/1000</f>
        <v>2.44475</v>
      </c>
      <c r="E9485" s="6" t="n">
        <f aca="false">(Sens!D9469+Sens!E9469)/2*rent_mw/1000</f>
        <v>4.22275</v>
      </c>
      <c r="F9485" s="6" t="n">
        <f aca="false">(Sens!E9469+Sens!F9469)/2*rent_mw/1000</f>
        <v>5.80517</v>
      </c>
      <c r="G9485" s="6" t="n">
        <f aca="false">(Sens!F9469+Sens!G9469)/2*rent_mw/1000</f>
        <v>6.72084</v>
      </c>
      <c r="H9485" s="6" t="n">
        <f aca="false">(Sens!G9469+Sens!H9469)/2*rent_mw/1000</f>
        <v>6.72084</v>
      </c>
      <c r="I9485" s="6" t="n">
        <f aca="false">(Sens!H9469+Sens!I9469)/2*rent_mw/1000</f>
        <v>6.72084</v>
      </c>
      <c r="J9485" s="6" t="n">
        <f aca="false">(Sens!I9469+Sens!J9469)/2*rent_mw/1000</f>
        <v>6.72084</v>
      </c>
      <c r="K9485" s="6" t="n">
        <f aca="false">(Sens!J9469+Sens!K9469)/2*rent_mw/1000</f>
        <v>6.72084</v>
      </c>
    </row>
    <row r="9486" customFormat="false" ht="17.15" hidden="false" customHeight="false" outlineLevel="0" collapsed="false">
      <c r="A9486" s="0" t="s">
        <v>743</v>
      </c>
      <c r="B9486" s="0" t="s">
        <v>95</v>
      </c>
      <c r="D9486" s="6" t="n">
        <f aca="false">(Sens!C9471+Sens!D9471)/2*(1-self_build)*fac_rent/1000</f>
        <v>0.853242375631075</v>
      </c>
      <c r="E9486" s="6" t="n">
        <f aca="false">(Sens!D9471+Sens!E9471)/2*(1-self_build)*fac_rent/1000</f>
        <v>1.94955961408728</v>
      </c>
      <c r="F9486" s="6" t="n">
        <f aca="false">(Sens!E9471+Sens!F9471)/2*(1-self_build)*fac_rent/1000</f>
        <v>3.83026455274573</v>
      </c>
      <c r="G9486" s="6" t="n">
        <f aca="false">(Sens!F9471+Sens!G9471)/2*(1-self_build)*fac_rent/1000</f>
        <v>6.23541590972812</v>
      </c>
      <c r="H9486" s="6" t="n">
        <f aca="false">(Sens!G9471+Sens!H9471)/2*(1-self_build)*fac_rent/1000</f>
        <v>8.74275792332679</v>
      </c>
      <c r="I9486" s="6" t="n">
        <f aca="false">(Sens!H9471+Sens!I9471)/2*(1-self_build)*fac_rent/1000</f>
        <v>11.2500999369255</v>
      </c>
      <c r="J9486" s="6" t="n">
        <f aca="false">(Sens!I9471+Sens!J9471)/2*(1-self_build)*fac_rent/1000</f>
        <v>13.7574419505241</v>
      </c>
      <c r="K9486" s="6" t="n">
        <f aca="false">(Sens!J9471+Sens!K9471)/2*(1-self_build)*fac_rent/1000</f>
        <v>16.2647839641228</v>
      </c>
      <c r="L9486" s="11" t="s">
        <v>744</v>
      </c>
    </row>
    <row r="9487" customFormat="false" ht="17.15" hidden="false" customHeight="false" outlineLevel="0" collapsed="false">
      <c r="A9487" s="1" t="s">
        <v>745</v>
      </c>
      <c r="B9487" s="0" t="s">
        <v>126</v>
      </c>
      <c r="D9487" s="7" t="n">
        <f aca="false">(Sens!C9470+Sens!D9470)/(Sens!C9471+Sens!D9471)</f>
        <v>0.6</v>
      </c>
      <c r="E9487" s="7" t="n">
        <f aca="false">(Sens!D9470+Sens!E9470)/(Sens!D9471+Sens!E9471)</f>
        <v>0.6</v>
      </c>
      <c r="F9487" s="7" t="n">
        <f aca="false">(Sens!E9470+Sens!F9470)/(Sens!E9471+Sens!F9471)</f>
        <v>0.6</v>
      </c>
      <c r="G9487" s="7" t="n">
        <f aca="false">(Sens!F9470+Sens!G9470)/(Sens!F9471+Sens!G9471)</f>
        <v>0.6</v>
      </c>
      <c r="H9487" s="7" t="n">
        <f aca="false">(Sens!G9470+Sens!H9470)/(Sens!G9471+Sens!H9471)</f>
        <v>0.6</v>
      </c>
      <c r="I9487" s="7" t="n">
        <f aca="false">(Sens!H9470+Sens!I9470)/(Sens!H9471+Sens!I9471)</f>
        <v>0.6</v>
      </c>
      <c r="J9487" s="7" t="n">
        <f aca="false">(Sens!I9470+Sens!J9470)/(Sens!I9471+Sens!J9471)</f>
        <v>0.6</v>
      </c>
      <c r="K9487" s="7" t="n">
        <f aca="false">(Sens!J9470+Sens!K9470)/(Sens!J9471+Sens!K9471)</f>
        <v>0.6</v>
      </c>
    </row>
    <row r="9488" customFormat="false" ht="17.15" hidden="false" customHeight="false" outlineLevel="0" collapsed="false">
      <c r="A9488" s="0" t="s">
        <v>746</v>
      </c>
      <c r="B9488" s="0" t="s">
        <v>95</v>
      </c>
      <c r="D9488" s="6" t="n">
        <f aca="false">Sens!D9482-Sens!D9487*(Sens!D9484+Sens!D9486)-Sens!D9485</f>
        <v>8.35701406163072</v>
      </c>
      <c r="E9488" s="6" t="n">
        <f aca="false">Sens!E9482-Sens!E9487*(Sens!E9484+Sens!E9486)-Sens!E9485</f>
        <v>18.7103224860238</v>
      </c>
      <c r="F9488" s="6" t="n">
        <f aca="false">Sens!F9482-Sens!F9487*(Sens!F9484+Sens!F9486)-Sens!F9485</f>
        <v>43.1278534047371</v>
      </c>
      <c r="G9488" s="6" t="n">
        <f aca="false">Sens!G9482-Sens!G9487*(Sens!G9484+Sens!G9486)-Sens!G9485</f>
        <v>78.4713023799053</v>
      </c>
      <c r="H9488" s="6" t="n">
        <f aca="false">Sens!H9482-Sens!H9487*(Sens!H9484+Sens!H9486)-Sens!H9485</f>
        <v>120.169624261219</v>
      </c>
      <c r="I9488" s="6" t="n">
        <f aca="false">Sens!I9482-Sens!I9487*(Sens!I9484+Sens!I9486)-Sens!I9485</f>
        <v>156.086713969963</v>
      </c>
      <c r="J9488" s="6" t="n">
        <f aca="false">Sens!J9482-Sens!J9487*(Sens!J9484+Sens!J9486)-Sens!J9485</f>
        <v>192.09687492465</v>
      </c>
      <c r="K9488" s="6" t="n">
        <f aca="false">Sens!K9482-Sens!K9487*(Sens!K9484+Sens!K9486)-Sens!K9485</f>
        <v>228.161785217179</v>
      </c>
    </row>
    <row r="9489" customFormat="false" ht="17.15" hidden="false" customHeight="false" outlineLevel="0" collapsed="false">
      <c r="A9489" s="1" t="s">
        <v>747</v>
      </c>
      <c r="B9489" s="0" t="s">
        <v>95</v>
      </c>
      <c r="D9489" s="6" t="n">
        <f aca="false">(1-Sens!D9487)*(Sens!D9484+Sens!D9486)</f>
        <v>1.42281025374069</v>
      </c>
      <c r="E9489" s="6" t="n">
        <f aca="false">(1-Sens!E9487)*(Sens!E9484+Sens!E9486)</f>
        <v>3.25095598674472</v>
      </c>
      <c r="F9489" s="6" t="n">
        <f aca="false">(1-Sens!F9487)*(Sens!F9484+Sens!F9486)</f>
        <v>6.53293055050977</v>
      </c>
      <c r="G9489" s="6" t="n">
        <f aca="false">(1-Sens!G9487)*(Sens!G9484+Sens!G9486)</f>
        <v>10.7846311741651</v>
      </c>
      <c r="H9489" s="6" t="n">
        <f aca="false">(1-Sens!H9487)*(Sens!H9484+Sens!H9486)</f>
        <v>15.26343050201</v>
      </c>
      <c r="I9489" s="6" t="n">
        <f aca="false">(1-Sens!I9487)*(Sens!I9484+Sens!I9486)</f>
        <v>19.7545570754104</v>
      </c>
      <c r="J9489" s="6" t="n">
        <f aca="false">(1-Sens!J9487)*(Sens!J9484+Sens!J9486)</f>
        <v>24.2521277113811</v>
      </c>
      <c r="K9489" s="6" t="n">
        <f aca="false">(1-Sens!K9487)*(Sens!K9484+Sens!K9486)</f>
        <v>28.7534890794427</v>
      </c>
    </row>
    <row r="9490" customFormat="false" ht="17.15" hidden="false" customHeight="false" outlineLevel="0" collapsed="false">
      <c r="A9490" s="1" t="s">
        <v>748</v>
      </c>
      <c r="B9490" s="0" t="s">
        <v>302</v>
      </c>
      <c r="C9490" s="8" t="n">
        <f aca="false">cxit_open</f>
        <v>27.5918995</v>
      </c>
      <c r="D9490" s="8" t="n">
        <f aca="false">cxit_open</f>
        <v>27.5918995</v>
      </c>
      <c r="E9490" s="8" t="n">
        <f aca="false">cxit_open</f>
        <v>27.5918995</v>
      </c>
      <c r="F9490" s="8" t="n">
        <f aca="false">(a_g3_27*tk_cxit_gb300+(1-a_g3_27)*tk_cxit_vr200)</f>
        <v>33.8419624</v>
      </c>
      <c r="G9490" s="8" t="n">
        <f aca="false">(a_g3_28*tk_cxit_gb300+(1-a_g3_28)*tk_cxit_vr200)</f>
        <v>35.9816136</v>
      </c>
      <c r="H9490" s="8" t="n">
        <f aca="false">(a_g3_29*tk_cxit_gb300+(1-a_g3_29)*tk_cxit_vr200)</f>
        <v>37.0514392</v>
      </c>
      <c r="I9490" s="8" t="n">
        <f aca="false">(a_g3_29*tk_cxit_gb300+(1-a_g3_29)*tk_cxit_vr200)</f>
        <v>37.0514392</v>
      </c>
      <c r="J9490" s="8" t="n">
        <f aca="false">(a_g3_29*tk_cxit_gb300+(1-a_g3_29)*tk_cxit_vr200)</f>
        <v>37.0514392</v>
      </c>
      <c r="K9490" s="8" t="n">
        <f aca="false">(a_g3_29*tk_cxit_gb300+(1-a_g3_29)*tk_cxit_vr200)</f>
        <v>37.0514392</v>
      </c>
      <c r="L9490" s="11" t="s">
        <v>749</v>
      </c>
    </row>
    <row r="9491" customFormat="false" ht="17.15" hidden="false" customHeight="false" outlineLevel="0" collapsed="false">
      <c r="A9491" s="0" t="s">
        <v>750</v>
      </c>
      <c r="B9491" s="0" t="s">
        <v>340</v>
      </c>
      <c r="F9491" s="27" t="n">
        <f aca="false">Sens!C9473*IF(3=life_it,1,0)+Sens!D9473*IF(2=life_it,1,0)+Sens!E9473*IF(1=life_it,1,0)</f>
        <v>0</v>
      </c>
      <c r="G9491" s="27" t="n">
        <f aca="false">Sens!C9473*IF(4=life_it,1,0)+Sens!D9473*IF(3=life_it,1,0)+Sens!E9473*IF(2=life_it,1,0)+Sens!F9473*IF(1=life_it,1,0)</f>
        <v>0</v>
      </c>
      <c r="H9491" s="27" t="n">
        <f aca="false">Sens!C9473*IF(5=life_it,1,0)+Sens!D9473*IF(4=life_it,1,0)+Sens!E9473*IF(3=life_it,1,0)+Sens!F9473*IF(2=life_it,1,0)+Sens!G9473*IF(1=life_it,1,0)</f>
        <v>0</v>
      </c>
      <c r="I9491" s="27" t="n">
        <f aca="false">Sens!C9473*IF(6=life_it,1,0)+Sens!D9473*IF(5=life_it,1,0)+Sens!E9473*IF(4=life_it,1,0)+Sens!F9473*IF(3=life_it,1,0)+Sens!G9473*IF(2=life_it,1,0)+Sens!H9473*IF(1=life_it,1,0)</f>
        <v>816.666666666667</v>
      </c>
      <c r="J9491" s="27" t="n">
        <f aca="false">Sens!C9473*IF(7=life_it,1,0)+Sens!D9473*IF(6=life_it,1,0)+Sens!E9473*IF(5=life_it,1,0)+Sens!F9473*IF(4=life_it,1,0)+Sens!G9473*IF(3=life_it,1,0)+Sens!H9473*IF(2=life_it,1,0)+Sens!I9473*IF(1=life_it,1,0)</f>
        <v>1233.33333333333</v>
      </c>
      <c r="K9491" s="27" t="n">
        <f aca="false">Sens!C9473*IF(8=life_it,1,0)+Sens!D9473*IF(7=life_it,1,0)+Sens!E9473*IF(6=life_it,1,0)+Sens!F9473*IF(5=life_it,1,0)+Sens!G9473*IF(4=life_it,1,0)+Sens!H9473*IF(3=life_it,1,0)+Sens!I9473*IF(2=life_it,1,0)+Sens!J9473*IF(1=life_it,1,0)</f>
        <v>2450</v>
      </c>
      <c r="L9491" s="1" t="s">
        <v>751</v>
      </c>
    </row>
    <row r="9492" customFormat="false" ht="17.15" hidden="false" customHeight="false" outlineLevel="0" collapsed="false">
      <c r="A9492" s="0" t="s">
        <v>752</v>
      </c>
      <c r="B9492" s="0" t="s">
        <v>95</v>
      </c>
      <c r="C9492" s="6" t="n">
        <f aca="false">Sens!C9473*Sens!C9490/1000</f>
        <v>22.5333845916667</v>
      </c>
      <c r="D9492" s="6" t="n">
        <f aca="false">Sens!D9473*Sens!D9490/1000</f>
        <v>34.0300093833333</v>
      </c>
      <c r="E9492" s="6" t="n">
        <f aca="false">Sens!E9473*Sens!E9490/1000</f>
        <v>67.600153775</v>
      </c>
      <c r="F9492" s="6" t="n">
        <f aca="false">(Sens!F9473+Sens!F9491)*Sens!F9490/1000</f>
        <v>130.923271871467</v>
      </c>
      <c r="G9492" s="6" t="n">
        <f aca="false">(Sens!G9473+Sens!G9491)*Sens!G9490/1000</f>
        <v>151.5545564832</v>
      </c>
      <c r="H9492" s="6" t="n">
        <f aca="false">(Sens!H9473+Sens!H9491)*Sens!H9490/1000</f>
        <v>156.0606619104</v>
      </c>
      <c r="I9492" s="6" t="n">
        <f aca="false">(Sens!I9473+Sens!I9491)*Sens!I9490/1000</f>
        <v>186.319337257067</v>
      </c>
      <c r="J9492" s="6" t="n">
        <f aca="false">(Sens!J9473+Sens!J9491)*Sens!J9490/1000</f>
        <v>201.757436923733</v>
      </c>
      <c r="K9492" s="6" t="n">
        <f aca="false">(Sens!K9473+Sens!K9491)*Sens!K9490/1000</f>
        <v>246.8366879504</v>
      </c>
    </row>
    <row r="9493" customFormat="false" ht="17.15" hidden="false" customHeight="false" outlineLevel="0" collapsed="false">
      <c r="A9493" s="0" t="s">
        <v>753</v>
      </c>
      <c r="B9493" s="0" t="s">
        <v>95</v>
      </c>
      <c r="C9493" s="6" t="n">
        <f aca="false">Sens!C9473*self_build*tk_cxfac/1000</f>
        <v>6.2083</v>
      </c>
      <c r="D9493" s="6" t="n">
        <f aca="false">Sens!D9473*self_build*tk_cxfac/1000</f>
        <v>9.3758</v>
      </c>
      <c r="E9493" s="6" t="n">
        <f aca="false">Sens!E9473*self_build*tk_cxfac/1000</f>
        <v>18.6249</v>
      </c>
      <c r="F9493" s="6" t="n">
        <f aca="false">Sens!F9473*self_build*tk_cxfac/1000</f>
        <v>29.409604</v>
      </c>
      <c r="G9493" s="6" t="n">
        <f aca="false">Sens!G9473*self_build*tk_cxfac/1000</f>
        <v>32.019624</v>
      </c>
      <c r="H9493" s="6" t="n">
        <f aca="false">Sens!H9473*self_build*tk_cxfac/1000</f>
        <v>32.019624</v>
      </c>
      <c r="I9493" s="6" t="n">
        <f aca="false">Sens!I9473*self_build*tk_cxfac/1000</f>
        <v>32.019624</v>
      </c>
      <c r="J9493" s="6" t="n">
        <f aca="false">Sens!J9473*self_build*tk_cxfac/1000</f>
        <v>32.019624</v>
      </c>
      <c r="K9493" s="6" t="n">
        <f aca="false">Sens!K9473*self_build*tk_cxfac/1000</f>
        <v>32.019624</v>
      </c>
    </row>
    <row r="9494" customFormat="false" ht="17.15" hidden="false" customHeight="false" outlineLevel="0" collapsed="false">
      <c r="A9494" s="0" t="s">
        <v>754</v>
      </c>
      <c r="B9494" s="0" t="s">
        <v>95</v>
      </c>
      <c r="F9494" s="6" t="n">
        <f aca="false">MAX(0,capex_floor27-Sens!F9492-Sens!F9493-Sens!F9581)</f>
        <v>8.13777689897088</v>
      </c>
      <c r="G9494" s="6" t="n">
        <f aca="false">0</f>
        <v>0</v>
      </c>
      <c r="H9494" s="6" t="n">
        <f aca="false">0</f>
        <v>0</v>
      </c>
      <c r="I9494" s="6" t="n">
        <f aca="false">0</f>
        <v>0</v>
      </c>
      <c r="J9494" s="6" t="n">
        <f aca="false">0</f>
        <v>0</v>
      </c>
      <c r="K9494" s="6" t="n">
        <f aca="false">0</f>
        <v>0</v>
      </c>
      <c r="L9494" s="1" t="s">
        <v>755</v>
      </c>
    </row>
    <row r="9495" customFormat="false" ht="17.15" hidden="false" customHeight="false" outlineLevel="0" collapsed="false">
      <c r="A9495" s="0" t="s">
        <v>756</v>
      </c>
      <c r="B9495" s="0" t="s">
        <v>95</v>
      </c>
      <c r="C9495" s="6" t="n">
        <f aca="false">Sens!C9492</f>
        <v>22.5333845916667</v>
      </c>
      <c r="D9495" s="6" t="n">
        <f aca="false">Sens!D9492</f>
        <v>34.0300093833333</v>
      </c>
      <c r="E9495" s="6" t="n">
        <f aca="false">Sens!E9492</f>
        <v>67.600153775</v>
      </c>
      <c r="F9495" s="6" t="n">
        <f aca="false">Sens!F9492+Sens!F9494</f>
        <v>139.061048770438</v>
      </c>
      <c r="G9495" s="6" t="n">
        <f aca="false">Sens!G9492+Sens!G9494</f>
        <v>151.5545564832</v>
      </c>
      <c r="H9495" s="6" t="n">
        <f aca="false">Sens!H9492+Sens!H9494</f>
        <v>156.0606619104</v>
      </c>
      <c r="I9495" s="6" t="n">
        <f aca="false">Sens!I9492+Sens!I9494</f>
        <v>186.319337257067</v>
      </c>
      <c r="J9495" s="6" t="n">
        <f aca="false">Sens!J9492+Sens!J9494</f>
        <v>201.757436923733</v>
      </c>
      <c r="K9495" s="6" t="n">
        <f aca="false">Sens!K9492+Sens!K9494</f>
        <v>246.8366879504</v>
      </c>
    </row>
    <row r="9496" customFormat="false" ht="17.15" hidden="false" customHeight="false" outlineLevel="0" collapsed="false">
      <c r="A9496" s="0" t="s">
        <v>757</v>
      </c>
      <c r="B9496" s="0" t="s">
        <v>95</v>
      </c>
      <c r="C9496" s="6" t="n">
        <f aca="false">Sens!C9495+Sens!C9493</f>
        <v>28.7416845916667</v>
      </c>
      <c r="D9496" s="6" t="n">
        <f aca="false">Sens!D9495+Sens!D9493</f>
        <v>43.4058093833333</v>
      </c>
      <c r="E9496" s="6" t="n">
        <f aca="false">Sens!E9495+Sens!E9493</f>
        <v>86.225053775</v>
      </c>
      <c r="F9496" s="6" t="n">
        <f aca="false">Sens!F9495+Sens!F9493</f>
        <v>168.470652770438</v>
      </c>
      <c r="G9496" s="6" t="n">
        <f aca="false">Sens!G9495+Sens!G9493</f>
        <v>183.5741804832</v>
      </c>
      <c r="H9496" s="6" t="n">
        <f aca="false">Sens!H9495+Sens!H9493</f>
        <v>188.0802859104</v>
      </c>
      <c r="I9496" s="6" t="n">
        <f aca="false">Sens!I9495+Sens!I9493</f>
        <v>218.338961257067</v>
      </c>
      <c r="J9496" s="6" t="n">
        <f aca="false">Sens!J9495+Sens!J9493</f>
        <v>233.777060923733</v>
      </c>
      <c r="K9496" s="6" t="n">
        <f aca="false">Sens!K9495+Sens!K9493</f>
        <v>278.8563119504</v>
      </c>
      <c r="L9496" s="11" t="s">
        <v>758</v>
      </c>
    </row>
    <row r="9497" customFormat="false" ht="17.15" hidden="false" customHeight="false" outlineLevel="0" collapsed="false">
      <c r="A9497" s="0" t="s">
        <v>759</v>
      </c>
      <c r="B9497" s="0" t="s">
        <v>95</v>
      </c>
      <c r="E9497" s="6" t="n">
        <f aca="false">(Sens!C9495*IF(2&lt;life_it,1,IF(2=life_it,0.5,0))+Sens!D9495*IF(1&lt;life_it,1,IF(1=life_it,0.5,0))+Sens!E9495*0.5)/life_it</f>
        <v>15.0605784770833</v>
      </c>
      <c r="F9497" s="6" t="n">
        <f aca="false">(Sens!C9495*IF(3&lt;life_it,1,IF(3=life_it,0.5,0))+Sens!D9495*IF(2&lt;life_it,1,IF(2=life_it,0.5,0))+Sens!E9495*IF(1&lt;life_it,1,IF(1=life_it,0.5,0))+Sens!F9495*0.5)/life_it</f>
        <v>32.2823453558698</v>
      </c>
      <c r="G9497" s="6" t="n">
        <f aca="false">(Sens!C9495*IF(4&lt;life_it,1,IF(4=life_it,0.5,0))+Sens!D9495*IF(3&lt;life_it,1,IF(3=life_it,0.5,0))+Sens!E9495*IF(2&lt;life_it,1,IF(2=life_it,0.5,0))+Sens!F9495*IF(1&lt;life_it,1,IF(1=life_it,0.5,0))+Sens!G9495*0.5)/life_it</f>
        <v>56.5003124603396</v>
      </c>
      <c r="H9497" s="6" t="n">
        <f aca="false">(Sens!C9495*IF(5&lt;life_it,1,IF(5=life_it,0.5,0))+Sens!D9495*IF(4&lt;life_it,1,IF(4=life_it,0.5,0))+Sens!E9495*IF(3&lt;life_it,1,IF(3=life_it,0.5,0))+Sens!F9495*IF(2&lt;life_it,1,IF(2=life_it,0.5,0))+Sens!G9495*IF(1&lt;life_it,1,IF(1=life_it,0.5,0))+Sens!H9495*0.5)/life_it</f>
        <v>82.1349139931396</v>
      </c>
      <c r="I9497" s="6" t="n">
        <f aca="false">(Sens!C9495*IF(6&lt;life_it,1,IF(6=life_it,0.5,0))+Sens!D9495*IF(5&lt;life_it,1,IF(5=life_it,0.5,0))+Sens!E9495*IF(4&lt;life_it,1,IF(4=life_it,0.5,0))+Sens!F9495*IF(3&lt;life_it,1,IF(3=life_it,0.5,0))+Sens!G9495*IF(2&lt;life_it,1,IF(2=life_it,0.5,0))+Sens!H9495*IF(1&lt;life_it,1,IF(1=life_it,0.5,0))+Sens!I9495*0.5)/life_it</f>
        <v>108.788798541123</v>
      </c>
      <c r="J9497" s="6" t="n">
        <f aca="false">(Sens!C9495*IF(7&lt;life_it,1,IF(7=life_it,0.5,0))+Sens!D9495*IF(6&lt;life_it,1,IF(6=life_it,0.5,0))+Sens!E9495*IF(5&lt;life_it,1,IF(5=life_it,0.5,0))+Sens!F9495*IF(4&lt;life_it,1,IF(4=life_it,0.5,0))+Sens!G9495*IF(3&lt;life_it,1,IF(3=life_it,0.5,0))+Sens!H9495*IF(2&lt;life_it,1,IF(2=life_it,0.5,0))+Sens!I9495*IF(1&lt;life_it,1,IF(1=life_it,0.5,0))+Sens!J9495*0.5)/life_it</f>
        <v>136.414913558273</v>
      </c>
      <c r="K9497" s="6" t="n">
        <f aca="false">(Sens!C9495*IF(8&lt;life_it,1,IF(8=life_it,0.5,0))+Sens!D9495*IF(7&lt;life_it,1,IF(7=life_it,0.5,0))+Sens!E9495*IF(6&lt;life_it,1,IF(6=life_it,0.5,0))+Sens!F9495*IF(5&lt;life_it,1,IF(5=life_it,0.5,0))+Sens!G9495*IF(4&lt;life_it,1,IF(4=life_it,0.5,0))+Sens!H9495*IF(3&lt;life_it,1,IF(3=life_it,0.5,0))+Sens!I9495*IF(2&lt;life_it,1,IF(2=life_it,0.5,0))+Sens!J9495*IF(1&lt;life_it,1,IF(1=life_it,0.5,0))+Sens!K9495*0.5)/life_it</f>
        <v>165.32857703459</v>
      </c>
    </row>
    <row r="9498" customFormat="false" ht="17.15" hidden="false" customHeight="false" outlineLevel="0" collapsed="false">
      <c r="A9498" s="0" t="s">
        <v>760</v>
      </c>
      <c r="B9498" s="0" t="s">
        <v>95</v>
      </c>
      <c r="E9498" s="6" t="n">
        <f aca="false">(Sens!C9493*IF(2&lt;life_fac,1,IF(2=life_fac,0.5,0))+Sens!D9493*IF(1&lt;life_fac,1,IF(1=life_fac,0.5,0))+Sens!E9493*0.5)/life_fac</f>
        <v>1.2448275</v>
      </c>
      <c r="F9498" s="6" t="n">
        <f aca="false">(Sens!C9493*IF(3&lt;life_fac,1,IF(3=life_fac,0.5,0))+Sens!D9493*IF(2&lt;life_fac,1,IF(2=life_fac,0.5,0))+Sens!E9493*IF(1&lt;life_fac,1,IF(1=life_fac,0.5,0))+Sens!F9493*0.5)/life_fac</f>
        <v>2.4456901</v>
      </c>
      <c r="G9498" s="6" t="n">
        <f aca="false">(Sens!C9493*IF(4&lt;life_fac,1,IF(4=life_fac,0.5,0))+Sens!D9493*IF(3&lt;life_fac,1,IF(3=life_fac,0.5,0))+Sens!E9493*IF(2&lt;life_fac,1,IF(2=life_fac,0.5,0))+Sens!F9493*IF(1&lt;life_fac,1,IF(1=life_fac,0.5,0))+Sens!G9493*0.5)/life_fac</f>
        <v>3.9814208</v>
      </c>
      <c r="H9498" s="6" t="n">
        <f aca="false">(Sens!C9493*IF(5&lt;life_fac,1,IF(5=life_fac,0.5,0))+Sens!D9493*IF(4&lt;life_fac,1,IF(4=life_fac,0.5,0))+Sens!E9493*IF(3&lt;life_fac,1,IF(3=life_fac,0.5,0))+Sens!F9493*IF(2&lt;life_fac,1,IF(2=life_fac,0.5,0))+Sens!G9493*IF(1&lt;life_fac,1,IF(1=life_fac,0.5,0))+Sens!H9493*0.5)/life_fac</f>
        <v>5.582402</v>
      </c>
      <c r="I9498" s="6" t="n">
        <f aca="false">(Sens!C9493*IF(6&lt;life_fac,1,IF(6=life_fac,0.5,0))+Sens!D9493*IF(5&lt;life_fac,1,IF(5=life_fac,0.5,0))+Sens!E9493*IF(4&lt;life_fac,1,IF(4=life_fac,0.5,0))+Sens!F9493*IF(3&lt;life_fac,1,IF(3=life_fac,0.5,0))+Sens!G9493*IF(2&lt;life_fac,1,IF(2=life_fac,0.5,0))+Sens!H9493*IF(1&lt;life_fac,1,IF(1=life_fac,0.5,0))+Sens!I9493*0.5)/life_fac</f>
        <v>7.1833832</v>
      </c>
      <c r="J9498" s="6" t="n">
        <f aca="false">(Sens!C9493*IF(7&lt;life_fac,1,IF(7=life_fac,0.5,0))+Sens!D9493*IF(6&lt;life_fac,1,IF(6=life_fac,0.5,0))+Sens!E9493*IF(5&lt;life_fac,1,IF(5=life_fac,0.5,0))+Sens!F9493*IF(4&lt;life_fac,1,IF(4=life_fac,0.5,0))+Sens!G9493*IF(3&lt;life_fac,1,IF(3=life_fac,0.5,0))+Sens!H9493*IF(2&lt;life_fac,1,IF(2=life_fac,0.5,0))+Sens!I9493*IF(1&lt;life_fac,1,IF(1=life_fac,0.5,0))+Sens!J9493*0.5)/life_fac</f>
        <v>8.7843644</v>
      </c>
      <c r="K9498" s="6" t="n">
        <f aca="false">(Sens!C9493*IF(8&lt;life_fac,1,IF(8=life_fac,0.5,0))+Sens!D9493*IF(7&lt;life_fac,1,IF(7=life_fac,0.5,0))+Sens!E9493*IF(6&lt;life_fac,1,IF(6=life_fac,0.5,0))+Sens!F9493*IF(5&lt;life_fac,1,IF(5=life_fac,0.5,0))+Sens!G9493*IF(4&lt;life_fac,1,IF(4=life_fac,0.5,0))+Sens!H9493*IF(3&lt;life_fac,1,IF(3=life_fac,0.5,0))+Sens!I9493*IF(2&lt;life_fac,1,IF(2=life_fac,0.5,0))+Sens!J9493*IF(1&lt;life_fac,1,IF(1=life_fac,0.5,0))+Sens!K9493*0.5)/life_fac</f>
        <v>10.3853456</v>
      </c>
    </row>
    <row r="9499" customFormat="false" ht="17.15" hidden="false" customHeight="false" outlineLevel="0" collapsed="false">
      <c r="A9499" s="0" t="s">
        <v>761</v>
      </c>
      <c r="B9499" s="0" t="s">
        <v>95</v>
      </c>
      <c r="E9499" s="6" t="n">
        <f aca="false">Sens!E9497+Sens!E9498</f>
        <v>16.3054059770833</v>
      </c>
      <c r="F9499" s="6" t="n">
        <f aca="false">Sens!F9497+Sens!F9498</f>
        <v>34.7280354558698</v>
      </c>
      <c r="G9499" s="6" t="n">
        <f aca="false">Sens!G9497+Sens!G9498</f>
        <v>60.4817332603396</v>
      </c>
      <c r="H9499" s="6" t="n">
        <f aca="false">Sens!H9497+Sens!H9498</f>
        <v>87.7173159931396</v>
      </c>
      <c r="I9499" s="6" t="n">
        <f aca="false">Sens!I9497+Sens!I9498</f>
        <v>115.972181741123</v>
      </c>
      <c r="J9499" s="6" t="n">
        <f aca="false">Sens!J9497+Sens!J9498</f>
        <v>145.199277958273</v>
      </c>
      <c r="K9499" s="6" t="n">
        <f aca="false">Sens!K9497+Sens!K9498</f>
        <v>175.71392263459</v>
      </c>
    </row>
    <row r="9500" customFormat="false" ht="17.15" hidden="false" customHeight="false" outlineLevel="0" collapsed="false">
      <c r="A9500" s="0" t="s">
        <v>762</v>
      </c>
      <c r="B9500" s="0" t="s">
        <v>95</v>
      </c>
      <c r="E9500" s="6" t="n">
        <f aca="false">Sens!E9488-Sens!E9487*Sens!E9499</f>
        <v>8.92707889977379</v>
      </c>
      <c r="F9500" s="6" t="n">
        <f aca="false">Sens!F9488-Sens!F9487*Sens!F9499</f>
        <v>22.2910321312152</v>
      </c>
      <c r="G9500" s="6" t="n">
        <f aca="false">Sens!G9488-Sens!G9487*Sens!G9499</f>
        <v>42.1822624237015</v>
      </c>
      <c r="H9500" s="6" t="n">
        <f aca="false">Sens!H9488-Sens!H9487*Sens!H9499</f>
        <v>67.5392346653351</v>
      </c>
      <c r="I9500" s="6" t="n">
        <f aca="false">Sens!I9488-Sens!I9487*Sens!I9499</f>
        <v>86.5034049252897</v>
      </c>
      <c r="J9500" s="6" t="n">
        <f aca="false">Sens!J9488-Sens!J9487*Sens!J9499</f>
        <v>104.977308149687</v>
      </c>
      <c r="K9500" s="6" t="n">
        <f aca="false">Sens!K9488-Sens!K9487*Sens!K9499</f>
        <v>122.733431636425</v>
      </c>
    </row>
    <row r="9501" customFormat="false" ht="17.15" hidden="false" customHeight="false" outlineLevel="0" collapsed="false">
      <c r="A9501" s="3" t="s">
        <v>1385</v>
      </c>
    </row>
    <row r="9502" customFormat="false" ht="15" hidden="false" customHeight="false" outlineLevel="0" collapsed="false">
      <c r="A9502" s="4" t="s">
        <v>43</v>
      </c>
      <c r="B9502" s="4" t="s">
        <v>63</v>
      </c>
      <c r="C9502" s="19" t="s">
        <v>710</v>
      </c>
      <c r="D9502" s="19" t="s">
        <v>711</v>
      </c>
      <c r="E9502" s="19" t="s">
        <v>712</v>
      </c>
      <c r="F9502" s="19" t="s">
        <v>713</v>
      </c>
      <c r="G9502" s="19" t="s">
        <v>714</v>
      </c>
      <c r="H9502" s="19" t="s">
        <v>715</v>
      </c>
      <c r="I9502" s="19" t="s">
        <v>716</v>
      </c>
      <c r="J9502" s="19" t="s">
        <v>717</v>
      </c>
      <c r="K9502" s="19" t="s">
        <v>718</v>
      </c>
      <c r="L9502" s="4" t="s">
        <v>47</v>
      </c>
    </row>
    <row r="9503" customFormat="false" ht="17.15" hidden="false" customHeight="false" outlineLevel="0" collapsed="false">
      <c r="A9503" s="0" t="s">
        <v>780</v>
      </c>
      <c r="B9503" s="0" t="s">
        <v>95</v>
      </c>
      <c r="D9503" s="6" t="n">
        <f aca="false">Sens!D9482</f>
        <v>12.9359794422418</v>
      </c>
      <c r="E9503" s="6" t="n">
        <f aca="false">Sens!E9482</f>
        <v>27.8095064661409</v>
      </c>
      <c r="F9503" s="6" t="n">
        <f aca="false">Sens!F9482</f>
        <v>58.7324192305018</v>
      </c>
      <c r="G9503" s="6" t="n">
        <f aca="false">Sens!G9482</f>
        <v>101.369089141153</v>
      </c>
      <c r="H9503" s="6" t="n">
        <f aca="false">Sens!H9482</f>
        <v>149.785610014234</v>
      </c>
      <c r="I9503" s="6" t="n">
        <f aca="false">Sens!I9482</f>
        <v>192.439389583079</v>
      </c>
      <c r="J9503" s="6" t="n">
        <f aca="false">Sens!J9482</f>
        <v>235.195906491722</v>
      </c>
      <c r="K9503" s="6" t="n">
        <f aca="false">Sens!K9482</f>
        <v>278.012858836343</v>
      </c>
    </row>
    <row r="9504" customFormat="false" ht="17.15" hidden="false" customHeight="false" outlineLevel="0" collapsed="false">
      <c r="A9504" s="0" t="s">
        <v>781</v>
      </c>
      <c r="B9504" s="0" t="s">
        <v>95</v>
      </c>
      <c r="D9504" s="6" t="n">
        <f aca="false">Q!L6-Sens!D9503</f>
        <v>59.6740205577583</v>
      </c>
      <c r="E9504" s="6" t="n">
        <f aca="false">Q!M6-Sens!E9503</f>
        <v>74.1284935338591</v>
      </c>
      <c r="F9504" s="6" t="n">
        <f aca="false">Sens!E9504*(1+Sens!F9505)</f>
        <v>90.0799497373663</v>
      </c>
      <c r="G9504" s="6" t="n">
        <f aca="false">Sens!F9504*(1+Sens!G9505)</f>
        <v>107.02842520331</v>
      </c>
      <c r="H9504" s="6" t="n">
        <f aca="false">Sens!G9504*(1+Sens!H9505)</f>
        <v>124.271982585636</v>
      </c>
      <c r="I9504" s="6" t="n">
        <f aca="false">Sens!H9504*(1+Sens!I9505)</f>
        <v>140.933702381855</v>
      </c>
      <c r="J9504" s="6" t="n">
        <f aca="false">Sens!I9504*(1+Sens!J9505)</f>
        <v>156.018867314332</v>
      </c>
      <c r="K9504" s="6" t="n">
        <f aca="false">Sens!J9504*(1+Sens!K9505)</f>
        <v>168.500376699478</v>
      </c>
    </row>
    <row r="9505" customFormat="false" ht="15" hidden="false" customHeight="false" outlineLevel="0" collapsed="false">
      <c r="A9505" s="1" t="s">
        <v>782</v>
      </c>
      <c r="B9505" s="0" t="s">
        <v>126</v>
      </c>
      <c r="E9505" s="7" t="n">
        <f aca="false">Sens!E9504/Sens!D9504-1</f>
        <v>0.242223883039864</v>
      </c>
      <c r="F9505" s="7" t="n">
        <f aca="false">Sens!$E$9505+(glt_azo-Sens!$E$9505)*MIN(1,1/n_conv)</f>
        <v>0.215186569199887</v>
      </c>
      <c r="G9505" s="7" t="n">
        <f aca="false">Sens!$E$9505+(glt_azo-Sens!$E$9505)*MIN(1,2/n_conv)</f>
        <v>0.18814925535991</v>
      </c>
      <c r="H9505" s="7" t="n">
        <f aca="false">Sens!$E$9505+(glt_azo-Sens!$E$9505)*MIN(1,3/n_conv)</f>
        <v>0.161111941519932</v>
      </c>
      <c r="I9505" s="7" t="n">
        <f aca="false">Sens!$E$9505+(glt_azo-Sens!$E$9505)*MIN(1,4/n_conv)</f>
        <v>0.134074627679955</v>
      </c>
      <c r="J9505" s="7" t="n">
        <f aca="false">Sens!$E$9505+(glt_azo-Sens!$E$9505)*MIN(1,5/n_conv)</f>
        <v>0.107037313839977</v>
      </c>
      <c r="K9505" s="7" t="n">
        <f aca="false">Sens!$E$9505+(glt_azo-Sens!$E$9505)*MIN(1,6/n_conv)</f>
        <v>0.08</v>
      </c>
    </row>
    <row r="9506" customFormat="false" ht="15" hidden="false" customHeight="false" outlineLevel="0" collapsed="false">
      <c r="A9506" s="0" t="s">
        <v>783</v>
      </c>
      <c r="B9506" s="0" t="s">
        <v>95</v>
      </c>
      <c r="D9506" s="6" t="n">
        <f aca="false">Sens!D9503+Sens!D9504</f>
        <v>72.61</v>
      </c>
      <c r="E9506" s="6" t="n">
        <f aca="false">Sens!E9503+Sens!E9504</f>
        <v>101.938</v>
      </c>
      <c r="F9506" s="6" t="n">
        <f aca="false">Sens!F9503+Sens!F9504</f>
        <v>148.812368967868</v>
      </c>
      <c r="G9506" s="6" t="n">
        <f aca="false">Sens!G9503+Sens!G9504</f>
        <v>208.397514344463</v>
      </c>
      <c r="H9506" s="6" t="n">
        <f aca="false">Sens!H9503+Sens!H9504</f>
        <v>274.05759259987</v>
      </c>
      <c r="I9506" s="6" t="n">
        <f aca="false">Sens!I9503+Sens!I9504</f>
        <v>333.373091964934</v>
      </c>
      <c r="J9506" s="6" t="n">
        <f aca="false">Sens!J9503+Sens!J9504</f>
        <v>391.214773806054</v>
      </c>
      <c r="K9506" s="6" t="n">
        <f aca="false">Sens!K9503+Sens!K9504</f>
        <v>446.513235535821</v>
      </c>
    </row>
    <row r="9507" customFormat="false" ht="17.15" hidden="false" customHeight="false" outlineLevel="0" collapsed="false">
      <c r="A9507" s="0" t="s">
        <v>784</v>
      </c>
      <c r="B9507" s="1" t="s">
        <v>451</v>
      </c>
      <c r="C9507" s="27" t="n">
        <f aca="false">cop_s24</f>
        <v>1</v>
      </c>
      <c r="D9507" s="27" t="n">
        <f aca="false">cop_s25</f>
        <v>5</v>
      </c>
      <c r="E9507" s="27" t="n">
        <f aca="false">cop_s26</f>
        <v>30</v>
      </c>
      <c r="F9507" s="27" t="n">
        <f aca="false">Sens!E9507+IF(2027&lt;=2029,cop_add_A,cop_add_A*cop_tail)</f>
        <v>60</v>
      </c>
      <c r="G9507" s="27" t="n">
        <f aca="false">Sens!F9507+IF(2028&lt;=2029,cop_add_A,cop_add_A*cop_tail)</f>
        <v>90</v>
      </c>
      <c r="H9507" s="27" t="n">
        <f aca="false">Sens!G9507+IF(2029&lt;=2029,cop_add_A,cop_add_A*cop_tail)</f>
        <v>120</v>
      </c>
      <c r="I9507" s="27" t="n">
        <f aca="false">Sens!H9507+IF(2030&lt;=2029,cop_add_A,cop_add_A*cop_tail)</f>
        <v>135</v>
      </c>
      <c r="J9507" s="27" t="n">
        <f aca="false">Sens!I9507+IF(2031&lt;=2029,cop_add_A,cop_add_A*cop_tail)</f>
        <v>150</v>
      </c>
      <c r="K9507" s="27" t="n">
        <f aca="false">Sens!J9507+IF(2032&lt;=2029,cop_add_A,cop_add_A*cop_tail)</f>
        <v>165</v>
      </c>
    </row>
    <row r="9508" customFormat="false" ht="17.15" hidden="false" customHeight="false" outlineLevel="0" collapsed="false">
      <c r="A9508" s="0" t="s">
        <v>785</v>
      </c>
      <c r="B9508" s="0" t="s">
        <v>95</v>
      </c>
      <c r="D9508" s="6" t="n">
        <f aca="false">(Sens!C9507+Sens!D9507)/2*cop_px*12/1000</f>
        <v>0.9</v>
      </c>
      <c r="E9508" s="6" t="n">
        <f aca="false">(Sens!D9507+Sens!E9507)/2*cop_px*12/1000</f>
        <v>5.25</v>
      </c>
      <c r="F9508" s="6" t="n">
        <f aca="false">(Sens!E9507+Sens!F9507)/2*cop_px*12/1000</f>
        <v>13.5</v>
      </c>
      <c r="G9508" s="6" t="n">
        <f aca="false">(Sens!F9507+Sens!G9507)/2*cop_px*12/1000</f>
        <v>22.5</v>
      </c>
      <c r="H9508" s="6" t="n">
        <f aca="false">(Sens!G9507+Sens!H9507)/2*cop_px*12/1000</f>
        <v>31.5</v>
      </c>
      <c r="I9508" s="6" t="n">
        <f aca="false">(Sens!H9507+Sens!I9507)/2*cop_px*12/1000</f>
        <v>38.25</v>
      </c>
      <c r="J9508" s="6" t="n">
        <f aca="false">(Sens!I9507+Sens!J9507)/2*cop_px*12/1000</f>
        <v>42.75</v>
      </c>
      <c r="K9508" s="6" t="n">
        <f aca="false">(Sens!J9507+Sens!K9507)/2*cop_px*12/1000</f>
        <v>47.25</v>
      </c>
      <c r="L9508" s="1" t="s">
        <v>786</v>
      </c>
    </row>
    <row r="9509" customFormat="false" ht="17.15" hidden="false" customHeight="false" outlineLevel="0" collapsed="false">
      <c r="A9509" s="0" t="s">
        <v>787</v>
      </c>
      <c r="B9509" s="0" t="s">
        <v>95</v>
      </c>
      <c r="D9509" s="6" t="n">
        <f aca="false">Q!L7-Sens!D9508</f>
        <v>83.705</v>
      </c>
      <c r="E9509" s="6" t="n">
        <f aca="false">Q!M7-Sens!E9508</f>
        <v>95.049</v>
      </c>
      <c r="F9509" s="6" t="n">
        <f aca="false">Sens!E9509*(1+Sens!F9510)</f>
        <v>106.89238776686</v>
      </c>
      <c r="G9509" s="6" t="n">
        <f aca="false">Sens!F9509*(1+Sens!G9510)</f>
        <v>119.044168448684</v>
      </c>
      <c r="H9509" s="6" t="n">
        <f aca="false">Sens!G9509*(1+Sens!H9510)</f>
        <v>131.277359388781</v>
      </c>
      <c r="I9509" s="6" t="n">
        <f aca="false">Sens!H9509*(1+Sens!I9510)</f>
        <v>143.334028071957</v>
      </c>
      <c r="J9509" s="6" t="n">
        <f aca="false">Sens!I9509*(1+Sens!J9510)</f>
        <v>154.932702785465</v>
      </c>
      <c r="K9509" s="6" t="n">
        <f aca="false">Sens!J9509*(1+Sens!K9510)</f>
        <v>165.777991980448</v>
      </c>
    </row>
    <row r="9510" customFormat="false" ht="15" hidden="false" customHeight="false" outlineLevel="0" collapsed="false">
      <c r="A9510" s="1" t="s">
        <v>782</v>
      </c>
      <c r="B9510" s="0" t="s">
        <v>126</v>
      </c>
      <c r="E9510" s="7" t="n">
        <f aca="false">Sens!E9509/Sens!D9509-1</f>
        <v>0.135523564900544</v>
      </c>
      <c r="F9510" s="7" t="n">
        <f aca="false">Sens!$E$9510+(glt_m365b-Sens!$E$9510)*MIN(1,1/n_conv)</f>
        <v>0.124602970750453</v>
      </c>
      <c r="G9510" s="7" t="n">
        <f aca="false">Sens!$E$9510+(glt_m365b-Sens!$E$9510)*MIN(1,2/n_conv)</f>
        <v>0.113682376600363</v>
      </c>
      <c r="H9510" s="7" t="n">
        <f aca="false">Sens!$E$9510+(glt_m365b-Sens!$E$9510)*MIN(1,3/n_conv)</f>
        <v>0.102761782450272</v>
      </c>
      <c r="I9510" s="7" t="n">
        <f aca="false">Sens!$E$9510+(glt_m365b-Sens!$E$9510)*MIN(1,4/n_conv)</f>
        <v>0.0918411883001813</v>
      </c>
      <c r="J9510" s="7" t="n">
        <f aca="false">Sens!$E$9510+(glt_m365b-Sens!$E$9510)*MIN(1,5/n_conv)</f>
        <v>0.0809205941500906</v>
      </c>
      <c r="K9510" s="7" t="n">
        <f aca="false">Sens!$E$9510+(glt_m365b-Sens!$E$9510)*MIN(1,6/n_conv)</f>
        <v>0.07</v>
      </c>
    </row>
    <row r="9511" customFormat="false" ht="15" hidden="false" customHeight="false" outlineLevel="0" collapsed="false">
      <c r="A9511" s="0" t="s">
        <v>788</v>
      </c>
      <c r="B9511" s="0" t="s">
        <v>95</v>
      </c>
      <c r="D9511" s="6" t="n">
        <f aca="false">Sens!D9509+Sens!D9508</f>
        <v>84.605</v>
      </c>
      <c r="E9511" s="6" t="n">
        <f aca="false">Sens!E9509+Sens!E9508</f>
        <v>100.299</v>
      </c>
      <c r="F9511" s="6" t="n">
        <f aca="false">Sens!F9509+Sens!F9508</f>
        <v>120.39238776686</v>
      </c>
      <c r="G9511" s="6" t="n">
        <f aca="false">Sens!G9509+Sens!G9508</f>
        <v>141.544168448684</v>
      </c>
      <c r="H9511" s="6" t="n">
        <f aca="false">Sens!H9509+Sens!H9508</f>
        <v>162.777359388781</v>
      </c>
      <c r="I9511" s="6" t="n">
        <f aca="false">Sens!I9509+Sens!I9508</f>
        <v>181.584028071957</v>
      </c>
      <c r="J9511" s="6" t="n">
        <f aca="false">Sens!J9509+Sens!J9508</f>
        <v>197.682702785465</v>
      </c>
      <c r="K9511" s="6" t="n">
        <f aca="false">Sens!K9509+Sens!K9508</f>
        <v>213.027991980448</v>
      </c>
    </row>
    <row r="9512" customFormat="false" ht="15" hidden="false" customHeight="false" outlineLevel="0" collapsed="false">
      <c r="A9512" s="0" t="s">
        <v>789</v>
      </c>
      <c r="B9512" s="0" t="s">
        <v>95</v>
      </c>
      <c r="D9512" s="6" t="n">
        <f aca="false">Q!L8</f>
        <v>35.391</v>
      </c>
      <c r="E9512" s="6" t="n">
        <f aca="false">Q!M8</f>
        <v>37.285</v>
      </c>
      <c r="F9512" s="6" t="n">
        <f aca="false">Sens!E9512*(1+Sens!F9513)</f>
        <v>39.0720834331704</v>
      </c>
      <c r="G9512" s="6" t="n">
        <f aca="false">Sens!F9512*(1+Sens!G9513)</f>
        <v>40.726562953769</v>
      </c>
      <c r="H9512" s="6" t="n">
        <f aca="false">Sens!G9512*(1+Sens!H9513)</f>
        <v>42.2235987259198</v>
      </c>
      <c r="I9512" s="6" t="n">
        <f aca="false">Sens!H9512*(1+Sens!I9513)</f>
        <v>43.5397988077414</v>
      </c>
      <c r="J9512" s="6" t="n">
        <f aca="false">Sens!I9512*(1+Sens!J9513)</f>
        <v>44.653811225693</v>
      </c>
      <c r="K9512" s="6" t="n">
        <f aca="false">Sens!J9512*(1+Sens!K9513)</f>
        <v>45.5468874502068</v>
      </c>
    </row>
    <row r="9513" customFormat="false" ht="15" hidden="false" customHeight="false" outlineLevel="0" collapsed="false">
      <c r="A9513" s="1" t="s">
        <v>782</v>
      </c>
      <c r="B9513" s="0" t="s">
        <v>126</v>
      </c>
      <c r="E9513" s="7" t="n">
        <f aca="false">Sens!E9512/Sens!D9512-1</f>
        <v>0.0535164307309768</v>
      </c>
      <c r="F9513" s="7" t="n">
        <f aca="false">Sens!$E$9513+(glt_lic-Sens!$E$9513)*MIN(1,1/n_conv)</f>
        <v>0.0479303589424807</v>
      </c>
      <c r="G9513" s="7" t="n">
        <f aca="false">Sens!$E$9513+(glt_lic-Sens!$E$9513)*MIN(1,2/n_conv)</f>
        <v>0.0423442871539845</v>
      </c>
      <c r="H9513" s="7" t="n">
        <f aca="false">Sens!$E$9513+(glt_lic-Sens!$E$9513)*MIN(1,3/n_conv)</f>
        <v>0.0367582153654884</v>
      </c>
      <c r="I9513" s="7" t="n">
        <f aca="false">Sens!$E$9513+(glt_lic-Sens!$E$9513)*MIN(1,4/n_conv)</f>
        <v>0.0311721435769923</v>
      </c>
      <c r="J9513" s="7" t="n">
        <f aca="false">Sens!$E$9513+(glt_lic-Sens!$E$9513)*MIN(1,5/n_conv)</f>
        <v>0.0255860717884961</v>
      </c>
      <c r="K9513" s="7" t="n">
        <f aca="false">Sens!$E$9513+(glt_lic-Sens!$E$9513)*MIN(1,6/n_conv)</f>
        <v>0.02</v>
      </c>
    </row>
    <row r="9514" customFormat="false" ht="15" hidden="false" customHeight="false" outlineLevel="0" collapsed="false">
      <c r="A9514" s="0" t="s">
        <v>790</v>
      </c>
      <c r="B9514" s="0" t="s">
        <v>95</v>
      </c>
      <c r="D9514" s="6" t="n">
        <f aca="false">Q!L9</f>
        <v>18.417</v>
      </c>
      <c r="E9514" s="6" t="n">
        <f aca="false">Q!M9</f>
        <v>20.345</v>
      </c>
      <c r="F9514" s="6" t="n">
        <f aca="false">Sens!E9514*(1+Sens!F9515)</f>
        <v>22.3572203267814</v>
      </c>
      <c r="G9514" s="6" t="n">
        <f aca="false">Sens!F9514*(1+Sens!G9515)</f>
        <v>24.4392124437232</v>
      </c>
      <c r="H9514" s="6" t="n">
        <f aca="false">Sens!G9514*(1+Sens!H9515)</f>
        <v>26.5738052080665</v>
      </c>
      <c r="I9514" s="6" t="n">
        <f aca="false">Sens!H9514*(1+Sens!I9515)</f>
        <v>28.7412169166967</v>
      </c>
      <c r="J9514" s="6" t="n">
        <f aca="false">Sens!I9514*(1+Sens!J9515)</f>
        <v>30.9192545395413</v>
      </c>
      <c r="K9514" s="6" t="n">
        <f aca="false">Sens!J9514*(1+Sens!K9515)</f>
        <v>33.0836023573092</v>
      </c>
    </row>
    <row r="9515" customFormat="false" ht="15" hidden="false" customHeight="false" outlineLevel="0" collapsed="false">
      <c r="A9515" s="1" t="s">
        <v>782</v>
      </c>
      <c r="B9515" s="0" t="s">
        <v>126</v>
      </c>
      <c r="E9515" s="7" t="n">
        <f aca="false">Sens!E9514/Sens!D9514-1</f>
        <v>0.104685888038225</v>
      </c>
      <c r="F9515" s="7" t="n">
        <f aca="false">Sens!$E$9515+(glt_ind-Sens!$E$9515)*MIN(1,1/n_conv)</f>
        <v>0.0989049066985211</v>
      </c>
      <c r="G9515" s="7" t="n">
        <f aca="false">Sens!$E$9515+(glt_ind-Sens!$E$9515)*MIN(1,2/n_conv)</f>
        <v>0.0931239253588169</v>
      </c>
      <c r="H9515" s="7" t="n">
        <f aca="false">Sens!$E$9515+(glt_ind-Sens!$E$9515)*MIN(1,3/n_conv)</f>
        <v>0.0873429440191127</v>
      </c>
      <c r="I9515" s="7" t="n">
        <f aca="false">Sens!$E$9515+(glt_ind-Sens!$E$9515)*MIN(1,4/n_conv)</f>
        <v>0.0815619626794085</v>
      </c>
      <c r="J9515" s="7" t="n">
        <f aca="false">Sens!$E$9515+(glt_ind-Sens!$E$9515)*MIN(1,5/n_conv)</f>
        <v>0.0757809813397042</v>
      </c>
      <c r="K9515" s="7" t="n">
        <f aca="false">Sens!$E$9515+(glt_ind-Sens!$E$9515)*MIN(1,6/n_conv)</f>
        <v>0.07</v>
      </c>
    </row>
    <row r="9516" customFormat="false" ht="15" hidden="false" customHeight="false" outlineLevel="0" collapsed="false">
      <c r="A9516" s="0" t="s">
        <v>791</v>
      </c>
      <c r="B9516" s="0" t="s">
        <v>95</v>
      </c>
      <c r="D9516" s="6" t="n">
        <f aca="false">Q!L10</f>
        <v>7.76</v>
      </c>
      <c r="E9516" s="6" t="n">
        <f aca="false">Q!M10</f>
        <v>8.26</v>
      </c>
      <c r="F9516" s="6" t="n">
        <f aca="false">Sens!E9516*(1+Sens!F9517)</f>
        <v>8.79988041237113</v>
      </c>
      <c r="G9516" s="6" t="n">
        <f aca="false">Sens!F9516*(1+Sens!G9517)</f>
        <v>9.38321269125306</v>
      </c>
      <c r="H9516" s="6" t="n">
        <f aca="false">Sens!G9516*(1+Sens!H9517)</f>
        <v>10.0139193587476</v>
      </c>
      <c r="I9516" s="6" t="n">
        <f aca="false">Sens!H9516*(1+Sens!I9517)</f>
        <v>10.6963111830911</v>
      </c>
      <c r="J9516" s="6" t="n">
        <f aca="false">Sens!I9516*(1+Sens!J9517)</f>
        <v>11.4351285534696</v>
      </c>
      <c r="K9516" s="6" t="n">
        <f aca="false">Sens!J9516*(1+Sens!K9517)</f>
        <v>12.2355875522124</v>
      </c>
    </row>
    <row r="9517" customFormat="false" ht="15" hidden="false" customHeight="false" outlineLevel="0" collapsed="false">
      <c r="A9517" s="1" t="s">
        <v>782</v>
      </c>
      <c r="B9517" s="0" t="s">
        <v>126</v>
      </c>
      <c r="E9517" s="7" t="n">
        <f aca="false">Sens!E9516/Sens!D9516-1</f>
        <v>0.0644329896907216</v>
      </c>
      <c r="F9517" s="7" t="n">
        <f aca="false">Sens!$E$9517+(glt_fro-Sens!$E$9517)*MIN(1,1/n_conv)</f>
        <v>0.065360824742268</v>
      </c>
      <c r="G9517" s="7" t="n">
        <f aca="false">Sens!$E$9517+(glt_fro-Sens!$E$9517)*MIN(1,2/n_conv)</f>
        <v>0.0662886597938144</v>
      </c>
      <c r="H9517" s="7" t="n">
        <f aca="false">Sens!$E$9517+(glt_fro-Sens!$E$9517)*MIN(1,3/n_conv)</f>
        <v>0.0672164948453608</v>
      </c>
      <c r="I9517" s="7" t="n">
        <f aca="false">Sens!$E$9517+(glt_fro-Sens!$E$9517)*MIN(1,4/n_conv)</f>
        <v>0.0681443298969072</v>
      </c>
      <c r="J9517" s="7" t="n">
        <f aca="false">Sens!$E$9517+(glt_fro-Sens!$E$9517)*MIN(1,5/n_conv)</f>
        <v>0.0690721649484536</v>
      </c>
      <c r="K9517" s="7" t="n">
        <f aca="false">Sens!$E$9517+(glt_fro-Sens!$E$9517)*MIN(1,6/n_conv)</f>
        <v>0.07</v>
      </c>
    </row>
    <row r="9518" customFormat="false" ht="15" hidden="false" customHeight="false" outlineLevel="0" collapsed="false">
      <c r="A9518" s="0" t="s">
        <v>626</v>
      </c>
      <c r="B9518" s="0" t="s">
        <v>95</v>
      </c>
      <c r="D9518" s="6" t="n">
        <f aca="false">Sens!D9506+Sens!D9511+Sens!D9512+Sens!D9514+Sens!D9516</f>
        <v>218.783</v>
      </c>
      <c r="E9518" s="6" t="n">
        <f aca="false">Sens!E9506+Sens!E9511+Sens!E9512+Sens!E9514+Sens!E9516</f>
        <v>268.127</v>
      </c>
      <c r="F9518" s="6" t="n">
        <f aca="false">Sens!F9506+Sens!F9511+Sens!F9512+Sens!F9514+Sens!F9516</f>
        <v>339.433940907051</v>
      </c>
      <c r="G9518" s="6" t="n">
        <f aca="false">Sens!G9506+Sens!G9511+Sens!G9512+Sens!G9514+Sens!G9516</f>
        <v>424.490670881892</v>
      </c>
      <c r="H9518" s="6" t="n">
        <f aca="false">Sens!H9506+Sens!H9511+Sens!H9512+Sens!H9514+Sens!H9516</f>
        <v>515.646275281385</v>
      </c>
      <c r="I9518" s="6" t="n">
        <f aca="false">Sens!I9506+Sens!I9511+Sens!I9512+Sens!I9514+Sens!I9516</f>
        <v>597.93444694442</v>
      </c>
      <c r="J9518" s="6" t="n">
        <f aca="false">Sens!J9506+Sens!J9511+Sens!J9512+Sens!J9514+Sens!J9516</f>
        <v>675.905670910223</v>
      </c>
      <c r="K9518" s="6" t="n">
        <f aca="false">Sens!K9506+Sens!K9511+Sens!K9512+Sens!K9514+Sens!K9516</f>
        <v>750.407304875998</v>
      </c>
    </row>
    <row r="9519" customFormat="false" ht="15" hidden="false" customHeight="false" outlineLevel="0" collapsed="false">
      <c r="A9519" s="0" t="s">
        <v>792</v>
      </c>
      <c r="B9519" s="0" t="s">
        <v>95</v>
      </c>
      <c r="D9519" s="6" t="n">
        <f aca="false">Q!L13</f>
        <v>22.171</v>
      </c>
      <c r="E9519" s="6" t="n">
        <f aca="false">Q!M13</f>
        <v>24.835</v>
      </c>
      <c r="F9519" s="6" t="n">
        <f aca="false">Sens!E9519*(1+Sens!F9520)</f>
        <v>27.6114901218559</v>
      </c>
      <c r="G9519" s="6" t="n">
        <f aca="false">Sens!F9519*(1+Sens!G9520)</f>
        <v>30.4675667338515</v>
      </c>
      <c r="H9519" s="6" t="n">
        <f aca="false">Sens!G9519*(1+Sens!H9520)</f>
        <v>33.3643766955789</v>
      </c>
      <c r="I9519" s="6" t="n">
        <f aca="false">Sens!H9519*(1+Sens!I9520)</f>
        <v>36.2577016533691</v>
      </c>
      <c r="J9519" s="6" t="n">
        <f aca="false">Sens!I9519*(1+Sens!J9520)</f>
        <v>39.0988367952171</v>
      </c>
      <c r="K9519" s="6" t="n">
        <f aca="false">Sens!J9519*(1+Sens!K9520)</f>
        <v>41.8357553708823</v>
      </c>
    </row>
    <row r="9520" customFormat="false" ht="15" hidden="false" customHeight="false" outlineLevel="0" collapsed="false">
      <c r="A9520" s="1" t="s">
        <v>782</v>
      </c>
      <c r="B9520" s="0" t="s">
        <v>126</v>
      </c>
      <c r="E9520" s="7" t="n">
        <f aca="false">Sens!E9519/Sens!D9519-1</f>
        <v>0.120156961796942</v>
      </c>
      <c r="F9520" s="7" t="n">
        <f aca="false">Sens!$E$9520+(glt_srch-Sens!$E$9520)*MIN(1,1/n_conv)</f>
        <v>0.111797468164118</v>
      </c>
      <c r="G9520" s="7" t="n">
        <f aca="false">Sens!$E$9520+(glt_srch-Sens!$E$9520)*MIN(1,2/n_conv)</f>
        <v>0.103437974531295</v>
      </c>
      <c r="H9520" s="7" t="n">
        <f aca="false">Sens!$E$9520+(glt_srch-Sens!$E$9520)*MIN(1,3/n_conv)</f>
        <v>0.095078480898471</v>
      </c>
      <c r="I9520" s="7" t="n">
        <f aca="false">Sens!$E$9520+(glt_srch-Sens!$E$9520)*MIN(1,4/n_conv)</f>
        <v>0.0867189872656474</v>
      </c>
      <c r="J9520" s="7" t="n">
        <f aca="false">Sens!$E$9520+(glt_srch-Sens!$E$9520)*MIN(1,5/n_conv)</f>
        <v>0.0783594936328237</v>
      </c>
      <c r="K9520" s="7" t="n">
        <f aca="false">Sens!$E$9520+(glt_srch-Sens!$E$9520)*MIN(1,6/n_conv)</f>
        <v>0.07</v>
      </c>
    </row>
    <row r="9521" customFormat="false" ht="15" hidden="false" customHeight="false" outlineLevel="0" collapsed="false">
      <c r="A9521" s="0" t="s">
        <v>793</v>
      </c>
      <c r="B9521" s="0" t="s">
        <v>95</v>
      </c>
      <c r="D9521" s="6" t="n">
        <f aca="false">Q!L14</f>
        <v>23.455</v>
      </c>
      <c r="E9521" s="6" t="n">
        <f aca="false">Q!M14</f>
        <v>21.79</v>
      </c>
      <c r="F9521" s="6" t="n">
        <f aca="false">Sens!E9521*(1+Sens!F9522)</f>
        <v>20.5736277908051</v>
      </c>
      <c r="G9521" s="6" t="n">
        <f aca="false">Sens!F9521*(1+Sens!G9522)</f>
        <v>19.7371452817919</v>
      </c>
      <c r="H9521" s="6" t="n">
        <f aca="false">Sens!G9521*(1+Sens!H9522)</f>
        <v>19.2339764043138</v>
      </c>
      <c r="I9521" s="6" t="n">
        <f aca="false">Sens!H9521*(1+Sens!I9522)</f>
        <v>19.0353086852681</v>
      </c>
      <c r="J9521" s="6" t="n">
        <f aca="false">Sens!I9521*(1+Sens!J9522)</f>
        <v>19.1273539319129</v>
      </c>
      <c r="K9521" s="6" t="n">
        <f aca="false">Sens!J9521*(1+Sens!K9522)</f>
        <v>19.5099010105511</v>
      </c>
    </row>
    <row r="9522" customFormat="false" ht="15" hidden="false" customHeight="false" outlineLevel="0" collapsed="false">
      <c r="A9522" s="1" t="s">
        <v>782</v>
      </c>
      <c r="B9522" s="0" t="s">
        <v>126</v>
      </c>
      <c r="E9522" s="7" t="n">
        <f aca="false">Sens!E9521/Sens!D9521-1</f>
        <v>-0.0709869963760392</v>
      </c>
      <c r="F9522" s="7" t="n">
        <f aca="false">Sens!$E$9522+(glt_xbox-Sens!$E$9522)*MIN(1,1/n_conv)</f>
        <v>-0.0558224969800327</v>
      </c>
      <c r="G9522" s="7" t="n">
        <f aca="false">Sens!$E$9522+(glt_xbox-Sens!$E$9522)*MIN(1,2/n_conv)</f>
        <v>-0.0406579975840262</v>
      </c>
      <c r="H9522" s="7" t="n">
        <f aca="false">Sens!$E$9522+(glt_xbox-Sens!$E$9522)*MIN(1,3/n_conv)</f>
        <v>-0.0254934981880196</v>
      </c>
      <c r="I9522" s="7" t="n">
        <f aca="false">Sens!$E$9522+(glt_xbox-Sens!$E$9522)*MIN(1,4/n_conv)</f>
        <v>-0.0103289987920131</v>
      </c>
      <c r="J9522" s="7" t="n">
        <f aca="false">Sens!$E$9522+(glt_xbox-Sens!$E$9522)*MIN(1,5/n_conv)</f>
        <v>0.00483550060399347</v>
      </c>
      <c r="K9522" s="7" t="n">
        <f aca="false">Sens!$E$9522+(glt_xbox-Sens!$E$9522)*MIN(1,6/n_conv)</f>
        <v>0.02</v>
      </c>
    </row>
    <row r="9523" customFormat="false" ht="15" hidden="false" customHeight="false" outlineLevel="0" collapsed="false">
      <c r="A9523" s="0" t="s">
        <v>794</v>
      </c>
      <c r="B9523" s="0" t="s">
        <v>95</v>
      </c>
      <c r="D9523" s="6" t="n">
        <f aca="false">Q!L15</f>
        <v>17.315</v>
      </c>
      <c r="E9523" s="6" t="n">
        <f aca="false">Q!M15</f>
        <v>17.087</v>
      </c>
      <c r="F9523" s="6" t="n">
        <f aca="false">Sens!E9523*(1+Sens!F9524)</f>
        <v>16.9564585436519</v>
      </c>
      <c r="G9523" s="6" t="n">
        <f aca="false">Sens!F9523*(1+Sens!G9524)</f>
        <v>16.9206490624268</v>
      </c>
      <c r="H9523" s="6" t="n">
        <f aca="false">Sens!G9523*(1+Sens!H9524)</f>
        <v>16.9784519149849</v>
      </c>
      <c r="I9523" s="6" t="n">
        <f aca="false">Sens!H9523*(1+Sens!I9524)</f>
        <v>17.1303084701817</v>
      </c>
      <c r="J9523" s="6" t="n">
        <f aca="false">Sens!I9523*(1+Sens!J9524)</f>
        <v>17.3782189407267</v>
      </c>
      <c r="K9523" s="6" t="n">
        <f aca="false">Sens!J9523*(1+Sens!K9524)</f>
        <v>17.7257833195413</v>
      </c>
    </row>
    <row r="9524" customFormat="false" ht="15" hidden="false" customHeight="false" outlineLevel="0" collapsed="false">
      <c r="A9524" s="1" t="s">
        <v>782</v>
      </c>
      <c r="B9524" s="0" t="s">
        <v>126</v>
      </c>
      <c r="E9524" s="7" t="n">
        <f aca="false">Sens!E9523/Sens!D9523-1</f>
        <v>-0.0131677736066995</v>
      </c>
      <c r="F9524" s="7" t="n">
        <f aca="false">Sens!$E$9524+(glt_win-Sens!$E$9524)*MIN(1,1/n_conv)</f>
        <v>-0.00763981133891627</v>
      </c>
      <c r="G9524" s="7" t="n">
        <f aca="false">Sens!$E$9524+(glt_win-Sens!$E$9524)*MIN(1,2/n_conv)</f>
        <v>-0.00211184907113301</v>
      </c>
      <c r="H9524" s="7" t="n">
        <f aca="false">Sens!$E$9524+(glt_win-Sens!$E$9524)*MIN(1,3/n_conv)</f>
        <v>0.00341611319665024</v>
      </c>
      <c r="I9524" s="7" t="n">
        <f aca="false">Sens!$E$9524+(glt_win-Sens!$E$9524)*MIN(1,4/n_conv)</f>
        <v>0.00894407546443349</v>
      </c>
      <c r="J9524" s="7" t="n">
        <f aca="false">Sens!$E$9524+(glt_win-Sens!$E$9524)*MIN(1,5/n_conv)</f>
        <v>0.0144720377322168</v>
      </c>
      <c r="K9524" s="7" t="n">
        <f aca="false">Sens!$E$9524+(glt_win-Sens!$E$9524)*MIN(1,6/n_conv)</f>
        <v>0.02</v>
      </c>
    </row>
    <row r="9525" customFormat="false" ht="15" hidden="false" customHeight="false" outlineLevel="0" collapsed="false">
      <c r="A9525" s="0" t="s">
        <v>640</v>
      </c>
      <c r="B9525" s="0" t="s">
        <v>95</v>
      </c>
      <c r="D9525" s="6" t="n">
        <f aca="false">Sens!D9519+Sens!D9521+Sens!D9523</f>
        <v>62.941</v>
      </c>
      <c r="E9525" s="6" t="n">
        <f aca="false">Sens!E9519+Sens!E9521+Sens!E9523</f>
        <v>63.712</v>
      </c>
      <c r="F9525" s="6" t="n">
        <f aca="false">Sens!F9519+Sens!F9521+Sens!F9523</f>
        <v>65.1415764563129</v>
      </c>
      <c r="G9525" s="6" t="n">
        <f aca="false">Sens!G9519+Sens!G9521+Sens!G9523</f>
        <v>67.1253610780702</v>
      </c>
      <c r="H9525" s="6" t="n">
        <f aca="false">Sens!H9519+Sens!H9521+Sens!H9523</f>
        <v>69.5768050148776</v>
      </c>
      <c r="I9525" s="6" t="n">
        <f aca="false">Sens!I9519+Sens!I9521+Sens!I9523</f>
        <v>72.4233188088189</v>
      </c>
      <c r="J9525" s="6" t="n">
        <f aca="false">Sens!J9519+Sens!J9521+Sens!J9523</f>
        <v>75.6044096678567</v>
      </c>
      <c r="K9525" s="6" t="n">
        <f aca="false">Sens!K9519+Sens!K9521+Sens!K9523</f>
        <v>79.0714397009747</v>
      </c>
    </row>
    <row r="9526" customFormat="false" ht="15" hidden="false" customHeight="false" outlineLevel="0" collapsed="false">
      <c r="A9526" s="1" t="s">
        <v>795</v>
      </c>
      <c r="B9526" s="0" t="s">
        <v>95</v>
      </c>
      <c r="D9526" s="6" t="n">
        <f aca="false">Sens!D9518+Sens!D9525</f>
        <v>281.724</v>
      </c>
      <c r="E9526" s="6" t="n">
        <f aca="false">Sens!E9518+Sens!E9525</f>
        <v>331.839</v>
      </c>
      <c r="F9526" s="6" t="n">
        <f aca="false">Sens!F9518+Sens!F9525</f>
        <v>404.575517363364</v>
      </c>
      <c r="G9526" s="6" t="n">
        <f aca="false">Sens!G9518+Sens!G9525</f>
        <v>491.616031959962</v>
      </c>
      <c r="H9526" s="6" t="n">
        <f aca="false">Sens!H9518+Sens!H9525</f>
        <v>585.223080296262</v>
      </c>
      <c r="I9526" s="6" t="n">
        <f aca="false">Sens!I9518+Sens!I9525</f>
        <v>670.357765753239</v>
      </c>
      <c r="J9526" s="6" t="n">
        <f aca="false">Sens!J9518+Sens!J9525</f>
        <v>751.510080578079</v>
      </c>
      <c r="K9526" s="6" t="n">
        <f aca="false">Sens!K9518+Sens!K9525</f>
        <v>829.478744576972</v>
      </c>
    </row>
    <row r="9527" customFormat="false" ht="15" hidden="false" customHeight="false" outlineLevel="0" collapsed="false">
      <c r="A9527" s="22" t="s">
        <v>796</v>
      </c>
      <c r="B9527" s="28" t="s">
        <v>95</v>
      </c>
      <c r="C9527" s="28"/>
      <c r="D9527" s="23" t="n">
        <f aca="false">(Sens!D9506+Sens!D9511+Sens!D9512+Sens!D9514+Sens!D9516-Sens!D9518)+(Sens!D9519+Sens!D9521+Sens!D9523-Sens!D9525)+(Sens!D9518-Q!L5)+(Sens!D9525-Q!L12)+(Sens!D9506-Q!L6)+(Sens!D9511-Q!L7)</f>
        <v>0</v>
      </c>
      <c r="E9527" s="23" t="n">
        <f aca="false">(Sens!E9506+Sens!E9511+Sens!E9512+Sens!E9514+Sens!E9516-Sens!E9518)+(Sens!E9519+Sens!E9521+Sens!E9523-Sens!E9525)+(Sens!E9518-Q!M5)+(Sens!E9525-Q!M12)+(Sens!E9506-Q!M6)+(Sens!E9511-Q!M7)</f>
        <v>0</v>
      </c>
      <c r="F9527" s="23" t="n">
        <f aca="false">(Sens!F9506+Sens!F9511+Sens!F9512+Sens!F9514+Sens!F9516-Sens!F9518)+(Sens!F9519+Sens!F9521+Sens!F9523-Sens!F9525)</f>
        <v>0</v>
      </c>
      <c r="G9527" s="23" t="n">
        <f aca="false">(Sens!G9506+Sens!G9511+Sens!G9512+Sens!G9514+Sens!G9516-Sens!G9518)+(Sens!G9519+Sens!G9521+Sens!G9523-Sens!G9525)</f>
        <v>0</v>
      </c>
      <c r="H9527" s="23" t="n">
        <f aca="false">(Sens!H9506+Sens!H9511+Sens!H9512+Sens!H9514+Sens!H9516-Sens!H9518)+(Sens!H9519+Sens!H9521+Sens!H9523-Sens!H9525)</f>
        <v>0</v>
      </c>
      <c r="I9527" s="23" t="n">
        <f aca="false">(Sens!I9506+Sens!I9511+Sens!I9512+Sens!I9514+Sens!I9516-Sens!I9518)+(Sens!I9519+Sens!I9521+Sens!I9523-Sens!I9525)</f>
        <v>0</v>
      </c>
      <c r="J9527" s="23" t="n">
        <f aca="false">(Sens!J9506+Sens!J9511+Sens!J9512+Sens!J9514+Sens!J9516-Sens!J9518)+(Sens!J9519+Sens!J9521+Sens!J9523-Sens!J9525)</f>
        <v>0</v>
      </c>
      <c r="K9527" s="23" t="n">
        <f aca="false">(Sens!K9506+Sens!K9511+Sens!K9512+Sens!K9514+Sens!K9516-Sens!K9518)+(Sens!K9519+Sens!K9521+Sens!K9523-Sens!K9525)</f>
        <v>0</v>
      </c>
    </row>
    <row r="9528" customFormat="false" ht="17.15" hidden="false" customHeight="false" outlineLevel="0" collapsed="false">
      <c r="A9528" s="3" t="s">
        <v>1386</v>
      </c>
    </row>
    <row r="9529" customFormat="false" ht="15" hidden="false" customHeight="false" outlineLevel="0" collapsed="false">
      <c r="A9529" s="4" t="s">
        <v>43</v>
      </c>
      <c r="B9529" s="4" t="s">
        <v>63</v>
      </c>
      <c r="C9529" s="19" t="s">
        <v>710</v>
      </c>
      <c r="D9529" s="19" t="s">
        <v>711</v>
      </c>
      <c r="E9529" s="19" t="s">
        <v>712</v>
      </c>
      <c r="F9529" s="19" t="s">
        <v>713</v>
      </c>
      <c r="G9529" s="19" t="s">
        <v>714</v>
      </c>
      <c r="H9529" s="19" t="s">
        <v>715</v>
      </c>
      <c r="I9529" s="19" t="s">
        <v>716</v>
      </c>
      <c r="J9529" s="19" t="s">
        <v>717</v>
      </c>
      <c r="K9529" s="19" t="s">
        <v>718</v>
      </c>
      <c r="L9529" s="4" t="s">
        <v>47</v>
      </c>
    </row>
    <row r="9530" customFormat="false" ht="15" hidden="false" customHeight="false" outlineLevel="0" collapsed="false">
      <c r="A9530" s="0" t="s">
        <v>783</v>
      </c>
      <c r="B9530" s="0" t="s">
        <v>95</v>
      </c>
      <c r="D9530" s="6" t="n">
        <f aca="false">Sens!D9506</f>
        <v>72.61</v>
      </c>
      <c r="E9530" s="6" t="n">
        <f aca="false">Sens!E9506</f>
        <v>101.938</v>
      </c>
      <c r="F9530" s="6" t="n">
        <f aca="false">Sens!F9506</f>
        <v>148.812368967868</v>
      </c>
      <c r="G9530" s="6" t="n">
        <f aca="false">Sens!G9506</f>
        <v>208.397514344463</v>
      </c>
      <c r="H9530" s="6" t="n">
        <f aca="false">Sens!H9506</f>
        <v>274.05759259987</v>
      </c>
      <c r="I9530" s="6" t="n">
        <f aca="false">Sens!I9506</f>
        <v>333.373091964934</v>
      </c>
      <c r="J9530" s="6" t="n">
        <f aca="false">Sens!J9506</f>
        <v>391.214773806054</v>
      </c>
      <c r="K9530" s="6" t="n">
        <f aca="false">Sens!K9506</f>
        <v>446.513235535821</v>
      </c>
    </row>
    <row r="9531" customFormat="false" ht="17.15" hidden="false" customHeight="false" outlineLevel="0" collapsed="false">
      <c r="A9531" s="0" t="s">
        <v>780</v>
      </c>
      <c r="B9531" s="0" t="s">
        <v>95</v>
      </c>
      <c r="D9531" s="6" t="n">
        <f aca="false">Sens!D9503</f>
        <v>12.9359794422418</v>
      </c>
      <c r="E9531" s="6" t="n">
        <f aca="false">Sens!E9503</f>
        <v>27.8095064661409</v>
      </c>
      <c r="F9531" s="6" t="n">
        <f aca="false">Sens!F9503</f>
        <v>58.7324192305018</v>
      </c>
      <c r="G9531" s="6" t="n">
        <f aca="false">Sens!G9503</f>
        <v>101.369089141153</v>
      </c>
      <c r="H9531" s="6" t="n">
        <f aca="false">Sens!H9503</f>
        <v>149.785610014234</v>
      </c>
      <c r="I9531" s="6" t="n">
        <f aca="false">Sens!I9503</f>
        <v>192.439389583079</v>
      </c>
      <c r="J9531" s="6" t="n">
        <f aca="false">Sens!J9503</f>
        <v>235.195906491722</v>
      </c>
      <c r="K9531" s="6" t="n">
        <f aca="false">Sens!K9503</f>
        <v>278.012858836343</v>
      </c>
    </row>
    <row r="9532" customFormat="false" ht="17.15" hidden="false" customHeight="false" outlineLevel="0" collapsed="false">
      <c r="A9532" s="0" t="s">
        <v>807</v>
      </c>
      <c r="B9532" s="0" t="s">
        <v>95</v>
      </c>
      <c r="D9532" s="6" t="n">
        <f aca="false">Sens!D9504</f>
        <v>59.6740205577583</v>
      </c>
      <c r="E9532" s="6" t="n">
        <f aca="false">Sens!E9504</f>
        <v>74.1284935338591</v>
      </c>
      <c r="F9532" s="6" t="n">
        <f aca="false">Sens!F9504</f>
        <v>90.0799497373663</v>
      </c>
      <c r="G9532" s="6" t="n">
        <f aca="false">Sens!G9504</f>
        <v>107.02842520331</v>
      </c>
      <c r="H9532" s="6" t="n">
        <f aca="false">Sens!H9504</f>
        <v>124.271982585636</v>
      </c>
      <c r="I9532" s="6" t="n">
        <f aca="false">Sens!I9504</f>
        <v>140.933702381855</v>
      </c>
      <c r="J9532" s="6" t="n">
        <f aca="false">Sens!J9504</f>
        <v>156.018867314332</v>
      </c>
      <c r="K9532" s="6" t="n">
        <f aca="false">Sens!K9504</f>
        <v>168.500376699478</v>
      </c>
    </row>
    <row r="9533" customFormat="false" ht="15" hidden="false" customHeight="false" outlineLevel="0" collapsed="false">
      <c r="A9533" s="0" t="s">
        <v>788</v>
      </c>
      <c r="B9533" s="0" t="s">
        <v>95</v>
      </c>
      <c r="D9533" s="6" t="n">
        <f aca="false">Sens!D9511</f>
        <v>84.605</v>
      </c>
      <c r="E9533" s="6" t="n">
        <f aca="false">Sens!E9511</f>
        <v>100.299</v>
      </c>
      <c r="F9533" s="6" t="n">
        <f aca="false">Sens!F9511</f>
        <v>120.39238776686</v>
      </c>
      <c r="G9533" s="6" t="n">
        <f aca="false">Sens!G9511</f>
        <v>141.544168448684</v>
      </c>
      <c r="H9533" s="6" t="n">
        <f aca="false">Sens!H9511</f>
        <v>162.777359388781</v>
      </c>
      <c r="I9533" s="6" t="n">
        <f aca="false">Sens!I9511</f>
        <v>181.584028071957</v>
      </c>
      <c r="J9533" s="6" t="n">
        <f aca="false">Sens!J9511</f>
        <v>197.682702785465</v>
      </c>
      <c r="K9533" s="6" t="n">
        <f aca="false">Sens!K9511</f>
        <v>213.027991980448</v>
      </c>
    </row>
    <row r="9534" customFormat="false" ht="17.15" hidden="false" customHeight="false" outlineLevel="0" collapsed="false">
      <c r="A9534" s="0" t="s">
        <v>808</v>
      </c>
      <c r="B9534" s="0" t="s">
        <v>95</v>
      </c>
      <c r="D9534" s="6" t="n">
        <f aca="false">Sens!D9509</f>
        <v>83.705</v>
      </c>
      <c r="E9534" s="6" t="n">
        <f aca="false">Sens!E9509</f>
        <v>95.049</v>
      </c>
      <c r="F9534" s="6" t="n">
        <f aca="false">Sens!F9509</f>
        <v>106.89238776686</v>
      </c>
      <c r="G9534" s="6" t="n">
        <f aca="false">Sens!G9509</f>
        <v>119.044168448684</v>
      </c>
      <c r="H9534" s="6" t="n">
        <f aca="false">Sens!H9509</f>
        <v>131.277359388781</v>
      </c>
      <c r="I9534" s="6" t="n">
        <f aca="false">Sens!I9509</f>
        <v>143.334028071957</v>
      </c>
      <c r="J9534" s="6" t="n">
        <f aca="false">Sens!J9509</f>
        <v>154.932702785465</v>
      </c>
      <c r="K9534" s="6" t="n">
        <f aca="false">Sens!K9509</f>
        <v>165.777991980448</v>
      </c>
    </row>
    <row r="9535" customFormat="false" ht="17.15" hidden="false" customHeight="false" outlineLevel="0" collapsed="false">
      <c r="A9535" s="0" t="s">
        <v>809</v>
      </c>
      <c r="B9535" s="0" t="s">
        <v>95</v>
      </c>
      <c r="D9535" s="6" t="n">
        <f aca="false">Sens!D9508</f>
        <v>0.9</v>
      </c>
      <c r="E9535" s="6" t="n">
        <f aca="false">Sens!E9508</f>
        <v>5.25</v>
      </c>
      <c r="F9535" s="6" t="n">
        <f aca="false">Sens!F9508</f>
        <v>13.5</v>
      </c>
      <c r="G9535" s="6" t="n">
        <f aca="false">Sens!G9508</f>
        <v>22.5</v>
      </c>
      <c r="H9535" s="6" t="n">
        <f aca="false">Sens!H9508</f>
        <v>31.5</v>
      </c>
      <c r="I9535" s="6" t="n">
        <f aca="false">Sens!I9508</f>
        <v>38.25</v>
      </c>
      <c r="J9535" s="6" t="n">
        <f aca="false">Sens!J9508</f>
        <v>42.75</v>
      </c>
      <c r="K9535" s="6" t="n">
        <f aca="false">Sens!K9508</f>
        <v>47.25</v>
      </c>
    </row>
    <row r="9536" customFormat="false" ht="15" hidden="false" customHeight="false" outlineLevel="0" collapsed="false">
      <c r="A9536" s="0" t="s">
        <v>789</v>
      </c>
      <c r="B9536" s="0" t="s">
        <v>95</v>
      </c>
      <c r="D9536" s="6" t="n">
        <f aca="false">Sens!D9512</f>
        <v>35.391</v>
      </c>
      <c r="E9536" s="6" t="n">
        <f aca="false">Sens!E9512</f>
        <v>37.285</v>
      </c>
      <c r="F9536" s="6" t="n">
        <f aca="false">Sens!F9512</f>
        <v>39.0720834331704</v>
      </c>
      <c r="G9536" s="6" t="n">
        <f aca="false">Sens!G9512</f>
        <v>40.726562953769</v>
      </c>
      <c r="H9536" s="6" t="n">
        <f aca="false">Sens!H9512</f>
        <v>42.2235987259198</v>
      </c>
      <c r="I9536" s="6" t="n">
        <f aca="false">Sens!I9512</f>
        <v>43.5397988077414</v>
      </c>
      <c r="J9536" s="6" t="n">
        <f aca="false">Sens!J9512</f>
        <v>44.653811225693</v>
      </c>
      <c r="K9536" s="6" t="n">
        <f aca="false">Sens!K9512</f>
        <v>45.5468874502068</v>
      </c>
    </row>
    <row r="9537" customFormat="false" ht="15" hidden="false" customHeight="false" outlineLevel="0" collapsed="false">
      <c r="A9537" s="0" t="s">
        <v>790</v>
      </c>
      <c r="B9537" s="0" t="s">
        <v>95</v>
      </c>
      <c r="D9537" s="6" t="n">
        <f aca="false">Sens!D9514</f>
        <v>18.417</v>
      </c>
      <c r="E9537" s="6" t="n">
        <f aca="false">Sens!E9514</f>
        <v>20.345</v>
      </c>
      <c r="F9537" s="6" t="n">
        <f aca="false">Sens!F9514</f>
        <v>22.3572203267814</v>
      </c>
      <c r="G9537" s="6" t="n">
        <f aca="false">Sens!G9514</f>
        <v>24.4392124437232</v>
      </c>
      <c r="H9537" s="6" t="n">
        <f aca="false">Sens!H9514</f>
        <v>26.5738052080665</v>
      </c>
      <c r="I9537" s="6" t="n">
        <f aca="false">Sens!I9514</f>
        <v>28.7412169166967</v>
      </c>
      <c r="J9537" s="6" t="n">
        <f aca="false">Sens!J9514</f>
        <v>30.9192545395413</v>
      </c>
      <c r="K9537" s="6" t="n">
        <f aca="false">Sens!K9514</f>
        <v>33.0836023573092</v>
      </c>
    </row>
    <row r="9538" customFormat="false" ht="15" hidden="false" customHeight="false" outlineLevel="0" collapsed="false">
      <c r="A9538" s="0" t="s">
        <v>791</v>
      </c>
      <c r="B9538" s="0" t="s">
        <v>95</v>
      </c>
      <c r="D9538" s="6" t="n">
        <f aca="false">Sens!D9516</f>
        <v>7.76</v>
      </c>
      <c r="E9538" s="6" t="n">
        <f aca="false">Sens!E9516</f>
        <v>8.26</v>
      </c>
      <c r="F9538" s="6" t="n">
        <f aca="false">Sens!F9516</f>
        <v>8.79988041237113</v>
      </c>
      <c r="G9538" s="6" t="n">
        <f aca="false">Sens!G9516</f>
        <v>9.38321269125306</v>
      </c>
      <c r="H9538" s="6" t="n">
        <f aca="false">Sens!H9516</f>
        <v>10.0139193587476</v>
      </c>
      <c r="I9538" s="6" t="n">
        <f aca="false">Sens!I9516</f>
        <v>10.6963111830911</v>
      </c>
      <c r="J9538" s="6" t="n">
        <f aca="false">Sens!J9516</f>
        <v>11.4351285534696</v>
      </c>
      <c r="K9538" s="6" t="n">
        <f aca="false">Sens!K9516</f>
        <v>12.2355875522124</v>
      </c>
    </row>
    <row r="9539" customFormat="false" ht="15" hidden="false" customHeight="false" outlineLevel="0" collapsed="false">
      <c r="A9539" s="0" t="s">
        <v>626</v>
      </c>
      <c r="B9539" s="0" t="s">
        <v>95</v>
      </c>
      <c r="D9539" s="6" t="n">
        <f aca="false">Sens!D9518</f>
        <v>218.783</v>
      </c>
      <c r="E9539" s="6" t="n">
        <f aca="false">Sens!E9518</f>
        <v>268.127</v>
      </c>
      <c r="F9539" s="6" t="n">
        <f aca="false">Sens!F9518</f>
        <v>339.433940907051</v>
      </c>
      <c r="G9539" s="6" t="n">
        <f aca="false">Sens!G9518</f>
        <v>424.490670881892</v>
      </c>
      <c r="H9539" s="6" t="n">
        <f aca="false">Sens!H9518</f>
        <v>515.646275281385</v>
      </c>
      <c r="I9539" s="6" t="n">
        <f aca="false">Sens!I9518</f>
        <v>597.93444694442</v>
      </c>
      <c r="J9539" s="6" t="n">
        <f aca="false">Sens!J9518</f>
        <v>675.905670910223</v>
      </c>
      <c r="K9539" s="6" t="n">
        <f aca="false">Sens!K9518</f>
        <v>750.407304875998</v>
      </c>
    </row>
    <row r="9540" customFormat="false" ht="15" hidden="false" customHeight="false" outlineLevel="0" collapsed="false">
      <c r="A9540" s="0" t="s">
        <v>792</v>
      </c>
      <c r="B9540" s="0" t="s">
        <v>95</v>
      </c>
      <c r="D9540" s="6" t="n">
        <f aca="false">Sens!D9519</f>
        <v>22.171</v>
      </c>
      <c r="E9540" s="6" t="n">
        <f aca="false">Sens!E9519</f>
        <v>24.835</v>
      </c>
      <c r="F9540" s="6" t="n">
        <f aca="false">Sens!F9519</f>
        <v>27.6114901218559</v>
      </c>
      <c r="G9540" s="6" t="n">
        <f aca="false">Sens!G9519</f>
        <v>30.4675667338515</v>
      </c>
      <c r="H9540" s="6" t="n">
        <f aca="false">Sens!H9519</f>
        <v>33.3643766955789</v>
      </c>
      <c r="I9540" s="6" t="n">
        <f aca="false">Sens!I9519</f>
        <v>36.2577016533691</v>
      </c>
      <c r="J9540" s="6" t="n">
        <f aca="false">Sens!J9519</f>
        <v>39.0988367952171</v>
      </c>
      <c r="K9540" s="6" t="n">
        <f aca="false">Sens!K9519</f>
        <v>41.8357553708823</v>
      </c>
    </row>
    <row r="9541" customFormat="false" ht="15" hidden="false" customHeight="false" outlineLevel="0" collapsed="false">
      <c r="A9541" s="0" t="s">
        <v>793</v>
      </c>
      <c r="B9541" s="0" t="s">
        <v>95</v>
      </c>
      <c r="D9541" s="6" t="n">
        <f aca="false">Sens!D9521</f>
        <v>23.455</v>
      </c>
      <c r="E9541" s="6" t="n">
        <f aca="false">Sens!E9521</f>
        <v>21.79</v>
      </c>
      <c r="F9541" s="6" t="n">
        <f aca="false">Sens!F9521</f>
        <v>20.5736277908051</v>
      </c>
      <c r="G9541" s="6" t="n">
        <f aca="false">Sens!G9521</f>
        <v>19.7371452817919</v>
      </c>
      <c r="H9541" s="6" t="n">
        <f aca="false">Sens!H9521</f>
        <v>19.2339764043138</v>
      </c>
      <c r="I9541" s="6" t="n">
        <f aca="false">Sens!I9521</f>
        <v>19.0353086852681</v>
      </c>
      <c r="J9541" s="6" t="n">
        <f aca="false">Sens!J9521</f>
        <v>19.1273539319129</v>
      </c>
      <c r="K9541" s="6" t="n">
        <f aca="false">Sens!K9521</f>
        <v>19.5099010105511</v>
      </c>
    </row>
    <row r="9542" customFormat="false" ht="15" hidden="false" customHeight="false" outlineLevel="0" collapsed="false">
      <c r="A9542" s="0" t="s">
        <v>794</v>
      </c>
      <c r="B9542" s="0" t="s">
        <v>95</v>
      </c>
      <c r="D9542" s="6" t="n">
        <f aca="false">Sens!D9523</f>
        <v>17.315</v>
      </c>
      <c r="E9542" s="6" t="n">
        <f aca="false">Sens!E9523</f>
        <v>17.087</v>
      </c>
      <c r="F9542" s="6" t="n">
        <f aca="false">Sens!F9523</f>
        <v>16.9564585436519</v>
      </c>
      <c r="G9542" s="6" t="n">
        <f aca="false">Sens!G9523</f>
        <v>16.9206490624268</v>
      </c>
      <c r="H9542" s="6" t="n">
        <f aca="false">Sens!H9523</f>
        <v>16.9784519149849</v>
      </c>
      <c r="I9542" s="6" t="n">
        <f aca="false">Sens!I9523</f>
        <v>17.1303084701817</v>
      </c>
      <c r="J9542" s="6" t="n">
        <f aca="false">Sens!J9523</f>
        <v>17.3782189407267</v>
      </c>
      <c r="K9542" s="6" t="n">
        <f aca="false">Sens!K9523</f>
        <v>17.7257833195413</v>
      </c>
    </row>
    <row r="9543" customFormat="false" ht="15" hidden="false" customHeight="false" outlineLevel="0" collapsed="false">
      <c r="A9543" s="0" t="s">
        <v>640</v>
      </c>
      <c r="B9543" s="0" t="s">
        <v>95</v>
      </c>
      <c r="D9543" s="6" t="n">
        <f aca="false">Sens!D9525</f>
        <v>62.941</v>
      </c>
      <c r="E9543" s="6" t="n">
        <f aca="false">Sens!E9525</f>
        <v>63.712</v>
      </c>
      <c r="F9543" s="6" t="n">
        <f aca="false">Sens!F9525</f>
        <v>65.1415764563129</v>
      </c>
      <c r="G9543" s="6" t="n">
        <f aca="false">Sens!G9525</f>
        <v>67.1253610780702</v>
      </c>
      <c r="H9543" s="6" t="n">
        <f aca="false">Sens!H9525</f>
        <v>69.5768050148776</v>
      </c>
      <c r="I9543" s="6" t="n">
        <f aca="false">Sens!I9525</f>
        <v>72.4233188088189</v>
      </c>
      <c r="J9543" s="6" t="n">
        <f aca="false">Sens!J9525</f>
        <v>75.6044096678567</v>
      </c>
      <c r="K9543" s="6" t="n">
        <f aca="false">Sens!K9525</f>
        <v>79.0714397009747</v>
      </c>
    </row>
    <row r="9544" customFormat="false" ht="15" hidden="false" customHeight="false" outlineLevel="0" collapsed="false">
      <c r="A9544" s="1" t="s">
        <v>810</v>
      </c>
      <c r="B9544" s="0" t="s">
        <v>95</v>
      </c>
      <c r="D9544" s="6" t="n">
        <f aca="false">Sens!D9526</f>
        <v>281.724</v>
      </c>
      <c r="E9544" s="6" t="n">
        <f aca="false">Sens!E9526</f>
        <v>331.839</v>
      </c>
      <c r="F9544" s="6" t="n">
        <f aca="false">Sens!F9526</f>
        <v>404.575517363364</v>
      </c>
      <c r="G9544" s="6" t="n">
        <f aca="false">Sens!G9526</f>
        <v>491.616031959962</v>
      </c>
      <c r="H9544" s="6" t="n">
        <f aca="false">Sens!H9526</f>
        <v>585.223080296262</v>
      </c>
      <c r="I9544" s="6" t="n">
        <f aca="false">Sens!I9526</f>
        <v>670.357765753239</v>
      </c>
      <c r="J9544" s="6" t="n">
        <f aca="false">Sens!J9526</f>
        <v>751.510080578079</v>
      </c>
      <c r="K9544" s="6" t="n">
        <f aca="false">Sens!K9526</f>
        <v>829.478744576972</v>
      </c>
    </row>
    <row r="9545" customFormat="false" ht="15" hidden="false" customHeight="false" outlineLevel="0" collapsed="false">
      <c r="A9545" s="1" t="s">
        <v>811</v>
      </c>
      <c r="B9545" s="0" t="s">
        <v>126</v>
      </c>
      <c r="E9545" s="7" t="n">
        <f aca="false">Sens!E9544/Sens!D9544-1</f>
        <v>0.177886867998467</v>
      </c>
      <c r="F9545" s="7" t="n">
        <f aca="false">Sens!F9544/Sens!E9544-1</f>
        <v>0.219192190680914</v>
      </c>
      <c r="G9545" s="7" t="n">
        <f aca="false">Sens!G9544/Sens!F9544-1</f>
        <v>0.215140340581766</v>
      </c>
      <c r="H9545" s="7" t="n">
        <f aca="false">Sens!H9544/Sens!G9544-1</f>
        <v>0.19040682616291</v>
      </c>
      <c r="I9545" s="7" t="n">
        <f aca="false">Sens!I9544/Sens!H9544-1</f>
        <v>0.14547390272762</v>
      </c>
      <c r="J9545" s="7" t="n">
        <f aca="false">Sens!J9544/Sens!I9544-1</f>
        <v>0.121058215434641</v>
      </c>
      <c r="K9545" s="7" t="n">
        <f aca="false">Sens!K9544/Sens!J9544-1</f>
        <v>0.103749325543202</v>
      </c>
    </row>
    <row r="9546" customFormat="false" ht="17.15" hidden="false" customHeight="false" outlineLevel="0" collapsed="false">
      <c r="A9546" s="22" t="s">
        <v>812</v>
      </c>
      <c r="B9546" s="28" t="s">
        <v>95</v>
      </c>
      <c r="C9546" s="28"/>
      <c r="D9546" s="23" t="n">
        <f aca="false">(Sens!D9539+Sens!D9543-Sens!D9544)+(Sens!D9531+Sens!D9532-Sens!D9530)+(Sens!D9534+Sens!D9535-Sens!D9533)+(Sens!D9544-Q!L18)</f>
        <v>0</v>
      </c>
      <c r="E9546" s="23" t="n">
        <f aca="false">(Sens!E9539+Sens!E9543-Sens!E9544)+(Sens!E9531+Sens!E9532-Sens!E9530)+(Sens!E9534+Sens!E9535-Sens!E9533)+(Sens!E9544-Q!M18)</f>
        <v>0</v>
      </c>
      <c r="F9546" s="23" t="n">
        <f aca="false">(Sens!F9539+Sens!F9543-Sens!F9544)+(Sens!F9531+Sens!F9532-Sens!F9530)+(Sens!F9534+Sens!F9535-Sens!F9533)</f>
        <v>0</v>
      </c>
      <c r="G9546" s="23" t="n">
        <f aca="false">(Sens!G9539+Sens!G9543-Sens!G9544)+(Sens!G9531+Sens!G9532-Sens!G9530)+(Sens!G9534+Sens!G9535-Sens!G9533)</f>
        <v>0</v>
      </c>
      <c r="H9546" s="23" t="n">
        <f aca="false">(Sens!H9539+Sens!H9543-Sens!H9544)+(Sens!H9531+Sens!H9532-Sens!H9530)+(Sens!H9534+Sens!H9535-Sens!H9533)</f>
        <v>0</v>
      </c>
      <c r="I9546" s="23" t="n">
        <f aca="false">(Sens!I9539+Sens!I9543-Sens!I9544)+(Sens!I9531+Sens!I9532-Sens!I9530)+(Sens!I9534+Sens!I9535-Sens!I9533)</f>
        <v>0</v>
      </c>
      <c r="J9546" s="23" t="n">
        <f aca="false">(Sens!J9539+Sens!J9543-Sens!J9544)+(Sens!J9531+Sens!J9532-Sens!J9530)+(Sens!J9534+Sens!J9535-Sens!J9533)</f>
        <v>0</v>
      </c>
      <c r="K9546" s="23" t="n">
        <f aca="false">(Sens!K9539+Sens!K9543-Sens!K9544)+(Sens!K9531+Sens!K9532-Sens!K9530)+(Sens!K9534+Sens!K9535-Sens!K9533)</f>
        <v>0</v>
      </c>
    </row>
    <row r="9547" customFormat="false" ht="17.15" hidden="false" customHeight="false" outlineLevel="0" collapsed="false">
      <c r="A9547" s="0" t="s">
        <v>813</v>
      </c>
      <c r="B9547" s="0" t="s">
        <v>126</v>
      </c>
      <c r="E9547" s="7" t="n">
        <f aca="false">(Q!M21+Sens!E9484+Sens!E9485+Sens!E9486+Sens!E9499-Sens!E9482)/(Q!M5-Sens!E9482)</f>
        <v>0.570957350878296</v>
      </c>
      <c r="F9547" s="7" t="n">
        <f aca="false">Sens!$E$9547+dm_seg_lo</f>
        <v>0.550957350878296</v>
      </c>
      <c r="G9547" s="7" t="n">
        <f aca="false">Sens!$E$9547+dm_seg_lo</f>
        <v>0.550957350878296</v>
      </c>
      <c r="H9547" s="7" t="n">
        <f aca="false">Sens!$E$9547+dm_seg_lo</f>
        <v>0.550957350878296</v>
      </c>
      <c r="I9547" s="7" t="n">
        <f aca="false">Sens!$E$9547+dm_seg_lo</f>
        <v>0.550957350878296</v>
      </c>
      <c r="J9547" s="7" t="n">
        <f aca="false">Sens!$E$9547+dm_seg_lo</f>
        <v>0.550957350878296</v>
      </c>
      <c r="K9547" s="7" t="n">
        <f aca="false">Sens!$E$9547+dm_seg_lo</f>
        <v>0.550957350878296</v>
      </c>
      <c r="L9547" s="11" t="s">
        <v>814</v>
      </c>
    </row>
    <row r="9548" customFormat="false" ht="17.15" hidden="false" customHeight="false" outlineLevel="0" collapsed="false">
      <c r="A9548" s="0" t="s">
        <v>654</v>
      </c>
      <c r="B9548" s="0" t="s">
        <v>95</v>
      </c>
      <c r="D9548" s="6" t="n">
        <f aca="false">Q!L21</f>
        <v>110.814</v>
      </c>
      <c r="E9548" s="6" t="n">
        <f aca="false">Q!M21</f>
        <v>136.365</v>
      </c>
      <c r="F9548" s="6" t="n">
        <f aca="false">Sens!F9547*(Sens!F9518-Sens!F9482)+Sens!F9482-(Sens!F9484+Sens!F9485+Sens!F9486)-Sens!F9499</f>
        <v>156.521454168776</v>
      </c>
      <c r="G9548" s="6" t="n">
        <f aca="false">Sens!G9547*(Sens!G9518-Sens!G9482)+Sens!G9482-(Sens!G9484+Sens!G9485+Sens!G9486)-Sens!G9499</f>
        <v>185.231148632883</v>
      </c>
      <c r="H9548" s="6" t="n">
        <f aca="false">Sens!H9547*(Sens!H9518-Sens!H9482)+Sens!H9482-(Sens!H9484+Sens!H9485+Sens!H9486)-Sens!H9499</f>
        <v>218.76250069223</v>
      </c>
      <c r="I9548" s="6" t="n">
        <f aca="false">Sens!I9547*(Sens!I9518-Sens!I9482)+Sens!I9482-(Sens!I9484+Sens!I9485+Sens!I9486)-Sens!I9499</f>
        <v>243.770457751477</v>
      </c>
      <c r="J9548" s="6" t="n">
        <f aca="false">Sens!J9547*(Sens!J9518-Sens!J9482)+Sens!J9482-(Sens!J9484+Sens!J9485+Sens!J9486)-Sens!J9499</f>
        <v>265.457753565211</v>
      </c>
      <c r="K9548" s="6" t="n">
        <f aca="false">Sens!K9547*(Sens!K9518-Sens!K9482)+Sens!K9482-(Sens!K9484+Sens!K9485+Sens!K9486)-Sens!K9499</f>
        <v>283.963566062775</v>
      </c>
      <c r="L9548" s="1" t="s">
        <v>815</v>
      </c>
    </row>
    <row r="9549" customFormat="false" ht="17.15" hidden="false" customHeight="false" outlineLevel="0" collapsed="false">
      <c r="A9549" s="0" t="s">
        <v>816</v>
      </c>
      <c r="B9549" s="0" t="s">
        <v>126</v>
      </c>
      <c r="E9549" s="7" t="n">
        <f aca="false">Q!M22/Q!M12</f>
        <v>0.296207935710698</v>
      </c>
      <c r="F9549" s="7" t="n">
        <f aca="false">Sens!$E$9549+dm_seg_lo</f>
        <v>0.276207935710698</v>
      </c>
      <c r="G9549" s="7" t="n">
        <f aca="false">Sens!$E$9549+dm_seg_lo</f>
        <v>0.276207935710698</v>
      </c>
      <c r="H9549" s="7" t="n">
        <f aca="false">Sens!$E$9549+dm_seg_lo</f>
        <v>0.276207935710698</v>
      </c>
      <c r="I9549" s="7" t="n">
        <f aca="false">Sens!$E$9549+dm_seg_lo</f>
        <v>0.276207935710698</v>
      </c>
      <c r="J9549" s="7" t="n">
        <f aca="false">Sens!$E$9549+dm_seg_lo</f>
        <v>0.276207935710698</v>
      </c>
      <c r="K9549" s="7" t="n">
        <f aca="false">Sens!$E$9549+dm_seg_lo</f>
        <v>0.276207935710698</v>
      </c>
      <c r="L9549" s="11" t="s">
        <v>817</v>
      </c>
    </row>
    <row r="9550" customFormat="false" ht="17.15" hidden="false" customHeight="false" outlineLevel="0" collapsed="false">
      <c r="A9550" s="0" t="s">
        <v>656</v>
      </c>
      <c r="B9550" s="0" t="s">
        <v>95</v>
      </c>
      <c r="D9550" s="6" t="n">
        <f aca="false">Q!L22</f>
        <v>17.714</v>
      </c>
      <c r="E9550" s="6" t="n">
        <f aca="false">Q!M22</f>
        <v>18.872</v>
      </c>
      <c r="F9550" s="6" t="n">
        <f aca="false">Sens!F9525*Sens!F9549</f>
        <v>17.9926203619388</v>
      </c>
      <c r="G9550" s="6" t="n">
        <f aca="false">Sens!G9525*Sens!G9549</f>
        <v>18.540557417209</v>
      </c>
      <c r="H9550" s="6" t="n">
        <f aca="false">Sens!H9525*Sens!H9549</f>
        <v>19.2176656865051</v>
      </c>
      <c r="I9550" s="6" t="n">
        <f aca="false">Sens!I9525*Sens!I9549</f>
        <v>20.0038953855016</v>
      </c>
      <c r="J9550" s="6" t="n">
        <f aca="false">Sens!J9525*Sens!J9549</f>
        <v>20.8825379249846</v>
      </c>
      <c r="K9550" s="6" t="n">
        <f aca="false">Sens!K9525*Sens!K9549</f>
        <v>21.8401591334792</v>
      </c>
    </row>
    <row r="9551" customFormat="false" ht="15" hidden="false" customHeight="false" outlineLevel="0" collapsed="false">
      <c r="A9551" s="1" t="s">
        <v>818</v>
      </c>
      <c r="B9551" s="0" t="s">
        <v>95</v>
      </c>
      <c r="D9551" s="6" t="n">
        <f aca="false">Sens!D9548+Sens!D9550</f>
        <v>128.528</v>
      </c>
      <c r="E9551" s="6" t="n">
        <f aca="false">Sens!E9548+Sens!E9550</f>
        <v>155.237</v>
      </c>
      <c r="F9551" s="6" t="n">
        <f aca="false">Sens!F9548+Sens!F9550</f>
        <v>174.514074530714</v>
      </c>
      <c r="G9551" s="6" t="n">
        <f aca="false">Sens!G9548+Sens!G9550</f>
        <v>203.771706050092</v>
      </c>
      <c r="H9551" s="6" t="n">
        <f aca="false">Sens!H9548+Sens!H9550</f>
        <v>237.980166378735</v>
      </c>
      <c r="I9551" s="6" t="n">
        <f aca="false">Sens!I9548+Sens!I9550</f>
        <v>263.774353136979</v>
      </c>
      <c r="J9551" s="6" t="n">
        <f aca="false">Sens!J9548+Sens!J9550</f>
        <v>286.340291490196</v>
      </c>
      <c r="K9551" s="6" t="n">
        <f aca="false">Sens!K9548+Sens!K9550</f>
        <v>305.803725196254</v>
      </c>
    </row>
    <row r="9552" customFormat="false" ht="15" hidden="false" customHeight="false" outlineLevel="0" collapsed="false">
      <c r="A9552" s="22" t="s">
        <v>819</v>
      </c>
      <c r="B9552" s="28" t="s">
        <v>95</v>
      </c>
      <c r="C9552" s="28"/>
      <c r="D9552" s="23" t="n">
        <f aca="false">Sens!D9551-Q!L23</f>
        <v>0</v>
      </c>
      <c r="E9552" s="23" t="n">
        <f aca="false">Sens!E9551-Q!M23</f>
        <v>0</v>
      </c>
      <c r="F9552" s="28"/>
      <c r="G9552" s="28"/>
      <c r="H9552" s="28"/>
      <c r="I9552" s="28"/>
      <c r="J9552" s="28"/>
      <c r="K9552" s="28"/>
    </row>
    <row r="9553" customFormat="false" ht="15" hidden="false" customHeight="false" outlineLevel="0" collapsed="false">
      <c r="A9553" s="1" t="s">
        <v>820</v>
      </c>
      <c r="B9553" s="0" t="s">
        <v>126</v>
      </c>
      <c r="D9553" s="7" t="n">
        <f aca="false">Sens!D9551/Sens!D9544</f>
        <v>0.456219562408598</v>
      </c>
      <c r="E9553" s="7" t="n">
        <f aca="false">Sens!E9551/Sens!E9544</f>
        <v>0.467808184089272</v>
      </c>
      <c r="F9553" s="7" t="n">
        <f aca="false">Sens!F9551/Sens!F9544</f>
        <v>0.431351050770522</v>
      </c>
      <c r="G9553" s="7" t="n">
        <f aca="false">Sens!G9551/Sens!G9544</f>
        <v>0.414493614534295</v>
      </c>
      <c r="H9553" s="7" t="n">
        <f aca="false">Sens!H9551/Sens!H9544</f>
        <v>0.40664863432635</v>
      </c>
      <c r="I9553" s="7" t="n">
        <f aca="false">Sens!I9551/Sens!I9544</f>
        <v>0.393482952853679</v>
      </c>
      <c r="J9553" s="7" t="n">
        <f aca="false">Sens!J9551/Sens!J9544</f>
        <v>0.381019894330541</v>
      </c>
      <c r="K9553" s="7" t="n">
        <f aca="false">Sens!K9551/Sens!K9544</f>
        <v>0.368669754584503</v>
      </c>
    </row>
    <row r="9554" customFormat="false" ht="17.15" hidden="false" customHeight="false" outlineLevel="0" collapsed="false">
      <c r="A9554" s="1" t="s">
        <v>821</v>
      </c>
      <c r="B9554" s="0" t="s">
        <v>95</v>
      </c>
      <c r="E9554" s="6" t="n">
        <f aca="false">Sens!E9499</f>
        <v>16.3054059770833</v>
      </c>
      <c r="F9554" s="6" t="n">
        <f aca="false">Sens!F9499</f>
        <v>34.7280354558698</v>
      </c>
      <c r="G9554" s="6" t="n">
        <f aca="false">Sens!G9499</f>
        <v>60.4817332603396</v>
      </c>
      <c r="H9554" s="6" t="n">
        <f aca="false">Sens!H9499</f>
        <v>87.7173159931396</v>
      </c>
      <c r="I9554" s="6" t="n">
        <f aca="false">Sens!I9499</f>
        <v>115.972181741123</v>
      </c>
      <c r="J9554" s="6" t="n">
        <f aca="false">Sens!J9499</f>
        <v>145.199277958273</v>
      </c>
      <c r="K9554" s="6" t="n">
        <f aca="false">Sens!K9499</f>
        <v>175.71392263459</v>
      </c>
    </row>
    <row r="9555" customFormat="false" ht="17.15" hidden="false" customHeight="false" outlineLevel="0" collapsed="false">
      <c r="A9555" s="1" t="s">
        <v>822</v>
      </c>
      <c r="B9555" s="0" t="s">
        <v>95</v>
      </c>
      <c r="E9555" s="6" t="n">
        <f aca="false">Sens!E9575</f>
        <v>22.2285940229167</v>
      </c>
      <c r="F9555" s="6" t="n">
        <f aca="false">Sens!F9575</f>
        <v>23.5786693435813</v>
      </c>
      <c r="G9555" s="6" t="n">
        <f aca="false">Sens!G9575</f>
        <v>25.3810917662621</v>
      </c>
      <c r="H9555" s="6" t="n">
        <f aca="false">Sens!H9575</f>
        <v>27.5991339540448</v>
      </c>
      <c r="I9555" s="6" t="n">
        <f aca="false">Sens!I9575</f>
        <v>30.1565605898047</v>
      </c>
      <c r="J9555" s="6" t="n">
        <f aca="false">Sens!J9575</f>
        <v>32.9614958558616</v>
      </c>
      <c r="K9555" s="6" t="n">
        <f aca="false">Sens!K9575</f>
        <v>35.9297165444749</v>
      </c>
    </row>
    <row r="9556" customFormat="false" ht="17.15" hidden="false" customHeight="false" outlineLevel="0" collapsed="false">
      <c r="A9556" s="1" t="s">
        <v>823</v>
      </c>
      <c r="B9556" s="0" t="s">
        <v>95</v>
      </c>
      <c r="D9556" s="6" t="n">
        <f aca="false">Q!L27</f>
        <v>-4.901</v>
      </c>
      <c r="E9556" s="6" t="n">
        <f aca="false">Q!M27</f>
        <v>10.697</v>
      </c>
      <c r="F9556" s="6" t="n">
        <f aca="false">oie_f</f>
        <v>-0.4</v>
      </c>
      <c r="G9556" s="6" t="n">
        <f aca="false">oie_f</f>
        <v>-0.4</v>
      </c>
      <c r="H9556" s="6" t="n">
        <f aca="false">oie_f</f>
        <v>-0.4</v>
      </c>
      <c r="I9556" s="6" t="n">
        <f aca="false">oie_f</f>
        <v>-0.4</v>
      </c>
      <c r="J9556" s="6" t="n">
        <f aca="false">oie_f</f>
        <v>-0.4</v>
      </c>
      <c r="K9556" s="6" t="n">
        <f aca="false">oie_f</f>
        <v>-0.4</v>
      </c>
      <c r="L9556" s="11" t="s">
        <v>824</v>
      </c>
    </row>
    <row r="9557" customFormat="false" ht="15" hidden="false" customHeight="false" outlineLevel="0" collapsed="false">
      <c r="A9557" s="1" t="s">
        <v>666</v>
      </c>
      <c r="B9557" s="0" t="s">
        <v>95</v>
      </c>
      <c r="D9557" s="6" t="n">
        <f aca="false">Sens!D9551+Sens!D9556</f>
        <v>123.627</v>
      </c>
      <c r="E9557" s="6" t="n">
        <f aca="false">Sens!E9551+Sens!E9556</f>
        <v>165.934</v>
      </c>
      <c r="F9557" s="6" t="n">
        <f aca="false">Sens!F9551+Sens!F9556</f>
        <v>174.114074530714</v>
      </c>
      <c r="G9557" s="6" t="n">
        <f aca="false">Sens!G9551+Sens!G9556</f>
        <v>203.371706050092</v>
      </c>
      <c r="H9557" s="6" t="n">
        <f aca="false">Sens!H9551+Sens!H9556</f>
        <v>237.580166378735</v>
      </c>
      <c r="I9557" s="6" t="n">
        <f aca="false">Sens!I9551+Sens!I9556</f>
        <v>263.374353136979</v>
      </c>
      <c r="J9557" s="6" t="n">
        <f aca="false">Sens!J9551+Sens!J9556</f>
        <v>285.940291490196</v>
      </c>
      <c r="K9557" s="6" t="n">
        <f aca="false">Sens!K9551+Sens!K9556</f>
        <v>305.403725196254</v>
      </c>
    </row>
    <row r="9558" customFormat="false" ht="15" hidden="false" customHeight="false" outlineLevel="0" collapsed="false">
      <c r="A9558" s="1" t="s">
        <v>668</v>
      </c>
      <c r="B9558" s="0" t="s">
        <v>95</v>
      </c>
      <c r="D9558" s="6" t="n">
        <f aca="false">Q!L29</f>
        <v>21.795</v>
      </c>
      <c r="E9558" s="6" t="n">
        <f aca="false">Q!M29</f>
        <v>32.185</v>
      </c>
      <c r="F9558" s="6" t="n">
        <f aca="false">Sens!F9557*tax_f</f>
        <v>34.8228149061429</v>
      </c>
      <c r="G9558" s="6" t="n">
        <f aca="false">Sens!G9557*tax_f</f>
        <v>40.6743412100184</v>
      </c>
      <c r="H9558" s="6" t="n">
        <f aca="false">Sens!H9557*tax_f</f>
        <v>47.516033275747</v>
      </c>
      <c r="I9558" s="6" t="n">
        <f aca="false">Sens!I9557*tax_f</f>
        <v>52.6748706273958</v>
      </c>
      <c r="J9558" s="6" t="n">
        <f aca="false">Sens!J9557*tax_f</f>
        <v>57.1880582980392</v>
      </c>
      <c r="K9558" s="6" t="n">
        <f aca="false">Sens!K9557*tax_f</f>
        <v>61.0807450392508</v>
      </c>
    </row>
    <row r="9559" customFormat="false" ht="15" hidden="false" customHeight="false" outlineLevel="0" collapsed="false">
      <c r="A9559" s="1" t="s">
        <v>825</v>
      </c>
      <c r="B9559" s="0" t="s">
        <v>95</v>
      </c>
      <c r="D9559" s="6" t="n">
        <f aca="false">Sens!D9557-Sens!D9558</f>
        <v>101.832</v>
      </c>
      <c r="E9559" s="6" t="n">
        <f aca="false">Sens!E9557-Sens!E9558</f>
        <v>133.749</v>
      </c>
      <c r="F9559" s="6" t="n">
        <f aca="false">Sens!F9557-Sens!F9558</f>
        <v>139.291259624572</v>
      </c>
      <c r="G9559" s="6" t="n">
        <f aca="false">Sens!G9557-Sens!G9558</f>
        <v>162.697364840074</v>
      </c>
      <c r="H9559" s="6" t="n">
        <f aca="false">Sens!H9557-Sens!H9558</f>
        <v>190.064133102988</v>
      </c>
      <c r="I9559" s="6" t="n">
        <f aca="false">Sens!I9557-Sens!I9558</f>
        <v>210.699482509583</v>
      </c>
      <c r="J9559" s="6" t="n">
        <f aca="false">Sens!J9557-Sens!J9558</f>
        <v>228.752233192157</v>
      </c>
      <c r="K9559" s="6" t="n">
        <f aca="false">Sens!K9557-Sens!K9558</f>
        <v>244.322980157003</v>
      </c>
    </row>
    <row r="9560" customFormat="false" ht="17.15" hidden="false" customHeight="false" outlineLevel="0" collapsed="false">
      <c r="A9560" s="1" t="s">
        <v>826</v>
      </c>
      <c r="B9560" s="1" t="s">
        <v>79</v>
      </c>
      <c r="D9560" s="18" t="n">
        <f aca="false">Q!L31</f>
        <v>7.465</v>
      </c>
      <c r="E9560" s="18" t="n">
        <f aca="false">Q!M31</f>
        <v>7.453</v>
      </c>
      <c r="F9560" s="18" t="n">
        <f aca="false">Sens!F9597</f>
        <v>7.4735</v>
      </c>
      <c r="G9560" s="18" t="n">
        <f aca="false">Sens!G9597</f>
        <v>7.5133060976575</v>
      </c>
      <c r="H9560" s="18" t="n">
        <f aca="false">Sens!H9597</f>
        <v>7.53586378116496</v>
      </c>
      <c r="I9560" s="18" t="n">
        <f aca="false">Sens!I9597</f>
        <v>7.54764461317227</v>
      </c>
      <c r="J9560" s="18" t="n">
        <f aca="false">Sens!J9597</f>
        <v>7.56188612429015</v>
      </c>
      <c r="K9560" s="18" t="n">
        <f aca="false">Sens!K9597</f>
        <v>7.5784060419919</v>
      </c>
    </row>
    <row r="9561" customFormat="false" ht="17.15" hidden="false" customHeight="false" outlineLevel="0" collapsed="false">
      <c r="A9561" s="0" t="s">
        <v>827</v>
      </c>
      <c r="B9561" s="0" t="s">
        <v>73</v>
      </c>
      <c r="D9561" s="8" t="n">
        <f aca="false">Sens!D9559/Sens!D9560</f>
        <v>13.641259209645</v>
      </c>
      <c r="E9561" s="8" t="n">
        <f aca="false">Sens!E9559/Sens!E9560</f>
        <v>17.9456594659869</v>
      </c>
      <c r="F9561" s="8" t="n">
        <f aca="false">Sens!F9559/Sens!F9560</f>
        <v>18.6380222953866</v>
      </c>
      <c r="G9561" s="8" t="n">
        <f aca="false">Sens!G9559/Sens!G9560</f>
        <v>21.6545636135867</v>
      </c>
      <c r="H9561" s="8" t="n">
        <f aca="false">Sens!H9559/Sens!H9560</f>
        <v>25.2212803498428</v>
      </c>
      <c r="I9561" s="8" t="n">
        <f aca="false">Sens!I9559/Sens!I9560</f>
        <v>27.9159252069006</v>
      </c>
      <c r="J9561" s="8" t="n">
        <f aca="false">Sens!J9559/Sens!J9560</f>
        <v>30.2506847408563</v>
      </c>
      <c r="K9561" s="8" t="n">
        <f aca="false">Sens!K9559/Sens!K9560</f>
        <v>32.2393625787813</v>
      </c>
      <c r="L9561" s="1" t="s">
        <v>828</v>
      </c>
    </row>
    <row r="9562" customFormat="false" ht="17.15" hidden="false" customHeight="false" outlineLevel="0" collapsed="false">
      <c r="A9562" s="0" t="s">
        <v>829</v>
      </c>
      <c r="B9562" s="0" t="s">
        <v>126</v>
      </c>
      <c r="E9562" s="7" t="n">
        <f aca="false">Sens!E9561/Sens!D9561-1</f>
        <v>0.315542736208578</v>
      </c>
      <c r="F9562" s="7" t="n">
        <f aca="false">Sens!F9561/Sens!E9561-1</f>
        <v>0.0385810747558193</v>
      </c>
      <c r="G9562" s="7" t="n">
        <f aca="false">Sens!G9561/Sens!F9561-1</f>
        <v>0.161848787944998</v>
      </c>
      <c r="H9562" s="7" t="n">
        <f aca="false">Sens!H9561/Sens!G9561-1</f>
        <v>0.164709702762987</v>
      </c>
      <c r="I9562" s="7" t="n">
        <f aca="false">Sens!I9561/Sens!H9561-1</f>
        <v>0.106840129433578</v>
      </c>
      <c r="J9562" s="7" t="n">
        <f aca="false">Sens!J9561/Sens!I9561-1</f>
        <v>0.0836353986712413</v>
      </c>
      <c r="K9562" s="7" t="n">
        <f aca="false">Sens!K9561/Sens!J9561-1</f>
        <v>0.0657399280367064</v>
      </c>
    </row>
    <row r="9563" customFormat="false" ht="17.15" hidden="false" customHeight="false" outlineLevel="0" collapsed="false">
      <c r="A9563" s="0" t="s">
        <v>763</v>
      </c>
      <c r="B9563" s="0" t="s">
        <v>95</v>
      </c>
      <c r="E9563" s="6" t="n">
        <f aca="false">Sens!E9508</f>
        <v>5.25</v>
      </c>
      <c r="F9563" s="6" t="n">
        <f aca="false">Sens!F9508</f>
        <v>13.5</v>
      </c>
      <c r="G9563" s="6" t="n">
        <f aca="false">Sens!G9508</f>
        <v>22.5</v>
      </c>
      <c r="H9563" s="6" t="n">
        <f aca="false">Sens!H9508</f>
        <v>31.5</v>
      </c>
      <c r="I9563" s="6" t="n">
        <f aca="false">Sens!I9508</f>
        <v>38.25</v>
      </c>
      <c r="J9563" s="6" t="n">
        <f aca="false">Sens!J9508</f>
        <v>42.75</v>
      </c>
      <c r="K9563" s="6" t="n">
        <f aca="false">Sens!K9508</f>
        <v>47.25</v>
      </c>
    </row>
    <row r="9564" customFormat="false" ht="17.15" hidden="false" customHeight="false" outlineLevel="0" collapsed="false">
      <c r="A9564" s="0" t="s">
        <v>764</v>
      </c>
      <c r="B9564" s="0" t="s">
        <v>95</v>
      </c>
      <c r="E9564" s="6" t="n">
        <f aca="false">Sens!E9488+Sens!E9563*Sens!E9547-Sens!E9489-Sens!E9499</f>
        <v>2.1514866143068</v>
      </c>
      <c r="F9564" s="6" t="n">
        <f aca="false">Sens!F9488+Sens!F9563*Sens!F9547-Sens!F9489-Sens!F9499</f>
        <v>9.30481163521454</v>
      </c>
      <c r="G9564" s="6" t="n">
        <f aca="false">Sens!G9488+Sens!G9563*Sens!G9547-Sens!G9489-Sens!G9499</f>
        <v>19.6014783401622</v>
      </c>
      <c r="H9564" s="6" t="n">
        <f aca="false">Sens!H9488+Sens!H9563*Sens!H9547-Sens!H9489-Sens!H9499</f>
        <v>34.5440343187356</v>
      </c>
      <c r="I9564" s="6" t="n">
        <f aca="false">Sens!I9488+Sens!I9563*Sens!I9547-Sens!I9489-Sens!I9499</f>
        <v>41.434093824525</v>
      </c>
      <c r="J9564" s="6" t="n">
        <f aca="false">Sens!J9488+Sens!J9563*Sens!J9547-Sens!J9489-Sens!J9499</f>
        <v>46.1988960050436</v>
      </c>
      <c r="K9564" s="6" t="n">
        <f aca="false">Sens!K9488+Sens!K9563*Sens!K9547-Sens!K9489-Sens!K9499</f>
        <v>49.7271083321463</v>
      </c>
    </row>
    <row r="9565" customFormat="false" ht="17.15" hidden="false" customHeight="false" outlineLevel="0" collapsed="false">
      <c r="A9565" s="0" t="s">
        <v>765</v>
      </c>
      <c r="B9565" s="0" t="s">
        <v>95</v>
      </c>
      <c r="E9565" s="6" t="n">
        <f aca="false">Sens!E9471*(cxit_open+self_build*tk_cxfac)/1000*ai_net_open</f>
        <v>126.6980382</v>
      </c>
      <c r="F9565" s="6" t="n">
        <f aca="false">Sens!E9565+Sens!F9496-Sens!F9499</f>
        <v>260.440655514568</v>
      </c>
      <c r="G9565" s="6" t="n">
        <f aca="false">Sens!F9565+Sens!G9496-Sens!G9499</f>
        <v>383.533102737428</v>
      </c>
      <c r="H9565" s="6" t="n">
        <f aca="false">Sens!G9565+Sens!H9496-Sens!H9499</f>
        <v>483.896072654688</v>
      </c>
      <c r="I9565" s="6" t="n">
        <f aca="false">Sens!H9565+Sens!I9496-Sens!I9499</f>
        <v>586.262852170632</v>
      </c>
      <c r="J9565" s="6" t="n">
        <f aca="false">Sens!I9565+Sens!J9496-Sens!J9499</f>
        <v>674.840635136093</v>
      </c>
      <c r="K9565" s="6" t="n">
        <f aca="false">Sens!J9565+Sens!K9496-Sens!K9499</f>
        <v>777.983024451903</v>
      </c>
      <c r="L9565" s="1" t="s">
        <v>766</v>
      </c>
    </row>
    <row r="9566" customFormat="false" ht="17.15" hidden="false" customHeight="false" outlineLevel="0" collapsed="false">
      <c r="A9566" s="0" t="s">
        <v>767</v>
      </c>
      <c r="B9566" s="0" t="s">
        <v>126</v>
      </c>
      <c r="F9566" s="7" t="n">
        <f aca="false">Sens!F9564*(1-tax_f)/((Sens!E9565+Sens!F9565)/2)</f>
        <v>0.0384557236413051</v>
      </c>
      <c r="G9566" s="7" t="n">
        <f aca="false">Sens!G9564*(1-tax_f)/((Sens!F9565+Sens!G9565)/2)</f>
        <v>0.0487013095524104</v>
      </c>
      <c r="H9566" s="7" t="n">
        <f aca="false">Sens!H9564*(1-tax_f)/((Sens!G9565+Sens!H9565)/2)</f>
        <v>0.0637175419941257</v>
      </c>
      <c r="I9566" s="7" t="n">
        <f aca="false">Sens!I9564*(1-tax_f)/((Sens!H9565+Sens!I9565)/2)</f>
        <v>0.0619483224232897</v>
      </c>
      <c r="J9566" s="7" t="n">
        <f aca="false">Sens!J9564*(1-tax_f)/((Sens!I9565+Sens!J9565)/2)</f>
        <v>0.0586139316496009</v>
      </c>
      <c r="K9566" s="7" t="n">
        <f aca="false">Sens!K9564*(1-tax_f)/((Sens!J9565+Sens!K9565)/2)</f>
        <v>0.0547646459405799</v>
      </c>
    </row>
    <row r="9567" customFormat="false" ht="17.15" hidden="false" customHeight="false" outlineLevel="0" collapsed="false">
      <c r="A9567" s="1" t="s">
        <v>768</v>
      </c>
      <c r="B9567" s="0" t="s">
        <v>126</v>
      </c>
      <c r="F9567" s="7" t="n">
        <f aca="false">Sens!F9500*(1-tax_f)/(Sens!F9487*(Sens!E9565+Sens!F9565)/2)</f>
        <v>0.153543815988938</v>
      </c>
      <c r="G9567" s="7" t="n">
        <f aca="false">Sens!G9500*(1-tax_f)/(Sens!G9487*(Sens!F9565+Sens!G9565)/2)</f>
        <v>0.17467487096866</v>
      </c>
      <c r="H9567" s="7" t="n">
        <f aca="false">Sens!H9500*(1-tax_f)/(Sens!H9487*(Sens!G9565+Sens!H9565)/2)</f>
        <v>0.207630352867497</v>
      </c>
      <c r="I9567" s="7" t="n">
        <f aca="false">Sens!I9500*(1-tax_f)/(Sens!I9487*(Sens!H9565+Sens!I9565)/2)</f>
        <v>0.21555279418437</v>
      </c>
      <c r="J9567" s="7" t="n">
        <f aca="false">Sens!J9500*(1-tax_f)/(Sens!J9487*(Sens!I9565+Sens!J9565)/2)</f>
        <v>0.221979790886961</v>
      </c>
      <c r="K9567" s="7" t="n">
        <f aca="false">Sens!K9500*(1-tax_f)/(Sens!K9487*(Sens!J9565+Sens!K9565)/2)</f>
        <v>0.225277960522259</v>
      </c>
    </row>
    <row r="9568" customFormat="false" ht="17.15" hidden="false" customHeight="false" outlineLevel="0" collapsed="false">
      <c r="A9568" s="0" t="s">
        <v>769</v>
      </c>
      <c r="B9568" s="0" t="s">
        <v>208</v>
      </c>
      <c r="F9568" s="7" t="n">
        <f aca="false">Sens!F9566-wacc</f>
        <v>-0.0705074975089489</v>
      </c>
      <c r="G9568" s="7" t="n">
        <f aca="false">Sens!G9566-wacc</f>
        <v>-0.0602619115978436</v>
      </c>
      <c r="H9568" s="7" t="n">
        <f aca="false">Sens!H9566-wacc</f>
        <v>-0.0452456791561283</v>
      </c>
      <c r="I9568" s="7" t="n">
        <f aca="false">Sens!I9566-wacc</f>
        <v>-0.0470148987269643</v>
      </c>
      <c r="J9568" s="7" t="n">
        <f aca="false">Sens!J9566-wacc</f>
        <v>-0.0503492895006531</v>
      </c>
      <c r="K9568" s="7" t="n">
        <f aca="false">Sens!K9566-wacc</f>
        <v>-0.0541985752096741</v>
      </c>
    </row>
    <row r="9569" customFormat="false" ht="17.15" hidden="false" customHeight="false" outlineLevel="0" collapsed="false">
      <c r="A9569" s="0" t="s">
        <v>770</v>
      </c>
      <c r="B9569" s="0" t="s">
        <v>95</v>
      </c>
      <c r="F9569" s="6" t="n">
        <f aca="false">Sens!F9564*(1-tax_f)-wacc*(Sens!E9565+Sens!F9565)/2</f>
        <v>-13.6480902413488</v>
      </c>
      <c r="G9569" s="6" t="n">
        <f aca="false">Sens!G9564*(1-tax_f)-wacc*(Sens!F9565+Sens!G9565)/2</f>
        <v>-19.4035448455564</v>
      </c>
      <c r="H9569" s="6" t="n">
        <f aca="false">Sens!H9564*(1-tax_f)-wacc*(Sens!G9565+Sens!H9565)/2</f>
        <v>-19.6237110802283</v>
      </c>
      <c r="I9569" s="6" t="n">
        <f aca="false">Sens!I9564*(1-tax_f)-wacc*(Sens!H9565+Sens!I9565)/2</f>
        <v>-25.1567067362097</v>
      </c>
      <c r="J9569" s="6" t="n">
        <f aca="false">Sens!J9564*(1-tax_f)-wacc*(Sens!I9565+Sens!J9565)/2</f>
        <v>-31.7478322863447</v>
      </c>
      <c r="K9569" s="6" t="n">
        <f aca="false">Sens!K9564*(1-tax_f)-wacc*(Sens!J9565+Sens!K9565)/2</f>
        <v>-39.370486190287</v>
      </c>
    </row>
    <row r="9570" customFormat="false" ht="17.15" hidden="false" customHeight="false" outlineLevel="0" collapsed="false">
      <c r="A9570" s="1" t="s">
        <v>771</v>
      </c>
      <c r="B9570" s="0" t="s">
        <v>95</v>
      </c>
      <c r="F9570" s="6" t="n">
        <f aca="false">(Sens!E9472+Sens!F9472)/2*Sens!F9479/1000</f>
        <v>26.7873066765967</v>
      </c>
      <c r="G9570" s="6" t="n">
        <f aca="false">(Sens!F9472+Sens!G9472)/2*Sens!G9479/1000</f>
        <v>45.4131817597218</v>
      </c>
      <c r="H9570" s="6" t="n">
        <f aca="false">(Sens!G9472+Sens!H9472)/2*Sens!H9479/1000</f>
        <v>65.3915129357971</v>
      </c>
      <c r="I9570" s="6" t="n">
        <f aca="false">(Sens!H9472+Sens!I9472)/2*Sens!I9479/1000</f>
        <v>85.5187419289299</v>
      </c>
      <c r="J9570" s="6" t="n">
        <f aca="false">(Sens!I9472+Sens!J9472)/2*Sens!J9479/1000</f>
        <v>105.723807195006</v>
      </c>
      <c r="K9570" s="6" t="n">
        <f aca="false">(Sens!J9472+Sens!K9472)/2*Sens!K9479/1000</f>
        <v>125.974659797015</v>
      </c>
      <c r="L9570" s="1" t="s">
        <v>772</v>
      </c>
    </row>
    <row r="9571" customFormat="false" ht="17.15" hidden="false" customHeight="false" outlineLevel="0" collapsed="false">
      <c r="A9571" s="1" t="s">
        <v>773</v>
      </c>
      <c r="B9571" s="0" t="s">
        <v>126</v>
      </c>
      <c r="F9571" s="7" t="n">
        <f aca="false">(Sens!F9488+Sens!F9570-Sens!F9489-Sens!F9499)*(1-tax_f)/((Sens!E9565+Sens!F9565)/2)</f>
        <v>0.118424511071293</v>
      </c>
      <c r="G9571" s="7" t="n">
        <f aca="false">(Sens!G9488+Sens!G9570-Sens!G9489-Sens!G9499)*(1-tax_f)/((Sens!F9565+Sens!G9565)/2)</f>
        <v>0.130733574853607</v>
      </c>
      <c r="H9571" s="7" t="n">
        <f aca="false">(Sens!H9488+Sens!H9570-Sens!H9489-Sens!H9499)*(1-tax_f)/((Sens!G9565+Sens!H9565)/2)</f>
        <v>0.152322090230892</v>
      </c>
      <c r="I9571" s="7" t="n">
        <f aca="false">(Sens!I9488+Sens!I9570-Sens!I9489-Sens!I9499)*(1-tax_f)/((Sens!H9565+Sens!I9565)/2)</f>
        <v>0.158299803330078</v>
      </c>
      <c r="J9571" s="7" t="n">
        <f aca="false">(Sens!J9488+Sens!J9570-Sens!J9489-Sens!J9499)*(1-tax_f)/((Sens!I9565+Sens!J9565)/2)</f>
        <v>0.162865969674421</v>
      </c>
      <c r="K9571" s="7" t="n">
        <f aca="false">(Sens!K9488+Sens!K9570-Sens!K9489-Sens!K9499)*(1-tax_f)/((Sens!J9565+Sens!K9565)/2)</f>
        <v>0.164831052757063</v>
      </c>
      <c r="L9571" s="1" t="s">
        <v>774</v>
      </c>
    </row>
    <row r="9572" customFormat="false" ht="17.15" hidden="false" customHeight="false" outlineLevel="0" collapsed="false">
      <c r="A9572" s="3" t="s">
        <v>1387</v>
      </c>
    </row>
    <row r="9573" customFormat="false" ht="15" hidden="false" customHeight="false" outlineLevel="0" collapsed="false">
      <c r="A9573" s="4" t="s">
        <v>43</v>
      </c>
      <c r="B9573" s="4" t="s">
        <v>63</v>
      </c>
      <c r="C9573" s="19" t="s">
        <v>710</v>
      </c>
      <c r="D9573" s="19" t="s">
        <v>711</v>
      </c>
      <c r="E9573" s="19" t="s">
        <v>712</v>
      </c>
      <c r="F9573" s="19" t="s">
        <v>713</v>
      </c>
      <c r="G9573" s="19" t="s">
        <v>714</v>
      </c>
      <c r="H9573" s="19" t="s">
        <v>715</v>
      </c>
      <c r="I9573" s="19" t="s">
        <v>716</v>
      </c>
      <c r="J9573" s="19" t="s">
        <v>717</v>
      </c>
      <c r="K9573" s="19" t="s">
        <v>718</v>
      </c>
      <c r="L9573" s="4" t="s">
        <v>47</v>
      </c>
    </row>
    <row r="9574" customFormat="false" ht="15" hidden="false" customHeight="false" outlineLevel="0" collapsed="false">
      <c r="A9574" s="1" t="s">
        <v>825</v>
      </c>
      <c r="B9574" s="0" t="s">
        <v>95</v>
      </c>
      <c r="F9574" s="6" t="n">
        <f aca="false">Sens!F9559</f>
        <v>139.291259624572</v>
      </c>
      <c r="G9574" s="6" t="n">
        <f aca="false">Sens!G9559</f>
        <v>162.697364840074</v>
      </c>
      <c r="H9574" s="6" t="n">
        <f aca="false">Sens!H9559</f>
        <v>190.064133102988</v>
      </c>
      <c r="I9574" s="6" t="n">
        <f aca="false">Sens!I9559</f>
        <v>210.699482509583</v>
      </c>
      <c r="J9574" s="6" t="n">
        <f aca="false">Sens!J9559</f>
        <v>228.752233192157</v>
      </c>
      <c r="K9574" s="6" t="n">
        <f aca="false">Sens!K9559</f>
        <v>244.322980157003</v>
      </c>
    </row>
    <row r="9575" customFormat="false" ht="17.15" hidden="false" customHeight="false" outlineLevel="0" collapsed="false">
      <c r="A9575" s="1" t="s">
        <v>843</v>
      </c>
      <c r="B9575" s="0" t="s">
        <v>95</v>
      </c>
      <c r="E9575" s="6" t="n">
        <f aca="false">Q!M38-Sens!E9499</f>
        <v>22.2285940229167</v>
      </c>
      <c r="F9575" s="6" t="n">
        <f aca="false">Sens!E9575*(1-1/life_nonai)+Sens!F9581/life_nonai</f>
        <v>23.5786693435813</v>
      </c>
      <c r="G9575" s="6" t="n">
        <f aca="false">Sens!F9575*(1-1/life_nonai)+Sens!G9581/life_nonai</f>
        <v>25.3810917662621</v>
      </c>
      <c r="H9575" s="6" t="n">
        <f aca="false">Sens!G9575*(1-1/life_nonai)+Sens!H9581/life_nonai</f>
        <v>27.5991339540448</v>
      </c>
      <c r="I9575" s="6" t="n">
        <f aca="false">Sens!H9575*(1-1/life_nonai)+Sens!I9581/life_nonai</f>
        <v>30.1565605898047</v>
      </c>
      <c r="J9575" s="6" t="n">
        <f aca="false">Sens!I9575*(1-1/life_nonai)+Sens!J9581/life_nonai</f>
        <v>32.9614958558616</v>
      </c>
      <c r="K9575" s="6" t="n">
        <f aca="false">Sens!J9575*(1-1/life_nonai)+Sens!K9581/life_nonai</f>
        <v>35.9297165444749</v>
      </c>
      <c r="L9575" s="11" t="s">
        <v>844</v>
      </c>
    </row>
    <row r="9576" customFormat="false" ht="17.15" hidden="false" customHeight="false" outlineLevel="0" collapsed="false">
      <c r="A9576" s="1" t="s">
        <v>845</v>
      </c>
      <c r="B9576" s="0" t="s">
        <v>95</v>
      </c>
      <c r="E9576" s="6" t="n">
        <f aca="false">Sens!E9499+Sens!E9575</f>
        <v>38.534</v>
      </c>
      <c r="F9576" s="6" t="n">
        <f aca="false">Sens!F9499+Sens!F9575</f>
        <v>58.306704799451</v>
      </c>
      <c r="G9576" s="6" t="n">
        <f aca="false">Sens!G9499+Sens!G9575</f>
        <v>85.8628250266016</v>
      </c>
      <c r="H9576" s="6" t="n">
        <f aca="false">Sens!H9499+Sens!H9575</f>
        <v>115.316449947184</v>
      </c>
      <c r="I9576" s="6" t="n">
        <f aca="false">Sens!I9499+Sens!I9575</f>
        <v>146.128742330928</v>
      </c>
      <c r="J9576" s="6" t="n">
        <f aca="false">Sens!J9499+Sens!J9575</f>
        <v>178.160773814135</v>
      </c>
      <c r="K9576" s="6" t="n">
        <f aca="false">Sens!K9499+Sens!K9575</f>
        <v>211.643639179064</v>
      </c>
    </row>
    <row r="9577" customFormat="false" ht="15" hidden="false" customHeight="false" outlineLevel="0" collapsed="false">
      <c r="A9577" s="1" t="s">
        <v>685</v>
      </c>
      <c r="B9577" s="0" t="s">
        <v>95</v>
      </c>
      <c r="F9577" s="6" t="n">
        <f aca="false">Sens!F9526*sbc_r</f>
        <v>15.1240791253967</v>
      </c>
      <c r="G9577" s="6" t="n">
        <f aca="false">Sens!G9526*sbc_r</f>
        <v>18.3778786594202</v>
      </c>
      <c r="H9577" s="6" t="n">
        <f aca="false">Sens!H9526*sbc_r</f>
        <v>21.8771522065674</v>
      </c>
      <c r="I9577" s="6" t="n">
        <f aca="false">Sens!I9526*sbc_r</f>
        <v>25.059706918623</v>
      </c>
      <c r="J9577" s="6" t="n">
        <f aca="false">Sens!J9526*sbc_r</f>
        <v>28.0933903175066</v>
      </c>
      <c r="K9577" s="6" t="n">
        <f aca="false">Sens!K9526*sbc_r</f>
        <v>31.0080606151698</v>
      </c>
    </row>
    <row r="9578" customFormat="false" ht="17.15" hidden="false" customHeight="false" outlineLevel="0" collapsed="false">
      <c r="A9578" s="1" t="s">
        <v>846</v>
      </c>
      <c r="B9578" s="0" t="s">
        <v>95</v>
      </c>
      <c r="F9578" s="6" t="n">
        <f aca="false">wc27</f>
        <v>-4.895</v>
      </c>
      <c r="G9578" s="6" t="n">
        <f aca="false">0</f>
        <v>0</v>
      </c>
      <c r="H9578" s="6" t="n">
        <f aca="false">0</f>
        <v>0</v>
      </c>
      <c r="I9578" s="6" t="n">
        <f aca="false">0</f>
        <v>0</v>
      </c>
      <c r="J9578" s="6" t="n">
        <f aca="false">0</f>
        <v>0</v>
      </c>
      <c r="K9578" s="6" t="n">
        <f aca="false">0</f>
        <v>0</v>
      </c>
      <c r="L9578" s="11" t="s">
        <v>847</v>
      </c>
    </row>
    <row r="9579" customFormat="false" ht="15" hidden="false" customHeight="false" outlineLevel="0" collapsed="false">
      <c r="A9579" s="1" t="s">
        <v>678</v>
      </c>
      <c r="B9579" s="0" t="s">
        <v>95</v>
      </c>
      <c r="E9579" s="6" t="n">
        <f aca="false">Q!M35</f>
        <v>182.935</v>
      </c>
      <c r="F9579" s="6" t="n">
        <f aca="false">Sens!F9574+Sens!F9576+Sens!F9577+Sens!F9578</f>
        <v>207.827043549419</v>
      </c>
      <c r="G9579" s="6" t="n">
        <f aca="false">Sens!G9574+Sens!G9576+Sens!G9577+Sens!G9578</f>
        <v>266.938068526095</v>
      </c>
      <c r="H9579" s="6" t="n">
        <f aca="false">Sens!H9574+Sens!H9576+Sens!H9577+Sens!H9578</f>
        <v>327.25773525674</v>
      </c>
      <c r="I9579" s="6" t="n">
        <f aca="false">Sens!I9574+Sens!I9576+Sens!I9577+Sens!I9578</f>
        <v>381.887931759134</v>
      </c>
      <c r="J9579" s="6" t="n">
        <f aca="false">Sens!J9574+Sens!J9576+Sens!J9577+Sens!J9578</f>
        <v>435.006397323798</v>
      </c>
      <c r="K9579" s="6" t="n">
        <f aca="false">Sens!K9574+Sens!K9576+Sens!K9577+Sens!K9578</f>
        <v>486.974679951238</v>
      </c>
    </row>
    <row r="9580" customFormat="false" ht="17.15" hidden="false" customHeight="false" outlineLevel="0" collapsed="false">
      <c r="A9580" s="0" t="s">
        <v>848</v>
      </c>
      <c r="B9580" s="0" t="s">
        <v>95</v>
      </c>
      <c r="F9580" s="6" t="n">
        <f aca="false">Sens!F9496</f>
        <v>168.470652770438</v>
      </c>
      <c r="G9580" s="6" t="n">
        <f aca="false">Sens!G9496</f>
        <v>183.5741804832</v>
      </c>
      <c r="H9580" s="6" t="n">
        <f aca="false">Sens!H9496</f>
        <v>188.0802859104</v>
      </c>
      <c r="I9580" s="6" t="n">
        <f aca="false">Sens!I9496</f>
        <v>218.338961257067</v>
      </c>
      <c r="J9580" s="6" t="n">
        <f aca="false">Sens!J9496</f>
        <v>233.777060923733</v>
      </c>
      <c r="K9580" s="6" t="n">
        <f aca="false">Sens!K9496</f>
        <v>278.8563119504</v>
      </c>
    </row>
    <row r="9581" customFormat="false" ht="17.15" hidden="false" customHeight="false" outlineLevel="0" collapsed="false">
      <c r="A9581" s="1" t="s">
        <v>849</v>
      </c>
      <c r="B9581" s="0" t="s">
        <v>95</v>
      </c>
      <c r="E9581" s="6" t="n">
        <f aca="false">Sens!E9504*cx_azo+Sens!E9511*cx_m365+Sens!E9512*cx_lic+(Sens!E9514+Sens!E9516)*cx_ind+Sens!E9519*cx_srch+(Sens!E9521+Sens!E9523)*cx_dev</f>
        <v>30.1846587067718</v>
      </c>
      <c r="F9581" s="6" t="n">
        <f aca="false">Sens!F9504*cx_azo+Sens!F9511*cx_m365+Sens!F9512*cx_lic+(Sens!F9514+Sens!F9516)*cx_ind+Sens!F9519*cx_srch+(Sens!F9521+Sens!F9523)*cx_dev</f>
        <v>35.7293472295625</v>
      </c>
      <c r="G9581" s="6" t="n">
        <f aca="false">Sens!G9504*cx_azo+Sens!G9511*cx_m365+Sens!G9512*cx_lic+(Sens!G9514+Sens!G9516)*cx_ind+Sens!G9519*cx_srch+(Sens!G9521+Sens!G9523)*cx_dev</f>
        <v>41.6028935703892</v>
      </c>
      <c r="H9581" s="6" t="n">
        <f aca="false">Sens!H9504*cx_azo+Sens!H9511*cx_m365+Sens!H9512*cx_lic+(Sens!H9514+Sens!H9516)*cx_ind+Sens!H9519*cx_srch+(Sens!H9521+Sens!H9523)*cx_dev</f>
        <v>47.5615136440897</v>
      </c>
      <c r="I9581" s="6" t="n">
        <f aca="false">Sens!I9504*cx_azo+Sens!I9511*cx_m365+Sens!I9512*cx_lic+(Sens!I9514+Sens!I9516)*cx_ind+Sens!I9519*cx_srch+(Sens!I9521+Sens!I9523)*cx_dev</f>
        <v>53.1734003116439</v>
      </c>
      <c r="J9581" s="6" t="n">
        <f aca="false">Sens!J9504*cx_azo+Sens!J9511*cx_m365+Sens!J9512*cx_lic+(Sens!J9514+Sens!J9516)*cx_ind+Sens!J9519*cx_srch+(Sens!J9521+Sens!J9523)*cx_dev</f>
        <v>58.2059132503738</v>
      </c>
      <c r="K9581" s="6" t="n">
        <f aca="false">Sens!K9504*cx_azo+Sens!K9511*cx_m365+Sens!K9512*cx_lic+(Sens!K9514+Sens!K9516)*cx_ind+Sens!K9519*cx_srch+(Sens!K9521+Sens!K9523)*cx_dev</f>
        <v>62.643702741994</v>
      </c>
    </row>
    <row r="9582" customFormat="false" ht="17.15" hidden="false" customHeight="false" outlineLevel="0" collapsed="false">
      <c r="A9582" s="1" t="s">
        <v>850</v>
      </c>
      <c r="B9582" s="0" t="s">
        <v>95</v>
      </c>
      <c r="E9582" s="6" t="n">
        <f aca="false">Q!M42</f>
        <v>145.3</v>
      </c>
      <c r="F9582" s="6" t="n">
        <f aca="false">Sens!F9580+Sens!F9581</f>
        <v>204.2</v>
      </c>
      <c r="G9582" s="6" t="n">
        <f aca="false">Sens!G9580+Sens!G9581</f>
        <v>225.177074053589</v>
      </c>
      <c r="H9582" s="6" t="n">
        <f aca="false">Sens!H9580+Sens!H9581</f>
        <v>235.64179955449</v>
      </c>
      <c r="I9582" s="6" t="n">
        <f aca="false">Sens!I9580+Sens!I9581</f>
        <v>271.512361568711</v>
      </c>
      <c r="J9582" s="6" t="n">
        <f aca="false">Sens!J9580+Sens!J9581</f>
        <v>291.982974174107</v>
      </c>
      <c r="K9582" s="6" t="n">
        <f aca="false">Sens!K9580+Sens!K9581</f>
        <v>341.500014692394</v>
      </c>
      <c r="L9582" s="1" t="s">
        <v>851</v>
      </c>
    </row>
    <row r="9583" customFormat="false" ht="15" hidden="false" customHeight="false" outlineLevel="0" collapsed="false">
      <c r="A9583" s="1" t="s">
        <v>852</v>
      </c>
      <c r="B9583" s="0" t="s">
        <v>95</v>
      </c>
      <c r="E9583" s="6" t="n">
        <f aca="false">fl_liab</f>
        <v>66.594</v>
      </c>
      <c r="F9583" s="6" t="n">
        <f aca="false">Sens!E9583-Sens!F9584</f>
        <v>62.46973</v>
      </c>
      <c r="G9583" s="6" t="n">
        <f aca="false">Sens!F9583-Sens!G9584</f>
        <v>57.98686785</v>
      </c>
      <c r="H9583" s="6" t="n">
        <f aca="false">Sens!G9583-Sens!H9584</f>
        <v>53.92827690325</v>
      </c>
      <c r="I9583" s="6" t="n">
        <f aca="false">Sens!H9583-Sens!I9584</f>
        <v>49.7850493638962</v>
      </c>
      <c r="J9583" s="6" t="n">
        <f aca="false">Sens!I9583-Sens!J9584</f>
        <v>45.4823765852716</v>
      </c>
      <c r="K9583" s="6" t="n">
        <f aca="false">Sens!J9583-Sens!K9584</f>
        <v>40.9860835316088</v>
      </c>
    </row>
    <row r="9584" customFormat="false" ht="15" hidden="false" customHeight="false" outlineLevel="0" collapsed="false">
      <c r="A9584" s="1" t="s">
        <v>853</v>
      </c>
      <c r="B9584" s="0" t="s">
        <v>95</v>
      </c>
      <c r="F9584" s="6" t="n">
        <f aca="false">fl_pay_27-Sens!E9583*fl_rate</f>
        <v>4.12427</v>
      </c>
      <c r="G9584" s="6" t="n">
        <f aca="false">fl_pay_28-Sens!F9583*fl_rate</f>
        <v>4.48286215</v>
      </c>
      <c r="H9584" s="6" t="n">
        <f aca="false">fl_pay_29-Sens!G9583*fl_rate</f>
        <v>4.05859094675</v>
      </c>
      <c r="I9584" s="6" t="n">
        <f aca="false">fl_pay_30-Sens!H9583*fl_rate</f>
        <v>4.14322753935375</v>
      </c>
      <c r="J9584" s="6" t="n">
        <f aca="false">fl_pay_31-Sens!I9583*fl_rate</f>
        <v>4.30267277862467</v>
      </c>
      <c r="K9584" s="6" t="n">
        <f aca="false">fl_pay_32-Sens!J9583*fl_rate</f>
        <v>4.49629305366278</v>
      </c>
    </row>
    <row r="9585" customFormat="false" ht="17.15" hidden="false" customHeight="false" outlineLevel="0" collapsed="false">
      <c r="A9585" s="1" t="s">
        <v>854</v>
      </c>
      <c r="B9585" s="0" t="s">
        <v>95</v>
      </c>
      <c r="E9585" s="6" t="n">
        <f aca="false">Q!M35-Q!M36-Q!M43</f>
        <v>63.886</v>
      </c>
      <c r="F9585" s="6" t="n">
        <f aca="false">Sens!F9579-Sens!F9582-Sens!F9584</f>
        <v>-0.497226450580689</v>
      </c>
      <c r="G9585" s="6" t="n">
        <f aca="false">Sens!G9579-Sens!G9582-Sens!G9584</f>
        <v>37.2781323225061</v>
      </c>
      <c r="H9585" s="6" t="n">
        <f aca="false">Sens!H9579-Sens!H9582-Sens!H9584</f>
        <v>87.5573447555002</v>
      </c>
      <c r="I9585" s="6" t="n">
        <f aca="false">Sens!I9579-Sens!I9582-Sens!I9584</f>
        <v>106.232342651069</v>
      </c>
      <c r="J9585" s="6" t="n">
        <f aca="false">Sens!J9579-Sens!J9582-Sens!J9584</f>
        <v>138.720750371066</v>
      </c>
      <c r="K9585" s="6" t="n">
        <f aca="false">Sens!K9579-Sens!K9582-Sens!K9584</f>
        <v>140.978372205181</v>
      </c>
      <c r="L9585" s="11" t="s">
        <v>855</v>
      </c>
    </row>
    <row r="9586" customFormat="false" ht="15" hidden="false" customHeight="false" outlineLevel="0" collapsed="false">
      <c r="A9586" s="1" t="s">
        <v>856</v>
      </c>
      <c r="B9586" s="0" t="s">
        <v>73</v>
      </c>
      <c r="F9586" s="8" t="n">
        <f aca="false">dps_27</f>
        <v>3.85</v>
      </c>
      <c r="G9586" s="8" t="n">
        <f aca="false">Sens!F9586*(1+dps_g)</f>
        <v>4.158</v>
      </c>
      <c r="H9586" s="8" t="n">
        <f aca="false">Sens!G9586*(1+dps_g)</f>
        <v>4.49064</v>
      </c>
      <c r="I9586" s="8" t="n">
        <f aca="false">Sens!H9586*(1+dps_g)</f>
        <v>4.8498912</v>
      </c>
      <c r="J9586" s="8" t="n">
        <f aca="false">Sens!I9586*(1+dps_g)</f>
        <v>5.237882496</v>
      </c>
      <c r="K9586" s="8" t="n">
        <f aca="false">Sens!J9586*(1+dps_g)</f>
        <v>5.65691309568</v>
      </c>
    </row>
    <row r="9587" customFormat="false" ht="17.15" hidden="false" customHeight="false" outlineLevel="0" collapsed="false">
      <c r="A9587" s="1" t="s">
        <v>857</v>
      </c>
      <c r="B9587" s="0" t="s">
        <v>95</v>
      </c>
      <c r="E9587" s="6" t="n">
        <f aca="false">Q!M41</f>
        <v>26.445</v>
      </c>
      <c r="F9587" s="6" t="n">
        <f aca="false">Sens!F9586*Sens!E9596</f>
        <v>28.59395</v>
      </c>
      <c r="G9587" s="6" t="n">
        <f aca="false">Sens!G9586*Sens!F9596</f>
        <v>31.068576</v>
      </c>
      <c r="H9587" s="6" t="n">
        <f aca="false">Sens!H9586*Sens!G9596</f>
        <v>33.7094929887694</v>
      </c>
      <c r="I9587" s="6" t="n">
        <f aca="false">Sens!I9586*Sens!H9596</f>
        <v>36.4571916678704</v>
      </c>
      <c r="J9587" s="6" t="n">
        <f aca="false">Sens!J9586*Sens!I9596</f>
        <v>39.4421658496195</v>
      </c>
      <c r="K9587" s="6" t="n">
        <f aca="false">Sens!K9586*Sens!J9596</f>
        <v>42.6847943428941</v>
      </c>
      <c r="L9587" s="1" t="s">
        <v>858</v>
      </c>
    </row>
    <row r="9588" customFormat="false" ht="15" hidden="false" customHeight="false" outlineLevel="0" collapsed="false">
      <c r="A9588" s="1" t="s">
        <v>859</v>
      </c>
      <c r="B9588" s="0" t="s">
        <v>95</v>
      </c>
      <c r="E9588" s="6" t="n">
        <f aca="false">Sens!E9585-Sens!E9587</f>
        <v>37.441</v>
      </c>
      <c r="F9588" s="6" t="n">
        <f aca="false">Sens!F9585-Sens!F9587</f>
        <v>-29.0911764505807</v>
      </c>
      <c r="G9588" s="6" t="n">
        <f aca="false">Sens!G9585-Sens!G9587</f>
        <v>6.20955632250612</v>
      </c>
      <c r="H9588" s="6" t="n">
        <f aca="false">Sens!H9585-Sens!H9587</f>
        <v>53.8478517667308</v>
      </c>
      <c r="I9588" s="6" t="n">
        <f aca="false">Sens!I9585-Sens!I9587</f>
        <v>69.775150983199</v>
      </c>
      <c r="J9588" s="6" t="n">
        <f aca="false">Sens!J9585-Sens!J9587</f>
        <v>99.2785845214468</v>
      </c>
      <c r="K9588" s="6" t="n">
        <f aca="false">Sens!K9585-Sens!K9587</f>
        <v>98.2935778622868</v>
      </c>
    </row>
    <row r="9589" customFormat="false" ht="15" hidden="false" customHeight="false" outlineLevel="0" collapsed="false">
      <c r="A9589" s="1" t="s">
        <v>860</v>
      </c>
      <c r="B9589" s="0" t="s">
        <v>95</v>
      </c>
      <c r="F9589" s="6" t="n">
        <f aca="false">debt_mat_27</f>
        <v>9.25</v>
      </c>
      <c r="G9589" s="6" t="n">
        <f aca="false">debt_mat_28</f>
        <v>0</v>
      </c>
      <c r="H9589" s="6" t="n">
        <f aca="false">debt_mat_29</f>
        <v>2.001</v>
      </c>
      <c r="I9589" s="6" t="n">
        <f aca="false">debt_mat_30</f>
        <v>0</v>
      </c>
      <c r="J9589" s="6" t="n">
        <f aca="false">debt_mat_31</f>
        <v>0.5</v>
      </c>
      <c r="K9589" s="6" t="n">
        <f aca="false">debt_mat_32</f>
        <v>0</v>
      </c>
    </row>
    <row r="9590" customFormat="false" ht="15" hidden="false" customHeight="false" outlineLevel="0" collapsed="false">
      <c r="A9590" s="1" t="s">
        <v>861</v>
      </c>
      <c r="B9590" s="0" t="s">
        <v>95</v>
      </c>
      <c r="E9590" s="6" t="n">
        <f aca="false">Q!M40</f>
        <v>22.271</v>
      </c>
      <c r="F9590" s="6" t="n">
        <f aca="false">MAX(0,MIN(bb_target,Sens!E9592+Sens!F9588-Sens!F9589-min_cash))</f>
        <v>0</v>
      </c>
      <c r="G9590" s="6" t="n">
        <f aca="false">MAX(0,MIN(bb_target,Sens!F9592+Sens!G9588-Sens!G9589-min_cash))</f>
        <v>6.20955632250612</v>
      </c>
      <c r="H9590" s="6" t="n">
        <f aca="false">MAX(0,MIN(bb_target,Sens!G9592+Sens!H9588-Sens!H9589-min_cash))</f>
        <v>22.271</v>
      </c>
      <c r="I9590" s="6" t="n">
        <f aca="false">MAX(0,MIN(bb_target,Sens!H9592+Sens!I9588-Sens!I9589-min_cash))</f>
        <v>22.271</v>
      </c>
      <c r="J9590" s="6" t="n">
        <f aca="false">MAX(0,MIN(bb_target,Sens!I9592+Sens!J9588-Sens!J9589-min_cash))</f>
        <v>22.271</v>
      </c>
      <c r="K9590" s="6" t="n">
        <f aca="false">MAX(0,MIN(bb_target,Sens!J9592+Sens!K9588-Sens!K9589-min_cash))</f>
        <v>22.271</v>
      </c>
    </row>
    <row r="9591" customFormat="false" ht="15" hidden="false" customHeight="false" outlineLevel="0" collapsed="false">
      <c r="A9591" s="1" t="s">
        <v>862</v>
      </c>
      <c r="B9591" s="0" t="s">
        <v>95</v>
      </c>
      <c r="F9591" s="6" t="n">
        <f aca="false">MAX(0,min_cash-(Sens!E9592+Sens!F9588-Sens!F9589-Sens!F9590))</f>
        <v>11.4981764505807</v>
      </c>
      <c r="G9591" s="6" t="n">
        <f aca="false">MAX(0,min_cash-(Sens!F9592+Sens!G9588-Sens!G9589-Sens!G9590))</f>
        <v>0</v>
      </c>
      <c r="H9591" s="6" t="n">
        <f aca="false">MAX(0,min_cash-(Sens!G9592+Sens!H9588-Sens!H9589-Sens!H9590))</f>
        <v>0</v>
      </c>
      <c r="I9591" s="6" t="n">
        <f aca="false">MAX(0,min_cash-(Sens!H9592+Sens!I9588-Sens!I9589-Sens!I9590))</f>
        <v>0</v>
      </c>
      <c r="J9591" s="6" t="n">
        <f aca="false">MAX(0,min_cash-(Sens!I9592+Sens!J9588-Sens!J9589-Sens!J9590))</f>
        <v>0</v>
      </c>
      <c r="K9591" s="6" t="n">
        <f aca="false">MAX(0,min_cash-(Sens!J9592+Sens!K9588-Sens!K9589-Sens!K9590))</f>
        <v>0</v>
      </c>
    </row>
    <row r="9592" customFormat="false" ht="15" hidden="false" customHeight="false" outlineLevel="0" collapsed="false">
      <c r="A9592" s="1" t="s">
        <v>863</v>
      </c>
      <c r="B9592" s="0" t="s">
        <v>95</v>
      </c>
      <c r="E9592" s="6" t="n">
        <f aca="false">cash_open</f>
        <v>76.843</v>
      </c>
      <c r="F9592" s="6" t="n">
        <f aca="false">Sens!E9592+Sens!F9588-Sens!F9589-Sens!F9590+Sens!F9591</f>
        <v>50</v>
      </c>
      <c r="G9592" s="6" t="n">
        <f aca="false">Sens!F9592+Sens!G9588-Sens!G9589-Sens!G9590+Sens!G9591</f>
        <v>50</v>
      </c>
      <c r="H9592" s="6" t="n">
        <f aca="false">Sens!G9592+Sens!H9588-Sens!H9589-Sens!H9590+Sens!H9591</f>
        <v>79.5758517667308</v>
      </c>
      <c r="I9592" s="6" t="n">
        <f aca="false">Sens!H9592+Sens!I9588-Sens!I9589-Sens!I9590+Sens!I9591</f>
        <v>127.08000274993</v>
      </c>
      <c r="J9592" s="6" t="n">
        <f aca="false">Sens!I9592+Sens!J9588-Sens!J9589-Sens!J9590+Sens!J9591</f>
        <v>203.587587271377</v>
      </c>
      <c r="K9592" s="6" t="n">
        <f aca="false">Sens!J9592+Sens!K9588-Sens!K9589-Sens!K9590+Sens!K9591</f>
        <v>279.610165133663</v>
      </c>
    </row>
    <row r="9593" customFormat="false" ht="15" hidden="false" customHeight="false" outlineLevel="0" collapsed="false">
      <c r="A9593" s="1" t="s">
        <v>864</v>
      </c>
      <c r="B9593" s="0" t="s">
        <v>95</v>
      </c>
      <c r="E9593" s="6" t="n">
        <f aca="false">debt_face</f>
        <v>46.136</v>
      </c>
      <c r="F9593" s="6" t="n">
        <f aca="false">Sens!E9593-Sens!F9589+Sens!F9591</f>
        <v>48.3841764505807</v>
      </c>
      <c r="G9593" s="6" t="n">
        <f aca="false">Sens!F9593-Sens!G9589+Sens!G9591</f>
        <v>48.3841764505807</v>
      </c>
      <c r="H9593" s="6" t="n">
        <f aca="false">Sens!G9593-Sens!H9589+Sens!H9591</f>
        <v>46.3831764505807</v>
      </c>
      <c r="I9593" s="6" t="n">
        <f aca="false">Sens!H9593-Sens!I9589+Sens!I9591</f>
        <v>46.3831764505807</v>
      </c>
      <c r="J9593" s="6" t="n">
        <f aca="false">Sens!I9593-Sens!J9589+Sens!J9591</f>
        <v>45.8831764505807</v>
      </c>
      <c r="K9593" s="6" t="n">
        <f aca="false">Sens!J9593-Sens!K9589+Sens!K9591</f>
        <v>45.8831764505807</v>
      </c>
    </row>
    <row r="9594" customFormat="false" ht="15" hidden="false" customHeight="false" outlineLevel="0" collapsed="false">
      <c r="A9594" s="1" t="s">
        <v>865</v>
      </c>
      <c r="B9594" s="0" t="s">
        <v>95</v>
      </c>
      <c r="E9594" s="6" t="n">
        <f aca="false">Sens!E9592-Sens!E9593</f>
        <v>30.707</v>
      </c>
      <c r="F9594" s="6" t="n">
        <f aca="false">Sens!F9592-Sens!F9593</f>
        <v>1.61582354941931</v>
      </c>
      <c r="G9594" s="6" t="n">
        <f aca="false">Sens!G9592-Sens!G9593</f>
        <v>1.61582354941931</v>
      </c>
      <c r="H9594" s="6" t="n">
        <f aca="false">Sens!H9592-Sens!H9593</f>
        <v>33.1926753161501</v>
      </c>
      <c r="I9594" s="6" t="n">
        <f aca="false">Sens!I9592-Sens!I9593</f>
        <v>80.696826299349</v>
      </c>
      <c r="J9594" s="6" t="n">
        <f aca="false">Sens!J9592-Sens!J9593</f>
        <v>157.704410820796</v>
      </c>
      <c r="K9594" s="6" t="n">
        <f aca="false">Sens!K9592-Sens!K9593</f>
        <v>233.726988683083</v>
      </c>
    </row>
    <row r="9595" customFormat="false" ht="15" hidden="false" customHeight="false" outlineLevel="0" collapsed="false">
      <c r="A9595" s="1" t="s">
        <v>866</v>
      </c>
      <c r="B9595" s="0" t="s">
        <v>73</v>
      </c>
      <c r="F9595" s="27" t="n">
        <f aca="false">px*(1+bb_g)^(1-0.5)</f>
        <v>553.494156066711</v>
      </c>
      <c r="G9595" s="27" t="n">
        <f aca="false">px*(1+bb_g)^(2-0.5)</f>
        <v>597.773688552047</v>
      </c>
      <c r="H9595" s="27" t="n">
        <f aca="false">px*(1+bb_g)^(3-0.5)</f>
        <v>645.595583636211</v>
      </c>
      <c r="I9595" s="27" t="n">
        <f aca="false">px*(1+bb_g)^(4-0.5)</f>
        <v>697.243230327108</v>
      </c>
      <c r="J9595" s="27" t="n">
        <f aca="false">px*(1+bb_g)^(5-0.5)</f>
        <v>753.022688753277</v>
      </c>
      <c r="K9595" s="27" t="n">
        <f aca="false">px*(1+bb_g)^(6-0.5)</f>
        <v>813.264503853539</v>
      </c>
    </row>
    <row r="9596" customFormat="false" ht="15" hidden="false" customHeight="false" outlineLevel="0" collapsed="false">
      <c r="A9596" s="1" t="s">
        <v>867</v>
      </c>
      <c r="B9596" s="1" t="s">
        <v>79</v>
      </c>
      <c r="E9596" s="18" t="n">
        <f aca="false">sh_out26</f>
        <v>7.427</v>
      </c>
      <c r="F9596" s="18" t="n">
        <f aca="false">Sens!E9596+sh_iss-Sens!F9590/Sens!F9595</f>
        <v>7.472</v>
      </c>
      <c r="G9596" s="18" t="n">
        <f aca="false">Sens!F9596+sh_iss-Sens!G9590/Sens!G9595</f>
        <v>7.50661219531501</v>
      </c>
      <c r="H9596" s="18" t="n">
        <f aca="false">Sens!G9596+sh_iss-Sens!H9590/Sens!H9595</f>
        <v>7.51711536701491</v>
      </c>
      <c r="I9596" s="18" t="n">
        <f aca="false">Sens!H9596+sh_iss-Sens!I9590/Sens!I9595</f>
        <v>7.53017385932963</v>
      </c>
      <c r="J9596" s="18" t="n">
        <f aca="false">Sens!I9596+sh_iss-Sens!J9590/Sens!J9595</f>
        <v>7.54559838925067</v>
      </c>
      <c r="K9596" s="18" t="n">
        <f aca="false">Sens!J9596+sh_iss-Sens!K9590/Sens!K9595</f>
        <v>7.56321369473312</v>
      </c>
    </row>
    <row r="9597" customFormat="false" ht="15" hidden="false" customHeight="false" outlineLevel="0" collapsed="false">
      <c r="A9597" s="1" t="s">
        <v>868</v>
      </c>
      <c r="B9597" s="1" t="s">
        <v>79</v>
      </c>
      <c r="E9597" s="18" t="n">
        <f aca="false">sh_dil26</f>
        <v>7.453</v>
      </c>
      <c r="F9597" s="18" t="n">
        <f aca="false">(Sens!E9596+Sens!F9596)/2+dil_gap</f>
        <v>7.4735</v>
      </c>
      <c r="G9597" s="18" t="n">
        <f aca="false">(Sens!F9596+Sens!G9596)/2+dil_gap</f>
        <v>7.5133060976575</v>
      </c>
      <c r="H9597" s="18" t="n">
        <f aca="false">(Sens!G9596+Sens!H9596)/2+dil_gap</f>
        <v>7.53586378116496</v>
      </c>
      <c r="I9597" s="18" t="n">
        <f aca="false">(Sens!H9596+Sens!I9596)/2+dil_gap</f>
        <v>7.54764461317227</v>
      </c>
      <c r="J9597" s="18" t="n">
        <f aca="false">(Sens!I9596+Sens!J9596)/2+dil_gap</f>
        <v>7.56188612429015</v>
      </c>
      <c r="K9597" s="18" t="n">
        <f aca="false">(Sens!J9596+Sens!K9596)/2+dil_gap</f>
        <v>7.5784060419919</v>
      </c>
    </row>
    <row r="9598" customFormat="false" ht="17.15" hidden="false" customHeight="false" outlineLevel="0" collapsed="false">
      <c r="A9598" s="1" t="s">
        <v>869</v>
      </c>
      <c r="B9598" s="0" t="s">
        <v>95</v>
      </c>
      <c r="C9598" s="6" t="n">
        <f aca="false">SUM(Sens!F9588:J9588)</f>
        <v>200.019967143302</v>
      </c>
    </row>
    <row r="9599" customFormat="false" ht="17.15" hidden="false" customHeight="false" outlineLevel="0" collapsed="false">
      <c r="A9599" s="1" t="s">
        <v>836</v>
      </c>
      <c r="B9599" s="1" t="s">
        <v>870</v>
      </c>
      <c r="C9599" s="30" t="str">
        <f aca="false">IF(SUM(Sens!F9591:J9591)&gt;0.05,"需要舉債 "&amp;TEXT(SUM(Sens!F9591:J9591),"0.0")&amp;" 十億美元","不需舉債")&amp;"；"&amp;IF(SUM(Sens!F9590:J9590)&lt;5*bb_target-0.05,"回購較每年 "&amp;TEXT(bb_target,"0.0")&amp;" 的目標少 "&amp;TEXT(5*bb_target-SUM(Sens!F9590:J9590),"0.0")&amp;" 十億美元（"&amp;TEXT(COUNTIF(Sens!F9590:J9590,"&lt;"&amp;(bb_target-0.05)),"0")&amp;" 年減少）","回購不減")</f>
        <v>需要舉債 11.5 十億美元；回購較每年 22.3 的目標少 38.3 十億美元（2 年減少）</v>
      </c>
    </row>
    <row r="9600" customFormat="false" ht="17.15" hidden="false" customHeight="false" outlineLevel="0" collapsed="false">
      <c r="A9600" s="3" t="s">
        <v>1388</v>
      </c>
    </row>
    <row r="9601" customFormat="false" ht="15" hidden="false" customHeight="false" outlineLevel="0" collapsed="false">
      <c r="A9601" s="4" t="s">
        <v>43</v>
      </c>
      <c r="B9601" s="4" t="s">
        <v>63</v>
      </c>
      <c r="C9601" s="19" t="s">
        <v>710</v>
      </c>
      <c r="D9601" s="19" t="s">
        <v>711</v>
      </c>
      <c r="E9601" s="19" t="s">
        <v>712</v>
      </c>
      <c r="F9601" s="19" t="s">
        <v>713</v>
      </c>
      <c r="G9601" s="19" t="s">
        <v>714</v>
      </c>
      <c r="H9601" s="19" t="s">
        <v>715</v>
      </c>
      <c r="I9601" s="19" t="s">
        <v>716</v>
      </c>
      <c r="J9601" s="19" t="s">
        <v>717</v>
      </c>
      <c r="K9601" s="19" t="s">
        <v>718</v>
      </c>
      <c r="L9601" s="4" t="s">
        <v>47</v>
      </c>
    </row>
    <row r="9602" customFormat="false" ht="17.15" hidden="false" customHeight="false" outlineLevel="0" collapsed="false">
      <c r="A9602" s="1" t="s">
        <v>938</v>
      </c>
      <c r="B9602" s="1" t="s">
        <v>213</v>
      </c>
      <c r="F9602" s="34" t="n">
        <f aca="false">1-0.5</f>
        <v>0.5</v>
      </c>
      <c r="G9602" s="34" t="n">
        <f aca="false">2-0.5</f>
        <v>1.5</v>
      </c>
      <c r="H9602" s="34" t="n">
        <f aca="false">3-0.5</f>
        <v>2.5</v>
      </c>
      <c r="I9602" s="34" t="n">
        <f aca="false">4-0.5</f>
        <v>3.5</v>
      </c>
      <c r="J9602" s="34" t="n">
        <f aca="false">5-0.5</f>
        <v>4.5</v>
      </c>
      <c r="K9602" s="34" t="n">
        <f aca="false">6-0.5</f>
        <v>5.5</v>
      </c>
    </row>
    <row r="9603" customFormat="false" ht="15" hidden="false" customHeight="false" outlineLevel="0" collapsed="false">
      <c r="A9603" s="1" t="s">
        <v>939</v>
      </c>
      <c r="B9603" s="0" t="s">
        <v>182</v>
      </c>
      <c r="F9603" s="18" t="n">
        <f aca="false">1/(1+wacc)^Sens!F9602</f>
        <v>0.949601579913219</v>
      </c>
      <c r="G9603" s="18" t="n">
        <f aca="false">1/(1+wacc)^Sens!G9602</f>
        <v>0.856296729956707</v>
      </c>
      <c r="H9603" s="18" t="n">
        <f aca="false">1/(1+wacc)^Sens!H9602</f>
        <v>0.772159719660069</v>
      </c>
      <c r="I9603" s="18" t="n">
        <f aca="false">1/(1+wacc)^Sens!I9602</f>
        <v>0.696289746073958</v>
      </c>
      <c r="J9603" s="18" t="n">
        <f aca="false">1/(1+wacc)^Sens!J9602</f>
        <v>0.627874516299776</v>
      </c>
      <c r="K9603" s="18" t="n">
        <f aca="false">1/(1+wacc)^Sens!K9602</f>
        <v>0.566181550771831</v>
      </c>
    </row>
    <row r="9604" customFormat="false" ht="15" hidden="false" customHeight="false" outlineLevel="0" collapsed="false">
      <c r="A9604" s="1" t="s">
        <v>940</v>
      </c>
      <c r="B9604" s="0" t="s">
        <v>95</v>
      </c>
      <c r="F9604" s="6" t="n">
        <f aca="false">Sens!F9585*Sens!F9603</f>
        <v>-0.472167023046064</v>
      </c>
      <c r="G9604" s="6" t="n">
        <f aca="false">Sens!G9585*Sens!G9603</f>
        <v>31.9211428066554</v>
      </c>
      <c r="H9604" s="6" t="n">
        <f aca="false">Sens!H9585*Sens!H9603</f>
        <v>67.608254780587</v>
      </c>
      <c r="I9604" s="6" t="n">
        <f aca="false">Sens!I9585*Sens!I9603</f>
        <v>73.9684908893547</v>
      </c>
      <c r="J9604" s="6" t="n">
        <f aca="false">Sens!J9585*Sens!J9603</f>
        <v>87.0992240399752</v>
      </c>
      <c r="K9604" s="6" t="n">
        <f aca="false">Sens!K9585*Sens!K9603</f>
        <v>79.8193534004177</v>
      </c>
    </row>
    <row r="9605" customFormat="false" ht="17.15" hidden="false" customHeight="false" outlineLevel="0" collapsed="false">
      <c r="A9605" s="1" t="s">
        <v>941</v>
      </c>
      <c r="B9605" s="0" t="s">
        <v>95</v>
      </c>
      <c r="C9605" s="6" t="n">
        <f aca="false">SUM(Sens!F9604:K9604)</f>
        <v>339.944298893944</v>
      </c>
    </row>
    <row r="9606" customFormat="false" ht="17.15" hidden="false" customHeight="false" outlineLevel="0" collapsed="false">
      <c r="A9606" s="1" t="s">
        <v>942</v>
      </c>
      <c r="B9606" s="0" t="s">
        <v>95</v>
      </c>
      <c r="C9606" s="6" t="n">
        <f aca="false">Sens!K9551*(1+g_tv)*(1-tax_f)</f>
        <v>251.982269561713</v>
      </c>
    </row>
    <row r="9607" customFormat="false" ht="17.15" hidden="false" customHeight="false" outlineLevel="0" collapsed="false">
      <c r="A9607" s="1" t="s">
        <v>943</v>
      </c>
      <c r="B9607" s="0" t="s">
        <v>95</v>
      </c>
      <c r="C9607" s="6" t="n">
        <f aca="false">Sens!$C$9606*(1-g_tv/(wacc+ronic_prem))</f>
        <v>182.605942328992</v>
      </c>
    </row>
    <row r="9608" customFormat="false" ht="17.15" hidden="false" customHeight="false" outlineLevel="0" collapsed="false">
      <c r="A9608" s="1" t="s">
        <v>944</v>
      </c>
      <c r="B9608" s="0" t="s">
        <v>95</v>
      </c>
      <c r="C9608" s="6" t="n">
        <f aca="false">Sens!$C$9607/(wacc-g_tv)</f>
        <v>2312.54424109071</v>
      </c>
    </row>
    <row r="9609" customFormat="false" ht="15" hidden="false" customHeight="false" outlineLevel="0" collapsed="false">
      <c r="A9609" s="1" t="s">
        <v>945</v>
      </c>
      <c r="B9609" s="0" t="s">
        <v>95</v>
      </c>
      <c r="C9609" s="6" t="n">
        <f aca="false">Sens!$C$9608/(1+wacc)^6</f>
        <v>1243.33223107468</v>
      </c>
    </row>
    <row r="9610" customFormat="false" ht="17.15" hidden="false" customHeight="false" outlineLevel="0" collapsed="false">
      <c r="A9610" s="0" t="s">
        <v>877</v>
      </c>
      <c r="B9610" s="0" t="s">
        <v>95</v>
      </c>
      <c r="C9610" s="6" t="n">
        <f aca="false">Sens!$C$9605+Sens!$C$9609</f>
        <v>1583.27652996862</v>
      </c>
    </row>
    <row r="9611" customFormat="false" ht="15" hidden="false" customHeight="false" outlineLevel="0" collapsed="false">
      <c r="A9611" s="1" t="s">
        <v>878</v>
      </c>
      <c r="B9611" s="0" t="s">
        <v>126</v>
      </c>
      <c r="C9611" s="7" t="n">
        <f aca="false">Sens!$C$9609/Sens!$C$9610</f>
        <v>0.785290634668424</v>
      </c>
    </row>
    <row r="9612" customFormat="false" ht="17.15" hidden="false" customHeight="false" outlineLevel="0" collapsed="false">
      <c r="A9612" s="1" t="s">
        <v>946</v>
      </c>
      <c r="B9612" s="0" t="s">
        <v>95</v>
      </c>
      <c r="C9612" s="6" t="n">
        <f aca="false">Sens!$C$9610+Sens!E9594+oai_v</f>
        <v>1784.38352996862</v>
      </c>
    </row>
    <row r="9613" customFormat="false" ht="17.15" hidden="false" customHeight="false" outlineLevel="0" collapsed="false">
      <c r="A9613" s="0" t="s">
        <v>883</v>
      </c>
      <c r="B9613" s="0" t="s">
        <v>73</v>
      </c>
      <c r="C9613" s="5" t="n">
        <f aca="false">Sens!$C$9612/sh_dil26</f>
        <v>239.4181577846</v>
      </c>
    </row>
    <row r="9614" customFormat="false" ht="17.15" hidden="false" customHeight="false" outlineLevel="0" collapsed="false">
      <c r="A9614" s="0" t="s">
        <v>947</v>
      </c>
      <c r="B9614" s="0" t="s">
        <v>73</v>
      </c>
      <c r="C9614" s="5" t="n">
        <f aca="false">Sens!$C$9613*(1+wacc)^t_roll</f>
        <v>274.611327120652</v>
      </c>
    </row>
    <row r="9615" customFormat="false" ht="17.15" hidden="false" customHeight="false" outlineLevel="0" collapsed="false">
      <c r="A9615" s="1" t="s">
        <v>948</v>
      </c>
      <c r="B9615" s="0" t="s">
        <v>126</v>
      </c>
      <c r="F9615" s="7" t="n">
        <f aca="false">Sens!F9575/(Sens!F9526-Sens!F9482)</f>
        <v>0.0681773598226415</v>
      </c>
      <c r="G9615" s="7" t="n">
        <f aca="false">Sens!G9575/(Sens!G9526-Sens!G9482)</f>
        <v>0.0650385409375172</v>
      </c>
      <c r="H9615" s="7" t="n">
        <f aca="false">Sens!H9575/(Sens!H9526-Sens!H9482)</f>
        <v>0.063382542471986</v>
      </c>
      <c r="I9615" s="7" t="n">
        <f aca="false">Sens!I9575/(Sens!I9526-Sens!I9482)</f>
        <v>0.0630998138876076</v>
      </c>
      <c r="J9615" s="7" t="n">
        <f aca="false">Sens!J9575/(Sens!J9526-Sens!J9482)</f>
        <v>0.0638399980286975</v>
      </c>
      <c r="K9615" s="7" t="n">
        <f aca="false">Sens!K9575/(Sens!K9526-Sens!K9482)</f>
        <v>0.0651531082402687</v>
      </c>
    </row>
    <row r="9616" customFormat="false" ht="17.15" hidden="false" customHeight="false" outlineLevel="0" collapsed="false">
      <c r="A9616" s="0" t="s">
        <v>949</v>
      </c>
      <c r="B9616" s="0" t="s">
        <v>95</v>
      </c>
      <c r="F9616" s="6" t="n">
        <f aca="false">Sens!F9511*(al_m365+Sens!F9615)</f>
        <v>80.4434678008041</v>
      </c>
      <c r="G9616" s="6" t="n">
        <f aca="false">Sens!G9511*(al_m365+Sens!G9615)</f>
        <v>94.1323272633269</v>
      </c>
      <c r="H9616" s="6" t="n">
        <f aca="false">Sens!H9511*(al_m365+Sens!H9615)</f>
        <v>107.983658528206</v>
      </c>
      <c r="I9616" s="6" t="n">
        <f aca="false">Sens!I9511*(al_m365+Sens!I9615)</f>
        <v>120.408335219477</v>
      </c>
      <c r="J9616" s="6" t="n">
        <f aca="false">Sens!J9511*(al_m365+Sens!J9615)</f>
        <v>131.229685027411</v>
      </c>
      <c r="K9616" s="6" t="n">
        <f aca="false">Sens!K9511*(al_m365+Sens!K9615)</f>
        <v>141.696231007978</v>
      </c>
    </row>
    <row r="9617" customFormat="false" ht="17.15" hidden="false" customHeight="false" outlineLevel="0" collapsed="false">
      <c r="A9617" s="0" t="s">
        <v>950</v>
      </c>
      <c r="B9617" s="0" t="s">
        <v>95</v>
      </c>
      <c r="F9617" s="6" t="n">
        <f aca="false">Sens!F9512*(al_lic+Sens!F9615)</f>
        <v>31.9678940661213</v>
      </c>
      <c r="G9617" s="6" t="n">
        <f aca="false">Sens!G9512*(al_lic+Sens!G9615)</f>
        <v>33.1937184472398</v>
      </c>
      <c r="H9617" s="6" t="n">
        <f aca="false">Sens!H9512*(al_lic+Sens!H9615)</f>
        <v>34.3439380840055</v>
      </c>
      <c r="I9617" s="6" t="n">
        <f aca="false">Sens!I9512*(al_lic+Sens!I9615)</f>
        <v>35.4022023072784</v>
      </c>
      <c r="J9617" s="6" t="n">
        <f aca="false">Sens!J9512*(al_lic+Sens!J9615)</f>
        <v>36.3410576398918</v>
      </c>
      <c r="K9617" s="6" t="n">
        <f aca="false">Sens!K9512*(al_lic+Sens!K9615)</f>
        <v>37.1276868757058</v>
      </c>
    </row>
    <row r="9618" customFormat="false" ht="17.15" hidden="false" customHeight="false" outlineLevel="0" collapsed="false">
      <c r="A9618" s="0" t="s">
        <v>951</v>
      </c>
      <c r="B9618" s="0" t="s">
        <v>95</v>
      </c>
      <c r="F9618" s="6" t="n">
        <f aca="false">Sens!F9514*(al_ind+Sens!F9615)</f>
        <v>8.23142235288747</v>
      </c>
      <c r="G9618" s="6" t="n">
        <f aca="false">Sens!G9514*(al_ind+Sens!G9615)</f>
        <v>8.92125445211874</v>
      </c>
      <c r="H9618" s="6" t="n">
        <f aca="false">Sens!H9514*(al_ind+Sens!H9615)</f>
        <v>9.65645689966252</v>
      </c>
      <c r="I9618" s="6" t="n">
        <f aca="false">Sens!I9514*(al_ind+Sens!I9615)</f>
        <v>10.4359305133559</v>
      </c>
      <c r="J9618" s="6" t="n">
        <f aca="false">Sens!J9514*(al_ind+Sens!J9615)</f>
        <v>11.2496615107155</v>
      </c>
      <c r="K9618" s="6" t="n">
        <f aca="false">Sens!K9514*(al_ind+Sens!K9615)</f>
        <v>12.0805802325565</v>
      </c>
    </row>
    <row r="9619" customFormat="false" ht="17.15" hidden="false" customHeight="false" outlineLevel="0" collapsed="false">
      <c r="A9619" s="0" t="s">
        <v>952</v>
      </c>
      <c r="B9619" s="0" t="s">
        <v>95</v>
      </c>
      <c r="F9619" s="6" t="n">
        <f aca="false">Sens!F9516*(al_fro+Sens!F9615)</f>
        <v>3.23991673698178</v>
      </c>
      <c r="G9619" s="6" t="n">
        <f aca="false">Sens!G9516*(al_fro+Sens!G9615)</f>
        <v>3.42523427012141</v>
      </c>
      <c r="H9619" s="6" t="n">
        <f aca="false">Sens!H9516*(al_fro+Sens!H9615)</f>
        <v>3.63888347669114</v>
      </c>
      <c r="I9619" s="6" t="n">
        <f aca="false">Sens!I9516*(al_fro+Sens!I9615)</f>
        <v>3.88382859986432</v>
      </c>
      <c r="J9619" s="6" t="n">
        <f aca="false">Sens!J9516*(al_fro+Sens!J9615)</f>
        <v>4.16055715035227</v>
      </c>
      <c r="K9619" s="6" t="n">
        <f aca="false">Sens!K9516*(al_fro+Sens!K9615)</f>
        <v>4.46786282583631</v>
      </c>
    </row>
    <row r="9620" customFormat="false" ht="17.15" hidden="false" customHeight="false" outlineLevel="0" collapsed="false">
      <c r="A9620" s="0" t="s">
        <v>953</v>
      </c>
      <c r="B9620" s="0" t="s">
        <v>95</v>
      </c>
      <c r="F9620" s="6" t="n">
        <f aca="false">Sens!F9519*(al_srch+Sens!F9615)</f>
        <v>10.1659255338338</v>
      </c>
      <c r="G9620" s="6" t="n">
        <f aca="false">Sens!G9519*(al_srch+Sens!G9615)</f>
        <v>11.1218361064416</v>
      </c>
      <c r="H9620" s="6" t="n">
        <f aca="false">Sens!H9519*(al_srch+Sens!H9615)</f>
        <v>12.1240320316325</v>
      </c>
      <c r="I9620" s="6" t="n">
        <f aca="false">Sens!I9519*(al_srch+Sens!I9615)</f>
        <v>13.1651647223307</v>
      </c>
      <c r="J9620" s="6" t="n">
        <f aca="false">Sens!J9519*(al_srch+Sens!J9615)</f>
        <v>14.2257207024961</v>
      </c>
      <c r="K9620" s="6" t="n">
        <f aca="false">Sens!K9519*(al_srch+Sens!K9615)</f>
        <v>15.2764561092572</v>
      </c>
    </row>
    <row r="9621" customFormat="false" ht="17.15" hidden="false" customHeight="false" outlineLevel="0" collapsed="false">
      <c r="A9621" s="0" t="s">
        <v>954</v>
      </c>
      <c r="B9621" s="0" t="s">
        <v>95</v>
      </c>
      <c r="F9621" s="6" t="n">
        <f aca="false">Sens!F9488</f>
        <v>43.1278534047371</v>
      </c>
      <c r="G9621" s="6" t="n">
        <f aca="false">Sens!G9488</f>
        <v>78.4713023799053</v>
      </c>
      <c r="H9621" s="6" t="n">
        <f aca="false">Sens!H9488</f>
        <v>120.169624261219</v>
      </c>
      <c r="I9621" s="6" t="n">
        <f aca="false">Sens!I9488</f>
        <v>156.086713969963</v>
      </c>
      <c r="J9621" s="6" t="n">
        <f aca="false">Sens!J9488</f>
        <v>192.09687492465</v>
      </c>
      <c r="K9621" s="6" t="n">
        <f aca="false">Sens!K9488</f>
        <v>228.161785217179</v>
      </c>
    </row>
    <row r="9622" customFormat="false" ht="17.15" hidden="false" customHeight="false" outlineLevel="0" collapsed="false">
      <c r="A9622" s="0" t="s">
        <v>955</v>
      </c>
      <c r="B9622" s="0" t="s">
        <v>95</v>
      </c>
      <c r="F9622" s="6" t="n">
        <f aca="false">Sens!F9548+Sens!F9499+Sens!F9615*(Sens!F9518-Sens!F9482)</f>
        <v>210.386978270751</v>
      </c>
      <c r="G9622" s="6" t="n">
        <f aca="false">Sens!G9548+Sens!G9499+Sens!G9615*(Sens!G9518-Sens!G9482)</f>
        <v>266.728238115063</v>
      </c>
      <c r="H9622" s="6" t="n">
        <f aca="false">Sens!H9548+Sens!H9499+Sens!H9615*(Sens!H9518-Sens!H9482)</f>
        <v>329.668995840494</v>
      </c>
      <c r="I9622" s="6" t="n">
        <f aca="false">Sens!I9548+Sens!I9499+Sens!I9615*(Sens!I9518-Sens!I9482)</f>
        <v>385.329302144446</v>
      </c>
      <c r="J9622" s="6" t="n">
        <f aca="false">Sens!J9548+Sens!J9499+Sens!J9615*(Sens!J9518-Sens!J9482)</f>
        <v>438.791942015189</v>
      </c>
      <c r="K9622" s="6" t="n">
        <f aca="false">Sens!K9548+Sens!K9499+Sens!K9615*(Sens!K9518-Sens!K9482)</f>
        <v>490.455455172288</v>
      </c>
    </row>
    <row r="9623" customFormat="false" ht="17.15" hidden="false" customHeight="false" outlineLevel="0" collapsed="false">
      <c r="A9623" s="0" t="s">
        <v>956</v>
      </c>
      <c r="B9623" s="0" t="s">
        <v>95</v>
      </c>
      <c r="F9623" s="6" t="n">
        <f aca="false">Sens!F9622-Sens!F9616-Sens!F9617-Sens!F9618-Sens!F9619-Sens!F9621</f>
        <v>43.3764239092187</v>
      </c>
      <c r="G9623" s="6" t="n">
        <f aca="false">Sens!G9622-Sens!G9616-Sens!G9617-Sens!G9618-Sens!G9619-Sens!G9621</f>
        <v>48.5844013023507</v>
      </c>
      <c r="H9623" s="6" t="n">
        <f aca="false">Sens!H9622-Sens!H9616-Sens!H9617-Sens!H9618-Sens!H9619-Sens!H9621</f>
        <v>53.8764345907098</v>
      </c>
      <c r="I9623" s="6" t="n">
        <f aca="false">Sens!I9622-Sens!I9616-Sens!I9617-Sens!I9618-Sens!I9619-Sens!I9621</f>
        <v>59.1122915345068</v>
      </c>
      <c r="J9623" s="6" t="n">
        <f aca="false">Sens!J9622-Sens!J9616-Sens!J9617-Sens!J9618-Sens!J9619-Sens!J9621</f>
        <v>63.7141057621682</v>
      </c>
      <c r="K9623" s="6" t="n">
        <f aca="false">Sens!K9622-Sens!K9616-Sens!K9617-Sens!K9618-Sens!K9619-Sens!K9621</f>
        <v>66.9213090130322</v>
      </c>
    </row>
    <row r="9624" customFormat="false" ht="17.15" hidden="false" customHeight="false" outlineLevel="0" collapsed="false">
      <c r="A9624" s="0" t="s">
        <v>957</v>
      </c>
      <c r="B9624" s="0" t="s">
        <v>95</v>
      </c>
      <c r="F9624" s="6" t="n">
        <f aca="false">Sens!F9550+Sens!F9615*Sens!F9525</f>
        <v>22.433801059415</v>
      </c>
      <c r="G9624" s="6" t="n">
        <f aca="false">Sens!G9550+Sens!G9615*Sens!G9525</f>
        <v>22.9062929616307</v>
      </c>
      <c r="H9624" s="6" t="n">
        <f aca="false">Sens!H9550+Sens!H9615*Sens!H9525</f>
        <v>23.6276204854257</v>
      </c>
      <c r="I9624" s="6" t="n">
        <f aca="false">Sens!I9550+Sens!I9615*Sens!I9525</f>
        <v>24.573793323461</v>
      </c>
      <c r="J9624" s="6" t="n">
        <f aca="false">Sens!J9550+Sens!J9615*Sens!J9525</f>
        <v>25.7091232891415</v>
      </c>
      <c r="K9624" s="6" t="n">
        <f aca="false">Sens!K9550+Sens!K9615*Sens!K9525</f>
        <v>26.9919092030306</v>
      </c>
    </row>
    <row r="9625" customFormat="false" ht="17.15" hidden="false" customHeight="false" outlineLevel="0" collapsed="false">
      <c r="A9625" s="0" t="s">
        <v>958</v>
      </c>
      <c r="B9625" s="0" t="s">
        <v>95</v>
      </c>
      <c r="F9625" s="6" t="n">
        <f aca="false">(Sens!F9624-Sens!F9620)*Sens!F9521/(Sens!F9521+Sens!F9523)</f>
        <v>6.72512987574732</v>
      </c>
      <c r="G9625" s="6" t="n">
        <f aca="false">(Sens!G9624-Sens!G9620)*Sens!G9521/(Sens!G9521+Sens!G9523)</f>
        <v>6.34494085579259</v>
      </c>
      <c r="H9625" s="6" t="n">
        <f aca="false">(Sens!H9624-Sens!H9620)*Sens!H9521/(Sens!H9521+Sens!H9523)</f>
        <v>6.1100500340453</v>
      </c>
      <c r="I9625" s="6" t="n">
        <f aca="false">(Sens!I9624-Sens!I9620)*Sens!I9521/(Sens!I9521+Sens!I9523)</f>
        <v>6.00478532316067</v>
      </c>
      <c r="J9625" s="6" t="n">
        <f aca="false">(Sens!J9624-Sens!J9620)*Sens!J9521/(Sens!J9521+Sens!J9523)</f>
        <v>6.01681026575619</v>
      </c>
      <c r="K9625" s="6" t="n">
        <f aca="false">(Sens!K9624-Sens!K9620)*Sens!K9521/(Sens!K9521+Sens!K9523)</f>
        <v>6.13839477548037</v>
      </c>
    </row>
    <row r="9626" customFormat="false" ht="17.15" hidden="false" customHeight="false" outlineLevel="0" collapsed="false">
      <c r="A9626" s="0" t="s">
        <v>959</v>
      </c>
      <c r="B9626" s="0" t="s">
        <v>95</v>
      </c>
      <c r="F9626" s="6" t="n">
        <f aca="false">Sens!F9624-Sens!F9620-Sens!F9625</f>
        <v>5.54274564983379</v>
      </c>
      <c r="G9626" s="6" t="n">
        <f aca="false">Sens!G9624-Sens!G9620-Sens!G9625</f>
        <v>5.43951599939652</v>
      </c>
      <c r="H9626" s="6" t="n">
        <f aca="false">Sens!H9624-Sens!H9620-Sens!H9625</f>
        <v>5.39353841974782</v>
      </c>
      <c r="I9626" s="6" t="n">
        <f aca="false">Sens!I9624-Sens!I9620-Sens!I9625</f>
        <v>5.4038432779696</v>
      </c>
      <c r="J9626" s="6" t="n">
        <f aca="false">Sens!J9624-Sens!J9620-Sens!J9625</f>
        <v>5.46659232088912</v>
      </c>
      <c r="K9626" s="6" t="n">
        <f aca="false">Sens!K9624-Sens!K9620-Sens!K9625</f>
        <v>5.5770583182931</v>
      </c>
    </row>
    <row r="9627" customFormat="false" ht="17.15" hidden="false" customHeight="false" outlineLevel="0" collapsed="false">
      <c r="A9627" s="1" t="s">
        <v>960</v>
      </c>
      <c r="B9627" s="0" t="s">
        <v>95</v>
      </c>
      <c r="C9627" s="6" t="n">
        <f aca="false">(w_ntm28*Sens!G9621+(1-w_ntm28)*Sens!H9621)*m_ai*1</f>
        <v>551.711134531404</v>
      </c>
    </row>
    <row r="9628" customFormat="false" ht="17.15" hidden="false" customHeight="false" outlineLevel="0" collapsed="false">
      <c r="A9628" s="1" t="s">
        <v>961</v>
      </c>
      <c r="B9628" s="0" t="s">
        <v>95</v>
      </c>
      <c r="C9628" s="6" t="n">
        <f aca="false">(w_ntm28*Sens!G9623+(1-w_ntm28)*Sens!H9623)*m_cloud*1</f>
        <v>695.080360807595</v>
      </c>
    </row>
    <row r="9629" customFormat="false" ht="17.15" hidden="false" customHeight="false" outlineLevel="0" collapsed="false">
      <c r="A9629" s="1" t="s">
        <v>962</v>
      </c>
      <c r="B9629" s="0" t="s">
        <v>95</v>
      </c>
      <c r="C9629" s="6" t="n">
        <f aca="false">(w_ntm28*Sens!G9616+(1-w_ntm28)*Sens!H9616)*m_sw*1</f>
        <v>1064.99115242739</v>
      </c>
    </row>
    <row r="9630" customFormat="false" ht="17.15" hidden="false" customHeight="false" outlineLevel="0" collapsed="false">
      <c r="A9630" s="1" t="s">
        <v>963</v>
      </c>
      <c r="B9630" s="0" t="s">
        <v>95</v>
      </c>
      <c r="C9630" s="6" t="n">
        <f aca="false">(w_ntm28*Sens!G9617+(1-w_ntm28)*Sens!H9617)*m_sw*1</f>
        <v>362.508158970174</v>
      </c>
    </row>
    <row r="9631" customFormat="false" ht="17.15" hidden="false" customHeight="false" outlineLevel="0" collapsed="false">
      <c r="A9631" s="1" t="s">
        <v>964</v>
      </c>
      <c r="B9631" s="0" t="s">
        <v>95</v>
      </c>
      <c r="C9631" s="6" t="n">
        <f aca="false">(w_ntm28*Sens!G9618+(1-w_ntm28)*Sens!H9618)*m_sw*1</f>
        <v>98.9165124641147</v>
      </c>
    </row>
    <row r="9632" customFormat="false" ht="17.15" hidden="false" customHeight="false" outlineLevel="0" collapsed="false">
      <c r="A9632" s="1" t="s">
        <v>965</v>
      </c>
      <c r="B9632" s="0" t="s">
        <v>95</v>
      </c>
      <c r="C9632" s="6" t="n">
        <f aca="false">(w_ntm28*Sens!G9619+(1-w_ntm28)*Sens!H9619)*m_sw*1</f>
        <v>37.7384877854002</v>
      </c>
    </row>
    <row r="9633" customFormat="false" ht="17.15" hidden="false" customHeight="false" outlineLevel="0" collapsed="false">
      <c r="A9633" s="1" t="s">
        <v>966</v>
      </c>
      <c r="B9633" s="0" t="s">
        <v>95</v>
      </c>
      <c r="C9633" s="6" t="n">
        <f aca="false">(w_ntm28*Sens!G9620+(1-w_ntm28)*Sens!H9620)*m_ads*1</f>
        <v>104.271544945195</v>
      </c>
    </row>
    <row r="9634" customFormat="false" ht="17.15" hidden="false" customHeight="false" outlineLevel="0" collapsed="false">
      <c r="A9634" s="1" t="s">
        <v>967</v>
      </c>
      <c r="B9634" s="0" t="s">
        <v>95</v>
      </c>
      <c r="C9634" s="6" t="n">
        <f aca="false">(w_ntm28*Sens!G9625+(1-w_ntm28)*Sens!H9625)*m_game*1</f>
        <v>79.1775148243239</v>
      </c>
    </row>
    <row r="9635" customFormat="false" ht="17.15" hidden="false" customHeight="false" outlineLevel="0" collapsed="false">
      <c r="A9635" s="1" t="s">
        <v>968</v>
      </c>
      <c r="B9635" s="0" t="s">
        <v>95</v>
      </c>
      <c r="C9635" s="6" t="n">
        <f aca="false">(w_ntm28*Sens!G9626+(1-w_ntm28)*Sens!H9626)*m_pc*1</f>
        <v>78.4947146533308</v>
      </c>
    </row>
    <row r="9636" customFormat="false" ht="17.15" hidden="false" customHeight="false" outlineLevel="0" collapsed="false">
      <c r="A9636" s="1" t="s">
        <v>969</v>
      </c>
      <c r="B9636" s="0" t="s">
        <v>95</v>
      </c>
      <c r="C9636" s="6" t="n">
        <f aca="false">Sens!$C$9627+Sens!$C$9628+Sens!$C$9629+Sens!$C$9630+Sens!$C$9631+Sens!$C$9632+Sens!$C$9633+Sens!$C$9634+Sens!$C$9635</f>
        <v>3072.88958140892</v>
      </c>
    </row>
    <row r="9637" customFormat="false" ht="17.15" hidden="false" customHeight="false" outlineLevel="0" collapsed="false">
      <c r="A9637" s="1" t="s">
        <v>903</v>
      </c>
      <c r="B9637" s="0" t="s">
        <v>95</v>
      </c>
      <c r="C9637" s="6" t="n">
        <f aca="false">Sens!F9594+oai_v-Sens!F9583</f>
        <v>109.546093549419</v>
      </c>
      <c r="L9637" s="1" t="s">
        <v>970</v>
      </c>
    </row>
    <row r="9638" customFormat="false" ht="15" hidden="false" customHeight="false" outlineLevel="0" collapsed="false">
      <c r="A9638" s="1" t="s">
        <v>904</v>
      </c>
      <c r="B9638" s="0" t="s">
        <v>73</v>
      </c>
      <c r="C9638" s="5" t="n">
        <f aca="false">(Sens!$C$9636+Sens!$C$9637)/Sens!F9596</f>
        <v>425.914838725688</v>
      </c>
    </row>
    <row r="9639" customFormat="false" ht="17.15" hidden="false" customHeight="false" outlineLevel="0" collapsed="false">
      <c r="A9639" s="1" t="s">
        <v>971</v>
      </c>
      <c r="B9639" s="0" t="s">
        <v>73</v>
      </c>
      <c r="C9639" s="5" t="n">
        <f aca="false">w_dcf*Sens!$C$9614+(1-w_dcf)*Sens!$C$9638</f>
        <v>350.26308292317</v>
      </c>
    </row>
    <row r="9640" customFormat="false" ht="17.15" hidden="false" customHeight="false" outlineLevel="0" collapsed="false">
      <c r="A9640" s="3" t="s">
        <v>1389</v>
      </c>
    </row>
    <row r="9641" customFormat="false" ht="15" hidden="false" customHeight="false" outlineLevel="0" collapsed="false">
      <c r="A9641" s="4" t="s">
        <v>43</v>
      </c>
      <c r="B9641" s="4" t="s">
        <v>63</v>
      </c>
      <c r="C9641" s="19" t="s">
        <v>710</v>
      </c>
      <c r="D9641" s="19" t="s">
        <v>711</v>
      </c>
      <c r="E9641" s="19" t="s">
        <v>712</v>
      </c>
      <c r="F9641" s="19" t="s">
        <v>713</v>
      </c>
      <c r="G9641" s="19" t="s">
        <v>714</v>
      </c>
      <c r="H9641" s="19" t="s">
        <v>715</v>
      </c>
      <c r="I9641" s="19" t="s">
        <v>716</v>
      </c>
      <c r="J9641" s="19" t="s">
        <v>717</v>
      </c>
      <c r="K9641" s="19" t="s">
        <v>718</v>
      </c>
      <c r="L9641" s="4" t="s">
        <v>47</v>
      </c>
    </row>
    <row r="9642" customFormat="false" ht="17.15" hidden="false" customHeight="false" outlineLevel="0" collapsed="false">
      <c r="A9642" s="1" t="s">
        <v>719</v>
      </c>
      <c r="B9642" s="0" t="s">
        <v>340</v>
      </c>
      <c r="C9642" s="27" t="n">
        <f aca="false">mw_ext_24</f>
        <v>640</v>
      </c>
      <c r="D9642" s="27" t="n">
        <f aca="false">mw_ext_25</f>
        <v>1630</v>
      </c>
      <c r="E9642" s="27" t="n">
        <f aca="false">mw_ext_26</f>
        <v>3250</v>
      </c>
      <c r="F9642" s="27" t="n">
        <f aca="false">MIN(1000000000,Sens!E9642+pace)</f>
        <v>5777.2</v>
      </c>
      <c r="G9642" s="27" t="n">
        <f aca="false">MIN(1000000000,Sens!F9642+pace)</f>
        <v>8304.4</v>
      </c>
      <c r="H9642" s="27" t="n">
        <f aca="false">MIN(1000000000,Sens!G9642+pace)</f>
        <v>10831.6</v>
      </c>
      <c r="I9642" s="27" t="n">
        <f aca="false">MIN(1000000000,Sens!H9642+pace)</f>
        <v>13358.8</v>
      </c>
      <c r="J9642" s="27" t="n">
        <f aca="false">MIN(1000000000,Sens!I9642+pace)</f>
        <v>15886</v>
      </c>
      <c r="K9642" s="27" t="n">
        <f aca="false">MIN(1000000000,Sens!J9642+pace)</f>
        <v>18413.2</v>
      </c>
      <c r="L9642" s="11" t="s">
        <v>720</v>
      </c>
    </row>
    <row r="9643" customFormat="false" ht="17.15" hidden="false" customHeight="false" outlineLevel="0" collapsed="false">
      <c r="A9643" s="1" t="s">
        <v>721</v>
      </c>
      <c r="B9643" s="0" t="s">
        <v>340</v>
      </c>
      <c r="C9643" s="27" t="n">
        <f aca="false">rent_ext_24</f>
        <v>150</v>
      </c>
      <c r="D9643" s="27" t="n">
        <f aca="false">rent_ext_25</f>
        <v>400</v>
      </c>
      <c r="E9643" s="27" t="n">
        <f aca="false">rent_ext_26</f>
        <v>550</v>
      </c>
      <c r="F9643" s="27" t="n">
        <f aca="false">rent_ext_f</f>
        <v>756</v>
      </c>
      <c r="G9643" s="27" t="n">
        <f aca="false">rent_ext_f</f>
        <v>756</v>
      </c>
      <c r="H9643" s="27" t="n">
        <f aca="false">rent_ext_f</f>
        <v>756</v>
      </c>
      <c r="I9643" s="27" t="n">
        <f aca="false">rent_ext_f</f>
        <v>756</v>
      </c>
      <c r="J9643" s="27" t="n">
        <f aca="false">rent_ext_f</f>
        <v>756</v>
      </c>
      <c r="K9643" s="27" t="n">
        <f aca="false">rent_ext_f</f>
        <v>756</v>
      </c>
      <c r="L9643" s="1" t="s">
        <v>722</v>
      </c>
    </row>
    <row r="9644" customFormat="false" ht="17.15" hidden="false" customHeight="false" outlineLevel="0" collapsed="false">
      <c r="A9644" s="1" t="s">
        <v>723</v>
      </c>
      <c r="B9644" s="0" t="s">
        <v>340</v>
      </c>
      <c r="C9644" s="27" t="n">
        <f aca="false">Sens!C9642-Sens!C9643</f>
        <v>490</v>
      </c>
      <c r="D9644" s="27" t="n">
        <f aca="false">Sens!D9642-Sens!D9643</f>
        <v>1230</v>
      </c>
      <c r="E9644" s="27" t="n">
        <f aca="false">Sens!E9642-Sens!E9643</f>
        <v>2700</v>
      </c>
      <c r="F9644" s="27" t="n">
        <f aca="false">Sens!F9642-Sens!F9643</f>
        <v>5021.2</v>
      </c>
      <c r="G9644" s="27" t="n">
        <f aca="false">Sens!G9642-Sens!G9643</f>
        <v>7548.4</v>
      </c>
      <c r="H9644" s="27" t="n">
        <f aca="false">Sens!H9642-Sens!H9643</f>
        <v>10075.6</v>
      </c>
      <c r="I9644" s="27" t="n">
        <f aca="false">Sens!I9642-Sens!I9643</f>
        <v>12602.8</v>
      </c>
      <c r="J9644" s="27" t="n">
        <f aca="false">Sens!J9642-Sens!J9643</f>
        <v>15130</v>
      </c>
      <c r="K9644" s="27" t="n">
        <f aca="false">Sens!K9642-Sens!K9643</f>
        <v>17657.2</v>
      </c>
    </row>
    <row r="9645" customFormat="false" ht="17.15" hidden="false" customHeight="false" outlineLevel="0" collapsed="false">
      <c r="A9645" s="1" t="s">
        <v>724</v>
      </c>
      <c r="B9645" s="0" t="s">
        <v>340</v>
      </c>
      <c r="C9645" s="27" t="n">
        <f aca="false">Sens!C9644/ext_sh</f>
        <v>816.666666666667</v>
      </c>
      <c r="D9645" s="27" t="n">
        <f aca="false">Sens!D9644/ext_sh</f>
        <v>2050</v>
      </c>
      <c r="E9645" s="27" t="n">
        <f aca="false">Sens!E9644/ext_sh</f>
        <v>4500</v>
      </c>
      <c r="F9645" s="27" t="n">
        <f aca="false">Sens!F9644/ext_sh</f>
        <v>8368.66666666667</v>
      </c>
      <c r="G9645" s="27" t="n">
        <f aca="false">Sens!G9644/ext_sh</f>
        <v>12580.6666666667</v>
      </c>
      <c r="H9645" s="27" t="n">
        <f aca="false">Sens!H9644/ext_sh</f>
        <v>16792.6666666667</v>
      </c>
      <c r="I9645" s="27" t="n">
        <f aca="false">Sens!I9644/ext_sh</f>
        <v>21004.6666666667</v>
      </c>
      <c r="J9645" s="27" t="n">
        <f aca="false">Sens!J9644/ext_sh</f>
        <v>25216.6666666667</v>
      </c>
      <c r="K9645" s="27" t="n">
        <f aca="false">Sens!K9644/ext_sh</f>
        <v>29428.6666666667</v>
      </c>
      <c r="L9645" s="1" t="s">
        <v>725</v>
      </c>
    </row>
    <row r="9646" customFormat="false" ht="17.15" hidden="false" customHeight="false" outlineLevel="0" collapsed="false">
      <c r="A9646" s="1" t="s">
        <v>726</v>
      </c>
      <c r="B9646" s="0" t="s">
        <v>340</v>
      </c>
      <c r="C9646" s="27" t="n">
        <f aca="false">Sens!C9645-Sens!C9644</f>
        <v>326.666666666667</v>
      </c>
      <c r="D9646" s="27" t="n">
        <f aca="false">Sens!D9645-Sens!D9644</f>
        <v>820</v>
      </c>
      <c r="E9646" s="27" t="n">
        <f aca="false">Sens!E9645-Sens!E9644</f>
        <v>1800</v>
      </c>
      <c r="F9646" s="27" t="n">
        <f aca="false">Sens!F9645-Sens!F9644</f>
        <v>3347.46666666667</v>
      </c>
      <c r="G9646" s="27" t="n">
        <f aca="false">Sens!G9645-Sens!G9644</f>
        <v>5032.26666666667</v>
      </c>
      <c r="H9646" s="27" t="n">
        <f aca="false">Sens!H9645-Sens!H9644</f>
        <v>6717.06666666667</v>
      </c>
      <c r="I9646" s="27" t="n">
        <f aca="false">Sens!I9645-Sens!I9644</f>
        <v>8401.86666666667</v>
      </c>
      <c r="J9646" s="27" t="n">
        <f aca="false">Sens!J9645-Sens!J9644</f>
        <v>10086.6666666667</v>
      </c>
      <c r="K9646" s="27" t="n">
        <f aca="false">Sens!K9645-Sens!K9644</f>
        <v>11771.4666666667</v>
      </c>
    </row>
    <row r="9647" customFormat="false" ht="17.15" hidden="false" customHeight="false" outlineLevel="0" collapsed="false">
      <c r="A9647" s="1" t="s">
        <v>727</v>
      </c>
      <c r="B9647" s="0" t="s">
        <v>340</v>
      </c>
      <c r="C9647" s="27" t="n">
        <f aca="false">Sens!C9645</f>
        <v>816.666666666667</v>
      </c>
      <c r="D9647" s="27" t="n">
        <f aca="false">Sens!D9645-Sens!C9645</f>
        <v>1233.33333333333</v>
      </c>
      <c r="E9647" s="27" t="n">
        <f aca="false">Sens!E9645-Sens!D9645</f>
        <v>2450</v>
      </c>
      <c r="F9647" s="27" t="n">
        <f aca="false">Sens!F9645-Sens!E9645</f>
        <v>3868.66666666667</v>
      </c>
      <c r="G9647" s="27" t="n">
        <f aca="false">Sens!G9645-Sens!F9645</f>
        <v>4212</v>
      </c>
      <c r="H9647" s="27" t="n">
        <f aca="false">Sens!H9645-Sens!G9645</f>
        <v>4212</v>
      </c>
      <c r="I9647" s="27" t="n">
        <f aca="false">Sens!I9645-Sens!H9645</f>
        <v>4212</v>
      </c>
      <c r="J9647" s="27" t="n">
        <f aca="false">Sens!J9645-Sens!I9645</f>
        <v>4212</v>
      </c>
      <c r="K9647" s="27" t="n">
        <f aca="false">Sens!K9645-Sens!J9645</f>
        <v>4212</v>
      </c>
    </row>
    <row r="9648" customFormat="false" ht="17.15" hidden="false" customHeight="false" outlineLevel="0" collapsed="false">
      <c r="A9648" s="1" t="s">
        <v>728</v>
      </c>
      <c r="B9648" s="0" t="s">
        <v>340</v>
      </c>
      <c r="D9648" s="27" t="n">
        <f aca="false">Sens!D9642-Sens!C9642</f>
        <v>990</v>
      </c>
      <c r="E9648" s="27" t="n">
        <f aca="false">Sens!E9642-Sens!D9642</f>
        <v>1620</v>
      </c>
      <c r="F9648" s="27" t="n">
        <f aca="false">Sens!F9642-Sens!E9642</f>
        <v>2527.2</v>
      </c>
      <c r="G9648" s="27" t="n">
        <f aca="false">Sens!G9642-Sens!F9642</f>
        <v>2527.2</v>
      </c>
      <c r="H9648" s="27" t="n">
        <f aca="false">Sens!H9642-Sens!G9642</f>
        <v>2527.2</v>
      </c>
      <c r="I9648" s="27" t="n">
        <f aca="false">Sens!I9642-Sens!H9642</f>
        <v>2527.2</v>
      </c>
      <c r="J9648" s="27" t="n">
        <f aca="false">Sens!J9642-Sens!I9642</f>
        <v>2527.2</v>
      </c>
      <c r="K9648" s="27" t="n">
        <f aca="false">Sens!K9642-Sens!J9642</f>
        <v>2527.2</v>
      </c>
    </row>
    <row r="9649" customFormat="false" ht="17.15" hidden="false" customHeight="false" outlineLevel="0" collapsed="false">
      <c r="A9649" s="1" t="s">
        <v>729</v>
      </c>
      <c r="B9649" s="0" t="s">
        <v>340</v>
      </c>
      <c r="C9649" s="27" t="n">
        <f aca="false">mix_h*Sens!C9642</f>
        <v>128</v>
      </c>
      <c r="D9649" s="27" t="n">
        <f aca="false">mix_h*Sens!D9642</f>
        <v>326</v>
      </c>
      <c r="E9649" s="27" t="n">
        <f aca="false">mix_h*Sens!E9642</f>
        <v>650</v>
      </c>
      <c r="F9649" s="27" t="n">
        <f aca="false">Sens!E9649</f>
        <v>650</v>
      </c>
      <c r="G9649" s="27" t="n">
        <f aca="false">Sens!F9649</f>
        <v>650</v>
      </c>
      <c r="H9649" s="27" t="n">
        <f aca="false">Sens!G9649</f>
        <v>650</v>
      </c>
      <c r="I9649" s="27" t="n">
        <f aca="false">Sens!H9649</f>
        <v>650</v>
      </c>
      <c r="J9649" s="27" t="n">
        <f aca="false">Sens!I9649</f>
        <v>650</v>
      </c>
      <c r="K9649" s="27" t="n">
        <f aca="false">Sens!J9649</f>
        <v>650</v>
      </c>
    </row>
    <row r="9650" customFormat="false" ht="17.15" hidden="false" customHeight="false" outlineLevel="0" collapsed="false">
      <c r="A9650" s="1" t="s">
        <v>730</v>
      </c>
      <c r="B9650" s="0" t="s">
        <v>340</v>
      </c>
      <c r="C9650" s="27" t="n">
        <f aca="false">mix_g2*Sens!C9642</f>
        <v>288</v>
      </c>
      <c r="D9650" s="27" t="n">
        <f aca="false">mix_g2*Sens!D9642</f>
        <v>733.5</v>
      </c>
      <c r="E9650" s="27" t="n">
        <f aca="false">mix_g2*Sens!E9642</f>
        <v>1462.5</v>
      </c>
      <c r="F9650" s="27" t="n">
        <f aca="false">Sens!E9650</f>
        <v>1462.5</v>
      </c>
      <c r="G9650" s="27" t="n">
        <f aca="false">Sens!F9650</f>
        <v>1462.5</v>
      </c>
      <c r="H9650" s="27" t="n">
        <f aca="false">Sens!G9650</f>
        <v>1462.5</v>
      </c>
      <c r="I9650" s="27" t="n">
        <f aca="false">Sens!H9650</f>
        <v>1462.5</v>
      </c>
      <c r="J9650" s="27" t="n">
        <f aca="false">Sens!I9650</f>
        <v>1462.5</v>
      </c>
      <c r="K9650" s="27" t="n">
        <f aca="false">Sens!J9650</f>
        <v>1462.5</v>
      </c>
    </row>
    <row r="9651" customFormat="false" ht="17.15" hidden="false" customHeight="false" outlineLevel="0" collapsed="false">
      <c r="A9651" s="1" t="s">
        <v>731</v>
      </c>
      <c r="B9651" s="0" t="s">
        <v>340</v>
      </c>
      <c r="C9651" s="27" t="n">
        <f aca="false">mix_g3*Sens!C9642</f>
        <v>224</v>
      </c>
      <c r="D9651" s="27" t="n">
        <f aca="false">mix_g3*Sens!D9642</f>
        <v>570.5</v>
      </c>
      <c r="E9651" s="27" t="n">
        <f aca="false">mix_g3*Sens!E9642</f>
        <v>1137.5</v>
      </c>
      <c r="F9651" s="27" t="n">
        <f aca="false">Sens!E9651+Sens!F9648*a_g3_27</f>
        <v>2906.54</v>
      </c>
      <c r="G9651" s="27" t="n">
        <f aca="false">Sens!F9651+Sens!G9648*a_g3_28</f>
        <v>3664.7</v>
      </c>
      <c r="H9651" s="27" t="n">
        <f aca="false">Sens!G9651+Sens!H9648*a_g3_29</f>
        <v>3917.42</v>
      </c>
      <c r="I9651" s="27" t="n">
        <f aca="false">Sens!H9651+Sens!I9648*a_g3_29</f>
        <v>4170.14</v>
      </c>
      <c r="J9651" s="27" t="n">
        <f aca="false">Sens!I9651+Sens!J9648*a_g3_29</f>
        <v>4422.86</v>
      </c>
      <c r="K9651" s="27" t="n">
        <f aca="false">Sens!J9651+Sens!K9648*a_g3_29</f>
        <v>4675.58</v>
      </c>
    </row>
    <row r="9652" customFormat="false" ht="17.15" hidden="false" customHeight="false" outlineLevel="0" collapsed="false">
      <c r="A9652" s="1" t="s">
        <v>732</v>
      </c>
      <c r="B9652" s="0" t="s">
        <v>340</v>
      </c>
      <c r="C9652" s="27" t="n">
        <f aca="false">0</f>
        <v>0</v>
      </c>
      <c r="D9652" s="27" t="n">
        <f aca="false">0</f>
        <v>0</v>
      </c>
      <c r="E9652" s="27" t="n">
        <f aca="false">0</f>
        <v>0</v>
      </c>
      <c r="F9652" s="27" t="n">
        <f aca="false">Sens!E9652+Sens!F9648*(1-a_g3_27)</f>
        <v>758.16</v>
      </c>
      <c r="G9652" s="27" t="n">
        <f aca="false">Sens!F9652+Sens!G9648*(1-a_g3_28)</f>
        <v>2527.2</v>
      </c>
      <c r="H9652" s="27" t="n">
        <f aca="false">Sens!G9652+Sens!H9648*(1-a_g3_29)</f>
        <v>4801.68</v>
      </c>
      <c r="I9652" s="27" t="n">
        <f aca="false">Sens!H9652+Sens!I9648*(1-a_g3_29)</f>
        <v>7076.16</v>
      </c>
      <c r="J9652" s="27" t="n">
        <f aca="false">Sens!I9652+Sens!J9648*(1-a_g3_29)</f>
        <v>9350.64</v>
      </c>
      <c r="K9652" s="27" t="n">
        <f aca="false">Sens!J9652+Sens!K9648*(1-a_g3_29)</f>
        <v>11625.12</v>
      </c>
    </row>
    <row r="9653" customFormat="false" ht="17.15" hidden="false" customHeight="false" outlineLevel="0" collapsed="false">
      <c r="A9653" s="1" t="s">
        <v>733</v>
      </c>
      <c r="B9653" s="0" t="s">
        <v>291</v>
      </c>
      <c r="C9653" s="18" t="n">
        <f aca="false">(Sens!C9649*tk_hold_h100+Sens!C9650*tk_hold_gb200+Sens!C9651*tk_hold_gb300+Sens!C9652*tk_hold_vr200)/Sens!C9642</f>
        <v>9.7235358126469</v>
      </c>
      <c r="D9653" s="18" t="n">
        <f aca="false">(Sens!D9649*tk_hold_h100+Sens!D9650*tk_hold_gb200+Sens!D9651*tk_hold_gb300+Sens!D9652*tk_hold_vr200)/Sens!D9642</f>
        <v>9.7235358126469</v>
      </c>
      <c r="E9653" s="18" t="n">
        <f aca="false">(Sens!E9649*tk_hold_h100+Sens!E9650*tk_hold_gb200+Sens!E9651*tk_hold_gb300+Sens!E9652*tk_hold_vr200)/Sens!E9642</f>
        <v>9.7235358126469</v>
      </c>
      <c r="F9653" s="18" t="n">
        <f aca="false">(Sens!F9649*tk_hold_h100+Sens!F9650*tk_hold_gb200+Sens!F9651*tk_hold_gb300+Sens!F9652*tk_hold_vr200)/Sens!F9642</f>
        <v>10.4079573161931</v>
      </c>
      <c r="G9653" s="18" t="n">
        <f aca="false">(Sens!G9649*tk_hold_h100+Sens!G9650*tk_hold_gb200+Sens!G9651*tk_hold_gb300+Sens!G9652*tk_hold_vr200)/Sens!G9642</f>
        <v>10.8388131109316</v>
      </c>
      <c r="H9653" s="18" t="n">
        <f aca="false">(Sens!H9649*tk_hold_h100+Sens!H9650*tk_hold_gb200+Sens!H9651*tk_hold_gb300+Sens!H9652*tk_hold_vr200)/Sens!H9642</f>
        <v>11.1311018388216</v>
      </c>
      <c r="I9653" s="18" t="n">
        <f aca="false">(Sens!I9649*tk_hold_h100+Sens!I9650*tk_hold_gb200+Sens!I9651*tk_hold_gb300+Sens!I9652*tk_hold_vr200)/Sens!I9642</f>
        <v>11.3128009818501</v>
      </c>
      <c r="J9653" s="18" t="n">
        <f aca="false">(Sens!J9649*tk_hold_h100+Sens!J9650*tk_hold_gb200+Sens!J9651*tk_hold_gb300+Sens!J9652*tk_hold_vr200)/Sens!J9642</f>
        <v>11.4366894646418</v>
      </c>
      <c r="K9653" s="18" t="n">
        <f aca="false">(Sens!K9649*tk_hold_h100+Sens!K9650*tk_hold_gb200+Sens!K9651*tk_hold_gb300+Sens!K9652*tk_hold_vr200)/Sens!K9642</f>
        <v>11.526570716348</v>
      </c>
    </row>
    <row r="9654" customFormat="false" ht="17.15" hidden="false" customHeight="false" outlineLevel="0" collapsed="false">
      <c r="A9654" s="0" t="s">
        <v>734</v>
      </c>
      <c r="B9654" s="0" t="s">
        <v>182</v>
      </c>
      <c r="C9654" s="18" t="n">
        <f aca="false">k_B</f>
        <v>1.17213932619116</v>
      </c>
      <c r="D9654" s="18" t="n">
        <f aca="false">k_B</f>
        <v>1.17213932619116</v>
      </c>
      <c r="E9654" s="18" t="n">
        <f aca="false">k_B</f>
        <v>1.17213932619116</v>
      </c>
      <c r="F9654" s="18" t="n">
        <f aca="false">(k_B+((ls_B*k_long+(1-ls_B)*k_spot)-k_B)*MIN(1,1/3))*1</f>
        <v>1.17213932619116</v>
      </c>
      <c r="G9654" s="18" t="n">
        <f aca="false">(k_B+((ls_B*k_long+(1-ls_B)*k_spot)-k_B)*MIN(1,2/3))*1</f>
        <v>1.17213932619116</v>
      </c>
      <c r="H9654" s="18" t="n">
        <f aca="false">(k_B+((ls_B*k_long+(1-ls_B)*k_spot)-k_B)*MIN(1,3/3))*1</f>
        <v>1.17213932619116</v>
      </c>
      <c r="I9654" s="18" t="n">
        <f aca="false">(k_B+((ls_B*k_long+(1-ls_B)*k_spot)-k_B)*MIN(1,4/3))*1</f>
        <v>1.17213932619116</v>
      </c>
      <c r="J9654" s="18" t="n">
        <f aca="false">(k_B+((ls_B*k_long+(1-ls_B)*k_spot)-k_B)*MIN(1,5/3))*1</f>
        <v>1.17213932619116</v>
      </c>
      <c r="K9654" s="18" t="n">
        <f aca="false">(k_B+((ls_B*k_long+(1-ls_B)*k_spot)-k_B)*MIN(1,6/3))*1</f>
        <v>1.17213932619116</v>
      </c>
      <c r="L9654" s="1" t="s">
        <v>735</v>
      </c>
    </row>
    <row r="9655" customFormat="false" ht="17.15" hidden="false" customHeight="false" outlineLevel="0" collapsed="false">
      <c r="A9655" s="1" t="s">
        <v>736</v>
      </c>
      <c r="B9655" s="0" t="s">
        <v>291</v>
      </c>
      <c r="C9655" s="18" t="n">
        <f aca="false">Sens!C9653*Sens!C9654*chip_f</f>
        <v>11.3973387156315</v>
      </c>
      <c r="D9655" s="18" t="n">
        <f aca="false">Sens!D9653*Sens!D9654*chip_f</f>
        <v>11.3973387156315</v>
      </c>
      <c r="E9655" s="18" t="n">
        <f aca="false">Sens!E9653*Sens!E9654*chip_f</f>
        <v>11.3973387156315</v>
      </c>
      <c r="F9655" s="18" t="n">
        <f aca="false">Sens!F9653*Sens!F9654*chip_f</f>
        <v>12.1995760756289</v>
      </c>
      <c r="G9655" s="18" t="n">
        <f aca="false">Sens!G9653*Sens!G9654*chip_f</f>
        <v>12.7045990965592</v>
      </c>
      <c r="H9655" s="18" t="n">
        <f aca="false">Sens!H9653*Sens!H9654*chip_f</f>
        <v>13.0472022091214</v>
      </c>
      <c r="I9655" s="18" t="n">
        <f aca="false">Sens!I9653*Sens!I9654*chip_f</f>
        <v>13.2601789202004</v>
      </c>
      <c r="J9655" s="18" t="n">
        <f aca="false">Sens!J9653*Sens!J9654*chip_f</f>
        <v>13.4053934829427</v>
      </c>
      <c r="K9655" s="18" t="n">
        <f aca="false">Sens!K9653*Sens!K9654*chip_f</f>
        <v>13.5107468327548</v>
      </c>
      <c r="L9655" s="1" t="s">
        <v>737</v>
      </c>
    </row>
    <row r="9656" customFormat="false" ht="17.15" hidden="false" customHeight="false" outlineLevel="0" collapsed="false">
      <c r="A9656" s="0" t="s">
        <v>738</v>
      </c>
      <c r="B9656" s="0" t="s">
        <v>95</v>
      </c>
      <c r="D9656" s="6" t="n">
        <f aca="false">(Sens!C9642+Sens!D9642)/2*Sens!D9655/1000</f>
        <v>12.9359794422418</v>
      </c>
      <c r="E9656" s="6" t="n">
        <f aca="false">(Sens!D9642+Sens!E9642)/2*Sens!E9655/1000</f>
        <v>27.8095064661409</v>
      </c>
      <c r="F9656" s="6" t="n">
        <f aca="false">(Sens!E9642+Sens!F9642)/2*Sens!F9655/1000</f>
        <v>55.0640065749585</v>
      </c>
      <c r="G9656" s="6" t="n">
        <f aca="false">(Sens!F9642+Sens!G9642)/2*Sens!G9655/1000</f>
        <v>89.4505413190538</v>
      </c>
      <c r="H9656" s="6" t="n">
        <f aca="false">(Sens!G9642+Sens!H9642)/2*Sens!H9655/1000</f>
        <v>124.835630736874</v>
      </c>
      <c r="I9656" s="6" t="n">
        <f aca="false">(Sens!H9642+Sens!I9642)/2*Sens!I9655/1000</f>
        <v>160.384516075608</v>
      </c>
      <c r="J9656" s="6" t="n">
        <f aca="false">(Sens!I9642+Sens!J9642)/2*Sens!J9655/1000</f>
        <v>196.019025664981</v>
      </c>
      <c r="K9656" s="6" t="n">
        <f aca="false">(Sens!J9642+Sens!K9642)/2*Sens!K9655/1000</f>
        <v>231.703903883012</v>
      </c>
      <c r="L9656" s="11" t="s">
        <v>739</v>
      </c>
    </row>
    <row r="9657" customFormat="false" ht="17.15" hidden="false" customHeight="false" outlineLevel="0" collapsed="false">
      <c r="A9657" s="1" t="s">
        <v>740</v>
      </c>
      <c r="B9657" s="0" t="s">
        <v>291</v>
      </c>
      <c r="C9657" s="18" t="n">
        <f aca="false">(Sens!C9649*tk_opex_h100+Sens!C9650*tk_opex_gb200+Sens!C9651*tk_opex_gb300+Sens!C9652*tk_opex_vr200)/Sens!C9642</f>
        <v>1.88636041306092</v>
      </c>
      <c r="D9657" s="18" t="n">
        <f aca="false">(Sens!D9649*tk_opex_h100+Sens!D9650*tk_opex_gb200+Sens!D9651*tk_opex_gb300+Sens!D9652*tk_opex_vr200)/Sens!D9642</f>
        <v>1.88636041306092</v>
      </c>
      <c r="E9657" s="18" t="n">
        <f aca="false">(Sens!E9649*tk_opex_h100+Sens!E9650*tk_opex_gb200+Sens!E9651*tk_opex_gb300+Sens!E9652*tk_opex_vr200)/Sens!E9642</f>
        <v>1.88636041306092</v>
      </c>
      <c r="F9657" s="18" t="n">
        <f aca="false">(Sens!F9649*tk_opex_h100+Sens!F9650*tk_opex_gb200+Sens!F9651*tk_opex_gb300+Sens!F9652*tk_opex_vr200)/Sens!F9642</f>
        <v>1.9430236476499</v>
      </c>
      <c r="G9657" s="18" t="n">
        <f aca="false">(Sens!G9649*tk_opex_h100+Sens!G9650*tk_opex_gb200+Sens!G9651*tk_opex_gb300+Sens!G9652*tk_opex_vr200)/Sens!G9642</f>
        <v>1.9786941852423</v>
      </c>
      <c r="H9657" s="18" t="n">
        <f aca="false">(Sens!H9649*tk_opex_h100+Sens!H9650*tk_opex_gb200+Sens!H9651*tk_opex_gb300+Sens!H9652*tk_opex_vr200)/Sens!H9642</f>
        <v>2.00289275976156</v>
      </c>
      <c r="I9657" s="18" t="n">
        <f aca="false">(Sens!I9649*tk_opex_h100+Sens!I9650*tk_opex_gb200+Sens!I9651*tk_opex_gb300+Sens!I9652*tk_opex_vr200)/Sens!I9642</f>
        <v>2.01793562605478</v>
      </c>
      <c r="J9657" s="18" t="n">
        <f aca="false">(Sens!J9649*tk_opex_h100+Sens!J9650*tk_opex_gb200+Sens!J9651*tk_opex_gb300+Sens!J9652*tk_opex_vr200)/Sens!J9642</f>
        <v>2.02819234961902</v>
      </c>
      <c r="K9657" s="18" t="n">
        <f aca="false">(Sens!K9649*tk_opex_h100+Sens!K9650*tk_opex_gb200+Sens!K9651*tk_opex_gb300+Sens!K9652*tk_opex_vr200)/Sens!K9642</f>
        <v>2.0356336155994</v>
      </c>
    </row>
    <row r="9658" customFormat="false" ht="17.15" hidden="false" customHeight="false" outlineLevel="0" collapsed="false">
      <c r="A9658" s="0" t="s">
        <v>741</v>
      </c>
      <c r="B9658" s="0" t="s">
        <v>95</v>
      </c>
      <c r="D9658" s="6" t="n">
        <f aca="false">(Sens!C9645+Sens!D9645)/2*Sens!D9657/1000</f>
        <v>2.70378325872065</v>
      </c>
      <c r="E9658" s="6" t="n">
        <f aca="false">(Sens!D9645+Sens!E9645)/2*Sens!E9657/1000</f>
        <v>6.17783035277451</v>
      </c>
      <c r="F9658" s="6" t="n">
        <f aca="false">(Sens!E9645+Sens!F9645)/2*Sens!F9657/1000</f>
        <v>12.5020618235287</v>
      </c>
      <c r="G9658" s="6" t="n">
        <f aca="false">(Sens!F9645+Sens!G9645)/2*Sens!G9657/1000</f>
        <v>20.7261620256847</v>
      </c>
      <c r="H9658" s="6" t="n">
        <f aca="false">(Sens!G9645+Sens!H9645)/2*Sens!H9657/1000</f>
        <v>29.4158183316982</v>
      </c>
      <c r="I9658" s="6" t="n">
        <f aca="false">(Sens!H9645+Sens!I9645)/2*Sens!I9657/1000</f>
        <v>38.1362927516005</v>
      </c>
      <c r="J9658" s="6" t="n">
        <f aca="false">(Sens!I9645+Sens!J9645)/2*Sens!J9657/1000</f>
        <v>46.8728773279286</v>
      </c>
      <c r="K9658" s="6" t="n">
        <f aca="false">(Sens!J9645+Sens!K9645)/2*Sens!K9657/1000</f>
        <v>55.618938734484</v>
      </c>
    </row>
    <row r="9659" customFormat="false" ht="17.15" hidden="false" customHeight="false" outlineLevel="0" collapsed="false">
      <c r="A9659" s="0" t="s">
        <v>742</v>
      </c>
      <c r="B9659" s="0" t="s">
        <v>95</v>
      </c>
      <c r="D9659" s="6" t="n">
        <f aca="false">(Sens!C9643+Sens!D9643)/2*rent_mw/1000</f>
        <v>2.44475</v>
      </c>
      <c r="E9659" s="6" t="n">
        <f aca="false">(Sens!D9643+Sens!E9643)/2*rent_mw/1000</f>
        <v>4.22275</v>
      </c>
      <c r="F9659" s="6" t="n">
        <f aca="false">(Sens!E9643+Sens!F9643)/2*rent_mw/1000</f>
        <v>5.80517</v>
      </c>
      <c r="G9659" s="6" t="n">
        <f aca="false">(Sens!F9643+Sens!G9643)/2*rent_mw/1000</f>
        <v>6.72084</v>
      </c>
      <c r="H9659" s="6" t="n">
        <f aca="false">(Sens!G9643+Sens!H9643)/2*rent_mw/1000</f>
        <v>6.72084</v>
      </c>
      <c r="I9659" s="6" t="n">
        <f aca="false">(Sens!H9643+Sens!I9643)/2*rent_mw/1000</f>
        <v>6.72084</v>
      </c>
      <c r="J9659" s="6" t="n">
        <f aca="false">(Sens!I9643+Sens!J9643)/2*rent_mw/1000</f>
        <v>6.72084</v>
      </c>
      <c r="K9659" s="6" t="n">
        <f aca="false">(Sens!J9643+Sens!K9643)/2*rent_mw/1000</f>
        <v>6.72084</v>
      </c>
    </row>
    <row r="9660" customFormat="false" ht="17.15" hidden="false" customHeight="false" outlineLevel="0" collapsed="false">
      <c r="A9660" s="0" t="s">
        <v>743</v>
      </c>
      <c r="B9660" s="0" t="s">
        <v>95</v>
      </c>
      <c r="D9660" s="6" t="n">
        <f aca="false">(Sens!C9645+Sens!D9645)/2*(1-self_build)*fac_rent/1000</f>
        <v>0.853242375631075</v>
      </c>
      <c r="E9660" s="6" t="n">
        <f aca="false">(Sens!D9645+Sens!E9645)/2*(1-self_build)*fac_rent/1000</f>
        <v>1.94955961408728</v>
      </c>
      <c r="F9660" s="6" t="n">
        <f aca="false">(Sens!E9645+Sens!F9645)/2*(1-self_build)*fac_rent/1000</f>
        <v>3.83026455274573</v>
      </c>
      <c r="G9660" s="6" t="n">
        <f aca="false">(Sens!F9645+Sens!G9645)/2*(1-self_build)*fac_rent/1000</f>
        <v>6.23541590972812</v>
      </c>
      <c r="H9660" s="6" t="n">
        <f aca="false">(Sens!G9645+Sens!H9645)/2*(1-self_build)*fac_rent/1000</f>
        <v>8.74275792332679</v>
      </c>
      <c r="I9660" s="6" t="n">
        <f aca="false">(Sens!H9645+Sens!I9645)/2*(1-self_build)*fac_rent/1000</f>
        <v>11.2500999369255</v>
      </c>
      <c r="J9660" s="6" t="n">
        <f aca="false">(Sens!I9645+Sens!J9645)/2*(1-self_build)*fac_rent/1000</f>
        <v>13.7574419505241</v>
      </c>
      <c r="K9660" s="6" t="n">
        <f aca="false">(Sens!J9645+Sens!K9645)/2*(1-self_build)*fac_rent/1000</f>
        <v>16.2647839641228</v>
      </c>
      <c r="L9660" s="11" t="s">
        <v>744</v>
      </c>
    </row>
    <row r="9661" customFormat="false" ht="17.15" hidden="false" customHeight="false" outlineLevel="0" collapsed="false">
      <c r="A9661" s="1" t="s">
        <v>745</v>
      </c>
      <c r="B9661" s="0" t="s">
        <v>126</v>
      </c>
      <c r="D9661" s="7" t="n">
        <f aca="false">(Sens!C9644+Sens!D9644)/(Sens!C9645+Sens!D9645)</f>
        <v>0.6</v>
      </c>
      <c r="E9661" s="7" t="n">
        <f aca="false">(Sens!D9644+Sens!E9644)/(Sens!D9645+Sens!E9645)</f>
        <v>0.6</v>
      </c>
      <c r="F9661" s="7" t="n">
        <f aca="false">(Sens!E9644+Sens!F9644)/(Sens!E9645+Sens!F9645)</f>
        <v>0.6</v>
      </c>
      <c r="G9661" s="7" t="n">
        <f aca="false">(Sens!F9644+Sens!G9644)/(Sens!F9645+Sens!G9645)</f>
        <v>0.6</v>
      </c>
      <c r="H9661" s="7" t="n">
        <f aca="false">(Sens!G9644+Sens!H9644)/(Sens!G9645+Sens!H9645)</f>
        <v>0.6</v>
      </c>
      <c r="I9661" s="7" t="n">
        <f aca="false">(Sens!H9644+Sens!I9644)/(Sens!H9645+Sens!I9645)</f>
        <v>0.6</v>
      </c>
      <c r="J9661" s="7" t="n">
        <f aca="false">(Sens!I9644+Sens!J9644)/(Sens!I9645+Sens!J9645)</f>
        <v>0.6</v>
      </c>
      <c r="K9661" s="7" t="n">
        <f aca="false">(Sens!J9644+Sens!K9644)/(Sens!J9645+Sens!K9645)</f>
        <v>0.6</v>
      </c>
    </row>
    <row r="9662" customFormat="false" ht="17.15" hidden="false" customHeight="false" outlineLevel="0" collapsed="false">
      <c r="A9662" s="0" t="s">
        <v>746</v>
      </c>
      <c r="B9662" s="0" t="s">
        <v>95</v>
      </c>
      <c r="D9662" s="6" t="n">
        <f aca="false">Sens!D9656-Sens!D9661*(Sens!D9658+Sens!D9660)-Sens!D9659</f>
        <v>8.35701406163072</v>
      </c>
      <c r="E9662" s="6" t="n">
        <f aca="false">Sens!E9656-Sens!E9661*(Sens!E9658+Sens!E9660)-Sens!E9659</f>
        <v>18.7103224860238</v>
      </c>
      <c r="F9662" s="6" t="n">
        <f aca="false">Sens!F9656-Sens!F9661*(Sens!F9658+Sens!F9660)-Sens!F9659</f>
        <v>39.4594407491938</v>
      </c>
      <c r="G9662" s="6" t="n">
        <f aca="false">Sens!G9656-Sens!G9661*(Sens!G9658+Sens!G9660)-Sens!G9659</f>
        <v>66.5527545578061</v>
      </c>
      <c r="H9662" s="6" t="n">
        <f aca="false">Sens!H9656-Sens!H9661*(Sens!H9658+Sens!H9660)-Sens!H9659</f>
        <v>95.219644983859</v>
      </c>
      <c r="I9662" s="6" t="n">
        <f aca="false">Sens!I9656-Sens!I9661*(Sens!I9658+Sens!I9660)-Sens!I9659</f>
        <v>124.031840462493</v>
      </c>
      <c r="J9662" s="6" t="n">
        <f aca="false">Sens!J9656-Sens!J9661*(Sens!J9658+Sens!J9660)-Sens!J9659</f>
        <v>152.919994097909</v>
      </c>
      <c r="K9662" s="6" t="n">
        <f aca="false">Sens!K9656-Sens!K9661*(Sens!K9658+Sens!K9660)-Sens!K9659</f>
        <v>181.852830263848</v>
      </c>
    </row>
    <row r="9663" customFormat="false" ht="17.15" hidden="false" customHeight="false" outlineLevel="0" collapsed="false">
      <c r="A9663" s="1" t="s">
        <v>747</v>
      </c>
      <c r="B9663" s="0" t="s">
        <v>95</v>
      </c>
      <c r="D9663" s="6" t="n">
        <f aca="false">(1-Sens!D9661)*(Sens!D9658+Sens!D9660)</f>
        <v>1.42281025374069</v>
      </c>
      <c r="E9663" s="6" t="n">
        <f aca="false">(1-Sens!E9661)*(Sens!E9658+Sens!E9660)</f>
        <v>3.25095598674472</v>
      </c>
      <c r="F9663" s="6" t="n">
        <f aca="false">(1-Sens!F9661)*(Sens!F9658+Sens!F9660)</f>
        <v>6.53293055050977</v>
      </c>
      <c r="G9663" s="6" t="n">
        <f aca="false">(1-Sens!G9661)*(Sens!G9658+Sens!G9660)</f>
        <v>10.7846311741651</v>
      </c>
      <c r="H9663" s="6" t="n">
        <f aca="false">(1-Sens!H9661)*(Sens!H9658+Sens!H9660)</f>
        <v>15.26343050201</v>
      </c>
      <c r="I9663" s="6" t="n">
        <f aca="false">(1-Sens!I9661)*(Sens!I9658+Sens!I9660)</f>
        <v>19.7545570754104</v>
      </c>
      <c r="J9663" s="6" t="n">
        <f aca="false">(1-Sens!J9661)*(Sens!J9658+Sens!J9660)</f>
        <v>24.2521277113811</v>
      </c>
      <c r="K9663" s="6" t="n">
        <f aca="false">(1-Sens!K9661)*(Sens!K9658+Sens!K9660)</f>
        <v>28.7534890794427</v>
      </c>
    </row>
    <row r="9664" customFormat="false" ht="17.15" hidden="false" customHeight="false" outlineLevel="0" collapsed="false">
      <c r="A9664" s="1" t="s">
        <v>748</v>
      </c>
      <c r="B9664" s="0" t="s">
        <v>302</v>
      </c>
      <c r="C9664" s="8" t="n">
        <f aca="false">cxit_open</f>
        <v>27.5918995</v>
      </c>
      <c r="D9664" s="8" t="n">
        <f aca="false">cxit_open</f>
        <v>27.5918995</v>
      </c>
      <c r="E9664" s="8" t="n">
        <f aca="false">cxit_open</f>
        <v>27.5918995</v>
      </c>
      <c r="F9664" s="8" t="n">
        <f aca="false">(a_g3_27*tk_cxit_gb300+(1-a_g3_27)*tk_cxit_vr200)</f>
        <v>33.8419624</v>
      </c>
      <c r="G9664" s="8" t="n">
        <f aca="false">(a_g3_28*tk_cxit_gb300+(1-a_g3_28)*tk_cxit_vr200)</f>
        <v>35.9816136</v>
      </c>
      <c r="H9664" s="8" t="n">
        <f aca="false">(a_g3_29*tk_cxit_gb300+(1-a_g3_29)*tk_cxit_vr200)</f>
        <v>37.0514392</v>
      </c>
      <c r="I9664" s="8" t="n">
        <f aca="false">(a_g3_29*tk_cxit_gb300+(1-a_g3_29)*tk_cxit_vr200)</f>
        <v>37.0514392</v>
      </c>
      <c r="J9664" s="8" t="n">
        <f aca="false">(a_g3_29*tk_cxit_gb300+(1-a_g3_29)*tk_cxit_vr200)</f>
        <v>37.0514392</v>
      </c>
      <c r="K9664" s="8" t="n">
        <f aca="false">(a_g3_29*tk_cxit_gb300+(1-a_g3_29)*tk_cxit_vr200)</f>
        <v>37.0514392</v>
      </c>
      <c r="L9664" s="11" t="s">
        <v>749</v>
      </c>
    </row>
    <row r="9665" customFormat="false" ht="17.15" hidden="false" customHeight="false" outlineLevel="0" collapsed="false">
      <c r="A9665" s="0" t="s">
        <v>750</v>
      </c>
      <c r="B9665" s="0" t="s">
        <v>340</v>
      </c>
      <c r="F9665" s="27" t="n">
        <f aca="false">Sens!C9647*IF(3=life_it,1,0)+Sens!D9647*IF(2=life_it,1,0)+Sens!E9647*IF(1=life_it,1,0)</f>
        <v>0</v>
      </c>
      <c r="G9665" s="27" t="n">
        <f aca="false">Sens!C9647*IF(4=life_it,1,0)+Sens!D9647*IF(3=life_it,1,0)+Sens!E9647*IF(2=life_it,1,0)+Sens!F9647*IF(1=life_it,1,0)</f>
        <v>0</v>
      </c>
      <c r="H9665" s="27" t="n">
        <f aca="false">Sens!C9647*IF(5=life_it,1,0)+Sens!D9647*IF(4=life_it,1,0)+Sens!E9647*IF(3=life_it,1,0)+Sens!F9647*IF(2=life_it,1,0)+Sens!G9647*IF(1=life_it,1,0)</f>
        <v>0</v>
      </c>
      <c r="I9665" s="27" t="n">
        <f aca="false">Sens!C9647*IF(6=life_it,1,0)+Sens!D9647*IF(5=life_it,1,0)+Sens!E9647*IF(4=life_it,1,0)+Sens!F9647*IF(3=life_it,1,0)+Sens!G9647*IF(2=life_it,1,0)+Sens!H9647*IF(1=life_it,1,0)</f>
        <v>816.666666666667</v>
      </c>
      <c r="J9665" s="27" t="n">
        <f aca="false">Sens!C9647*IF(7=life_it,1,0)+Sens!D9647*IF(6=life_it,1,0)+Sens!E9647*IF(5=life_it,1,0)+Sens!F9647*IF(4=life_it,1,0)+Sens!G9647*IF(3=life_it,1,0)+Sens!H9647*IF(2=life_it,1,0)+Sens!I9647*IF(1=life_it,1,0)</f>
        <v>1233.33333333333</v>
      </c>
      <c r="K9665" s="27" t="n">
        <f aca="false">Sens!C9647*IF(8=life_it,1,0)+Sens!D9647*IF(7=life_it,1,0)+Sens!E9647*IF(6=life_it,1,0)+Sens!F9647*IF(5=life_it,1,0)+Sens!G9647*IF(4=life_it,1,0)+Sens!H9647*IF(3=life_it,1,0)+Sens!I9647*IF(2=life_it,1,0)+Sens!J9647*IF(1=life_it,1,0)</f>
        <v>2450</v>
      </c>
      <c r="L9665" s="1" t="s">
        <v>751</v>
      </c>
    </row>
    <row r="9666" customFormat="false" ht="17.15" hidden="false" customHeight="false" outlineLevel="0" collapsed="false">
      <c r="A9666" s="0" t="s">
        <v>752</v>
      </c>
      <c r="B9666" s="0" t="s">
        <v>95</v>
      </c>
      <c r="C9666" s="6" t="n">
        <f aca="false">Sens!C9647*Sens!C9664/1000</f>
        <v>22.5333845916667</v>
      </c>
      <c r="D9666" s="6" t="n">
        <f aca="false">Sens!D9647*Sens!D9664/1000</f>
        <v>34.0300093833333</v>
      </c>
      <c r="E9666" s="6" t="n">
        <f aca="false">Sens!E9647*Sens!E9664/1000</f>
        <v>67.600153775</v>
      </c>
      <c r="F9666" s="6" t="n">
        <f aca="false">(Sens!F9647+Sens!F9665)*Sens!F9664/1000</f>
        <v>130.923271871467</v>
      </c>
      <c r="G9666" s="6" t="n">
        <f aca="false">(Sens!G9647+Sens!G9665)*Sens!G9664/1000</f>
        <v>151.5545564832</v>
      </c>
      <c r="H9666" s="6" t="n">
        <f aca="false">(Sens!H9647+Sens!H9665)*Sens!H9664/1000</f>
        <v>156.0606619104</v>
      </c>
      <c r="I9666" s="6" t="n">
        <f aca="false">(Sens!I9647+Sens!I9665)*Sens!I9664/1000</f>
        <v>186.319337257067</v>
      </c>
      <c r="J9666" s="6" t="n">
        <f aca="false">(Sens!J9647+Sens!J9665)*Sens!J9664/1000</f>
        <v>201.757436923733</v>
      </c>
      <c r="K9666" s="6" t="n">
        <f aca="false">(Sens!K9647+Sens!K9665)*Sens!K9664/1000</f>
        <v>246.8366879504</v>
      </c>
    </row>
    <row r="9667" customFormat="false" ht="17.15" hidden="false" customHeight="false" outlineLevel="0" collapsed="false">
      <c r="A9667" s="0" t="s">
        <v>753</v>
      </c>
      <c r="B9667" s="0" t="s">
        <v>95</v>
      </c>
      <c r="C9667" s="6" t="n">
        <f aca="false">Sens!C9647*self_build*tk_cxfac/1000</f>
        <v>6.2083</v>
      </c>
      <c r="D9667" s="6" t="n">
        <f aca="false">Sens!D9647*self_build*tk_cxfac/1000</f>
        <v>9.3758</v>
      </c>
      <c r="E9667" s="6" t="n">
        <f aca="false">Sens!E9647*self_build*tk_cxfac/1000</f>
        <v>18.6249</v>
      </c>
      <c r="F9667" s="6" t="n">
        <f aca="false">Sens!F9647*self_build*tk_cxfac/1000</f>
        <v>29.409604</v>
      </c>
      <c r="G9667" s="6" t="n">
        <f aca="false">Sens!G9647*self_build*tk_cxfac/1000</f>
        <v>32.019624</v>
      </c>
      <c r="H9667" s="6" t="n">
        <f aca="false">Sens!H9647*self_build*tk_cxfac/1000</f>
        <v>32.019624</v>
      </c>
      <c r="I9667" s="6" t="n">
        <f aca="false">Sens!I9647*self_build*tk_cxfac/1000</f>
        <v>32.019624</v>
      </c>
      <c r="J9667" s="6" t="n">
        <f aca="false">Sens!J9647*self_build*tk_cxfac/1000</f>
        <v>32.019624</v>
      </c>
      <c r="K9667" s="6" t="n">
        <f aca="false">Sens!K9647*self_build*tk_cxfac/1000</f>
        <v>32.019624</v>
      </c>
    </row>
    <row r="9668" customFormat="false" ht="17.15" hidden="false" customHeight="false" outlineLevel="0" collapsed="false">
      <c r="A9668" s="0" t="s">
        <v>754</v>
      </c>
      <c r="B9668" s="0" t="s">
        <v>95</v>
      </c>
      <c r="F9668" s="6" t="n">
        <f aca="false">MAX(0,capex_floor27-Sens!F9666-Sens!F9667-Sens!F9755)</f>
        <v>8.28777689897088</v>
      </c>
      <c r="G9668" s="6" t="n">
        <f aca="false">0</f>
        <v>0</v>
      </c>
      <c r="H9668" s="6" t="n">
        <f aca="false">0</f>
        <v>0</v>
      </c>
      <c r="I9668" s="6" t="n">
        <f aca="false">0</f>
        <v>0</v>
      </c>
      <c r="J9668" s="6" t="n">
        <f aca="false">0</f>
        <v>0</v>
      </c>
      <c r="K9668" s="6" t="n">
        <f aca="false">0</f>
        <v>0</v>
      </c>
      <c r="L9668" s="1" t="s">
        <v>755</v>
      </c>
    </row>
    <row r="9669" customFormat="false" ht="17.15" hidden="false" customHeight="false" outlineLevel="0" collapsed="false">
      <c r="A9669" s="0" t="s">
        <v>756</v>
      </c>
      <c r="B9669" s="0" t="s">
        <v>95</v>
      </c>
      <c r="C9669" s="6" t="n">
        <f aca="false">Sens!C9666</f>
        <v>22.5333845916667</v>
      </c>
      <c r="D9669" s="6" t="n">
        <f aca="false">Sens!D9666</f>
        <v>34.0300093833333</v>
      </c>
      <c r="E9669" s="6" t="n">
        <f aca="false">Sens!E9666</f>
        <v>67.600153775</v>
      </c>
      <c r="F9669" s="6" t="n">
        <f aca="false">Sens!F9666+Sens!F9668</f>
        <v>139.211048770438</v>
      </c>
      <c r="G9669" s="6" t="n">
        <f aca="false">Sens!G9666+Sens!G9668</f>
        <v>151.5545564832</v>
      </c>
      <c r="H9669" s="6" t="n">
        <f aca="false">Sens!H9666+Sens!H9668</f>
        <v>156.0606619104</v>
      </c>
      <c r="I9669" s="6" t="n">
        <f aca="false">Sens!I9666+Sens!I9668</f>
        <v>186.319337257067</v>
      </c>
      <c r="J9669" s="6" t="n">
        <f aca="false">Sens!J9666+Sens!J9668</f>
        <v>201.757436923733</v>
      </c>
      <c r="K9669" s="6" t="n">
        <f aca="false">Sens!K9666+Sens!K9668</f>
        <v>246.8366879504</v>
      </c>
    </row>
    <row r="9670" customFormat="false" ht="17.15" hidden="false" customHeight="false" outlineLevel="0" collapsed="false">
      <c r="A9670" s="0" t="s">
        <v>757</v>
      </c>
      <c r="B9670" s="0" t="s">
        <v>95</v>
      </c>
      <c r="C9670" s="6" t="n">
        <f aca="false">Sens!C9669+Sens!C9667</f>
        <v>28.7416845916667</v>
      </c>
      <c r="D9670" s="6" t="n">
        <f aca="false">Sens!D9669+Sens!D9667</f>
        <v>43.4058093833333</v>
      </c>
      <c r="E9670" s="6" t="n">
        <f aca="false">Sens!E9669+Sens!E9667</f>
        <v>86.225053775</v>
      </c>
      <c r="F9670" s="6" t="n">
        <f aca="false">Sens!F9669+Sens!F9667</f>
        <v>168.620652770438</v>
      </c>
      <c r="G9670" s="6" t="n">
        <f aca="false">Sens!G9669+Sens!G9667</f>
        <v>183.5741804832</v>
      </c>
      <c r="H9670" s="6" t="n">
        <f aca="false">Sens!H9669+Sens!H9667</f>
        <v>188.0802859104</v>
      </c>
      <c r="I9670" s="6" t="n">
        <f aca="false">Sens!I9669+Sens!I9667</f>
        <v>218.338961257067</v>
      </c>
      <c r="J9670" s="6" t="n">
        <f aca="false">Sens!J9669+Sens!J9667</f>
        <v>233.777060923733</v>
      </c>
      <c r="K9670" s="6" t="n">
        <f aca="false">Sens!K9669+Sens!K9667</f>
        <v>278.8563119504</v>
      </c>
      <c r="L9670" s="11" t="s">
        <v>758</v>
      </c>
    </row>
    <row r="9671" customFormat="false" ht="17.15" hidden="false" customHeight="false" outlineLevel="0" collapsed="false">
      <c r="A9671" s="0" t="s">
        <v>759</v>
      </c>
      <c r="B9671" s="0" t="s">
        <v>95</v>
      </c>
      <c r="E9671" s="6" t="n">
        <f aca="false">(Sens!C9669*IF(2&lt;life_it,1,IF(2=life_it,0.5,0))+Sens!D9669*IF(1&lt;life_it,1,IF(1=life_it,0.5,0))+Sens!E9669*0.5)/life_it</f>
        <v>15.0605784770833</v>
      </c>
      <c r="F9671" s="6" t="n">
        <f aca="false">(Sens!C9669*IF(3&lt;life_it,1,IF(3=life_it,0.5,0))+Sens!D9669*IF(2&lt;life_it,1,IF(2=life_it,0.5,0))+Sens!E9669*IF(1&lt;life_it,1,IF(1=life_it,0.5,0))+Sens!F9669*0.5)/life_it</f>
        <v>32.2948453558698</v>
      </c>
      <c r="G9671" s="6" t="n">
        <f aca="false">(Sens!C9669*IF(4&lt;life_it,1,IF(4=life_it,0.5,0))+Sens!D9669*IF(3&lt;life_it,1,IF(3=life_it,0.5,0))+Sens!E9669*IF(2&lt;life_it,1,IF(2=life_it,0.5,0))+Sens!F9669*IF(1&lt;life_it,1,IF(1=life_it,0.5,0))+Sens!G9669*0.5)/life_it</f>
        <v>56.5253124603396</v>
      </c>
      <c r="H9671" s="6" t="n">
        <f aca="false">(Sens!C9669*IF(5&lt;life_it,1,IF(5=life_it,0.5,0))+Sens!D9669*IF(4&lt;life_it,1,IF(4=life_it,0.5,0))+Sens!E9669*IF(3&lt;life_it,1,IF(3=life_it,0.5,0))+Sens!F9669*IF(2&lt;life_it,1,IF(2=life_it,0.5,0))+Sens!G9669*IF(1&lt;life_it,1,IF(1=life_it,0.5,0))+Sens!H9669*0.5)/life_it</f>
        <v>82.1599139931396</v>
      </c>
      <c r="I9671" s="6" t="n">
        <f aca="false">(Sens!C9669*IF(6&lt;life_it,1,IF(6=life_it,0.5,0))+Sens!D9669*IF(5&lt;life_it,1,IF(5=life_it,0.5,0))+Sens!E9669*IF(4&lt;life_it,1,IF(4=life_it,0.5,0))+Sens!F9669*IF(3&lt;life_it,1,IF(3=life_it,0.5,0))+Sens!G9669*IF(2&lt;life_it,1,IF(2=life_it,0.5,0))+Sens!H9669*IF(1&lt;life_it,1,IF(1=life_it,0.5,0))+Sens!I9669*0.5)/life_it</f>
        <v>108.813798541123</v>
      </c>
      <c r="J9671" s="6" t="n">
        <f aca="false">(Sens!C9669*IF(7&lt;life_it,1,IF(7=life_it,0.5,0))+Sens!D9669*IF(6&lt;life_it,1,IF(6=life_it,0.5,0))+Sens!E9669*IF(5&lt;life_it,1,IF(5=life_it,0.5,0))+Sens!F9669*IF(4&lt;life_it,1,IF(4=life_it,0.5,0))+Sens!G9669*IF(3&lt;life_it,1,IF(3=life_it,0.5,0))+Sens!H9669*IF(2&lt;life_it,1,IF(2=life_it,0.5,0))+Sens!I9669*IF(1&lt;life_it,1,IF(1=life_it,0.5,0))+Sens!J9669*0.5)/life_it</f>
        <v>136.439913558273</v>
      </c>
      <c r="K9671" s="6" t="n">
        <f aca="false">(Sens!C9669*IF(8&lt;life_it,1,IF(8=life_it,0.5,0))+Sens!D9669*IF(7&lt;life_it,1,IF(7=life_it,0.5,0))+Sens!E9669*IF(6&lt;life_it,1,IF(6=life_it,0.5,0))+Sens!F9669*IF(5&lt;life_it,1,IF(5=life_it,0.5,0))+Sens!G9669*IF(4&lt;life_it,1,IF(4=life_it,0.5,0))+Sens!H9669*IF(3&lt;life_it,1,IF(3=life_it,0.5,0))+Sens!I9669*IF(2&lt;life_it,1,IF(2=life_it,0.5,0))+Sens!J9669*IF(1&lt;life_it,1,IF(1=life_it,0.5,0))+Sens!K9669*0.5)/life_it</f>
        <v>165.35357703459</v>
      </c>
    </row>
    <row r="9672" customFormat="false" ht="17.15" hidden="false" customHeight="false" outlineLevel="0" collapsed="false">
      <c r="A9672" s="0" t="s">
        <v>760</v>
      </c>
      <c r="B9672" s="0" t="s">
        <v>95</v>
      </c>
      <c r="E9672" s="6" t="n">
        <f aca="false">(Sens!C9667*IF(2&lt;life_fac,1,IF(2=life_fac,0.5,0))+Sens!D9667*IF(1&lt;life_fac,1,IF(1=life_fac,0.5,0))+Sens!E9667*0.5)/life_fac</f>
        <v>1.2448275</v>
      </c>
      <c r="F9672" s="6" t="n">
        <f aca="false">(Sens!C9667*IF(3&lt;life_fac,1,IF(3=life_fac,0.5,0))+Sens!D9667*IF(2&lt;life_fac,1,IF(2=life_fac,0.5,0))+Sens!E9667*IF(1&lt;life_fac,1,IF(1=life_fac,0.5,0))+Sens!F9667*0.5)/life_fac</f>
        <v>2.4456901</v>
      </c>
      <c r="G9672" s="6" t="n">
        <f aca="false">(Sens!C9667*IF(4&lt;life_fac,1,IF(4=life_fac,0.5,0))+Sens!D9667*IF(3&lt;life_fac,1,IF(3=life_fac,0.5,0))+Sens!E9667*IF(2&lt;life_fac,1,IF(2=life_fac,0.5,0))+Sens!F9667*IF(1&lt;life_fac,1,IF(1=life_fac,0.5,0))+Sens!G9667*0.5)/life_fac</f>
        <v>3.9814208</v>
      </c>
      <c r="H9672" s="6" t="n">
        <f aca="false">(Sens!C9667*IF(5&lt;life_fac,1,IF(5=life_fac,0.5,0))+Sens!D9667*IF(4&lt;life_fac,1,IF(4=life_fac,0.5,0))+Sens!E9667*IF(3&lt;life_fac,1,IF(3=life_fac,0.5,0))+Sens!F9667*IF(2&lt;life_fac,1,IF(2=life_fac,0.5,0))+Sens!G9667*IF(1&lt;life_fac,1,IF(1=life_fac,0.5,0))+Sens!H9667*0.5)/life_fac</f>
        <v>5.582402</v>
      </c>
      <c r="I9672" s="6" t="n">
        <f aca="false">(Sens!C9667*IF(6&lt;life_fac,1,IF(6=life_fac,0.5,0))+Sens!D9667*IF(5&lt;life_fac,1,IF(5=life_fac,0.5,0))+Sens!E9667*IF(4&lt;life_fac,1,IF(4=life_fac,0.5,0))+Sens!F9667*IF(3&lt;life_fac,1,IF(3=life_fac,0.5,0))+Sens!G9667*IF(2&lt;life_fac,1,IF(2=life_fac,0.5,0))+Sens!H9667*IF(1&lt;life_fac,1,IF(1=life_fac,0.5,0))+Sens!I9667*0.5)/life_fac</f>
        <v>7.1833832</v>
      </c>
      <c r="J9672" s="6" t="n">
        <f aca="false">(Sens!C9667*IF(7&lt;life_fac,1,IF(7=life_fac,0.5,0))+Sens!D9667*IF(6&lt;life_fac,1,IF(6=life_fac,0.5,0))+Sens!E9667*IF(5&lt;life_fac,1,IF(5=life_fac,0.5,0))+Sens!F9667*IF(4&lt;life_fac,1,IF(4=life_fac,0.5,0))+Sens!G9667*IF(3&lt;life_fac,1,IF(3=life_fac,0.5,0))+Sens!H9667*IF(2&lt;life_fac,1,IF(2=life_fac,0.5,0))+Sens!I9667*IF(1&lt;life_fac,1,IF(1=life_fac,0.5,0))+Sens!J9667*0.5)/life_fac</f>
        <v>8.7843644</v>
      </c>
      <c r="K9672" s="6" t="n">
        <f aca="false">(Sens!C9667*IF(8&lt;life_fac,1,IF(8=life_fac,0.5,0))+Sens!D9667*IF(7&lt;life_fac,1,IF(7=life_fac,0.5,0))+Sens!E9667*IF(6&lt;life_fac,1,IF(6=life_fac,0.5,0))+Sens!F9667*IF(5&lt;life_fac,1,IF(5=life_fac,0.5,0))+Sens!G9667*IF(4&lt;life_fac,1,IF(4=life_fac,0.5,0))+Sens!H9667*IF(3&lt;life_fac,1,IF(3=life_fac,0.5,0))+Sens!I9667*IF(2&lt;life_fac,1,IF(2=life_fac,0.5,0))+Sens!J9667*IF(1&lt;life_fac,1,IF(1=life_fac,0.5,0))+Sens!K9667*0.5)/life_fac</f>
        <v>10.3853456</v>
      </c>
    </row>
    <row r="9673" customFormat="false" ht="17.15" hidden="false" customHeight="false" outlineLevel="0" collapsed="false">
      <c r="A9673" s="0" t="s">
        <v>761</v>
      </c>
      <c r="B9673" s="0" t="s">
        <v>95</v>
      </c>
      <c r="E9673" s="6" t="n">
        <f aca="false">Sens!E9671+Sens!E9672</f>
        <v>16.3054059770833</v>
      </c>
      <c r="F9673" s="6" t="n">
        <f aca="false">Sens!F9671+Sens!F9672</f>
        <v>34.7405354558698</v>
      </c>
      <c r="G9673" s="6" t="n">
        <f aca="false">Sens!G9671+Sens!G9672</f>
        <v>60.5067332603396</v>
      </c>
      <c r="H9673" s="6" t="n">
        <f aca="false">Sens!H9671+Sens!H9672</f>
        <v>87.7423159931396</v>
      </c>
      <c r="I9673" s="6" t="n">
        <f aca="false">Sens!I9671+Sens!I9672</f>
        <v>115.997181741123</v>
      </c>
      <c r="J9673" s="6" t="n">
        <f aca="false">Sens!J9671+Sens!J9672</f>
        <v>145.224277958273</v>
      </c>
      <c r="K9673" s="6" t="n">
        <f aca="false">Sens!K9671+Sens!K9672</f>
        <v>175.73892263459</v>
      </c>
    </row>
    <row r="9674" customFormat="false" ht="17.15" hidden="false" customHeight="false" outlineLevel="0" collapsed="false">
      <c r="A9674" s="0" t="s">
        <v>762</v>
      </c>
      <c r="B9674" s="0" t="s">
        <v>95</v>
      </c>
      <c r="E9674" s="6" t="n">
        <f aca="false">Sens!E9662-Sens!E9661*Sens!E9673</f>
        <v>8.92707889977379</v>
      </c>
      <c r="F9674" s="6" t="n">
        <f aca="false">Sens!F9662-Sens!F9661*Sens!F9673</f>
        <v>18.615119475672</v>
      </c>
      <c r="G9674" s="6" t="n">
        <f aca="false">Sens!G9662-Sens!G9661*Sens!G9673</f>
        <v>30.2487146016024</v>
      </c>
      <c r="H9674" s="6" t="n">
        <f aca="false">Sens!H9662-Sens!H9661*Sens!H9673</f>
        <v>42.5742553879752</v>
      </c>
      <c r="I9674" s="6" t="n">
        <f aca="false">Sens!I9662-Sens!I9661*Sens!I9673</f>
        <v>54.433531417819</v>
      </c>
      <c r="J9674" s="6" t="n">
        <f aca="false">Sens!J9662-Sens!J9661*Sens!J9673</f>
        <v>65.7854273229457</v>
      </c>
      <c r="K9674" s="6" t="n">
        <f aca="false">Sens!K9662-Sens!K9661*Sens!K9673</f>
        <v>76.4094766830945</v>
      </c>
    </row>
    <row r="9675" customFormat="false" ht="17.15" hidden="false" customHeight="false" outlineLevel="0" collapsed="false">
      <c r="A9675" s="3" t="s">
        <v>1390</v>
      </c>
    </row>
    <row r="9676" customFormat="false" ht="15" hidden="false" customHeight="false" outlineLevel="0" collapsed="false">
      <c r="A9676" s="4" t="s">
        <v>43</v>
      </c>
      <c r="B9676" s="4" t="s">
        <v>63</v>
      </c>
      <c r="C9676" s="19" t="s">
        <v>710</v>
      </c>
      <c r="D9676" s="19" t="s">
        <v>711</v>
      </c>
      <c r="E9676" s="19" t="s">
        <v>712</v>
      </c>
      <c r="F9676" s="19" t="s">
        <v>713</v>
      </c>
      <c r="G9676" s="19" t="s">
        <v>714</v>
      </c>
      <c r="H9676" s="19" t="s">
        <v>715</v>
      </c>
      <c r="I9676" s="19" t="s">
        <v>716</v>
      </c>
      <c r="J9676" s="19" t="s">
        <v>717</v>
      </c>
      <c r="K9676" s="19" t="s">
        <v>718</v>
      </c>
      <c r="L9676" s="4" t="s">
        <v>47</v>
      </c>
    </row>
    <row r="9677" customFormat="false" ht="17.15" hidden="false" customHeight="false" outlineLevel="0" collapsed="false">
      <c r="A9677" s="0" t="s">
        <v>780</v>
      </c>
      <c r="B9677" s="0" t="s">
        <v>95</v>
      </c>
      <c r="D9677" s="6" t="n">
        <f aca="false">Sens!D9656</f>
        <v>12.9359794422418</v>
      </c>
      <c r="E9677" s="6" t="n">
        <f aca="false">Sens!E9656</f>
        <v>27.8095064661409</v>
      </c>
      <c r="F9677" s="6" t="n">
        <f aca="false">Sens!F9656</f>
        <v>55.0640065749585</v>
      </c>
      <c r="G9677" s="6" t="n">
        <f aca="false">Sens!G9656</f>
        <v>89.4505413190538</v>
      </c>
      <c r="H9677" s="6" t="n">
        <f aca="false">Sens!H9656</f>
        <v>124.835630736874</v>
      </c>
      <c r="I9677" s="6" t="n">
        <f aca="false">Sens!I9656</f>
        <v>160.384516075608</v>
      </c>
      <c r="J9677" s="6" t="n">
        <f aca="false">Sens!J9656</f>
        <v>196.019025664981</v>
      </c>
      <c r="K9677" s="6" t="n">
        <f aca="false">Sens!K9656</f>
        <v>231.703903883012</v>
      </c>
    </row>
    <row r="9678" customFormat="false" ht="17.15" hidden="false" customHeight="false" outlineLevel="0" collapsed="false">
      <c r="A9678" s="0" t="s">
        <v>781</v>
      </c>
      <c r="B9678" s="0" t="s">
        <v>95</v>
      </c>
      <c r="D9678" s="6" t="n">
        <f aca="false">Q!L6-Sens!D9677</f>
        <v>59.6740205577583</v>
      </c>
      <c r="E9678" s="6" t="n">
        <f aca="false">Q!M6-Sens!E9677</f>
        <v>74.1284935338591</v>
      </c>
      <c r="F9678" s="6" t="n">
        <f aca="false">Sens!E9678*(1+Sens!F9679)</f>
        <v>90.0799497373663</v>
      </c>
      <c r="G9678" s="6" t="n">
        <f aca="false">Sens!F9678*(1+Sens!G9679)</f>
        <v>107.02842520331</v>
      </c>
      <c r="H9678" s="6" t="n">
        <f aca="false">Sens!G9678*(1+Sens!H9679)</f>
        <v>124.271982585636</v>
      </c>
      <c r="I9678" s="6" t="n">
        <f aca="false">Sens!H9678*(1+Sens!I9679)</f>
        <v>140.933702381855</v>
      </c>
      <c r="J9678" s="6" t="n">
        <f aca="false">Sens!I9678*(1+Sens!J9679)</f>
        <v>156.018867314332</v>
      </c>
      <c r="K9678" s="6" t="n">
        <f aca="false">Sens!J9678*(1+Sens!K9679)</f>
        <v>168.500376699478</v>
      </c>
    </row>
    <row r="9679" customFormat="false" ht="15" hidden="false" customHeight="false" outlineLevel="0" collapsed="false">
      <c r="A9679" s="1" t="s">
        <v>782</v>
      </c>
      <c r="B9679" s="0" t="s">
        <v>126</v>
      </c>
      <c r="E9679" s="7" t="n">
        <f aca="false">Sens!E9678/Sens!D9678-1</f>
        <v>0.242223883039864</v>
      </c>
      <c r="F9679" s="7" t="n">
        <f aca="false">Sens!$E$9679+(glt_azo-Sens!$E$9679)*MIN(1,1/n_conv)</f>
        <v>0.215186569199887</v>
      </c>
      <c r="G9679" s="7" t="n">
        <f aca="false">Sens!$E$9679+(glt_azo-Sens!$E$9679)*MIN(1,2/n_conv)</f>
        <v>0.18814925535991</v>
      </c>
      <c r="H9679" s="7" t="n">
        <f aca="false">Sens!$E$9679+(glt_azo-Sens!$E$9679)*MIN(1,3/n_conv)</f>
        <v>0.161111941519932</v>
      </c>
      <c r="I9679" s="7" t="n">
        <f aca="false">Sens!$E$9679+(glt_azo-Sens!$E$9679)*MIN(1,4/n_conv)</f>
        <v>0.134074627679955</v>
      </c>
      <c r="J9679" s="7" t="n">
        <f aca="false">Sens!$E$9679+(glt_azo-Sens!$E$9679)*MIN(1,5/n_conv)</f>
        <v>0.107037313839977</v>
      </c>
      <c r="K9679" s="7" t="n">
        <f aca="false">Sens!$E$9679+(glt_azo-Sens!$E$9679)*MIN(1,6/n_conv)</f>
        <v>0.08</v>
      </c>
    </row>
    <row r="9680" customFormat="false" ht="15" hidden="false" customHeight="false" outlineLevel="0" collapsed="false">
      <c r="A9680" s="0" t="s">
        <v>783</v>
      </c>
      <c r="B9680" s="0" t="s">
        <v>95</v>
      </c>
      <c r="D9680" s="6" t="n">
        <f aca="false">Sens!D9677+Sens!D9678</f>
        <v>72.61</v>
      </c>
      <c r="E9680" s="6" t="n">
        <f aca="false">Sens!E9677+Sens!E9678</f>
        <v>101.938</v>
      </c>
      <c r="F9680" s="6" t="n">
        <f aca="false">Sens!F9677+Sens!F9678</f>
        <v>145.143956312325</v>
      </c>
      <c r="G9680" s="6" t="n">
        <f aca="false">Sens!G9677+Sens!G9678</f>
        <v>196.478966522364</v>
      </c>
      <c r="H9680" s="6" t="n">
        <f aca="false">Sens!H9677+Sens!H9678</f>
        <v>249.10761332251</v>
      </c>
      <c r="I9680" s="6" t="n">
        <f aca="false">Sens!I9677+Sens!I9678</f>
        <v>301.318218457463</v>
      </c>
      <c r="J9680" s="6" t="n">
        <f aca="false">Sens!J9677+Sens!J9678</f>
        <v>352.037892979313</v>
      </c>
      <c r="K9680" s="6" t="n">
        <f aca="false">Sens!K9677+Sens!K9678</f>
        <v>400.20428058249</v>
      </c>
    </row>
    <row r="9681" customFormat="false" ht="17.15" hidden="false" customHeight="false" outlineLevel="0" collapsed="false">
      <c r="A9681" s="0" t="s">
        <v>784</v>
      </c>
      <c r="B9681" s="1" t="s">
        <v>451</v>
      </c>
      <c r="C9681" s="27" t="n">
        <f aca="false">cop_s24</f>
        <v>1</v>
      </c>
      <c r="D9681" s="27" t="n">
        <f aca="false">cop_s25</f>
        <v>5</v>
      </c>
      <c r="E9681" s="27" t="n">
        <f aca="false">cop_s26</f>
        <v>30</v>
      </c>
      <c r="F9681" s="27" t="n">
        <f aca="false">Sens!E9681+IF(2027&lt;=2029,cop_add_B,cop_add_B*cop_tail)</f>
        <v>50</v>
      </c>
      <c r="G9681" s="27" t="n">
        <f aca="false">Sens!F9681+IF(2028&lt;=2029,cop_add_B,cop_add_B*cop_tail)</f>
        <v>70</v>
      </c>
      <c r="H9681" s="27" t="n">
        <f aca="false">Sens!G9681+IF(2029&lt;=2029,cop_add_B,cop_add_B*cop_tail)</f>
        <v>90</v>
      </c>
      <c r="I9681" s="27" t="n">
        <f aca="false">Sens!H9681+IF(2030&lt;=2029,cop_add_B,cop_add_B*cop_tail)</f>
        <v>100</v>
      </c>
      <c r="J9681" s="27" t="n">
        <f aca="false">Sens!I9681+IF(2031&lt;=2029,cop_add_B,cop_add_B*cop_tail)</f>
        <v>110</v>
      </c>
      <c r="K9681" s="27" t="n">
        <f aca="false">Sens!J9681+IF(2032&lt;=2029,cop_add_B,cop_add_B*cop_tail)</f>
        <v>120</v>
      </c>
    </row>
    <row r="9682" customFormat="false" ht="17.15" hidden="false" customHeight="false" outlineLevel="0" collapsed="false">
      <c r="A9682" s="0" t="s">
        <v>785</v>
      </c>
      <c r="B9682" s="0" t="s">
        <v>95</v>
      </c>
      <c r="D9682" s="6" t="n">
        <f aca="false">(Sens!C9681+Sens!D9681)/2*cop_px*12/1000</f>
        <v>0.9</v>
      </c>
      <c r="E9682" s="6" t="n">
        <f aca="false">(Sens!D9681+Sens!E9681)/2*cop_px*12/1000</f>
        <v>5.25</v>
      </c>
      <c r="F9682" s="6" t="n">
        <f aca="false">(Sens!E9681+Sens!F9681)/2*cop_px*12/1000</f>
        <v>12</v>
      </c>
      <c r="G9682" s="6" t="n">
        <f aca="false">(Sens!F9681+Sens!G9681)/2*cop_px*12/1000</f>
        <v>18</v>
      </c>
      <c r="H9682" s="6" t="n">
        <f aca="false">(Sens!G9681+Sens!H9681)/2*cop_px*12/1000</f>
        <v>24</v>
      </c>
      <c r="I9682" s="6" t="n">
        <f aca="false">(Sens!H9681+Sens!I9681)/2*cop_px*12/1000</f>
        <v>28.5</v>
      </c>
      <c r="J9682" s="6" t="n">
        <f aca="false">(Sens!I9681+Sens!J9681)/2*cop_px*12/1000</f>
        <v>31.5</v>
      </c>
      <c r="K9682" s="6" t="n">
        <f aca="false">(Sens!J9681+Sens!K9681)/2*cop_px*12/1000</f>
        <v>34.5</v>
      </c>
      <c r="L9682" s="1" t="s">
        <v>786</v>
      </c>
    </row>
    <row r="9683" customFormat="false" ht="17.15" hidden="false" customHeight="false" outlineLevel="0" collapsed="false">
      <c r="A9683" s="0" t="s">
        <v>787</v>
      </c>
      <c r="B9683" s="0" t="s">
        <v>95</v>
      </c>
      <c r="D9683" s="6" t="n">
        <f aca="false">Q!L7-Sens!D9682</f>
        <v>83.705</v>
      </c>
      <c r="E9683" s="6" t="n">
        <f aca="false">Q!M7-Sens!E9682</f>
        <v>95.049</v>
      </c>
      <c r="F9683" s="6" t="n">
        <f aca="false">Sens!E9683*(1+Sens!F9684)</f>
        <v>106.89238776686</v>
      </c>
      <c r="G9683" s="6" t="n">
        <f aca="false">Sens!F9683*(1+Sens!G9684)</f>
        <v>119.044168448684</v>
      </c>
      <c r="H9683" s="6" t="n">
        <f aca="false">Sens!G9683*(1+Sens!H9684)</f>
        <v>131.277359388781</v>
      </c>
      <c r="I9683" s="6" t="n">
        <f aca="false">Sens!H9683*(1+Sens!I9684)</f>
        <v>143.334028071957</v>
      </c>
      <c r="J9683" s="6" t="n">
        <f aca="false">Sens!I9683*(1+Sens!J9684)</f>
        <v>154.932702785465</v>
      </c>
      <c r="K9683" s="6" t="n">
        <f aca="false">Sens!J9683*(1+Sens!K9684)</f>
        <v>165.777991980448</v>
      </c>
    </row>
    <row r="9684" customFormat="false" ht="15" hidden="false" customHeight="false" outlineLevel="0" collapsed="false">
      <c r="A9684" s="1" t="s">
        <v>782</v>
      </c>
      <c r="B9684" s="0" t="s">
        <v>126</v>
      </c>
      <c r="E9684" s="7" t="n">
        <f aca="false">Sens!E9683/Sens!D9683-1</f>
        <v>0.135523564900544</v>
      </c>
      <c r="F9684" s="7" t="n">
        <f aca="false">Sens!$E$9684+(glt_m365b-Sens!$E$9684)*MIN(1,1/n_conv)</f>
        <v>0.124602970750453</v>
      </c>
      <c r="G9684" s="7" t="n">
        <f aca="false">Sens!$E$9684+(glt_m365b-Sens!$E$9684)*MIN(1,2/n_conv)</f>
        <v>0.113682376600363</v>
      </c>
      <c r="H9684" s="7" t="n">
        <f aca="false">Sens!$E$9684+(glt_m365b-Sens!$E$9684)*MIN(1,3/n_conv)</f>
        <v>0.102761782450272</v>
      </c>
      <c r="I9684" s="7" t="n">
        <f aca="false">Sens!$E$9684+(glt_m365b-Sens!$E$9684)*MIN(1,4/n_conv)</f>
        <v>0.0918411883001813</v>
      </c>
      <c r="J9684" s="7" t="n">
        <f aca="false">Sens!$E$9684+(glt_m365b-Sens!$E$9684)*MIN(1,5/n_conv)</f>
        <v>0.0809205941500906</v>
      </c>
      <c r="K9684" s="7" t="n">
        <f aca="false">Sens!$E$9684+(glt_m365b-Sens!$E$9684)*MIN(1,6/n_conv)</f>
        <v>0.07</v>
      </c>
    </row>
    <row r="9685" customFormat="false" ht="15" hidden="false" customHeight="false" outlineLevel="0" collapsed="false">
      <c r="A9685" s="0" t="s">
        <v>788</v>
      </c>
      <c r="B9685" s="0" t="s">
        <v>95</v>
      </c>
      <c r="D9685" s="6" t="n">
        <f aca="false">Sens!D9683+Sens!D9682</f>
        <v>84.605</v>
      </c>
      <c r="E9685" s="6" t="n">
        <f aca="false">Sens!E9683+Sens!E9682</f>
        <v>100.299</v>
      </c>
      <c r="F9685" s="6" t="n">
        <f aca="false">Sens!F9683+Sens!F9682</f>
        <v>118.89238776686</v>
      </c>
      <c r="G9685" s="6" t="n">
        <f aca="false">Sens!G9683+Sens!G9682</f>
        <v>137.044168448684</v>
      </c>
      <c r="H9685" s="6" t="n">
        <f aca="false">Sens!H9683+Sens!H9682</f>
        <v>155.277359388781</v>
      </c>
      <c r="I9685" s="6" t="n">
        <f aca="false">Sens!I9683+Sens!I9682</f>
        <v>171.834028071957</v>
      </c>
      <c r="J9685" s="6" t="n">
        <f aca="false">Sens!J9683+Sens!J9682</f>
        <v>186.432702785465</v>
      </c>
      <c r="K9685" s="6" t="n">
        <f aca="false">Sens!K9683+Sens!K9682</f>
        <v>200.277991980448</v>
      </c>
    </row>
    <row r="9686" customFormat="false" ht="15" hidden="false" customHeight="false" outlineLevel="0" collapsed="false">
      <c r="A9686" s="0" t="s">
        <v>789</v>
      </c>
      <c r="B9686" s="0" t="s">
        <v>95</v>
      </c>
      <c r="D9686" s="6" t="n">
        <f aca="false">Q!L8</f>
        <v>35.391</v>
      </c>
      <c r="E9686" s="6" t="n">
        <f aca="false">Q!M8</f>
        <v>37.285</v>
      </c>
      <c r="F9686" s="6" t="n">
        <f aca="false">Sens!E9686*(1+Sens!F9687)</f>
        <v>39.0720834331704</v>
      </c>
      <c r="G9686" s="6" t="n">
        <f aca="false">Sens!F9686*(1+Sens!G9687)</f>
        <v>40.726562953769</v>
      </c>
      <c r="H9686" s="6" t="n">
        <f aca="false">Sens!G9686*(1+Sens!H9687)</f>
        <v>42.2235987259198</v>
      </c>
      <c r="I9686" s="6" t="n">
        <f aca="false">Sens!H9686*(1+Sens!I9687)</f>
        <v>43.5397988077414</v>
      </c>
      <c r="J9686" s="6" t="n">
        <f aca="false">Sens!I9686*(1+Sens!J9687)</f>
        <v>44.653811225693</v>
      </c>
      <c r="K9686" s="6" t="n">
        <f aca="false">Sens!J9686*(1+Sens!K9687)</f>
        <v>45.5468874502068</v>
      </c>
    </row>
    <row r="9687" customFormat="false" ht="15" hidden="false" customHeight="false" outlineLevel="0" collapsed="false">
      <c r="A9687" s="1" t="s">
        <v>782</v>
      </c>
      <c r="B9687" s="0" t="s">
        <v>126</v>
      </c>
      <c r="E9687" s="7" t="n">
        <f aca="false">Sens!E9686/Sens!D9686-1</f>
        <v>0.0535164307309768</v>
      </c>
      <c r="F9687" s="7" t="n">
        <f aca="false">Sens!$E$9687+(glt_lic-Sens!$E$9687)*MIN(1,1/n_conv)</f>
        <v>0.0479303589424807</v>
      </c>
      <c r="G9687" s="7" t="n">
        <f aca="false">Sens!$E$9687+(glt_lic-Sens!$E$9687)*MIN(1,2/n_conv)</f>
        <v>0.0423442871539845</v>
      </c>
      <c r="H9687" s="7" t="n">
        <f aca="false">Sens!$E$9687+(glt_lic-Sens!$E$9687)*MIN(1,3/n_conv)</f>
        <v>0.0367582153654884</v>
      </c>
      <c r="I9687" s="7" t="n">
        <f aca="false">Sens!$E$9687+(glt_lic-Sens!$E$9687)*MIN(1,4/n_conv)</f>
        <v>0.0311721435769923</v>
      </c>
      <c r="J9687" s="7" t="n">
        <f aca="false">Sens!$E$9687+(glt_lic-Sens!$E$9687)*MIN(1,5/n_conv)</f>
        <v>0.0255860717884961</v>
      </c>
      <c r="K9687" s="7" t="n">
        <f aca="false">Sens!$E$9687+(glt_lic-Sens!$E$9687)*MIN(1,6/n_conv)</f>
        <v>0.02</v>
      </c>
    </row>
    <row r="9688" customFormat="false" ht="15" hidden="false" customHeight="false" outlineLevel="0" collapsed="false">
      <c r="A9688" s="0" t="s">
        <v>790</v>
      </c>
      <c r="B9688" s="0" t="s">
        <v>95</v>
      </c>
      <c r="D9688" s="6" t="n">
        <f aca="false">Q!L9</f>
        <v>18.417</v>
      </c>
      <c r="E9688" s="6" t="n">
        <f aca="false">Q!M9</f>
        <v>20.345</v>
      </c>
      <c r="F9688" s="6" t="n">
        <f aca="false">Sens!E9688*(1+Sens!F9689)</f>
        <v>22.3572203267814</v>
      </c>
      <c r="G9688" s="6" t="n">
        <f aca="false">Sens!F9688*(1+Sens!G9689)</f>
        <v>24.4392124437232</v>
      </c>
      <c r="H9688" s="6" t="n">
        <f aca="false">Sens!G9688*(1+Sens!H9689)</f>
        <v>26.5738052080665</v>
      </c>
      <c r="I9688" s="6" t="n">
        <f aca="false">Sens!H9688*(1+Sens!I9689)</f>
        <v>28.7412169166967</v>
      </c>
      <c r="J9688" s="6" t="n">
        <f aca="false">Sens!I9688*(1+Sens!J9689)</f>
        <v>30.9192545395413</v>
      </c>
      <c r="K9688" s="6" t="n">
        <f aca="false">Sens!J9688*(1+Sens!K9689)</f>
        <v>33.0836023573092</v>
      </c>
    </row>
    <row r="9689" customFormat="false" ht="15" hidden="false" customHeight="false" outlineLevel="0" collapsed="false">
      <c r="A9689" s="1" t="s">
        <v>782</v>
      </c>
      <c r="B9689" s="0" t="s">
        <v>126</v>
      </c>
      <c r="E9689" s="7" t="n">
        <f aca="false">Sens!E9688/Sens!D9688-1</f>
        <v>0.104685888038225</v>
      </c>
      <c r="F9689" s="7" t="n">
        <f aca="false">Sens!$E$9689+(glt_ind-Sens!$E$9689)*MIN(1,1/n_conv)</f>
        <v>0.0989049066985211</v>
      </c>
      <c r="G9689" s="7" t="n">
        <f aca="false">Sens!$E$9689+(glt_ind-Sens!$E$9689)*MIN(1,2/n_conv)</f>
        <v>0.0931239253588169</v>
      </c>
      <c r="H9689" s="7" t="n">
        <f aca="false">Sens!$E$9689+(glt_ind-Sens!$E$9689)*MIN(1,3/n_conv)</f>
        <v>0.0873429440191127</v>
      </c>
      <c r="I9689" s="7" t="n">
        <f aca="false">Sens!$E$9689+(glt_ind-Sens!$E$9689)*MIN(1,4/n_conv)</f>
        <v>0.0815619626794085</v>
      </c>
      <c r="J9689" s="7" t="n">
        <f aca="false">Sens!$E$9689+(glt_ind-Sens!$E$9689)*MIN(1,5/n_conv)</f>
        <v>0.0757809813397042</v>
      </c>
      <c r="K9689" s="7" t="n">
        <f aca="false">Sens!$E$9689+(glt_ind-Sens!$E$9689)*MIN(1,6/n_conv)</f>
        <v>0.07</v>
      </c>
    </row>
    <row r="9690" customFormat="false" ht="15" hidden="false" customHeight="false" outlineLevel="0" collapsed="false">
      <c r="A9690" s="0" t="s">
        <v>791</v>
      </c>
      <c r="B9690" s="0" t="s">
        <v>95</v>
      </c>
      <c r="D9690" s="6" t="n">
        <f aca="false">Q!L10</f>
        <v>7.76</v>
      </c>
      <c r="E9690" s="6" t="n">
        <f aca="false">Q!M10</f>
        <v>8.26</v>
      </c>
      <c r="F9690" s="6" t="n">
        <f aca="false">Sens!E9690*(1+Sens!F9691)</f>
        <v>8.79988041237113</v>
      </c>
      <c r="G9690" s="6" t="n">
        <f aca="false">Sens!F9690*(1+Sens!G9691)</f>
        <v>9.38321269125306</v>
      </c>
      <c r="H9690" s="6" t="n">
        <f aca="false">Sens!G9690*(1+Sens!H9691)</f>
        <v>10.0139193587476</v>
      </c>
      <c r="I9690" s="6" t="n">
        <f aca="false">Sens!H9690*(1+Sens!I9691)</f>
        <v>10.6963111830911</v>
      </c>
      <c r="J9690" s="6" t="n">
        <f aca="false">Sens!I9690*(1+Sens!J9691)</f>
        <v>11.4351285534696</v>
      </c>
      <c r="K9690" s="6" t="n">
        <f aca="false">Sens!J9690*(1+Sens!K9691)</f>
        <v>12.2355875522124</v>
      </c>
    </row>
    <row r="9691" customFormat="false" ht="15" hidden="false" customHeight="false" outlineLevel="0" collapsed="false">
      <c r="A9691" s="1" t="s">
        <v>782</v>
      </c>
      <c r="B9691" s="0" t="s">
        <v>126</v>
      </c>
      <c r="E9691" s="7" t="n">
        <f aca="false">Sens!E9690/Sens!D9690-1</f>
        <v>0.0644329896907216</v>
      </c>
      <c r="F9691" s="7" t="n">
        <f aca="false">Sens!$E$9691+(glt_fro-Sens!$E$9691)*MIN(1,1/n_conv)</f>
        <v>0.065360824742268</v>
      </c>
      <c r="G9691" s="7" t="n">
        <f aca="false">Sens!$E$9691+(glt_fro-Sens!$E$9691)*MIN(1,2/n_conv)</f>
        <v>0.0662886597938144</v>
      </c>
      <c r="H9691" s="7" t="n">
        <f aca="false">Sens!$E$9691+(glt_fro-Sens!$E$9691)*MIN(1,3/n_conv)</f>
        <v>0.0672164948453608</v>
      </c>
      <c r="I9691" s="7" t="n">
        <f aca="false">Sens!$E$9691+(glt_fro-Sens!$E$9691)*MIN(1,4/n_conv)</f>
        <v>0.0681443298969072</v>
      </c>
      <c r="J9691" s="7" t="n">
        <f aca="false">Sens!$E$9691+(glt_fro-Sens!$E$9691)*MIN(1,5/n_conv)</f>
        <v>0.0690721649484536</v>
      </c>
      <c r="K9691" s="7" t="n">
        <f aca="false">Sens!$E$9691+(glt_fro-Sens!$E$9691)*MIN(1,6/n_conv)</f>
        <v>0.07</v>
      </c>
    </row>
    <row r="9692" customFormat="false" ht="15" hidden="false" customHeight="false" outlineLevel="0" collapsed="false">
      <c r="A9692" s="0" t="s">
        <v>626</v>
      </c>
      <c r="B9692" s="0" t="s">
        <v>95</v>
      </c>
      <c r="D9692" s="6" t="n">
        <f aca="false">Sens!D9680+Sens!D9685+Sens!D9686+Sens!D9688+Sens!D9690</f>
        <v>218.783</v>
      </c>
      <c r="E9692" s="6" t="n">
        <f aca="false">Sens!E9680+Sens!E9685+Sens!E9686+Sens!E9688+Sens!E9690</f>
        <v>268.127</v>
      </c>
      <c r="F9692" s="6" t="n">
        <f aca="false">Sens!F9680+Sens!F9685+Sens!F9686+Sens!F9688+Sens!F9690</f>
        <v>334.265528251508</v>
      </c>
      <c r="G9692" s="6" t="n">
        <f aca="false">Sens!G9680+Sens!G9685+Sens!G9686+Sens!G9688+Sens!G9690</f>
        <v>408.072123059793</v>
      </c>
      <c r="H9692" s="6" t="n">
        <f aca="false">Sens!H9680+Sens!H9685+Sens!H9686+Sens!H9688+Sens!H9690</f>
        <v>483.196296004025</v>
      </c>
      <c r="I9692" s="6" t="n">
        <f aca="false">Sens!I9680+Sens!I9685+Sens!I9686+Sens!I9688+Sens!I9690</f>
        <v>556.129573436949</v>
      </c>
      <c r="J9692" s="6" t="n">
        <f aca="false">Sens!J9680+Sens!J9685+Sens!J9686+Sens!J9688+Sens!J9690</f>
        <v>625.478790083482</v>
      </c>
      <c r="K9692" s="6" t="n">
        <f aca="false">Sens!K9680+Sens!K9685+Sens!K9686+Sens!K9688+Sens!K9690</f>
        <v>691.348349922667</v>
      </c>
    </row>
    <row r="9693" customFormat="false" ht="15" hidden="false" customHeight="false" outlineLevel="0" collapsed="false">
      <c r="A9693" s="0" t="s">
        <v>792</v>
      </c>
      <c r="B9693" s="0" t="s">
        <v>95</v>
      </c>
      <c r="D9693" s="6" t="n">
        <f aca="false">Q!L13</f>
        <v>22.171</v>
      </c>
      <c r="E9693" s="6" t="n">
        <f aca="false">Q!M13</f>
        <v>24.835</v>
      </c>
      <c r="F9693" s="6" t="n">
        <f aca="false">Sens!E9693*(1+Sens!F9694)</f>
        <v>27.6114901218559</v>
      </c>
      <c r="G9693" s="6" t="n">
        <f aca="false">Sens!F9693*(1+Sens!G9694)</f>
        <v>30.4675667338515</v>
      </c>
      <c r="H9693" s="6" t="n">
        <f aca="false">Sens!G9693*(1+Sens!H9694)</f>
        <v>33.3643766955789</v>
      </c>
      <c r="I9693" s="6" t="n">
        <f aca="false">Sens!H9693*(1+Sens!I9694)</f>
        <v>36.2577016533691</v>
      </c>
      <c r="J9693" s="6" t="n">
        <f aca="false">Sens!I9693*(1+Sens!J9694)</f>
        <v>39.0988367952171</v>
      </c>
      <c r="K9693" s="6" t="n">
        <f aca="false">Sens!J9693*(1+Sens!K9694)</f>
        <v>41.8357553708823</v>
      </c>
    </row>
    <row r="9694" customFormat="false" ht="15" hidden="false" customHeight="false" outlineLevel="0" collapsed="false">
      <c r="A9694" s="1" t="s">
        <v>782</v>
      </c>
      <c r="B9694" s="0" t="s">
        <v>126</v>
      </c>
      <c r="E9694" s="7" t="n">
        <f aca="false">Sens!E9693/Sens!D9693-1</f>
        <v>0.120156961796942</v>
      </c>
      <c r="F9694" s="7" t="n">
        <f aca="false">Sens!$E$9694+(glt_srch-Sens!$E$9694)*MIN(1,1/n_conv)</f>
        <v>0.111797468164118</v>
      </c>
      <c r="G9694" s="7" t="n">
        <f aca="false">Sens!$E$9694+(glt_srch-Sens!$E$9694)*MIN(1,2/n_conv)</f>
        <v>0.103437974531295</v>
      </c>
      <c r="H9694" s="7" t="n">
        <f aca="false">Sens!$E$9694+(glt_srch-Sens!$E$9694)*MIN(1,3/n_conv)</f>
        <v>0.095078480898471</v>
      </c>
      <c r="I9694" s="7" t="n">
        <f aca="false">Sens!$E$9694+(glt_srch-Sens!$E$9694)*MIN(1,4/n_conv)</f>
        <v>0.0867189872656474</v>
      </c>
      <c r="J9694" s="7" t="n">
        <f aca="false">Sens!$E$9694+(glt_srch-Sens!$E$9694)*MIN(1,5/n_conv)</f>
        <v>0.0783594936328237</v>
      </c>
      <c r="K9694" s="7" t="n">
        <f aca="false">Sens!$E$9694+(glt_srch-Sens!$E$9694)*MIN(1,6/n_conv)</f>
        <v>0.07</v>
      </c>
    </row>
    <row r="9695" customFormat="false" ht="15" hidden="false" customHeight="false" outlineLevel="0" collapsed="false">
      <c r="A9695" s="0" t="s">
        <v>793</v>
      </c>
      <c r="B9695" s="0" t="s">
        <v>95</v>
      </c>
      <c r="D9695" s="6" t="n">
        <f aca="false">Q!L14</f>
        <v>23.455</v>
      </c>
      <c r="E9695" s="6" t="n">
        <f aca="false">Q!M14</f>
        <v>21.79</v>
      </c>
      <c r="F9695" s="6" t="n">
        <f aca="false">Sens!E9695*(1+Sens!F9696)</f>
        <v>20.5736277908051</v>
      </c>
      <c r="G9695" s="6" t="n">
        <f aca="false">Sens!F9695*(1+Sens!G9696)</f>
        <v>19.7371452817919</v>
      </c>
      <c r="H9695" s="6" t="n">
        <f aca="false">Sens!G9695*(1+Sens!H9696)</f>
        <v>19.2339764043138</v>
      </c>
      <c r="I9695" s="6" t="n">
        <f aca="false">Sens!H9695*(1+Sens!I9696)</f>
        <v>19.0353086852681</v>
      </c>
      <c r="J9695" s="6" t="n">
        <f aca="false">Sens!I9695*(1+Sens!J9696)</f>
        <v>19.1273539319129</v>
      </c>
      <c r="K9695" s="6" t="n">
        <f aca="false">Sens!J9695*(1+Sens!K9696)</f>
        <v>19.5099010105511</v>
      </c>
    </row>
    <row r="9696" customFormat="false" ht="15" hidden="false" customHeight="false" outlineLevel="0" collapsed="false">
      <c r="A9696" s="1" t="s">
        <v>782</v>
      </c>
      <c r="B9696" s="0" t="s">
        <v>126</v>
      </c>
      <c r="E9696" s="7" t="n">
        <f aca="false">Sens!E9695/Sens!D9695-1</f>
        <v>-0.0709869963760392</v>
      </c>
      <c r="F9696" s="7" t="n">
        <f aca="false">Sens!$E$9696+(glt_xbox-Sens!$E$9696)*MIN(1,1/n_conv)</f>
        <v>-0.0558224969800327</v>
      </c>
      <c r="G9696" s="7" t="n">
        <f aca="false">Sens!$E$9696+(glt_xbox-Sens!$E$9696)*MIN(1,2/n_conv)</f>
        <v>-0.0406579975840262</v>
      </c>
      <c r="H9696" s="7" t="n">
        <f aca="false">Sens!$E$9696+(glt_xbox-Sens!$E$9696)*MIN(1,3/n_conv)</f>
        <v>-0.0254934981880196</v>
      </c>
      <c r="I9696" s="7" t="n">
        <f aca="false">Sens!$E$9696+(glt_xbox-Sens!$E$9696)*MIN(1,4/n_conv)</f>
        <v>-0.0103289987920131</v>
      </c>
      <c r="J9696" s="7" t="n">
        <f aca="false">Sens!$E$9696+(glt_xbox-Sens!$E$9696)*MIN(1,5/n_conv)</f>
        <v>0.00483550060399347</v>
      </c>
      <c r="K9696" s="7" t="n">
        <f aca="false">Sens!$E$9696+(glt_xbox-Sens!$E$9696)*MIN(1,6/n_conv)</f>
        <v>0.02</v>
      </c>
    </row>
    <row r="9697" customFormat="false" ht="15" hidden="false" customHeight="false" outlineLevel="0" collapsed="false">
      <c r="A9697" s="0" t="s">
        <v>794</v>
      </c>
      <c r="B9697" s="0" t="s">
        <v>95</v>
      </c>
      <c r="D9697" s="6" t="n">
        <f aca="false">Q!L15</f>
        <v>17.315</v>
      </c>
      <c r="E9697" s="6" t="n">
        <f aca="false">Q!M15</f>
        <v>17.087</v>
      </c>
      <c r="F9697" s="6" t="n">
        <f aca="false">Sens!E9697*(1+Sens!F9698)</f>
        <v>16.9564585436519</v>
      </c>
      <c r="G9697" s="6" t="n">
        <f aca="false">Sens!F9697*(1+Sens!G9698)</f>
        <v>16.9206490624268</v>
      </c>
      <c r="H9697" s="6" t="n">
        <f aca="false">Sens!G9697*(1+Sens!H9698)</f>
        <v>16.9784519149849</v>
      </c>
      <c r="I9697" s="6" t="n">
        <f aca="false">Sens!H9697*(1+Sens!I9698)</f>
        <v>17.1303084701817</v>
      </c>
      <c r="J9697" s="6" t="n">
        <f aca="false">Sens!I9697*(1+Sens!J9698)</f>
        <v>17.3782189407267</v>
      </c>
      <c r="K9697" s="6" t="n">
        <f aca="false">Sens!J9697*(1+Sens!K9698)</f>
        <v>17.7257833195413</v>
      </c>
    </row>
    <row r="9698" customFormat="false" ht="15" hidden="false" customHeight="false" outlineLevel="0" collapsed="false">
      <c r="A9698" s="1" t="s">
        <v>782</v>
      </c>
      <c r="B9698" s="0" t="s">
        <v>126</v>
      </c>
      <c r="E9698" s="7" t="n">
        <f aca="false">Sens!E9697/Sens!D9697-1</f>
        <v>-0.0131677736066995</v>
      </c>
      <c r="F9698" s="7" t="n">
        <f aca="false">Sens!$E$9698+(glt_win-Sens!$E$9698)*MIN(1,1/n_conv)</f>
        <v>-0.00763981133891627</v>
      </c>
      <c r="G9698" s="7" t="n">
        <f aca="false">Sens!$E$9698+(glt_win-Sens!$E$9698)*MIN(1,2/n_conv)</f>
        <v>-0.00211184907113301</v>
      </c>
      <c r="H9698" s="7" t="n">
        <f aca="false">Sens!$E$9698+(glt_win-Sens!$E$9698)*MIN(1,3/n_conv)</f>
        <v>0.00341611319665024</v>
      </c>
      <c r="I9698" s="7" t="n">
        <f aca="false">Sens!$E$9698+(glt_win-Sens!$E$9698)*MIN(1,4/n_conv)</f>
        <v>0.00894407546443349</v>
      </c>
      <c r="J9698" s="7" t="n">
        <f aca="false">Sens!$E$9698+(glt_win-Sens!$E$9698)*MIN(1,5/n_conv)</f>
        <v>0.0144720377322168</v>
      </c>
      <c r="K9698" s="7" t="n">
        <f aca="false">Sens!$E$9698+(glt_win-Sens!$E$9698)*MIN(1,6/n_conv)</f>
        <v>0.02</v>
      </c>
    </row>
    <row r="9699" customFormat="false" ht="15" hidden="false" customHeight="false" outlineLevel="0" collapsed="false">
      <c r="A9699" s="0" t="s">
        <v>640</v>
      </c>
      <c r="B9699" s="0" t="s">
        <v>95</v>
      </c>
      <c r="D9699" s="6" t="n">
        <f aca="false">Sens!D9693+Sens!D9695+Sens!D9697</f>
        <v>62.941</v>
      </c>
      <c r="E9699" s="6" t="n">
        <f aca="false">Sens!E9693+Sens!E9695+Sens!E9697</f>
        <v>63.712</v>
      </c>
      <c r="F9699" s="6" t="n">
        <f aca="false">Sens!F9693+Sens!F9695+Sens!F9697</f>
        <v>65.1415764563129</v>
      </c>
      <c r="G9699" s="6" t="n">
        <f aca="false">Sens!G9693+Sens!G9695+Sens!G9697</f>
        <v>67.1253610780702</v>
      </c>
      <c r="H9699" s="6" t="n">
        <f aca="false">Sens!H9693+Sens!H9695+Sens!H9697</f>
        <v>69.5768050148776</v>
      </c>
      <c r="I9699" s="6" t="n">
        <f aca="false">Sens!I9693+Sens!I9695+Sens!I9697</f>
        <v>72.4233188088189</v>
      </c>
      <c r="J9699" s="6" t="n">
        <f aca="false">Sens!J9693+Sens!J9695+Sens!J9697</f>
        <v>75.6044096678567</v>
      </c>
      <c r="K9699" s="6" t="n">
        <f aca="false">Sens!K9693+Sens!K9695+Sens!K9697</f>
        <v>79.0714397009747</v>
      </c>
    </row>
    <row r="9700" customFormat="false" ht="15" hidden="false" customHeight="false" outlineLevel="0" collapsed="false">
      <c r="A9700" s="1" t="s">
        <v>795</v>
      </c>
      <c r="B9700" s="0" t="s">
        <v>95</v>
      </c>
      <c r="D9700" s="6" t="n">
        <f aca="false">Sens!D9692+Sens!D9699</f>
        <v>281.724</v>
      </c>
      <c r="E9700" s="6" t="n">
        <f aca="false">Sens!E9692+Sens!E9699</f>
        <v>331.839</v>
      </c>
      <c r="F9700" s="6" t="n">
        <f aca="false">Sens!F9692+Sens!F9699</f>
        <v>399.407104707821</v>
      </c>
      <c r="G9700" s="6" t="n">
        <f aca="false">Sens!G9692+Sens!G9699</f>
        <v>475.197484137863</v>
      </c>
      <c r="H9700" s="6" t="n">
        <f aca="false">Sens!H9692+Sens!H9699</f>
        <v>552.773101018903</v>
      </c>
      <c r="I9700" s="6" t="n">
        <f aca="false">Sens!I9692+Sens!I9699</f>
        <v>628.552892245768</v>
      </c>
      <c r="J9700" s="6" t="n">
        <f aca="false">Sens!J9692+Sens!J9699</f>
        <v>701.083199751338</v>
      </c>
      <c r="K9700" s="6" t="n">
        <f aca="false">Sens!K9692+Sens!K9699</f>
        <v>770.419789623641</v>
      </c>
    </row>
    <row r="9701" customFormat="false" ht="15" hidden="false" customHeight="false" outlineLevel="0" collapsed="false">
      <c r="A9701" s="22" t="s">
        <v>796</v>
      </c>
      <c r="B9701" s="28" t="s">
        <v>95</v>
      </c>
      <c r="C9701" s="28"/>
      <c r="D9701" s="23" t="n">
        <f aca="false">(Sens!D9680+Sens!D9685+Sens!D9686+Sens!D9688+Sens!D9690-Sens!D9692)+(Sens!D9693+Sens!D9695+Sens!D9697-Sens!D9699)+(Sens!D9692-Q!L5)+(Sens!D9699-Q!L12)+(Sens!D9680-Q!L6)+(Sens!D9685-Q!L7)</f>
        <v>0</v>
      </c>
      <c r="E9701" s="23" t="n">
        <f aca="false">(Sens!E9680+Sens!E9685+Sens!E9686+Sens!E9688+Sens!E9690-Sens!E9692)+(Sens!E9693+Sens!E9695+Sens!E9697-Sens!E9699)+(Sens!E9692-Q!M5)+(Sens!E9699-Q!M12)+(Sens!E9680-Q!M6)+(Sens!E9685-Q!M7)</f>
        <v>0</v>
      </c>
      <c r="F9701" s="23" t="n">
        <f aca="false">(Sens!F9680+Sens!F9685+Sens!F9686+Sens!F9688+Sens!F9690-Sens!F9692)+(Sens!F9693+Sens!F9695+Sens!F9697-Sens!F9699)</f>
        <v>0</v>
      </c>
      <c r="G9701" s="23" t="n">
        <f aca="false">(Sens!G9680+Sens!G9685+Sens!G9686+Sens!G9688+Sens!G9690-Sens!G9692)+(Sens!G9693+Sens!G9695+Sens!G9697-Sens!G9699)</f>
        <v>0</v>
      </c>
      <c r="H9701" s="23" t="n">
        <f aca="false">(Sens!H9680+Sens!H9685+Sens!H9686+Sens!H9688+Sens!H9690-Sens!H9692)+(Sens!H9693+Sens!H9695+Sens!H9697-Sens!H9699)</f>
        <v>0</v>
      </c>
      <c r="I9701" s="23" t="n">
        <f aca="false">(Sens!I9680+Sens!I9685+Sens!I9686+Sens!I9688+Sens!I9690-Sens!I9692)+(Sens!I9693+Sens!I9695+Sens!I9697-Sens!I9699)</f>
        <v>0</v>
      </c>
      <c r="J9701" s="23" t="n">
        <f aca="false">(Sens!J9680+Sens!J9685+Sens!J9686+Sens!J9688+Sens!J9690-Sens!J9692)+(Sens!J9693+Sens!J9695+Sens!J9697-Sens!J9699)</f>
        <v>0</v>
      </c>
      <c r="K9701" s="23" t="n">
        <f aca="false">(Sens!K9680+Sens!K9685+Sens!K9686+Sens!K9688+Sens!K9690-Sens!K9692)+(Sens!K9693+Sens!K9695+Sens!K9697-Sens!K9699)</f>
        <v>0</v>
      </c>
    </row>
    <row r="9702" customFormat="false" ht="17.15" hidden="false" customHeight="false" outlineLevel="0" collapsed="false">
      <c r="A9702" s="3" t="s">
        <v>1391</v>
      </c>
    </row>
    <row r="9703" customFormat="false" ht="15" hidden="false" customHeight="false" outlineLevel="0" collapsed="false">
      <c r="A9703" s="4" t="s">
        <v>43</v>
      </c>
      <c r="B9703" s="4" t="s">
        <v>63</v>
      </c>
      <c r="C9703" s="19" t="s">
        <v>710</v>
      </c>
      <c r="D9703" s="19" t="s">
        <v>711</v>
      </c>
      <c r="E9703" s="19" t="s">
        <v>712</v>
      </c>
      <c r="F9703" s="19" t="s">
        <v>713</v>
      </c>
      <c r="G9703" s="19" t="s">
        <v>714</v>
      </c>
      <c r="H9703" s="19" t="s">
        <v>715</v>
      </c>
      <c r="I9703" s="19" t="s">
        <v>716</v>
      </c>
      <c r="J9703" s="19" t="s">
        <v>717</v>
      </c>
      <c r="K9703" s="19" t="s">
        <v>718</v>
      </c>
      <c r="L9703" s="4" t="s">
        <v>47</v>
      </c>
    </row>
    <row r="9704" customFormat="false" ht="15" hidden="false" customHeight="false" outlineLevel="0" collapsed="false">
      <c r="A9704" s="0" t="s">
        <v>783</v>
      </c>
      <c r="B9704" s="0" t="s">
        <v>95</v>
      </c>
      <c r="D9704" s="6" t="n">
        <f aca="false">Sens!D9680</f>
        <v>72.61</v>
      </c>
      <c r="E9704" s="6" t="n">
        <f aca="false">Sens!E9680</f>
        <v>101.938</v>
      </c>
      <c r="F9704" s="6" t="n">
        <f aca="false">Sens!F9680</f>
        <v>145.143956312325</v>
      </c>
      <c r="G9704" s="6" t="n">
        <f aca="false">Sens!G9680</f>
        <v>196.478966522364</v>
      </c>
      <c r="H9704" s="6" t="n">
        <f aca="false">Sens!H9680</f>
        <v>249.10761332251</v>
      </c>
      <c r="I9704" s="6" t="n">
        <f aca="false">Sens!I9680</f>
        <v>301.318218457463</v>
      </c>
      <c r="J9704" s="6" t="n">
        <f aca="false">Sens!J9680</f>
        <v>352.037892979313</v>
      </c>
      <c r="K9704" s="6" t="n">
        <f aca="false">Sens!K9680</f>
        <v>400.20428058249</v>
      </c>
    </row>
    <row r="9705" customFormat="false" ht="17.15" hidden="false" customHeight="false" outlineLevel="0" collapsed="false">
      <c r="A9705" s="0" t="s">
        <v>780</v>
      </c>
      <c r="B9705" s="0" t="s">
        <v>95</v>
      </c>
      <c r="D9705" s="6" t="n">
        <f aca="false">Sens!D9677</f>
        <v>12.9359794422418</v>
      </c>
      <c r="E9705" s="6" t="n">
        <f aca="false">Sens!E9677</f>
        <v>27.8095064661409</v>
      </c>
      <c r="F9705" s="6" t="n">
        <f aca="false">Sens!F9677</f>
        <v>55.0640065749585</v>
      </c>
      <c r="G9705" s="6" t="n">
        <f aca="false">Sens!G9677</f>
        <v>89.4505413190538</v>
      </c>
      <c r="H9705" s="6" t="n">
        <f aca="false">Sens!H9677</f>
        <v>124.835630736874</v>
      </c>
      <c r="I9705" s="6" t="n">
        <f aca="false">Sens!I9677</f>
        <v>160.384516075608</v>
      </c>
      <c r="J9705" s="6" t="n">
        <f aca="false">Sens!J9677</f>
        <v>196.019025664981</v>
      </c>
      <c r="K9705" s="6" t="n">
        <f aca="false">Sens!K9677</f>
        <v>231.703903883012</v>
      </c>
    </row>
    <row r="9706" customFormat="false" ht="17.15" hidden="false" customHeight="false" outlineLevel="0" collapsed="false">
      <c r="A9706" s="0" t="s">
        <v>807</v>
      </c>
      <c r="B9706" s="0" t="s">
        <v>95</v>
      </c>
      <c r="D9706" s="6" t="n">
        <f aca="false">Sens!D9678</f>
        <v>59.6740205577583</v>
      </c>
      <c r="E9706" s="6" t="n">
        <f aca="false">Sens!E9678</f>
        <v>74.1284935338591</v>
      </c>
      <c r="F9706" s="6" t="n">
        <f aca="false">Sens!F9678</f>
        <v>90.0799497373663</v>
      </c>
      <c r="G9706" s="6" t="n">
        <f aca="false">Sens!G9678</f>
        <v>107.02842520331</v>
      </c>
      <c r="H9706" s="6" t="n">
        <f aca="false">Sens!H9678</f>
        <v>124.271982585636</v>
      </c>
      <c r="I9706" s="6" t="n">
        <f aca="false">Sens!I9678</f>
        <v>140.933702381855</v>
      </c>
      <c r="J9706" s="6" t="n">
        <f aca="false">Sens!J9678</f>
        <v>156.018867314332</v>
      </c>
      <c r="K9706" s="6" t="n">
        <f aca="false">Sens!K9678</f>
        <v>168.500376699478</v>
      </c>
    </row>
    <row r="9707" customFormat="false" ht="15" hidden="false" customHeight="false" outlineLevel="0" collapsed="false">
      <c r="A9707" s="0" t="s">
        <v>788</v>
      </c>
      <c r="B9707" s="0" t="s">
        <v>95</v>
      </c>
      <c r="D9707" s="6" t="n">
        <f aca="false">Sens!D9685</f>
        <v>84.605</v>
      </c>
      <c r="E9707" s="6" t="n">
        <f aca="false">Sens!E9685</f>
        <v>100.299</v>
      </c>
      <c r="F9707" s="6" t="n">
        <f aca="false">Sens!F9685</f>
        <v>118.89238776686</v>
      </c>
      <c r="G9707" s="6" t="n">
        <f aca="false">Sens!G9685</f>
        <v>137.044168448684</v>
      </c>
      <c r="H9707" s="6" t="n">
        <f aca="false">Sens!H9685</f>
        <v>155.277359388781</v>
      </c>
      <c r="I9707" s="6" t="n">
        <f aca="false">Sens!I9685</f>
        <v>171.834028071957</v>
      </c>
      <c r="J9707" s="6" t="n">
        <f aca="false">Sens!J9685</f>
        <v>186.432702785465</v>
      </c>
      <c r="K9707" s="6" t="n">
        <f aca="false">Sens!K9685</f>
        <v>200.277991980448</v>
      </c>
    </row>
    <row r="9708" customFormat="false" ht="17.15" hidden="false" customHeight="false" outlineLevel="0" collapsed="false">
      <c r="A9708" s="0" t="s">
        <v>808</v>
      </c>
      <c r="B9708" s="0" t="s">
        <v>95</v>
      </c>
      <c r="D9708" s="6" t="n">
        <f aca="false">Sens!D9683</f>
        <v>83.705</v>
      </c>
      <c r="E9708" s="6" t="n">
        <f aca="false">Sens!E9683</f>
        <v>95.049</v>
      </c>
      <c r="F9708" s="6" t="n">
        <f aca="false">Sens!F9683</f>
        <v>106.89238776686</v>
      </c>
      <c r="G9708" s="6" t="n">
        <f aca="false">Sens!G9683</f>
        <v>119.044168448684</v>
      </c>
      <c r="H9708" s="6" t="n">
        <f aca="false">Sens!H9683</f>
        <v>131.277359388781</v>
      </c>
      <c r="I9708" s="6" t="n">
        <f aca="false">Sens!I9683</f>
        <v>143.334028071957</v>
      </c>
      <c r="J9708" s="6" t="n">
        <f aca="false">Sens!J9683</f>
        <v>154.932702785465</v>
      </c>
      <c r="K9708" s="6" t="n">
        <f aca="false">Sens!K9683</f>
        <v>165.777991980448</v>
      </c>
    </row>
    <row r="9709" customFormat="false" ht="17.15" hidden="false" customHeight="false" outlineLevel="0" collapsed="false">
      <c r="A9709" s="0" t="s">
        <v>809</v>
      </c>
      <c r="B9709" s="0" t="s">
        <v>95</v>
      </c>
      <c r="D9709" s="6" t="n">
        <f aca="false">Sens!D9682</f>
        <v>0.9</v>
      </c>
      <c r="E9709" s="6" t="n">
        <f aca="false">Sens!E9682</f>
        <v>5.25</v>
      </c>
      <c r="F9709" s="6" t="n">
        <f aca="false">Sens!F9682</f>
        <v>12</v>
      </c>
      <c r="G9709" s="6" t="n">
        <f aca="false">Sens!G9682</f>
        <v>18</v>
      </c>
      <c r="H9709" s="6" t="n">
        <f aca="false">Sens!H9682</f>
        <v>24</v>
      </c>
      <c r="I9709" s="6" t="n">
        <f aca="false">Sens!I9682</f>
        <v>28.5</v>
      </c>
      <c r="J9709" s="6" t="n">
        <f aca="false">Sens!J9682</f>
        <v>31.5</v>
      </c>
      <c r="K9709" s="6" t="n">
        <f aca="false">Sens!K9682</f>
        <v>34.5</v>
      </c>
    </row>
    <row r="9710" customFormat="false" ht="15" hidden="false" customHeight="false" outlineLevel="0" collapsed="false">
      <c r="A9710" s="0" t="s">
        <v>789</v>
      </c>
      <c r="B9710" s="0" t="s">
        <v>95</v>
      </c>
      <c r="D9710" s="6" t="n">
        <f aca="false">Sens!D9686</f>
        <v>35.391</v>
      </c>
      <c r="E9710" s="6" t="n">
        <f aca="false">Sens!E9686</f>
        <v>37.285</v>
      </c>
      <c r="F9710" s="6" t="n">
        <f aca="false">Sens!F9686</f>
        <v>39.0720834331704</v>
      </c>
      <c r="G9710" s="6" t="n">
        <f aca="false">Sens!G9686</f>
        <v>40.726562953769</v>
      </c>
      <c r="H9710" s="6" t="n">
        <f aca="false">Sens!H9686</f>
        <v>42.2235987259198</v>
      </c>
      <c r="I9710" s="6" t="n">
        <f aca="false">Sens!I9686</f>
        <v>43.5397988077414</v>
      </c>
      <c r="J9710" s="6" t="n">
        <f aca="false">Sens!J9686</f>
        <v>44.653811225693</v>
      </c>
      <c r="K9710" s="6" t="n">
        <f aca="false">Sens!K9686</f>
        <v>45.5468874502068</v>
      </c>
    </row>
    <row r="9711" customFormat="false" ht="15" hidden="false" customHeight="false" outlineLevel="0" collapsed="false">
      <c r="A9711" s="0" t="s">
        <v>790</v>
      </c>
      <c r="B9711" s="0" t="s">
        <v>95</v>
      </c>
      <c r="D9711" s="6" t="n">
        <f aca="false">Sens!D9688</f>
        <v>18.417</v>
      </c>
      <c r="E9711" s="6" t="n">
        <f aca="false">Sens!E9688</f>
        <v>20.345</v>
      </c>
      <c r="F9711" s="6" t="n">
        <f aca="false">Sens!F9688</f>
        <v>22.3572203267814</v>
      </c>
      <c r="G9711" s="6" t="n">
        <f aca="false">Sens!G9688</f>
        <v>24.4392124437232</v>
      </c>
      <c r="H9711" s="6" t="n">
        <f aca="false">Sens!H9688</f>
        <v>26.5738052080665</v>
      </c>
      <c r="I9711" s="6" t="n">
        <f aca="false">Sens!I9688</f>
        <v>28.7412169166967</v>
      </c>
      <c r="J9711" s="6" t="n">
        <f aca="false">Sens!J9688</f>
        <v>30.9192545395413</v>
      </c>
      <c r="K9711" s="6" t="n">
        <f aca="false">Sens!K9688</f>
        <v>33.0836023573092</v>
      </c>
    </row>
    <row r="9712" customFormat="false" ht="15" hidden="false" customHeight="false" outlineLevel="0" collapsed="false">
      <c r="A9712" s="0" t="s">
        <v>791</v>
      </c>
      <c r="B9712" s="0" t="s">
        <v>95</v>
      </c>
      <c r="D9712" s="6" t="n">
        <f aca="false">Sens!D9690</f>
        <v>7.76</v>
      </c>
      <c r="E9712" s="6" t="n">
        <f aca="false">Sens!E9690</f>
        <v>8.26</v>
      </c>
      <c r="F9712" s="6" t="n">
        <f aca="false">Sens!F9690</f>
        <v>8.79988041237113</v>
      </c>
      <c r="G9712" s="6" t="n">
        <f aca="false">Sens!G9690</f>
        <v>9.38321269125306</v>
      </c>
      <c r="H9712" s="6" t="n">
        <f aca="false">Sens!H9690</f>
        <v>10.0139193587476</v>
      </c>
      <c r="I9712" s="6" t="n">
        <f aca="false">Sens!I9690</f>
        <v>10.6963111830911</v>
      </c>
      <c r="J9712" s="6" t="n">
        <f aca="false">Sens!J9690</f>
        <v>11.4351285534696</v>
      </c>
      <c r="K9712" s="6" t="n">
        <f aca="false">Sens!K9690</f>
        <v>12.2355875522124</v>
      </c>
    </row>
    <row r="9713" customFormat="false" ht="15" hidden="false" customHeight="false" outlineLevel="0" collapsed="false">
      <c r="A9713" s="0" t="s">
        <v>626</v>
      </c>
      <c r="B9713" s="0" t="s">
        <v>95</v>
      </c>
      <c r="D9713" s="6" t="n">
        <f aca="false">Sens!D9692</f>
        <v>218.783</v>
      </c>
      <c r="E9713" s="6" t="n">
        <f aca="false">Sens!E9692</f>
        <v>268.127</v>
      </c>
      <c r="F9713" s="6" t="n">
        <f aca="false">Sens!F9692</f>
        <v>334.265528251508</v>
      </c>
      <c r="G9713" s="6" t="n">
        <f aca="false">Sens!G9692</f>
        <v>408.072123059793</v>
      </c>
      <c r="H9713" s="6" t="n">
        <f aca="false">Sens!H9692</f>
        <v>483.196296004025</v>
      </c>
      <c r="I9713" s="6" t="n">
        <f aca="false">Sens!I9692</f>
        <v>556.129573436949</v>
      </c>
      <c r="J9713" s="6" t="n">
        <f aca="false">Sens!J9692</f>
        <v>625.478790083482</v>
      </c>
      <c r="K9713" s="6" t="n">
        <f aca="false">Sens!K9692</f>
        <v>691.348349922667</v>
      </c>
    </row>
    <row r="9714" customFormat="false" ht="15" hidden="false" customHeight="false" outlineLevel="0" collapsed="false">
      <c r="A9714" s="0" t="s">
        <v>792</v>
      </c>
      <c r="B9714" s="0" t="s">
        <v>95</v>
      </c>
      <c r="D9714" s="6" t="n">
        <f aca="false">Sens!D9693</f>
        <v>22.171</v>
      </c>
      <c r="E9714" s="6" t="n">
        <f aca="false">Sens!E9693</f>
        <v>24.835</v>
      </c>
      <c r="F9714" s="6" t="n">
        <f aca="false">Sens!F9693</f>
        <v>27.6114901218559</v>
      </c>
      <c r="G9714" s="6" t="n">
        <f aca="false">Sens!G9693</f>
        <v>30.4675667338515</v>
      </c>
      <c r="H9714" s="6" t="n">
        <f aca="false">Sens!H9693</f>
        <v>33.3643766955789</v>
      </c>
      <c r="I9714" s="6" t="n">
        <f aca="false">Sens!I9693</f>
        <v>36.2577016533691</v>
      </c>
      <c r="J9714" s="6" t="n">
        <f aca="false">Sens!J9693</f>
        <v>39.0988367952171</v>
      </c>
      <c r="K9714" s="6" t="n">
        <f aca="false">Sens!K9693</f>
        <v>41.8357553708823</v>
      </c>
    </row>
    <row r="9715" customFormat="false" ht="15" hidden="false" customHeight="false" outlineLevel="0" collapsed="false">
      <c r="A9715" s="0" t="s">
        <v>793</v>
      </c>
      <c r="B9715" s="0" t="s">
        <v>95</v>
      </c>
      <c r="D9715" s="6" t="n">
        <f aca="false">Sens!D9695</f>
        <v>23.455</v>
      </c>
      <c r="E9715" s="6" t="n">
        <f aca="false">Sens!E9695</f>
        <v>21.79</v>
      </c>
      <c r="F9715" s="6" t="n">
        <f aca="false">Sens!F9695</f>
        <v>20.5736277908051</v>
      </c>
      <c r="G9715" s="6" t="n">
        <f aca="false">Sens!G9695</f>
        <v>19.7371452817919</v>
      </c>
      <c r="H9715" s="6" t="n">
        <f aca="false">Sens!H9695</f>
        <v>19.2339764043138</v>
      </c>
      <c r="I9715" s="6" t="n">
        <f aca="false">Sens!I9695</f>
        <v>19.0353086852681</v>
      </c>
      <c r="J9715" s="6" t="n">
        <f aca="false">Sens!J9695</f>
        <v>19.1273539319129</v>
      </c>
      <c r="K9715" s="6" t="n">
        <f aca="false">Sens!K9695</f>
        <v>19.5099010105511</v>
      </c>
    </row>
    <row r="9716" customFormat="false" ht="15" hidden="false" customHeight="false" outlineLevel="0" collapsed="false">
      <c r="A9716" s="0" t="s">
        <v>794</v>
      </c>
      <c r="B9716" s="0" t="s">
        <v>95</v>
      </c>
      <c r="D9716" s="6" t="n">
        <f aca="false">Sens!D9697</f>
        <v>17.315</v>
      </c>
      <c r="E9716" s="6" t="n">
        <f aca="false">Sens!E9697</f>
        <v>17.087</v>
      </c>
      <c r="F9716" s="6" t="n">
        <f aca="false">Sens!F9697</f>
        <v>16.9564585436519</v>
      </c>
      <c r="G9716" s="6" t="n">
        <f aca="false">Sens!G9697</f>
        <v>16.9206490624268</v>
      </c>
      <c r="H9716" s="6" t="n">
        <f aca="false">Sens!H9697</f>
        <v>16.9784519149849</v>
      </c>
      <c r="I9716" s="6" t="n">
        <f aca="false">Sens!I9697</f>
        <v>17.1303084701817</v>
      </c>
      <c r="J9716" s="6" t="n">
        <f aca="false">Sens!J9697</f>
        <v>17.3782189407267</v>
      </c>
      <c r="K9716" s="6" t="n">
        <f aca="false">Sens!K9697</f>
        <v>17.7257833195413</v>
      </c>
    </row>
    <row r="9717" customFormat="false" ht="15" hidden="false" customHeight="false" outlineLevel="0" collapsed="false">
      <c r="A9717" s="0" t="s">
        <v>640</v>
      </c>
      <c r="B9717" s="0" t="s">
        <v>95</v>
      </c>
      <c r="D9717" s="6" t="n">
        <f aca="false">Sens!D9699</f>
        <v>62.941</v>
      </c>
      <c r="E9717" s="6" t="n">
        <f aca="false">Sens!E9699</f>
        <v>63.712</v>
      </c>
      <c r="F9717" s="6" t="n">
        <f aca="false">Sens!F9699</f>
        <v>65.1415764563129</v>
      </c>
      <c r="G9717" s="6" t="n">
        <f aca="false">Sens!G9699</f>
        <v>67.1253610780702</v>
      </c>
      <c r="H9717" s="6" t="n">
        <f aca="false">Sens!H9699</f>
        <v>69.5768050148776</v>
      </c>
      <c r="I9717" s="6" t="n">
        <f aca="false">Sens!I9699</f>
        <v>72.4233188088189</v>
      </c>
      <c r="J9717" s="6" t="n">
        <f aca="false">Sens!J9699</f>
        <v>75.6044096678567</v>
      </c>
      <c r="K9717" s="6" t="n">
        <f aca="false">Sens!K9699</f>
        <v>79.0714397009747</v>
      </c>
    </row>
    <row r="9718" customFormat="false" ht="15" hidden="false" customHeight="false" outlineLevel="0" collapsed="false">
      <c r="A9718" s="1" t="s">
        <v>810</v>
      </c>
      <c r="B9718" s="0" t="s">
        <v>95</v>
      </c>
      <c r="D9718" s="6" t="n">
        <f aca="false">Sens!D9700</f>
        <v>281.724</v>
      </c>
      <c r="E9718" s="6" t="n">
        <f aca="false">Sens!E9700</f>
        <v>331.839</v>
      </c>
      <c r="F9718" s="6" t="n">
        <f aca="false">Sens!F9700</f>
        <v>399.407104707821</v>
      </c>
      <c r="G9718" s="6" t="n">
        <f aca="false">Sens!G9700</f>
        <v>475.197484137863</v>
      </c>
      <c r="H9718" s="6" t="n">
        <f aca="false">Sens!H9700</f>
        <v>552.773101018903</v>
      </c>
      <c r="I9718" s="6" t="n">
        <f aca="false">Sens!I9700</f>
        <v>628.552892245768</v>
      </c>
      <c r="J9718" s="6" t="n">
        <f aca="false">Sens!J9700</f>
        <v>701.083199751338</v>
      </c>
      <c r="K9718" s="6" t="n">
        <f aca="false">Sens!K9700</f>
        <v>770.419789623641</v>
      </c>
    </row>
    <row r="9719" customFormat="false" ht="15" hidden="false" customHeight="false" outlineLevel="0" collapsed="false">
      <c r="A9719" s="1" t="s">
        <v>811</v>
      </c>
      <c r="B9719" s="0" t="s">
        <v>126</v>
      </c>
      <c r="E9719" s="7" t="n">
        <f aca="false">Sens!E9718/Sens!D9718-1</f>
        <v>0.177886867998467</v>
      </c>
      <c r="F9719" s="7" t="n">
        <f aca="false">Sens!F9718/Sens!E9718-1</f>
        <v>0.203617129715978</v>
      </c>
      <c r="G9719" s="7" t="n">
        <f aca="false">Sens!G9718/Sens!F9718-1</f>
        <v>0.189757213972159</v>
      </c>
      <c r="H9719" s="7" t="n">
        <f aca="false">Sens!H9718/Sens!G9718-1</f>
        <v>0.163249216316418</v>
      </c>
      <c r="I9719" s="7" t="n">
        <f aca="false">Sens!I9718/Sens!H9718-1</f>
        <v>0.137090229403682</v>
      </c>
      <c r="J9719" s="7" t="n">
        <f aca="false">Sens!J9718/Sens!I9718-1</f>
        <v>0.11539252845759</v>
      </c>
      <c r="K9719" s="7" t="n">
        <f aca="false">Sens!K9718/Sens!J9718-1</f>
        <v>0.098899231784324</v>
      </c>
    </row>
    <row r="9720" customFormat="false" ht="17.15" hidden="false" customHeight="false" outlineLevel="0" collapsed="false">
      <c r="A9720" s="22" t="s">
        <v>812</v>
      </c>
      <c r="B9720" s="28" t="s">
        <v>95</v>
      </c>
      <c r="C9720" s="28"/>
      <c r="D9720" s="23" t="n">
        <f aca="false">(Sens!D9713+Sens!D9717-Sens!D9718)+(Sens!D9705+Sens!D9706-Sens!D9704)+(Sens!D9708+Sens!D9709-Sens!D9707)+(Sens!D9718-Q!L18)</f>
        <v>0</v>
      </c>
      <c r="E9720" s="23" t="n">
        <f aca="false">(Sens!E9713+Sens!E9717-Sens!E9718)+(Sens!E9705+Sens!E9706-Sens!E9704)+(Sens!E9708+Sens!E9709-Sens!E9707)+(Sens!E9718-Q!M18)</f>
        <v>0</v>
      </c>
      <c r="F9720" s="23" t="n">
        <f aca="false">(Sens!F9713+Sens!F9717-Sens!F9718)+(Sens!F9705+Sens!F9706-Sens!F9704)+(Sens!F9708+Sens!F9709-Sens!F9707)</f>
        <v>0</v>
      </c>
      <c r="G9720" s="23" t="n">
        <f aca="false">(Sens!G9713+Sens!G9717-Sens!G9718)+(Sens!G9705+Sens!G9706-Sens!G9704)+(Sens!G9708+Sens!G9709-Sens!G9707)</f>
        <v>0</v>
      </c>
      <c r="H9720" s="23" t="n">
        <f aca="false">(Sens!H9713+Sens!H9717-Sens!H9718)+(Sens!H9705+Sens!H9706-Sens!H9704)+(Sens!H9708+Sens!H9709-Sens!H9707)</f>
        <v>0</v>
      </c>
      <c r="I9720" s="23" t="n">
        <f aca="false">(Sens!I9713+Sens!I9717-Sens!I9718)+(Sens!I9705+Sens!I9706-Sens!I9704)+(Sens!I9708+Sens!I9709-Sens!I9707)</f>
        <v>0</v>
      </c>
      <c r="J9720" s="23" t="n">
        <f aca="false">(Sens!J9713+Sens!J9717-Sens!J9718)+(Sens!J9705+Sens!J9706-Sens!J9704)+(Sens!J9708+Sens!J9709-Sens!J9707)</f>
        <v>0</v>
      </c>
      <c r="K9720" s="23" t="n">
        <f aca="false">(Sens!K9713+Sens!K9717-Sens!K9718)+(Sens!K9705+Sens!K9706-Sens!K9704)+(Sens!K9708+Sens!K9709-Sens!K9707)</f>
        <v>0</v>
      </c>
    </row>
    <row r="9721" customFormat="false" ht="17.15" hidden="false" customHeight="false" outlineLevel="0" collapsed="false">
      <c r="A9721" s="0" t="s">
        <v>813</v>
      </c>
      <c r="B9721" s="0" t="s">
        <v>126</v>
      </c>
      <c r="E9721" s="7" t="n">
        <f aca="false">(Q!M21+Sens!E9658+Sens!E9659+Sens!E9660+Sens!E9673-Sens!E9656)/(Q!M5-Sens!E9656)</f>
        <v>0.570957350878296</v>
      </c>
      <c r="F9721" s="7" t="n">
        <f aca="false">Sens!$E$9721+dm_seg_lo</f>
        <v>0.550957350878296</v>
      </c>
      <c r="G9721" s="7" t="n">
        <f aca="false">Sens!$E$9721+dm_seg_lo</f>
        <v>0.550957350878296</v>
      </c>
      <c r="H9721" s="7" t="n">
        <f aca="false">Sens!$E$9721+dm_seg_lo</f>
        <v>0.550957350878296</v>
      </c>
      <c r="I9721" s="7" t="n">
        <f aca="false">Sens!$E$9721+dm_seg_lo</f>
        <v>0.550957350878296</v>
      </c>
      <c r="J9721" s="7" t="n">
        <f aca="false">Sens!$E$9721+dm_seg_lo</f>
        <v>0.550957350878296</v>
      </c>
      <c r="K9721" s="7" t="n">
        <f aca="false">Sens!$E$9721+dm_seg_lo</f>
        <v>0.550957350878296</v>
      </c>
      <c r="L9721" s="11" t="s">
        <v>814</v>
      </c>
    </row>
    <row r="9722" customFormat="false" ht="17.15" hidden="false" customHeight="false" outlineLevel="0" collapsed="false">
      <c r="A9722" s="0" t="s">
        <v>654</v>
      </c>
      <c r="B9722" s="0" t="s">
        <v>95</v>
      </c>
      <c r="D9722" s="6" t="n">
        <f aca="false">Q!L21</f>
        <v>110.814</v>
      </c>
      <c r="E9722" s="6" t="n">
        <f aca="false">Q!M21</f>
        <v>136.365</v>
      </c>
      <c r="F9722" s="6" t="n">
        <f aca="false">Sens!F9721*(Sens!F9692-Sens!F9656)+Sens!F9656-(Sens!F9658+Sens!F9659+Sens!F9660)-Sens!F9673</f>
        <v>152.014105486915</v>
      </c>
      <c r="G9722" s="6" t="n">
        <f aca="false">Sens!G9721*(Sens!G9692-Sens!G9656)+Sens!G9656-(Sens!G9658+Sens!G9659+Sens!G9660)-Sens!G9673</f>
        <v>170.808292731831</v>
      </c>
      <c r="H9722" s="6" t="n">
        <f aca="false">Sens!H9721*(Sens!H9692-Sens!H9656)+Sens!H9656-(Sens!H9658+Sens!H9659+Sens!H9660)-Sens!H9673</f>
        <v>189.655341283283</v>
      </c>
      <c r="I9722" s="6" t="n">
        <f aca="false">Sens!I9721*(Sens!I9692-Sens!I9656)+Sens!I9656-(Sens!I9658+Sens!I9659+Sens!I9660)-Sens!I9673</f>
        <v>206.318750072943</v>
      </c>
      <c r="J9722" s="6" t="n">
        <f aca="false">Sens!J9721*(Sens!J9692-Sens!J9656)+Sens!J9656-(Sens!J9658+Sens!J9659+Sens!J9660)-Sens!J9673</f>
        <v>220.05760254109</v>
      </c>
      <c r="K9722" s="6" t="n">
        <f aca="false">Sens!K9721*(Sens!K9692-Sens!K9656)+Sens!K9656-(Sens!K9658+Sens!K9659+Sens!K9660)-Sens!K9673</f>
        <v>230.604904885746</v>
      </c>
      <c r="L9722" s="1" t="s">
        <v>815</v>
      </c>
    </row>
    <row r="9723" customFormat="false" ht="17.15" hidden="false" customHeight="false" outlineLevel="0" collapsed="false">
      <c r="A9723" s="0" t="s">
        <v>816</v>
      </c>
      <c r="B9723" s="0" t="s">
        <v>126</v>
      </c>
      <c r="E9723" s="7" t="n">
        <f aca="false">Q!M22/Q!M12</f>
        <v>0.296207935710698</v>
      </c>
      <c r="F9723" s="7" t="n">
        <f aca="false">Sens!$E$9723+dm_seg_lo</f>
        <v>0.276207935710698</v>
      </c>
      <c r="G9723" s="7" t="n">
        <f aca="false">Sens!$E$9723+dm_seg_lo</f>
        <v>0.276207935710698</v>
      </c>
      <c r="H9723" s="7" t="n">
        <f aca="false">Sens!$E$9723+dm_seg_lo</f>
        <v>0.276207935710698</v>
      </c>
      <c r="I9723" s="7" t="n">
        <f aca="false">Sens!$E$9723+dm_seg_lo</f>
        <v>0.276207935710698</v>
      </c>
      <c r="J9723" s="7" t="n">
        <f aca="false">Sens!$E$9723+dm_seg_lo</f>
        <v>0.276207935710698</v>
      </c>
      <c r="K9723" s="7" t="n">
        <f aca="false">Sens!$E$9723+dm_seg_lo</f>
        <v>0.276207935710698</v>
      </c>
      <c r="L9723" s="11" t="s">
        <v>817</v>
      </c>
    </row>
    <row r="9724" customFormat="false" ht="17.15" hidden="false" customHeight="false" outlineLevel="0" collapsed="false">
      <c r="A9724" s="0" t="s">
        <v>656</v>
      </c>
      <c r="B9724" s="0" t="s">
        <v>95</v>
      </c>
      <c r="D9724" s="6" t="n">
        <f aca="false">Q!L22</f>
        <v>17.714</v>
      </c>
      <c r="E9724" s="6" t="n">
        <f aca="false">Q!M22</f>
        <v>18.872</v>
      </c>
      <c r="F9724" s="6" t="n">
        <f aca="false">Sens!F9699*Sens!F9723</f>
        <v>17.9926203619388</v>
      </c>
      <c r="G9724" s="6" t="n">
        <f aca="false">Sens!G9699*Sens!G9723</f>
        <v>18.540557417209</v>
      </c>
      <c r="H9724" s="6" t="n">
        <f aca="false">Sens!H9699*Sens!H9723</f>
        <v>19.2176656865051</v>
      </c>
      <c r="I9724" s="6" t="n">
        <f aca="false">Sens!I9699*Sens!I9723</f>
        <v>20.0038953855016</v>
      </c>
      <c r="J9724" s="6" t="n">
        <f aca="false">Sens!J9699*Sens!J9723</f>
        <v>20.8825379249846</v>
      </c>
      <c r="K9724" s="6" t="n">
        <f aca="false">Sens!K9699*Sens!K9723</f>
        <v>21.8401591334792</v>
      </c>
    </row>
    <row r="9725" customFormat="false" ht="15" hidden="false" customHeight="false" outlineLevel="0" collapsed="false">
      <c r="A9725" s="1" t="s">
        <v>818</v>
      </c>
      <c r="B9725" s="0" t="s">
        <v>95</v>
      </c>
      <c r="D9725" s="6" t="n">
        <f aca="false">Sens!D9722+Sens!D9724</f>
        <v>128.528</v>
      </c>
      <c r="E9725" s="6" t="n">
        <f aca="false">Sens!E9722+Sens!E9724</f>
        <v>155.237</v>
      </c>
      <c r="F9725" s="6" t="n">
        <f aca="false">Sens!F9722+Sens!F9724</f>
        <v>170.006725848854</v>
      </c>
      <c r="G9725" s="6" t="n">
        <f aca="false">Sens!G9722+Sens!G9724</f>
        <v>189.348850149041</v>
      </c>
      <c r="H9725" s="6" t="n">
        <f aca="false">Sens!H9722+Sens!H9724</f>
        <v>208.873006969788</v>
      </c>
      <c r="I9725" s="6" t="n">
        <f aca="false">Sens!I9722+Sens!I9724</f>
        <v>226.322645458445</v>
      </c>
      <c r="J9725" s="6" t="n">
        <f aca="false">Sens!J9722+Sens!J9724</f>
        <v>240.940140466074</v>
      </c>
      <c r="K9725" s="6" t="n">
        <f aca="false">Sens!K9722+Sens!K9724</f>
        <v>252.445064019225</v>
      </c>
    </row>
    <row r="9726" customFormat="false" ht="15" hidden="false" customHeight="false" outlineLevel="0" collapsed="false">
      <c r="A9726" s="22" t="s">
        <v>819</v>
      </c>
      <c r="B9726" s="28" t="s">
        <v>95</v>
      </c>
      <c r="C9726" s="28"/>
      <c r="D9726" s="23" t="n">
        <f aca="false">Sens!D9725-Q!L23</f>
        <v>0</v>
      </c>
      <c r="E9726" s="23" t="n">
        <f aca="false">Sens!E9725-Q!M23</f>
        <v>0</v>
      </c>
      <c r="F9726" s="28"/>
      <c r="G9726" s="28"/>
      <c r="H9726" s="28"/>
      <c r="I9726" s="28"/>
      <c r="J9726" s="28"/>
      <c r="K9726" s="28"/>
    </row>
    <row r="9727" customFormat="false" ht="15" hidden="false" customHeight="false" outlineLevel="0" collapsed="false">
      <c r="A9727" s="1" t="s">
        <v>820</v>
      </c>
      <c r="B9727" s="0" t="s">
        <v>126</v>
      </c>
      <c r="D9727" s="7" t="n">
        <f aca="false">Sens!D9725/Sens!D9718</f>
        <v>0.456219562408598</v>
      </c>
      <c r="E9727" s="7" t="n">
        <f aca="false">Sens!E9725/Sens!E9718</f>
        <v>0.467808184089272</v>
      </c>
      <c r="F9727" s="7" t="n">
        <f aca="false">Sens!F9725/Sens!F9718</f>
        <v>0.425647725954247</v>
      </c>
      <c r="G9727" s="7" t="n">
        <f aca="false">Sens!G9725/Sens!G9718</f>
        <v>0.398463494588088</v>
      </c>
      <c r="H9727" s="7" t="n">
        <f aca="false">Sens!H9725/Sens!H9718</f>
        <v>0.377863913031914</v>
      </c>
      <c r="I9727" s="7" t="n">
        <f aca="false">Sens!I9725/Sens!I9718</f>
        <v>0.360069372443443</v>
      </c>
      <c r="J9727" s="7" t="n">
        <f aca="false">Sens!J9725/Sens!J9718</f>
        <v>0.343668398488983</v>
      </c>
      <c r="K9727" s="7" t="n">
        <f aca="false">Sens!K9725/Sens!K9718</f>
        <v>0.327672091785891</v>
      </c>
    </row>
    <row r="9728" customFormat="false" ht="17.15" hidden="false" customHeight="false" outlineLevel="0" collapsed="false">
      <c r="A9728" s="1" t="s">
        <v>821</v>
      </c>
      <c r="B9728" s="0" t="s">
        <v>95</v>
      </c>
      <c r="E9728" s="6" t="n">
        <f aca="false">Sens!E9673</f>
        <v>16.3054059770833</v>
      </c>
      <c r="F9728" s="6" t="n">
        <f aca="false">Sens!F9673</f>
        <v>34.7405354558698</v>
      </c>
      <c r="G9728" s="6" t="n">
        <f aca="false">Sens!G9673</f>
        <v>60.5067332603396</v>
      </c>
      <c r="H9728" s="6" t="n">
        <f aca="false">Sens!H9673</f>
        <v>87.7423159931396</v>
      </c>
      <c r="I9728" s="6" t="n">
        <f aca="false">Sens!I9673</f>
        <v>115.997181741123</v>
      </c>
      <c r="J9728" s="6" t="n">
        <f aca="false">Sens!J9673</f>
        <v>145.224277958273</v>
      </c>
      <c r="K9728" s="6" t="n">
        <f aca="false">Sens!K9673</f>
        <v>175.73892263459</v>
      </c>
    </row>
    <row r="9729" customFormat="false" ht="17.15" hidden="false" customHeight="false" outlineLevel="0" collapsed="false">
      <c r="A9729" s="1" t="s">
        <v>822</v>
      </c>
      <c r="B9729" s="0" t="s">
        <v>95</v>
      </c>
      <c r="E9729" s="6" t="n">
        <f aca="false">Sens!E9749</f>
        <v>22.2285940229167</v>
      </c>
      <c r="F9729" s="6" t="n">
        <f aca="false">Sens!F9749</f>
        <v>23.5636693435813</v>
      </c>
      <c r="G9729" s="6" t="n">
        <f aca="false">Sens!G9749</f>
        <v>25.3225917662621</v>
      </c>
      <c r="H9729" s="6" t="n">
        <f aca="false">Sens!H9749</f>
        <v>27.4714839540448</v>
      </c>
      <c r="I9729" s="6" t="n">
        <f aca="false">Sens!I9749</f>
        <v>29.9441755898047</v>
      </c>
      <c r="J9729" s="6" t="n">
        <f aca="false">Sens!J9749</f>
        <v>32.6578493558616</v>
      </c>
      <c r="K9729" s="6" t="n">
        <f aca="false">Sens!K9749</f>
        <v>35.5289346944749</v>
      </c>
    </row>
    <row r="9730" customFormat="false" ht="17.15" hidden="false" customHeight="false" outlineLevel="0" collapsed="false">
      <c r="A9730" s="1" t="s">
        <v>823</v>
      </c>
      <c r="B9730" s="0" t="s">
        <v>95</v>
      </c>
      <c r="D9730" s="6" t="n">
        <f aca="false">Q!L27</f>
        <v>-4.901</v>
      </c>
      <c r="E9730" s="6" t="n">
        <f aca="false">Q!M27</f>
        <v>10.697</v>
      </c>
      <c r="F9730" s="6" t="n">
        <f aca="false">oie_f</f>
        <v>-0.4</v>
      </c>
      <c r="G9730" s="6" t="n">
        <f aca="false">oie_f</f>
        <v>-0.4</v>
      </c>
      <c r="H9730" s="6" t="n">
        <f aca="false">oie_f</f>
        <v>-0.4</v>
      </c>
      <c r="I9730" s="6" t="n">
        <f aca="false">oie_f</f>
        <v>-0.4</v>
      </c>
      <c r="J9730" s="6" t="n">
        <f aca="false">oie_f</f>
        <v>-0.4</v>
      </c>
      <c r="K9730" s="6" t="n">
        <f aca="false">oie_f</f>
        <v>-0.4</v>
      </c>
      <c r="L9730" s="11" t="s">
        <v>824</v>
      </c>
    </row>
    <row r="9731" customFormat="false" ht="15" hidden="false" customHeight="false" outlineLevel="0" collapsed="false">
      <c r="A9731" s="1" t="s">
        <v>666</v>
      </c>
      <c r="B9731" s="0" t="s">
        <v>95</v>
      </c>
      <c r="D9731" s="6" t="n">
        <f aca="false">Sens!D9725+Sens!D9730</f>
        <v>123.627</v>
      </c>
      <c r="E9731" s="6" t="n">
        <f aca="false">Sens!E9725+Sens!E9730</f>
        <v>165.934</v>
      </c>
      <c r="F9731" s="6" t="n">
        <f aca="false">Sens!F9725+Sens!F9730</f>
        <v>169.606725848854</v>
      </c>
      <c r="G9731" s="6" t="n">
        <f aca="false">Sens!G9725+Sens!G9730</f>
        <v>188.94885014904</v>
      </c>
      <c r="H9731" s="6" t="n">
        <f aca="false">Sens!H9725+Sens!H9730</f>
        <v>208.473006969788</v>
      </c>
      <c r="I9731" s="6" t="n">
        <f aca="false">Sens!I9725+Sens!I9730</f>
        <v>225.922645458445</v>
      </c>
      <c r="J9731" s="6" t="n">
        <f aca="false">Sens!J9725+Sens!J9730</f>
        <v>240.540140466074</v>
      </c>
      <c r="K9731" s="6" t="n">
        <f aca="false">Sens!K9725+Sens!K9730</f>
        <v>252.045064019225</v>
      </c>
    </row>
    <row r="9732" customFormat="false" ht="15" hidden="false" customHeight="false" outlineLevel="0" collapsed="false">
      <c r="A9732" s="1" t="s">
        <v>668</v>
      </c>
      <c r="B9732" s="0" t="s">
        <v>95</v>
      </c>
      <c r="D9732" s="6" t="n">
        <f aca="false">Q!L29</f>
        <v>21.795</v>
      </c>
      <c r="E9732" s="6" t="n">
        <f aca="false">Q!M29</f>
        <v>32.185</v>
      </c>
      <c r="F9732" s="6" t="n">
        <f aca="false">Sens!F9731*tax_f</f>
        <v>33.9213451697707</v>
      </c>
      <c r="G9732" s="6" t="n">
        <f aca="false">Sens!G9731*tax_f</f>
        <v>37.7897700298081</v>
      </c>
      <c r="H9732" s="6" t="n">
        <f aca="false">Sens!H9731*tax_f</f>
        <v>41.6946013939576</v>
      </c>
      <c r="I9732" s="6" t="n">
        <f aca="false">Sens!I9731*tax_f</f>
        <v>45.184529091689</v>
      </c>
      <c r="J9732" s="6" t="n">
        <f aca="false">Sens!J9731*tax_f</f>
        <v>48.1080280932149</v>
      </c>
      <c r="K9732" s="6" t="n">
        <f aca="false">Sens!K9731*tax_f</f>
        <v>50.409012803845</v>
      </c>
    </row>
    <row r="9733" customFormat="false" ht="15" hidden="false" customHeight="false" outlineLevel="0" collapsed="false">
      <c r="A9733" s="1" t="s">
        <v>825</v>
      </c>
      <c r="B9733" s="0" t="s">
        <v>95</v>
      </c>
      <c r="D9733" s="6" t="n">
        <f aca="false">Sens!D9731-Sens!D9732</f>
        <v>101.832</v>
      </c>
      <c r="E9733" s="6" t="n">
        <f aca="false">Sens!E9731-Sens!E9732</f>
        <v>133.749</v>
      </c>
      <c r="F9733" s="6" t="n">
        <f aca="false">Sens!F9731-Sens!F9732</f>
        <v>135.685380679083</v>
      </c>
      <c r="G9733" s="6" t="n">
        <f aca="false">Sens!G9731-Sens!G9732</f>
        <v>151.159080119232</v>
      </c>
      <c r="H9733" s="6" t="n">
        <f aca="false">Sens!H9731-Sens!H9732</f>
        <v>166.77840557583</v>
      </c>
      <c r="I9733" s="6" t="n">
        <f aca="false">Sens!I9731-Sens!I9732</f>
        <v>180.738116366756</v>
      </c>
      <c r="J9733" s="6" t="n">
        <f aca="false">Sens!J9731-Sens!J9732</f>
        <v>192.432112372859</v>
      </c>
      <c r="K9733" s="6" t="n">
        <f aca="false">Sens!K9731-Sens!K9732</f>
        <v>201.63605121538</v>
      </c>
    </row>
    <row r="9734" customFormat="false" ht="17.15" hidden="false" customHeight="false" outlineLevel="0" collapsed="false">
      <c r="A9734" s="1" t="s">
        <v>826</v>
      </c>
      <c r="B9734" s="1" t="s">
        <v>79</v>
      </c>
      <c r="D9734" s="18" t="n">
        <f aca="false">Q!L31</f>
        <v>7.465</v>
      </c>
      <c r="E9734" s="18" t="n">
        <f aca="false">Q!M31</f>
        <v>7.453</v>
      </c>
      <c r="F9734" s="18" t="n">
        <f aca="false">Sens!F9771</f>
        <v>7.4735</v>
      </c>
      <c r="G9734" s="18" t="n">
        <f aca="false">Sens!G9771</f>
        <v>7.5185</v>
      </c>
      <c r="H9734" s="18" t="n">
        <f aca="false">Sens!H9771</f>
        <v>7.54625158584995</v>
      </c>
      <c r="I9734" s="18" t="n">
        <f aca="false">Sens!I9771</f>
        <v>7.55803241785726</v>
      </c>
      <c r="J9734" s="18" t="n">
        <f aca="false">Sens!J9771</f>
        <v>7.57227392897515</v>
      </c>
      <c r="K9734" s="18" t="n">
        <f aca="false">Sens!K9771</f>
        <v>7.58879384667689</v>
      </c>
    </row>
    <row r="9735" customFormat="false" ht="17.15" hidden="false" customHeight="false" outlineLevel="0" collapsed="false">
      <c r="A9735" s="0" t="s">
        <v>827</v>
      </c>
      <c r="B9735" s="0" t="s">
        <v>73</v>
      </c>
      <c r="D9735" s="8" t="n">
        <f aca="false">Sens!D9733/Sens!D9734</f>
        <v>13.641259209645</v>
      </c>
      <c r="E9735" s="8" t="n">
        <f aca="false">Sens!E9733/Sens!E9734</f>
        <v>17.9456594659869</v>
      </c>
      <c r="F9735" s="8" t="n">
        <f aca="false">Sens!F9733/Sens!F9734</f>
        <v>18.1555336427488</v>
      </c>
      <c r="G9735" s="8" t="n">
        <f aca="false">Sens!G9733/Sens!G9734</f>
        <v>20.1049518014541</v>
      </c>
      <c r="H9735" s="8" t="n">
        <f aca="false">Sens!H9733/Sens!H9734</f>
        <v>22.1008276332263</v>
      </c>
      <c r="I9735" s="8" t="n">
        <f aca="false">Sens!I9733/Sens!I9734</f>
        <v>23.913381998697</v>
      </c>
      <c r="J9735" s="8" t="n">
        <f aca="false">Sens!J9733/Sens!J9734</f>
        <v>25.4127246554726</v>
      </c>
      <c r="K9735" s="8" t="n">
        <f aca="false">Sens!K9733/Sens!K9734</f>
        <v>26.570237021747</v>
      </c>
      <c r="L9735" s="1" t="s">
        <v>828</v>
      </c>
    </row>
    <row r="9736" customFormat="false" ht="17.15" hidden="false" customHeight="false" outlineLevel="0" collapsed="false">
      <c r="A9736" s="0" t="s">
        <v>829</v>
      </c>
      <c r="B9736" s="0" t="s">
        <v>126</v>
      </c>
      <c r="E9736" s="7" t="n">
        <f aca="false">Sens!E9735/Sens!D9735-1</f>
        <v>0.315542736208578</v>
      </c>
      <c r="F9736" s="7" t="n">
        <f aca="false">Sens!F9735/Sens!E9735-1</f>
        <v>0.0116949826870227</v>
      </c>
      <c r="G9736" s="7" t="n">
        <f aca="false">Sens!G9735/Sens!F9735-1</f>
        <v>0.107373222790611</v>
      </c>
      <c r="H9736" s="7" t="n">
        <f aca="false">Sens!H9735/Sens!G9735-1</f>
        <v>0.0992728483749887</v>
      </c>
      <c r="I9736" s="7" t="n">
        <f aca="false">Sens!I9735/Sens!H9735-1</f>
        <v>0.0820129632948989</v>
      </c>
      <c r="J9736" s="7" t="n">
        <f aca="false">Sens!J9735/Sens!I9735-1</f>
        <v>0.0626988962438437</v>
      </c>
      <c r="K9736" s="7" t="n">
        <f aca="false">Sens!K9735/Sens!J9735-1</f>
        <v>0.0455485345222539</v>
      </c>
    </row>
    <row r="9737" customFormat="false" ht="17.15" hidden="false" customHeight="false" outlineLevel="0" collapsed="false">
      <c r="A9737" s="0" t="s">
        <v>763</v>
      </c>
      <c r="B9737" s="0" t="s">
        <v>95</v>
      </c>
      <c r="E9737" s="6" t="n">
        <f aca="false">Sens!E9682</f>
        <v>5.25</v>
      </c>
      <c r="F9737" s="6" t="n">
        <f aca="false">Sens!F9682</f>
        <v>12</v>
      </c>
      <c r="G9737" s="6" t="n">
        <f aca="false">Sens!G9682</f>
        <v>18</v>
      </c>
      <c r="H9737" s="6" t="n">
        <f aca="false">Sens!H9682</f>
        <v>24</v>
      </c>
      <c r="I9737" s="6" t="n">
        <f aca="false">Sens!I9682</f>
        <v>28.5</v>
      </c>
      <c r="J9737" s="6" t="n">
        <f aca="false">Sens!J9682</f>
        <v>31.5</v>
      </c>
      <c r="K9737" s="6" t="n">
        <f aca="false">Sens!K9682</f>
        <v>34.5</v>
      </c>
    </row>
    <row r="9738" customFormat="false" ht="17.15" hidden="false" customHeight="false" outlineLevel="0" collapsed="false">
      <c r="A9738" s="0" t="s">
        <v>764</v>
      </c>
      <c r="B9738" s="0" t="s">
        <v>95</v>
      </c>
      <c r="E9738" s="6" t="n">
        <f aca="false">Sens!E9662+Sens!E9737*Sens!E9721-Sens!E9663-Sens!E9673</f>
        <v>2.1514866143068</v>
      </c>
      <c r="F9738" s="6" t="n">
        <f aca="false">Sens!F9662+Sens!F9737*Sens!F9721-Sens!F9663-Sens!F9673</f>
        <v>4.79746295335383</v>
      </c>
      <c r="G9738" s="6" t="n">
        <f aca="false">Sens!G9662+Sens!G9737*Sens!G9721-Sens!G9663-Sens!G9673</f>
        <v>5.17862243911073</v>
      </c>
      <c r="H9738" s="6" t="n">
        <f aca="false">Sens!H9662+Sens!H9737*Sens!H9721-Sens!H9663-Sens!H9673</f>
        <v>5.4368749097885</v>
      </c>
      <c r="I9738" s="6" t="n">
        <f aca="false">Sens!I9662+Sens!I9737*Sens!I9721-Sens!I9663-Sens!I9673</f>
        <v>3.98238614599092</v>
      </c>
      <c r="J9738" s="6" t="n">
        <f aca="false">Sens!J9662+Sens!J9737*Sens!J9721-Sens!J9663-Sens!J9673</f>
        <v>0.798744980921782</v>
      </c>
      <c r="K9738" s="6" t="n">
        <f aca="false">Sens!K9662+Sens!K9737*Sens!K9721-Sens!K9663-Sens!K9673</f>
        <v>-3.63155284488286</v>
      </c>
    </row>
    <row r="9739" customFormat="false" ht="17.15" hidden="false" customHeight="false" outlineLevel="0" collapsed="false">
      <c r="A9739" s="0" t="s">
        <v>765</v>
      </c>
      <c r="B9739" s="0" t="s">
        <v>95</v>
      </c>
      <c r="E9739" s="6" t="n">
        <f aca="false">Sens!E9645*(cxit_open+self_build*tk_cxfac)/1000*ai_net_open</f>
        <v>126.6980382</v>
      </c>
      <c r="F9739" s="6" t="n">
        <f aca="false">Sens!E9739+Sens!F9670-Sens!F9673</f>
        <v>260.578155514568</v>
      </c>
      <c r="G9739" s="6" t="n">
        <f aca="false">Sens!F9739+Sens!G9670-Sens!G9673</f>
        <v>383.645602737428</v>
      </c>
      <c r="H9739" s="6" t="n">
        <f aca="false">Sens!G9739+Sens!H9670-Sens!H9673</f>
        <v>483.983572654688</v>
      </c>
      <c r="I9739" s="6" t="n">
        <f aca="false">Sens!H9739+Sens!I9670-Sens!I9673</f>
        <v>586.325352170632</v>
      </c>
      <c r="J9739" s="6" t="n">
        <f aca="false">Sens!I9739+Sens!J9670-Sens!J9673</f>
        <v>674.878135136093</v>
      </c>
      <c r="K9739" s="6" t="n">
        <f aca="false">Sens!J9739+Sens!K9670-Sens!K9673</f>
        <v>777.995524451903</v>
      </c>
      <c r="L9739" s="1" t="s">
        <v>766</v>
      </c>
    </row>
    <row r="9740" customFormat="false" ht="17.15" hidden="false" customHeight="false" outlineLevel="0" collapsed="false">
      <c r="A9740" s="0" t="s">
        <v>767</v>
      </c>
      <c r="B9740" s="0" t="s">
        <v>126</v>
      </c>
      <c r="F9740" s="7" t="n">
        <f aca="false">Sens!F9738*(1-tax_f)/((Sens!E9739+Sens!F9739)/2)</f>
        <v>0.0198203268105436</v>
      </c>
      <c r="G9740" s="7" t="n">
        <f aca="false">Sens!G9738*(1-tax_f)/((Sens!F9739+Sens!G9739)/2)</f>
        <v>0.0128616739082387</v>
      </c>
      <c r="H9740" s="7" t="n">
        <f aca="false">Sens!H9738*(1-tax_f)/((Sens!G9739+Sens!H9739)/2)</f>
        <v>0.0100261725889176</v>
      </c>
      <c r="I9740" s="7" t="n">
        <f aca="false">Sens!I9738*(1-tax_f)/((Sens!H9739+Sens!I9739)/2)</f>
        <v>0.00595325114627571</v>
      </c>
      <c r="J9740" s="7" t="n">
        <f aca="false">Sens!J9738*(1-tax_f)/((Sens!I9739+Sens!J9739)/2)</f>
        <v>0.00101331147775684</v>
      </c>
      <c r="K9740" s="7" t="n">
        <f aca="false">Sens!K9738*(1-tax_f)/((Sens!J9739+Sens!K9739)/2)</f>
        <v>-0.00399930476643118</v>
      </c>
    </row>
    <row r="9741" customFormat="false" ht="17.15" hidden="false" customHeight="false" outlineLevel="0" collapsed="false">
      <c r="A9741" s="1" t="s">
        <v>768</v>
      </c>
      <c r="B9741" s="0" t="s">
        <v>126</v>
      </c>
      <c r="F9741" s="7" t="n">
        <f aca="false">Sens!F9674*(1-tax_f)/(Sens!F9661*(Sens!E9739+Sens!F9739)/2)</f>
        <v>0.128178079126594</v>
      </c>
      <c r="G9741" s="7" t="n">
        <f aca="false">Sens!G9674*(1-tax_f)/(Sens!G9661*(Sens!F9739+Sens!G9739)/2)</f>
        <v>0.125209972318428</v>
      </c>
      <c r="H9741" s="7" t="n">
        <f aca="false">Sens!H9674*(1-tax_f)/(Sens!H9661*(Sens!G9739+Sens!H9739)/2)</f>
        <v>0.130852385928537</v>
      </c>
      <c r="I9741" s="7" t="n">
        <f aca="false">Sens!I9674*(1-tax_f)/(Sens!I9661*(Sens!H9739+Sens!I9739)/2)</f>
        <v>0.135620735671751</v>
      </c>
      <c r="J9741" s="7" t="n">
        <f aca="false">Sens!J9674*(1-tax_f)/(Sens!J9661*(Sens!I9739+Sens!J9739)/2)</f>
        <v>0.139095560676846</v>
      </c>
      <c r="K9741" s="7" t="n">
        <f aca="false">Sens!K9674*(1-tax_f)/(Sens!K9661*(Sens!J9739+Sens!K9739)/2)</f>
        <v>0.14024523271076</v>
      </c>
    </row>
    <row r="9742" customFormat="false" ht="17.15" hidden="false" customHeight="false" outlineLevel="0" collapsed="false">
      <c r="A9742" s="0" t="s">
        <v>769</v>
      </c>
      <c r="B9742" s="0" t="s">
        <v>208</v>
      </c>
      <c r="F9742" s="7" t="n">
        <f aca="false">Sens!F9740-wacc</f>
        <v>-0.0891428943397104</v>
      </c>
      <c r="G9742" s="7" t="n">
        <f aca="false">Sens!G9740-wacc</f>
        <v>-0.0961015472420153</v>
      </c>
      <c r="H9742" s="7" t="n">
        <f aca="false">Sens!H9740-wacc</f>
        <v>-0.0989370485613364</v>
      </c>
      <c r="I9742" s="7" t="n">
        <f aca="false">Sens!I9740-wacc</f>
        <v>-0.103009970003978</v>
      </c>
      <c r="J9742" s="7" t="n">
        <f aca="false">Sens!J9740-wacc</f>
        <v>-0.107949909672497</v>
      </c>
      <c r="K9742" s="7" t="n">
        <f aca="false">Sens!K9740-wacc</f>
        <v>-0.112962525916685</v>
      </c>
    </row>
    <row r="9743" customFormat="false" ht="17.15" hidden="false" customHeight="false" outlineLevel="0" collapsed="false">
      <c r="A9743" s="0" t="s">
        <v>770</v>
      </c>
      <c r="B9743" s="0" t="s">
        <v>95</v>
      </c>
      <c r="F9743" s="6" t="n">
        <f aca="false">Sens!F9738*(1-tax_f)-wacc*(Sens!E9739+Sens!F9739)/2</f>
        <v>-17.2614604082915</v>
      </c>
      <c r="G9743" s="6" t="n">
        <f aca="false">Sens!G9738*(1-tax_f)-wacc*(Sens!F9739+Sens!G9739)/2</f>
        <v>-30.9554499690414</v>
      </c>
      <c r="H9743" s="6" t="n">
        <f aca="false">Sens!H9738*(1-tax_f)-wacc*(Sens!G9739+Sens!H9739)/2</f>
        <v>-42.9203349295011</v>
      </c>
      <c r="I9743" s="6" t="n">
        <f aca="false">Sens!I9738*(1-tax_f)-wacc*(Sens!H9739+Sens!I9739)/2</f>
        <v>-55.1262451206233</v>
      </c>
      <c r="J9743" s="6" t="n">
        <f aca="false">Sens!J9738*(1-tax_f)-wacc*(Sens!I9739+Sens!J9739)/2</f>
        <v>-68.0734012666997</v>
      </c>
      <c r="K9743" s="6" t="n">
        <f aca="false">Sens!K9738*(1-tax_f)-wacc*(Sens!J9739+Sens!K9739)/2</f>
        <v>-82.0601392124391</v>
      </c>
    </row>
    <row r="9744" customFormat="false" ht="17.15" hidden="false" customHeight="false" outlineLevel="0" collapsed="false">
      <c r="A9744" s="1" t="s">
        <v>771</v>
      </c>
      <c r="B9744" s="0" t="s">
        <v>95</v>
      </c>
      <c r="F9744" s="6" t="n">
        <f aca="false">(Sens!E9646+Sens!F9646)/2*Sens!F9653/1000</f>
        <v>26.7873066765967</v>
      </c>
      <c r="G9744" s="6" t="n">
        <f aca="false">(Sens!F9646+Sens!G9646)/2*Sens!G9653/1000</f>
        <v>45.4131817597218</v>
      </c>
      <c r="H9744" s="6" t="n">
        <f aca="false">(Sens!G9646+Sens!H9646)/2*Sens!H9653/1000</f>
        <v>65.3915129357971</v>
      </c>
      <c r="I9744" s="6" t="n">
        <f aca="false">(Sens!H9646+Sens!I9646)/2*Sens!I9653/1000</f>
        <v>85.5187419289299</v>
      </c>
      <c r="J9744" s="6" t="n">
        <f aca="false">(Sens!I9646+Sens!J9646)/2*Sens!J9653/1000</f>
        <v>105.723807195006</v>
      </c>
      <c r="K9744" s="6" t="n">
        <f aca="false">(Sens!J9646+Sens!K9646)/2*Sens!K9653/1000</f>
        <v>125.974659797015</v>
      </c>
      <c r="L9744" s="1" t="s">
        <v>772</v>
      </c>
    </row>
    <row r="9745" customFormat="false" ht="17.15" hidden="false" customHeight="false" outlineLevel="0" collapsed="false">
      <c r="A9745" s="1" t="s">
        <v>773</v>
      </c>
      <c r="B9745" s="0" t="s">
        <v>126</v>
      </c>
      <c r="F9745" s="7" t="n">
        <f aca="false">(Sens!F9662+Sens!F9744-Sens!F9663-Sens!F9673)*(1-tax_f)/((Sens!E9739+Sens!F9739)/2)</f>
        <v>0.103175074842083</v>
      </c>
      <c r="G9745" s="7" t="n">
        <f aca="false">(Sens!G9662+Sens!G9744-Sens!G9663-Sens!G9673)*(1-tax_f)/((Sens!F9739+Sens!G9739)/2)</f>
        <v>0.101019737597725</v>
      </c>
      <c r="H9745" s="7" t="n">
        <f aca="false">(Sens!H9662+Sens!H9744-Sens!H9663-Sens!H9673)*(1-tax_f)/((Sens!G9739+Sens!H9739)/2)</f>
        <v>0.106230473678522</v>
      </c>
      <c r="I9745" s="7" t="n">
        <f aca="false">(Sens!I9662+Sens!I9744-Sens!I9663-Sens!I9673)*(1-tax_f)/((Sens!H9739+Sens!I9739)/2)</f>
        <v>0.110321559487224</v>
      </c>
      <c r="J9745" s="7" t="n">
        <f aca="false">(Sens!J9662+Sens!J9744-Sens!J9663-Sens!J9673)*(1-tax_f)/((Sens!I9739+Sens!J9739)/2)</f>
        <v>0.113120392096189</v>
      </c>
      <c r="K9745" s="7" t="n">
        <f aca="false">(Sens!K9662+Sens!K9744-Sens!K9663-Sens!K9673)*(1-tax_f)/((Sens!J9739+Sens!K9739)/2)</f>
        <v>0.113799382529803</v>
      </c>
      <c r="L9745" s="1" t="s">
        <v>774</v>
      </c>
    </row>
    <row r="9746" customFormat="false" ht="17.15" hidden="false" customHeight="false" outlineLevel="0" collapsed="false">
      <c r="A9746" s="3" t="s">
        <v>1392</v>
      </c>
    </row>
    <row r="9747" customFormat="false" ht="15" hidden="false" customHeight="false" outlineLevel="0" collapsed="false">
      <c r="A9747" s="4" t="s">
        <v>43</v>
      </c>
      <c r="B9747" s="4" t="s">
        <v>63</v>
      </c>
      <c r="C9747" s="19" t="s">
        <v>710</v>
      </c>
      <c r="D9747" s="19" t="s">
        <v>711</v>
      </c>
      <c r="E9747" s="19" t="s">
        <v>712</v>
      </c>
      <c r="F9747" s="19" t="s">
        <v>713</v>
      </c>
      <c r="G9747" s="19" t="s">
        <v>714</v>
      </c>
      <c r="H9747" s="19" t="s">
        <v>715</v>
      </c>
      <c r="I9747" s="19" t="s">
        <v>716</v>
      </c>
      <c r="J9747" s="19" t="s">
        <v>717</v>
      </c>
      <c r="K9747" s="19" t="s">
        <v>718</v>
      </c>
      <c r="L9747" s="4" t="s">
        <v>47</v>
      </c>
    </row>
    <row r="9748" customFormat="false" ht="15" hidden="false" customHeight="false" outlineLevel="0" collapsed="false">
      <c r="A9748" s="1" t="s">
        <v>825</v>
      </c>
      <c r="B9748" s="0" t="s">
        <v>95</v>
      </c>
      <c r="F9748" s="6" t="n">
        <f aca="false">Sens!F9733</f>
        <v>135.685380679083</v>
      </c>
      <c r="G9748" s="6" t="n">
        <f aca="false">Sens!G9733</f>
        <v>151.159080119232</v>
      </c>
      <c r="H9748" s="6" t="n">
        <f aca="false">Sens!H9733</f>
        <v>166.77840557583</v>
      </c>
      <c r="I9748" s="6" t="n">
        <f aca="false">Sens!I9733</f>
        <v>180.738116366756</v>
      </c>
      <c r="J9748" s="6" t="n">
        <f aca="false">Sens!J9733</f>
        <v>192.432112372859</v>
      </c>
      <c r="K9748" s="6" t="n">
        <f aca="false">Sens!K9733</f>
        <v>201.63605121538</v>
      </c>
    </row>
    <row r="9749" customFormat="false" ht="17.15" hidden="false" customHeight="false" outlineLevel="0" collapsed="false">
      <c r="A9749" s="1" t="s">
        <v>843</v>
      </c>
      <c r="B9749" s="0" t="s">
        <v>95</v>
      </c>
      <c r="E9749" s="6" t="n">
        <f aca="false">Q!M38-Sens!E9673</f>
        <v>22.2285940229167</v>
      </c>
      <c r="F9749" s="6" t="n">
        <f aca="false">Sens!E9749*(1-1/life_nonai)+Sens!F9755/life_nonai</f>
        <v>23.5636693435813</v>
      </c>
      <c r="G9749" s="6" t="n">
        <f aca="false">Sens!F9749*(1-1/life_nonai)+Sens!G9755/life_nonai</f>
        <v>25.3225917662621</v>
      </c>
      <c r="H9749" s="6" t="n">
        <f aca="false">Sens!G9749*(1-1/life_nonai)+Sens!H9755/life_nonai</f>
        <v>27.4714839540448</v>
      </c>
      <c r="I9749" s="6" t="n">
        <f aca="false">Sens!H9749*(1-1/life_nonai)+Sens!I9755/life_nonai</f>
        <v>29.9441755898047</v>
      </c>
      <c r="J9749" s="6" t="n">
        <f aca="false">Sens!I9749*(1-1/life_nonai)+Sens!J9755/life_nonai</f>
        <v>32.6578493558616</v>
      </c>
      <c r="K9749" s="6" t="n">
        <f aca="false">Sens!J9749*(1-1/life_nonai)+Sens!K9755/life_nonai</f>
        <v>35.5289346944749</v>
      </c>
      <c r="L9749" s="11" t="s">
        <v>844</v>
      </c>
    </row>
    <row r="9750" customFormat="false" ht="17.15" hidden="false" customHeight="false" outlineLevel="0" collapsed="false">
      <c r="A9750" s="1" t="s">
        <v>845</v>
      </c>
      <c r="B9750" s="0" t="s">
        <v>95</v>
      </c>
      <c r="E9750" s="6" t="n">
        <f aca="false">Sens!E9673+Sens!E9749</f>
        <v>38.534</v>
      </c>
      <c r="F9750" s="6" t="n">
        <f aca="false">Sens!F9673+Sens!F9749</f>
        <v>58.304204799451</v>
      </c>
      <c r="G9750" s="6" t="n">
        <f aca="false">Sens!G9673+Sens!G9749</f>
        <v>85.8293250266017</v>
      </c>
      <c r="H9750" s="6" t="n">
        <f aca="false">Sens!H9673+Sens!H9749</f>
        <v>115.213799947184</v>
      </c>
      <c r="I9750" s="6" t="n">
        <f aca="false">Sens!I9673+Sens!I9749</f>
        <v>145.941357330928</v>
      </c>
      <c r="J9750" s="6" t="n">
        <f aca="false">Sens!J9673+Sens!J9749</f>
        <v>177.882127314135</v>
      </c>
      <c r="K9750" s="6" t="n">
        <f aca="false">Sens!K9673+Sens!K9749</f>
        <v>211.267857329064</v>
      </c>
    </row>
    <row r="9751" customFormat="false" ht="15" hidden="false" customHeight="false" outlineLevel="0" collapsed="false">
      <c r="A9751" s="1" t="s">
        <v>685</v>
      </c>
      <c r="B9751" s="0" t="s">
        <v>95</v>
      </c>
      <c r="F9751" s="6" t="n">
        <f aca="false">Sens!F9700*sbc_r</f>
        <v>14.9308704941267</v>
      </c>
      <c r="G9751" s="6" t="n">
        <f aca="false">Sens!G9700*sbc_r</f>
        <v>17.7641108812713</v>
      </c>
      <c r="H9751" s="6" t="n">
        <f aca="false">Sens!H9700*sbc_r</f>
        <v>20.6640880611968</v>
      </c>
      <c r="I9751" s="6" t="n">
        <f aca="false">Sens!I9700*sbc_r</f>
        <v>23.4969326339241</v>
      </c>
      <c r="J9751" s="6" t="n">
        <f aca="false">Sens!J9700*sbc_r</f>
        <v>26.2083031015503</v>
      </c>
      <c r="K9751" s="6" t="n">
        <f aca="false">Sens!K9700*sbc_r</f>
        <v>28.8002841446643</v>
      </c>
    </row>
    <row r="9752" customFormat="false" ht="17.15" hidden="false" customHeight="false" outlineLevel="0" collapsed="false">
      <c r="A9752" s="1" t="s">
        <v>846</v>
      </c>
      <c r="B9752" s="0" t="s">
        <v>95</v>
      </c>
      <c r="F9752" s="6" t="n">
        <f aca="false">wc27</f>
        <v>-4.895</v>
      </c>
      <c r="G9752" s="6" t="n">
        <f aca="false">0</f>
        <v>0</v>
      </c>
      <c r="H9752" s="6" t="n">
        <f aca="false">0</f>
        <v>0</v>
      </c>
      <c r="I9752" s="6" t="n">
        <f aca="false">0</f>
        <v>0</v>
      </c>
      <c r="J9752" s="6" t="n">
        <f aca="false">0</f>
        <v>0</v>
      </c>
      <c r="K9752" s="6" t="n">
        <f aca="false">0</f>
        <v>0</v>
      </c>
      <c r="L9752" s="11" t="s">
        <v>847</v>
      </c>
    </row>
    <row r="9753" customFormat="false" ht="15" hidden="false" customHeight="false" outlineLevel="0" collapsed="false">
      <c r="A9753" s="1" t="s">
        <v>678</v>
      </c>
      <c r="B9753" s="0" t="s">
        <v>95</v>
      </c>
      <c r="E9753" s="6" t="n">
        <f aca="false">Q!M35</f>
        <v>182.935</v>
      </c>
      <c r="F9753" s="6" t="n">
        <f aca="false">Sens!F9748+Sens!F9750+Sens!F9751+Sens!F9752</f>
        <v>204.025455972661</v>
      </c>
      <c r="G9753" s="6" t="n">
        <f aca="false">Sens!G9748+Sens!G9750+Sens!G9751+Sens!G9752</f>
        <v>254.752516027105</v>
      </c>
      <c r="H9753" s="6" t="n">
        <f aca="false">Sens!H9748+Sens!H9750+Sens!H9751+Sens!H9752</f>
        <v>302.656293584211</v>
      </c>
      <c r="I9753" s="6" t="n">
        <f aca="false">Sens!I9748+Sens!I9750+Sens!I9751+Sens!I9752</f>
        <v>350.176406331608</v>
      </c>
      <c r="J9753" s="6" t="n">
        <f aca="false">Sens!J9748+Sens!J9750+Sens!J9751+Sens!J9752</f>
        <v>396.522542788544</v>
      </c>
      <c r="K9753" s="6" t="n">
        <f aca="false">Sens!K9748+Sens!K9750+Sens!K9751+Sens!K9752</f>
        <v>441.704192689109</v>
      </c>
    </row>
    <row r="9754" customFormat="false" ht="17.15" hidden="false" customHeight="false" outlineLevel="0" collapsed="false">
      <c r="A9754" s="0" t="s">
        <v>848</v>
      </c>
      <c r="B9754" s="0" t="s">
        <v>95</v>
      </c>
      <c r="F9754" s="6" t="n">
        <f aca="false">Sens!F9670</f>
        <v>168.620652770438</v>
      </c>
      <c r="G9754" s="6" t="n">
        <f aca="false">Sens!G9670</f>
        <v>183.5741804832</v>
      </c>
      <c r="H9754" s="6" t="n">
        <f aca="false">Sens!H9670</f>
        <v>188.0802859104</v>
      </c>
      <c r="I9754" s="6" t="n">
        <f aca="false">Sens!I9670</f>
        <v>218.338961257067</v>
      </c>
      <c r="J9754" s="6" t="n">
        <f aca="false">Sens!J9670</f>
        <v>233.777060923733</v>
      </c>
      <c r="K9754" s="6" t="n">
        <f aca="false">Sens!K9670</f>
        <v>278.8563119504</v>
      </c>
    </row>
    <row r="9755" customFormat="false" ht="17.15" hidden="false" customHeight="false" outlineLevel="0" collapsed="false">
      <c r="A9755" s="1" t="s">
        <v>849</v>
      </c>
      <c r="B9755" s="0" t="s">
        <v>95</v>
      </c>
      <c r="E9755" s="6" t="n">
        <f aca="false">Sens!E9678*cx_azo+Sens!E9685*cx_m365+Sens!E9686*cx_lic+(Sens!E9688+Sens!E9690)*cx_ind+Sens!E9693*cx_srch+(Sens!E9695+Sens!E9697)*cx_dev</f>
        <v>30.1846587067718</v>
      </c>
      <c r="F9755" s="6" t="n">
        <f aca="false">Sens!F9678*cx_azo+Sens!F9685*cx_m365+Sens!F9686*cx_lic+(Sens!F9688+Sens!F9690)*cx_ind+Sens!F9693*cx_srch+(Sens!F9695+Sens!F9697)*cx_dev</f>
        <v>35.5793472295625</v>
      </c>
      <c r="G9755" s="6" t="n">
        <f aca="false">Sens!G9678*cx_azo+Sens!G9685*cx_m365+Sens!G9686*cx_lic+(Sens!G9688+Sens!G9690)*cx_ind+Sens!G9693*cx_srch+(Sens!G9695+Sens!G9697)*cx_dev</f>
        <v>41.1528935703892</v>
      </c>
      <c r="H9755" s="6" t="n">
        <f aca="false">Sens!H9678*cx_azo+Sens!H9685*cx_m365+Sens!H9686*cx_lic+(Sens!H9688+Sens!H9690)*cx_ind+Sens!H9693*cx_srch+(Sens!H9695+Sens!H9697)*cx_dev</f>
        <v>46.8115136440897</v>
      </c>
      <c r="I9755" s="6" t="n">
        <f aca="false">Sens!I9678*cx_azo+Sens!I9685*cx_m365+Sens!I9686*cx_lic+(Sens!I9688+Sens!I9690)*cx_ind+Sens!I9693*cx_srch+(Sens!I9695+Sens!I9697)*cx_dev</f>
        <v>52.1984003116439</v>
      </c>
      <c r="J9755" s="6" t="n">
        <f aca="false">Sens!J9678*cx_azo+Sens!J9685*cx_m365+Sens!J9686*cx_lic+(Sens!J9688+Sens!J9690)*cx_ind+Sens!J9693*cx_srch+(Sens!J9695+Sens!J9697)*cx_dev</f>
        <v>57.0809132503738</v>
      </c>
      <c r="K9755" s="6" t="n">
        <f aca="false">Sens!K9678*cx_azo+Sens!K9685*cx_m365+Sens!K9686*cx_lic+(Sens!K9688+Sens!K9690)*cx_ind+Sens!K9693*cx_srch+(Sens!K9695+Sens!K9697)*cx_dev</f>
        <v>61.368702741994</v>
      </c>
    </row>
    <row r="9756" customFormat="false" ht="17.15" hidden="false" customHeight="false" outlineLevel="0" collapsed="false">
      <c r="A9756" s="1" t="s">
        <v>850</v>
      </c>
      <c r="B9756" s="0" t="s">
        <v>95</v>
      </c>
      <c r="E9756" s="6" t="n">
        <f aca="false">Q!M42</f>
        <v>145.3</v>
      </c>
      <c r="F9756" s="6" t="n">
        <f aca="false">Sens!F9754+Sens!F9755</f>
        <v>204.2</v>
      </c>
      <c r="G9756" s="6" t="n">
        <f aca="false">Sens!G9754+Sens!G9755</f>
        <v>224.727074053589</v>
      </c>
      <c r="H9756" s="6" t="n">
        <f aca="false">Sens!H9754+Sens!H9755</f>
        <v>234.89179955449</v>
      </c>
      <c r="I9756" s="6" t="n">
        <f aca="false">Sens!I9754+Sens!I9755</f>
        <v>270.537361568711</v>
      </c>
      <c r="J9756" s="6" t="n">
        <f aca="false">Sens!J9754+Sens!J9755</f>
        <v>290.857974174107</v>
      </c>
      <c r="K9756" s="6" t="n">
        <f aca="false">Sens!K9754+Sens!K9755</f>
        <v>340.225014692394</v>
      </c>
      <c r="L9756" s="1" t="s">
        <v>851</v>
      </c>
    </row>
    <row r="9757" customFormat="false" ht="15" hidden="false" customHeight="false" outlineLevel="0" collapsed="false">
      <c r="A9757" s="1" t="s">
        <v>852</v>
      </c>
      <c r="B9757" s="0" t="s">
        <v>95</v>
      </c>
      <c r="E9757" s="6" t="n">
        <f aca="false">fl_liab</f>
        <v>66.594</v>
      </c>
      <c r="F9757" s="6" t="n">
        <f aca="false">Sens!E9757-Sens!F9758</f>
        <v>62.46973</v>
      </c>
      <c r="G9757" s="6" t="n">
        <f aca="false">Sens!F9757-Sens!G9758</f>
        <v>57.98686785</v>
      </c>
      <c r="H9757" s="6" t="n">
        <f aca="false">Sens!G9757-Sens!H9758</f>
        <v>53.92827690325</v>
      </c>
      <c r="I9757" s="6" t="n">
        <f aca="false">Sens!H9757-Sens!I9758</f>
        <v>49.7850493638962</v>
      </c>
      <c r="J9757" s="6" t="n">
        <f aca="false">Sens!I9757-Sens!J9758</f>
        <v>45.4823765852716</v>
      </c>
      <c r="K9757" s="6" t="n">
        <f aca="false">Sens!J9757-Sens!K9758</f>
        <v>40.9860835316088</v>
      </c>
    </row>
    <row r="9758" customFormat="false" ht="15" hidden="false" customHeight="false" outlineLevel="0" collapsed="false">
      <c r="A9758" s="1" t="s">
        <v>853</v>
      </c>
      <c r="B9758" s="0" t="s">
        <v>95</v>
      </c>
      <c r="F9758" s="6" t="n">
        <f aca="false">fl_pay_27-Sens!E9757*fl_rate</f>
        <v>4.12427</v>
      </c>
      <c r="G9758" s="6" t="n">
        <f aca="false">fl_pay_28-Sens!F9757*fl_rate</f>
        <v>4.48286215</v>
      </c>
      <c r="H9758" s="6" t="n">
        <f aca="false">fl_pay_29-Sens!G9757*fl_rate</f>
        <v>4.05859094675</v>
      </c>
      <c r="I9758" s="6" t="n">
        <f aca="false">fl_pay_30-Sens!H9757*fl_rate</f>
        <v>4.14322753935375</v>
      </c>
      <c r="J9758" s="6" t="n">
        <f aca="false">fl_pay_31-Sens!I9757*fl_rate</f>
        <v>4.30267277862467</v>
      </c>
      <c r="K9758" s="6" t="n">
        <f aca="false">fl_pay_32-Sens!J9757*fl_rate</f>
        <v>4.49629305366278</v>
      </c>
    </row>
    <row r="9759" customFormat="false" ht="17.15" hidden="false" customHeight="false" outlineLevel="0" collapsed="false">
      <c r="A9759" s="1" t="s">
        <v>854</v>
      </c>
      <c r="B9759" s="0" t="s">
        <v>95</v>
      </c>
      <c r="E9759" s="6" t="n">
        <f aca="false">Q!M35-Q!M36-Q!M43</f>
        <v>63.886</v>
      </c>
      <c r="F9759" s="6" t="n">
        <f aca="false">Sens!F9753-Sens!F9756-Sens!F9758</f>
        <v>-4.29881402733932</v>
      </c>
      <c r="G9759" s="6" t="n">
        <f aca="false">Sens!G9753-Sens!G9756-Sens!G9758</f>
        <v>25.5425798235161</v>
      </c>
      <c r="H9759" s="6" t="n">
        <f aca="false">Sens!H9753-Sens!H9756-Sens!H9758</f>
        <v>63.7059030829718</v>
      </c>
      <c r="I9759" s="6" t="n">
        <f aca="false">Sens!I9753-Sens!I9756-Sens!I9758</f>
        <v>75.4958172235432</v>
      </c>
      <c r="J9759" s="6" t="n">
        <f aca="false">Sens!J9753-Sens!J9756-Sens!J9758</f>
        <v>101.361895835813</v>
      </c>
      <c r="K9759" s="6" t="n">
        <f aca="false">Sens!K9753-Sens!K9756-Sens!K9758</f>
        <v>96.9828849430519</v>
      </c>
      <c r="L9759" s="11" t="s">
        <v>855</v>
      </c>
    </row>
    <row r="9760" customFormat="false" ht="15" hidden="false" customHeight="false" outlineLevel="0" collapsed="false">
      <c r="A9760" s="1" t="s">
        <v>856</v>
      </c>
      <c r="B9760" s="0" t="s">
        <v>73</v>
      </c>
      <c r="F9760" s="8" t="n">
        <f aca="false">dps_27</f>
        <v>3.85</v>
      </c>
      <c r="G9760" s="8" t="n">
        <f aca="false">Sens!F9760*(1+dps_g)</f>
        <v>4.158</v>
      </c>
      <c r="H9760" s="8" t="n">
        <f aca="false">Sens!G9760*(1+dps_g)</f>
        <v>4.49064</v>
      </c>
      <c r="I9760" s="8" t="n">
        <f aca="false">Sens!H9760*(1+dps_g)</f>
        <v>4.8498912</v>
      </c>
      <c r="J9760" s="8" t="n">
        <f aca="false">Sens!I9760*(1+dps_g)</f>
        <v>5.237882496</v>
      </c>
      <c r="K9760" s="8" t="n">
        <f aca="false">Sens!J9760*(1+dps_g)</f>
        <v>5.65691309568</v>
      </c>
    </row>
    <row r="9761" customFormat="false" ht="17.15" hidden="false" customHeight="false" outlineLevel="0" collapsed="false">
      <c r="A9761" s="1" t="s">
        <v>857</v>
      </c>
      <c r="B9761" s="0" t="s">
        <v>95</v>
      </c>
      <c r="E9761" s="6" t="n">
        <f aca="false">Q!M41</f>
        <v>26.445</v>
      </c>
      <c r="F9761" s="6" t="n">
        <f aca="false">Sens!F9760*Sens!E9770</f>
        <v>28.59395</v>
      </c>
      <c r="G9761" s="6" t="n">
        <f aca="false">Sens!G9760*Sens!F9770</f>
        <v>31.068576</v>
      </c>
      <c r="H9761" s="6" t="n">
        <f aca="false">Sens!H9760*Sens!G9770</f>
        <v>33.75614088</v>
      </c>
      <c r="I9761" s="6" t="n">
        <f aca="false">Sens!I9760*Sens!H9770</f>
        <v>36.5075713903995</v>
      </c>
      <c r="J9761" s="6" t="n">
        <f aca="false">Sens!J9760*Sens!I9770</f>
        <v>39.4965759499509</v>
      </c>
      <c r="K9761" s="6" t="n">
        <f aca="false">Sens!K9760*Sens!J9770</f>
        <v>42.743557251252</v>
      </c>
      <c r="L9761" s="1" t="s">
        <v>858</v>
      </c>
    </row>
    <row r="9762" customFormat="false" ht="15" hidden="false" customHeight="false" outlineLevel="0" collapsed="false">
      <c r="A9762" s="1" t="s">
        <v>859</v>
      </c>
      <c r="B9762" s="0" t="s">
        <v>95</v>
      </c>
      <c r="E9762" s="6" t="n">
        <f aca="false">Sens!E9759-Sens!E9761</f>
        <v>37.441</v>
      </c>
      <c r="F9762" s="6" t="n">
        <f aca="false">Sens!F9759-Sens!F9761</f>
        <v>-32.8927640273393</v>
      </c>
      <c r="G9762" s="6" t="n">
        <f aca="false">Sens!G9759-Sens!G9761</f>
        <v>-5.52599617648389</v>
      </c>
      <c r="H9762" s="6" t="n">
        <f aca="false">Sens!H9759-Sens!H9761</f>
        <v>29.9497622029718</v>
      </c>
      <c r="I9762" s="6" t="n">
        <f aca="false">Sens!I9759-Sens!I9761</f>
        <v>38.9882458331438</v>
      </c>
      <c r="J9762" s="6" t="n">
        <f aca="false">Sens!J9759-Sens!J9761</f>
        <v>61.8653198858617</v>
      </c>
      <c r="K9762" s="6" t="n">
        <f aca="false">Sens!K9759-Sens!K9761</f>
        <v>54.2393276918</v>
      </c>
    </row>
    <row r="9763" customFormat="false" ht="15" hidden="false" customHeight="false" outlineLevel="0" collapsed="false">
      <c r="A9763" s="1" t="s">
        <v>860</v>
      </c>
      <c r="B9763" s="0" t="s">
        <v>95</v>
      </c>
      <c r="F9763" s="6" t="n">
        <f aca="false">debt_mat_27</f>
        <v>9.25</v>
      </c>
      <c r="G9763" s="6" t="n">
        <f aca="false">debt_mat_28</f>
        <v>0</v>
      </c>
      <c r="H9763" s="6" t="n">
        <f aca="false">debt_mat_29</f>
        <v>2.001</v>
      </c>
      <c r="I9763" s="6" t="n">
        <f aca="false">debt_mat_30</f>
        <v>0</v>
      </c>
      <c r="J9763" s="6" t="n">
        <f aca="false">debt_mat_31</f>
        <v>0.5</v>
      </c>
      <c r="K9763" s="6" t="n">
        <f aca="false">debt_mat_32</f>
        <v>0</v>
      </c>
    </row>
    <row r="9764" customFormat="false" ht="15" hidden="false" customHeight="false" outlineLevel="0" collapsed="false">
      <c r="A9764" s="1" t="s">
        <v>861</v>
      </c>
      <c r="B9764" s="0" t="s">
        <v>95</v>
      </c>
      <c r="E9764" s="6" t="n">
        <f aca="false">Q!M40</f>
        <v>22.271</v>
      </c>
      <c r="F9764" s="6" t="n">
        <f aca="false">MAX(0,MIN(bb_target,Sens!E9766+Sens!F9762-Sens!F9763-min_cash))</f>
        <v>0</v>
      </c>
      <c r="G9764" s="6" t="n">
        <f aca="false">MAX(0,MIN(bb_target,Sens!F9766+Sens!G9762-Sens!G9763-min_cash))</f>
        <v>0</v>
      </c>
      <c r="H9764" s="6" t="n">
        <f aca="false">MAX(0,MIN(bb_target,Sens!G9766+Sens!H9762-Sens!H9763-min_cash))</f>
        <v>22.271</v>
      </c>
      <c r="I9764" s="6" t="n">
        <f aca="false">MAX(0,MIN(bb_target,Sens!H9766+Sens!I9762-Sens!I9763-min_cash))</f>
        <v>22.271</v>
      </c>
      <c r="J9764" s="6" t="n">
        <f aca="false">MAX(0,MIN(bb_target,Sens!I9766+Sens!J9762-Sens!J9763-min_cash))</f>
        <v>22.271</v>
      </c>
      <c r="K9764" s="6" t="n">
        <f aca="false">MAX(0,MIN(bb_target,Sens!J9766+Sens!K9762-Sens!K9763-min_cash))</f>
        <v>22.271</v>
      </c>
    </row>
    <row r="9765" customFormat="false" ht="15" hidden="false" customHeight="false" outlineLevel="0" collapsed="false">
      <c r="A9765" s="1" t="s">
        <v>862</v>
      </c>
      <c r="B9765" s="0" t="s">
        <v>95</v>
      </c>
      <c r="F9765" s="6" t="n">
        <f aca="false">MAX(0,min_cash-(Sens!E9766+Sens!F9762-Sens!F9763-Sens!F9764))</f>
        <v>15.2997640273393</v>
      </c>
      <c r="G9765" s="6" t="n">
        <f aca="false">MAX(0,min_cash-(Sens!F9766+Sens!G9762-Sens!G9763-Sens!G9764))</f>
        <v>5.52599617648389</v>
      </c>
      <c r="H9765" s="6" t="n">
        <f aca="false">MAX(0,min_cash-(Sens!G9766+Sens!H9762-Sens!H9763-Sens!H9764))</f>
        <v>0</v>
      </c>
      <c r="I9765" s="6" t="n">
        <f aca="false">MAX(0,min_cash-(Sens!H9766+Sens!I9762-Sens!I9763-Sens!I9764))</f>
        <v>0</v>
      </c>
      <c r="J9765" s="6" t="n">
        <f aca="false">MAX(0,min_cash-(Sens!I9766+Sens!J9762-Sens!J9763-Sens!J9764))</f>
        <v>0</v>
      </c>
      <c r="K9765" s="6" t="n">
        <f aca="false">MAX(0,min_cash-(Sens!J9766+Sens!K9762-Sens!K9763-Sens!K9764))</f>
        <v>0</v>
      </c>
    </row>
    <row r="9766" customFormat="false" ht="15" hidden="false" customHeight="false" outlineLevel="0" collapsed="false">
      <c r="A9766" s="1" t="s">
        <v>863</v>
      </c>
      <c r="B9766" s="0" t="s">
        <v>95</v>
      </c>
      <c r="E9766" s="6" t="n">
        <f aca="false">cash_open</f>
        <v>76.843</v>
      </c>
      <c r="F9766" s="6" t="n">
        <f aca="false">Sens!E9766+Sens!F9762-Sens!F9763-Sens!F9764+Sens!F9765</f>
        <v>50</v>
      </c>
      <c r="G9766" s="6" t="n">
        <f aca="false">Sens!F9766+Sens!G9762-Sens!G9763-Sens!G9764+Sens!G9765</f>
        <v>50</v>
      </c>
      <c r="H9766" s="6" t="n">
        <f aca="false">Sens!G9766+Sens!H9762-Sens!H9763-Sens!H9764+Sens!H9765</f>
        <v>55.6777622029718</v>
      </c>
      <c r="I9766" s="6" t="n">
        <f aca="false">Sens!H9766+Sens!I9762-Sens!I9763-Sens!I9764+Sens!I9765</f>
        <v>72.3950080361156</v>
      </c>
      <c r="J9766" s="6" t="n">
        <f aca="false">Sens!I9766+Sens!J9762-Sens!J9763-Sens!J9764+Sens!J9765</f>
        <v>111.489327921977</v>
      </c>
      <c r="K9766" s="6" t="n">
        <f aca="false">Sens!J9766+Sens!K9762-Sens!K9763-Sens!K9764+Sens!K9765</f>
        <v>143.457655613777</v>
      </c>
    </row>
    <row r="9767" customFormat="false" ht="15" hidden="false" customHeight="false" outlineLevel="0" collapsed="false">
      <c r="A9767" s="1" t="s">
        <v>864</v>
      </c>
      <c r="B9767" s="0" t="s">
        <v>95</v>
      </c>
      <c r="E9767" s="6" t="n">
        <f aca="false">debt_face</f>
        <v>46.136</v>
      </c>
      <c r="F9767" s="6" t="n">
        <f aca="false">Sens!E9767-Sens!F9763+Sens!F9765</f>
        <v>52.1857640273393</v>
      </c>
      <c r="G9767" s="6" t="n">
        <f aca="false">Sens!F9767-Sens!G9763+Sens!G9765</f>
        <v>57.7117602038232</v>
      </c>
      <c r="H9767" s="6" t="n">
        <f aca="false">Sens!G9767-Sens!H9763+Sens!H9765</f>
        <v>55.7107602038232</v>
      </c>
      <c r="I9767" s="6" t="n">
        <f aca="false">Sens!H9767-Sens!I9763+Sens!I9765</f>
        <v>55.7107602038232</v>
      </c>
      <c r="J9767" s="6" t="n">
        <f aca="false">Sens!I9767-Sens!J9763+Sens!J9765</f>
        <v>55.2107602038232</v>
      </c>
      <c r="K9767" s="6" t="n">
        <f aca="false">Sens!J9767-Sens!K9763+Sens!K9765</f>
        <v>55.2107602038232</v>
      </c>
    </row>
    <row r="9768" customFormat="false" ht="15" hidden="false" customHeight="false" outlineLevel="0" collapsed="false">
      <c r="A9768" s="1" t="s">
        <v>865</v>
      </c>
      <c r="B9768" s="0" t="s">
        <v>95</v>
      </c>
      <c r="E9768" s="6" t="n">
        <f aca="false">Sens!E9766-Sens!E9767</f>
        <v>30.707</v>
      </c>
      <c r="F9768" s="6" t="n">
        <f aca="false">Sens!F9766-Sens!F9767</f>
        <v>-2.18576402733932</v>
      </c>
      <c r="G9768" s="6" t="n">
        <f aca="false">Sens!G9766-Sens!G9767</f>
        <v>-7.71176020382321</v>
      </c>
      <c r="H9768" s="6" t="n">
        <f aca="false">Sens!H9766-Sens!H9767</f>
        <v>-0.0329980008513786</v>
      </c>
      <c r="I9768" s="6" t="n">
        <f aca="false">Sens!I9766-Sens!I9767</f>
        <v>16.6842478322924</v>
      </c>
      <c r="J9768" s="6" t="n">
        <f aca="false">Sens!J9766-Sens!J9767</f>
        <v>56.2785677181541</v>
      </c>
      <c r="K9768" s="6" t="n">
        <f aca="false">Sens!K9766-Sens!K9767</f>
        <v>88.2468954099541</v>
      </c>
    </row>
    <row r="9769" customFormat="false" ht="15" hidden="false" customHeight="false" outlineLevel="0" collapsed="false">
      <c r="A9769" s="1" t="s">
        <v>866</v>
      </c>
      <c r="B9769" s="0" t="s">
        <v>73</v>
      </c>
      <c r="F9769" s="27" t="n">
        <f aca="false">px*(1+bb_g)^(1-0.5)</f>
        <v>553.494156066711</v>
      </c>
      <c r="G9769" s="27" t="n">
        <f aca="false">px*(1+bb_g)^(2-0.5)</f>
        <v>597.773688552047</v>
      </c>
      <c r="H9769" s="27" t="n">
        <f aca="false">px*(1+bb_g)^(3-0.5)</f>
        <v>645.595583636211</v>
      </c>
      <c r="I9769" s="27" t="n">
        <f aca="false">px*(1+bb_g)^(4-0.5)</f>
        <v>697.243230327108</v>
      </c>
      <c r="J9769" s="27" t="n">
        <f aca="false">px*(1+bb_g)^(5-0.5)</f>
        <v>753.022688753277</v>
      </c>
      <c r="K9769" s="27" t="n">
        <f aca="false">px*(1+bb_g)^(6-0.5)</f>
        <v>813.264503853539</v>
      </c>
    </row>
    <row r="9770" customFormat="false" ht="15" hidden="false" customHeight="false" outlineLevel="0" collapsed="false">
      <c r="A9770" s="1" t="s">
        <v>867</v>
      </c>
      <c r="B9770" s="1" t="s">
        <v>79</v>
      </c>
      <c r="E9770" s="18" t="n">
        <f aca="false">sh_out26</f>
        <v>7.427</v>
      </c>
      <c r="F9770" s="18" t="n">
        <f aca="false">Sens!E9770+sh_iss-Sens!F9764/Sens!F9769</f>
        <v>7.472</v>
      </c>
      <c r="G9770" s="18" t="n">
        <f aca="false">Sens!F9770+sh_iss-Sens!G9764/Sens!G9769</f>
        <v>7.517</v>
      </c>
      <c r="H9770" s="18" t="n">
        <f aca="false">Sens!G9770+sh_iss-Sens!H9764/Sens!H9769</f>
        <v>7.5275031716999</v>
      </c>
      <c r="I9770" s="18" t="n">
        <f aca="false">Sens!H9770+sh_iss-Sens!I9764/Sens!I9769</f>
        <v>7.54056166401463</v>
      </c>
      <c r="J9770" s="18" t="n">
        <f aca="false">Sens!I9770+sh_iss-Sens!J9764/Sens!J9769</f>
        <v>7.55598619393567</v>
      </c>
      <c r="K9770" s="18" t="n">
        <f aca="false">Sens!J9770+sh_iss-Sens!K9764/Sens!K9769</f>
        <v>7.57360149941811</v>
      </c>
    </row>
    <row r="9771" customFormat="false" ht="15" hidden="false" customHeight="false" outlineLevel="0" collapsed="false">
      <c r="A9771" s="1" t="s">
        <v>868</v>
      </c>
      <c r="B9771" s="1" t="s">
        <v>79</v>
      </c>
      <c r="E9771" s="18" t="n">
        <f aca="false">sh_dil26</f>
        <v>7.453</v>
      </c>
      <c r="F9771" s="18" t="n">
        <f aca="false">(Sens!E9770+Sens!F9770)/2+dil_gap</f>
        <v>7.4735</v>
      </c>
      <c r="G9771" s="18" t="n">
        <f aca="false">(Sens!F9770+Sens!G9770)/2+dil_gap</f>
        <v>7.5185</v>
      </c>
      <c r="H9771" s="18" t="n">
        <f aca="false">(Sens!G9770+Sens!H9770)/2+dil_gap</f>
        <v>7.54625158584995</v>
      </c>
      <c r="I9771" s="18" t="n">
        <f aca="false">(Sens!H9770+Sens!I9770)/2+dil_gap</f>
        <v>7.55803241785726</v>
      </c>
      <c r="J9771" s="18" t="n">
        <f aca="false">(Sens!I9770+Sens!J9770)/2+dil_gap</f>
        <v>7.57227392897515</v>
      </c>
      <c r="K9771" s="18" t="n">
        <f aca="false">(Sens!J9770+Sens!K9770)/2+dil_gap</f>
        <v>7.58879384667689</v>
      </c>
    </row>
    <row r="9772" customFormat="false" ht="17.15" hidden="false" customHeight="false" outlineLevel="0" collapsed="false">
      <c r="A9772" s="1" t="s">
        <v>869</v>
      </c>
      <c r="B9772" s="0" t="s">
        <v>95</v>
      </c>
      <c r="C9772" s="6" t="n">
        <f aca="false">SUM(Sens!F9762:J9762)</f>
        <v>92.3845677181541</v>
      </c>
    </row>
    <row r="9773" customFormat="false" ht="17.15" hidden="false" customHeight="false" outlineLevel="0" collapsed="false">
      <c r="A9773" s="1" t="s">
        <v>836</v>
      </c>
      <c r="B9773" s="1" t="s">
        <v>870</v>
      </c>
      <c r="C9773" s="30" t="str">
        <f aca="false">IF(SUM(Sens!F9765:J9765)&gt;0.05,"需要舉債 "&amp;TEXT(SUM(Sens!F9765:J9765),"0.0")&amp;" 十億美元","不需舉債")&amp;"；"&amp;IF(SUM(Sens!F9764:J9764)&lt;5*bb_target-0.05,"回購較每年 "&amp;TEXT(bb_target,"0.0")&amp;" 的目標少 "&amp;TEXT(5*bb_target-SUM(Sens!F9764:J9764),"0.0")&amp;" 十億美元（"&amp;TEXT(COUNTIF(Sens!F9764:J9764,"&lt;"&amp;(bb_target-0.05)),"0")&amp;" 年減少）","回購不減")</f>
        <v>需要舉債 20.8 十億美元；回購較每年 22.3 的目標少 44.5 十億美元（2 年減少）</v>
      </c>
    </row>
    <row r="9774" customFormat="false" ht="17.15" hidden="false" customHeight="false" outlineLevel="0" collapsed="false">
      <c r="A9774" s="3" t="s">
        <v>1393</v>
      </c>
    </row>
    <row r="9775" customFormat="false" ht="15" hidden="false" customHeight="false" outlineLevel="0" collapsed="false">
      <c r="A9775" s="4" t="s">
        <v>43</v>
      </c>
      <c r="B9775" s="4" t="s">
        <v>63</v>
      </c>
      <c r="C9775" s="19" t="s">
        <v>710</v>
      </c>
      <c r="D9775" s="19" t="s">
        <v>711</v>
      </c>
      <c r="E9775" s="19" t="s">
        <v>712</v>
      </c>
      <c r="F9775" s="19" t="s">
        <v>713</v>
      </c>
      <c r="G9775" s="19" t="s">
        <v>714</v>
      </c>
      <c r="H9775" s="19" t="s">
        <v>715</v>
      </c>
      <c r="I9775" s="19" t="s">
        <v>716</v>
      </c>
      <c r="J9775" s="19" t="s">
        <v>717</v>
      </c>
      <c r="K9775" s="19" t="s">
        <v>718</v>
      </c>
      <c r="L9775" s="4" t="s">
        <v>47</v>
      </c>
    </row>
    <row r="9776" customFormat="false" ht="17.15" hidden="false" customHeight="false" outlineLevel="0" collapsed="false">
      <c r="A9776" s="1" t="s">
        <v>938</v>
      </c>
      <c r="B9776" s="1" t="s">
        <v>213</v>
      </c>
      <c r="F9776" s="34" t="n">
        <f aca="false">1-0.5</f>
        <v>0.5</v>
      </c>
      <c r="G9776" s="34" t="n">
        <f aca="false">2-0.5</f>
        <v>1.5</v>
      </c>
      <c r="H9776" s="34" t="n">
        <f aca="false">3-0.5</f>
        <v>2.5</v>
      </c>
      <c r="I9776" s="34" t="n">
        <f aca="false">4-0.5</f>
        <v>3.5</v>
      </c>
      <c r="J9776" s="34" t="n">
        <f aca="false">5-0.5</f>
        <v>4.5</v>
      </c>
      <c r="K9776" s="34" t="n">
        <f aca="false">6-0.5</f>
        <v>5.5</v>
      </c>
    </row>
    <row r="9777" customFormat="false" ht="15" hidden="false" customHeight="false" outlineLevel="0" collapsed="false">
      <c r="A9777" s="1" t="s">
        <v>939</v>
      </c>
      <c r="B9777" s="0" t="s">
        <v>182</v>
      </c>
      <c r="F9777" s="18" t="n">
        <f aca="false">1/(1+wacc)^Sens!F9776</f>
        <v>0.949601579913219</v>
      </c>
      <c r="G9777" s="18" t="n">
        <f aca="false">1/(1+wacc)^Sens!G9776</f>
        <v>0.856296729956707</v>
      </c>
      <c r="H9777" s="18" t="n">
        <f aca="false">1/(1+wacc)^Sens!H9776</f>
        <v>0.772159719660069</v>
      </c>
      <c r="I9777" s="18" t="n">
        <f aca="false">1/(1+wacc)^Sens!I9776</f>
        <v>0.696289746073958</v>
      </c>
      <c r="J9777" s="18" t="n">
        <f aca="false">1/(1+wacc)^Sens!J9776</f>
        <v>0.627874516299776</v>
      </c>
      <c r="K9777" s="18" t="n">
        <f aca="false">1/(1+wacc)^Sens!K9776</f>
        <v>0.566181550771831</v>
      </c>
    </row>
    <row r="9778" customFormat="false" ht="15" hidden="false" customHeight="false" outlineLevel="0" collapsed="false">
      <c r="A9778" s="1" t="s">
        <v>940</v>
      </c>
      <c r="B9778" s="0" t="s">
        <v>95</v>
      </c>
      <c r="F9778" s="6" t="n">
        <f aca="false">Sens!F9759*Sens!F9777</f>
        <v>-4.08216059211453</v>
      </c>
      <c r="G9778" s="6" t="n">
        <f aca="false">Sens!G9759*Sens!G9777</f>
        <v>21.872027577535</v>
      </c>
      <c r="H9778" s="6" t="n">
        <f aca="false">Sens!H9759*Sens!H9777</f>
        <v>49.191132265239</v>
      </c>
      <c r="I9778" s="6" t="n">
        <f aca="false">Sens!I9759*Sens!I9777</f>
        <v>52.5669634042268</v>
      </c>
      <c r="J9778" s="6" t="n">
        <f aca="false">Sens!J9759*Sens!J9777</f>
        <v>63.6425513191391</v>
      </c>
      <c r="K9778" s="6" t="n">
        <f aca="false">Sens!K9759*Sens!K9777</f>
        <v>54.9099201953833</v>
      </c>
    </row>
    <row r="9779" customFormat="false" ht="17.15" hidden="false" customHeight="false" outlineLevel="0" collapsed="false">
      <c r="A9779" s="1" t="s">
        <v>941</v>
      </c>
      <c r="B9779" s="0" t="s">
        <v>95</v>
      </c>
      <c r="C9779" s="6" t="n">
        <f aca="false">SUM(Sens!F9778:K9778)</f>
        <v>238.100434169409</v>
      </c>
    </row>
    <row r="9780" customFormat="false" ht="17.15" hidden="false" customHeight="false" outlineLevel="0" collapsed="false">
      <c r="A9780" s="1" t="s">
        <v>942</v>
      </c>
      <c r="B9780" s="0" t="s">
        <v>95</v>
      </c>
      <c r="C9780" s="6" t="n">
        <f aca="false">Sens!K9725*(1+g_tv)*(1-tax_f)</f>
        <v>208.014732751841</v>
      </c>
    </row>
    <row r="9781" customFormat="false" ht="17.15" hidden="false" customHeight="false" outlineLevel="0" collapsed="false">
      <c r="A9781" s="1" t="s">
        <v>943</v>
      </c>
      <c r="B9781" s="0" t="s">
        <v>95</v>
      </c>
      <c r="C9781" s="6" t="n">
        <f aca="false">Sens!$C$9780*(1-g_tv/(wacc+ronic_prem))</f>
        <v>150.743646997594</v>
      </c>
    </row>
    <row r="9782" customFormat="false" ht="17.15" hidden="false" customHeight="false" outlineLevel="0" collapsed="false">
      <c r="A9782" s="1" t="s">
        <v>944</v>
      </c>
      <c r="B9782" s="0" t="s">
        <v>95</v>
      </c>
      <c r="C9782" s="6" t="n">
        <f aca="false">Sens!$C$9781/(wacc-g_tv)</f>
        <v>1909.03619180825</v>
      </c>
    </row>
    <row r="9783" customFormat="false" ht="15" hidden="false" customHeight="false" outlineLevel="0" collapsed="false">
      <c r="A9783" s="1" t="s">
        <v>945</v>
      </c>
      <c r="B9783" s="0" t="s">
        <v>95</v>
      </c>
      <c r="C9783" s="6" t="n">
        <f aca="false">Sens!$C$9782/(1+wacc)^6</f>
        <v>1026.38738121774</v>
      </c>
    </row>
    <row r="9784" customFormat="false" ht="17.15" hidden="false" customHeight="false" outlineLevel="0" collapsed="false">
      <c r="A9784" s="0" t="s">
        <v>877</v>
      </c>
      <c r="B9784" s="0" t="s">
        <v>95</v>
      </c>
      <c r="C9784" s="6" t="n">
        <f aca="false">Sens!$C$9779+Sens!$C$9783</f>
        <v>1264.48781538715</v>
      </c>
    </row>
    <row r="9785" customFormat="false" ht="15" hidden="false" customHeight="false" outlineLevel="0" collapsed="false">
      <c r="A9785" s="1" t="s">
        <v>878</v>
      </c>
      <c r="B9785" s="0" t="s">
        <v>126</v>
      </c>
      <c r="C9785" s="7" t="n">
        <f aca="false">Sens!$C$9783/Sens!$C$9784</f>
        <v>0.811702073146107</v>
      </c>
    </row>
    <row r="9786" customFormat="false" ht="17.15" hidden="false" customHeight="false" outlineLevel="0" collapsed="false">
      <c r="A9786" s="1" t="s">
        <v>946</v>
      </c>
      <c r="B9786" s="0" t="s">
        <v>95</v>
      </c>
      <c r="C9786" s="6" t="n">
        <f aca="false">Sens!$C$9784+Sens!E9768+oai_v</f>
        <v>1465.59481538715</v>
      </c>
    </row>
    <row r="9787" customFormat="false" ht="17.15" hidden="false" customHeight="false" outlineLevel="0" collapsed="false">
      <c r="A9787" s="0" t="s">
        <v>883</v>
      </c>
      <c r="B9787" s="0" t="s">
        <v>73</v>
      </c>
      <c r="C9787" s="5" t="n">
        <f aca="false">Sens!$C$9786/sh_dil26</f>
        <v>196.644950407507</v>
      </c>
    </row>
    <row r="9788" customFormat="false" ht="17.15" hidden="false" customHeight="false" outlineLevel="0" collapsed="false">
      <c r="A9788" s="0" t="s">
        <v>947</v>
      </c>
      <c r="B9788" s="0" t="s">
        <v>73</v>
      </c>
      <c r="C9788" s="5" t="n">
        <f aca="false">Sens!$C$9787*(1+wacc)^t_roll</f>
        <v>225.550690485071</v>
      </c>
    </row>
    <row r="9789" customFormat="false" ht="17.15" hidden="false" customHeight="false" outlineLevel="0" collapsed="false">
      <c r="A9789" s="1" t="s">
        <v>948</v>
      </c>
      <c r="B9789" s="0" t="s">
        <v>126</v>
      </c>
      <c r="F9789" s="7" t="n">
        <f aca="false">Sens!F9749/(Sens!F9700-Sens!F9656)</f>
        <v>0.0684307874075333</v>
      </c>
      <c r="G9789" s="7" t="n">
        <f aca="false">Sens!G9749/(Sens!G9700-Sens!G9656)</f>
        <v>0.0656456058503526</v>
      </c>
      <c r="H9789" s="7" t="n">
        <f aca="false">Sens!H9749/(Sens!H9700-Sens!H9656)</f>
        <v>0.0641950889132003</v>
      </c>
      <c r="I9789" s="7" t="n">
        <f aca="false">Sens!I9749/(Sens!I9700-Sens!I9656)</f>
        <v>0.063960269667854</v>
      </c>
      <c r="J9789" s="7" t="n">
        <f aca="false">Sens!J9749/(Sens!J9700-Sens!J9656)</f>
        <v>0.0646607917002597</v>
      </c>
      <c r="K9789" s="7" t="n">
        <f aca="false">Sens!K9749/(Sens!K9700-Sens!K9656)</f>
        <v>0.0659511546529383</v>
      </c>
    </row>
    <row r="9790" customFormat="false" ht="17.15" hidden="false" customHeight="false" outlineLevel="0" collapsed="false">
      <c r="A9790" s="0" t="s">
        <v>949</v>
      </c>
      <c r="B9790" s="0" t="s">
        <v>95</v>
      </c>
      <c r="F9790" s="6" t="n">
        <f aca="false">Sens!F9685*(al_m365+Sens!F9789)</f>
        <v>79.4713323717639</v>
      </c>
      <c r="G9790" s="6" t="n">
        <f aca="false">Sens!G9685*(al_m365+Sens!G9789)</f>
        <v>91.222848535282</v>
      </c>
      <c r="H9790" s="6" t="n">
        <f aca="false">Sens!H9685*(al_m365+Sens!H9789)</f>
        <v>103.134459525438</v>
      </c>
      <c r="I9790" s="6" t="n">
        <f aca="false">Sens!I9685*(al_m365+Sens!I9789)</f>
        <v>114.09096761677</v>
      </c>
      <c r="J9790" s="6" t="n">
        <f aca="false">Sens!J9685*(al_m365+Sens!J9789)</f>
        <v>123.914507832207</v>
      </c>
      <c r="K9790" s="6" t="n">
        <f aca="false">Sens!K9685*(al_m365+Sens!K9789)</f>
        <v>133.375360010951</v>
      </c>
    </row>
    <row r="9791" customFormat="false" ht="17.15" hidden="false" customHeight="false" outlineLevel="0" collapsed="false">
      <c r="A9791" s="0" t="s">
        <v>950</v>
      </c>
      <c r="B9791" s="0" t="s">
        <v>95</v>
      </c>
      <c r="F9791" s="6" t="n">
        <f aca="false">Sens!F9686*(al_lic+Sens!F9789)</f>
        <v>31.9777960098625</v>
      </c>
      <c r="G9791" s="6" t="n">
        <f aca="false">Sens!G9686*(al_lic+Sens!G9789)</f>
        <v>33.2184421146294</v>
      </c>
      <c r="H9791" s="6" t="n">
        <f aca="false">Sens!H9686*(al_lic+Sens!H9789)</f>
        <v>34.3782467188855</v>
      </c>
      <c r="I9791" s="6" t="n">
        <f aca="false">Sens!I9686*(al_lic+Sens!I9789)</f>
        <v>35.4396663788333</v>
      </c>
      <c r="J9791" s="6" t="n">
        <f aca="false">Sens!J9686*(al_lic+Sens!J9789)</f>
        <v>36.377709205557</v>
      </c>
      <c r="K9791" s="6" t="n">
        <f aca="false">Sens!K9686*(al_lic+Sens!K9789)</f>
        <v>37.1640354058437</v>
      </c>
    </row>
    <row r="9792" customFormat="false" ht="17.15" hidden="false" customHeight="false" outlineLevel="0" collapsed="false">
      <c r="A9792" s="0" t="s">
        <v>951</v>
      </c>
      <c r="B9792" s="0" t="s">
        <v>95</v>
      </c>
      <c r="F9792" s="6" t="n">
        <f aca="false">Sens!F9688*(al_ind+Sens!F9789)</f>
        <v>8.23708828923978</v>
      </c>
      <c r="G9792" s="6" t="n">
        <f aca="false">Sens!G9688*(al_ind+Sens!G9789)</f>
        <v>8.93609064049065</v>
      </c>
      <c r="H9792" s="6" t="n">
        <f aca="false">Sens!H9688*(al_ind+Sens!H9789)</f>
        <v>9.67804935051386</v>
      </c>
      <c r="I9792" s="6" t="n">
        <f aca="false">Sens!I9688*(al_ind+Sens!I9789)</f>
        <v>10.4606610595832</v>
      </c>
      <c r="J9792" s="6" t="n">
        <f aca="false">Sens!J9688*(al_ind+Sens!J9789)</f>
        <v>11.275039839171</v>
      </c>
      <c r="K9792" s="6" t="n">
        <f aca="false">Sens!K9688*(al_ind+Sens!K9789)</f>
        <v>12.106982482736</v>
      </c>
    </row>
    <row r="9793" customFormat="false" ht="17.15" hidden="false" customHeight="false" outlineLevel="0" collapsed="false">
      <c r="A9793" s="0" t="s">
        <v>952</v>
      </c>
      <c r="B9793" s="0" t="s">
        <v>95</v>
      </c>
      <c r="F9793" s="6" t="n">
        <f aca="false">Sens!F9690*(al_fro+Sens!F9789)</f>
        <v>3.24214686942203</v>
      </c>
      <c r="G9793" s="6" t="n">
        <f aca="false">Sens!G9690*(al_fro+Sens!G9789)</f>
        <v>3.43093048931594</v>
      </c>
      <c r="H9793" s="6" t="n">
        <f aca="false">Sens!H9690*(al_fro+Sens!H9789)</f>
        <v>3.6470202512287</v>
      </c>
      <c r="I9793" s="6" t="n">
        <f aca="false">Sens!I9690*(al_fro+Sens!I9789)</f>
        <v>3.89303230264912</v>
      </c>
      <c r="J9793" s="6" t="n">
        <f aca="false">Sens!J9690*(al_fro+Sens!J9789)</f>
        <v>4.16994303150246</v>
      </c>
      <c r="K9793" s="6" t="n">
        <f aca="false">Sens!K9690*(al_fro+Sens!K9789)</f>
        <v>4.47762739258926</v>
      </c>
    </row>
    <row r="9794" customFormat="false" ht="17.15" hidden="false" customHeight="false" outlineLevel="0" collapsed="false">
      <c r="A9794" s="0" t="s">
        <v>953</v>
      </c>
      <c r="B9794" s="0" t="s">
        <v>95</v>
      </c>
      <c r="F9794" s="6" t="n">
        <f aca="false">Sens!F9693*(al_srch+Sens!F9789)</f>
        <v>10.1729230470907</v>
      </c>
      <c r="G9794" s="6" t="n">
        <f aca="false">Sens!G9693*(al_srch+Sens!G9789)</f>
        <v>11.1403318971852</v>
      </c>
      <c r="H9794" s="6" t="n">
        <f aca="false">Sens!H9693*(al_srch+Sens!H9789)</f>
        <v>12.1511421371799</v>
      </c>
      <c r="I9794" s="6" t="n">
        <f aca="false">Sens!I9693*(al_srch+Sens!I9789)</f>
        <v>13.1963628712968</v>
      </c>
      <c r="J9794" s="6" t="n">
        <f aca="false">Sens!J9693*(al_srch+Sens!J9789)</f>
        <v>14.2578127803031</v>
      </c>
      <c r="K9794" s="6" t="n">
        <f aca="false">Sens!K9693*(al_srch+Sens!K9789)</f>
        <v>15.3098429837522</v>
      </c>
    </row>
    <row r="9795" customFormat="false" ht="17.15" hidden="false" customHeight="false" outlineLevel="0" collapsed="false">
      <c r="A9795" s="0" t="s">
        <v>954</v>
      </c>
      <c r="B9795" s="0" t="s">
        <v>95</v>
      </c>
      <c r="F9795" s="6" t="n">
        <f aca="false">Sens!F9662</f>
        <v>39.4594407491938</v>
      </c>
      <c r="G9795" s="6" t="n">
        <f aca="false">Sens!G9662</f>
        <v>66.5527545578061</v>
      </c>
      <c r="H9795" s="6" t="n">
        <f aca="false">Sens!H9662</f>
        <v>95.219644983859</v>
      </c>
      <c r="I9795" s="6" t="n">
        <f aca="false">Sens!I9662</f>
        <v>124.031840462493</v>
      </c>
      <c r="J9795" s="6" t="n">
        <f aca="false">Sens!J9662</f>
        <v>152.919994097909</v>
      </c>
      <c r="K9795" s="6" t="n">
        <f aca="false">Sens!K9662</f>
        <v>181.852830263848</v>
      </c>
    </row>
    <row r="9796" customFormat="false" ht="17.15" hidden="false" customHeight="false" outlineLevel="0" collapsed="false">
      <c r="A9796" s="0" t="s">
        <v>955</v>
      </c>
      <c r="B9796" s="0" t="s">
        <v>95</v>
      </c>
      <c r="F9796" s="6" t="n">
        <f aca="false">Sens!F9722+Sens!F9673+Sens!F9789*(Sens!F9692-Sens!F9656)</f>
        <v>205.860620916492</v>
      </c>
      <c r="G9796" s="6" t="n">
        <f aca="false">Sens!G9722+Sens!G9673+Sens!G9789*(Sens!G9692-Sens!G9656)</f>
        <v>252.23113276254</v>
      </c>
      <c r="H9796" s="6" t="n">
        <f aca="false">Sens!H9722+Sens!H9673+Sens!H9789*(Sens!H9692-Sens!H9656)</f>
        <v>300.402652046241</v>
      </c>
      <c r="I9796" s="6" t="n">
        <f aca="false">Sens!I9722+Sens!I9673+Sens!I9789*(Sens!I9692-Sens!I9656)</f>
        <v>347.627892402618</v>
      </c>
      <c r="J9796" s="6" t="n">
        <f aca="false">Sens!J9722+Sens!J9673+Sens!J9789*(Sens!J9692-Sens!J9656)</f>
        <v>393.05108887007</v>
      </c>
      <c r="K9796" s="6" t="n">
        <f aca="false">Sens!K9722+Sens!K9673+Sens!K9789*(Sens!K9692-Sens!K9656)</f>
        <v>436.657909466461</v>
      </c>
    </row>
    <row r="9797" customFormat="false" ht="17.15" hidden="false" customHeight="false" outlineLevel="0" collapsed="false">
      <c r="A9797" s="0" t="s">
        <v>956</v>
      </c>
      <c r="B9797" s="0" t="s">
        <v>95</v>
      </c>
      <c r="F9797" s="6" t="n">
        <f aca="false">Sens!F9796-Sens!F9790-Sens!F9791-Sens!F9792-Sens!F9793-Sens!F9795</f>
        <v>43.4728166270104</v>
      </c>
      <c r="G9797" s="6" t="n">
        <f aca="false">Sens!G9796-Sens!G9790-Sens!G9791-Sens!G9792-Sens!G9793-Sens!G9795</f>
        <v>48.8700664250154</v>
      </c>
      <c r="H9797" s="6" t="n">
        <f aca="false">Sens!H9796-Sens!H9790-Sens!H9791-Sens!H9792-Sens!H9793-Sens!H9795</f>
        <v>54.3452312163151</v>
      </c>
      <c r="I9797" s="6" t="n">
        <f aca="false">Sens!I9796-Sens!I9790-Sens!I9791-Sens!I9792-Sens!I9793-Sens!I9795</f>
        <v>59.7117245822894</v>
      </c>
      <c r="J9797" s="6" t="n">
        <f aca="false">Sens!J9796-Sens!J9790-Sens!J9791-Sens!J9792-Sens!J9793-Sens!J9795</f>
        <v>64.3938948637234</v>
      </c>
      <c r="K9797" s="6" t="n">
        <f aca="false">Sens!K9796-Sens!K9790-Sens!K9791-Sens!K9792-Sens!K9793-Sens!K9795</f>
        <v>67.6810739104924</v>
      </c>
    </row>
    <row r="9798" customFormat="false" ht="17.15" hidden="false" customHeight="false" outlineLevel="0" collapsed="false">
      <c r="A9798" s="0" t="s">
        <v>957</v>
      </c>
      <c r="B9798" s="0" t="s">
        <v>95</v>
      </c>
      <c r="F9798" s="6" t="n">
        <f aca="false">Sens!F9724+Sens!F9789*Sens!F9699</f>
        <v>22.4503097318123</v>
      </c>
      <c r="G9798" s="6" t="n">
        <f aca="false">Sens!G9724+Sens!G9789*Sens!G9699</f>
        <v>22.9470424131026</v>
      </c>
      <c r="H9798" s="6" t="n">
        <f aca="false">Sens!H9724+Sens!H9789*Sens!H9699</f>
        <v>23.6841548707316</v>
      </c>
      <c r="I9798" s="6" t="n">
        <f aca="false">Sens!I9724+Sens!I9789*Sens!I9699</f>
        <v>24.6361103867547</v>
      </c>
      <c r="J9798" s="6" t="n">
        <f aca="false">Sens!J9724+Sens!J9789*Sens!J9699</f>
        <v>25.771178910139</v>
      </c>
      <c r="K9798" s="6" t="n">
        <f aca="false">Sens!K9724+Sens!K9789*Sens!K9699</f>
        <v>27.0550118818286</v>
      </c>
    </row>
    <row r="9799" customFormat="false" ht="17.15" hidden="false" customHeight="false" outlineLevel="0" collapsed="false">
      <c r="A9799" s="0" t="s">
        <v>958</v>
      </c>
      <c r="B9799" s="0" t="s">
        <v>95</v>
      </c>
      <c r="F9799" s="6" t="n">
        <f aca="false">(Sens!F9798-Sens!F9794)*Sens!F9695/(Sens!F9695+Sens!F9697)</f>
        <v>6.73034380055081</v>
      </c>
      <c r="G9799" s="6" t="n">
        <f aca="false">(Sens!G9798-Sens!G9794)*Sens!G9695/(Sens!G9695+Sens!G9697)</f>
        <v>6.3569225841727</v>
      </c>
      <c r="H9799" s="6" t="n">
        <f aca="false">(Sens!H9798-Sens!H9794)*Sens!H9695/(Sens!H9695+Sens!H9697)</f>
        <v>6.12567853312303</v>
      </c>
      <c r="I9799" s="6" t="n">
        <f aca="false">(Sens!I9798-Sens!I9794)*Sens!I9695/(Sens!I9695+Sens!I9697)</f>
        <v>6.02116436454768</v>
      </c>
      <c r="J9799" s="6" t="n">
        <f aca="false">(Sens!J9798-Sens!J9794)*Sens!J9695/(Sens!J9695+Sens!J9697)</f>
        <v>6.03250987681724</v>
      </c>
      <c r="K9799" s="6" t="n">
        <f aca="false">(Sens!K9798-Sens!K9794)*Sens!K9695/(Sens!K9695+Sens!K9697)</f>
        <v>6.15396458199338</v>
      </c>
    </row>
    <row r="9800" customFormat="false" ht="17.15" hidden="false" customHeight="false" outlineLevel="0" collapsed="false">
      <c r="A9800" s="0" t="s">
        <v>959</v>
      </c>
      <c r="B9800" s="0" t="s">
        <v>95</v>
      </c>
      <c r="F9800" s="6" t="n">
        <f aca="false">Sens!F9798-Sens!F9794-Sens!F9799</f>
        <v>5.54704288417083</v>
      </c>
      <c r="G9800" s="6" t="n">
        <f aca="false">Sens!G9798-Sens!G9794-Sens!G9799</f>
        <v>5.44978793174472</v>
      </c>
      <c r="H9800" s="6" t="n">
        <f aca="false">Sens!H9798-Sens!H9794-Sens!H9799</f>
        <v>5.40733420042867</v>
      </c>
      <c r="I9800" s="6" t="n">
        <f aca="false">Sens!I9798-Sens!I9794-Sens!I9799</f>
        <v>5.41858315091017</v>
      </c>
      <c r="J9800" s="6" t="n">
        <f aca="false">Sens!J9798-Sens!J9794-Sens!J9799</f>
        <v>5.48085625301869</v>
      </c>
      <c r="K9800" s="6" t="n">
        <f aca="false">Sens!K9798-Sens!K9794-Sens!K9799</f>
        <v>5.59120431608302</v>
      </c>
    </row>
    <row r="9801" customFormat="false" ht="17.15" hidden="false" customHeight="false" outlineLevel="0" collapsed="false">
      <c r="A9801" s="1" t="s">
        <v>960</v>
      </c>
      <c r="B9801" s="0" t="s">
        <v>95</v>
      </c>
      <c r="C9801" s="6" t="n">
        <f aca="false">(w_ntm28*Sens!G9795+(1-w_ntm28)*Sens!H9795)*m_ai*1</f>
        <v>454.922440830797</v>
      </c>
    </row>
    <row r="9802" customFormat="false" ht="17.15" hidden="false" customHeight="false" outlineLevel="0" collapsed="false">
      <c r="A9802" s="1" t="s">
        <v>961</v>
      </c>
      <c r="B9802" s="0" t="s">
        <v>95</v>
      </c>
      <c r="C9802" s="6" t="n">
        <f aca="false">(w_ntm28*Sens!G9797+(1-w_ntm28)*Sens!H9797)*m_cloud*1</f>
        <v>699.846454254151</v>
      </c>
    </row>
    <row r="9803" customFormat="false" ht="17.15" hidden="false" customHeight="false" outlineLevel="0" collapsed="false">
      <c r="A9803" s="1" t="s">
        <v>962</v>
      </c>
      <c r="B9803" s="0" t="s">
        <v>95</v>
      </c>
      <c r="C9803" s="6" t="n">
        <f aca="false">(w_ntm28*Sens!G9790+(1-w_ntm28)*Sens!H9790)*m_sw*1</f>
        <v>1026.79623553955</v>
      </c>
    </row>
    <row r="9804" customFormat="false" ht="17.15" hidden="false" customHeight="false" outlineLevel="0" collapsed="false">
      <c r="A9804" s="1" t="s">
        <v>963</v>
      </c>
      <c r="B9804" s="0" t="s">
        <v>95</v>
      </c>
      <c r="C9804" s="6" t="n">
        <f aca="false">(w_ntm28*Sens!G9791+(1-w_ntm28)*Sens!H9791)*m_sw*1</f>
        <v>362.808640557625</v>
      </c>
    </row>
    <row r="9805" customFormat="false" ht="17.15" hidden="false" customHeight="false" outlineLevel="0" collapsed="false">
      <c r="A9805" s="1" t="s">
        <v>964</v>
      </c>
      <c r="B9805" s="0" t="s">
        <v>95</v>
      </c>
      <c r="C9805" s="6" t="n">
        <f aca="false">(w_ntm28*Sens!G9792+(1-w_ntm28)*Sens!H9792)*m_sw*1</f>
        <v>99.1003328352541</v>
      </c>
    </row>
    <row r="9806" customFormat="false" ht="17.15" hidden="false" customHeight="false" outlineLevel="0" collapsed="false">
      <c r="A9806" s="1" t="s">
        <v>965</v>
      </c>
      <c r="B9806" s="0" t="s">
        <v>95</v>
      </c>
      <c r="C9806" s="6" t="n">
        <f aca="false">(w_ntm28*Sens!G9793+(1-w_ntm28)*Sens!H9793)*m_sw*1</f>
        <v>37.8085281683974</v>
      </c>
    </row>
    <row r="9807" customFormat="false" ht="17.15" hidden="false" customHeight="false" outlineLevel="0" collapsed="false">
      <c r="A9807" s="1" t="s">
        <v>966</v>
      </c>
      <c r="B9807" s="0" t="s">
        <v>95</v>
      </c>
      <c r="C9807" s="6" t="n">
        <f aca="false">(w_ntm28*Sens!G9794+(1-w_ntm28)*Sens!H9794)*m_ads*1</f>
        <v>104.465412054013</v>
      </c>
    </row>
    <row r="9808" customFormat="false" ht="17.15" hidden="false" customHeight="false" outlineLevel="0" collapsed="false">
      <c r="A9808" s="1" t="s">
        <v>967</v>
      </c>
      <c r="B9808" s="0" t="s">
        <v>95</v>
      </c>
      <c r="C9808" s="6" t="n">
        <f aca="false">(w_ntm28*Sens!G9799+(1-w_ntm28)*Sens!H9799)*m_game*1</f>
        <v>79.3437342681249</v>
      </c>
    </row>
    <row r="9809" customFormat="false" ht="17.15" hidden="false" customHeight="false" outlineLevel="0" collapsed="false">
      <c r="A9809" s="1" t="s">
        <v>968</v>
      </c>
      <c r="B9809" s="0" t="s">
        <v>95</v>
      </c>
      <c r="C9809" s="6" t="n">
        <f aca="false">(w_ntm28*Sens!G9800+(1-w_ntm28)*Sens!H9800)*m_pc*1</f>
        <v>78.6598339803656</v>
      </c>
    </row>
    <row r="9810" customFormat="false" ht="17.15" hidden="false" customHeight="false" outlineLevel="0" collapsed="false">
      <c r="A9810" s="1" t="s">
        <v>969</v>
      </c>
      <c r="B9810" s="0" t="s">
        <v>95</v>
      </c>
      <c r="C9810" s="6" t="n">
        <f aca="false">Sens!$C$9801+Sens!$C$9802+Sens!$C$9803+Sens!$C$9804+Sens!$C$9805+Sens!$C$9806+Sens!$C$9807+Sens!$C$9808+Sens!$C$9809</f>
        <v>2943.75161248828</v>
      </c>
    </row>
    <row r="9811" customFormat="false" ht="17.15" hidden="false" customHeight="false" outlineLevel="0" collapsed="false">
      <c r="A9811" s="1" t="s">
        <v>903</v>
      </c>
      <c r="B9811" s="0" t="s">
        <v>95</v>
      </c>
      <c r="C9811" s="6" t="n">
        <f aca="false">Sens!F9768+oai_v-Sens!F9757</f>
        <v>105.744505972661</v>
      </c>
      <c r="L9811" s="1" t="s">
        <v>970</v>
      </c>
    </row>
    <row r="9812" customFormat="false" ht="15" hidden="false" customHeight="false" outlineLevel="0" collapsed="false">
      <c r="A9812" s="1" t="s">
        <v>904</v>
      </c>
      <c r="B9812" s="0" t="s">
        <v>73</v>
      </c>
      <c r="C9812" s="5" t="n">
        <f aca="false">(Sens!$C$9810+Sens!$C$9811)/Sens!F9770</f>
        <v>408.12314219231</v>
      </c>
    </row>
    <row r="9813" customFormat="false" ht="17.15" hidden="false" customHeight="false" outlineLevel="0" collapsed="false">
      <c r="A9813" s="1" t="s">
        <v>971</v>
      </c>
      <c r="B9813" s="0" t="s">
        <v>73</v>
      </c>
      <c r="C9813" s="5" t="n">
        <f aca="false">w_dcf*Sens!$C$9788+(1-w_dcf)*Sens!$C$9812</f>
        <v>316.836916338691</v>
      </c>
    </row>
    <row r="9814" customFormat="false" ht="17.15" hidden="false" customHeight="false" outlineLevel="0" collapsed="false">
      <c r="A9814" s="3" t="s">
        <v>1394</v>
      </c>
    </row>
    <row r="9815" customFormat="false" ht="15" hidden="false" customHeight="false" outlineLevel="0" collapsed="false">
      <c r="A9815" s="4" t="s">
        <v>43</v>
      </c>
      <c r="B9815" s="4" t="s">
        <v>63</v>
      </c>
      <c r="C9815" s="19" t="s">
        <v>710</v>
      </c>
      <c r="D9815" s="19" t="s">
        <v>711</v>
      </c>
      <c r="E9815" s="19" t="s">
        <v>712</v>
      </c>
      <c r="F9815" s="19" t="s">
        <v>713</v>
      </c>
      <c r="G9815" s="19" t="s">
        <v>714</v>
      </c>
      <c r="H9815" s="19" t="s">
        <v>715</v>
      </c>
      <c r="I9815" s="19" t="s">
        <v>716</v>
      </c>
      <c r="J9815" s="19" t="s">
        <v>717</v>
      </c>
      <c r="K9815" s="19" t="s">
        <v>718</v>
      </c>
      <c r="L9815" s="4" t="s">
        <v>47</v>
      </c>
    </row>
    <row r="9816" customFormat="false" ht="17.15" hidden="false" customHeight="false" outlineLevel="0" collapsed="false">
      <c r="A9816" s="1" t="s">
        <v>719</v>
      </c>
      <c r="B9816" s="0" t="s">
        <v>340</v>
      </c>
      <c r="C9816" s="27" t="n">
        <f aca="false">mw_ext_24</f>
        <v>640</v>
      </c>
      <c r="D9816" s="27" t="n">
        <f aca="false">mw_ext_25</f>
        <v>1630</v>
      </c>
      <c r="E9816" s="27" t="n">
        <f aca="false">mw_ext_26</f>
        <v>3250</v>
      </c>
      <c r="F9816" s="27" t="n">
        <f aca="false">MIN(1000000000,Sens!E9816+pace)</f>
        <v>5777.2</v>
      </c>
      <c r="G9816" s="27" t="n">
        <f aca="false">MIN(1000000000,Sens!F9816+pace)</f>
        <v>8304.4</v>
      </c>
      <c r="H9816" s="27" t="n">
        <f aca="false">MIN(1000000000,Sens!G9816+pace)</f>
        <v>10831.6</v>
      </c>
      <c r="I9816" s="27" t="n">
        <f aca="false">MIN(1000000000,Sens!H9816+pace)</f>
        <v>13358.8</v>
      </c>
      <c r="J9816" s="27" t="n">
        <f aca="false">MIN(1000000000,Sens!I9816+pace)</f>
        <v>15886</v>
      </c>
      <c r="K9816" s="27" t="n">
        <f aca="false">MIN(1000000000,Sens!J9816+pace)</f>
        <v>18413.2</v>
      </c>
      <c r="L9816" s="11" t="s">
        <v>720</v>
      </c>
    </row>
    <row r="9817" customFormat="false" ht="17.15" hidden="false" customHeight="false" outlineLevel="0" collapsed="false">
      <c r="A9817" s="1" t="s">
        <v>721</v>
      </c>
      <c r="B9817" s="0" t="s">
        <v>340</v>
      </c>
      <c r="C9817" s="27" t="n">
        <f aca="false">rent_ext_24</f>
        <v>150</v>
      </c>
      <c r="D9817" s="27" t="n">
        <f aca="false">rent_ext_25</f>
        <v>400</v>
      </c>
      <c r="E9817" s="27" t="n">
        <f aca="false">rent_ext_26</f>
        <v>550</v>
      </c>
      <c r="F9817" s="27" t="n">
        <f aca="false">rent_ext_f</f>
        <v>756</v>
      </c>
      <c r="G9817" s="27" t="n">
        <f aca="false">rent_ext_f</f>
        <v>756</v>
      </c>
      <c r="H9817" s="27" t="n">
        <f aca="false">rent_ext_f</f>
        <v>756</v>
      </c>
      <c r="I9817" s="27" t="n">
        <f aca="false">rent_ext_f</f>
        <v>756</v>
      </c>
      <c r="J9817" s="27" t="n">
        <f aca="false">rent_ext_f</f>
        <v>756</v>
      </c>
      <c r="K9817" s="27" t="n">
        <f aca="false">rent_ext_f</f>
        <v>756</v>
      </c>
      <c r="L9817" s="1" t="s">
        <v>722</v>
      </c>
    </row>
    <row r="9818" customFormat="false" ht="17.15" hidden="false" customHeight="false" outlineLevel="0" collapsed="false">
      <c r="A9818" s="1" t="s">
        <v>723</v>
      </c>
      <c r="B9818" s="0" t="s">
        <v>340</v>
      </c>
      <c r="C9818" s="27" t="n">
        <f aca="false">Sens!C9816-Sens!C9817</f>
        <v>490</v>
      </c>
      <c r="D9818" s="27" t="n">
        <f aca="false">Sens!D9816-Sens!D9817</f>
        <v>1230</v>
      </c>
      <c r="E9818" s="27" t="n">
        <f aca="false">Sens!E9816-Sens!E9817</f>
        <v>2700</v>
      </c>
      <c r="F9818" s="27" t="n">
        <f aca="false">Sens!F9816-Sens!F9817</f>
        <v>5021.2</v>
      </c>
      <c r="G9818" s="27" t="n">
        <f aca="false">Sens!G9816-Sens!G9817</f>
        <v>7548.4</v>
      </c>
      <c r="H9818" s="27" t="n">
        <f aca="false">Sens!H9816-Sens!H9817</f>
        <v>10075.6</v>
      </c>
      <c r="I9818" s="27" t="n">
        <f aca="false">Sens!I9816-Sens!I9817</f>
        <v>12602.8</v>
      </c>
      <c r="J9818" s="27" t="n">
        <f aca="false">Sens!J9816-Sens!J9817</f>
        <v>15130</v>
      </c>
      <c r="K9818" s="27" t="n">
        <f aca="false">Sens!K9816-Sens!K9817</f>
        <v>17657.2</v>
      </c>
    </row>
    <row r="9819" customFormat="false" ht="17.15" hidden="false" customHeight="false" outlineLevel="0" collapsed="false">
      <c r="A9819" s="1" t="s">
        <v>724</v>
      </c>
      <c r="B9819" s="0" t="s">
        <v>340</v>
      </c>
      <c r="C9819" s="27" t="n">
        <f aca="false">Sens!C9818/ext_sh</f>
        <v>816.666666666667</v>
      </c>
      <c r="D9819" s="27" t="n">
        <f aca="false">Sens!D9818/ext_sh</f>
        <v>2050</v>
      </c>
      <c r="E9819" s="27" t="n">
        <f aca="false">Sens!E9818/ext_sh</f>
        <v>4500</v>
      </c>
      <c r="F9819" s="27" t="n">
        <f aca="false">Sens!F9818/ext_sh</f>
        <v>8368.66666666667</v>
      </c>
      <c r="G9819" s="27" t="n">
        <f aca="false">Sens!G9818/ext_sh</f>
        <v>12580.6666666667</v>
      </c>
      <c r="H9819" s="27" t="n">
        <f aca="false">Sens!H9818/ext_sh</f>
        <v>16792.6666666667</v>
      </c>
      <c r="I9819" s="27" t="n">
        <f aca="false">Sens!I9818/ext_sh</f>
        <v>21004.6666666667</v>
      </c>
      <c r="J9819" s="27" t="n">
        <f aca="false">Sens!J9818/ext_sh</f>
        <v>25216.6666666667</v>
      </c>
      <c r="K9819" s="27" t="n">
        <f aca="false">Sens!K9818/ext_sh</f>
        <v>29428.6666666667</v>
      </c>
      <c r="L9819" s="1" t="s">
        <v>725</v>
      </c>
    </row>
    <row r="9820" customFormat="false" ht="17.15" hidden="false" customHeight="false" outlineLevel="0" collapsed="false">
      <c r="A9820" s="1" t="s">
        <v>726</v>
      </c>
      <c r="B9820" s="0" t="s">
        <v>340</v>
      </c>
      <c r="C9820" s="27" t="n">
        <f aca="false">Sens!C9819-Sens!C9818</f>
        <v>326.666666666667</v>
      </c>
      <c r="D9820" s="27" t="n">
        <f aca="false">Sens!D9819-Sens!D9818</f>
        <v>820</v>
      </c>
      <c r="E9820" s="27" t="n">
        <f aca="false">Sens!E9819-Sens!E9818</f>
        <v>1800</v>
      </c>
      <c r="F9820" s="27" t="n">
        <f aca="false">Sens!F9819-Sens!F9818</f>
        <v>3347.46666666667</v>
      </c>
      <c r="G9820" s="27" t="n">
        <f aca="false">Sens!G9819-Sens!G9818</f>
        <v>5032.26666666667</v>
      </c>
      <c r="H9820" s="27" t="n">
        <f aca="false">Sens!H9819-Sens!H9818</f>
        <v>6717.06666666667</v>
      </c>
      <c r="I9820" s="27" t="n">
        <f aca="false">Sens!I9819-Sens!I9818</f>
        <v>8401.86666666667</v>
      </c>
      <c r="J9820" s="27" t="n">
        <f aca="false">Sens!J9819-Sens!J9818</f>
        <v>10086.6666666667</v>
      </c>
      <c r="K9820" s="27" t="n">
        <f aca="false">Sens!K9819-Sens!K9818</f>
        <v>11771.4666666667</v>
      </c>
    </row>
    <row r="9821" customFormat="false" ht="17.15" hidden="false" customHeight="false" outlineLevel="0" collapsed="false">
      <c r="A9821" s="1" t="s">
        <v>727</v>
      </c>
      <c r="B9821" s="0" t="s">
        <v>340</v>
      </c>
      <c r="C9821" s="27" t="n">
        <f aca="false">Sens!C9819</f>
        <v>816.666666666667</v>
      </c>
      <c r="D9821" s="27" t="n">
        <f aca="false">Sens!D9819-Sens!C9819</f>
        <v>1233.33333333333</v>
      </c>
      <c r="E9821" s="27" t="n">
        <f aca="false">Sens!E9819-Sens!D9819</f>
        <v>2450</v>
      </c>
      <c r="F9821" s="27" t="n">
        <f aca="false">Sens!F9819-Sens!E9819</f>
        <v>3868.66666666667</v>
      </c>
      <c r="G9821" s="27" t="n">
        <f aca="false">Sens!G9819-Sens!F9819</f>
        <v>4212</v>
      </c>
      <c r="H9821" s="27" t="n">
        <f aca="false">Sens!H9819-Sens!G9819</f>
        <v>4212</v>
      </c>
      <c r="I9821" s="27" t="n">
        <f aca="false">Sens!I9819-Sens!H9819</f>
        <v>4212</v>
      </c>
      <c r="J9821" s="27" t="n">
        <f aca="false">Sens!J9819-Sens!I9819</f>
        <v>4212</v>
      </c>
      <c r="K9821" s="27" t="n">
        <f aca="false">Sens!K9819-Sens!J9819</f>
        <v>4212</v>
      </c>
    </row>
    <row r="9822" customFormat="false" ht="17.15" hidden="false" customHeight="false" outlineLevel="0" collapsed="false">
      <c r="A9822" s="1" t="s">
        <v>728</v>
      </c>
      <c r="B9822" s="0" t="s">
        <v>340</v>
      </c>
      <c r="D9822" s="27" t="n">
        <f aca="false">Sens!D9816-Sens!C9816</f>
        <v>990</v>
      </c>
      <c r="E9822" s="27" t="n">
        <f aca="false">Sens!E9816-Sens!D9816</f>
        <v>1620</v>
      </c>
      <c r="F9822" s="27" t="n">
        <f aca="false">Sens!F9816-Sens!E9816</f>
        <v>2527.2</v>
      </c>
      <c r="G9822" s="27" t="n">
        <f aca="false">Sens!G9816-Sens!F9816</f>
        <v>2527.2</v>
      </c>
      <c r="H9822" s="27" t="n">
        <f aca="false">Sens!H9816-Sens!G9816</f>
        <v>2527.2</v>
      </c>
      <c r="I9822" s="27" t="n">
        <f aca="false">Sens!I9816-Sens!H9816</f>
        <v>2527.2</v>
      </c>
      <c r="J9822" s="27" t="n">
        <f aca="false">Sens!J9816-Sens!I9816</f>
        <v>2527.2</v>
      </c>
      <c r="K9822" s="27" t="n">
        <f aca="false">Sens!K9816-Sens!J9816</f>
        <v>2527.2</v>
      </c>
    </row>
    <row r="9823" customFormat="false" ht="17.15" hidden="false" customHeight="false" outlineLevel="0" collapsed="false">
      <c r="A9823" s="1" t="s">
        <v>729</v>
      </c>
      <c r="B9823" s="0" t="s">
        <v>340</v>
      </c>
      <c r="C9823" s="27" t="n">
        <f aca="false">mix_h*Sens!C9816</f>
        <v>128</v>
      </c>
      <c r="D9823" s="27" t="n">
        <f aca="false">mix_h*Sens!D9816</f>
        <v>326</v>
      </c>
      <c r="E9823" s="27" t="n">
        <f aca="false">mix_h*Sens!E9816</f>
        <v>650</v>
      </c>
      <c r="F9823" s="27" t="n">
        <f aca="false">Sens!E9823</f>
        <v>650</v>
      </c>
      <c r="G9823" s="27" t="n">
        <f aca="false">Sens!F9823</f>
        <v>650</v>
      </c>
      <c r="H9823" s="27" t="n">
        <f aca="false">Sens!G9823</f>
        <v>650</v>
      </c>
      <c r="I9823" s="27" t="n">
        <f aca="false">Sens!H9823</f>
        <v>650</v>
      </c>
      <c r="J9823" s="27" t="n">
        <f aca="false">Sens!I9823</f>
        <v>650</v>
      </c>
      <c r="K9823" s="27" t="n">
        <f aca="false">Sens!J9823</f>
        <v>650</v>
      </c>
    </row>
    <row r="9824" customFormat="false" ht="17.15" hidden="false" customHeight="false" outlineLevel="0" collapsed="false">
      <c r="A9824" s="1" t="s">
        <v>730</v>
      </c>
      <c r="B9824" s="0" t="s">
        <v>340</v>
      </c>
      <c r="C9824" s="27" t="n">
        <f aca="false">mix_g2*Sens!C9816</f>
        <v>288</v>
      </c>
      <c r="D9824" s="27" t="n">
        <f aca="false">mix_g2*Sens!D9816</f>
        <v>733.5</v>
      </c>
      <c r="E9824" s="27" t="n">
        <f aca="false">mix_g2*Sens!E9816</f>
        <v>1462.5</v>
      </c>
      <c r="F9824" s="27" t="n">
        <f aca="false">Sens!E9824</f>
        <v>1462.5</v>
      </c>
      <c r="G9824" s="27" t="n">
        <f aca="false">Sens!F9824</f>
        <v>1462.5</v>
      </c>
      <c r="H9824" s="27" t="n">
        <f aca="false">Sens!G9824</f>
        <v>1462.5</v>
      </c>
      <c r="I9824" s="27" t="n">
        <f aca="false">Sens!H9824</f>
        <v>1462.5</v>
      </c>
      <c r="J9824" s="27" t="n">
        <f aca="false">Sens!I9824</f>
        <v>1462.5</v>
      </c>
      <c r="K9824" s="27" t="n">
        <f aca="false">Sens!J9824</f>
        <v>1462.5</v>
      </c>
    </row>
    <row r="9825" customFormat="false" ht="17.15" hidden="false" customHeight="false" outlineLevel="0" collapsed="false">
      <c r="A9825" s="1" t="s">
        <v>731</v>
      </c>
      <c r="B9825" s="0" t="s">
        <v>340</v>
      </c>
      <c r="C9825" s="27" t="n">
        <f aca="false">mix_g3*Sens!C9816</f>
        <v>224</v>
      </c>
      <c r="D9825" s="27" t="n">
        <f aca="false">mix_g3*Sens!D9816</f>
        <v>570.5</v>
      </c>
      <c r="E9825" s="27" t="n">
        <f aca="false">mix_g3*Sens!E9816</f>
        <v>1137.5</v>
      </c>
      <c r="F9825" s="27" t="n">
        <f aca="false">Sens!E9825+Sens!F9822*a_g3_27</f>
        <v>2906.54</v>
      </c>
      <c r="G9825" s="27" t="n">
        <f aca="false">Sens!F9825+Sens!G9822*a_g3_28</f>
        <v>3664.7</v>
      </c>
      <c r="H9825" s="27" t="n">
        <f aca="false">Sens!G9825+Sens!H9822*a_g3_29</f>
        <v>3917.42</v>
      </c>
      <c r="I9825" s="27" t="n">
        <f aca="false">Sens!H9825+Sens!I9822*a_g3_29</f>
        <v>4170.14</v>
      </c>
      <c r="J9825" s="27" t="n">
        <f aca="false">Sens!I9825+Sens!J9822*a_g3_29</f>
        <v>4422.86</v>
      </c>
      <c r="K9825" s="27" t="n">
        <f aca="false">Sens!J9825+Sens!K9822*a_g3_29</f>
        <v>4675.58</v>
      </c>
    </row>
    <row r="9826" customFormat="false" ht="17.15" hidden="false" customHeight="false" outlineLevel="0" collapsed="false">
      <c r="A9826" s="1" t="s">
        <v>732</v>
      </c>
      <c r="B9826" s="0" t="s">
        <v>340</v>
      </c>
      <c r="C9826" s="27" t="n">
        <f aca="false">0</f>
        <v>0</v>
      </c>
      <c r="D9826" s="27" t="n">
        <f aca="false">0</f>
        <v>0</v>
      </c>
      <c r="E9826" s="27" t="n">
        <f aca="false">0</f>
        <v>0</v>
      </c>
      <c r="F9826" s="27" t="n">
        <f aca="false">Sens!E9826+Sens!F9822*(1-a_g3_27)</f>
        <v>758.16</v>
      </c>
      <c r="G9826" s="27" t="n">
        <f aca="false">Sens!F9826+Sens!G9822*(1-a_g3_28)</f>
        <v>2527.2</v>
      </c>
      <c r="H9826" s="27" t="n">
        <f aca="false">Sens!G9826+Sens!H9822*(1-a_g3_29)</f>
        <v>4801.68</v>
      </c>
      <c r="I9826" s="27" t="n">
        <f aca="false">Sens!H9826+Sens!I9822*(1-a_g3_29)</f>
        <v>7076.16</v>
      </c>
      <c r="J9826" s="27" t="n">
        <f aca="false">Sens!I9826+Sens!J9822*(1-a_g3_29)</f>
        <v>9350.64</v>
      </c>
      <c r="K9826" s="27" t="n">
        <f aca="false">Sens!J9826+Sens!K9822*(1-a_g3_29)</f>
        <v>11625.12</v>
      </c>
    </row>
    <row r="9827" customFormat="false" ht="17.15" hidden="false" customHeight="false" outlineLevel="0" collapsed="false">
      <c r="A9827" s="1" t="s">
        <v>733</v>
      </c>
      <c r="B9827" s="0" t="s">
        <v>291</v>
      </c>
      <c r="C9827" s="18" t="n">
        <f aca="false">(Sens!C9823*tk_hold_h100+Sens!C9824*tk_hold_gb200+Sens!C9825*tk_hold_gb300+Sens!C9826*tk_hold_vr200)/Sens!C9816</f>
        <v>9.7235358126469</v>
      </c>
      <c r="D9827" s="18" t="n">
        <f aca="false">(Sens!D9823*tk_hold_h100+Sens!D9824*tk_hold_gb200+Sens!D9825*tk_hold_gb300+Sens!D9826*tk_hold_vr200)/Sens!D9816</f>
        <v>9.7235358126469</v>
      </c>
      <c r="E9827" s="18" t="n">
        <f aca="false">(Sens!E9823*tk_hold_h100+Sens!E9824*tk_hold_gb200+Sens!E9825*tk_hold_gb300+Sens!E9826*tk_hold_vr200)/Sens!E9816</f>
        <v>9.7235358126469</v>
      </c>
      <c r="F9827" s="18" t="n">
        <f aca="false">(Sens!F9823*tk_hold_h100+Sens!F9824*tk_hold_gb200+Sens!F9825*tk_hold_gb300+Sens!F9826*tk_hold_vr200)/Sens!F9816</f>
        <v>10.4079573161931</v>
      </c>
      <c r="G9827" s="18" t="n">
        <f aca="false">(Sens!G9823*tk_hold_h100+Sens!G9824*tk_hold_gb200+Sens!G9825*tk_hold_gb300+Sens!G9826*tk_hold_vr200)/Sens!G9816</f>
        <v>10.8388131109316</v>
      </c>
      <c r="H9827" s="18" t="n">
        <f aca="false">(Sens!H9823*tk_hold_h100+Sens!H9824*tk_hold_gb200+Sens!H9825*tk_hold_gb300+Sens!H9826*tk_hold_vr200)/Sens!H9816</f>
        <v>11.1311018388216</v>
      </c>
      <c r="I9827" s="18" t="n">
        <f aca="false">(Sens!I9823*tk_hold_h100+Sens!I9824*tk_hold_gb200+Sens!I9825*tk_hold_gb300+Sens!I9826*tk_hold_vr200)/Sens!I9816</f>
        <v>11.3128009818501</v>
      </c>
      <c r="J9827" s="18" t="n">
        <f aca="false">(Sens!J9823*tk_hold_h100+Sens!J9824*tk_hold_gb200+Sens!J9825*tk_hold_gb300+Sens!J9826*tk_hold_vr200)/Sens!J9816</f>
        <v>11.4366894646418</v>
      </c>
      <c r="K9827" s="18" t="n">
        <f aca="false">(Sens!K9823*tk_hold_h100+Sens!K9824*tk_hold_gb200+Sens!K9825*tk_hold_gb300+Sens!K9826*tk_hold_vr200)/Sens!K9816</f>
        <v>11.526570716348</v>
      </c>
    </row>
    <row r="9828" customFormat="false" ht="17.15" hidden="false" customHeight="false" outlineLevel="0" collapsed="false">
      <c r="A9828" s="0" t="s">
        <v>734</v>
      </c>
      <c r="B9828" s="0" t="s">
        <v>182</v>
      </c>
      <c r="C9828" s="18" t="n">
        <f aca="false">k_B</f>
        <v>1.17213932619116</v>
      </c>
      <c r="D9828" s="18" t="n">
        <f aca="false">k_B</f>
        <v>1.17213932619116</v>
      </c>
      <c r="E9828" s="18" t="n">
        <f aca="false">k_B</f>
        <v>1.17213932619116</v>
      </c>
      <c r="F9828" s="18" t="n">
        <f aca="false">(k_B+((ls_C*k_long+(1-ls_C)*k_spot)-k_B)*MIN(1,1/3))*1</f>
        <v>1.07843258004497</v>
      </c>
      <c r="G9828" s="18" t="n">
        <f aca="false">(k_B+((ls_C*k_long+(1-ls_C)*k_spot)-k_B)*MIN(1,2/3))*1</f>
        <v>0.984725833898784</v>
      </c>
      <c r="H9828" s="18" t="n">
        <f aca="false">(k_B+((ls_C*k_long+(1-ls_C)*k_spot)-k_B)*MIN(1,3/3))*1</f>
        <v>0.891019087752599</v>
      </c>
      <c r="I9828" s="18" t="n">
        <f aca="false">(k_B+((ls_C*k_long+(1-ls_C)*k_spot)-k_B)*MIN(1,4/3))*1</f>
        <v>0.891019087752599</v>
      </c>
      <c r="J9828" s="18" t="n">
        <f aca="false">(k_B+((ls_C*k_long+(1-ls_C)*k_spot)-k_B)*MIN(1,5/3))*1</f>
        <v>0.891019087752599</v>
      </c>
      <c r="K9828" s="18" t="n">
        <f aca="false">(k_B+((ls_C*k_long+(1-ls_C)*k_spot)-k_B)*MIN(1,6/3))*1</f>
        <v>0.891019087752599</v>
      </c>
      <c r="L9828" s="1" t="s">
        <v>735</v>
      </c>
    </row>
    <row r="9829" customFormat="false" ht="17.15" hidden="false" customHeight="false" outlineLevel="0" collapsed="false">
      <c r="A9829" s="1" t="s">
        <v>736</v>
      </c>
      <c r="B9829" s="0" t="s">
        <v>291</v>
      </c>
      <c r="C9829" s="18" t="n">
        <f aca="false">Sens!C9827*Sens!C9828*chip_f</f>
        <v>11.3973387156315</v>
      </c>
      <c r="D9829" s="18" t="n">
        <f aca="false">Sens!D9827*Sens!D9828*chip_f</f>
        <v>11.3973387156315</v>
      </c>
      <c r="E9829" s="18" t="n">
        <f aca="false">Sens!E9827*Sens!E9828*chip_f</f>
        <v>11.3973387156315</v>
      </c>
      <c r="F9829" s="18" t="n">
        <f aca="false">Sens!F9827*Sens!F9828*chip_f</f>
        <v>11.2242802615</v>
      </c>
      <c r="G9829" s="18" t="n">
        <f aca="false">Sens!G9827*Sens!G9828*chip_f</f>
        <v>10.6732592791352</v>
      </c>
      <c r="H9829" s="18" t="n">
        <f aca="false">Sens!H9827*Sens!H9828*chip_f</f>
        <v>9.91802420610807</v>
      </c>
      <c r="I9829" s="18" t="n">
        <f aca="false">Sens!I9827*Sens!I9828*chip_f</f>
        <v>10.0799216107748</v>
      </c>
      <c r="J9829" s="18" t="n">
        <f aca="false">Sens!J9827*Sens!J9828*chip_f</f>
        <v>10.1903086136949</v>
      </c>
      <c r="K9829" s="18" t="n">
        <f aca="false">Sens!K9827*Sens!K9828*chip_f</f>
        <v>10.2703945245962</v>
      </c>
      <c r="L9829" s="1" t="s">
        <v>737</v>
      </c>
    </row>
    <row r="9830" customFormat="false" ht="17.15" hidden="false" customHeight="false" outlineLevel="0" collapsed="false">
      <c r="A9830" s="0" t="s">
        <v>738</v>
      </c>
      <c r="B9830" s="0" t="s">
        <v>95</v>
      </c>
      <c r="D9830" s="6" t="n">
        <f aca="false">(Sens!C9816+Sens!D9816)/2*Sens!D9829/1000</f>
        <v>12.9359794422418</v>
      </c>
      <c r="E9830" s="6" t="n">
        <f aca="false">(Sens!D9816+Sens!E9816)/2*Sens!E9829/1000</f>
        <v>27.8095064661409</v>
      </c>
      <c r="F9830" s="6" t="n">
        <f aca="false">(Sens!E9816+Sens!F9816)/2*Sens!F9829/1000</f>
        <v>50.6619113883066</v>
      </c>
      <c r="G9830" s="6" t="n">
        <f aca="false">(Sens!F9816+Sens!G9816)/2*Sens!G9829/1000</f>
        <v>75.1482839325348</v>
      </c>
      <c r="H9830" s="6" t="n">
        <f aca="false">(Sens!G9816+Sens!H9816)/2*Sens!H9829/1000</f>
        <v>94.895655604042</v>
      </c>
      <c r="I9830" s="6" t="n">
        <f aca="false">(Sens!H9816+Sens!I9816)/2*Sens!I9829/1000</f>
        <v>121.918667866643</v>
      </c>
      <c r="J9830" s="6" t="n">
        <f aca="false">(Sens!I9816+Sens!J9816)/2*Sens!J9829/1000</f>
        <v>149.006768672892</v>
      </c>
      <c r="K9830" s="6" t="n">
        <f aca="false">(Sens!J9816+Sens!K9816)/2*Sens!K9829/1000</f>
        <v>176.133157939015</v>
      </c>
      <c r="L9830" s="11" t="s">
        <v>739</v>
      </c>
    </row>
    <row r="9831" customFormat="false" ht="17.15" hidden="false" customHeight="false" outlineLevel="0" collapsed="false">
      <c r="A9831" s="1" t="s">
        <v>740</v>
      </c>
      <c r="B9831" s="0" t="s">
        <v>291</v>
      </c>
      <c r="C9831" s="18" t="n">
        <f aca="false">(Sens!C9823*tk_opex_h100+Sens!C9824*tk_opex_gb200+Sens!C9825*tk_opex_gb300+Sens!C9826*tk_opex_vr200)/Sens!C9816</f>
        <v>1.88636041306092</v>
      </c>
      <c r="D9831" s="18" t="n">
        <f aca="false">(Sens!D9823*tk_opex_h100+Sens!D9824*tk_opex_gb200+Sens!D9825*tk_opex_gb300+Sens!D9826*tk_opex_vr200)/Sens!D9816</f>
        <v>1.88636041306092</v>
      </c>
      <c r="E9831" s="18" t="n">
        <f aca="false">(Sens!E9823*tk_opex_h100+Sens!E9824*tk_opex_gb200+Sens!E9825*tk_opex_gb300+Sens!E9826*tk_opex_vr200)/Sens!E9816</f>
        <v>1.88636041306092</v>
      </c>
      <c r="F9831" s="18" t="n">
        <f aca="false">(Sens!F9823*tk_opex_h100+Sens!F9824*tk_opex_gb200+Sens!F9825*tk_opex_gb300+Sens!F9826*tk_opex_vr200)/Sens!F9816</f>
        <v>1.9430236476499</v>
      </c>
      <c r="G9831" s="18" t="n">
        <f aca="false">(Sens!G9823*tk_opex_h100+Sens!G9824*tk_opex_gb200+Sens!G9825*tk_opex_gb300+Sens!G9826*tk_opex_vr200)/Sens!G9816</f>
        <v>1.9786941852423</v>
      </c>
      <c r="H9831" s="18" t="n">
        <f aca="false">(Sens!H9823*tk_opex_h100+Sens!H9824*tk_opex_gb200+Sens!H9825*tk_opex_gb300+Sens!H9826*tk_opex_vr200)/Sens!H9816</f>
        <v>2.00289275976156</v>
      </c>
      <c r="I9831" s="18" t="n">
        <f aca="false">(Sens!I9823*tk_opex_h100+Sens!I9824*tk_opex_gb200+Sens!I9825*tk_opex_gb300+Sens!I9826*tk_opex_vr200)/Sens!I9816</f>
        <v>2.01793562605478</v>
      </c>
      <c r="J9831" s="18" t="n">
        <f aca="false">(Sens!J9823*tk_opex_h100+Sens!J9824*tk_opex_gb200+Sens!J9825*tk_opex_gb300+Sens!J9826*tk_opex_vr200)/Sens!J9816</f>
        <v>2.02819234961902</v>
      </c>
      <c r="K9831" s="18" t="n">
        <f aca="false">(Sens!K9823*tk_opex_h100+Sens!K9824*tk_opex_gb200+Sens!K9825*tk_opex_gb300+Sens!K9826*tk_opex_vr200)/Sens!K9816</f>
        <v>2.0356336155994</v>
      </c>
    </row>
    <row r="9832" customFormat="false" ht="17.15" hidden="false" customHeight="false" outlineLevel="0" collapsed="false">
      <c r="A9832" s="0" t="s">
        <v>741</v>
      </c>
      <c r="B9832" s="0" t="s">
        <v>95</v>
      </c>
      <c r="D9832" s="6" t="n">
        <f aca="false">(Sens!C9819+Sens!D9819)/2*Sens!D9831/1000</f>
        <v>2.70378325872065</v>
      </c>
      <c r="E9832" s="6" t="n">
        <f aca="false">(Sens!D9819+Sens!E9819)/2*Sens!E9831/1000</f>
        <v>6.17783035277451</v>
      </c>
      <c r="F9832" s="6" t="n">
        <f aca="false">(Sens!E9819+Sens!F9819)/2*Sens!F9831/1000</f>
        <v>12.5020618235287</v>
      </c>
      <c r="G9832" s="6" t="n">
        <f aca="false">(Sens!F9819+Sens!G9819)/2*Sens!G9831/1000</f>
        <v>20.7261620256847</v>
      </c>
      <c r="H9832" s="6" t="n">
        <f aca="false">(Sens!G9819+Sens!H9819)/2*Sens!H9831/1000</f>
        <v>29.4158183316982</v>
      </c>
      <c r="I9832" s="6" t="n">
        <f aca="false">(Sens!H9819+Sens!I9819)/2*Sens!I9831/1000</f>
        <v>38.1362927516005</v>
      </c>
      <c r="J9832" s="6" t="n">
        <f aca="false">(Sens!I9819+Sens!J9819)/2*Sens!J9831/1000</f>
        <v>46.8728773279286</v>
      </c>
      <c r="K9832" s="6" t="n">
        <f aca="false">(Sens!J9819+Sens!K9819)/2*Sens!K9831/1000</f>
        <v>55.618938734484</v>
      </c>
    </row>
    <row r="9833" customFormat="false" ht="17.15" hidden="false" customHeight="false" outlineLevel="0" collapsed="false">
      <c r="A9833" s="0" t="s">
        <v>742</v>
      </c>
      <c r="B9833" s="0" t="s">
        <v>95</v>
      </c>
      <c r="D9833" s="6" t="n">
        <f aca="false">(Sens!C9817+Sens!D9817)/2*rent_mw/1000</f>
        <v>2.44475</v>
      </c>
      <c r="E9833" s="6" t="n">
        <f aca="false">(Sens!D9817+Sens!E9817)/2*rent_mw/1000</f>
        <v>4.22275</v>
      </c>
      <c r="F9833" s="6" t="n">
        <f aca="false">(Sens!E9817+Sens!F9817)/2*rent_mw/1000</f>
        <v>5.80517</v>
      </c>
      <c r="G9833" s="6" t="n">
        <f aca="false">(Sens!F9817+Sens!G9817)/2*rent_mw/1000</f>
        <v>6.72084</v>
      </c>
      <c r="H9833" s="6" t="n">
        <f aca="false">(Sens!G9817+Sens!H9817)/2*rent_mw/1000</f>
        <v>6.72084</v>
      </c>
      <c r="I9833" s="6" t="n">
        <f aca="false">(Sens!H9817+Sens!I9817)/2*rent_mw/1000</f>
        <v>6.72084</v>
      </c>
      <c r="J9833" s="6" t="n">
        <f aca="false">(Sens!I9817+Sens!J9817)/2*rent_mw/1000</f>
        <v>6.72084</v>
      </c>
      <c r="K9833" s="6" t="n">
        <f aca="false">(Sens!J9817+Sens!K9817)/2*rent_mw/1000</f>
        <v>6.72084</v>
      </c>
    </row>
    <row r="9834" customFormat="false" ht="17.15" hidden="false" customHeight="false" outlineLevel="0" collapsed="false">
      <c r="A9834" s="0" t="s">
        <v>743</v>
      </c>
      <c r="B9834" s="0" t="s">
        <v>95</v>
      </c>
      <c r="D9834" s="6" t="n">
        <f aca="false">(Sens!C9819+Sens!D9819)/2*(1-self_build)*fac_rent/1000</f>
        <v>0.853242375631075</v>
      </c>
      <c r="E9834" s="6" t="n">
        <f aca="false">(Sens!D9819+Sens!E9819)/2*(1-self_build)*fac_rent/1000</f>
        <v>1.94955961408728</v>
      </c>
      <c r="F9834" s="6" t="n">
        <f aca="false">(Sens!E9819+Sens!F9819)/2*(1-self_build)*fac_rent/1000</f>
        <v>3.83026455274573</v>
      </c>
      <c r="G9834" s="6" t="n">
        <f aca="false">(Sens!F9819+Sens!G9819)/2*(1-self_build)*fac_rent/1000</f>
        <v>6.23541590972812</v>
      </c>
      <c r="H9834" s="6" t="n">
        <f aca="false">(Sens!G9819+Sens!H9819)/2*(1-self_build)*fac_rent/1000</f>
        <v>8.74275792332679</v>
      </c>
      <c r="I9834" s="6" t="n">
        <f aca="false">(Sens!H9819+Sens!I9819)/2*(1-self_build)*fac_rent/1000</f>
        <v>11.2500999369255</v>
      </c>
      <c r="J9834" s="6" t="n">
        <f aca="false">(Sens!I9819+Sens!J9819)/2*(1-self_build)*fac_rent/1000</f>
        <v>13.7574419505241</v>
      </c>
      <c r="K9834" s="6" t="n">
        <f aca="false">(Sens!J9819+Sens!K9819)/2*(1-self_build)*fac_rent/1000</f>
        <v>16.2647839641228</v>
      </c>
      <c r="L9834" s="11" t="s">
        <v>744</v>
      </c>
    </row>
    <row r="9835" customFormat="false" ht="17.15" hidden="false" customHeight="false" outlineLevel="0" collapsed="false">
      <c r="A9835" s="1" t="s">
        <v>745</v>
      </c>
      <c r="B9835" s="0" t="s">
        <v>126</v>
      </c>
      <c r="D9835" s="7" t="n">
        <f aca="false">(Sens!C9818+Sens!D9818)/(Sens!C9819+Sens!D9819)</f>
        <v>0.6</v>
      </c>
      <c r="E9835" s="7" t="n">
        <f aca="false">(Sens!D9818+Sens!E9818)/(Sens!D9819+Sens!E9819)</f>
        <v>0.6</v>
      </c>
      <c r="F9835" s="7" t="n">
        <f aca="false">(Sens!E9818+Sens!F9818)/(Sens!E9819+Sens!F9819)</f>
        <v>0.6</v>
      </c>
      <c r="G9835" s="7" t="n">
        <f aca="false">(Sens!F9818+Sens!G9818)/(Sens!F9819+Sens!G9819)</f>
        <v>0.6</v>
      </c>
      <c r="H9835" s="7" t="n">
        <f aca="false">(Sens!G9818+Sens!H9818)/(Sens!G9819+Sens!H9819)</f>
        <v>0.6</v>
      </c>
      <c r="I9835" s="7" t="n">
        <f aca="false">(Sens!H9818+Sens!I9818)/(Sens!H9819+Sens!I9819)</f>
        <v>0.6</v>
      </c>
      <c r="J9835" s="7" t="n">
        <f aca="false">(Sens!I9818+Sens!J9818)/(Sens!I9819+Sens!J9819)</f>
        <v>0.6</v>
      </c>
      <c r="K9835" s="7" t="n">
        <f aca="false">(Sens!J9818+Sens!K9818)/(Sens!J9819+Sens!K9819)</f>
        <v>0.6</v>
      </c>
    </row>
    <row r="9836" customFormat="false" ht="17.15" hidden="false" customHeight="false" outlineLevel="0" collapsed="false">
      <c r="A9836" s="0" t="s">
        <v>746</v>
      </c>
      <c r="B9836" s="0" t="s">
        <v>95</v>
      </c>
      <c r="D9836" s="6" t="n">
        <f aca="false">Sens!D9830-Sens!D9835*(Sens!D9832+Sens!D9834)-Sens!D9833</f>
        <v>8.35701406163072</v>
      </c>
      <c r="E9836" s="6" t="n">
        <f aca="false">Sens!E9830-Sens!E9835*(Sens!E9832+Sens!E9834)-Sens!E9833</f>
        <v>18.7103224860238</v>
      </c>
      <c r="F9836" s="6" t="n">
        <f aca="false">Sens!F9830-Sens!F9835*(Sens!F9832+Sens!F9834)-Sens!F9833</f>
        <v>35.0573455625419</v>
      </c>
      <c r="G9836" s="6" t="n">
        <f aca="false">Sens!G9830-Sens!G9835*(Sens!G9832+Sens!G9834)-Sens!G9833</f>
        <v>52.2504971712871</v>
      </c>
      <c r="H9836" s="6" t="n">
        <f aca="false">Sens!H9830-Sens!H9835*(Sens!H9832+Sens!H9834)-Sens!H9833</f>
        <v>65.2796698510271</v>
      </c>
      <c r="I9836" s="6" t="n">
        <f aca="false">Sens!I9830-Sens!I9835*(Sens!I9832+Sens!I9834)-Sens!I9833</f>
        <v>85.5659922535278</v>
      </c>
      <c r="J9836" s="6" t="n">
        <f aca="false">Sens!J9830-Sens!J9835*(Sens!J9832+Sens!J9834)-Sens!J9833</f>
        <v>105.90773710582</v>
      </c>
      <c r="K9836" s="6" t="n">
        <f aca="false">Sens!K9830-Sens!K9835*(Sens!K9832+Sens!K9834)-Sens!K9833</f>
        <v>126.282084319851</v>
      </c>
    </row>
    <row r="9837" customFormat="false" ht="17.15" hidden="false" customHeight="false" outlineLevel="0" collapsed="false">
      <c r="A9837" s="1" t="s">
        <v>747</v>
      </c>
      <c r="B9837" s="0" t="s">
        <v>95</v>
      </c>
      <c r="D9837" s="6" t="n">
        <f aca="false">(1-Sens!D9835)*(Sens!D9832+Sens!D9834)</f>
        <v>1.42281025374069</v>
      </c>
      <c r="E9837" s="6" t="n">
        <f aca="false">(1-Sens!E9835)*(Sens!E9832+Sens!E9834)</f>
        <v>3.25095598674472</v>
      </c>
      <c r="F9837" s="6" t="n">
        <f aca="false">(1-Sens!F9835)*(Sens!F9832+Sens!F9834)</f>
        <v>6.53293055050977</v>
      </c>
      <c r="G9837" s="6" t="n">
        <f aca="false">(1-Sens!G9835)*(Sens!G9832+Sens!G9834)</f>
        <v>10.7846311741651</v>
      </c>
      <c r="H9837" s="6" t="n">
        <f aca="false">(1-Sens!H9835)*(Sens!H9832+Sens!H9834)</f>
        <v>15.26343050201</v>
      </c>
      <c r="I9837" s="6" t="n">
        <f aca="false">(1-Sens!I9835)*(Sens!I9832+Sens!I9834)</f>
        <v>19.7545570754104</v>
      </c>
      <c r="J9837" s="6" t="n">
        <f aca="false">(1-Sens!J9835)*(Sens!J9832+Sens!J9834)</f>
        <v>24.2521277113811</v>
      </c>
      <c r="K9837" s="6" t="n">
        <f aca="false">(1-Sens!K9835)*(Sens!K9832+Sens!K9834)</f>
        <v>28.7534890794427</v>
      </c>
    </row>
    <row r="9838" customFormat="false" ht="17.15" hidden="false" customHeight="false" outlineLevel="0" collapsed="false">
      <c r="A9838" s="1" t="s">
        <v>748</v>
      </c>
      <c r="B9838" s="0" t="s">
        <v>302</v>
      </c>
      <c r="C9838" s="8" t="n">
        <f aca="false">cxit_open</f>
        <v>27.5918995</v>
      </c>
      <c r="D9838" s="8" t="n">
        <f aca="false">cxit_open</f>
        <v>27.5918995</v>
      </c>
      <c r="E9838" s="8" t="n">
        <f aca="false">cxit_open</f>
        <v>27.5918995</v>
      </c>
      <c r="F9838" s="8" t="n">
        <f aca="false">(a_g3_27*tk_cxit_gb300+(1-a_g3_27)*tk_cxit_vr200)</f>
        <v>33.8419624</v>
      </c>
      <c r="G9838" s="8" t="n">
        <f aca="false">(a_g3_28*tk_cxit_gb300+(1-a_g3_28)*tk_cxit_vr200)</f>
        <v>35.9816136</v>
      </c>
      <c r="H9838" s="8" t="n">
        <f aca="false">(a_g3_29*tk_cxit_gb300+(1-a_g3_29)*tk_cxit_vr200)</f>
        <v>37.0514392</v>
      </c>
      <c r="I9838" s="8" t="n">
        <f aca="false">(a_g3_29*tk_cxit_gb300+(1-a_g3_29)*tk_cxit_vr200)</f>
        <v>37.0514392</v>
      </c>
      <c r="J9838" s="8" t="n">
        <f aca="false">(a_g3_29*tk_cxit_gb300+(1-a_g3_29)*tk_cxit_vr200)</f>
        <v>37.0514392</v>
      </c>
      <c r="K9838" s="8" t="n">
        <f aca="false">(a_g3_29*tk_cxit_gb300+(1-a_g3_29)*tk_cxit_vr200)</f>
        <v>37.0514392</v>
      </c>
      <c r="L9838" s="11" t="s">
        <v>749</v>
      </c>
    </row>
    <row r="9839" customFormat="false" ht="17.15" hidden="false" customHeight="false" outlineLevel="0" collapsed="false">
      <c r="A9839" s="0" t="s">
        <v>750</v>
      </c>
      <c r="B9839" s="0" t="s">
        <v>340</v>
      </c>
      <c r="F9839" s="27" t="n">
        <f aca="false">Sens!C9821*IF(3=life_it,1,0)+Sens!D9821*IF(2=life_it,1,0)+Sens!E9821*IF(1=life_it,1,0)</f>
        <v>0</v>
      </c>
      <c r="G9839" s="27" t="n">
        <f aca="false">Sens!C9821*IF(4=life_it,1,0)+Sens!D9821*IF(3=life_it,1,0)+Sens!E9821*IF(2=life_it,1,0)+Sens!F9821*IF(1=life_it,1,0)</f>
        <v>0</v>
      </c>
      <c r="H9839" s="27" t="n">
        <f aca="false">Sens!C9821*IF(5=life_it,1,0)+Sens!D9821*IF(4=life_it,1,0)+Sens!E9821*IF(3=life_it,1,0)+Sens!F9821*IF(2=life_it,1,0)+Sens!G9821*IF(1=life_it,1,0)</f>
        <v>0</v>
      </c>
      <c r="I9839" s="27" t="n">
        <f aca="false">Sens!C9821*IF(6=life_it,1,0)+Sens!D9821*IF(5=life_it,1,0)+Sens!E9821*IF(4=life_it,1,0)+Sens!F9821*IF(3=life_it,1,0)+Sens!G9821*IF(2=life_it,1,0)+Sens!H9821*IF(1=life_it,1,0)</f>
        <v>816.666666666667</v>
      </c>
      <c r="J9839" s="27" t="n">
        <f aca="false">Sens!C9821*IF(7=life_it,1,0)+Sens!D9821*IF(6=life_it,1,0)+Sens!E9821*IF(5=life_it,1,0)+Sens!F9821*IF(4=life_it,1,0)+Sens!G9821*IF(3=life_it,1,0)+Sens!H9821*IF(2=life_it,1,0)+Sens!I9821*IF(1=life_it,1,0)</f>
        <v>1233.33333333333</v>
      </c>
      <c r="K9839" s="27" t="n">
        <f aca="false">Sens!C9821*IF(8=life_it,1,0)+Sens!D9821*IF(7=life_it,1,0)+Sens!E9821*IF(6=life_it,1,0)+Sens!F9821*IF(5=life_it,1,0)+Sens!G9821*IF(4=life_it,1,0)+Sens!H9821*IF(3=life_it,1,0)+Sens!I9821*IF(2=life_it,1,0)+Sens!J9821*IF(1=life_it,1,0)</f>
        <v>2450</v>
      </c>
      <c r="L9839" s="1" t="s">
        <v>751</v>
      </c>
    </row>
    <row r="9840" customFormat="false" ht="17.15" hidden="false" customHeight="false" outlineLevel="0" collapsed="false">
      <c r="A9840" s="0" t="s">
        <v>752</v>
      </c>
      <c r="B9840" s="0" t="s">
        <v>95</v>
      </c>
      <c r="C9840" s="6" t="n">
        <f aca="false">Sens!C9821*Sens!C9838/1000</f>
        <v>22.5333845916667</v>
      </c>
      <c r="D9840" s="6" t="n">
        <f aca="false">Sens!D9821*Sens!D9838/1000</f>
        <v>34.0300093833333</v>
      </c>
      <c r="E9840" s="6" t="n">
        <f aca="false">Sens!E9821*Sens!E9838/1000</f>
        <v>67.600153775</v>
      </c>
      <c r="F9840" s="6" t="n">
        <f aca="false">(Sens!F9821+Sens!F9839)*Sens!F9838/1000</f>
        <v>130.923271871467</v>
      </c>
      <c r="G9840" s="6" t="n">
        <f aca="false">(Sens!G9821+Sens!G9839)*Sens!G9838/1000</f>
        <v>151.5545564832</v>
      </c>
      <c r="H9840" s="6" t="n">
        <f aca="false">(Sens!H9821+Sens!H9839)*Sens!H9838/1000</f>
        <v>156.0606619104</v>
      </c>
      <c r="I9840" s="6" t="n">
        <f aca="false">(Sens!I9821+Sens!I9839)*Sens!I9838/1000</f>
        <v>186.319337257067</v>
      </c>
      <c r="J9840" s="6" t="n">
        <f aca="false">(Sens!J9821+Sens!J9839)*Sens!J9838/1000</f>
        <v>201.757436923733</v>
      </c>
      <c r="K9840" s="6" t="n">
        <f aca="false">(Sens!K9821+Sens!K9839)*Sens!K9838/1000</f>
        <v>246.8366879504</v>
      </c>
    </row>
    <row r="9841" customFormat="false" ht="17.15" hidden="false" customHeight="false" outlineLevel="0" collapsed="false">
      <c r="A9841" s="0" t="s">
        <v>753</v>
      </c>
      <c r="B9841" s="0" t="s">
        <v>95</v>
      </c>
      <c r="C9841" s="6" t="n">
        <f aca="false">Sens!C9821*self_build*tk_cxfac/1000</f>
        <v>6.2083</v>
      </c>
      <c r="D9841" s="6" t="n">
        <f aca="false">Sens!D9821*self_build*tk_cxfac/1000</f>
        <v>9.3758</v>
      </c>
      <c r="E9841" s="6" t="n">
        <f aca="false">Sens!E9821*self_build*tk_cxfac/1000</f>
        <v>18.6249</v>
      </c>
      <c r="F9841" s="6" t="n">
        <f aca="false">Sens!F9821*self_build*tk_cxfac/1000</f>
        <v>29.409604</v>
      </c>
      <c r="G9841" s="6" t="n">
        <f aca="false">Sens!G9821*self_build*tk_cxfac/1000</f>
        <v>32.019624</v>
      </c>
      <c r="H9841" s="6" t="n">
        <f aca="false">Sens!H9821*self_build*tk_cxfac/1000</f>
        <v>32.019624</v>
      </c>
      <c r="I9841" s="6" t="n">
        <f aca="false">Sens!I9821*self_build*tk_cxfac/1000</f>
        <v>32.019624</v>
      </c>
      <c r="J9841" s="6" t="n">
        <f aca="false">Sens!J9821*self_build*tk_cxfac/1000</f>
        <v>32.019624</v>
      </c>
      <c r="K9841" s="6" t="n">
        <f aca="false">Sens!K9821*self_build*tk_cxfac/1000</f>
        <v>32.019624</v>
      </c>
    </row>
    <row r="9842" customFormat="false" ht="17.15" hidden="false" customHeight="false" outlineLevel="0" collapsed="false">
      <c r="A9842" s="0" t="s">
        <v>754</v>
      </c>
      <c r="B9842" s="0" t="s">
        <v>95</v>
      </c>
      <c r="F9842" s="6" t="n">
        <f aca="false">MAX(0,capex_floor27-Sens!F9840-Sens!F9841-Sens!F9929)</f>
        <v>8.43777689897088</v>
      </c>
      <c r="G9842" s="6" t="n">
        <f aca="false">0</f>
        <v>0</v>
      </c>
      <c r="H9842" s="6" t="n">
        <f aca="false">0</f>
        <v>0</v>
      </c>
      <c r="I9842" s="6" t="n">
        <f aca="false">0</f>
        <v>0</v>
      </c>
      <c r="J9842" s="6" t="n">
        <f aca="false">0</f>
        <v>0</v>
      </c>
      <c r="K9842" s="6" t="n">
        <f aca="false">0</f>
        <v>0</v>
      </c>
      <c r="L9842" s="1" t="s">
        <v>755</v>
      </c>
    </row>
    <row r="9843" customFormat="false" ht="17.15" hidden="false" customHeight="false" outlineLevel="0" collapsed="false">
      <c r="A9843" s="0" t="s">
        <v>756</v>
      </c>
      <c r="B9843" s="0" t="s">
        <v>95</v>
      </c>
      <c r="C9843" s="6" t="n">
        <f aca="false">Sens!C9840</f>
        <v>22.5333845916667</v>
      </c>
      <c r="D9843" s="6" t="n">
        <f aca="false">Sens!D9840</f>
        <v>34.0300093833333</v>
      </c>
      <c r="E9843" s="6" t="n">
        <f aca="false">Sens!E9840</f>
        <v>67.600153775</v>
      </c>
      <c r="F9843" s="6" t="n">
        <f aca="false">Sens!F9840+Sens!F9842</f>
        <v>139.361048770438</v>
      </c>
      <c r="G9843" s="6" t="n">
        <f aca="false">Sens!G9840+Sens!G9842</f>
        <v>151.5545564832</v>
      </c>
      <c r="H9843" s="6" t="n">
        <f aca="false">Sens!H9840+Sens!H9842</f>
        <v>156.0606619104</v>
      </c>
      <c r="I9843" s="6" t="n">
        <f aca="false">Sens!I9840+Sens!I9842</f>
        <v>186.319337257067</v>
      </c>
      <c r="J9843" s="6" t="n">
        <f aca="false">Sens!J9840+Sens!J9842</f>
        <v>201.757436923733</v>
      </c>
      <c r="K9843" s="6" t="n">
        <f aca="false">Sens!K9840+Sens!K9842</f>
        <v>246.8366879504</v>
      </c>
    </row>
    <row r="9844" customFormat="false" ht="17.15" hidden="false" customHeight="false" outlineLevel="0" collapsed="false">
      <c r="A9844" s="0" t="s">
        <v>757</v>
      </c>
      <c r="B9844" s="0" t="s">
        <v>95</v>
      </c>
      <c r="C9844" s="6" t="n">
        <f aca="false">Sens!C9843+Sens!C9841</f>
        <v>28.7416845916667</v>
      </c>
      <c r="D9844" s="6" t="n">
        <f aca="false">Sens!D9843+Sens!D9841</f>
        <v>43.4058093833333</v>
      </c>
      <c r="E9844" s="6" t="n">
        <f aca="false">Sens!E9843+Sens!E9841</f>
        <v>86.225053775</v>
      </c>
      <c r="F9844" s="6" t="n">
        <f aca="false">Sens!F9843+Sens!F9841</f>
        <v>168.770652770438</v>
      </c>
      <c r="G9844" s="6" t="n">
        <f aca="false">Sens!G9843+Sens!G9841</f>
        <v>183.5741804832</v>
      </c>
      <c r="H9844" s="6" t="n">
        <f aca="false">Sens!H9843+Sens!H9841</f>
        <v>188.0802859104</v>
      </c>
      <c r="I9844" s="6" t="n">
        <f aca="false">Sens!I9843+Sens!I9841</f>
        <v>218.338961257067</v>
      </c>
      <c r="J9844" s="6" t="n">
        <f aca="false">Sens!J9843+Sens!J9841</f>
        <v>233.777060923733</v>
      </c>
      <c r="K9844" s="6" t="n">
        <f aca="false">Sens!K9843+Sens!K9841</f>
        <v>278.8563119504</v>
      </c>
      <c r="L9844" s="11" t="s">
        <v>758</v>
      </c>
    </row>
    <row r="9845" customFormat="false" ht="17.15" hidden="false" customHeight="false" outlineLevel="0" collapsed="false">
      <c r="A9845" s="0" t="s">
        <v>759</v>
      </c>
      <c r="B9845" s="0" t="s">
        <v>95</v>
      </c>
      <c r="E9845" s="6" t="n">
        <f aca="false">(Sens!C9843*IF(2&lt;life_it,1,IF(2=life_it,0.5,0))+Sens!D9843*IF(1&lt;life_it,1,IF(1=life_it,0.5,0))+Sens!E9843*0.5)/life_it</f>
        <v>15.0605784770833</v>
      </c>
      <c r="F9845" s="6" t="n">
        <f aca="false">(Sens!C9843*IF(3&lt;life_it,1,IF(3=life_it,0.5,0))+Sens!D9843*IF(2&lt;life_it,1,IF(2=life_it,0.5,0))+Sens!E9843*IF(1&lt;life_it,1,IF(1=life_it,0.5,0))+Sens!F9843*0.5)/life_it</f>
        <v>32.3073453558698</v>
      </c>
      <c r="G9845" s="6" t="n">
        <f aca="false">(Sens!C9843*IF(4&lt;life_it,1,IF(4=life_it,0.5,0))+Sens!D9843*IF(3&lt;life_it,1,IF(3=life_it,0.5,0))+Sens!E9843*IF(2&lt;life_it,1,IF(2=life_it,0.5,0))+Sens!F9843*IF(1&lt;life_it,1,IF(1=life_it,0.5,0))+Sens!G9843*0.5)/life_it</f>
        <v>56.5503124603396</v>
      </c>
      <c r="H9845" s="6" t="n">
        <f aca="false">(Sens!C9843*IF(5&lt;life_it,1,IF(5=life_it,0.5,0))+Sens!D9843*IF(4&lt;life_it,1,IF(4=life_it,0.5,0))+Sens!E9843*IF(3&lt;life_it,1,IF(3=life_it,0.5,0))+Sens!F9843*IF(2&lt;life_it,1,IF(2=life_it,0.5,0))+Sens!G9843*IF(1&lt;life_it,1,IF(1=life_it,0.5,0))+Sens!H9843*0.5)/life_it</f>
        <v>82.1849139931396</v>
      </c>
      <c r="I9845" s="6" t="n">
        <f aca="false">(Sens!C9843*IF(6&lt;life_it,1,IF(6=life_it,0.5,0))+Sens!D9843*IF(5&lt;life_it,1,IF(5=life_it,0.5,0))+Sens!E9843*IF(4&lt;life_it,1,IF(4=life_it,0.5,0))+Sens!F9843*IF(3&lt;life_it,1,IF(3=life_it,0.5,0))+Sens!G9843*IF(2&lt;life_it,1,IF(2=life_it,0.5,0))+Sens!H9843*IF(1&lt;life_it,1,IF(1=life_it,0.5,0))+Sens!I9843*0.5)/life_it</f>
        <v>108.838798541123</v>
      </c>
      <c r="J9845" s="6" t="n">
        <f aca="false">(Sens!C9843*IF(7&lt;life_it,1,IF(7=life_it,0.5,0))+Sens!D9843*IF(6&lt;life_it,1,IF(6=life_it,0.5,0))+Sens!E9843*IF(5&lt;life_it,1,IF(5=life_it,0.5,0))+Sens!F9843*IF(4&lt;life_it,1,IF(4=life_it,0.5,0))+Sens!G9843*IF(3&lt;life_it,1,IF(3=life_it,0.5,0))+Sens!H9843*IF(2&lt;life_it,1,IF(2=life_it,0.5,0))+Sens!I9843*IF(1&lt;life_it,1,IF(1=life_it,0.5,0))+Sens!J9843*0.5)/life_it</f>
        <v>136.464913558273</v>
      </c>
      <c r="K9845" s="6" t="n">
        <f aca="false">(Sens!C9843*IF(8&lt;life_it,1,IF(8=life_it,0.5,0))+Sens!D9843*IF(7&lt;life_it,1,IF(7=life_it,0.5,0))+Sens!E9843*IF(6&lt;life_it,1,IF(6=life_it,0.5,0))+Sens!F9843*IF(5&lt;life_it,1,IF(5=life_it,0.5,0))+Sens!G9843*IF(4&lt;life_it,1,IF(4=life_it,0.5,0))+Sens!H9843*IF(3&lt;life_it,1,IF(3=life_it,0.5,0))+Sens!I9843*IF(2&lt;life_it,1,IF(2=life_it,0.5,0))+Sens!J9843*IF(1&lt;life_it,1,IF(1=life_it,0.5,0))+Sens!K9843*0.5)/life_it</f>
        <v>165.37857703459</v>
      </c>
    </row>
    <row r="9846" customFormat="false" ht="17.15" hidden="false" customHeight="false" outlineLevel="0" collapsed="false">
      <c r="A9846" s="0" t="s">
        <v>760</v>
      </c>
      <c r="B9846" s="0" t="s">
        <v>95</v>
      </c>
      <c r="E9846" s="6" t="n">
        <f aca="false">(Sens!C9841*IF(2&lt;life_fac,1,IF(2=life_fac,0.5,0))+Sens!D9841*IF(1&lt;life_fac,1,IF(1=life_fac,0.5,0))+Sens!E9841*0.5)/life_fac</f>
        <v>1.2448275</v>
      </c>
      <c r="F9846" s="6" t="n">
        <f aca="false">(Sens!C9841*IF(3&lt;life_fac,1,IF(3=life_fac,0.5,0))+Sens!D9841*IF(2&lt;life_fac,1,IF(2=life_fac,0.5,0))+Sens!E9841*IF(1&lt;life_fac,1,IF(1=life_fac,0.5,0))+Sens!F9841*0.5)/life_fac</f>
        <v>2.4456901</v>
      </c>
      <c r="G9846" s="6" t="n">
        <f aca="false">(Sens!C9841*IF(4&lt;life_fac,1,IF(4=life_fac,0.5,0))+Sens!D9841*IF(3&lt;life_fac,1,IF(3=life_fac,0.5,0))+Sens!E9841*IF(2&lt;life_fac,1,IF(2=life_fac,0.5,0))+Sens!F9841*IF(1&lt;life_fac,1,IF(1=life_fac,0.5,0))+Sens!G9841*0.5)/life_fac</f>
        <v>3.9814208</v>
      </c>
      <c r="H9846" s="6" t="n">
        <f aca="false">(Sens!C9841*IF(5&lt;life_fac,1,IF(5=life_fac,0.5,0))+Sens!D9841*IF(4&lt;life_fac,1,IF(4=life_fac,0.5,0))+Sens!E9841*IF(3&lt;life_fac,1,IF(3=life_fac,0.5,0))+Sens!F9841*IF(2&lt;life_fac,1,IF(2=life_fac,0.5,0))+Sens!G9841*IF(1&lt;life_fac,1,IF(1=life_fac,0.5,0))+Sens!H9841*0.5)/life_fac</f>
        <v>5.582402</v>
      </c>
      <c r="I9846" s="6" t="n">
        <f aca="false">(Sens!C9841*IF(6&lt;life_fac,1,IF(6=life_fac,0.5,0))+Sens!D9841*IF(5&lt;life_fac,1,IF(5=life_fac,0.5,0))+Sens!E9841*IF(4&lt;life_fac,1,IF(4=life_fac,0.5,0))+Sens!F9841*IF(3&lt;life_fac,1,IF(3=life_fac,0.5,0))+Sens!G9841*IF(2&lt;life_fac,1,IF(2=life_fac,0.5,0))+Sens!H9841*IF(1&lt;life_fac,1,IF(1=life_fac,0.5,0))+Sens!I9841*0.5)/life_fac</f>
        <v>7.1833832</v>
      </c>
      <c r="J9846" s="6" t="n">
        <f aca="false">(Sens!C9841*IF(7&lt;life_fac,1,IF(7=life_fac,0.5,0))+Sens!D9841*IF(6&lt;life_fac,1,IF(6=life_fac,0.5,0))+Sens!E9841*IF(5&lt;life_fac,1,IF(5=life_fac,0.5,0))+Sens!F9841*IF(4&lt;life_fac,1,IF(4=life_fac,0.5,0))+Sens!G9841*IF(3&lt;life_fac,1,IF(3=life_fac,0.5,0))+Sens!H9841*IF(2&lt;life_fac,1,IF(2=life_fac,0.5,0))+Sens!I9841*IF(1&lt;life_fac,1,IF(1=life_fac,0.5,0))+Sens!J9841*0.5)/life_fac</f>
        <v>8.7843644</v>
      </c>
      <c r="K9846" s="6" t="n">
        <f aca="false">(Sens!C9841*IF(8&lt;life_fac,1,IF(8=life_fac,0.5,0))+Sens!D9841*IF(7&lt;life_fac,1,IF(7=life_fac,0.5,0))+Sens!E9841*IF(6&lt;life_fac,1,IF(6=life_fac,0.5,0))+Sens!F9841*IF(5&lt;life_fac,1,IF(5=life_fac,0.5,0))+Sens!G9841*IF(4&lt;life_fac,1,IF(4=life_fac,0.5,0))+Sens!H9841*IF(3&lt;life_fac,1,IF(3=life_fac,0.5,0))+Sens!I9841*IF(2&lt;life_fac,1,IF(2=life_fac,0.5,0))+Sens!J9841*IF(1&lt;life_fac,1,IF(1=life_fac,0.5,0))+Sens!K9841*0.5)/life_fac</f>
        <v>10.3853456</v>
      </c>
    </row>
    <row r="9847" customFormat="false" ht="17.15" hidden="false" customHeight="false" outlineLevel="0" collapsed="false">
      <c r="A9847" s="0" t="s">
        <v>761</v>
      </c>
      <c r="B9847" s="0" t="s">
        <v>95</v>
      </c>
      <c r="E9847" s="6" t="n">
        <f aca="false">Sens!E9845+Sens!E9846</f>
        <v>16.3054059770833</v>
      </c>
      <c r="F9847" s="6" t="n">
        <f aca="false">Sens!F9845+Sens!F9846</f>
        <v>34.7530354558698</v>
      </c>
      <c r="G9847" s="6" t="n">
        <f aca="false">Sens!G9845+Sens!G9846</f>
        <v>60.5317332603396</v>
      </c>
      <c r="H9847" s="6" t="n">
        <f aca="false">Sens!H9845+Sens!H9846</f>
        <v>87.7673159931396</v>
      </c>
      <c r="I9847" s="6" t="n">
        <f aca="false">Sens!I9845+Sens!I9846</f>
        <v>116.022181741123</v>
      </c>
      <c r="J9847" s="6" t="n">
        <f aca="false">Sens!J9845+Sens!J9846</f>
        <v>145.249277958273</v>
      </c>
      <c r="K9847" s="6" t="n">
        <f aca="false">Sens!K9845+Sens!K9846</f>
        <v>175.76392263459</v>
      </c>
    </row>
    <row r="9848" customFormat="false" ht="17.15" hidden="false" customHeight="false" outlineLevel="0" collapsed="false">
      <c r="A9848" s="0" t="s">
        <v>762</v>
      </c>
      <c r="B9848" s="0" t="s">
        <v>95</v>
      </c>
      <c r="E9848" s="6" t="n">
        <f aca="false">Sens!E9836-Sens!E9835*Sens!E9847</f>
        <v>8.92707889977379</v>
      </c>
      <c r="F9848" s="6" t="n">
        <f aca="false">Sens!F9836-Sens!F9835*Sens!F9847</f>
        <v>14.2055242890201</v>
      </c>
      <c r="G9848" s="6" t="n">
        <f aca="false">Sens!G9836-Sens!G9835*Sens!G9847</f>
        <v>15.9314572150833</v>
      </c>
      <c r="H9848" s="6" t="n">
        <f aca="false">Sens!H9836-Sens!H9835*Sens!H9847</f>
        <v>12.6192802551433</v>
      </c>
      <c r="I9848" s="6" t="n">
        <f aca="false">Sens!I9836-Sens!I9835*Sens!I9847</f>
        <v>15.9526832088541</v>
      </c>
      <c r="J9848" s="6" t="n">
        <f aca="false">Sens!J9836-Sens!J9835*Sens!J9847</f>
        <v>18.7581703308565</v>
      </c>
      <c r="K9848" s="6" t="n">
        <f aca="false">Sens!K9836-Sens!K9835*Sens!K9847</f>
        <v>20.8237307390974</v>
      </c>
    </row>
    <row r="9849" customFormat="false" ht="17.15" hidden="false" customHeight="false" outlineLevel="0" collapsed="false">
      <c r="A9849" s="3" t="s">
        <v>1395</v>
      </c>
    </row>
    <row r="9850" customFormat="false" ht="15" hidden="false" customHeight="false" outlineLevel="0" collapsed="false">
      <c r="A9850" s="4" t="s">
        <v>43</v>
      </c>
      <c r="B9850" s="4" t="s">
        <v>63</v>
      </c>
      <c r="C9850" s="19" t="s">
        <v>710</v>
      </c>
      <c r="D9850" s="19" t="s">
        <v>711</v>
      </c>
      <c r="E9850" s="19" t="s">
        <v>712</v>
      </c>
      <c r="F9850" s="19" t="s">
        <v>713</v>
      </c>
      <c r="G9850" s="19" t="s">
        <v>714</v>
      </c>
      <c r="H9850" s="19" t="s">
        <v>715</v>
      </c>
      <c r="I9850" s="19" t="s">
        <v>716</v>
      </c>
      <c r="J9850" s="19" t="s">
        <v>717</v>
      </c>
      <c r="K9850" s="19" t="s">
        <v>718</v>
      </c>
      <c r="L9850" s="4" t="s">
        <v>47</v>
      </c>
    </row>
    <row r="9851" customFormat="false" ht="17.15" hidden="false" customHeight="false" outlineLevel="0" collapsed="false">
      <c r="A9851" s="0" t="s">
        <v>780</v>
      </c>
      <c r="B9851" s="0" t="s">
        <v>95</v>
      </c>
      <c r="D9851" s="6" t="n">
        <f aca="false">Sens!D9830</f>
        <v>12.9359794422418</v>
      </c>
      <c r="E9851" s="6" t="n">
        <f aca="false">Sens!E9830</f>
        <v>27.8095064661409</v>
      </c>
      <c r="F9851" s="6" t="n">
        <f aca="false">Sens!F9830</f>
        <v>50.6619113883066</v>
      </c>
      <c r="G9851" s="6" t="n">
        <f aca="false">Sens!G9830</f>
        <v>75.1482839325348</v>
      </c>
      <c r="H9851" s="6" t="n">
        <f aca="false">Sens!H9830</f>
        <v>94.895655604042</v>
      </c>
      <c r="I9851" s="6" t="n">
        <f aca="false">Sens!I9830</f>
        <v>121.918667866643</v>
      </c>
      <c r="J9851" s="6" t="n">
        <f aca="false">Sens!J9830</f>
        <v>149.006768672892</v>
      </c>
      <c r="K9851" s="6" t="n">
        <f aca="false">Sens!K9830</f>
        <v>176.133157939015</v>
      </c>
    </row>
    <row r="9852" customFormat="false" ht="17.15" hidden="false" customHeight="false" outlineLevel="0" collapsed="false">
      <c r="A9852" s="0" t="s">
        <v>781</v>
      </c>
      <c r="B9852" s="0" t="s">
        <v>95</v>
      </c>
      <c r="D9852" s="6" t="n">
        <f aca="false">Q!L6-Sens!D9851</f>
        <v>59.6740205577583</v>
      </c>
      <c r="E9852" s="6" t="n">
        <f aca="false">Q!M6-Sens!E9851</f>
        <v>74.1284935338591</v>
      </c>
      <c r="F9852" s="6" t="n">
        <f aca="false">Sens!E9852*(1+Sens!F9853)</f>
        <v>90.0799497373663</v>
      </c>
      <c r="G9852" s="6" t="n">
        <f aca="false">Sens!F9852*(1+Sens!G9853)</f>
        <v>107.02842520331</v>
      </c>
      <c r="H9852" s="6" t="n">
        <f aca="false">Sens!G9852*(1+Sens!H9853)</f>
        <v>124.271982585636</v>
      </c>
      <c r="I9852" s="6" t="n">
        <f aca="false">Sens!H9852*(1+Sens!I9853)</f>
        <v>140.933702381855</v>
      </c>
      <c r="J9852" s="6" t="n">
        <f aca="false">Sens!I9852*(1+Sens!J9853)</f>
        <v>156.018867314332</v>
      </c>
      <c r="K9852" s="6" t="n">
        <f aca="false">Sens!J9852*(1+Sens!K9853)</f>
        <v>168.500376699478</v>
      </c>
    </row>
    <row r="9853" customFormat="false" ht="15" hidden="false" customHeight="false" outlineLevel="0" collapsed="false">
      <c r="A9853" s="1" t="s">
        <v>782</v>
      </c>
      <c r="B9853" s="0" t="s">
        <v>126</v>
      </c>
      <c r="E9853" s="7" t="n">
        <f aca="false">Sens!E9852/Sens!D9852-1</f>
        <v>0.242223883039864</v>
      </c>
      <c r="F9853" s="7" t="n">
        <f aca="false">Sens!$E$9853+(glt_azo-Sens!$E$9853)*MIN(1,1/n_conv)</f>
        <v>0.215186569199887</v>
      </c>
      <c r="G9853" s="7" t="n">
        <f aca="false">Sens!$E$9853+(glt_azo-Sens!$E$9853)*MIN(1,2/n_conv)</f>
        <v>0.18814925535991</v>
      </c>
      <c r="H9853" s="7" t="n">
        <f aca="false">Sens!$E$9853+(glt_azo-Sens!$E$9853)*MIN(1,3/n_conv)</f>
        <v>0.161111941519932</v>
      </c>
      <c r="I9853" s="7" t="n">
        <f aca="false">Sens!$E$9853+(glt_azo-Sens!$E$9853)*MIN(1,4/n_conv)</f>
        <v>0.134074627679955</v>
      </c>
      <c r="J9853" s="7" t="n">
        <f aca="false">Sens!$E$9853+(glt_azo-Sens!$E$9853)*MIN(1,5/n_conv)</f>
        <v>0.107037313839977</v>
      </c>
      <c r="K9853" s="7" t="n">
        <f aca="false">Sens!$E$9853+(glt_azo-Sens!$E$9853)*MIN(1,6/n_conv)</f>
        <v>0.08</v>
      </c>
    </row>
    <row r="9854" customFormat="false" ht="15" hidden="false" customHeight="false" outlineLevel="0" collapsed="false">
      <c r="A9854" s="0" t="s">
        <v>783</v>
      </c>
      <c r="B9854" s="0" t="s">
        <v>95</v>
      </c>
      <c r="D9854" s="6" t="n">
        <f aca="false">Sens!D9851+Sens!D9852</f>
        <v>72.61</v>
      </c>
      <c r="E9854" s="6" t="n">
        <f aca="false">Sens!E9851+Sens!E9852</f>
        <v>101.938</v>
      </c>
      <c r="F9854" s="6" t="n">
        <f aca="false">Sens!F9851+Sens!F9852</f>
        <v>140.741861125673</v>
      </c>
      <c r="G9854" s="6" t="n">
        <f aca="false">Sens!G9851+Sens!G9852</f>
        <v>182.176709135845</v>
      </c>
      <c r="H9854" s="6" t="n">
        <f aca="false">Sens!H9851+Sens!H9852</f>
        <v>219.167638189678</v>
      </c>
      <c r="I9854" s="6" t="n">
        <f aca="false">Sens!I9851+Sens!I9852</f>
        <v>262.852370248498</v>
      </c>
      <c r="J9854" s="6" t="n">
        <f aca="false">Sens!J9851+Sens!J9852</f>
        <v>305.025635987223</v>
      </c>
      <c r="K9854" s="6" t="n">
        <f aca="false">Sens!K9851+Sens!K9852</f>
        <v>344.633534638493</v>
      </c>
    </row>
    <row r="9855" customFormat="false" ht="17.15" hidden="false" customHeight="false" outlineLevel="0" collapsed="false">
      <c r="A9855" s="0" t="s">
        <v>784</v>
      </c>
      <c r="B9855" s="1" t="s">
        <v>451</v>
      </c>
      <c r="C9855" s="27" t="n">
        <f aca="false">cop_s24</f>
        <v>1</v>
      </c>
      <c r="D9855" s="27" t="n">
        <f aca="false">cop_s25</f>
        <v>5</v>
      </c>
      <c r="E9855" s="27" t="n">
        <f aca="false">cop_s26</f>
        <v>30</v>
      </c>
      <c r="F9855" s="27" t="n">
        <f aca="false">Sens!E9855+IF(2027&lt;=2029,cop_add_C,cop_add_C*cop_tail)</f>
        <v>40</v>
      </c>
      <c r="G9855" s="27" t="n">
        <f aca="false">Sens!F9855+IF(2028&lt;=2029,cop_add_C,cop_add_C*cop_tail)</f>
        <v>50</v>
      </c>
      <c r="H9855" s="27" t="n">
        <f aca="false">Sens!G9855+IF(2029&lt;=2029,cop_add_C,cop_add_C*cop_tail)</f>
        <v>60</v>
      </c>
      <c r="I9855" s="27" t="n">
        <f aca="false">Sens!H9855+IF(2030&lt;=2029,cop_add_C,cop_add_C*cop_tail)</f>
        <v>65</v>
      </c>
      <c r="J9855" s="27" t="n">
        <f aca="false">Sens!I9855+IF(2031&lt;=2029,cop_add_C,cop_add_C*cop_tail)</f>
        <v>70</v>
      </c>
      <c r="K9855" s="27" t="n">
        <f aca="false">Sens!J9855+IF(2032&lt;=2029,cop_add_C,cop_add_C*cop_tail)</f>
        <v>75</v>
      </c>
    </row>
    <row r="9856" customFormat="false" ht="17.15" hidden="false" customHeight="false" outlineLevel="0" collapsed="false">
      <c r="A9856" s="0" t="s">
        <v>785</v>
      </c>
      <c r="B9856" s="0" t="s">
        <v>95</v>
      </c>
      <c r="D9856" s="6" t="n">
        <f aca="false">(Sens!C9855+Sens!D9855)/2*cop_px*12/1000</f>
        <v>0.9</v>
      </c>
      <c r="E9856" s="6" t="n">
        <f aca="false">(Sens!D9855+Sens!E9855)/2*cop_px*12/1000</f>
        <v>5.25</v>
      </c>
      <c r="F9856" s="6" t="n">
        <f aca="false">(Sens!E9855+Sens!F9855)/2*cop_px*12/1000</f>
        <v>10.5</v>
      </c>
      <c r="G9856" s="6" t="n">
        <f aca="false">(Sens!F9855+Sens!G9855)/2*cop_px*12/1000</f>
        <v>13.5</v>
      </c>
      <c r="H9856" s="6" t="n">
        <f aca="false">(Sens!G9855+Sens!H9855)/2*cop_px*12/1000</f>
        <v>16.5</v>
      </c>
      <c r="I9856" s="6" t="n">
        <f aca="false">(Sens!H9855+Sens!I9855)/2*cop_px*12/1000</f>
        <v>18.75</v>
      </c>
      <c r="J9856" s="6" t="n">
        <f aca="false">(Sens!I9855+Sens!J9855)/2*cop_px*12/1000</f>
        <v>20.25</v>
      </c>
      <c r="K9856" s="6" t="n">
        <f aca="false">(Sens!J9855+Sens!K9855)/2*cop_px*12/1000</f>
        <v>21.75</v>
      </c>
      <c r="L9856" s="1" t="s">
        <v>786</v>
      </c>
    </row>
    <row r="9857" customFormat="false" ht="17.15" hidden="false" customHeight="false" outlineLevel="0" collapsed="false">
      <c r="A9857" s="0" t="s">
        <v>787</v>
      </c>
      <c r="B9857" s="0" t="s">
        <v>95</v>
      </c>
      <c r="D9857" s="6" t="n">
        <f aca="false">Q!L7-Sens!D9856</f>
        <v>83.705</v>
      </c>
      <c r="E9857" s="6" t="n">
        <f aca="false">Q!M7-Sens!E9856</f>
        <v>95.049</v>
      </c>
      <c r="F9857" s="6" t="n">
        <f aca="false">Sens!E9857*(1+Sens!F9858)</f>
        <v>106.89238776686</v>
      </c>
      <c r="G9857" s="6" t="n">
        <f aca="false">Sens!F9857*(1+Sens!G9858)</f>
        <v>119.044168448684</v>
      </c>
      <c r="H9857" s="6" t="n">
        <f aca="false">Sens!G9857*(1+Sens!H9858)</f>
        <v>131.277359388781</v>
      </c>
      <c r="I9857" s="6" t="n">
        <f aca="false">Sens!H9857*(1+Sens!I9858)</f>
        <v>143.334028071957</v>
      </c>
      <c r="J9857" s="6" t="n">
        <f aca="false">Sens!I9857*(1+Sens!J9858)</f>
        <v>154.932702785465</v>
      </c>
      <c r="K9857" s="6" t="n">
        <f aca="false">Sens!J9857*(1+Sens!K9858)</f>
        <v>165.777991980448</v>
      </c>
    </row>
    <row r="9858" customFormat="false" ht="15" hidden="false" customHeight="false" outlineLevel="0" collapsed="false">
      <c r="A9858" s="1" t="s">
        <v>782</v>
      </c>
      <c r="B9858" s="0" t="s">
        <v>126</v>
      </c>
      <c r="E9858" s="7" t="n">
        <f aca="false">Sens!E9857/Sens!D9857-1</f>
        <v>0.135523564900544</v>
      </c>
      <c r="F9858" s="7" t="n">
        <f aca="false">Sens!$E$9858+(glt_m365b-Sens!$E$9858)*MIN(1,1/n_conv)</f>
        <v>0.124602970750453</v>
      </c>
      <c r="G9858" s="7" t="n">
        <f aca="false">Sens!$E$9858+(glt_m365b-Sens!$E$9858)*MIN(1,2/n_conv)</f>
        <v>0.113682376600363</v>
      </c>
      <c r="H9858" s="7" t="n">
        <f aca="false">Sens!$E$9858+(glt_m365b-Sens!$E$9858)*MIN(1,3/n_conv)</f>
        <v>0.102761782450272</v>
      </c>
      <c r="I9858" s="7" t="n">
        <f aca="false">Sens!$E$9858+(glt_m365b-Sens!$E$9858)*MIN(1,4/n_conv)</f>
        <v>0.0918411883001813</v>
      </c>
      <c r="J9858" s="7" t="n">
        <f aca="false">Sens!$E$9858+(glt_m365b-Sens!$E$9858)*MIN(1,5/n_conv)</f>
        <v>0.0809205941500906</v>
      </c>
      <c r="K9858" s="7" t="n">
        <f aca="false">Sens!$E$9858+(glt_m365b-Sens!$E$9858)*MIN(1,6/n_conv)</f>
        <v>0.07</v>
      </c>
    </row>
    <row r="9859" customFormat="false" ht="15" hidden="false" customHeight="false" outlineLevel="0" collapsed="false">
      <c r="A9859" s="0" t="s">
        <v>788</v>
      </c>
      <c r="B9859" s="0" t="s">
        <v>95</v>
      </c>
      <c r="D9859" s="6" t="n">
        <f aca="false">Sens!D9857+Sens!D9856</f>
        <v>84.605</v>
      </c>
      <c r="E9859" s="6" t="n">
        <f aca="false">Sens!E9857+Sens!E9856</f>
        <v>100.299</v>
      </c>
      <c r="F9859" s="6" t="n">
        <f aca="false">Sens!F9857+Sens!F9856</f>
        <v>117.39238776686</v>
      </c>
      <c r="G9859" s="6" t="n">
        <f aca="false">Sens!G9857+Sens!G9856</f>
        <v>132.544168448684</v>
      </c>
      <c r="H9859" s="6" t="n">
        <f aca="false">Sens!H9857+Sens!H9856</f>
        <v>147.777359388781</v>
      </c>
      <c r="I9859" s="6" t="n">
        <f aca="false">Sens!I9857+Sens!I9856</f>
        <v>162.084028071957</v>
      </c>
      <c r="J9859" s="6" t="n">
        <f aca="false">Sens!J9857+Sens!J9856</f>
        <v>175.182702785465</v>
      </c>
      <c r="K9859" s="6" t="n">
        <f aca="false">Sens!K9857+Sens!K9856</f>
        <v>187.527991980448</v>
      </c>
    </row>
    <row r="9860" customFormat="false" ht="15" hidden="false" customHeight="false" outlineLevel="0" collapsed="false">
      <c r="A9860" s="0" t="s">
        <v>789</v>
      </c>
      <c r="B9860" s="0" t="s">
        <v>95</v>
      </c>
      <c r="D9860" s="6" t="n">
        <f aca="false">Q!L8</f>
        <v>35.391</v>
      </c>
      <c r="E9860" s="6" t="n">
        <f aca="false">Q!M8</f>
        <v>37.285</v>
      </c>
      <c r="F9860" s="6" t="n">
        <f aca="false">Sens!E9860*(1+Sens!F9861)</f>
        <v>39.0720834331704</v>
      </c>
      <c r="G9860" s="6" t="n">
        <f aca="false">Sens!F9860*(1+Sens!G9861)</f>
        <v>40.726562953769</v>
      </c>
      <c r="H9860" s="6" t="n">
        <f aca="false">Sens!G9860*(1+Sens!H9861)</f>
        <v>42.2235987259198</v>
      </c>
      <c r="I9860" s="6" t="n">
        <f aca="false">Sens!H9860*(1+Sens!I9861)</f>
        <v>43.5397988077414</v>
      </c>
      <c r="J9860" s="6" t="n">
        <f aca="false">Sens!I9860*(1+Sens!J9861)</f>
        <v>44.653811225693</v>
      </c>
      <c r="K9860" s="6" t="n">
        <f aca="false">Sens!J9860*(1+Sens!K9861)</f>
        <v>45.5468874502068</v>
      </c>
    </row>
    <row r="9861" customFormat="false" ht="15" hidden="false" customHeight="false" outlineLevel="0" collapsed="false">
      <c r="A9861" s="1" t="s">
        <v>782</v>
      </c>
      <c r="B9861" s="0" t="s">
        <v>126</v>
      </c>
      <c r="E9861" s="7" t="n">
        <f aca="false">Sens!E9860/Sens!D9860-1</f>
        <v>0.0535164307309768</v>
      </c>
      <c r="F9861" s="7" t="n">
        <f aca="false">Sens!$E$9861+(glt_lic-Sens!$E$9861)*MIN(1,1/n_conv)</f>
        <v>0.0479303589424807</v>
      </c>
      <c r="G9861" s="7" t="n">
        <f aca="false">Sens!$E$9861+(glt_lic-Sens!$E$9861)*MIN(1,2/n_conv)</f>
        <v>0.0423442871539845</v>
      </c>
      <c r="H9861" s="7" t="n">
        <f aca="false">Sens!$E$9861+(glt_lic-Sens!$E$9861)*MIN(1,3/n_conv)</f>
        <v>0.0367582153654884</v>
      </c>
      <c r="I9861" s="7" t="n">
        <f aca="false">Sens!$E$9861+(glt_lic-Sens!$E$9861)*MIN(1,4/n_conv)</f>
        <v>0.0311721435769923</v>
      </c>
      <c r="J9861" s="7" t="n">
        <f aca="false">Sens!$E$9861+(glt_lic-Sens!$E$9861)*MIN(1,5/n_conv)</f>
        <v>0.0255860717884961</v>
      </c>
      <c r="K9861" s="7" t="n">
        <f aca="false">Sens!$E$9861+(glt_lic-Sens!$E$9861)*MIN(1,6/n_conv)</f>
        <v>0.02</v>
      </c>
    </row>
    <row r="9862" customFormat="false" ht="15" hidden="false" customHeight="false" outlineLevel="0" collapsed="false">
      <c r="A9862" s="0" t="s">
        <v>790</v>
      </c>
      <c r="B9862" s="0" t="s">
        <v>95</v>
      </c>
      <c r="D9862" s="6" t="n">
        <f aca="false">Q!L9</f>
        <v>18.417</v>
      </c>
      <c r="E9862" s="6" t="n">
        <f aca="false">Q!M9</f>
        <v>20.345</v>
      </c>
      <c r="F9862" s="6" t="n">
        <f aca="false">Sens!E9862*(1+Sens!F9863)</f>
        <v>22.3572203267814</v>
      </c>
      <c r="G9862" s="6" t="n">
        <f aca="false">Sens!F9862*(1+Sens!G9863)</f>
        <v>24.4392124437232</v>
      </c>
      <c r="H9862" s="6" t="n">
        <f aca="false">Sens!G9862*(1+Sens!H9863)</f>
        <v>26.5738052080665</v>
      </c>
      <c r="I9862" s="6" t="n">
        <f aca="false">Sens!H9862*(1+Sens!I9863)</f>
        <v>28.7412169166967</v>
      </c>
      <c r="J9862" s="6" t="n">
        <f aca="false">Sens!I9862*(1+Sens!J9863)</f>
        <v>30.9192545395413</v>
      </c>
      <c r="K9862" s="6" t="n">
        <f aca="false">Sens!J9862*(1+Sens!K9863)</f>
        <v>33.0836023573092</v>
      </c>
    </row>
    <row r="9863" customFormat="false" ht="15" hidden="false" customHeight="false" outlineLevel="0" collapsed="false">
      <c r="A9863" s="1" t="s">
        <v>782</v>
      </c>
      <c r="B9863" s="0" t="s">
        <v>126</v>
      </c>
      <c r="E9863" s="7" t="n">
        <f aca="false">Sens!E9862/Sens!D9862-1</f>
        <v>0.104685888038225</v>
      </c>
      <c r="F9863" s="7" t="n">
        <f aca="false">Sens!$E$9863+(glt_ind-Sens!$E$9863)*MIN(1,1/n_conv)</f>
        <v>0.0989049066985211</v>
      </c>
      <c r="G9863" s="7" t="n">
        <f aca="false">Sens!$E$9863+(glt_ind-Sens!$E$9863)*MIN(1,2/n_conv)</f>
        <v>0.0931239253588169</v>
      </c>
      <c r="H9863" s="7" t="n">
        <f aca="false">Sens!$E$9863+(glt_ind-Sens!$E$9863)*MIN(1,3/n_conv)</f>
        <v>0.0873429440191127</v>
      </c>
      <c r="I9863" s="7" t="n">
        <f aca="false">Sens!$E$9863+(glt_ind-Sens!$E$9863)*MIN(1,4/n_conv)</f>
        <v>0.0815619626794085</v>
      </c>
      <c r="J9863" s="7" t="n">
        <f aca="false">Sens!$E$9863+(glt_ind-Sens!$E$9863)*MIN(1,5/n_conv)</f>
        <v>0.0757809813397042</v>
      </c>
      <c r="K9863" s="7" t="n">
        <f aca="false">Sens!$E$9863+(glt_ind-Sens!$E$9863)*MIN(1,6/n_conv)</f>
        <v>0.07</v>
      </c>
    </row>
    <row r="9864" customFormat="false" ht="15" hidden="false" customHeight="false" outlineLevel="0" collapsed="false">
      <c r="A9864" s="0" t="s">
        <v>791</v>
      </c>
      <c r="B9864" s="0" t="s">
        <v>95</v>
      </c>
      <c r="D9864" s="6" t="n">
        <f aca="false">Q!L10</f>
        <v>7.76</v>
      </c>
      <c r="E9864" s="6" t="n">
        <f aca="false">Q!M10</f>
        <v>8.26</v>
      </c>
      <c r="F9864" s="6" t="n">
        <f aca="false">Sens!E9864*(1+Sens!F9865)</f>
        <v>8.79988041237113</v>
      </c>
      <c r="G9864" s="6" t="n">
        <f aca="false">Sens!F9864*(1+Sens!G9865)</f>
        <v>9.38321269125306</v>
      </c>
      <c r="H9864" s="6" t="n">
        <f aca="false">Sens!G9864*(1+Sens!H9865)</f>
        <v>10.0139193587476</v>
      </c>
      <c r="I9864" s="6" t="n">
        <f aca="false">Sens!H9864*(1+Sens!I9865)</f>
        <v>10.6963111830911</v>
      </c>
      <c r="J9864" s="6" t="n">
        <f aca="false">Sens!I9864*(1+Sens!J9865)</f>
        <v>11.4351285534696</v>
      </c>
      <c r="K9864" s="6" t="n">
        <f aca="false">Sens!J9864*(1+Sens!K9865)</f>
        <v>12.2355875522124</v>
      </c>
    </row>
    <row r="9865" customFormat="false" ht="15" hidden="false" customHeight="false" outlineLevel="0" collapsed="false">
      <c r="A9865" s="1" t="s">
        <v>782</v>
      </c>
      <c r="B9865" s="0" t="s">
        <v>126</v>
      </c>
      <c r="E9865" s="7" t="n">
        <f aca="false">Sens!E9864/Sens!D9864-1</f>
        <v>0.0644329896907216</v>
      </c>
      <c r="F9865" s="7" t="n">
        <f aca="false">Sens!$E$9865+(glt_fro-Sens!$E$9865)*MIN(1,1/n_conv)</f>
        <v>0.065360824742268</v>
      </c>
      <c r="G9865" s="7" t="n">
        <f aca="false">Sens!$E$9865+(glt_fro-Sens!$E$9865)*MIN(1,2/n_conv)</f>
        <v>0.0662886597938144</v>
      </c>
      <c r="H9865" s="7" t="n">
        <f aca="false">Sens!$E$9865+(glt_fro-Sens!$E$9865)*MIN(1,3/n_conv)</f>
        <v>0.0672164948453608</v>
      </c>
      <c r="I9865" s="7" t="n">
        <f aca="false">Sens!$E$9865+(glt_fro-Sens!$E$9865)*MIN(1,4/n_conv)</f>
        <v>0.0681443298969072</v>
      </c>
      <c r="J9865" s="7" t="n">
        <f aca="false">Sens!$E$9865+(glt_fro-Sens!$E$9865)*MIN(1,5/n_conv)</f>
        <v>0.0690721649484536</v>
      </c>
      <c r="K9865" s="7" t="n">
        <f aca="false">Sens!$E$9865+(glt_fro-Sens!$E$9865)*MIN(1,6/n_conv)</f>
        <v>0.07</v>
      </c>
    </row>
    <row r="9866" customFormat="false" ht="15" hidden="false" customHeight="false" outlineLevel="0" collapsed="false">
      <c r="A9866" s="0" t="s">
        <v>626</v>
      </c>
      <c r="B9866" s="0" t="s">
        <v>95</v>
      </c>
      <c r="D9866" s="6" t="n">
        <f aca="false">Sens!D9854+Sens!D9859+Sens!D9860+Sens!D9862+Sens!D9864</f>
        <v>218.783</v>
      </c>
      <c r="E9866" s="6" t="n">
        <f aca="false">Sens!E9854+Sens!E9859+Sens!E9860+Sens!E9862+Sens!E9864</f>
        <v>268.127</v>
      </c>
      <c r="F9866" s="6" t="n">
        <f aca="false">Sens!F9854+Sens!F9859+Sens!F9860+Sens!F9862+Sens!F9864</f>
        <v>328.363433064856</v>
      </c>
      <c r="G9866" s="6" t="n">
        <f aca="false">Sens!G9854+Sens!G9859+Sens!G9860+Sens!G9862+Sens!G9864</f>
        <v>389.269865673274</v>
      </c>
      <c r="H9866" s="6" t="n">
        <f aca="false">Sens!H9854+Sens!H9859+Sens!H9860+Sens!H9862+Sens!H9864</f>
        <v>445.756320871193</v>
      </c>
      <c r="I9866" s="6" t="n">
        <f aca="false">Sens!I9854+Sens!I9859+Sens!I9860+Sens!I9862+Sens!I9864</f>
        <v>507.913725227984</v>
      </c>
      <c r="J9866" s="6" t="n">
        <f aca="false">Sens!J9854+Sens!J9859+Sens!J9860+Sens!J9862+Sens!J9864</f>
        <v>567.216533091392</v>
      </c>
      <c r="K9866" s="6" t="n">
        <f aca="false">Sens!K9854+Sens!K9859+Sens!K9860+Sens!K9862+Sens!K9864</f>
        <v>623.027603978669</v>
      </c>
    </row>
    <row r="9867" customFormat="false" ht="15" hidden="false" customHeight="false" outlineLevel="0" collapsed="false">
      <c r="A9867" s="0" t="s">
        <v>792</v>
      </c>
      <c r="B9867" s="0" t="s">
        <v>95</v>
      </c>
      <c r="D9867" s="6" t="n">
        <f aca="false">Q!L13</f>
        <v>22.171</v>
      </c>
      <c r="E9867" s="6" t="n">
        <f aca="false">Q!M13</f>
        <v>24.835</v>
      </c>
      <c r="F9867" s="6" t="n">
        <f aca="false">Sens!E9867*(1+Sens!F9868)</f>
        <v>27.6114901218559</v>
      </c>
      <c r="G9867" s="6" t="n">
        <f aca="false">Sens!F9867*(1+Sens!G9868)</f>
        <v>30.4675667338515</v>
      </c>
      <c r="H9867" s="6" t="n">
        <f aca="false">Sens!G9867*(1+Sens!H9868)</f>
        <v>33.3643766955789</v>
      </c>
      <c r="I9867" s="6" t="n">
        <f aca="false">Sens!H9867*(1+Sens!I9868)</f>
        <v>36.2577016533691</v>
      </c>
      <c r="J9867" s="6" t="n">
        <f aca="false">Sens!I9867*(1+Sens!J9868)</f>
        <v>39.0988367952171</v>
      </c>
      <c r="K9867" s="6" t="n">
        <f aca="false">Sens!J9867*(1+Sens!K9868)</f>
        <v>41.8357553708823</v>
      </c>
    </row>
    <row r="9868" customFormat="false" ht="15" hidden="false" customHeight="false" outlineLevel="0" collapsed="false">
      <c r="A9868" s="1" t="s">
        <v>782</v>
      </c>
      <c r="B9868" s="0" t="s">
        <v>126</v>
      </c>
      <c r="E9868" s="7" t="n">
        <f aca="false">Sens!E9867/Sens!D9867-1</f>
        <v>0.120156961796942</v>
      </c>
      <c r="F9868" s="7" t="n">
        <f aca="false">Sens!$E$9868+(glt_srch-Sens!$E$9868)*MIN(1,1/n_conv)</f>
        <v>0.111797468164118</v>
      </c>
      <c r="G9868" s="7" t="n">
        <f aca="false">Sens!$E$9868+(glt_srch-Sens!$E$9868)*MIN(1,2/n_conv)</f>
        <v>0.103437974531295</v>
      </c>
      <c r="H9868" s="7" t="n">
        <f aca="false">Sens!$E$9868+(glt_srch-Sens!$E$9868)*MIN(1,3/n_conv)</f>
        <v>0.095078480898471</v>
      </c>
      <c r="I9868" s="7" t="n">
        <f aca="false">Sens!$E$9868+(glt_srch-Sens!$E$9868)*MIN(1,4/n_conv)</f>
        <v>0.0867189872656474</v>
      </c>
      <c r="J9868" s="7" t="n">
        <f aca="false">Sens!$E$9868+(glt_srch-Sens!$E$9868)*MIN(1,5/n_conv)</f>
        <v>0.0783594936328237</v>
      </c>
      <c r="K9868" s="7" t="n">
        <f aca="false">Sens!$E$9868+(glt_srch-Sens!$E$9868)*MIN(1,6/n_conv)</f>
        <v>0.07</v>
      </c>
    </row>
    <row r="9869" customFormat="false" ht="15" hidden="false" customHeight="false" outlineLevel="0" collapsed="false">
      <c r="A9869" s="0" t="s">
        <v>793</v>
      </c>
      <c r="B9869" s="0" t="s">
        <v>95</v>
      </c>
      <c r="D9869" s="6" t="n">
        <f aca="false">Q!L14</f>
        <v>23.455</v>
      </c>
      <c r="E9869" s="6" t="n">
        <f aca="false">Q!M14</f>
        <v>21.79</v>
      </c>
      <c r="F9869" s="6" t="n">
        <f aca="false">Sens!E9869*(1+Sens!F9870)</f>
        <v>20.5736277908051</v>
      </c>
      <c r="G9869" s="6" t="n">
        <f aca="false">Sens!F9869*(1+Sens!G9870)</f>
        <v>19.7371452817919</v>
      </c>
      <c r="H9869" s="6" t="n">
        <f aca="false">Sens!G9869*(1+Sens!H9870)</f>
        <v>19.2339764043138</v>
      </c>
      <c r="I9869" s="6" t="n">
        <f aca="false">Sens!H9869*(1+Sens!I9870)</f>
        <v>19.0353086852681</v>
      </c>
      <c r="J9869" s="6" t="n">
        <f aca="false">Sens!I9869*(1+Sens!J9870)</f>
        <v>19.1273539319129</v>
      </c>
      <c r="K9869" s="6" t="n">
        <f aca="false">Sens!J9869*(1+Sens!K9870)</f>
        <v>19.5099010105511</v>
      </c>
    </row>
    <row r="9870" customFormat="false" ht="15" hidden="false" customHeight="false" outlineLevel="0" collapsed="false">
      <c r="A9870" s="1" t="s">
        <v>782</v>
      </c>
      <c r="B9870" s="0" t="s">
        <v>126</v>
      </c>
      <c r="E9870" s="7" t="n">
        <f aca="false">Sens!E9869/Sens!D9869-1</f>
        <v>-0.0709869963760392</v>
      </c>
      <c r="F9870" s="7" t="n">
        <f aca="false">Sens!$E$9870+(glt_xbox-Sens!$E$9870)*MIN(1,1/n_conv)</f>
        <v>-0.0558224969800327</v>
      </c>
      <c r="G9870" s="7" t="n">
        <f aca="false">Sens!$E$9870+(glt_xbox-Sens!$E$9870)*MIN(1,2/n_conv)</f>
        <v>-0.0406579975840262</v>
      </c>
      <c r="H9870" s="7" t="n">
        <f aca="false">Sens!$E$9870+(glt_xbox-Sens!$E$9870)*MIN(1,3/n_conv)</f>
        <v>-0.0254934981880196</v>
      </c>
      <c r="I9870" s="7" t="n">
        <f aca="false">Sens!$E$9870+(glt_xbox-Sens!$E$9870)*MIN(1,4/n_conv)</f>
        <v>-0.0103289987920131</v>
      </c>
      <c r="J9870" s="7" t="n">
        <f aca="false">Sens!$E$9870+(glt_xbox-Sens!$E$9870)*MIN(1,5/n_conv)</f>
        <v>0.00483550060399347</v>
      </c>
      <c r="K9870" s="7" t="n">
        <f aca="false">Sens!$E$9870+(glt_xbox-Sens!$E$9870)*MIN(1,6/n_conv)</f>
        <v>0.02</v>
      </c>
    </row>
    <row r="9871" customFormat="false" ht="15" hidden="false" customHeight="false" outlineLevel="0" collapsed="false">
      <c r="A9871" s="0" t="s">
        <v>794</v>
      </c>
      <c r="B9871" s="0" t="s">
        <v>95</v>
      </c>
      <c r="D9871" s="6" t="n">
        <f aca="false">Q!L15</f>
        <v>17.315</v>
      </c>
      <c r="E9871" s="6" t="n">
        <f aca="false">Q!M15</f>
        <v>17.087</v>
      </c>
      <c r="F9871" s="6" t="n">
        <f aca="false">Sens!E9871*(1+Sens!F9872)</f>
        <v>16.9564585436519</v>
      </c>
      <c r="G9871" s="6" t="n">
        <f aca="false">Sens!F9871*(1+Sens!G9872)</f>
        <v>16.9206490624268</v>
      </c>
      <c r="H9871" s="6" t="n">
        <f aca="false">Sens!G9871*(1+Sens!H9872)</f>
        <v>16.9784519149849</v>
      </c>
      <c r="I9871" s="6" t="n">
        <f aca="false">Sens!H9871*(1+Sens!I9872)</f>
        <v>17.1303084701817</v>
      </c>
      <c r="J9871" s="6" t="n">
        <f aca="false">Sens!I9871*(1+Sens!J9872)</f>
        <v>17.3782189407267</v>
      </c>
      <c r="K9871" s="6" t="n">
        <f aca="false">Sens!J9871*(1+Sens!K9872)</f>
        <v>17.7257833195413</v>
      </c>
    </row>
    <row r="9872" customFormat="false" ht="15" hidden="false" customHeight="false" outlineLevel="0" collapsed="false">
      <c r="A9872" s="1" t="s">
        <v>782</v>
      </c>
      <c r="B9872" s="0" t="s">
        <v>126</v>
      </c>
      <c r="E9872" s="7" t="n">
        <f aca="false">Sens!E9871/Sens!D9871-1</f>
        <v>-0.0131677736066995</v>
      </c>
      <c r="F9872" s="7" t="n">
        <f aca="false">Sens!$E$9872+(glt_win-Sens!$E$9872)*MIN(1,1/n_conv)</f>
        <v>-0.00763981133891627</v>
      </c>
      <c r="G9872" s="7" t="n">
        <f aca="false">Sens!$E$9872+(glt_win-Sens!$E$9872)*MIN(1,2/n_conv)</f>
        <v>-0.00211184907113301</v>
      </c>
      <c r="H9872" s="7" t="n">
        <f aca="false">Sens!$E$9872+(glt_win-Sens!$E$9872)*MIN(1,3/n_conv)</f>
        <v>0.00341611319665024</v>
      </c>
      <c r="I9872" s="7" t="n">
        <f aca="false">Sens!$E$9872+(glt_win-Sens!$E$9872)*MIN(1,4/n_conv)</f>
        <v>0.00894407546443349</v>
      </c>
      <c r="J9872" s="7" t="n">
        <f aca="false">Sens!$E$9872+(glt_win-Sens!$E$9872)*MIN(1,5/n_conv)</f>
        <v>0.0144720377322168</v>
      </c>
      <c r="K9872" s="7" t="n">
        <f aca="false">Sens!$E$9872+(glt_win-Sens!$E$9872)*MIN(1,6/n_conv)</f>
        <v>0.02</v>
      </c>
    </row>
    <row r="9873" customFormat="false" ht="15" hidden="false" customHeight="false" outlineLevel="0" collapsed="false">
      <c r="A9873" s="0" t="s">
        <v>640</v>
      </c>
      <c r="B9873" s="0" t="s">
        <v>95</v>
      </c>
      <c r="D9873" s="6" t="n">
        <f aca="false">Sens!D9867+Sens!D9869+Sens!D9871</f>
        <v>62.941</v>
      </c>
      <c r="E9873" s="6" t="n">
        <f aca="false">Sens!E9867+Sens!E9869+Sens!E9871</f>
        <v>63.712</v>
      </c>
      <c r="F9873" s="6" t="n">
        <f aca="false">Sens!F9867+Sens!F9869+Sens!F9871</f>
        <v>65.1415764563129</v>
      </c>
      <c r="G9873" s="6" t="n">
        <f aca="false">Sens!G9867+Sens!G9869+Sens!G9871</f>
        <v>67.1253610780702</v>
      </c>
      <c r="H9873" s="6" t="n">
        <f aca="false">Sens!H9867+Sens!H9869+Sens!H9871</f>
        <v>69.5768050148776</v>
      </c>
      <c r="I9873" s="6" t="n">
        <f aca="false">Sens!I9867+Sens!I9869+Sens!I9871</f>
        <v>72.4233188088189</v>
      </c>
      <c r="J9873" s="6" t="n">
        <f aca="false">Sens!J9867+Sens!J9869+Sens!J9871</f>
        <v>75.6044096678567</v>
      </c>
      <c r="K9873" s="6" t="n">
        <f aca="false">Sens!K9867+Sens!K9869+Sens!K9871</f>
        <v>79.0714397009747</v>
      </c>
    </row>
    <row r="9874" customFormat="false" ht="15" hidden="false" customHeight="false" outlineLevel="0" collapsed="false">
      <c r="A9874" s="1" t="s">
        <v>795</v>
      </c>
      <c r="B9874" s="0" t="s">
        <v>95</v>
      </c>
      <c r="D9874" s="6" t="n">
        <f aca="false">Sens!D9866+Sens!D9873</f>
        <v>281.724</v>
      </c>
      <c r="E9874" s="6" t="n">
        <f aca="false">Sens!E9866+Sens!E9873</f>
        <v>331.839</v>
      </c>
      <c r="F9874" s="6" t="n">
        <f aca="false">Sens!F9866+Sens!F9873</f>
        <v>393.505009521169</v>
      </c>
      <c r="G9874" s="6" t="n">
        <f aca="false">Sens!G9866+Sens!G9873</f>
        <v>456.395226751344</v>
      </c>
      <c r="H9874" s="6" t="n">
        <f aca="false">Sens!H9866+Sens!H9873</f>
        <v>515.333125886071</v>
      </c>
      <c r="I9874" s="6" t="n">
        <f aca="false">Sens!I9866+Sens!I9873</f>
        <v>580.337044036803</v>
      </c>
      <c r="J9874" s="6" t="n">
        <f aca="false">Sens!J9866+Sens!J9873</f>
        <v>642.820942759249</v>
      </c>
      <c r="K9874" s="6" t="n">
        <f aca="false">Sens!K9866+Sens!K9873</f>
        <v>702.099043679644</v>
      </c>
    </row>
    <row r="9875" customFormat="false" ht="15" hidden="false" customHeight="false" outlineLevel="0" collapsed="false">
      <c r="A9875" s="22" t="s">
        <v>796</v>
      </c>
      <c r="B9875" s="28" t="s">
        <v>95</v>
      </c>
      <c r="C9875" s="28"/>
      <c r="D9875" s="23" t="n">
        <f aca="false">(Sens!D9854+Sens!D9859+Sens!D9860+Sens!D9862+Sens!D9864-Sens!D9866)+(Sens!D9867+Sens!D9869+Sens!D9871-Sens!D9873)+(Sens!D9866-Q!L5)+(Sens!D9873-Q!L12)+(Sens!D9854-Q!L6)+(Sens!D9859-Q!L7)</f>
        <v>0</v>
      </c>
      <c r="E9875" s="23" t="n">
        <f aca="false">(Sens!E9854+Sens!E9859+Sens!E9860+Sens!E9862+Sens!E9864-Sens!E9866)+(Sens!E9867+Sens!E9869+Sens!E9871-Sens!E9873)+(Sens!E9866-Q!M5)+(Sens!E9873-Q!M12)+(Sens!E9854-Q!M6)+(Sens!E9859-Q!M7)</f>
        <v>0</v>
      </c>
      <c r="F9875" s="23" t="n">
        <f aca="false">(Sens!F9854+Sens!F9859+Sens!F9860+Sens!F9862+Sens!F9864-Sens!F9866)+(Sens!F9867+Sens!F9869+Sens!F9871-Sens!F9873)</f>
        <v>0</v>
      </c>
      <c r="G9875" s="23" t="n">
        <f aca="false">(Sens!G9854+Sens!G9859+Sens!G9860+Sens!G9862+Sens!G9864-Sens!G9866)+(Sens!G9867+Sens!G9869+Sens!G9871-Sens!G9873)</f>
        <v>0</v>
      </c>
      <c r="H9875" s="23" t="n">
        <f aca="false">(Sens!H9854+Sens!H9859+Sens!H9860+Sens!H9862+Sens!H9864-Sens!H9866)+(Sens!H9867+Sens!H9869+Sens!H9871-Sens!H9873)</f>
        <v>0</v>
      </c>
      <c r="I9875" s="23" t="n">
        <f aca="false">(Sens!I9854+Sens!I9859+Sens!I9860+Sens!I9862+Sens!I9864-Sens!I9866)+(Sens!I9867+Sens!I9869+Sens!I9871-Sens!I9873)</f>
        <v>0</v>
      </c>
      <c r="J9875" s="23" t="n">
        <f aca="false">(Sens!J9854+Sens!J9859+Sens!J9860+Sens!J9862+Sens!J9864-Sens!J9866)+(Sens!J9867+Sens!J9869+Sens!J9871-Sens!J9873)</f>
        <v>0</v>
      </c>
      <c r="K9875" s="23" t="n">
        <f aca="false">(Sens!K9854+Sens!K9859+Sens!K9860+Sens!K9862+Sens!K9864-Sens!K9866)+(Sens!K9867+Sens!K9869+Sens!K9871-Sens!K9873)</f>
        <v>0</v>
      </c>
    </row>
    <row r="9876" customFormat="false" ht="17.15" hidden="false" customHeight="false" outlineLevel="0" collapsed="false">
      <c r="A9876" s="3" t="s">
        <v>1396</v>
      </c>
    </row>
    <row r="9877" customFormat="false" ht="15" hidden="false" customHeight="false" outlineLevel="0" collapsed="false">
      <c r="A9877" s="4" t="s">
        <v>43</v>
      </c>
      <c r="B9877" s="4" t="s">
        <v>63</v>
      </c>
      <c r="C9877" s="19" t="s">
        <v>710</v>
      </c>
      <c r="D9877" s="19" t="s">
        <v>711</v>
      </c>
      <c r="E9877" s="19" t="s">
        <v>712</v>
      </c>
      <c r="F9877" s="19" t="s">
        <v>713</v>
      </c>
      <c r="G9877" s="19" t="s">
        <v>714</v>
      </c>
      <c r="H9877" s="19" t="s">
        <v>715</v>
      </c>
      <c r="I9877" s="19" t="s">
        <v>716</v>
      </c>
      <c r="J9877" s="19" t="s">
        <v>717</v>
      </c>
      <c r="K9877" s="19" t="s">
        <v>718</v>
      </c>
      <c r="L9877" s="4" t="s">
        <v>47</v>
      </c>
    </row>
    <row r="9878" customFormat="false" ht="15" hidden="false" customHeight="false" outlineLevel="0" collapsed="false">
      <c r="A9878" s="0" t="s">
        <v>783</v>
      </c>
      <c r="B9878" s="0" t="s">
        <v>95</v>
      </c>
      <c r="D9878" s="6" t="n">
        <f aca="false">Sens!D9854</f>
        <v>72.61</v>
      </c>
      <c r="E9878" s="6" t="n">
        <f aca="false">Sens!E9854</f>
        <v>101.938</v>
      </c>
      <c r="F9878" s="6" t="n">
        <f aca="false">Sens!F9854</f>
        <v>140.741861125673</v>
      </c>
      <c r="G9878" s="6" t="n">
        <f aca="false">Sens!G9854</f>
        <v>182.176709135845</v>
      </c>
      <c r="H9878" s="6" t="n">
        <f aca="false">Sens!H9854</f>
        <v>219.167638189678</v>
      </c>
      <c r="I9878" s="6" t="n">
        <f aca="false">Sens!I9854</f>
        <v>262.852370248498</v>
      </c>
      <c r="J9878" s="6" t="n">
        <f aca="false">Sens!J9854</f>
        <v>305.025635987223</v>
      </c>
      <c r="K9878" s="6" t="n">
        <f aca="false">Sens!K9854</f>
        <v>344.633534638493</v>
      </c>
    </row>
    <row r="9879" customFormat="false" ht="17.15" hidden="false" customHeight="false" outlineLevel="0" collapsed="false">
      <c r="A9879" s="0" t="s">
        <v>780</v>
      </c>
      <c r="B9879" s="0" t="s">
        <v>95</v>
      </c>
      <c r="D9879" s="6" t="n">
        <f aca="false">Sens!D9851</f>
        <v>12.9359794422418</v>
      </c>
      <c r="E9879" s="6" t="n">
        <f aca="false">Sens!E9851</f>
        <v>27.8095064661409</v>
      </c>
      <c r="F9879" s="6" t="n">
        <f aca="false">Sens!F9851</f>
        <v>50.6619113883066</v>
      </c>
      <c r="G9879" s="6" t="n">
        <f aca="false">Sens!G9851</f>
        <v>75.1482839325348</v>
      </c>
      <c r="H9879" s="6" t="n">
        <f aca="false">Sens!H9851</f>
        <v>94.895655604042</v>
      </c>
      <c r="I9879" s="6" t="n">
        <f aca="false">Sens!I9851</f>
        <v>121.918667866643</v>
      </c>
      <c r="J9879" s="6" t="n">
        <f aca="false">Sens!J9851</f>
        <v>149.006768672892</v>
      </c>
      <c r="K9879" s="6" t="n">
        <f aca="false">Sens!K9851</f>
        <v>176.133157939015</v>
      </c>
    </row>
    <row r="9880" customFormat="false" ht="17.15" hidden="false" customHeight="false" outlineLevel="0" collapsed="false">
      <c r="A9880" s="0" t="s">
        <v>807</v>
      </c>
      <c r="B9880" s="0" t="s">
        <v>95</v>
      </c>
      <c r="D9880" s="6" t="n">
        <f aca="false">Sens!D9852</f>
        <v>59.6740205577583</v>
      </c>
      <c r="E9880" s="6" t="n">
        <f aca="false">Sens!E9852</f>
        <v>74.1284935338591</v>
      </c>
      <c r="F9880" s="6" t="n">
        <f aca="false">Sens!F9852</f>
        <v>90.0799497373663</v>
      </c>
      <c r="G9880" s="6" t="n">
        <f aca="false">Sens!G9852</f>
        <v>107.02842520331</v>
      </c>
      <c r="H9880" s="6" t="n">
        <f aca="false">Sens!H9852</f>
        <v>124.271982585636</v>
      </c>
      <c r="I9880" s="6" t="n">
        <f aca="false">Sens!I9852</f>
        <v>140.933702381855</v>
      </c>
      <c r="J9880" s="6" t="n">
        <f aca="false">Sens!J9852</f>
        <v>156.018867314332</v>
      </c>
      <c r="K9880" s="6" t="n">
        <f aca="false">Sens!K9852</f>
        <v>168.500376699478</v>
      </c>
    </row>
    <row r="9881" customFormat="false" ht="15" hidden="false" customHeight="false" outlineLevel="0" collapsed="false">
      <c r="A9881" s="0" t="s">
        <v>788</v>
      </c>
      <c r="B9881" s="0" t="s">
        <v>95</v>
      </c>
      <c r="D9881" s="6" t="n">
        <f aca="false">Sens!D9859</f>
        <v>84.605</v>
      </c>
      <c r="E9881" s="6" t="n">
        <f aca="false">Sens!E9859</f>
        <v>100.299</v>
      </c>
      <c r="F9881" s="6" t="n">
        <f aca="false">Sens!F9859</f>
        <v>117.39238776686</v>
      </c>
      <c r="G9881" s="6" t="n">
        <f aca="false">Sens!G9859</f>
        <v>132.544168448684</v>
      </c>
      <c r="H9881" s="6" t="n">
        <f aca="false">Sens!H9859</f>
        <v>147.777359388781</v>
      </c>
      <c r="I9881" s="6" t="n">
        <f aca="false">Sens!I9859</f>
        <v>162.084028071957</v>
      </c>
      <c r="J9881" s="6" t="n">
        <f aca="false">Sens!J9859</f>
        <v>175.182702785465</v>
      </c>
      <c r="K9881" s="6" t="n">
        <f aca="false">Sens!K9859</f>
        <v>187.527991980448</v>
      </c>
    </row>
    <row r="9882" customFormat="false" ht="17.15" hidden="false" customHeight="false" outlineLevel="0" collapsed="false">
      <c r="A9882" s="0" t="s">
        <v>808</v>
      </c>
      <c r="B9882" s="0" t="s">
        <v>95</v>
      </c>
      <c r="D9882" s="6" t="n">
        <f aca="false">Sens!D9857</f>
        <v>83.705</v>
      </c>
      <c r="E9882" s="6" t="n">
        <f aca="false">Sens!E9857</f>
        <v>95.049</v>
      </c>
      <c r="F9882" s="6" t="n">
        <f aca="false">Sens!F9857</f>
        <v>106.89238776686</v>
      </c>
      <c r="G9882" s="6" t="n">
        <f aca="false">Sens!G9857</f>
        <v>119.044168448684</v>
      </c>
      <c r="H9882" s="6" t="n">
        <f aca="false">Sens!H9857</f>
        <v>131.277359388781</v>
      </c>
      <c r="I9882" s="6" t="n">
        <f aca="false">Sens!I9857</f>
        <v>143.334028071957</v>
      </c>
      <c r="J9882" s="6" t="n">
        <f aca="false">Sens!J9857</f>
        <v>154.932702785465</v>
      </c>
      <c r="K9882" s="6" t="n">
        <f aca="false">Sens!K9857</f>
        <v>165.777991980448</v>
      </c>
    </row>
    <row r="9883" customFormat="false" ht="17.15" hidden="false" customHeight="false" outlineLevel="0" collapsed="false">
      <c r="A9883" s="0" t="s">
        <v>809</v>
      </c>
      <c r="B9883" s="0" t="s">
        <v>95</v>
      </c>
      <c r="D9883" s="6" t="n">
        <f aca="false">Sens!D9856</f>
        <v>0.9</v>
      </c>
      <c r="E9883" s="6" t="n">
        <f aca="false">Sens!E9856</f>
        <v>5.25</v>
      </c>
      <c r="F9883" s="6" t="n">
        <f aca="false">Sens!F9856</f>
        <v>10.5</v>
      </c>
      <c r="G9883" s="6" t="n">
        <f aca="false">Sens!G9856</f>
        <v>13.5</v>
      </c>
      <c r="H9883" s="6" t="n">
        <f aca="false">Sens!H9856</f>
        <v>16.5</v>
      </c>
      <c r="I9883" s="6" t="n">
        <f aca="false">Sens!I9856</f>
        <v>18.75</v>
      </c>
      <c r="J9883" s="6" t="n">
        <f aca="false">Sens!J9856</f>
        <v>20.25</v>
      </c>
      <c r="K9883" s="6" t="n">
        <f aca="false">Sens!K9856</f>
        <v>21.75</v>
      </c>
    </row>
    <row r="9884" customFormat="false" ht="15" hidden="false" customHeight="false" outlineLevel="0" collapsed="false">
      <c r="A9884" s="0" t="s">
        <v>789</v>
      </c>
      <c r="B9884" s="0" t="s">
        <v>95</v>
      </c>
      <c r="D9884" s="6" t="n">
        <f aca="false">Sens!D9860</f>
        <v>35.391</v>
      </c>
      <c r="E9884" s="6" t="n">
        <f aca="false">Sens!E9860</f>
        <v>37.285</v>
      </c>
      <c r="F9884" s="6" t="n">
        <f aca="false">Sens!F9860</f>
        <v>39.0720834331704</v>
      </c>
      <c r="G9884" s="6" t="n">
        <f aca="false">Sens!G9860</f>
        <v>40.726562953769</v>
      </c>
      <c r="H9884" s="6" t="n">
        <f aca="false">Sens!H9860</f>
        <v>42.2235987259198</v>
      </c>
      <c r="I9884" s="6" t="n">
        <f aca="false">Sens!I9860</f>
        <v>43.5397988077414</v>
      </c>
      <c r="J9884" s="6" t="n">
        <f aca="false">Sens!J9860</f>
        <v>44.653811225693</v>
      </c>
      <c r="K9884" s="6" t="n">
        <f aca="false">Sens!K9860</f>
        <v>45.5468874502068</v>
      </c>
    </row>
    <row r="9885" customFormat="false" ht="15" hidden="false" customHeight="false" outlineLevel="0" collapsed="false">
      <c r="A9885" s="0" t="s">
        <v>790</v>
      </c>
      <c r="B9885" s="0" t="s">
        <v>95</v>
      </c>
      <c r="D9885" s="6" t="n">
        <f aca="false">Sens!D9862</f>
        <v>18.417</v>
      </c>
      <c r="E9885" s="6" t="n">
        <f aca="false">Sens!E9862</f>
        <v>20.345</v>
      </c>
      <c r="F9885" s="6" t="n">
        <f aca="false">Sens!F9862</f>
        <v>22.3572203267814</v>
      </c>
      <c r="G9885" s="6" t="n">
        <f aca="false">Sens!G9862</f>
        <v>24.4392124437232</v>
      </c>
      <c r="H9885" s="6" t="n">
        <f aca="false">Sens!H9862</f>
        <v>26.5738052080665</v>
      </c>
      <c r="I9885" s="6" t="n">
        <f aca="false">Sens!I9862</f>
        <v>28.7412169166967</v>
      </c>
      <c r="J9885" s="6" t="n">
        <f aca="false">Sens!J9862</f>
        <v>30.9192545395413</v>
      </c>
      <c r="K9885" s="6" t="n">
        <f aca="false">Sens!K9862</f>
        <v>33.0836023573092</v>
      </c>
    </row>
    <row r="9886" customFormat="false" ht="15" hidden="false" customHeight="false" outlineLevel="0" collapsed="false">
      <c r="A9886" s="0" t="s">
        <v>791</v>
      </c>
      <c r="B9886" s="0" t="s">
        <v>95</v>
      </c>
      <c r="D9886" s="6" t="n">
        <f aca="false">Sens!D9864</f>
        <v>7.76</v>
      </c>
      <c r="E9886" s="6" t="n">
        <f aca="false">Sens!E9864</f>
        <v>8.26</v>
      </c>
      <c r="F9886" s="6" t="n">
        <f aca="false">Sens!F9864</f>
        <v>8.79988041237113</v>
      </c>
      <c r="G9886" s="6" t="n">
        <f aca="false">Sens!G9864</f>
        <v>9.38321269125306</v>
      </c>
      <c r="H9886" s="6" t="n">
        <f aca="false">Sens!H9864</f>
        <v>10.0139193587476</v>
      </c>
      <c r="I9886" s="6" t="n">
        <f aca="false">Sens!I9864</f>
        <v>10.6963111830911</v>
      </c>
      <c r="J9886" s="6" t="n">
        <f aca="false">Sens!J9864</f>
        <v>11.4351285534696</v>
      </c>
      <c r="K9886" s="6" t="n">
        <f aca="false">Sens!K9864</f>
        <v>12.2355875522124</v>
      </c>
    </row>
    <row r="9887" customFormat="false" ht="15" hidden="false" customHeight="false" outlineLevel="0" collapsed="false">
      <c r="A9887" s="0" t="s">
        <v>626</v>
      </c>
      <c r="B9887" s="0" t="s">
        <v>95</v>
      </c>
      <c r="D9887" s="6" t="n">
        <f aca="false">Sens!D9866</f>
        <v>218.783</v>
      </c>
      <c r="E9887" s="6" t="n">
        <f aca="false">Sens!E9866</f>
        <v>268.127</v>
      </c>
      <c r="F9887" s="6" t="n">
        <f aca="false">Sens!F9866</f>
        <v>328.363433064856</v>
      </c>
      <c r="G9887" s="6" t="n">
        <f aca="false">Sens!G9866</f>
        <v>389.269865673274</v>
      </c>
      <c r="H9887" s="6" t="n">
        <f aca="false">Sens!H9866</f>
        <v>445.756320871193</v>
      </c>
      <c r="I9887" s="6" t="n">
        <f aca="false">Sens!I9866</f>
        <v>507.913725227984</v>
      </c>
      <c r="J9887" s="6" t="n">
        <f aca="false">Sens!J9866</f>
        <v>567.216533091392</v>
      </c>
      <c r="K9887" s="6" t="n">
        <f aca="false">Sens!K9866</f>
        <v>623.027603978669</v>
      </c>
    </row>
    <row r="9888" customFormat="false" ht="15" hidden="false" customHeight="false" outlineLevel="0" collapsed="false">
      <c r="A9888" s="0" t="s">
        <v>792</v>
      </c>
      <c r="B9888" s="0" t="s">
        <v>95</v>
      </c>
      <c r="D9888" s="6" t="n">
        <f aca="false">Sens!D9867</f>
        <v>22.171</v>
      </c>
      <c r="E9888" s="6" t="n">
        <f aca="false">Sens!E9867</f>
        <v>24.835</v>
      </c>
      <c r="F9888" s="6" t="n">
        <f aca="false">Sens!F9867</f>
        <v>27.6114901218559</v>
      </c>
      <c r="G9888" s="6" t="n">
        <f aca="false">Sens!G9867</f>
        <v>30.4675667338515</v>
      </c>
      <c r="H9888" s="6" t="n">
        <f aca="false">Sens!H9867</f>
        <v>33.3643766955789</v>
      </c>
      <c r="I9888" s="6" t="n">
        <f aca="false">Sens!I9867</f>
        <v>36.2577016533691</v>
      </c>
      <c r="J9888" s="6" t="n">
        <f aca="false">Sens!J9867</f>
        <v>39.0988367952171</v>
      </c>
      <c r="K9888" s="6" t="n">
        <f aca="false">Sens!K9867</f>
        <v>41.8357553708823</v>
      </c>
    </row>
    <row r="9889" customFormat="false" ht="15" hidden="false" customHeight="false" outlineLevel="0" collapsed="false">
      <c r="A9889" s="0" t="s">
        <v>793</v>
      </c>
      <c r="B9889" s="0" t="s">
        <v>95</v>
      </c>
      <c r="D9889" s="6" t="n">
        <f aca="false">Sens!D9869</f>
        <v>23.455</v>
      </c>
      <c r="E9889" s="6" t="n">
        <f aca="false">Sens!E9869</f>
        <v>21.79</v>
      </c>
      <c r="F9889" s="6" t="n">
        <f aca="false">Sens!F9869</f>
        <v>20.5736277908051</v>
      </c>
      <c r="G9889" s="6" t="n">
        <f aca="false">Sens!G9869</f>
        <v>19.7371452817919</v>
      </c>
      <c r="H9889" s="6" t="n">
        <f aca="false">Sens!H9869</f>
        <v>19.2339764043138</v>
      </c>
      <c r="I9889" s="6" t="n">
        <f aca="false">Sens!I9869</f>
        <v>19.0353086852681</v>
      </c>
      <c r="J9889" s="6" t="n">
        <f aca="false">Sens!J9869</f>
        <v>19.1273539319129</v>
      </c>
      <c r="K9889" s="6" t="n">
        <f aca="false">Sens!K9869</f>
        <v>19.5099010105511</v>
      </c>
    </row>
    <row r="9890" customFormat="false" ht="15" hidden="false" customHeight="false" outlineLevel="0" collapsed="false">
      <c r="A9890" s="0" t="s">
        <v>794</v>
      </c>
      <c r="B9890" s="0" t="s">
        <v>95</v>
      </c>
      <c r="D9890" s="6" t="n">
        <f aca="false">Sens!D9871</f>
        <v>17.315</v>
      </c>
      <c r="E9890" s="6" t="n">
        <f aca="false">Sens!E9871</f>
        <v>17.087</v>
      </c>
      <c r="F9890" s="6" t="n">
        <f aca="false">Sens!F9871</f>
        <v>16.9564585436519</v>
      </c>
      <c r="G9890" s="6" t="n">
        <f aca="false">Sens!G9871</f>
        <v>16.9206490624268</v>
      </c>
      <c r="H9890" s="6" t="n">
        <f aca="false">Sens!H9871</f>
        <v>16.9784519149849</v>
      </c>
      <c r="I9890" s="6" t="n">
        <f aca="false">Sens!I9871</f>
        <v>17.1303084701817</v>
      </c>
      <c r="J9890" s="6" t="n">
        <f aca="false">Sens!J9871</f>
        <v>17.3782189407267</v>
      </c>
      <c r="K9890" s="6" t="n">
        <f aca="false">Sens!K9871</f>
        <v>17.7257833195413</v>
      </c>
    </row>
    <row r="9891" customFormat="false" ht="15" hidden="false" customHeight="false" outlineLevel="0" collapsed="false">
      <c r="A9891" s="0" t="s">
        <v>640</v>
      </c>
      <c r="B9891" s="0" t="s">
        <v>95</v>
      </c>
      <c r="D9891" s="6" t="n">
        <f aca="false">Sens!D9873</f>
        <v>62.941</v>
      </c>
      <c r="E9891" s="6" t="n">
        <f aca="false">Sens!E9873</f>
        <v>63.712</v>
      </c>
      <c r="F9891" s="6" t="n">
        <f aca="false">Sens!F9873</f>
        <v>65.1415764563129</v>
      </c>
      <c r="G9891" s="6" t="n">
        <f aca="false">Sens!G9873</f>
        <v>67.1253610780702</v>
      </c>
      <c r="H9891" s="6" t="n">
        <f aca="false">Sens!H9873</f>
        <v>69.5768050148776</v>
      </c>
      <c r="I9891" s="6" t="n">
        <f aca="false">Sens!I9873</f>
        <v>72.4233188088189</v>
      </c>
      <c r="J9891" s="6" t="n">
        <f aca="false">Sens!J9873</f>
        <v>75.6044096678567</v>
      </c>
      <c r="K9891" s="6" t="n">
        <f aca="false">Sens!K9873</f>
        <v>79.0714397009747</v>
      </c>
    </row>
    <row r="9892" customFormat="false" ht="15" hidden="false" customHeight="false" outlineLevel="0" collapsed="false">
      <c r="A9892" s="1" t="s">
        <v>810</v>
      </c>
      <c r="B9892" s="0" t="s">
        <v>95</v>
      </c>
      <c r="D9892" s="6" t="n">
        <f aca="false">Sens!D9874</f>
        <v>281.724</v>
      </c>
      <c r="E9892" s="6" t="n">
        <f aca="false">Sens!E9874</f>
        <v>331.839</v>
      </c>
      <c r="F9892" s="6" t="n">
        <f aca="false">Sens!F9874</f>
        <v>393.505009521169</v>
      </c>
      <c r="G9892" s="6" t="n">
        <f aca="false">Sens!G9874</f>
        <v>456.395226751344</v>
      </c>
      <c r="H9892" s="6" t="n">
        <f aca="false">Sens!H9874</f>
        <v>515.333125886071</v>
      </c>
      <c r="I9892" s="6" t="n">
        <f aca="false">Sens!I9874</f>
        <v>580.337044036803</v>
      </c>
      <c r="J9892" s="6" t="n">
        <f aca="false">Sens!J9874</f>
        <v>642.820942759249</v>
      </c>
      <c r="K9892" s="6" t="n">
        <f aca="false">Sens!K9874</f>
        <v>702.099043679644</v>
      </c>
    </row>
    <row r="9893" customFormat="false" ht="15" hidden="false" customHeight="false" outlineLevel="0" collapsed="false">
      <c r="A9893" s="1" t="s">
        <v>811</v>
      </c>
      <c r="B9893" s="0" t="s">
        <v>126</v>
      </c>
      <c r="E9893" s="7" t="n">
        <f aca="false">Sens!E9892/Sens!D9892-1</f>
        <v>0.177886867998467</v>
      </c>
      <c r="F9893" s="7" t="n">
        <f aca="false">Sens!F9892/Sens!E9892-1</f>
        <v>0.185831109427067</v>
      </c>
      <c r="G9893" s="7" t="n">
        <f aca="false">Sens!G9892/Sens!F9892-1</f>
        <v>0.159820626697237</v>
      </c>
      <c r="H9893" s="7" t="n">
        <f aca="false">Sens!H9892/Sens!G9892-1</f>
        <v>0.129137851756801</v>
      </c>
      <c r="I9893" s="7" t="n">
        <f aca="false">Sens!I9892/Sens!H9892-1</f>
        <v>0.126139607344208</v>
      </c>
      <c r="J9893" s="7" t="n">
        <f aca="false">Sens!J9892/Sens!I9892-1</f>
        <v>0.107668292700756</v>
      </c>
      <c r="K9893" s="7" t="n">
        <f aca="false">Sens!K9892/Sens!J9892-1</f>
        <v>0.0922155719848661</v>
      </c>
    </row>
    <row r="9894" customFormat="false" ht="17.15" hidden="false" customHeight="false" outlineLevel="0" collapsed="false">
      <c r="A9894" s="22" t="s">
        <v>812</v>
      </c>
      <c r="B9894" s="28" t="s">
        <v>95</v>
      </c>
      <c r="C9894" s="28"/>
      <c r="D9894" s="23" t="n">
        <f aca="false">(Sens!D9887+Sens!D9891-Sens!D9892)+(Sens!D9879+Sens!D9880-Sens!D9878)+(Sens!D9882+Sens!D9883-Sens!D9881)+(Sens!D9892-Q!L18)</f>
        <v>0</v>
      </c>
      <c r="E9894" s="23" t="n">
        <f aca="false">(Sens!E9887+Sens!E9891-Sens!E9892)+(Sens!E9879+Sens!E9880-Sens!E9878)+(Sens!E9882+Sens!E9883-Sens!E9881)+(Sens!E9892-Q!M18)</f>
        <v>0</v>
      </c>
      <c r="F9894" s="23" t="n">
        <f aca="false">(Sens!F9887+Sens!F9891-Sens!F9892)+(Sens!F9879+Sens!F9880-Sens!F9878)+(Sens!F9882+Sens!F9883-Sens!F9881)</f>
        <v>0</v>
      </c>
      <c r="G9894" s="23" t="n">
        <f aca="false">(Sens!G9887+Sens!G9891-Sens!G9892)+(Sens!G9879+Sens!G9880-Sens!G9878)+(Sens!G9882+Sens!G9883-Sens!G9881)</f>
        <v>0</v>
      </c>
      <c r="H9894" s="23" t="n">
        <f aca="false">(Sens!H9887+Sens!H9891-Sens!H9892)+(Sens!H9879+Sens!H9880-Sens!H9878)+(Sens!H9882+Sens!H9883-Sens!H9881)</f>
        <v>0</v>
      </c>
      <c r="I9894" s="23" t="n">
        <f aca="false">(Sens!I9887+Sens!I9891-Sens!I9892)+(Sens!I9879+Sens!I9880-Sens!I9878)+(Sens!I9882+Sens!I9883-Sens!I9881)</f>
        <v>0</v>
      </c>
      <c r="J9894" s="23" t="n">
        <f aca="false">(Sens!J9887+Sens!J9891-Sens!J9892)+(Sens!J9879+Sens!J9880-Sens!J9878)+(Sens!J9882+Sens!J9883-Sens!J9881)</f>
        <v>0</v>
      </c>
      <c r="K9894" s="23" t="n">
        <f aca="false">(Sens!K9887+Sens!K9891-Sens!K9892)+(Sens!K9879+Sens!K9880-Sens!K9878)+(Sens!K9882+Sens!K9883-Sens!K9881)</f>
        <v>0</v>
      </c>
    </row>
    <row r="9895" customFormat="false" ht="17.15" hidden="false" customHeight="false" outlineLevel="0" collapsed="false">
      <c r="A9895" s="0" t="s">
        <v>813</v>
      </c>
      <c r="B9895" s="0" t="s">
        <v>126</v>
      </c>
      <c r="E9895" s="7" t="n">
        <f aca="false">(Q!M21+Sens!E9832+Sens!E9833+Sens!E9834+Sens!E9847-Sens!E9830)/(Q!M5-Sens!E9830)</f>
        <v>0.570957350878296</v>
      </c>
      <c r="F9895" s="7" t="n">
        <f aca="false">Sens!$E$9895+dm_seg_lo</f>
        <v>0.550957350878296</v>
      </c>
      <c r="G9895" s="7" t="n">
        <f aca="false">Sens!$E$9895+dm_seg_lo</f>
        <v>0.550957350878296</v>
      </c>
      <c r="H9895" s="7" t="n">
        <f aca="false">Sens!$E$9895+dm_seg_lo</f>
        <v>0.550957350878296</v>
      </c>
      <c r="I9895" s="7" t="n">
        <f aca="false">Sens!$E$9895+dm_seg_lo</f>
        <v>0.550957350878296</v>
      </c>
      <c r="J9895" s="7" t="n">
        <f aca="false">Sens!$E$9895+dm_seg_lo</f>
        <v>0.550957350878296</v>
      </c>
      <c r="K9895" s="7" t="n">
        <f aca="false">Sens!$E$9895+dm_seg_lo</f>
        <v>0.550957350878296</v>
      </c>
      <c r="L9895" s="11" t="s">
        <v>814</v>
      </c>
    </row>
    <row r="9896" customFormat="false" ht="17.15" hidden="false" customHeight="false" outlineLevel="0" collapsed="false">
      <c r="A9896" s="0" t="s">
        <v>654</v>
      </c>
      <c r="B9896" s="0" t="s">
        <v>95</v>
      </c>
      <c r="D9896" s="6" t="n">
        <f aca="false">Q!L21</f>
        <v>110.814</v>
      </c>
      <c r="E9896" s="6" t="n">
        <f aca="false">Q!M21</f>
        <v>136.365</v>
      </c>
      <c r="F9896" s="6" t="n">
        <f aca="false">Sens!F9895*(Sens!F9866-Sens!F9830)+Sens!F9830-(Sens!F9832+Sens!F9833+Sens!F9834)-Sens!F9847</f>
        <v>146.773074273946</v>
      </c>
      <c r="G9896" s="6" t="n">
        <f aca="false">Sens!G9895*(Sens!G9866-Sens!G9830)+Sens!G9830-(Sens!G9832+Sens!G9833+Sens!G9834)-Sens!G9847</f>
        <v>154.00172726636</v>
      </c>
      <c r="H9896" s="6" t="n">
        <f aca="false">Sens!H9895*(Sens!H9866-Sens!H9830)+Sens!H9830-(Sens!H9832+Sens!H9833+Sens!H9834)-Sens!H9847</f>
        <v>155.558186018864</v>
      </c>
      <c r="I9896" s="6" t="n">
        <f aca="false">Sens!I9895*(Sens!I9866-Sens!I9830)+Sens!I9830-(Sens!I9832+Sens!I9833+Sens!I9834)-Sens!I9847</f>
        <v>162.456067692915</v>
      </c>
      <c r="J9896" s="6" t="n">
        <f aca="false">Sens!J9895*(Sens!J9866-Sens!J9830)+Sens!J9830-(Sens!J9832+Sens!J9833+Sens!J9834)-Sens!J9847</f>
        <v>166.82207535162</v>
      </c>
      <c r="K9896" s="6" t="n">
        <f aca="false">Sens!K9895*(Sens!K9866-Sens!K9830)+Sens!K9830-(Sens!K9832+Sens!K9833+Sens!K9834)-Sens!K9847</f>
        <v>167.98445271805</v>
      </c>
      <c r="L9896" s="1" t="s">
        <v>815</v>
      </c>
    </row>
    <row r="9897" customFormat="false" ht="17.15" hidden="false" customHeight="false" outlineLevel="0" collapsed="false">
      <c r="A9897" s="0" t="s">
        <v>816</v>
      </c>
      <c r="B9897" s="0" t="s">
        <v>126</v>
      </c>
      <c r="E9897" s="7" t="n">
        <f aca="false">Q!M22/Q!M12</f>
        <v>0.296207935710698</v>
      </c>
      <c r="F9897" s="7" t="n">
        <f aca="false">Sens!$E$9897+dm_seg_lo</f>
        <v>0.276207935710698</v>
      </c>
      <c r="G9897" s="7" t="n">
        <f aca="false">Sens!$E$9897+dm_seg_lo</f>
        <v>0.276207935710698</v>
      </c>
      <c r="H9897" s="7" t="n">
        <f aca="false">Sens!$E$9897+dm_seg_lo</f>
        <v>0.276207935710698</v>
      </c>
      <c r="I9897" s="7" t="n">
        <f aca="false">Sens!$E$9897+dm_seg_lo</f>
        <v>0.276207935710698</v>
      </c>
      <c r="J9897" s="7" t="n">
        <f aca="false">Sens!$E$9897+dm_seg_lo</f>
        <v>0.276207935710698</v>
      </c>
      <c r="K9897" s="7" t="n">
        <f aca="false">Sens!$E$9897+dm_seg_lo</f>
        <v>0.276207935710698</v>
      </c>
      <c r="L9897" s="11" t="s">
        <v>817</v>
      </c>
    </row>
    <row r="9898" customFormat="false" ht="17.15" hidden="false" customHeight="false" outlineLevel="0" collapsed="false">
      <c r="A9898" s="0" t="s">
        <v>656</v>
      </c>
      <c r="B9898" s="0" t="s">
        <v>95</v>
      </c>
      <c r="D9898" s="6" t="n">
        <f aca="false">Q!L22</f>
        <v>17.714</v>
      </c>
      <c r="E9898" s="6" t="n">
        <f aca="false">Q!M22</f>
        <v>18.872</v>
      </c>
      <c r="F9898" s="6" t="n">
        <f aca="false">Sens!F9873*Sens!F9897</f>
        <v>17.9926203619388</v>
      </c>
      <c r="G9898" s="6" t="n">
        <f aca="false">Sens!G9873*Sens!G9897</f>
        <v>18.540557417209</v>
      </c>
      <c r="H9898" s="6" t="n">
        <f aca="false">Sens!H9873*Sens!H9897</f>
        <v>19.2176656865051</v>
      </c>
      <c r="I9898" s="6" t="n">
        <f aca="false">Sens!I9873*Sens!I9897</f>
        <v>20.0038953855016</v>
      </c>
      <c r="J9898" s="6" t="n">
        <f aca="false">Sens!J9873*Sens!J9897</f>
        <v>20.8825379249846</v>
      </c>
      <c r="K9898" s="6" t="n">
        <f aca="false">Sens!K9873*Sens!K9897</f>
        <v>21.8401591334792</v>
      </c>
    </row>
    <row r="9899" customFormat="false" ht="15" hidden="false" customHeight="false" outlineLevel="0" collapsed="false">
      <c r="A9899" s="1" t="s">
        <v>818</v>
      </c>
      <c r="B9899" s="0" t="s">
        <v>95</v>
      </c>
      <c r="D9899" s="6" t="n">
        <f aca="false">Sens!D9896+Sens!D9898</f>
        <v>128.528</v>
      </c>
      <c r="E9899" s="6" t="n">
        <f aca="false">Sens!E9896+Sens!E9898</f>
        <v>155.237</v>
      </c>
      <c r="F9899" s="6" t="n">
        <f aca="false">Sens!F9896+Sens!F9898</f>
        <v>164.765694635884</v>
      </c>
      <c r="G9899" s="6" t="n">
        <f aca="false">Sens!G9896+Sens!G9898</f>
        <v>172.542284683569</v>
      </c>
      <c r="H9899" s="6" t="n">
        <f aca="false">Sens!H9896+Sens!H9898</f>
        <v>174.775851705369</v>
      </c>
      <c r="I9899" s="6" t="n">
        <f aca="false">Sens!I9896+Sens!I9898</f>
        <v>182.459963078416</v>
      </c>
      <c r="J9899" s="6" t="n">
        <f aca="false">Sens!J9896+Sens!J9898</f>
        <v>187.704613276604</v>
      </c>
      <c r="K9899" s="6" t="n">
        <f aca="false">Sens!K9896+Sens!K9898</f>
        <v>189.824611851529</v>
      </c>
    </row>
    <row r="9900" customFormat="false" ht="15" hidden="false" customHeight="false" outlineLevel="0" collapsed="false">
      <c r="A9900" s="22" t="s">
        <v>819</v>
      </c>
      <c r="B9900" s="28" t="s">
        <v>95</v>
      </c>
      <c r="C9900" s="28"/>
      <c r="D9900" s="23" t="n">
        <f aca="false">Sens!D9899-Q!L23</f>
        <v>0</v>
      </c>
      <c r="E9900" s="23" t="n">
        <f aca="false">Sens!E9899-Q!M23</f>
        <v>0</v>
      </c>
      <c r="F9900" s="28"/>
      <c r="G9900" s="28"/>
      <c r="H9900" s="28"/>
      <c r="I9900" s="28"/>
      <c r="J9900" s="28"/>
      <c r="K9900" s="28"/>
    </row>
    <row r="9901" customFormat="false" ht="15" hidden="false" customHeight="false" outlineLevel="0" collapsed="false">
      <c r="A9901" s="1" t="s">
        <v>820</v>
      </c>
      <c r="B9901" s="0" t="s">
        <v>126</v>
      </c>
      <c r="D9901" s="7" t="n">
        <f aca="false">Sens!D9899/Sens!D9892</f>
        <v>0.456219562408598</v>
      </c>
      <c r="E9901" s="7" t="n">
        <f aca="false">Sens!E9899/Sens!E9892</f>
        <v>0.467808184089272</v>
      </c>
      <c r="F9901" s="7" t="n">
        <f aca="false">Sens!F9899/Sens!F9892</f>
        <v>0.418713080263901</v>
      </c>
      <c r="G9901" s="7" t="n">
        <f aca="false">Sens!G9899/Sens!G9892</f>
        <v>0.378054533812148</v>
      </c>
      <c r="H9901" s="7" t="n">
        <f aca="false">Sens!H9899/Sens!H9892</f>
        <v>0.339151207104835</v>
      </c>
      <c r="I9901" s="7" t="n">
        <f aca="false">Sens!I9899/Sens!I9892</f>
        <v>0.314403440127192</v>
      </c>
      <c r="J9901" s="7" t="n">
        <f aca="false">Sens!J9899/Sens!J9892</f>
        <v>0.292001396953403</v>
      </c>
      <c r="K9901" s="7" t="n">
        <f aca="false">Sens!K9899/Sens!K9892</f>
        <v>0.270367284445616</v>
      </c>
    </row>
    <row r="9902" customFormat="false" ht="17.15" hidden="false" customHeight="false" outlineLevel="0" collapsed="false">
      <c r="A9902" s="1" t="s">
        <v>821</v>
      </c>
      <c r="B9902" s="0" t="s">
        <v>95</v>
      </c>
      <c r="E9902" s="6" t="n">
        <f aca="false">Sens!E9847</f>
        <v>16.3054059770833</v>
      </c>
      <c r="F9902" s="6" t="n">
        <f aca="false">Sens!F9847</f>
        <v>34.7530354558698</v>
      </c>
      <c r="G9902" s="6" t="n">
        <f aca="false">Sens!G9847</f>
        <v>60.5317332603396</v>
      </c>
      <c r="H9902" s="6" t="n">
        <f aca="false">Sens!H9847</f>
        <v>87.7673159931396</v>
      </c>
      <c r="I9902" s="6" t="n">
        <f aca="false">Sens!I9847</f>
        <v>116.022181741123</v>
      </c>
      <c r="J9902" s="6" t="n">
        <f aca="false">Sens!J9847</f>
        <v>145.249277958273</v>
      </c>
      <c r="K9902" s="6" t="n">
        <f aca="false">Sens!K9847</f>
        <v>175.76392263459</v>
      </c>
    </row>
    <row r="9903" customFormat="false" ht="17.15" hidden="false" customHeight="false" outlineLevel="0" collapsed="false">
      <c r="A9903" s="1" t="s">
        <v>822</v>
      </c>
      <c r="B9903" s="0" t="s">
        <v>95</v>
      </c>
      <c r="E9903" s="6" t="n">
        <f aca="false">Sens!E9923</f>
        <v>22.2285940229167</v>
      </c>
      <c r="F9903" s="6" t="n">
        <f aca="false">Sens!F9923</f>
        <v>23.5486693435813</v>
      </c>
      <c r="G9903" s="6" t="n">
        <f aca="false">Sens!G9923</f>
        <v>25.264091766262</v>
      </c>
      <c r="H9903" s="6" t="n">
        <f aca="false">Sens!H9923</f>
        <v>27.3438339540448</v>
      </c>
      <c r="I9903" s="6" t="n">
        <f aca="false">Sens!I9923</f>
        <v>29.7317905898047</v>
      </c>
      <c r="J9903" s="6" t="n">
        <f aca="false">Sens!J9923</f>
        <v>32.3542028558616</v>
      </c>
      <c r="K9903" s="6" t="n">
        <f aca="false">Sens!K9923</f>
        <v>35.1281528444749</v>
      </c>
    </row>
    <row r="9904" customFormat="false" ht="17.15" hidden="false" customHeight="false" outlineLevel="0" collapsed="false">
      <c r="A9904" s="1" t="s">
        <v>823</v>
      </c>
      <c r="B9904" s="0" t="s">
        <v>95</v>
      </c>
      <c r="D9904" s="6" t="n">
        <f aca="false">Q!L27</f>
        <v>-4.901</v>
      </c>
      <c r="E9904" s="6" t="n">
        <f aca="false">Q!M27</f>
        <v>10.697</v>
      </c>
      <c r="F9904" s="6" t="n">
        <f aca="false">oie_f</f>
        <v>-0.4</v>
      </c>
      <c r="G9904" s="6" t="n">
        <f aca="false">oie_f</f>
        <v>-0.4</v>
      </c>
      <c r="H9904" s="6" t="n">
        <f aca="false">oie_f</f>
        <v>-0.4</v>
      </c>
      <c r="I9904" s="6" t="n">
        <f aca="false">oie_f</f>
        <v>-0.4</v>
      </c>
      <c r="J9904" s="6" t="n">
        <f aca="false">oie_f</f>
        <v>-0.4</v>
      </c>
      <c r="K9904" s="6" t="n">
        <f aca="false">oie_f</f>
        <v>-0.4</v>
      </c>
      <c r="L9904" s="11" t="s">
        <v>824</v>
      </c>
    </row>
    <row r="9905" customFormat="false" ht="15" hidden="false" customHeight="false" outlineLevel="0" collapsed="false">
      <c r="A9905" s="1" t="s">
        <v>666</v>
      </c>
      <c r="B9905" s="0" t="s">
        <v>95</v>
      </c>
      <c r="D9905" s="6" t="n">
        <f aca="false">Sens!D9899+Sens!D9904</f>
        <v>123.627</v>
      </c>
      <c r="E9905" s="6" t="n">
        <f aca="false">Sens!E9899+Sens!E9904</f>
        <v>165.934</v>
      </c>
      <c r="F9905" s="6" t="n">
        <f aca="false">Sens!F9899+Sens!F9904</f>
        <v>164.365694635884</v>
      </c>
      <c r="G9905" s="6" t="n">
        <f aca="false">Sens!G9899+Sens!G9904</f>
        <v>172.142284683569</v>
      </c>
      <c r="H9905" s="6" t="n">
        <f aca="false">Sens!H9899+Sens!H9904</f>
        <v>174.375851705369</v>
      </c>
      <c r="I9905" s="6" t="n">
        <f aca="false">Sens!I9899+Sens!I9904</f>
        <v>182.059963078416</v>
      </c>
      <c r="J9905" s="6" t="n">
        <f aca="false">Sens!J9899+Sens!J9904</f>
        <v>187.304613276604</v>
      </c>
      <c r="K9905" s="6" t="n">
        <f aca="false">Sens!K9899+Sens!K9904</f>
        <v>189.424611851529</v>
      </c>
    </row>
    <row r="9906" customFormat="false" ht="15" hidden="false" customHeight="false" outlineLevel="0" collapsed="false">
      <c r="A9906" s="1" t="s">
        <v>668</v>
      </c>
      <c r="B9906" s="0" t="s">
        <v>95</v>
      </c>
      <c r="D9906" s="6" t="n">
        <f aca="false">Q!L29</f>
        <v>21.795</v>
      </c>
      <c r="E9906" s="6" t="n">
        <f aca="false">Q!M29</f>
        <v>32.185</v>
      </c>
      <c r="F9906" s="6" t="n">
        <f aca="false">Sens!F9905*tax_f</f>
        <v>32.8731389271769</v>
      </c>
      <c r="G9906" s="6" t="n">
        <f aca="false">Sens!G9905*tax_f</f>
        <v>34.4284569367138</v>
      </c>
      <c r="H9906" s="6" t="n">
        <f aca="false">Sens!H9905*tax_f</f>
        <v>34.8751703410738</v>
      </c>
      <c r="I9906" s="6" t="n">
        <f aca="false">Sens!I9905*tax_f</f>
        <v>36.4119926156833</v>
      </c>
      <c r="J9906" s="6" t="n">
        <f aca="false">Sens!J9905*tax_f</f>
        <v>37.4609226553208</v>
      </c>
      <c r="K9906" s="6" t="n">
        <f aca="false">Sens!K9905*tax_f</f>
        <v>37.8849223703059</v>
      </c>
    </row>
    <row r="9907" customFormat="false" ht="15" hidden="false" customHeight="false" outlineLevel="0" collapsed="false">
      <c r="A9907" s="1" t="s">
        <v>825</v>
      </c>
      <c r="B9907" s="0" t="s">
        <v>95</v>
      </c>
      <c r="D9907" s="6" t="n">
        <f aca="false">Sens!D9905-Sens!D9906</f>
        <v>101.832</v>
      </c>
      <c r="E9907" s="6" t="n">
        <f aca="false">Sens!E9905-Sens!E9906</f>
        <v>133.749</v>
      </c>
      <c r="F9907" s="6" t="n">
        <f aca="false">Sens!F9905-Sens!F9906</f>
        <v>131.492555708707</v>
      </c>
      <c r="G9907" s="6" t="n">
        <f aca="false">Sens!G9905-Sens!G9906</f>
        <v>137.713827746855</v>
      </c>
      <c r="H9907" s="6" t="n">
        <f aca="false">Sens!H9905-Sens!H9906</f>
        <v>139.500681364295</v>
      </c>
      <c r="I9907" s="6" t="n">
        <f aca="false">Sens!I9905-Sens!I9906</f>
        <v>145.647970462733</v>
      </c>
      <c r="J9907" s="6" t="n">
        <f aca="false">Sens!J9905-Sens!J9906</f>
        <v>149.843690621283</v>
      </c>
      <c r="K9907" s="6" t="n">
        <f aca="false">Sens!K9905-Sens!K9906</f>
        <v>151.539689481224</v>
      </c>
    </row>
    <row r="9908" customFormat="false" ht="17.15" hidden="false" customHeight="false" outlineLevel="0" collapsed="false">
      <c r="A9908" s="1" t="s">
        <v>826</v>
      </c>
      <c r="B9908" s="1" t="s">
        <v>79</v>
      </c>
      <c r="D9908" s="18" t="n">
        <f aca="false">Q!L31</f>
        <v>7.465</v>
      </c>
      <c r="E9908" s="18" t="n">
        <f aca="false">Q!M31</f>
        <v>7.453</v>
      </c>
      <c r="F9908" s="18" t="n">
        <f aca="false">Sens!F9945</f>
        <v>7.4735</v>
      </c>
      <c r="G9908" s="18" t="n">
        <f aca="false">Sens!G9945</f>
        <v>7.5185</v>
      </c>
      <c r="H9908" s="18" t="n">
        <f aca="false">Sens!H9945</f>
        <v>7.5635</v>
      </c>
      <c r="I9908" s="18" t="n">
        <f aca="false">Sens!I9945</f>
        <v>7.60655234683658</v>
      </c>
      <c r="J9908" s="18" t="n">
        <f aca="false">Sens!J9945</f>
        <v>7.63823872488543</v>
      </c>
      <c r="K9908" s="18" t="n">
        <f aca="false">Sens!K9945</f>
        <v>7.67058432891589</v>
      </c>
    </row>
    <row r="9909" customFormat="false" ht="17.15" hidden="false" customHeight="false" outlineLevel="0" collapsed="false">
      <c r="A9909" s="0" t="s">
        <v>827</v>
      </c>
      <c r="B9909" s="0" t="s">
        <v>73</v>
      </c>
      <c r="D9909" s="8" t="n">
        <f aca="false">Sens!D9907/Sens!D9908</f>
        <v>13.641259209645</v>
      </c>
      <c r="E9909" s="8" t="n">
        <f aca="false">Sens!E9907/Sens!E9908</f>
        <v>17.9456594659869</v>
      </c>
      <c r="F9909" s="8" t="n">
        <f aca="false">Sens!F9907/Sens!F9908</f>
        <v>17.5945080228417</v>
      </c>
      <c r="G9909" s="8" t="n">
        <f aca="false">Sens!G9907/Sens!G9908</f>
        <v>18.3166625985044</v>
      </c>
      <c r="H9909" s="8" t="n">
        <f aca="false">Sens!H9907/Sens!H9908</f>
        <v>18.4439322224228</v>
      </c>
      <c r="I9909" s="8" t="n">
        <f aca="false">Sens!I9907/Sens!I9908</f>
        <v>19.1476984344038</v>
      </c>
      <c r="J9909" s="8" t="n">
        <f aca="false">Sens!J9907/Sens!J9908</f>
        <v>19.6175710158275</v>
      </c>
      <c r="K9909" s="8" t="n">
        <f aca="false">Sens!K9907/Sens!K9908</f>
        <v>19.7559511744057</v>
      </c>
      <c r="L9909" s="1" t="s">
        <v>828</v>
      </c>
    </row>
    <row r="9910" customFormat="false" ht="17.15" hidden="false" customHeight="false" outlineLevel="0" collapsed="false">
      <c r="A9910" s="0" t="s">
        <v>829</v>
      </c>
      <c r="B9910" s="0" t="s">
        <v>126</v>
      </c>
      <c r="E9910" s="7" t="n">
        <f aca="false">Sens!E9909/Sens!D9909-1</f>
        <v>0.315542736208578</v>
      </c>
      <c r="F9910" s="7" t="n">
        <f aca="false">Sens!F9909/Sens!E9909-1</f>
        <v>-0.0195674861551174</v>
      </c>
      <c r="G9910" s="7" t="n">
        <f aca="false">Sens!G9909/Sens!F9909-1</f>
        <v>0.0410443176203146</v>
      </c>
      <c r="H9910" s="7" t="n">
        <f aca="false">Sens!H9909/Sens!G9909-1</f>
        <v>0.0069482976625237</v>
      </c>
      <c r="I9910" s="7" t="n">
        <f aca="false">Sens!I9909/Sens!H9909-1</f>
        <v>0.0381570591072424</v>
      </c>
      <c r="J9910" s="7" t="n">
        <f aca="false">Sens!J9909/Sens!I9909-1</f>
        <v>0.0245393765226343</v>
      </c>
      <c r="K9910" s="7" t="n">
        <f aca="false">Sens!K9909/Sens!J9909-1</f>
        <v>0.00705388849957722</v>
      </c>
    </row>
    <row r="9911" customFormat="false" ht="17.15" hidden="false" customHeight="false" outlineLevel="0" collapsed="false">
      <c r="A9911" s="0" t="s">
        <v>763</v>
      </c>
      <c r="B9911" s="0" t="s">
        <v>95</v>
      </c>
      <c r="E9911" s="6" t="n">
        <f aca="false">Sens!E9856</f>
        <v>5.25</v>
      </c>
      <c r="F9911" s="6" t="n">
        <f aca="false">Sens!F9856</f>
        <v>10.5</v>
      </c>
      <c r="G9911" s="6" t="n">
        <f aca="false">Sens!G9856</f>
        <v>13.5</v>
      </c>
      <c r="H9911" s="6" t="n">
        <f aca="false">Sens!H9856</f>
        <v>16.5</v>
      </c>
      <c r="I9911" s="6" t="n">
        <f aca="false">Sens!I9856</f>
        <v>18.75</v>
      </c>
      <c r="J9911" s="6" t="n">
        <f aca="false">Sens!J9856</f>
        <v>20.25</v>
      </c>
      <c r="K9911" s="6" t="n">
        <f aca="false">Sens!K9856</f>
        <v>21.75</v>
      </c>
    </row>
    <row r="9912" customFormat="false" ht="17.15" hidden="false" customHeight="false" outlineLevel="0" collapsed="false">
      <c r="A9912" s="0" t="s">
        <v>764</v>
      </c>
      <c r="B9912" s="0" t="s">
        <v>95</v>
      </c>
      <c r="E9912" s="6" t="n">
        <f aca="false">Sens!E9836+Sens!E9911*Sens!E9895-Sens!E9837-Sens!E9847</f>
        <v>2.1514866143068</v>
      </c>
      <c r="F9912" s="6" t="n">
        <f aca="false">Sens!F9836+Sens!F9911*Sens!F9895-Sens!F9837-Sens!F9847</f>
        <v>-0.443568259615525</v>
      </c>
      <c r="G9912" s="6" t="n">
        <f aca="false">Sens!G9836+Sens!G9911*Sens!G9895-Sens!G9837-Sens!G9847</f>
        <v>-11.6279430263606</v>
      </c>
      <c r="H9912" s="6" t="n">
        <f aca="false">Sens!H9836+Sens!H9911*Sens!H9895-Sens!H9837-Sens!H9847</f>
        <v>-28.6602803546306</v>
      </c>
      <c r="I9912" s="6" t="n">
        <f aca="false">Sens!I9836+Sens!I9911*Sens!I9895-Sens!I9837-Sens!I9847</f>
        <v>-39.8802962340374</v>
      </c>
      <c r="J9912" s="6" t="n">
        <f aca="false">Sens!J9836+Sens!J9911*Sens!J9895-Sens!J9837-Sens!J9847</f>
        <v>-52.4367822085483</v>
      </c>
      <c r="K9912" s="6" t="n">
        <f aca="false">Sens!K9836+Sens!K9911*Sens!K9895-Sens!K9837-Sens!K9847</f>
        <v>-66.2520050125782</v>
      </c>
    </row>
    <row r="9913" customFormat="false" ht="17.15" hidden="false" customHeight="false" outlineLevel="0" collapsed="false">
      <c r="A9913" s="0" t="s">
        <v>765</v>
      </c>
      <c r="B9913" s="0" t="s">
        <v>95</v>
      </c>
      <c r="E9913" s="6" t="n">
        <f aca="false">Sens!E9819*(cxit_open+self_build*tk_cxfac)/1000*ai_net_open</f>
        <v>126.6980382</v>
      </c>
      <c r="F9913" s="6" t="n">
        <f aca="false">Sens!E9913+Sens!F9844-Sens!F9847</f>
        <v>260.715655514568</v>
      </c>
      <c r="G9913" s="6" t="n">
        <f aca="false">Sens!F9913+Sens!G9844-Sens!G9847</f>
        <v>383.758102737428</v>
      </c>
      <c r="H9913" s="6" t="n">
        <f aca="false">Sens!G9913+Sens!H9844-Sens!H9847</f>
        <v>484.071072654689</v>
      </c>
      <c r="I9913" s="6" t="n">
        <f aca="false">Sens!H9913+Sens!I9844-Sens!I9847</f>
        <v>586.387852170632</v>
      </c>
      <c r="J9913" s="6" t="n">
        <f aca="false">Sens!I9913+Sens!J9844-Sens!J9847</f>
        <v>674.915635136093</v>
      </c>
      <c r="K9913" s="6" t="n">
        <f aca="false">Sens!J9913+Sens!K9844-Sens!K9847</f>
        <v>778.008024451903</v>
      </c>
      <c r="L9913" s="1" t="s">
        <v>766</v>
      </c>
    </row>
    <row r="9914" customFormat="false" ht="17.15" hidden="false" customHeight="false" outlineLevel="0" collapsed="false">
      <c r="A9914" s="0" t="s">
        <v>767</v>
      </c>
      <c r="B9914" s="0" t="s">
        <v>126</v>
      </c>
      <c r="F9914" s="7" t="n">
        <f aca="false">Sens!F9912*(1-tax_f)/((Sens!E9913+Sens!F9913)/2)</f>
        <v>-0.00183191566766798</v>
      </c>
      <c r="G9914" s="7" t="n">
        <f aca="false">Sens!G9912*(1-tax_f)/((Sens!F9913+Sens!G9913)/2)</f>
        <v>-0.028868062669671</v>
      </c>
      <c r="H9914" s="7" t="n">
        <f aca="false">Sens!H9912*(1-tax_f)/((Sens!G9913+Sens!H9913)/2)</f>
        <v>-0.0528404089971847</v>
      </c>
      <c r="I9914" s="7" t="n">
        <f aca="false">Sens!I9912*(1-tax_f)/((Sens!H9913+Sens!I9913)/2)</f>
        <v>-0.0596085216299843</v>
      </c>
      <c r="J9914" s="7" t="n">
        <f aca="false">Sens!J9912*(1-tax_f)/((Sens!I9913+Sens!J9913)/2)</f>
        <v>-0.0665175767592837</v>
      </c>
      <c r="K9914" s="7" t="n">
        <f aca="false">Sens!K9912*(1-tax_f)/((Sens!J9913+Sens!K9913)/2)</f>
        <v>-0.0729585531356716</v>
      </c>
    </row>
    <row r="9915" customFormat="false" ht="17.15" hidden="false" customHeight="false" outlineLevel="0" collapsed="false">
      <c r="A9915" s="1" t="s">
        <v>768</v>
      </c>
      <c r="B9915" s="0" t="s">
        <v>126</v>
      </c>
      <c r="F9915" s="7" t="n">
        <f aca="false">Sens!F9848*(1-tax_f)/(Sens!F9835*(Sens!E9913+Sens!F9913)/2)</f>
        <v>0.0977802249085266</v>
      </c>
      <c r="G9915" s="7" t="n">
        <f aca="false">Sens!G9848*(1-tax_f)/(Sens!G9835*(Sens!F9913+Sens!G9913)/2)</f>
        <v>0.0659202727231561</v>
      </c>
      <c r="H9915" s="7" t="n">
        <f aca="false">Sens!H9848*(1-tax_f)/(Sens!H9835*(Sens!G9913+Sens!H9913)/2)</f>
        <v>0.0387765414760463</v>
      </c>
      <c r="I9915" s="7" t="n">
        <f aca="false">Sens!I9848*(1-tax_f)/(Sens!I9835*(Sens!H9913+Sens!I9913)/2)</f>
        <v>0.0397404212066203</v>
      </c>
      <c r="J9915" s="7" t="n">
        <f aca="false">Sens!J9848*(1-tax_f)/(Sens!J9835*(Sens!I9913+Sens!J9913)/2)</f>
        <v>0.0396588038107804</v>
      </c>
      <c r="K9915" s="7" t="n">
        <f aca="false">Sens!K9848*(1-tax_f)/(Sens!K9835*(Sens!J9913+Sens!K9913)/2)</f>
        <v>0.0382194537690573</v>
      </c>
    </row>
    <row r="9916" customFormat="false" ht="17.15" hidden="false" customHeight="false" outlineLevel="0" collapsed="false">
      <c r="A9916" s="0" t="s">
        <v>769</v>
      </c>
      <c r="B9916" s="0" t="s">
        <v>208</v>
      </c>
      <c r="F9916" s="7" t="n">
        <f aca="false">Sens!F9914-wacc</f>
        <v>-0.110795136817922</v>
      </c>
      <c r="G9916" s="7" t="n">
        <f aca="false">Sens!G9914-wacc</f>
        <v>-0.137831283819925</v>
      </c>
      <c r="H9916" s="7" t="n">
        <f aca="false">Sens!H9914-wacc</f>
        <v>-0.161803630147439</v>
      </c>
      <c r="I9916" s="7" t="n">
        <f aca="false">Sens!I9914-wacc</f>
        <v>-0.168571742780238</v>
      </c>
      <c r="J9916" s="7" t="n">
        <f aca="false">Sens!J9914-wacc</f>
        <v>-0.175480797909538</v>
      </c>
      <c r="K9916" s="7" t="n">
        <f aca="false">Sens!K9914-wacc</f>
        <v>-0.181921774285926</v>
      </c>
    </row>
    <row r="9917" customFormat="false" ht="17.15" hidden="false" customHeight="false" outlineLevel="0" collapsed="false">
      <c r="A9917" s="0" t="s">
        <v>770</v>
      </c>
      <c r="B9917" s="0" t="s">
        <v>95</v>
      </c>
      <c r="F9917" s="6" t="n">
        <f aca="false">Sens!F9912*(1-tax_f)-wacc*(Sens!E9913+Sens!F9913)/2</f>
        <v>-21.461776600121</v>
      </c>
      <c r="G9917" s="6" t="n">
        <f aca="false">Sens!G9912*(1-tax_f)-wacc*(Sens!F9913+Sens!G9913)/2</f>
        <v>-44.4143227440623</v>
      </c>
      <c r="H9917" s="6" t="n">
        <f aca="false">Sens!H9912*(1-tax_f)-wacc*(Sens!G9913+Sens!H9913)/2</f>
        <v>-70.2089554631514</v>
      </c>
      <c r="I9917" s="6" t="n">
        <f aca="false">Sens!I9912*(1-tax_f)-wacc*(Sens!H9913+Sens!I9913)/2</f>
        <v>-90.2245632662322</v>
      </c>
      <c r="J9917" s="6" t="n">
        <f aca="false">Sens!J9912*(1-tax_f)-wacc*(Sens!I9913+Sens!J9913)/2</f>
        <v>-110.667271179333</v>
      </c>
      <c r="K9917" s="6" t="n">
        <f aca="false">Sens!K9912*(1-tax_f)-wacc*(Sens!J9913+Sens!K9913)/2</f>
        <v>-132.159225027124</v>
      </c>
    </row>
    <row r="9918" customFormat="false" ht="17.15" hidden="false" customHeight="false" outlineLevel="0" collapsed="false">
      <c r="A9918" s="1" t="s">
        <v>771</v>
      </c>
      <c r="B9918" s="0" t="s">
        <v>95</v>
      </c>
      <c r="F9918" s="6" t="n">
        <f aca="false">(Sens!E9820+Sens!F9820)/2*Sens!F9827/1000</f>
        <v>26.7873066765967</v>
      </c>
      <c r="G9918" s="6" t="n">
        <f aca="false">(Sens!F9820+Sens!G9820)/2*Sens!G9827/1000</f>
        <v>45.4131817597218</v>
      </c>
      <c r="H9918" s="6" t="n">
        <f aca="false">(Sens!G9820+Sens!H9820)/2*Sens!H9827/1000</f>
        <v>65.3915129357971</v>
      </c>
      <c r="I9918" s="6" t="n">
        <f aca="false">(Sens!H9820+Sens!I9820)/2*Sens!I9827/1000</f>
        <v>85.5187419289299</v>
      </c>
      <c r="J9918" s="6" t="n">
        <f aca="false">(Sens!I9820+Sens!J9820)/2*Sens!J9827/1000</f>
        <v>105.723807195006</v>
      </c>
      <c r="K9918" s="6" t="n">
        <f aca="false">(Sens!J9820+Sens!K9820)/2*Sens!K9827/1000</f>
        <v>125.974659797015</v>
      </c>
      <c r="L9918" s="1" t="s">
        <v>772</v>
      </c>
    </row>
    <row r="9919" customFormat="false" ht="17.15" hidden="false" customHeight="false" outlineLevel="0" collapsed="false">
      <c r="A9919" s="1" t="s">
        <v>773</v>
      </c>
      <c r="B9919" s="0" t="s">
        <v>126</v>
      </c>
      <c r="F9919" s="7" t="n">
        <f aca="false">(Sens!F9836+Sens!F9918-Sens!F9837-Sens!F9847)*(1-tax_f)/((Sens!E9913+Sens!F9913)/2)</f>
        <v>0.0849063894903249</v>
      </c>
      <c r="G9919" s="7" t="n">
        <f aca="false">(Sens!G9836+Sens!G9918-Sens!G9837-Sens!G9847)*(1-tax_f)/((Sens!F9913+Sens!G9913)/2)</f>
        <v>0.0654110468496738</v>
      </c>
      <c r="H9919" s="7" t="n">
        <f aca="false">(Sens!H9836+Sens!H9918-Sens!H9837-Sens!H9847)*(1-tax_f)/((Sens!G9913+Sens!H9913)/2)</f>
        <v>0.0509601420656284</v>
      </c>
      <c r="I9919" s="7" t="n">
        <f aca="false">(Sens!I9836+Sens!I9918-Sens!I9837-Sens!I9847)*(1-tax_f)/((Sens!H9913+Sens!I9913)/2)</f>
        <v>0.0527743674001295</v>
      </c>
      <c r="J9919" s="7" t="n">
        <f aca="false">(Sens!J9836+Sens!J9918-Sens!J9837-Sens!J9847)*(1-tax_f)/((Sens!I9913+Sens!J9913)/2)</f>
        <v>0.0534433009091354</v>
      </c>
      <c r="K9919" s="7" t="n">
        <f aca="false">(Sens!K9836+Sens!K9918-Sens!K9837-Sens!K9847)*(1-tax_f)/((Sens!J9913+Sens!K9913)/2)</f>
        <v>0.0525718824526499</v>
      </c>
      <c r="L9919" s="1" t="s">
        <v>774</v>
      </c>
    </row>
    <row r="9920" customFormat="false" ht="17.15" hidden="false" customHeight="false" outlineLevel="0" collapsed="false">
      <c r="A9920" s="3" t="s">
        <v>1397</v>
      </c>
    </row>
    <row r="9921" customFormat="false" ht="15" hidden="false" customHeight="false" outlineLevel="0" collapsed="false">
      <c r="A9921" s="4" t="s">
        <v>43</v>
      </c>
      <c r="B9921" s="4" t="s">
        <v>63</v>
      </c>
      <c r="C9921" s="19" t="s">
        <v>710</v>
      </c>
      <c r="D9921" s="19" t="s">
        <v>711</v>
      </c>
      <c r="E9921" s="19" t="s">
        <v>712</v>
      </c>
      <c r="F9921" s="19" t="s">
        <v>713</v>
      </c>
      <c r="G9921" s="19" t="s">
        <v>714</v>
      </c>
      <c r="H9921" s="19" t="s">
        <v>715</v>
      </c>
      <c r="I9921" s="19" t="s">
        <v>716</v>
      </c>
      <c r="J9921" s="19" t="s">
        <v>717</v>
      </c>
      <c r="K9921" s="19" t="s">
        <v>718</v>
      </c>
      <c r="L9921" s="4" t="s">
        <v>47</v>
      </c>
    </row>
    <row r="9922" customFormat="false" ht="15" hidden="false" customHeight="false" outlineLevel="0" collapsed="false">
      <c r="A9922" s="1" t="s">
        <v>825</v>
      </c>
      <c r="B9922" s="0" t="s">
        <v>95</v>
      </c>
      <c r="F9922" s="6" t="n">
        <f aca="false">Sens!F9907</f>
        <v>131.492555708707</v>
      </c>
      <c r="G9922" s="6" t="n">
        <f aca="false">Sens!G9907</f>
        <v>137.713827746855</v>
      </c>
      <c r="H9922" s="6" t="n">
        <f aca="false">Sens!H9907</f>
        <v>139.500681364295</v>
      </c>
      <c r="I9922" s="6" t="n">
        <f aca="false">Sens!I9907</f>
        <v>145.647970462733</v>
      </c>
      <c r="J9922" s="6" t="n">
        <f aca="false">Sens!J9907</f>
        <v>149.843690621283</v>
      </c>
      <c r="K9922" s="6" t="n">
        <f aca="false">Sens!K9907</f>
        <v>151.539689481224</v>
      </c>
    </row>
    <row r="9923" customFormat="false" ht="17.15" hidden="false" customHeight="false" outlineLevel="0" collapsed="false">
      <c r="A9923" s="1" t="s">
        <v>843</v>
      </c>
      <c r="B9923" s="0" t="s">
        <v>95</v>
      </c>
      <c r="E9923" s="6" t="n">
        <f aca="false">Q!M38-Sens!E9847</f>
        <v>22.2285940229167</v>
      </c>
      <c r="F9923" s="6" t="n">
        <f aca="false">Sens!E9923*(1-1/life_nonai)+Sens!F9929/life_nonai</f>
        <v>23.5486693435813</v>
      </c>
      <c r="G9923" s="6" t="n">
        <f aca="false">Sens!F9923*(1-1/life_nonai)+Sens!G9929/life_nonai</f>
        <v>25.264091766262</v>
      </c>
      <c r="H9923" s="6" t="n">
        <f aca="false">Sens!G9923*(1-1/life_nonai)+Sens!H9929/life_nonai</f>
        <v>27.3438339540448</v>
      </c>
      <c r="I9923" s="6" t="n">
        <f aca="false">Sens!H9923*(1-1/life_nonai)+Sens!I9929/life_nonai</f>
        <v>29.7317905898047</v>
      </c>
      <c r="J9923" s="6" t="n">
        <f aca="false">Sens!I9923*(1-1/life_nonai)+Sens!J9929/life_nonai</f>
        <v>32.3542028558616</v>
      </c>
      <c r="K9923" s="6" t="n">
        <f aca="false">Sens!J9923*(1-1/life_nonai)+Sens!K9929/life_nonai</f>
        <v>35.1281528444749</v>
      </c>
      <c r="L9923" s="11" t="s">
        <v>844</v>
      </c>
    </row>
    <row r="9924" customFormat="false" ht="17.15" hidden="false" customHeight="false" outlineLevel="0" collapsed="false">
      <c r="A9924" s="1" t="s">
        <v>845</v>
      </c>
      <c r="B9924" s="0" t="s">
        <v>95</v>
      </c>
      <c r="E9924" s="6" t="n">
        <f aca="false">Sens!E9847+Sens!E9923</f>
        <v>38.534</v>
      </c>
      <c r="F9924" s="6" t="n">
        <f aca="false">Sens!F9847+Sens!F9923</f>
        <v>58.301704799451</v>
      </c>
      <c r="G9924" s="6" t="n">
        <f aca="false">Sens!G9847+Sens!G9923</f>
        <v>85.7958250266017</v>
      </c>
      <c r="H9924" s="6" t="n">
        <f aca="false">Sens!H9847+Sens!H9923</f>
        <v>115.111149947184</v>
      </c>
      <c r="I9924" s="6" t="n">
        <f aca="false">Sens!I9847+Sens!I9923</f>
        <v>145.753972330928</v>
      </c>
      <c r="J9924" s="6" t="n">
        <f aca="false">Sens!J9847+Sens!J9923</f>
        <v>177.603480814135</v>
      </c>
      <c r="K9924" s="6" t="n">
        <f aca="false">Sens!K9847+Sens!K9923</f>
        <v>210.892075479064</v>
      </c>
    </row>
    <row r="9925" customFormat="false" ht="15" hidden="false" customHeight="false" outlineLevel="0" collapsed="false">
      <c r="A9925" s="1" t="s">
        <v>685</v>
      </c>
      <c r="B9925" s="0" t="s">
        <v>95</v>
      </c>
      <c r="F9925" s="6" t="n">
        <f aca="false">Sens!F9874*sbc_r</f>
        <v>14.7102349124428</v>
      </c>
      <c r="G9925" s="6" t="n">
        <f aca="false">Sens!G9874*sbc_r</f>
        <v>17.061233875013</v>
      </c>
      <c r="H9925" s="6" t="n">
        <f aca="false">Sens!H9874*sbc_r</f>
        <v>19.2644849659525</v>
      </c>
      <c r="I9925" s="6" t="n">
        <f aca="false">Sens!I9874*sbc_r</f>
        <v>21.6944995352461</v>
      </c>
      <c r="J9925" s="6" t="n">
        <f aca="false">Sens!J9874*sbc_r</f>
        <v>24.0303092612034</v>
      </c>
      <c r="K9925" s="6" t="n">
        <f aca="false">Sens!K9874*sbc_r</f>
        <v>26.2462779746985</v>
      </c>
    </row>
    <row r="9926" customFormat="false" ht="17.15" hidden="false" customHeight="false" outlineLevel="0" collapsed="false">
      <c r="A9926" s="1" t="s">
        <v>846</v>
      </c>
      <c r="B9926" s="0" t="s">
        <v>95</v>
      </c>
      <c r="F9926" s="6" t="n">
        <f aca="false">wc27</f>
        <v>-4.895</v>
      </c>
      <c r="G9926" s="6" t="n">
        <f aca="false">0</f>
        <v>0</v>
      </c>
      <c r="H9926" s="6" t="n">
        <f aca="false">0</f>
        <v>0</v>
      </c>
      <c r="I9926" s="6" t="n">
        <f aca="false">0</f>
        <v>0</v>
      </c>
      <c r="J9926" s="6" t="n">
        <f aca="false">0</f>
        <v>0</v>
      </c>
      <c r="K9926" s="6" t="n">
        <f aca="false">0</f>
        <v>0</v>
      </c>
      <c r="L9926" s="11" t="s">
        <v>847</v>
      </c>
    </row>
    <row r="9927" customFormat="false" ht="15" hidden="false" customHeight="false" outlineLevel="0" collapsed="false">
      <c r="A9927" s="1" t="s">
        <v>678</v>
      </c>
      <c r="B9927" s="0" t="s">
        <v>95</v>
      </c>
      <c r="E9927" s="6" t="n">
        <f aca="false">Q!M35</f>
        <v>182.935</v>
      </c>
      <c r="F9927" s="6" t="n">
        <f aca="false">Sens!F9922+Sens!F9924+Sens!F9925+Sens!F9926</f>
        <v>199.609495420601</v>
      </c>
      <c r="G9927" s="6" t="n">
        <f aca="false">Sens!G9922+Sens!G9924+Sens!G9925+Sens!G9926</f>
        <v>240.57088664847</v>
      </c>
      <c r="H9927" s="6" t="n">
        <f aca="false">Sens!H9922+Sens!H9924+Sens!H9925+Sens!H9926</f>
        <v>273.876316277432</v>
      </c>
      <c r="I9927" s="6" t="n">
        <f aca="false">Sens!I9922+Sens!I9924+Sens!I9925+Sens!I9926</f>
        <v>313.096442328907</v>
      </c>
      <c r="J9927" s="6" t="n">
        <f aca="false">Sens!J9922+Sens!J9924+Sens!J9925+Sens!J9926</f>
        <v>351.477480696621</v>
      </c>
      <c r="K9927" s="6" t="n">
        <f aca="false">Sens!K9922+Sens!K9924+Sens!K9925+Sens!K9926</f>
        <v>388.678042934987</v>
      </c>
    </row>
    <row r="9928" customFormat="false" ht="17.15" hidden="false" customHeight="false" outlineLevel="0" collapsed="false">
      <c r="A9928" s="0" t="s">
        <v>848</v>
      </c>
      <c r="B9928" s="0" t="s">
        <v>95</v>
      </c>
      <c r="F9928" s="6" t="n">
        <f aca="false">Sens!F9844</f>
        <v>168.770652770438</v>
      </c>
      <c r="G9928" s="6" t="n">
        <f aca="false">Sens!G9844</f>
        <v>183.5741804832</v>
      </c>
      <c r="H9928" s="6" t="n">
        <f aca="false">Sens!H9844</f>
        <v>188.0802859104</v>
      </c>
      <c r="I9928" s="6" t="n">
        <f aca="false">Sens!I9844</f>
        <v>218.338961257067</v>
      </c>
      <c r="J9928" s="6" t="n">
        <f aca="false">Sens!J9844</f>
        <v>233.777060923733</v>
      </c>
      <c r="K9928" s="6" t="n">
        <f aca="false">Sens!K9844</f>
        <v>278.8563119504</v>
      </c>
    </row>
    <row r="9929" customFormat="false" ht="17.15" hidden="false" customHeight="false" outlineLevel="0" collapsed="false">
      <c r="A9929" s="1" t="s">
        <v>849</v>
      </c>
      <c r="B9929" s="0" t="s">
        <v>95</v>
      </c>
      <c r="E9929" s="6" t="n">
        <f aca="false">Sens!E9852*cx_azo+Sens!E9859*cx_m365+Sens!E9860*cx_lic+(Sens!E9862+Sens!E9864)*cx_ind+Sens!E9867*cx_srch+(Sens!E9869+Sens!E9871)*cx_dev</f>
        <v>30.1846587067718</v>
      </c>
      <c r="F9929" s="6" t="n">
        <f aca="false">Sens!F9852*cx_azo+Sens!F9859*cx_m365+Sens!F9860*cx_lic+(Sens!F9862+Sens!F9864)*cx_ind+Sens!F9867*cx_srch+(Sens!F9869+Sens!F9871)*cx_dev</f>
        <v>35.4293472295625</v>
      </c>
      <c r="G9929" s="6" t="n">
        <f aca="false">Sens!G9852*cx_azo+Sens!G9859*cx_m365+Sens!G9860*cx_lic+(Sens!G9862+Sens!G9864)*cx_ind+Sens!G9867*cx_srch+(Sens!G9869+Sens!G9871)*cx_dev</f>
        <v>40.7028935703892</v>
      </c>
      <c r="H9929" s="6" t="n">
        <f aca="false">Sens!H9852*cx_azo+Sens!H9859*cx_m365+Sens!H9860*cx_lic+(Sens!H9862+Sens!H9864)*cx_ind+Sens!H9867*cx_srch+(Sens!H9869+Sens!H9871)*cx_dev</f>
        <v>46.0615136440897</v>
      </c>
      <c r="I9929" s="6" t="n">
        <f aca="false">Sens!I9852*cx_azo+Sens!I9859*cx_m365+Sens!I9860*cx_lic+(Sens!I9862+Sens!I9864)*cx_ind+Sens!I9867*cx_srch+(Sens!I9869+Sens!I9871)*cx_dev</f>
        <v>51.2234003116439</v>
      </c>
      <c r="J9929" s="6" t="n">
        <f aca="false">Sens!J9852*cx_azo+Sens!J9859*cx_m365+Sens!J9860*cx_lic+(Sens!J9862+Sens!J9864)*cx_ind+Sens!J9867*cx_srch+(Sens!J9869+Sens!J9871)*cx_dev</f>
        <v>55.9559132503738</v>
      </c>
      <c r="K9929" s="6" t="n">
        <f aca="false">Sens!K9852*cx_azo+Sens!K9859*cx_m365+Sens!K9860*cx_lic+(Sens!K9862+Sens!K9864)*cx_ind+Sens!K9867*cx_srch+(Sens!K9869+Sens!K9871)*cx_dev</f>
        <v>60.093702741994</v>
      </c>
    </row>
    <row r="9930" customFormat="false" ht="17.15" hidden="false" customHeight="false" outlineLevel="0" collapsed="false">
      <c r="A9930" s="1" t="s">
        <v>850</v>
      </c>
      <c r="B9930" s="0" t="s">
        <v>95</v>
      </c>
      <c r="E9930" s="6" t="n">
        <f aca="false">Q!M42</f>
        <v>145.3</v>
      </c>
      <c r="F9930" s="6" t="n">
        <f aca="false">Sens!F9928+Sens!F9929</f>
        <v>204.2</v>
      </c>
      <c r="G9930" s="6" t="n">
        <f aca="false">Sens!G9928+Sens!G9929</f>
        <v>224.277074053589</v>
      </c>
      <c r="H9930" s="6" t="n">
        <f aca="false">Sens!H9928+Sens!H9929</f>
        <v>234.14179955449</v>
      </c>
      <c r="I9930" s="6" t="n">
        <f aca="false">Sens!I9928+Sens!I9929</f>
        <v>269.562361568711</v>
      </c>
      <c r="J9930" s="6" t="n">
        <f aca="false">Sens!J9928+Sens!J9929</f>
        <v>289.732974174107</v>
      </c>
      <c r="K9930" s="6" t="n">
        <f aca="false">Sens!K9928+Sens!K9929</f>
        <v>338.950014692394</v>
      </c>
      <c r="L9930" s="1" t="s">
        <v>851</v>
      </c>
    </row>
    <row r="9931" customFormat="false" ht="15" hidden="false" customHeight="false" outlineLevel="0" collapsed="false">
      <c r="A9931" s="1" t="s">
        <v>852</v>
      </c>
      <c r="B9931" s="0" t="s">
        <v>95</v>
      </c>
      <c r="E9931" s="6" t="n">
        <f aca="false">fl_liab</f>
        <v>66.594</v>
      </c>
      <c r="F9931" s="6" t="n">
        <f aca="false">Sens!E9931-Sens!F9932</f>
        <v>62.46973</v>
      </c>
      <c r="G9931" s="6" t="n">
        <f aca="false">Sens!F9931-Sens!G9932</f>
        <v>57.98686785</v>
      </c>
      <c r="H9931" s="6" t="n">
        <f aca="false">Sens!G9931-Sens!H9932</f>
        <v>53.92827690325</v>
      </c>
      <c r="I9931" s="6" t="n">
        <f aca="false">Sens!H9931-Sens!I9932</f>
        <v>49.7850493638962</v>
      </c>
      <c r="J9931" s="6" t="n">
        <f aca="false">Sens!I9931-Sens!J9932</f>
        <v>45.4823765852716</v>
      </c>
      <c r="K9931" s="6" t="n">
        <f aca="false">Sens!J9931-Sens!K9932</f>
        <v>40.9860835316088</v>
      </c>
    </row>
    <row r="9932" customFormat="false" ht="15" hidden="false" customHeight="false" outlineLevel="0" collapsed="false">
      <c r="A9932" s="1" t="s">
        <v>853</v>
      </c>
      <c r="B9932" s="0" t="s">
        <v>95</v>
      </c>
      <c r="F9932" s="6" t="n">
        <f aca="false">fl_pay_27-Sens!E9931*fl_rate</f>
        <v>4.12427</v>
      </c>
      <c r="G9932" s="6" t="n">
        <f aca="false">fl_pay_28-Sens!F9931*fl_rate</f>
        <v>4.48286215</v>
      </c>
      <c r="H9932" s="6" t="n">
        <f aca="false">fl_pay_29-Sens!G9931*fl_rate</f>
        <v>4.05859094675</v>
      </c>
      <c r="I9932" s="6" t="n">
        <f aca="false">fl_pay_30-Sens!H9931*fl_rate</f>
        <v>4.14322753935375</v>
      </c>
      <c r="J9932" s="6" t="n">
        <f aca="false">fl_pay_31-Sens!I9931*fl_rate</f>
        <v>4.30267277862467</v>
      </c>
      <c r="K9932" s="6" t="n">
        <f aca="false">fl_pay_32-Sens!J9931*fl_rate</f>
        <v>4.49629305366278</v>
      </c>
    </row>
    <row r="9933" customFormat="false" ht="17.15" hidden="false" customHeight="false" outlineLevel="0" collapsed="false">
      <c r="A9933" s="1" t="s">
        <v>854</v>
      </c>
      <c r="B9933" s="0" t="s">
        <v>95</v>
      </c>
      <c r="E9933" s="6" t="n">
        <f aca="false">Q!M35-Q!M36-Q!M43</f>
        <v>63.886</v>
      </c>
      <c r="F9933" s="6" t="n">
        <f aca="false">Sens!F9927-Sens!F9930-Sens!F9932</f>
        <v>-8.71477457939876</v>
      </c>
      <c r="G9933" s="6" t="n">
        <f aca="false">Sens!G9927-Sens!G9930-Sens!G9932</f>
        <v>11.8109504448807</v>
      </c>
      <c r="H9933" s="6" t="n">
        <f aca="false">Sens!H9927-Sens!H9930-Sens!H9932</f>
        <v>35.6759257761923</v>
      </c>
      <c r="I9933" s="6" t="n">
        <f aca="false">Sens!I9927-Sens!I9930-Sens!I9932</f>
        <v>39.3908532208424</v>
      </c>
      <c r="J9933" s="6" t="n">
        <f aca="false">Sens!J9927-Sens!J9930-Sens!J9932</f>
        <v>57.4418337438896</v>
      </c>
      <c r="K9933" s="6" t="n">
        <f aca="false">Sens!K9927-Sens!K9930-Sens!K9932</f>
        <v>45.2317351889297</v>
      </c>
      <c r="L9933" s="11" t="s">
        <v>855</v>
      </c>
    </row>
    <row r="9934" customFormat="false" ht="15" hidden="false" customHeight="false" outlineLevel="0" collapsed="false">
      <c r="A9934" s="1" t="s">
        <v>856</v>
      </c>
      <c r="B9934" s="0" t="s">
        <v>73</v>
      </c>
      <c r="F9934" s="8" t="n">
        <f aca="false">dps_27</f>
        <v>3.85</v>
      </c>
      <c r="G9934" s="8" t="n">
        <f aca="false">Sens!F9934*(1+dps_g)</f>
        <v>4.158</v>
      </c>
      <c r="H9934" s="8" t="n">
        <f aca="false">Sens!G9934*(1+dps_g)</f>
        <v>4.49064</v>
      </c>
      <c r="I9934" s="8" t="n">
        <f aca="false">Sens!H9934*(1+dps_g)</f>
        <v>4.8498912</v>
      </c>
      <c r="J9934" s="8" t="n">
        <f aca="false">Sens!I9934*(1+dps_g)</f>
        <v>5.237882496</v>
      </c>
      <c r="K9934" s="8" t="n">
        <f aca="false">Sens!J9934*(1+dps_g)</f>
        <v>5.65691309568</v>
      </c>
    </row>
    <row r="9935" customFormat="false" ht="17.15" hidden="false" customHeight="false" outlineLevel="0" collapsed="false">
      <c r="A9935" s="1" t="s">
        <v>857</v>
      </c>
      <c r="B9935" s="0" t="s">
        <v>95</v>
      </c>
      <c r="E9935" s="6" t="n">
        <f aca="false">Q!M41</f>
        <v>26.445</v>
      </c>
      <c r="F9935" s="6" t="n">
        <f aca="false">Sens!F9934*Sens!E9944</f>
        <v>28.59395</v>
      </c>
      <c r="G9935" s="6" t="n">
        <f aca="false">Sens!G9934*Sens!F9944</f>
        <v>31.068576</v>
      </c>
      <c r="H9935" s="6" t="n">
        <f aca="false">Sens!H9934*Sens!G9944</f>
        <v>33.75614088</v>
      </c>
      <c r="I9935" s="6" t="n">
        <f aca="false">Sens!I9934*Sens!H9944</f>
        <v>36.6748772544</v>
      </c>
      <c r="J9935" s="6" t="n">
        <f aca="false">Sens!J9934*Sens!I9944</f>
        <v>39.8241689902461</v>
      </c>
      <c r="K9935" s="6" t="n">
        <f aca="false">Sens!K9934*Sens!J9944</f>
        <v>43.1360710034106</v>
      </c>
      <c r="L9935" s="1" t="s">
        <v>858</v>
      </c>
    </row>
    <row r="9936" customFormat="false" ht="15" hidden="false" customHeight="false" outlineLevel="0" collapsed="false">
      <c r="A9936" s="1" t="s">
        <v>859</v>
      </c>
      <c r="B9936" s="0" t="s">
        <v>95</v>
      </c>
      <c r="E9936" s="6" t="n">
        <f aca="false">Sens!E9933-Sens!E9935</f>
        <v>37.441</v>
      </c>
      <c r="F9936" s="6" t="n">
        <f aca="false">Sens!F9933-Sens!F9935</f>
        <v>-37.3087245793988</v>
      </c>
      <c r="G9936" s="6" t="n">
        <f aca="false">Sens!G9933-Sens!G9935</f>
        <v>-19.2576255551194</v>
      </c>
      <c r="H9936" s="6" t="n">
        <f aca="false">Sens!H9933-Sens!H9935</f>
        <v>1.91978489619225</v>
      </c>
      <c r="I9936" s="6" t="n">
        <f aca="false">Sens!I9933-Sens!I9935</f>
        <v>2.71597596644235</v>
      </c>
      <c r="J9936" s="6" t="n">
        <f aca="false">Sens!J9933-Sens!J9935</f>
        <v>17.6176647536435</v>
      </c>
      <c r="K9936" s="6" t="n">
        <f aca="false">Sens!K9933-Sens!K9935</f>
        <v>2.09566418551913</v>
      </c>
    </row>
    <row r="9937" customFormat="false" ht="15" hidden="false" customHeight="false" outlineLevel="0" collapsed="false">
      <c r="A9937" s="1" t="s">
        <v>860</v>
      </c>
      <c r="B9937" s="0" t="s">
        <v>95</v>
      </c>
      <c r="F9937" s="6" t="n">
        <f aca="false">debt_mat_27</f>
        <v>9.25</v>
      </c>
      <c r="G9937" s="6" t="n">
        <f aca="false">debt_mat_28</f>
        <v>0</v>
      </c>
      <c r="H9937" s="6" t="n">
        <f aca="false">debt_mat_29</f>
        <v>2.001</v>
      </c>
      <c r="I9937" s="6" t="n">
        <f aca="false">debt_mat_30</f>
        <v>0</v>
      </c>
      <c r="J9937" s="6" t="n">
        <f aca="false">debt_mat_31</f>
        <v>0.5</v>
      </c>
      <c r="K9937" s="6" t="n">
        <f aca="false">debt_mat_32</f>
        <v>0</v>
      </c>
    </row>
    <row r="9938" customFormat="false" ht="15" hidden="false" customHeight="false" outlineLevel="0" collapsed="false">
      <c r="A9938" s="1" t="s">
        <v>861</v>
      </c>
      <c r="B9938" s="0" t="s">
        <v>95</v>
      </c>
      <c r="E9938" s="6" t="n">
        <f aca="false">Q!M40</f>
        <v>22.271</v>
      </c>
      <c r="F9938" s="6" t="n">
        <f aca="false">MAX(0,MIN(bb_target,Sens!E9940+Sens!F9936-Sens!F9937-min_cash))</f>
        <v>0</v>
      </c>
      <c r="G9938" s="6" t="n">
        <f aca="false">MAX(0,MIN(bb_target,Sens!F9940+Sens!G9936-Sens!G9937-min_cash))</f>
        <v>0</v>
      </c>
      <c r="H9938" s="6" t="n">
        <f aca="false">MAX(0,MIN(bb_target,Sens!G9940+Sens!H9936-Sens!H9937-min_cash))</f>
        <v>0</v>
      </c>
      <c r="I9938" s="6" t="n">
        <f aca="false">MAX(0,MIN(bb_target,Sens!H9940+Sens!I9936-Sens!I9937-min_cash))</f>
        <v>2.71597596644235</v>
      </c>
      <c r="J9938" s="6" t="n">
        <f aca="false">MAX(0,MIN(bb_target,Sens!I9940+Sens!J9936-Sens!J9937-min_cash))</f>
        <v>17.1176647536435</v>
      </c>
      <c r="K9938" s="6" t="n">
        <f aca="false">MAX(0,MIN(bb_target,Sens!J9940+Sens!K9936-Sens!K9937-min_cash))</f>
        <v>2.09566418551913</v>
      </c>
    </row>
    <row r="9939" customFormat="false" ht="15" hidden="false" customHeight="false" outlineLevel="0" collapsed="false">
      <c r="A9939" s="1" t="s">
        <v>862</v>
      </c>
      <c r="B9939" s="0" t="s">
        <v>95</v>
      </c>
      <c r="F9939" s="6" t="n">
        <f aca="false">MAX(0,min_cash-(Sens!E9940+Sens!F9936-Sens!F9937-Sens!F9938))</f>
        <v>19.7157245793988</v>
      </c>
      <c r="G9939" s="6" t="n">
        <f aca="false">MAX(0,min_cash-(Sens!F9940+Sens!G9936-Sens!G9937-Sens!G9938))</f>
        <v>19.2576255551194</v>
      </c>
      <c r="H9939" s="6" t="n">
        <f aca="false">MAX(0,min_cash-(Sens!G9940+Sens!H9936-Sens!H9937-Sens!H9938))</f>
        <v>0.0812151038077431</v>
      </c>
      <c r="I9939" s="6" t="n">
        <f aca="false">MAX(0,min_cash-(Sens!H9940+Sens!I9936-Sens!I9937-Sens!I9938))</f>
        <v>0</v>
      </c>
      <c r="J9939" s="6" t="n">
        <f aca="false">MAX(0,min_cash-(Sens!I9940+Sens!J9936-Sens!J9937-Sens!J9938))</f>
        <v>0</v>
      </c>
      <c r="K9939" s="6" t="n">
        <f aca="false">MAX(0,min_cash-(Sens!J9940+Sens!K9936-Sens!K9937-Sens!K9938))</f>
        <v>0</v>
      </c>
    </row>
    <row r="9940" customFormat="false" ht="15" hidden="false" customHeight="false" outlineLevel="0" collapsed="false">
      <c r="A9940" s="1" t="s">
        <v>863</v>
      </c>
      <c r="B9940" s="0" t="s">
        <v>95</v>
      </c>
      <c r="E9940" s="6" t="n">
        <f aca="false">cash_open</f>
        <v>76.843</v>
      </c>
      <c r="F9940" s="6" t="n">
        <f aca="false">Sens!E9940+Sens!F9936-Sens!F9937-Sens!F9938+Sens!F9939</f>
        <v>50</v>
      </c>
      <c r="G9940" s="6" t="n">
        <f aca="false">Sens!F9940+Sens!G9936-Sens!G9937-Sens!G9938+Sens!G9939</f>
        <v>50</v>
      </c>
      <c r="H9940" s="6" t="n">
        <f aca="false">Sens!G9940+Sens!H9936-Sens!H9937-Sens!H9938+Sens!H9939</f>
        <v>50</v>
      </c>
      <c r="I9940" s="6" t="n">
        <f aca="false">Sens!H9940+Sens!I9936-Sens!I9937-Sens!I9938+Sens!I9939</f>
        <v>50</v>
      </c>
      <c r="J9940" s="6" t="n">
        <f aca="false">Sens!I9940+Sens!J9936-Sens!J9937-Sens!J9938+Sens!J9939</f>
        <v>50</v>
      </c>
      <c r="K9940" s="6" t="n">
        <f aca="false">Sens!J9940+Sens!K9936-Sens!K9937-Sens!K9938+Sens!K9939</f>
        <v>50</v>
      </c>
    </row>
    <row r="9941" customFormat="false" ht="15" hidden="false" customHeight="false" outlineLevel="0" collapsed="false">
      <c r="A9941" s="1" t="s">
        <v>864</v>
      </c>
      <c r="B9941" s="0" t="s">
        <v>95</v>
      </c>
      <c r="E9941" s="6" t="n">
        <f aca="false">debt_face</f>
        <v>46.136</v>
      </c>
      <c r="F9941" s="6" t="n">
        <f aca="false">Sens!E9941-Sens!F9937+Sens!F9939</f>
        <v>56.6017245793988</v>
      </c>
      <c r="G9941" s="6" t="n">
        <f aca="false">Sens!F9941-Sens!G9937+Sens!G9939</f>
        <v>75.8593501345181</v>
      </c>
      <c r="H9941" s="6" t="n">
        <f aca="false">Sens!G9941-Sens!H9937+Sens!H9939</f>
        <v>73.9395652383259</v>
      </c>
      <c r="I9941" s="6" t="n">
        <f aca="false">Sens!H9941-Sens!I9937+Sens!I9939</f>
        <v>73.9395652383259</v>
      </c>
      <c r="J9941" s="6" t="n">
        <f aca="false">Sens!I9941-Sens!J9937+Sens!J9939</f>
        <v>73.4395652383259</v>
      </c>
      <c r="K9941" s="6" t="n">
        <f aca="false">Sens!J9941-Sens!K9937+Sens!K9939</f>
        <v>73.4395652383259</v>
      </c>
    </row>
    <row r="9942" customFormat="false" ht="15" hidden="false" customHeight="false" outlineLevel="0" collapsed="false">
      <c r="A9942" s="1" t="s">
        <v>865</v>
      </c>
      <c r="B9942" s="0" t="s">
        <v>95</v>
      </c>
      <c r="E9942" s="6" t="n">
        <f aca="false">Sens!E9940-Sens!E9941</f>
        <v>30.707</v>
      </c>
      <c r="F9942" s="6" t="n">
        <f aca="false">Sens!F9940-Sens!F9941</f>
        <v>-6.60172457939876</v>
      </c>
      <c r="G9942" s="6" t="n">
        <f aca="false">Sens!G9940-Sens!G9941</f>
        <v>-25.8593501345181</v>
      </c>
      <c r="H9942" s="6" t="n">
        <f aca="false">Sens!H9940-Sens!H9941</f>
        <v>-23.9395652383259</v>
      </c>
      <c r="I9942" s="6" t="n">
        <f aca="false">Sens!I9940-Sens!I9941</f>
        <v>-23.9395652383259</v>
      </c>
      <c r="J9942" s="6" t="n">
        <f aca="false">Sens!J9940-Sens!J9941</f>
        <v>-23.4395652383259</v>
      </c>
      <c r="K9942" s="6" t="n">
        <f aca="false">Sens!K9940-Sens!K9941</f>
        <v>-23.4395652383259</v>
      </c>
    </row>
    <row r="9943" customFormat="false" ht="15" hidden="false" customHeight="false" outlineLevel="0" collapsed="false">
      <c r="A9943" s="1" t="s">
        <v>866</v>
      </c>
      <c r="B9943" s="0" t="s">
        <v>73</v>
      </c>
      <c r="F9943" s="27" t="n">
        <f aca="false">px*(1+bb_g)^(1-0.5)</f>
        <v>553.494156066711</v>
      </c>
      <c r="G9943" s="27" t="n">
        <f aca="false">px*(1+bb_g)^(2-0.5)</f>
        <v>597.773688552047</v>
      </c>
      <c r="H9943" s="27" t="n">
        <f aca="false">px*(1+bb_g)^(3-0.5)</f>
        <v>645.595583636211</v>
      </c>
      <c r="I9943" s="27" t="n">
        <f aca="false">px*(1+bb_g)^(4-0.5)</f>
        <v>697.243230327108</v>
      </c>
      <c r="J9943" s="27" t="n">
        <f aca="false">px*(1+bb_g)^(5-0.5)</f>
        <v>753.022688753277</v>
      </c>
      <c r="K9943" s="27" t="n">
        <f aca="false">px*(1+bb_g)^(6-0.5)</f>
        <v>813.264503853539</v>
      </c>
    </row>
    <row r="9944" customFormat="false" ht="15" hidden="false" customHeight="false" outlineLevel="0" collapsed="false">
      <c r="A9944" s="1" t="s">
        <v>867</v>
      </c>
      <c r="B9944" s="1" t="s">
        <v>79</v>
      </c>
      <c r="E9944" s="18" t="n">
        <f aca="false">sh_out26</f>
        <v>7.427</v>
      </c>
      <c r="F9944" s="18" t="n">
        <f aca="false">Sens!E9944+sh_iss-Sens!F9938/Sens!F9943</f>
        <v>7.472</v>
      </c>
      <c r="G9944" s="18" t="n">
        <f aca="false">Sens!F9944+sh_iss-Sens!G9938/Sens!G9943</f>
        <v>7.517</v>
      </c>
      <c r="H9944" s="18" t="n">
        <f aca="false">Sens!G9944+sh_iss-Sens!H9938/Sens!H9943</f>
        <v>7.562</v>
      </c>
      <c r="I9944" s="18" t="n">
        <f aca="false">Sens!H9944+sh_iss-Sens!I9938/Sens!I9943</f>
        <v>7.60310469367316</v>
      </c>
      <c r="J9944" s="18" t="n">
        <f aca="false">Sens!I9944+sh_iss-Sens!J9938/Sens!J9943</f>
        <v>7.6253727560977</v>
      </c>
      <c r="K9944" s="18" t="n">
        <f aca="false">Sens!J9944+sh_iss-Sens!K9938/Sens!K9943</f>
        <v>7.66779590173409</v>
      </c>
    </row>
    <row r="9945" customFormat="false" ht="15" hidden="false" customHeight="false" outlineLevel="0" collapsed="false">
      <c r="A9945" s="1" t="s">
        <v>868</v>
      </c>
      <c r="B9945" s="1" t="s">
        <v>79</v>
      </c>
      <c r="E9945" s="18" t="n">
        <f aca="false">sh_dil26</f>
        <v>7.453</v>
      </c>
      <c r="F9945" s="18" t="n">
        <f aca="false">(Sens!E9944+Sens!F9944)/2+dil_gap</f>
        <v>7.4735</v>
      </c>
      <c r="G9945" s="18" t="n">
        <f aca="false">(Sens!F9944+Sens!G9944)/2+dil_gap</f>
        <v>7.5185</v>
      </c>
      <c r="H9945" s="18" t="n">
        <f aca="false">(Sens!G9944+Sens!H9944)/2+dil_gap</f>
        <v>7.5635</v>
      </c>
      <c r="I9945" s="18" t="n">
        <f aca="false">(Sens!H9944+Sens!I9944)/2+dil_gap</f>
        <v>7.60655234683658</v>
      </c>
      <c r="J9945" s="18" t="n">
        <f aca="false">(Sens!I9944+Sens!J9944)/2+dil_gap</f>
        <v>7.63823872488543</v>
      </c>
      <c r="K9945" s="18" t="n">
        <f aca="false">(Sens!J9944+Sens!K9944)/2+dil_gap</f>
        <v>7.67058432891589</v>
      </c>
    </row>
    <row r="9946" customFormat="false" ht="17.15" hidden="false" customHeight="false" outlineLevel="0" collapsed="false">
      <c r="A9946" s="1" t="s">
        <v>869</v>
      </c>
      <c r="B9946" s="0" t="s">
        <v>95</v>
      </c>
      <c r="C9946" s="6" t="n">
        <f aca="false">SUM(Sens!F9936:J9936)</f>
        <v>-34.31292451824</v>
      </c>
    </row>
    <row r="9947" customFormat="false" ht="17.15" hidden="false" customHeight="false" outlineLevel="0" collapsed="false">
      <c r="A9947" s="1" t="s">
        <v>836</v>
      </c>
      <c r="B9947" s="1" t="s">
        <v>870</v>
      </c>
      <c r="C9947" s="30" t="str">
        <f aca="false">IF(SUM(Sens!F9939:J9939)&gt;0.05,"需要舉債 "&amp;TEXT(SUM(Sens!F9939:J9939),"0.0")&amp;" 十億美元","不需舉債")&amp;"；"&amp;IF(SUM(Sens!F9938:J9938)&lt;5*bb_target-0.05,"回購較每年 "&amp;TEXT(bb_target,"0.0")&amp;" 的目標少 "&amp;TEXT(5*bb_target-SUM(Sens!F9938:J9938),"0.0")&amp;" 十億美元（"&amp;TEXT(COUNTIF(Sens!F9938:J9938,"&lt;"&amp;(bb_target-0.05)),"0")&amp;" 年減少）","回購不減")</f>
        <v>需要舉債 39.1 十億美元；回購較每年 22.3 的目標少 91.5 十億美元（5 年減少）</v>
      </c>
    </row>
    <row r="9948" customFormat="false" ht="17.15" hidden="false" customHeight="false" outlineLevel="0" collapsed="false">
      <c r="A9948" s="3" t="s">
        <v>1398</v>
      </c>
    </row>
    <row r="9949" customFormat="false" ht="15" hidden="false" customHeight="false" outlineLevel="0" collapsed="false">
      <c r="A9949" s="4" t="s">
        <v>43</v>
      </c>
      <c r="B9949" s="4" t="s">
        <v>63</v>
      </c>
      <c r="C9949" s="19" t="s">
        <v>710</v>
      </c>
      <c r="D9949" s="19" t="s">
        <v>711</v>
      </c>
      <c r="E9949" s="19" t="s">
        <v>712</v>
      </c>
      <c r="F9949" s="19" t="s">
        <v>713</v>
      </c>
      <c r="G9949" s="19" t="s">
        <v>714</v>
      </c>
      <c r="H9949" s="19" t="s">
        <v>715</v>
      </c>
      <c r="I9949" s="19" t="s">
        <v>716</v>
      </c>
      <c r="J9949" s="19" t="s">
        <v>717</v>
      </c>
      <c r="K9949" s="19" t="s">
        <v>718</v>
      </c>
      <c r="L9949" s="4" t="s">
        <v>47</v>
      </c>
    </row>
    <row r="9950" customFormat="false" ht="17.15" hidden="false" customHeight="false" outlineLevel="0" collapsed="false">
      <c r="A9950" s="1" t="s">
        <v>938</v>
      </c>
      <c r="B9950" s="1" t="s">
        <v>213</v>
      </c>
      <c r="F9950" s="34" t="n">
        <f aca="false">1-0.5</f>
        <v>0.5</v>
      </c>
      <c r="G9950" s="34" t="n">
        <f aca="false">2-0.5</f>
        <v>1.5</v>
      </c>
      <c r="H9950" s="34" t="n">
        <f aca="false">3-0.5</f>
        <v>2.5</v>
      </c>
      <c r="I9950" s="34" t="n">
        <f aca="false">4-0.5</f>
        <v>3.5</v>
      </c>
      <c r="J9950" s="34" t="n">
        <f aca="false">5-0.5</f>
        <v>4.5</v>
      </c>
      <c r="K9950" s="34" t="n">
        <f aca="false">6-0.5</f>
        <v>5.5</v>
      </c>
    </row>
    <row r="9951" customFormat="false" ht="15" hidden="false" customHeight="false" outlineLevel="0" collapsed="false">
      <c r="A9951" s="1" t="s">
        <v>939</v>
      </c>
      <c r="B9951" s="0" t="s">
        <v>182</v>
      </c>
      <c r="F9951" s="18" t="n">
        <f aca="false">1/(1+wacc)^Sens!F9950</f>
        <v>0.949601579913219</v>
      </c>
      <c r="G9951" s="18" t="n">
        <f aca="false">1/(1+wacc)^Sens!G9950</f>
        <v>0.856296729956707</v>
      </c>
      <c r="H9951" s="18" t="n">
        <f aca="false">1/(1+wacc)^Sens!H9950</f>
        <v>0.772159719660069</v>
      </c>
      <c r="I9951" s="18" t="n">
        <f aca="false">1/(1+wacc)^Sens!I9950</f>
        <v>0.696289746073958</v>
      </c>
      <c r="J9951" s="18" t="n">
        <f aca="false">1/(1+wacc)^Sens!J9950</f>
        <v>0.627874516299776</v>
      </c>
      <c r="K9951" s="18" t="n">
        <f aca="false">1/(1+wacc)^Sens!K9950</f>
        <v>0.566181550771831</v>
      </c>
    </row>
    <row r="9952" customFormat="false" ht="15" hidden="false" customHeight="false" outlineLevel="0" collapsed="false">
      <c r="A9952" s="1" t="s">
        <v>940</v>
      </c>
      <c r="B9952" s="0" t="s">
        <v>95</v>
      </c>
      <c r="F9952" s="6" t="n">
        <f aca="false">Sens!F9933*Sens!F9951</f>
        <v>-8.27556370918461</v>
      </c>
      <c r="G9952" s="6" t="n">
        <f aca="false">Sens!G9933*Sens!G9951</f>
        <v>10.113678243632</v>
      </c>
      <c r="H9952" s="6" t="n">
        <f aca="false">Sens!H9933*Sens!H9951</f>
        <v>27.547512845958</v>
      </c>
      <c r="I9952" s="6" t="n">
        <f aca="false">Sens!I9933*Sens!I9951</f>
        <v>27.4274471867769</v>
      </c>
      <c r="J9952" s="6" t="n">
        <f aca="false">Sens!J9933*Sens!J9951</f>
        <v>36.0662635773168</v>
      </c>
      <c r="K9952" s="6" t="n">
        <f aca="false">Sens!K9933*Sens!K9951</f>
        <v>25.609373973369</v>
      </c>
    </row>
    <row r="9953" customFormat="false" ht="17.15" hidden="false" customHeight="false" outlineLevel="0" collapsed="false">
      <c r="A9953" s="1" t="s">
        <v>941</v>
      </c>
      <c r="B9953" s="0" t="s">
        <v>95</v>
      </c>
      <c r="C9953" s="6" t="n">
        <f aca="false">SUM(Sens!F9952:K9952)</f>
        <v>118.488712117868</v>
      </c>
    </row>
    <row r="9954" customFormat="false" ht="17.15" hidden="false" customHeight="false" outlineLevel="0" collapsed="false">
      <c r="A9954" s="1" t="s">
        <v>942</v>
      </c>
      <c r="B9954" s="0" t="s">
        <v>95</v>
      </c>
      <c r="C9954" s="6" t="n">
        <f aca="false">Sens!K9899*(1+g_tv)*(1-tax_f)</f>
        <v>156.41548016566</v>
      </c>
    </row>
    <row r="9955" customFormat="false" ht="17.15" hidden="false" customHeight="false" outlineLevel="0" collapsed="false">
      <c r="A9955" s="1" t="s">
        <v>943</v>
      </c>
      <c r="B9955" s="0" t="s">
        <v>95</v>
      </c>
      <c r="C9955" s="6" t="n">
        <f aca="false">Sens!$C$9954*(1-g_tv/(wacc+ronic_prem))</f>
        <v>113.350817103808</v>
      </c>
    </row>
    <row r="9956" customFormat="false" ht="17.15" hidden="false" customHeight="false" outlineLevel="0" collapsed="false">
      <c r="A9956" s="1" t="s">
        <v>944</v>
      </c>
      <c r="B9956" s="0" t="s">
        <v>95</v>
      </c>
      <c r="C9956" s="6" t="n">
        <f aca="false">Sens!$C$9955/(wacc-g_tv)</f>
        <v>1435.48876872842</v>
      </c>
    </row>
    <row r="9957" customFormat="false" ht="15" hidden="false" customHeight="false" outlineLevel="0" collapsed="false">
      <c r="A9957" s="1" t="s">
        <v>945</v>
      </c>
      <c r="B9957" s="0" t="s">
        <v>95</v>
      </c>
      <c r="C9957" s="6" t="n">
        <f aca="false">Sens!$C$9956/(1+wacc)^6</f>
        <v>771.786079501749</v>
      </c>
    </row>
    <row r="9958" customFormat="false" ht="17.15" hidden="false" customHeight="false" outlineLevel="0" collapsed="false">
      <c r="A9958" s="0" t="s">
        <v>877</v>
      </c>
      <c r="B9958" s="0" t="s">
        <v>95</v>
      </c>
      <c r="C9958" s="6" t="n">
        <f aca="false">Sens!$C$9953+Sens!$C$9957</f>
        <v>890.274791619617</v>
      </c>
    </row>
    <row r="9959" customFormat="false" ht="15" hidden="false" customHeight="false" outlineLevel="0" collapsed="false">
      <c r="A9959" s="1" t="s">
        <v>878</v>
      </c>
      <c r="B9959" s="0" t="s">
        <v>126</v>
      </c>
      <c r="C9959" s="7" t="n">
        <f aca="false">Sens!$C$9957/Sens!$C$9958</f>
        <v>0.86690770845897</v>
      </c>
    </row>
    <row r="9960" customFormat="false" ht="17.15" hidden="false" customHeight="false" outlineLevel="0" collapsed="false">
      <c r="A9960" s="1" t="s">
        <v>946</v>
      </c>
      <c r="B9960" s="0" t="s">
        <v>95</v>
      </c>
      <c r="C9960" s="6" t="n">
        <f aca="false">Sens!$C$9958+Sens!E9942+oai_v</f>
        <v>1091.38179161962</v>
      </c>
    </row>
    <row r="9961" customFormat="false" ht="17.15" hidden="false" customHeight="false" outlineLevel="0" collapsed="false">
      <c r="A9961" s="0" t="s">
        <v>883</v>
      </c>
      <c r="B9961" s="0" t="s">
        <v>73</v>
      </c>
      <c r="C9961" s="5" t="n">
        <f aca="false">Sens!$C$9960/sh_dil26</f>
        <v>146.435233009475</v>
      </c>
    </row>
    <row r="9962" customFormat="false" ht="17.15" hidden="false" customHeight="false" outlineLevel="0" collapsed="false">
      <c r="A9962" s="0" t="s">
        <v>947</v>
      </c>
      <c r="B9962" s="0" t="s">
        <v>73</v>
      </c>
      <c r="C9962" s="5" t="n">
        <f aca="false">Sens!$C$9961*(1+wacc)^t_roll</f>
        <v>167.96041723006</v>
      </c>
    </row>
    <row r="9963" customFormat="false" ht="17.15" hidden="false" customHeight="false" outlineLevel="0" collapsed="false">
      <c r="A9963" s="1" t="s">
        <v>948</v>
      </c>
      <c r="B9963" s="0" t="s">
        <v>126</v>
      </c>
      <c r="F9963" s="7" t="n">
        <f aca="false">Sens!F9923/(Sens!F9874-Sens!F9830)</f>
        <v>0.0686864325746334</v>
      </c>
      <c r="G9963" s="7" t="n">
        <f aca="false">Sens!G9923/(Sens!G9874-Sens!G9830)</f>
        <v>0.066267001590801</v>
      </c>
      <c r="H9963" s="7" t="n">
        <f aca="false">Sens!H9923/(Sens!H9874-Sens!H9830)</f>
        <v>0.0650366246750144</v>
      </c>
      <c r="I9963" s="7" t="n">
        <f aca="false">Sens!I9923/(Sens!I9874-Sens!I9830)</f>
        <v>0.0648573271390164</v>
      </c>
      <c r="J9963" s="7" t="n">
        <f aca="false">Sens!J9923/(Sens!J9874-Sens!J9830)</f>
        <v>0.0655189837669657</v>
      </c>
      <c r="K9963" s="7" t="n">
        <f aca="false">Sens!K9923/(Sens!K9874-Sens!K9830)</f>
        <v>0.0667878921367872</v>
      </c>
    </row>
    <row r="9964" customFormat="false" ht="17.15" hidden="false" customHeight="false" outlineLevel="0" collapsed="false">
      <c r="A9964" s="0" t="s">
        <v>949</v>
      </c>
      <c r="B9964" s="0" t="s">
        <v>95</v>
      </c>
      <c r="F9964" s="6" t="n">
        <f aca="false">Sens!F9859*(al_m365+Sens!F9963)</f>
        <v>78.4986969872395</v>
      </c>
      <c r="G9964" s="6" t="n">
        <f aca="false">Sens!G9859*(al_m365+Sens!G9963)</f>
        <v>88.3098056906507</v>
      </c>
      <c r="H9964" s="6" t="n">
        <f aca="false">Sens!H9859*(al_m365+Sens!H9963)</f>
        <v>98.2773562913015</v>
      </c>
      <c r="I9964" s="6" t="n">
        <f aca="false">Sens!I9859*(al_m365+Sens!I9963)</f>
        <v>107.762753675846</v>
      </c>
      <c r="J9964" s="6" t="n">
        <f aca="false">Sens!J9859*(al_m365+Sens!J9963)</f>
        <v>116.587414331333</v>
      </c>
      <c r="K9964" s="6" t="n">
        <f aca="false">Sens!K9859*(al_m365+Sens!K9963)</f>
        <v>125.041394489287</v>
      </c>
    </row>
    <row r="9965" customFormat="false" ht="17.15" hidden="false" customHeight="false" outlineLevel="0" collapsed="false">
      <c r="A9965" s="0" t="s">
        <v>950</v>
      </c>
      <c r="B9965" s="0" t="s">
        <v>95</v>
      </c>
      <c r="F9965" s="6" t="n">
        <f aca="false">Sens!F9860*(al_lic+Sens!F9963)</f>
        <v>31.9877845991607</v>
      </c>
      <c r="G9965" s="6" t="n">
        <f aca="false">Sens!G9860*(al_lic+Sens!G9963)</f>
        <v>33.243749427372</v>
      </c>
      <c r="H9965" s="6" t="n">
        <f aca="false">Sens!H9860*(al_lic+Sens!H9963)</f>
        <v>34.4137793872059</v>
      </c>
      <c r="I9965" s="6" t="n">
        <f aca="false">Sens!I9860*(al_lic+Sens!I9963)</f>
        <v>35.4787240806467</v>
      </c>
      <c r="J9965" s="6" t="n">
        <f aca="false">Sens!J9860*(al_lic+Sens!J9963)</f>
        <v>36.4160307520991</v>
      </c>
      <c r="K9965" s="6" t="n">
        <f aca="false">Sens!K9860*(al_lic+Sens!K9963)</f>
        <v>37.2021461938459</v>
      </c>
    </row>
    <row r="9966" customFormat="false" ht="17.15" hidden="false" customHeight="false" outlineLevel="0" collapsed="false">
      <c r="A9966" s="0" t="s">
        <v>951</v>
      </c>
      <c r="B9966" s="0" t="s">
        <v>95</v>
      </c>
      <c r="F9966" s="6" t="n">
        <f aca="false">Sens!F9862*(al_ind+Sens!F9963)</f>
        <v>8.24280380456612</v>
      </c>
      <c r="G9966" s="6" t="n">
        <f aca="false">Sens!G9862*(al_ind+Sens!G9963)</f>
        <v>8.9512770630031</v>
      </c>
      <c r="H9966" s="6" t="n">
        <f aca="false">Sens!H9862*(al_ind+Sens!H9963)</f>
        <v>9.70041215792393</v>
      </c>
      <c r="I9966" s="6" t="n">
        <f aca="false">Sens!I9862*(al_ind+Sens!I9963)</f>
        <v>10.4864435829487</v>
      </c>
      <c r="J9966" s="6" t="n">
        <f aca="false">Sens!J9862*(al_ind+Sens!J9963)</f>
        <v>11.3015744981253</v>
      </c>
      <c r="K9966" s="6" t="n">
        <f aca="false">Sens!K9862*(al_ind+Sens!K9963)</f>
        <v>12.1346647729291</v>
      </c>
    </row>
    <row r="9967" customFormat="false" ht="17.15" hidden="false" customHeight="false" outlineLevel="0" collapsed="false">
      <c r="A9967" s="0" t="s">
        <v>952</v>
      </c>
      <c r="B9967" s="0" t="s">
        <v>95</v>
      </c>
      <c r="F9967" s="6" t="n">
        <f aca="false">Sens!F9864*(al_fro+Sens!F9963)</f>
        <v>3.24439651632051</v>
      </c>
      <c r="G9967" s="6" t="n">
        <f aca="false">Sens!G9864*(al_fro+Sens!G9963)</f>
        <v>3.43676117771401</v>
      </c>
      <c r="H9967" s="6" t="n">
        <f aca="false">Sens!H9864*(al_fro+Sens!H9963)</f>
        <v>3.65544732248501</v>
      </c>
      <c r="I9967" s="6" t="n">
        <f aca="false">Sens!I9864*(al_fro+Sens!I9963)</f>
        <v>3.90262750850979</v>
      </c>
      <c r="J9967" s="6" t="n">
        <f aca="false">Sens!J9864*(al_fro+Sens!J9963)</f>
        <v>4.17975656810881</v>
      </c>
      <c r="K9967" s="6" t="n">
        <f aca="false">Sens!K9864*(al_fro+Sens!K9963)</f>
        <v>4.48786536733111</v>
      </c>
    </row>
    <row r="9968" customFormat="false" ht="17.15" hidden="false" customHeight="false" outlineLevel="0" collapsed="false">
      <c r="A9968" s="0" t="s">
        <v>953</v>
      </c>
      <c r="B9968" s="0" t="s">
        <v>95</v>
      </c>
      <c r="F9968" s="6" t="n">
        <f aca="false">Sens!F9867*(al_srch+Sens!F9963)</f>
        <v>10.1799817910968</v>
      </c>
      <c r="G9968" s="6" t="n">
        <f aca="false">Sens!G9867*(al_srch+Sens!G9963)</f>
        <v>11.1592643133754</v>
      </c>
      <c r="H9968" s="6" t="n">
        <f aca="false">Sens!H9867*(al_srch+Sens!H9963)</f>
        <v>12.1792194533398</v>
      </c>
      <c r="I9968" s="6" t="n">
        <f aca="false">Sens!I9867*(al_srch+Sens!I9963)</f>
        <v>13.2288881134521</v>
      </c>
      <c r="J9968" s="6" t="n">
        <f aca="false">Sens!J9867*(al_srch+Sens!J9963)</f>
        <v>14.2913670918582</v>
      </c>
      <c r="K9968" s="6" t="n">
        <f aca="false">Sens!K9867*(al_srch+Sens!K9963)</f>
        <v>15.3448485284362</v>
      </c>
    </row>
    <row r="9969" customFormat="false" ht="17.15" hidden="false" customHeight="false" outlineLevel="0" collapsed="false">
      <c r="A9969" s="0" t="s">
        <v>954</v>
      </c>
      <c r="B9969" s="0" t="s">
        <v>95</v>
      </c>
      <c r="F9969" s="6" t="n">
        <f aca="false">Sens!F9836</f>
        <v>35.0573455625419</v>
      </c>
      <c r="G9969" s="6" t="n">
        <f aca="false">Sens!G9836</f>
        <v>52.2504971712871</v>
      </c>
      <c r="H9969" s="6" t="n">
        <f aca="false">Sens!H9836</f>
        <v>65.2796698510271</v>
      </c>
      <c r="I9969" s="6" t="n">
        <f aca="false">Sens!I9836</f>
        <v>85.5659922535278</v>
      </c>
      <c r="J9969" s="6" t="n">
        <f aca="false">Sens!J9836</f>
        <v>105.90773710582</v>
      </c>
      <c r="K9969" s="6" t="n">
        <f aca="false">Sens!K9836</f>
        <v>126.282084319851</v>
      </c>
    </row>
    <row r="9970" customFormat="false" ht="17.15" hidden="false" customHeight="false" outlineLevel="0" collapsed="false">
      <c r="A9970" s="0" t="s">
        <v>955</v>
      </c>
      <c r="B9970" s="0" t="s">
        <v>95</v>
      </c>
      <c r="F9970" s="6" t="n">
        <f aca="false">Sens!F9896+Sens!F9847+Sens!F9963*(Sens!F9866-Sens!F9830)</f>
        <v>200.600436574325</v>
      </c>
      <c r="G9970" s="6" t="n">
        <f aca="false">Sens!G9896+Sens!G9847+Sens!G9963*(Sens!G9866-Sens!G9830)</f>
        <v>235.349355883618</v>
      </c>
      <c r="H9970" s="6" t="n">
        <f aca="false">Sens!H9896+Sens!H9847+Sens!H9963*(Sens!H9866-Sens!H9830)</f>
        <v>266.144295412209</v>
      </c>
      <c r="I9970" s="6" t="n">
        <f aca="false">Sens!I9896+Sens!I9847+Sens!I9963*(Sens!I9866-Sens!I9830)</f>
        <v>303.512857143366</v>
      </c>
      <c r="J9970" s="6" t="n">
        <f aca="false">Sens!J9896+Sens!J9847+Sens!J9963*(Sens!J9866-Sens!J9830)</f>
        <v>339.472032076015</v>
      </c>
      <c r="K9970" s="6" t="n">
        <f aca="false">Sens!K9896+Sens!K9847+Sens!K9963*(Sens!K9866-Sens!K9830)</f>
        <v>373.595513411266</v>
      </c>
    </row>
    <row r="9971" customFormat="false" ht="17.15" hidden="false" customHeight="false" outlineLevel="0" collapsed="false">
      <c r="A9971" s="0" t="s">
        <v>956</v>
      </c>
      <c r="B9971" s="0" t="s">
        <v>95</v>
      </c>
      <c r="F9971" s="6" t="n">
        <f aca="false">Sens!F9970-Sens!F9964-Sens!F9965-Sens!F9966-Sens!F9967-Sens!F9969</f>
        <v>43.569409104496</v>
      </c>
      <c r="G9971" s="6" t="n">
        <f aca="false">Sens!G9970-Sens!G9964-Sens!G9965-Sens!G9966-Sens!G9967-Sens!G9969</f>
        <v>49.1572653535912</v>
      </c>
      <c r="H9971" s="6" t="n">
        <f aca="false">Sens!H9970-Sens!H9964-Sens!H9965-Sens!H9966-Sens!H9967-Sens!H9969</f>
        <v>54.8176304022654</v>
      </c>
      <c r="I9971" s="6" t="n">
        <f aca="false">Sens!I9970-Sens!I9964-Sens!I9965-Sens!I9966-Sens!I9967-Sens!I9969</f>
        <v>60.3163160418861</v>
      </c>
      <c r="J9971" s="6" t="n">
        <f aca="false">Sens!J9970-Sens!J9964-Sens!J9965-Sens!J9966-Sens!J9967-Sens!J9969</f>
        <v>65.0795188205282</v>
      </c>
      <c r="K9971" s="6" t="n">
        <f aca="false">Sens!K9970-Sens!K9964-Sens!K9965-Sens!K9966-Sens!K9967-Sens!K9969</f>
        <v>68.4473582680212</v>
      </c>
    </row>
    <row r="9972" customFormat="false" ht="17.15" hidden="false" customHeight="false" outlineLevel="0" collapsed="false">
      <c r="A9972" s="0" t="s">
        <v>957</v>
      </c>
      <c r="B9972" s="0" t="s">
        <v>95</v>
      </c>
      <c r="F9972" s="6" t="n">
        <f aca="false">Sens!F9898+Sens!F9963*Sens!F9873</f>
        <v>22.4669628610107</v>
      </c>
      <c r="G9972" s="6" t="n">
        <f aca="false">Sens!G9898+Sens!G9963*Sens!G9873</f>
        <v>22.9887538265526</v>
      </c>
      <c r="H9972" s="6" t="n">
        <f aca="false">Sens!H9898+Sens!H9963*Sens!H9873</f>
        <v>23.7427062403443</v>
      </c>
      <c r="I9972" s="6" t="n">
        <f aca="false">Sens!I9898+Sens!I9963*Sens!I9873</f>
        <v>24.7010782659785</v>
      </c>
      <c r="J9972" s="6" t="n">
        <f aca="false">Sens!J9898+Sens!J9963*Sens!J9873</f>
        <v>25.836062014724</v>
      </c>
      <c r="K9972" s="6" t="n">
        <f aca="false">Sens!K9898+Sens!K9963*Sens!K9873</f>
        <v>27.1211739193283</v>
      </c>
    </row>
    <row r="9973" customFormat="false" ht="17.15" hidden="false" customHeight="false" outlineLevel="0" collapsed="false">
      <c r="A9973" s="0" t="s">
        <v>958</v>
      </c>
      <c r="B9973" s="0" t="s">
        <v>95</v>
      </c>
      <c r="F9973" s="6" t="n">
        <f aca="false">(Sens!F9972-Sens!F9968)*Sens!F9869/(Sens!F9869+Sens!F9871)</f>
        <v>6.73560334906524</v>
      </c>
      <c r="G9973" s="6" t="n">
        <f aca="false">(Sens!G9972-Sens!G9968)*Sens!G9869/(Sens!G9869+Sens!G9871)</f>
        <v>6.36918716217942</v>
      </c>
      <c r="H9973" s="6" t="n">
        <f aca="false">(Sens!H9972-Sens!H9968)*Sens!H9869/(Sens!H9869+Sens!H9871)</f>
        <v>6.14186461210914</v>
      </c>
      <c r="I9973" s="6" t="n">
        <f aca="false">(Sens!I9972-Sens!I9968)*Sens!I9869/(Sens!I9869+Sens!I9871)</f>
        <v>6.03824013041969</v>
      </c>
      <c r="J9973" s="6" t="n">
        <f aca="false">(Sens!J9972-Sens!J9968)*Sens!J9869/(Sens!J9869+Sens!J9871)</f>
        <v>6.04892482021868</v>
      </c>
      <c r="K9973" s="6" t="n">
        <f aca="false">(Sens!K9972-Sens!K9968)*Sens!K9869/(Sens!K9869+Sens!K9871)</f>
        <v>6.17028924747509</v>
      </c>
    </row>
    <row r="9974" customFormat="false" ht="17.15" hidden="false" customHeight="false" outlineLevel="0" collapsed="false">
      <c r="A9974" s="0" t="s">
        <v>959</v>
      </c>
      <c r="B9974" s="0" t="s">
        <v>95</v>
      </c>
      <c r="F9974" s="6" t="n">
        <f aca="false">Sens!F9972-Sens!F9968-Sens!F9973</f>
        <v>5.55137772084865</v>
      </c>
      <c r="G9974" s="6" t="n">
        <f aca="false">Sens!G9972-Sens!G9968-Sens!G9973</f>
        <v>5.46030235099774</v>
      </c>
      <c r="H9974" s="6" t="n">
        <f aca="false">Sens!H9972-Sens!H9968-Sens!H9973</f>
        <v>5.42162217489537</v>
      </c>
      <c r="I9974" s="6" t="n">
        <f aca="false">Sens!I9972-Sens!I9968-Sens!I9973</f>
        <v>5.43395002210666</v>
      </c>
      <c r="J9974" s="6" t="n">
        <f aca="false">Sens!J9972-Sens!J9968-Sens!J9973</f>
        <v>5.4957701026471</v>
      </c>
      <c r="K9974" s="6" t="n">
        <f aca="false">Sens!K9972-Sens!K9968-Sens!K9973</f>
        <v>5.60603614341706</v>
      </c>
    </row>
    <row r="9975" customFormat="false" ht="17.15" hidden="false" customHeight="false" outlineLevel="0" collapsed="false">
      <c r="A9975" s="1" t="s">
        <v>960</v>
      </c>
      <c r="B9975" s="0" t="s">
        <v>95</v>
      </c>
      <c r="C9975" s="6" t="n">
        <f aca="false">(w_ntm28*Sens!G9969+(1-w_ntm28)*Sens!H9969)*m_ai*1</f>
        <v>338.776008390068</v>
      </c>
    </row>
    <row r="9976" customFormat="false" ht="17.15" hidden="false" customHeight="false" outlineLevel="0" collapsed="false">
      <c r="A9976" s="1" t="s">
        <v>961</v>
      </c>
      <c r="B9976" s="0" t="s">
        <v>95</v>
      </c>
      <c r="C9976" s="6" t="n">
        <f aca="false">(w_ntm28*Sens!G9971+(1-w_ntm28)*Sens!H9971)*m_cloud*1</f>
        <v>704.64298775314</v>
      </c>
    </row>
    <row r="9977" customFormat="false" ht="17.15" hidden="false" customHeight="false" outlineLevel="0" collapsed="false">
      <c r="A9977" s="1" t="s">
        <v>962</v>
      </c>
      <c r="B9977" s="0" t="s">
        <v>95</v>
      </c>
      <c r="C9977" s="6" t="n">
        <f aca="false">(w_ntm28*Sens!G9964+(1-w_ntm28)*Sens!H9964)*m_sw*1</f>
        <v>988.547672652094</v>
      </c>
    </row>
    <row r="9978" customFormat="false" ht="17.15" hidden="false" customHeight="false" outlineLevel="0" collapsed="false">
      <c r="A9978" s="1" t="s">
        <v>963</v>
      </c>
      <c r="B9978" s="0" t="s">
        <v>95</v>
      </c>
      <c r="C9978" s="6" t="n">
        <f aca="false">(w_ntm28*Sens!G9965+(1-w_ntm28)*Sens!H9965)*m_sw*1</f>
        <v>363.117661434282</v>
      </c>
    </row>
    <row r="9979" customFormat="false" ht="17.15" hidden="false" customHeight="false" outlineLevel="0" collapsed="false">
      <c r="A9979" s="1" t="s">
        <v>964</v>
      </c>
      <c r="B9979" s="0" t="s">
        <v>95</v>
      </c>
      <c r="C9979" s="6" t="n">
        <f aca="false">(w_ntm28*Sens!G9966+(1-w_ntm28)*Sens!H9966)*m_sw*1</f>
        <v>99.2894025954118</v>
      </c>
    </row>
    <row r="9980" customFormat="false" ht="17.15" hidden="false" customHeight="false" outlineLevel="0" collapsed="false">
      <c r="A9980" s="1" t="s">
        <v>965</v>
      </c>
      <c r="B9980" s="0" t="s">
        <v>95</v>
      </c>
      <c r="C9980" s="6" t="n">
        <f aca="false">(w_ntm28*Sens!G9967+(1-w_ntm28)*Sens!H9967)*m_sw*1</f>
        <v>37.8805648916295</v>
      </c>
    </row>
    <row r="9981" customFormat="false" ht="17.15" hidden="false" customHeight="false" outlineLevel="0" collapsed="false">
      <c r="A9981" s="1" t="s">
        <v>966</v>
      </c>
      <c r="B9981" s="0" t="s">
        <v>95</v>
      </c>
      <c r="C9981" s="6" t="n">
        <f aca="false">(w_ntm28*Sens!G9968+(1-w_ntm28)*Sens!H9968)*m_ads*1</f>
        <v>104.664819473916</v>
      </c>
    </row>
    <row r="9982" customFormat="false" ht="17.15" hidden="false" customHeight="false" outlineLevel="0" collapsed="false">
      <c r="A9982" s="1" t="s">
        <v>967</v>
      </c>
      <c r="B9982" s="0" t="s">
        <v>95</v>
      </c>
      <c r="C9982" s="6" t="n">
        <f aca="false">(w_ntm28*Sens!G9973+(1-w_ntm28)*Sens!H9973)*m_game*1</f>
        <v>79.5146478603213</v>
      </c>
    </row>
    <row r="9983" customFormat="false" ht="17.15" hidden="false" customHeight="false" outlineLevel="0" collapsed="false">
      <c r="A9983" s="1" t="s">
        <v>968</v>
      </c>
      <c r="B9983" s="0" t="s">
        <v>95</v>
      </c>
      <c r="C9983" s="6" t="n">
        <f aca="false">(w_ntm28*Sens!G9974+(1-w_ntm28)*Sens!H9974)*m_pc*1</f>
        <v>78.8296302148612</v>
      </c>
    </row>
    <row r="9984" customFormat="false" ht="17.15" hidden="false" customHeight="false" outlineLevel="0" collapsed="false">
      <c r="A9984" s="1" t="s">
        <v>969</v>
      </c>
      <c r="B9984" s="0" t="s">
        <v>95</v>
      </c>
      <c r="C9984" s="6" t="n">
        <f aca="false">Sens!$C$9975+Sens!$C$9976+Sens!$C$9977+Sens!$C$9978+Sens!$C$9979+Sens!$C$9980+Sens!$C$9981+Sens!$C$9982+Sens!$C$9983</f>
        <v>2795.26339526572</v>
      </c>
    </row>
    <row r="9985" customFormat="false" ht="17.15" hidden="false" customHeight="false" outlineLevel="0" collapsed="false">
      <c r="A9985" s="1" t="s">
        <v>903</v>
      </c>
      <c r="B9985" s="0" t="s">
        <v>95</v>
      </c>
      <c r="C9985" s="6" t="n">
        <f aca="false">Sens!F9942+oai_v-Sens!F9931</f>
        <v>101.328545420601</v>
      </c>
      <c r="L9985" s="1" t="s">
        <v>970</v>
      </c>
    </row>
    <row r="9986" customFormat="false" ht="15" hidden="false" customHeight="false" outlineLevel="0" collapsed="false">
      <c r="A9986" s="1" t="s">
        <v>904</v>
      </c>
      <c r="B9986" s="0" t="s">
        <v>73</v>
      </c>
      <c r="C9986" s="5" t="n">
        <f aca="false">(Sens!$C$9984+Sens!$C$9985)/Sens!F9944</f>
        <v>387.659520969797</v>
      </c>
    </row>
    <row r="9987" customFormat="false" ht="17.15" hidden="false" customHeight="false" outlineLevel="0" collapsed="false">
      <c r="A9987" s="1" t="s">
        <v>971</v>
      </c>
      <c r="B9987" s="0" t="s">
        <v>73</v>
      </c>
      <c r="C9987" s="5" t="n">
        <f aca="false">w_dcf*Sens!$C$9962+(1-w_dcf)*Sens!$C$9986</f>
        <v>277.809969099929</v>
      </c>
    </row>
    <row r="9988" customFormat="false" ht="17.15" hidden="false" customHeight="false" outlineLevel="0" collapsed="false">
      <c r="A9988" s="3" t="s">
        <v>1399</v>
      </c>
    </row>
    <row r="9989" customFormat="false" ht="15" hidden="false" customHeight="false" outlineLevel="0" collapsed="false">
      <c r="A9989" s="4" t="s">
        <v>43</v>
      </c>
      <c r="B9989" s="4" t="s">
        <v>63</v>
      </c>
      <c r="C9989" s="19" t="s">
        <v>710</v>
      </c>
      <c r="D9989" s="19" t="s">
        <v>711</v>
      </c>
      <c r="E9989" s="19" t="s">
        <v>712</v>
      </c>
      <c r="F9989" s="19" t="s">
        <v>713</v>
      </c>
      <c r="G9989" s="19" t="s">
        <v>714</v>
      </c>
      <c r="H9989" s="19" t="s">
        <v>715</v>
      </c>
      <c r="I9989" s="19" t="s">
        <v>716</v>
      </c>
      <c r="J9989" s="19" t="s">
        <v>717</v>
      </c>
      <c r="K9989" s="19" t="s">
        <v>718</v>
      </c>
      <c r="L9989" s="4" t="s">
        <v>47</v>
      </c>
    </row>
    <row r="9990" customFormat="false" ht="17.15" hidden="false" customHeight="false" outlineLevel="0" collapsed="false">
      <c r="A9990" s="1" t="s">
        <v>719</v>
      </c>
      <c r="B9990" s="0" t="s">
        <v>340</v>
      </c>
      <c r="C9990" s="27" t="n">
        <f aca="false">mw_ext_24</f>
        <v>640</v>
      </c>
      <c r="D9990" s="27" t="n">
        <f aca="false">mw_ext_25</f>
        <v>1630</v>
      </c>
      <c r="E9990" s="27" t="n">
        <f aca="false">mw_ext_26</f>
        <v>3250</v>
      </c>
      <c r="F9990" s="27" t="n">
        <f aca="false">MIN(1000000000,Sens!E9990+pace)</f>
        <v>5777.2</v>
      </c>
      <c r="G9990" s="27" t="n">
        <f aca="false">MIN(1000000000,Sens!F9990+pace)</f>
        <v>8304.4</v>
      </c>
      <c r="H9990" s="27" t="n">
        <f aca="false">MIN(1000000000,Sens!G9990+pace)</f>
        <v>10831.6</v>
      </c>
      <c r="I9990" s="27" t="n">
        <f aca="false">MIN(1000000000,Sens!H9990+pace)</f>
        <v>13358.8</v>
      </c>
      <c r="J9990" s="27" t="n">
        <f aca="false">MIN(1000000000,Sens!I9990+pace)</f>
        <v>15886</v>
      </c>
      <c r="K9990" s="27" t="n">
        <f aca="false">MIN(1000000000,Sens!J9990+pace)</f>
        <v>18413.2</v>
      </c>
      <c r="L9990" s="11" t="s">
        <v>720</v>
      </c>
    </row>
    <row r="9991" customFormat="false" ht="17.15" hidden="false" customHeight="false" outlineLevel="0" collapsed="false">
      <c r="A9991" s="1" t="s">
        <v>721</v>
      </c>
      <c r="B9991" s="0" t="s">
        <v>340</v>
      </c>
      <c r="C9991" s="27" t="n">
        <f aca="false">rent_ext_24</f>
        <v>150</v>
      </c>
      <c r="D9991" s="27" t="n">
        <f aca="false">rent_ext_25</f>
        <v>400</v>
      </c>
      <c r="E9991" s="27" t="n">
        <f aca="false">rent_ext_26</f>
        <v>550</v>
      </c>
      <c r="F9991" s="27" t="n">
        <f aca="false">rent_ext_f</f>
        <v>756</v>
      </c>
      <c r="G9991" s="27" t="n">
        <f aca="false">rent_ext_f</f>
        <v>756</v>
      </c>
      <c r="H9991" s="27" t="n">
        <f aca="false">rent_ext_f</f>
        <v>756</v>
      </c>
      <c r="I9991" s="27" t="n">
        <f aca="false">rent_ext_f</f>
        <v>756</v>
      </c>
      <c r="J9991" s="27" t="n">
        <f aca="false">rent_ext_f</f>
        <v>756</v>
      </c>
      <c r="K9991" s="27" t="n">
        <f aca="false">rent_ext_f</f>
        <v>756</v>
      </c>
      <c r="L9991" s="1" t="s">
        <v>722</v>
      </c>
    </row>
    <row r="9992" customFormat="false" ht="17.15" hidden="false" customHeight="false" outlineLevel="0" collapsed="false">
      <c r="A9992" s="1" t="s">
        <v>723</v>
      </c>
      <c r="B9992" s="0" t="s">
        <v>340</v>
      </c>
      <c r="C9992" s="27" t="n">
        <f aca="false">Sens!C9990-Sens!C9991</f>
        <v>490</v>
      </c>
      <c r="D9992" s="27" t="n">
        <f aca="false">Sens!D9990-Sens!D9991</f>
        <v>1230</v>
      </c>
      <c r="E9992" s="27" t="n">
        <f aca="false">Sens!E9990-Sens!E9991</f>
        <v>2700</v>
      </c>
      <c r="F9992" s="27" t="n">
        <f aca="false">Sens!F9990-Sens!F9991</f>
        <v>5021.2</v>
      </c>
      <c r="G9992" s="27" t="n">
        <f aca="false">Sens!G9990-Sens!G9991</f>
        <v>7548.4</v>
      </c>
      <c r="H9992" s="27" t="n">
        <f aca="false">Sens!H9990-Sens!H9991</f>
        <v>10075.6</v>
      </c>
      <c r="I9992" s="27" t="n">
        <f aca="false">Sens!I9990-Sens!I9991</f>
        <v>12602.8</v>
      </c>
      <c r="J9992" s="27" t="n">
        <f aca="false">Sens!J9990-Sens!J9991</f>
        <v>15130</v>
      </c>
      <c r="K9992" s="27" t="n">
        <f aca="false">Sens!K9990-Sens!K9991</f>
        <v>17657.2</v>
      </c>
    </row>
    <row r="9993" customFormat="false" ht="17.15" hidden="false" customHeight="false" outlineLevel="0" collapsed="false">
      <c r="A9993" s="1" t="s">
        <v>724</v>
      </c>
      <c r="B9993" s="0" t="s">
        <v>340</v>
      </c>
      <c r="C9993" s="27" t="n">
        <f aca="false">Sens!C9992/ext_sh</f>
        <v>816.666666666667</v>
      </c>
      <c r="D9993" s="27" t="n">
        <f aca="false">Sens!D9992/ext_sh</f>
        <v>2050</v>
      </c>
      <c r="E9993" s="27" t="n">
        <f aca="false">Sens!E9992/ext_sh</f>
        <v>4500</v>
      </c>
      <c r="F9993" s="27" t="n">
        <f aca="false">Sens!F9992/ext_sh</f>
        <v>8368.66666666667</v>
      </c>
      <c r="G9993" s="27" t="n">
        <f aca="false">Sens!G9992/ext_sh</f>
        <v>12580.6666666667</v>
      </c>
      <c r="H9993" s="27" t="n">
        <f aca="false">Sens!H9992/ext_sh</f>
        <v>16792.6666666667</v>
      </c>
      <c r="I9993" s="27" t="n">
        <f aca="false">Sens!I9992/ext_sh</f>
        <v>21004.6666666667</v>
      </c>
      <c r="J9993" s="27" t="n">
        <f aca="false">Sens!J9992/ext_sh</f>
        <v>25216.6666666667</v>
      </c>
      <c r="K9993" s="27" t="n">
        <f aca="false">Sens!K9992/ext_sh</f>
        <v>29428.6666666667</v>
      </c>
      <c r="L9993" s="1" t="s">
        <v>725</v>
      </c>
    </row>
    <row r="9994" customFormat="false" ht="17.15" hidden="false" customHeight="false" outlineLevel="0" collapsed="false">
      <c r="A9994" s="1" t="s">
        <v>726</v>
      </c>
      <c r="B9994" s="0" t="s">
        <v>340</v>
      </c>
      <c r="C9994" s="27" t="n">
        <f aca="false">Sens!C9993-Sens!C9992</f>
        <v>326.666666666667</v>
      </c>
      <c r="D9994" s="27" t="n">
        <f aca="false">Sens!D9993-Sens!D9992</f>
        <v>820</v>
      </c>
      <c r="E9994" s="27" t="n">
        <f aca="false">Sens!E9993-Sens!E9992</f>
        <v>1800</v>
      </c>
      <c r="F9994" s="27" t="n">
        <f aca="false">Sens!F9993-Sens!F9992</f>
        <v>3347.46666666667</v>
      </c>
      <c r="G9994" s="27" t="n">
        <f aca="false">Sens!G9993-Sens!G9992</f>
        <v>5032.26666666667</v>
      </c>
      <c r="H9994" s="27" t="n">
        <f aca="false">Sens!H9993-Sens!H9992</f>
        <v>6717.06666666667</v>
      </c>
      <c r="I9994" s="27" t="n">
        <f aca="false">Sens!I9993-Sens!I9992</f>
        <v>8401.86666666667</v>
      </c>
      <c r="J9994" s="27" t="n">
        <f aca="false">Sens!J9993-Sens!J9992</f>
        <v>10086.6666666667</v>
      </c>
      <c r="K9994" s="27" t="n">
        <f aca="false">Sens!K9993-Sens!K9992</f>
        <v>11771.4666666667</v>
      </c>
    </row>
    <row r="9995" customFormat="false" ht="17.15" hidden="false" customHeight="false" outlineLevel="0" collapsed="false">
      <c r="A9995" s="1" t="s">
        <v>727</v>
      </c>
      <c r="B9995" s="0" t="s">
        <v>340</v>
      </c>
      <c r="C9995" s="27" t="n">
        <f aca="false">Sens!C9993</f>
        <v>816.666666666667</v>
      </c>
      <c r="D9995" s="27" t="n">
        <f aca="false">Sens!D9993-Sens!C9993</f>
        <v>1233.33333333333</v>
      </c>
      <c r="E9995" s="27" t="n">
        <f aca="false">Sens!E9993-Sens!D9993</f>
        <v>2450</v>
      </c>
      <c r="F9995" s="27" t="n">
        <f aca="false">Sens!F9993-Sens!E9993</f>
        <v>3868.66666666667</v>
      </c>
      <c r="G9995" s="27" t="n">
        <f aca="false">Sens!G9993-Sens!F9993</f>
        <v>4212</v>
      </c>
      <c r="H9995" s="27" t="n">
        <f aca="false">Sens!H9993-Sens!G9993</f>
        <v>4212</v>
      </c>
      <c r="I9995" s="27" t="n">
        <f aca="false">Sens!I9993-Sens!H9993</f>
        <v>4212</v>
      </c>
      <c r="J9995" s="27" t="n">
        <f aca="false">Sens!J9993-Sens!I9993</f>
        <v>4212</v>
      </c>
      <c r="K9995" s="27" t="n">
        <f aca="false">Sens!K9993-Sens!J9993</f>
        <v>4212</v>
      </c>
    </row>
    <row r="9996" customFormat="false" ht="17.15" hidden="false" customHeight="false" outlineLevel="0" collapsed="false">
      <c r="A9996" s="1" t="s">
        <v>728</v>
      </c>
      <c r="B9996" s="0" t="s">
        <v>340</v>
      </c>
      <c r="D9996" s="27" t="n">
        <f aca="false">Sens!D9990-Sens!C9990</f>
        <v>990</v>
      </c>
      <c r="E9996" s="27" t="n">
        <f aca="false">Sens!E9990-Sens!D9990</f>
        <v>1620</v>
      </c>
      <c r="F9996" s="27" t="n">
        <f aca="false">Sens!F9990-Sens!E9990</f>
        <v>2527.2</v>
      </c>
      <c r="G9996" s="27" t="n">
        <f aca="false">Sens!G9990-Sens!F9990</f>
        <v>2527.2</v>
      </c>
      <c r="H9996" s="27" t="n">
        <f aca="false">Sens!H9990-Sens!G9990</f>
        <v>2527.2</v>
      </c>
      <c r="I9996" s="27" t="n">
        <f aca="false">Sens!I9990-Sens!H9990</f>
        <v>2527.2</v>
      </c>
      <c r="J9996" s="27" t="n">
        <f aca="false">Sens!J9990-Sens!I9990</f>
        <v>2527.2</v>
      </c>
      <c r="K9996" s="27" t="n">
        <f aca="false">Sens!K9990-Sens!J9990</f>
        <v>2527.2</v>
      </c>
    </row>
    <row r="9997" customFormat="false" ht="17.15" hidden="false" customHeight="false" outlineLevel="0" collapsed="false">
      <c r="A9997" s="1" t="s">
        <v>729</v>
      </c>
      <c r="B9997" s="0" t="s">
        <v>340</v>
      </c>
      <c r="C9997" s="27" t="n">
        <f aca="false">mix_h*Sens!C9990</f>
        <v>128</v>
      </c>
      <c r="D9997" s="27" t="n">
        <f aca="false">mix_h*Sens!D9990</f>
        <v>326</v>
      </c>
      <c r="E9997" s="27" t="n">
        <f aca="false">mix_h*Sens!E9990</f>
        <v>650</v>
      </c>
      <c r="F9997" s="27" t="n">
        <f aca="false">Sens!E9997</f>
        <v>650</v>
      </c>
      <c r="G9997" s="27" t="n">
        <f aca="false">Sens!F9997</f>
        <v>650</v>
      </c>
      <c r="H9997" s="27" t="n">
        <f aca="false">Sens!G9997</f>
        <v>650</v>
      </c>
      <c r="I9997" s="27" t="n">
        <f aca="false">Sens!H9997</f>
        <v>650</v>
      </c>
      <c r="J9997" s="27" t="n">
        <f aca="false">Sens!I9997</f>
        <v>650</v>
      </c>
      <c r="K9997" s="27" t="n">
        <f aca="false">Sens!J9997</f>
        <v>650</v>
      </c>
    </row>
    <row r="9998" customFormat="false" ht="17.15" hidden="false" customHeight="false" outlineLevel="0" collapsed="false">
      <c r="A9998" s="1" t="s">
        <v>730</v>
      </c>
      <c r="B9998" s="0" t="s">
        <v>340</v>
      </c>
      <c r="C9998" s="27" t="n">
        <f aca="false">mix_g2*Sens!C9990</f>
        <v>288</v>
      </c>
      <c r="D9998" s="27" t="n">
        <f aca="false">mix_g2*Sens!D9990</f>
        <v>733.5</v>
      </c>
      <c r="E9998" s="27" t="n">
        <f aca="false">mix_g2*Sens!E9990</f>
        <v>1462.5</v>
      </c>
      <c r="F9998" s="27" t="n">
        <f aca="false">Sens!E9998</f>
        <v>1462.5</v>
      </c>
      <c r="G9998" s="27" t="n">
        <f aca="false">Sens!F9998</f>
        <v>1462.5</v>
      </c>
      <c r="H9998" s="27" t="n">
        <f aca="false">Sens!G9998</f>
        <v>1462.5</v>
      </c>
      <c r="I9998" s="27" t="n">
        <f aca="false">Sens!H9998</f>
        <v>1462.5</v>
      </c>
      <c r="J9998" s="27" t="n">
        <f aca="false">Sens!I9998</f>
        <v>1462.5</v>
      </c>
      <c r="K9998" s="27" t="n">
        <f aca="false">Sens!J9998</f>
        <v>1462.5</v>
      </c>
    </row>
    <row r="9999" customFormat="false" ht="17.15" hidden="false" customHeight="false" outlineLevel="0" collapsed="false">
      <c r="A9999" s="1" t="s">
        <v>731</v>
      </c>
      <c r="B9999" s="0" t="s">
        <v>340</v>
      </c>
      <c r="C9999" s="27" t="n">
        <f aca="false">mix_g3*Sens!C9990</f>
        <v>224</v>
      </c>
      <c r="D9999" s="27" t="n">
        <f aca="false">mix_g3*Sens!D9990</f>
        <v>570.5</v>
      </c>
      <c r="E9999" s="27" t="n">
        <f aca="false">mix_g3*Sens!E9990</f>
        <v>1137.5</v>
      </c>
      <c r="F9999" s="27" t="n">
        <f aca="false">Sens!E9999+Sens!F9996*a_g3_27</f>
        <v>2906.54</v>
      </c>
      <c r="G9999" s="27" t="n">
        <f aca="false">Sens!F9999+Sens!G9996*a_g3_28</f>
        <v>3664.7</v>
      </c>
      <c r="H9999" s="27" t="n">
        <f aca="false">Sens!G9999+Sens!H9996*a_g3_29</f>
        <v>3917.42</v>
      </c>
      <c r="I9999" s="27" t="n">
        <f aca="false">Sens!H9999+Sens!I9996*a_g3_29</f>
        <v>4170.14</v>
      </c>
      <c r="J9999" s="27" t="n">
        <f aca="false">Sens!I9999+Sens!J9996*a_g3_29</f>
        <v>4422.86</v>
      </c>
      <c r="K9999" s="27" t="n">
        <f aca="false">Sens!J9999+Sens!K9996*a_g3_29</f>
        <v>4675.58</v>
      </c>
    </row>
    <row r="10000" customFormat="false" ht="17.15" hidden="false" customHeight="false" outlineLevel="0" collapsed="false">
      <c r="A10000" s="1" t="s">
        <v>732</v>
      </c>
      <c r="B10000" s="0" t="s">
        <v>340</v>
      </c>
      <c r="C10000" s="27" t="n">
        <f aca="false">0</f>
        <v>0</v>
      </c>
      <c r="D10000" s="27" t="n">
        <f aca="false">0</f>
        <v>0</v>
      </c>
      <c r="E10000" s="27" t="n">
        <f aca="false">0</f>
        <v>0</v>
      </c>
      <c r="F10000" s="27" t="n">
        <f aca="false">Sens!E10000+Sens!F9996*(1-a_g3_27)</f>
        <v>758.16</v>
      </c>
      <c r="G10000" s="27" t="n">
        <f aca="false">Sens!F10000+Sens!G9996*(1-a_g3_28)</f>
        <v>2527.2</v>
      </c>
      <c r="H10000" s="27" t="n">
        <f aca="false">Sens!G10000+Sens!H9996*(1-a_g3_29)</f>
        <v>4801.68</v>
      </c>
      <c r="I10000" s="27" t="n">
        <f aca="false">Sens!H10000+Sens!I9996*(1-a_g3_29)</f>
        <v>7076.16</v>
      </c>
      <c r="J10000" s="27" t="n">
        <f aca="false">Sens!I10000+Sens!J9996*(1-a_g3_29)</f>
        <v>9350.64</v>
      </c>
      <c r="K10000" s="27" t="n">
        <f aca="false">Sens!J10000+Sens!K9996*(1-a_g3_29)</f>
        <v>11625.12</v>
      </c>
    </row>
    <row r="10001" customFormat="false" ht="17.15" hidden="false" customHeight="false" outlineLevel="0" collapsed="false">
      <c r="A10001" s="1" t="s">
        <v>733</v>
      </c>
      <c r="B10001" s="0" t="s">
        <v>291</v>
      </c>
      <c r="C10001" s="18" t="n">
        <f aca="false">(Sens!C9997*tk_hold_h100+Sens!C9998*tk_hold_gb200+Sens!C9999*tk_hold_gb300+Sens!C10000*tk_hold_vr200)/Sens!C9990</f>
        <v>9.7235358126469</v>
      </c>
      <c r="D10001" s="18" t="n">
        <f aca="false">(Sens!D9997*tk_hold_h100+Sens!D9998*tk_hold_gb200+Sens!D9999*tk_hold_gb300+Sens!D10000*tk_hold_vr200)/Sens!D9990</f>
        <v>9.7235358126469</v>
      </c>
      <c r="E10001" s="18" t="n">
        <f aca="false">(Sens!E9997*tk_hold_h100+Sens!E9998*tk_hold_gb200+Sens!E9999*tk_hold_gb300+Sens!E10000*tk_hold_vr200)/Sens!E9990</f>
        <v>9.7235358126469</v>
      </c>
      <c r="F10001" s="18" t="n">
        <f aca="false">(Sens!F9997*tk_hold_h100+Sens!F9998*tk_hold_gb200+Sens!F9999*tk_hold_gb300+Sens!F10000*tk_hold_vr200)/Sens!F9990</f>
        <v>10.4079573161931</v>
      </c>
      <c r="G10001" s="18" t="n">
        <f aca="false">(Sens!G9997*tk_hold_h100+Sens!G9998*tk_hold_gb200+Sens!G9999*tk_hold_gb300+Sens!G10000*tk_hold_vr200)/Sens!G9990</f>
        <v>10.8388131109316</v>
      </c>
      <c r="H10001" s="18" t="n">
        <f aca="false">(Sens!H9997*tk_hold_h100+Sens!H9998*tk_hold_gb200+Sens!H9999*tk_hold_gb300+Sens!H10000*tk_hold_vr200)/Sens!H9990</f>
        <v>11.1311018388216</v>
      </c>
      <c r="I10001" s="18" t="n">
        <f aca="false">(Sens!I9997*tk_hold_h100+Sens!I9998*tk_hold_gb200+Sens!I9999*tk_hold_gb300+Sens!I10000*tk_hold_vr200)/Sens!I9990</f>
        <v>11.3128009818501</v>
      </c>
      <c r="J10001" s="18" t="n">
        <f aca="false">(Sens!J9997*tk_hold_h100+Sens!J9998*tk_hold_gb200+Sens!J9999*tk_hold_gb300+Sens!J10000*tk_hold_vr200)/Sens!J9990</f>
        <v>11.4366894646418</v>
      </c>
      <c r="K10001" s="18" t="n">
        <f aca="false">(Sens!K9997*tk_hold_h100+Sens!K9998*tk_hold_gb200+Sens!K9999*tk_hold_gb300+Sens!K10000*tk_hold_vr200)/Sens!K9990</f>
        <v>11.526570716348</v>
      </c>
    </row>
    <row r="10002" customFormat="false" ht="17.15" hidden="false" customHeight="false" outlineLevel="0" collapsed="false">
      <c r="A10002" s="0" t="s">
        <v>734</v>
      </c>
      <c r="B10002" s="0" t="s">
        <v>182</v>
      </c>
      <c r="C10002" s="18" t="n">
        <f aca="false">k_B</f>
        <v>1.17213932619116</v>
      </c>
      <c r="D10002" s="18" t="n">
        <f aca="false">k_B</f>
        <v>1.17213932619116</v>
      </c>
      <c r="E10002" s="18" t="n">
        <f aca="false">k_B</f>
        <v>1.17213932619116</v>
      </c>
      <c r="F10002" s="18" t="n">
        <f aca="false">(k_B+((ls_A*k_long+(1-ls_A)*k_spot)-k_B)*MIN(1,1/3))*1</f>
        <v>1.25022828131298</v>
      </c>
      <c r="G10002" s="18" t="n">
        <f aca="false">(k_B+((ls_A*k_long+(1-ls_A)*k_spot)-k_B)*MIN(1,2/3))*1</f>
        <v>1.3283172364348</v>
      </c>
      <c r="H10002" s="18" t="n">
        <f aca="false">(k_B+((ls_A*k_long+(1-ls_A)*k_spot)-k_B)*MIN(1,3/3))*1</f>
        <v>1.40640619155662</v>
      </c>
      <c r="I10002" s="18" t="n">
        <f aca="false">(k_B+((ls_A*k_long+(1-ls_A)*k_spot)-k_B)*MIN(1,4/3))*1</f>
        <v>1.40640619155662</v>
      </c>
      <c r="J10002" s="18" t="n">
        <f aca="false">(k_B+((ls_A*k_long+(1-ls_A)*k_spot)-k_B)*MIN(1,5/3))*1</f>
        <v>1.40640619155662</v>
      </c>
      <c r="K10002" s="18" t="n">
        <f aca="false">(k_B+((ls_A*k_long+(1-ls_A)*k_spot)-k_B)*MIN(1,6/3))*1</f>
        <v>1.40640619155662</v>
      </c>
      <c r="L10002" s="1" t="s">
        <v>735</v>
      </c>
    </row>
    <row r="10003" customFormat="false" ht="17.15" hidden="false" customHeight="false" outlineLevel="0" collapsed="false">
      <c r="A10003" s="1" t="s">
        <v>736</v>
      </c>
      <c r="B10003" s="0" t="s">
        <v>291</v>
      </c>
      <c r="C10003" s="18" t="n">
        <f aca="false">Sens!C10001*Sens!C10002*chip_f</f>
        <v>11.3973387156315</v>
      </c>
      <c r="D10003" s="18" t="n">
        <f aca="false">Sens!D10001*Sens!D10002*chip_f</f>
        <v>11.3973387156315</v>
      </c>
      <c r="E10003" s="18" t="n">
        <f aca="false">Sens!E10001*Sens!E10002*chip_f</f>
        <v>11.3973387156315</v>
      </c>
      <c r="F10003" s="18" t="n">
        <f aca="false">Sens!F10001*Sens!F10002*chip_f</f>
        <v>13.0123225874029</v>
      </c>
      <c r="G10003" s="18" t="n">
        <f aca="false">Sens!G10001*Sens!G10002*chip_f</f>
        <v>14.3973822777458</v>
      </c>
      <c r="H10003" s="18" t="n">
        <f aca="false">Sens!H10001*Sens!H10002*chip_f</f>
        <v>15.6548505449659</v>
      </c>
      <c r="I10003" s="18" t="n">
        <f aca="false">Sens!I10001*Sens!I10002*chip_f</f>
        <v>15.9103933447218</v>
      </c>
      <c r="J10003" s="18" t="n">
        <f aca="false">Sens!J10001*Sens!J10002*chip_f</f>
        <v>16.0846308739825</v>
      </c>
      <c r="K10003" s="18" t="n">
        <f aca="false">Sens!K10001*Sens!K10002*chip_f</f>
        <v>16.211040422887</v>
      </c>
      <c r="L10003" s="1" t="s">
        <v>737</v>
      </c>
    </row>
    <row r="10004" customFormat="false" ht="17.15" hidden="false" customHeight="false" outlineLevel="0" collapsed="false">
      <c r="A10004" s="0" t="s">
        <v>738</v>
      </c>
      <c r="B10004" s="0" t="s">
        <v>95</v>
      </c>
      <c r="D10004" s="6" t="n">
        <f aca="false">(Sens!C9990+Sens!D9990)/2*Sens!D10003/1000</f>
        <v>12.9359794422418</v>
      </c>
      <c r="E10004" s="6" t="n">
        <f aca="false">(Sens!D9990+Sens!E9990)/2*Sens!E10003/1000</f>
        <v>27.8095064661409</v>
      </c>
      <c r="F10004" s="6" t="n">
        <f aca="false">(Sens!E9990+Sens!F9990)/2*Sens!F10003/1000</f>
        <v>58.7324192305018</v>
      </c>
      <c r="G10004" s="6" t="n">
        <f aca="false">(Sens!F9990+Sens!G9990)/2*Sens!G10003/1000</f>
        <v>101.369089141153</v>
      </c>
      <c r="H10004" s="6" t="n">
        <f aca="false">(Sens!G9990+Sens!H9990)/2*Sens!H10003/1000</f>
        <v>149.785610014234</v>
      </c>
      <c r="I10004" s="6" t="n">
        <f aca="false">(Sens!H9990+Sens!I9990)/2*Sens!I10003/1000</f>
        <v>192.439389583079</v>
      </c>
      <c r="J10004" s="6" t="n">
        <f aca="false">(Sens!I9990+Sens!J9990)/2*Sens!J10003/1000</f>
        <v>235.195906491722</v>
      </c>
      <c r="K10004" s="6" t="n">
        <f aca="false">(Sens!J9990+Sens!K9990)/2*Sens!K10003/1000</f>
        <v>278.012858836343</v>
      </c>
      <c r="L10004" s="11" t="s">
        <v>739</v>
      </c>
    </row>
    <row r="10005" customFormat="false" ht="17.15" hidden="false" customHeight="false" outlineLevel="0" collapsed="false">
      <c r="A10005" s="1" t="s">
        <v>740</v>
      </c>
      <c r="B10005" s="0" t="s">
        <v>291</v>
      </c>
      <c r="C10005" s="18" t="n">
        <f aca="false">(Sens!C9997*tk_opex_h100+Sens!C9998*tk_opex_gb200+Sens!C9999*tk_opex_gb300+Sens!C10000*tk_opex_vr200)/Sens!C9990</f>
        <v>1.88636041306092</v>
      </c>
      <c r="D10005" s="18" t="n">
        <f aca="false">(Sens!D9997*tk_opex_h100+Sens!D9998*tk_opex_gb200+Sens!D9999*tk_opex_gb300+Sens!D10000*tk_opex_vr200)/Sens!D9990</f>
        <v>1.88636041306092</v>
      </c>
      <c r="E10005" s="18" t="n">
        <f aca="false">(Sens!E9997*tk_opex_h100+Sens!E9998*tk_opex_gb200+Sens!E9999*tk_opex_gb300+Sens!E10000*tk_opex_vr200)/Sens!E9990</f>
        <v>1.88636041306092</v>
      </c>
      <c r="F10005" s="18" t="n">
        <f aca="false">(Sens!F9997*tk_opex_h100+Sens!F9998*tk_opex_gb200+Sens!F9999*tk_opex_gb300+Sens!F10000*tk_opex_vr200)/Sens!F9990</f>
        <v>1.9430236476499</v>
      </c>
      <c r="G10005" s="18" t="n">
        <f aca="false">(Sens!G9997*tk_opex_h100+Sens!G9998*tk_opex_gb200+Sens!G9999*tk_opex_gb300+Sens!G10000*tk_opex_vr200)/Sens!G9990</f>
        <v>1.9786941852423</v>
      </c>
      <c r="H10005" s="18" t="n">
        <f aca="false">(Sens!H9997*tk_opex_h100+Sens!H9998*tk_opex_gb200+Sens!H9999*tk_opex_gb300+Sens!H10000*tk_opex_vr200)/Sens!H9990</f>
        <v>2.00289275976156</v>
      </c>
      <c r="I10005" s="18" t="n">
        <f aca="false">(Sens!I9997*tk_opex_h100+Sens!I9998*tk_opex_gb200+Sens!I9999*tk_opex_gb300+Sens!I10000*tk_opex_vr200)/Sens!I9990</f>
        <v>2.01793562605478</v>
      </c>
      <c r="J10005" s="18" t="n">
        <f aca="false">(Sens!J9997*tk_opex_h100+Sens!J9998*tk_opex_gb200+Sens!J9999*tk_opex_gb300+Sens!J10000*tk_opex_vr200)/Sens!J9990</f>
        <v>2.02819234961902</v>
      </c>
      <c r="K10005" s="18" t="n">
        <f aca="false">(Sens!K9997*tk_opex_h100+Sens!K9998*tk_opex_gb200+Sens!K9999*tk_opex_gb300+Sens!K10000*tk_opex_vr200)/Sens!K9990</f>
        <v>2.0356336155994</v>
      </c>
    </row>
    <row r="10006" customFormat="false" ht="17.15" hidden="false" customHeight="false" outlineLevel="0" collapsed="false">
      <c r="A10006" s="0" t="s">
        <v>741</v>
      </c>
      <c r="B10006" s="0" t="s">
        <v>95</v>
      </c>
      <c r="D10006" s="6" t="n">
        <f aca="false">(Sens!C9993+Sens!D9993)/2*Sens!D10005/1000</f>
        <v>2.70378325872065</v>
      </c>
      <c r="E10006" s="6" t="n">
        <f aca="false">(Sens!D9993+Sens!E9993)/2*Sens!E10005/1000</f>
        <v>6.17783035277451</v>
      </c>
      <c r="F10006" s="6" t="n">
        <f aca="false">(Sens!E9993+Sens!F9993)/2*Sens!F10005/1000</f>
        <v>12.5020618235287</v>
      </c>
      <c r="G10006" s="6" t="n">
        <f aca="false">(Sens!F9993+Sens!G9993)/2*Sens!G10005/1000</f>
        <v>20.7261620256847</v>
      </c>
      <c r="H10006" s="6" t="n">
        <f aca="false">(Sens!G9993+Sens!H9993)/2*Sens!H10005/1000</f>
        <v>29.4158183316982</v>
      </c>
      <c r="I10006" s="6" t="n">
        <f aca="false">(Sens!H9993+Sens!I9993)/2*Sens!I10005/1000</f>
        <v>38.1362927516005</v>
      </c>
      <c r="J10006" s="6" t="n">
        <f aca="false">(Sens!I9993+Sens!J9993)/2*Sens!J10005/1000</f>
        <v>46.8728773279286</v>
      </c>
      <c r="K10006" s="6" t="n">
        <f aca="false">(Sens!J9993+Sens!K9993)/2*Sens!K10005/1000</f>
        <v>55.618938734484</v>
      </c>
    </row>
    <row r="10007" customFormat="false" ht="17.15" hidden="false" customHeight="false" outlineLevel="0" collapsed="false">
      <c r="A10007" s="0" t="s">
        <v>742</v>
      </c>
      <c r="B10007" s="0" t="s">
        <v>95</v>
      </c>
      <c r="D10007" s="6" t="n">
        <f aca="false">(Sens!C9991+Sens!D9991)/2*rent_mw/1000</f>
        <v>2.44475</v>
      </c>
      <c r="E10007" s="6" t="n">
        <f aca="false">(Sens!D9991+Sens!E9991)/2*rent_mw/1000</f>
        <v>4.22275</v>
      </c>
      <c r="F10007" s="6" t="n">
        <f aca="false">(Sens!E9991+Sens!F9991)/2*rent_mw/1000</f>
        <v>5.80517</v>
      </c>
      <c r="G10007" s="6" t="n">
        <f aca="false">(Sens!F9991+Sens!G9991)/2*rent_mw/1000</f>
        <v>6.72084</v>
      </c>
      <c r="H10007" s="6" t="n">
        <f aca="false">(Sens!G9991+Sens!H9991)/2*rent_mw/1000</f>
        <v>6.72084</v>
      </c>
      <c r="I10007" s="6" t="n">
        <f aca="false">(Sens!H9991+Sens!I9991)/2*rent_mw/1000</f>
        <v>6.72084</v>
      </c>
      <c r="J10007" s="6" t="n">
        <f aca="false">(Sens!I9991+Sens!J9991)/2*rent_mw/1000</f>
        <v>6.72084</v>
      </c>
      <c r="K10007" s="6" t="n">
        <f aca="false">(Sens!J9991+Sens!K9991)/2*rent_mw/1000</f>
        <v>6.72084</v>
      </c>
    </row>
    <row r="10008" customFormat="false" ht="17.15" hidden="false" customHeight="false" outlineLevel="0" collapsed="false">
      <c r="A10008" s="0" t="s">
        <v>743</v>
      </c>
      <c r="B10008" s="0" t="s">
        <v>95</v>
      </c>
      <c r="D10008" s="6" t="n">
        <f aca="false">(Sens!C9993+Sens!D9993)/2*(1-self_build)*fac_rent/1000</f>
        <v>0.853242375631075</v>
      </c>
      <c r="E10008" s="6" t="n">
        <f aca="false">(Sens!D9993+Sens!E9993)/2*(1-self_build)*fac_rent/1000</f>
        <v>1.94955961408728</v>
      </c>
      <c r="F10008" s="6" t="n">
        <f aca="false">(Sens!E9993+Sens!F9993)/2*(1-self_build)*fac_rent/1000</f>
        <v>3.83026455274573</v>
      </c>
      <c r="G10008" s="6" t="n">
        <f aca="false">(Sens!F9993+Sens!G9993)/2*(1-self_build)*fac_rent/1000</f>
        <v>6.23541590972812</v>
      </c>
      <c r="H10008" s="6" t="n">
        <f aca="false">(Sens!G9993+Sens!H9993)/2*(1-self_build)*fac_rent/1000</f>
        <v>8.74275792332679</v>
      </c>
      <c r="I10008" s="6" t="n">
        <f aca="false">(Sens!H9993+Sens!I9993)/2*(1-self_build)*fac_rent/1000</f>
        <v>11.2500999369255</v>
      </c>
      <c r="J10008" s="6" t="n">
        <f aca="false">(Sens!I9993+Sens!J9993)/2*(1-self_build)*fac_rent/1000</f>
        <v>13.7574419505241</v>
      </c>
      <c r="K10008" s="6" t="n">
        <f aca="false">(Sens!J9993+Sens!K9993)/2*(1-self_build)*fac_rent/1000</f>
        <v>16.2647839641228</v>
      </c>
      <c r="L10008" s="11" t="s">
        <v>744</v>
      </c>
    </row>
    <row r="10009" customFormat="false" ht="17.15" hidden="false" customHeight="false" outlineLevel="0" collapsed="false">
      <c r="A10009" s="1" t="s">
        <v>745</v>
      </c>
      <c r="B10009" s="0" t="s">
        <v>126</v>
      </c>
      <c r="D10009" s="7" t="n">
        <f aca="false">(Sens!C9992+Sens!D9992)/(Sens!C9993+Sens!D9993)</f>
        <v>0.6</v>
      </c>
      <c r="E10009" s="7" t="n">
        <f aca="false">(Sens!D9992+Sens!E9992)/(Sens!D9993+Sens!E9993)</f>
        <v>0.6</v>
      </c>
      <c r="F10009" s="7" t="n">
        <f aca="false">(Sens!E9992+Sens!F9992)/(Sens!E9993+Sens!F9993)</f>
        <v>0.6</v>
      </c>
      <c r="G10009" s="7" t="n">
        <f aca="false">(Sens!F9992+Sens!G9992)/(Sens!F9993+Sens!G9993)</f>
        <v>0.6</v>
      </c>
      <c r="H10009" s="7" t="n">
        <f aca="false">(Sens!G9992+Sens!H9992)/(Sens!G9993+Sens!H9993)</f>
        <v>0.6</v>
      </c>
      <c r="I10009" s="7" t="n">
        <f aca="false">(Sens!H9992+Sens!I9992)/(Sens!H9993+Sens!I9993)</f>
        <v>0.6</v>
      </c>
      <c r="J10009" s="7" t="n">
        <f aca="false">(Sens!I9992+Sens!J9992)/(Sens!I9993+Sens!J9993)</f>
        <v>0.6</v>
      </c>
      <c r="K10009" s="7" t="n">
        <f aca="false">(Sens!J9992+Sens!K9992)/(Sens!J9993+Sens!K9993)</f>
        <v>0.6</v>
      </c>
    </row>
    <row r="10010" customFormat="false" ht="17.15" hidden="false" customHeight="false" outlineLevel="0" collapsed="false">
      <c r="A10010" s="0" t="s">
        <v>746</v>
      </c>
      <c r="B10010" s="0" t="s">
        <v>95</v>
      </c>
      <c r="D10010" s="6" t="n">
        <f aca="false">Sens!D10004-Sens!D10009*(Sens!D10006+Sens!D10008)-Sens!D10007</f>
        <v>8.35701406163072</v>
      </c>
      <c r="E10010" s="6" t="n">
        <f aca="false">Sens!E10004-Sens!E10009*(Sens!E10006+Sens!E10008)-Sens!E10007</f>
        <v>18.7103224860238</v>
      </c>
      <c r="F10010" s="6" t="n">
        <f aca="false">Sens!F10004-Sens!F10009*(Sens!F10006+Sens!F10008)-Sens!F10007</f>
        <v>43.1278534047371</v>
      </c>
      <c r="G10010" s="6" t="n">
        <f aca="false">Sens!G10004-Sens!G10009*(Sens!G10006+Sens!G10008)-Sens!G10007</f>
        <v>78.4713023799053</v>
      </c>
      <c r="H10010" s="6" t="n">
        <f aca="false">Sens!H10004-Sens!H10009*(Sens!H10006+Sens!H10008)-Sens!H10007</f>
        <v>120.169624261219</v>
      </c>
      <c r="I10010" s="6" t="n">
        <f aca="false">Sens!I10004-Sens!I10009*(Sens!I10006+Sens!I10008)-Sens!I10007</f>
        <v>156.086713969963</v>
      </c>
      <c r="J10010" s="6" t="n">
        <f aca="false">Sens!J10004-Sens!J10009*(Sens!J10006+Sens!J10008)-Sens!J10007</f>
        <v>192.09687492465</v>
      </c>
      <c r="K10010" s="6" t="n">
        <f aca="false">Sens!K10004-Sens!K10009*(Sens!K10006+Sens!K10008)-Sens!K10007</f>
        <v>228.161785217179</v>
      </c>
    </row>
    <row r="10011" customFormat="false" ht="17.15" hidden="false" customHeight="false" outlineLevel="0" collapsed="false">
      <c r="A10011" s="1" t="s">
        <v>747</v>
      </c>
      <c r="B10011" s="0" t="s">
        <v>95</v>
      </c>
      <c r="D10011" s="6" t="n">
        <f aca="false">(1-Sens!D10009)*(Sens!D10006+Sens!D10008)</f>
        <v>1.42281025374069</v>
      </c>
      <c r="E10011" s="6" t="n">
        <f aca="false">(1-Sens!E10009)*(Sens!E10006+Sens!E10008)</f>
        <v>3.25095598674472</v>
      </c>
      <c r="F10011" s="6" t="n">
        <f aca="false">(1-Sens!F10009)*(Sens!F10006+Sens!F10008)</f>
        <v>6.53293055050977</v>
      </c>
      <c r="G10011" s="6" t="n">
        <f aca="false">(1-Sens!G10009)*(Sens!G10006+Sens!G10008)</f>
        <v>10.7846311741651</v>
      </c>
      <c r="H10011" s="6" t="n">
        <f aca="false">(1-Sens!H10009)*(Sens!H10006+Sens!H10008)</f>
        <v>15.26343050201</v>
      </c>
      <c r="I10011" s="6" t="n">
        <f aca="false">(1-Sens!I10009)*(Sens!I10006+Sens!I10008)</f>
        <v>19.7545570754104</v>
      </c>
      <c r="J10011" s="6" t="n">
        <f aca="false">(1-Sens!J10009)*(Sens!J10006+Sens!J10008)</f>
        <v>24.2521277113811</v>
      </c>
      <c r="K10011" s="6" t="n">
        <f aca="false">(1-Sens!K10009)*(Sens!K10006+Sens!K10008)</f>
        <v>28.7534890794427</v>
      </c>
    </row>
    <row r="10012" customFormat="false" ht="17.15" hidden="false" customHeight="false" outlineLevel="0" collapsed="false">
      <c r="A10012" s="1" t="s">
        <v>748</v>
      </c>
      <c r="B10012" s="0" t="s">
        <v>302</v>
      </c>
      <c r="C10012" s="8" t="n">
        <f aca="false">cxit_open</f>
        <v>27.5918995</v>
      </c>
      <c r="D10012" s="8" t="n">
        <f aca="false">cxit_open</f>
        <v>27.5918995</v>
      </c>
      <c r="E10012" s="8" t="n">
        <f aca="false">cxit_open</f>
        <v>27.5918995</v>
      </c>
      <c r="F10012" s="8" t="n">
        <f aca="false">(a_g3_27*tk_cxit_gb300+(1-a_g3_27)*tk_cxit_vr200)</f>
        <v>33.8419624</v>
      </c>
      <c r="G10012" s="8" t="n">
        <f aca="false">(a_g3_28*tk_cxit_gb300+(1-a_g3_28)*tk_cxit_vr200)</f>
        <v>35.9816136</v>
      </c>
      <c r="H10012" s="8" t="n">
        <f aca="false">(a_g3_29*tk_cxit_gb300+(1-a_g3_29)*tk_cxit_vr200)</f>
        <v>37.0514392</v>
      </c>
      <c r="I10012" s="8" t="n">
        <f aca="false">(a_g3_29*tk_cxit_gb300+(1-a_g3_29)*tk_cxit_vr200)</f>
        <v>37.0514392</v>
      </c>
      <c r="J10012" s="8" t="n">
        <f aca="false">(a_g3_29*tk_cxit_gb300+(1-a_g3_29)*tk_cxit_vr200)</f>
        <v>37.0514392</v>
      </c>
      <c r="K10012" s="8" t="n">
        <f aca="false">(a_g3_29*tk_cxit_gb300+(1-a_g3_29)*tk_cxit_vr200)</f>
        <v>37.0514392</v>
      </c>
      <c r="L10012" s="11" t="s">
        <v>749</v>
      </c>
    </row>
    <row r="10013" customFormat="false" ht="17.15" hidden="false" customHeight="false" outlineLevel="0" collapsed="false">
      <c r="A10013" s="0" t="s">
        <v>750</v>
      </c>
      <c r="B10013" s="0" t="s">
        <v>340</v>
      </c>
      <c r="F10013" s="27" t="n">
        <f aca="false">Sens!C9995*IF(3=life_it,1,0)+Sens!D9995*IF(2=life_it,1,0)+Sens!E9995*IF(1=life_it,1,0)</f>
        <v>0</v>
      </c>
      <c r="G10013" s="27" t="n">
        <f aca="false">Sens!C9995*IF(4=life_it,1,0)+Sens!D9995*IF(3=life_it,1,0)+Sens!E9995*IF(2=life_it,1,0)+Sens!F9995*IF(1=life_it,1,0)</f>
        <v>0</v>
      </c>
      <c r="H10013" s="27" t="n">
        <f aca="false">Sens!C9995*IF(5=life_it,1,0)+Sens!D9995*IF(4=life_it,1,0)+Sens!E9995*IF(3=life_it,1,0)+Sens!F9995*IF(2=life_it,1,0)+Sens!G9995*IF(1=life_it,1,0)</f>
        <v>0</v>
      </c>
      <c r="I10013" s="27" t="n">
        <f aca="false">Sens!C9995*IF(6=life_it,1,0)+Sens!D9995*IF(5=life_it,1,0)+Sens!E9995*IF(4=life_it,1,0)+Sens!F9995*IF(3=life_it,1,0)+Sens!G9995*IF(2=life_it,1,0)+Sens!H9995*IF(1=life_it,1,0)</f>
        <v>816.666666666667</v>
      </c>
      <c r="J10013" s="27" t="n">
        <f aca="false">Sens!C9995*IF(7=life_it,1,0)+Sens!D9995*IF(6=life_it,1,0)+Sens!E9995*IF(5=life_it,1,0)+Sens!F9995*IF(4=life_it,1,0)+Sens!G9995*IF(3=life_it,1,0)+Sens!H9995*IF(2=life_it,1,0)+Sens!I9995*IF(1=life_it,1,0)</f>
        <v>1233.33333333333</v>
      </c>
      <c r="K10013" s="27" t="n">
        <f aca="false">Sens!C9995*IF(8=life_it,1,0)+Sens!D9995*IF(7=life_it,1,0)+Sens!E9995*IF(6=life_it,1,0)+Sens!F9995*IF(5=life_it,1,0)+Sens!G9995*IF(4=life_it,1,0)+Sens!H9995*IF(3=life_it,1,0)+Sens!I9995*IF(2=life_it,1,0)+Sens!J9995*IF(1=life_it,1,0)</f>
        <v>2450</v>
      </c>
      <c r="L10013" s="1" t="s">
        <v>751</v>
      </c>
    </row>
    <row r="10014" customFormat="false" ht="17.15" hidden="false" customHeight="false" outlineLevel="0" collapsed="false">
      <c r="A10014" s="0" t="s">
        <v>752</v>
      </c>
      <c r="B10014" s="0" t="s">
        <v>95</v>
      </c>
      <c r="C10014" s="6" t="n">
        <f aca="false">Sens!C9995*Sens!C10012/1000</f>
        <v>22.5333845916667</v>
      </c>
      <c r="D10014" s="6" t="n">
        <f aca="false">Sens!D9995*Sens!D10012/1000</f>
        <v>34.0300093833333</v>
      </c>
      <c r="E10014" s="6" t="n">
        <f aca="false">Sens!E9995*Sens!E10012/1000</f>
        <v>67.600153775</v>
      </c>
      <c r="F10014" s="6" t="n">
        <f aca="false">(Sens!F9995+Sens!F10013)*Sens!F10012/1000</f>
        <v>130.923271871467</v>
      </c>
      <c r="G10014" s="6" t="n">
        <f aca="false">(Sens!G9995+Sens!G10013)*Sens!G10012/1000</f>
        <v>151.5545564832</v>
      </c>
      <c r="H10014" s="6" t="n">
        <f aca="false">(Sens!H9995+Sens!H10013)*Sens!H10012/1000</f>
        <v>156.0606619104</v>
      </c>
      <c r="I10014" s="6" t="n">
        <f aca="false">(Sens!I9995+Sens!I10013)*Sens!I10012/1000</f>
        <v>186.319337257067</v>
      </c>
      <c r="J10014" s="6" t="n">
        <f aca="false">(Sens!J9995+Sens!J10013)*Sens!J10012/1000</f>
        <v>201.757436923733</v>
      </c>
      <c r="K10014" s="6" t="n">
        <f aca="false">(Sens!K9995+Sens!K10013)*Sens!K10012/1000</f>
        <v>246.8366879504</v>
      </c>
    </row>
    <row r="10015" customFormat="false" ht="17.15" hidden="false" customHeight="false" outlineLevel="0" collapsed="false">
      <c r="A10015" s="0" t="s">
        <v>753</v>
      </c>
      <c r="B10015" s="0" t="s">
        <v>95</v>
      </c>
      <c r="C10015" s="6" t="n">
        <f aca="false">Sens!C9995*self_build*tk_cxfac/1000</f>
        <v>6.2083</v>
      </c>
      <c r="D10015" s="6" t="n">
        <f aca="false">Sens!D9995*self_build*tk_cxfac/1000</f>
        <v>9.3758</v>
      </c>
      <c r="E10015" s="6" t="n">
        <f aca="false">Sens!E9995*self_build*tk_cxfac/1000</f>
        <v>18.6249</v>
      </c>
      <c r="F10015" s="6" t="n">
        <f aca="false">Sens!F9995*self_build*tk_cxfac/1000</f>
        <v>29.409604</v>
      </c>
      <c r="G10015" s="6" t="n">
        <f aca="false">Sens!G9995*self_build*tk_cxfac/1000</f>
        <v>32.019624</v>
      </c>
      <c r="H10015" s="6" t="n">
        <f aca="false">Sens!H9995*self_build*tk_cxfac/1000</f>
        <v>32.019624</v>
      </c>
      <c r="I10015" s="6" t="n">
        <f aca="false">Sens!I9995*self_build*tk_cxfac/1000</f>
        <v>32.019624</v>
      </c>
      <c r="J10015" s="6" t="n">
        <f aca="false">Sens!J9995*self_build*tk_cxfac/1000</f>
        <v>32.019624</v>
      </c>
      <c r="K10015" s="6" t="n">
        <f aca="false">Sens!K9995*self_build*tk_cxfac/1000</f>
        <v>32.019624</v>
      </c>
    </row>
    <row r="10016" customFormat="false" ht="17.15" hidden="false" customHeight="false" outlineLevel="0" collapsed="false">
      <c r="A10016" s="0" t="s">
        <v>754</v>
      </c>
      <c r="B10016" s="0" t="s">
        <v>95</v>
      </c>
      <c r="F10016" s="6" t="n">
        <f aca="false">MAX(0,capex_floor27-Sens!F10014-Sens!F10015-Sens!F10103)</f>
        <v>8.13777689897088</v>
      </c>
      <c r="G10016" s="6" t="n">
        <f aca="false">0</f>
        <v>0</v>
      </c>
      <c r="H10016" s="6" t="n">
        <f aca="false">0</f>
        <v>0</v>
      </c>
      <c r="I10016" s="6" t="n">
        <f aca="false">0</f>
        <v>0</v>
      </c>
      <c r="J10016" s="6" t="n">
        <f aca="false">0</f>
        <v>0</v>
      </c>
      <c r="K10016" s="6" t="n">
        <f aca="false">0</f>
        <v>0</v>
      </c>
      <c r="L10016" s="1" t="s">
        <v>755</v>
      </c>
    </row>
    <row r="10017" customFormat="false" ht="17.15" hidden="false" customHeight="false" outlineLevel="0" collapsed="false">
      <c r="A10017" s="0" t="s">
        <v>756</v>
      </c>
      <c r="B10017" s="0" t="s">
        <v>95</v>
      </c>
      <c r="C10017" s="6" t="n">
        <f aca="false">Sens!C10014</f>
        <v>22.5333845916667</v>
      </c>
      <c r="D10017" s="6" t="n">
        <f aca="false">Sens!D10014</f>
        <v>34.0300093833333</v>
      </c>
      <c r="E10017" s="6" t="n">
        <f aca="false">Sens!E10014</f>
        <v>67.600153775</v>
      </c>
      <c r="F10017" s="6" t="n">
        <f aca="false">Sens!F10014+Sens!F10016</f>
        <v>139.061048770438</v>
      </c>
      <c r="G10017" s="6" t="n">
        <f aca="false">Sens!G10014+Sens!G10016</f>
        <v>151.5545564832</v>
      </c>
      <c r="H10017" s="6" t="n">
        <f aca="false">Sens!H10014+Sens!H10016</f>
        <v>156.0606619104</v>
      </c>
      <c r="I10017" s="6" t="n">
        <f aca="false">Sens!I10014+Sens!I10016</f>
        <v>186.319337257067</v>
      </c>
      <c r="J10017" s="6" t="n">
        <f aca="false">Sens!J10014+Sens!J10016</f>
        <v>201.757436923733</v>
      </c>
      <c r="K10017" s="6" t="n">
        <f aca="false">Sens!K10014+Sens!K10016</f>
        <v>246.8366879504</v>
      </c>
    </row>
    <row r="10018" customFormat="false" ht="17.15" hidden="false" customHeight="false" outlineLevel="0" collapsed="false">
      <c r="A10018" s="0" t="s">
        <v>757</v>
      </c>
      <c r="B10018" s="0" t="s">
        <v>95</v>
      </c>
      <c r="C10018" s="6" t="n">
        <f aca="false">Sens!C10017+Sens!C10015</f>
        <v>28.7416845916667</v>
      </c>
      <c r="D10018" s="6" t="n">
        <f aca="false">Sens!D10017+Sens!D10015</f>
        <v>43.4058093833333</v>
      </c>
      <c r="E10018" s="6" t="n">
        <f aca="false">Sens!E10017+Sens!E10015</f>
        <v>86.225053775</v>
      </c>
      <c r="F10018" s="6" t="n">
        <f aca="false">Sens!F10017+Sens!F10015</f>
        <v>168.470652770438</v>
      </c>
      <c r="G10018" s="6" t="n">
        <f aca="false">Sens!G10017+Sens!G10015</f>
        <v>183.5741804832</v>
      </c>
      <c r="H10018" s="6" t="n">
        <f aca="false">Sens!H10017+Sens!H10015</f>
        <v>188.0802859104</v>
      </c>
      <c r="I10018" s="6" t="n">
        <f aca="false">Sens!I10017+Sens!I10015</f>
        <v>218.338961257067</v>
      </c>
      <c r="J10018" s="6" t="n">
        <f aca="false">Sens!J10017+Sens!J10015</f>
        <v>233.777060923733</v>
      </c>
      <c r="K10018" s="6" t="n">
        <f aca="false">Sens!K10017+Sens!K10015</f>
        <v>278.8563119504</v>
      </c>
      <c r="L10018" s="11" t="s">
        <v>758</v>
      </c>
    </row>
    <row r="10019" customFormat="false" ht="17.15" hidden="false" customHeight="false" outlineLevel="0" collapsed="false">
      <c r="A10019" s="0" t="s">
        <v>759</v>
      </c>
      <c r="B10019" s="0" t="s">
        <v>95</v>
      </c>
      <c r="E10019" s="6" t="n">
        <f aca="false">(Sens!C10017*IF(2&lt;life_it,1,IF(2=life_it,0.5,0))+Sens!D10017*IF(1&lt;life_it,1,IF(1=life_it,0.5,0))+Sens!E10017*0.5)/life_it</f>
        <v>15.0605784770833</v>
      </c>
      <c r="F10019" s="6" t="n">
        <f aca="false">(Sens!C10017*IF(3&lt;life_it,1,IF(3=life_it,0.5,0))+Sens!D10017*IF(2&lt;life_it,1,IF(2=life_it,0.5,0))+Sens!E10017*IF(1&lt;life_it,1,IF(1=life_it,0.5,0))+Sens!F10017*0.5)/life_it</f>
        <v>32.2823453558698</v>
      </c>
      <c r="G10019" s="6" t="n">
        <f aca="false">(Sens!C10017*IF(4&lt;life_it,1,IF(4=life_it,0.5,0))+Sens!D10017*IF(3&lt;life_it,1,IF(3=life_it,0.5,0))+Sens!E10017*IF(2&lt;life_it,1,IF(2=life_it,0.5,0))+Sens!F10017*IF(1&lt;life_it,1,IF(1=life_it,0.5,0))+Sens!G10017*0.5)/life_it</f>
        <v>56.5003124603396</v>
      </c>
      <c r="H10019" s="6" t="n">
        <f aca="false">(Sens!C10017*IF(5&lt;life_it,1,IF(5=life_it,0.5,0))+Sens!D10017*IF(4&lt;life_it,1,IF(4=life_it,0.5,0))+Sens!E10017*IF(3&lt;life_it,1,IF(3=life_it,0.5,0))+Sens!F10017*IF(2&lt;life_it,1,IF(2=life_it,0.5,0))+Sens!G10017*IF(1&lt;life_it,1,IF(1=life_it,0.5,0))+Sens!H10017*0.5)/life_it</f>
        <v>82.1349139931396</v>
      </c>
      <c r="I10019" s="6" t="n">
        <f aca="false">(Sens!C10017*IF(6&lt;life_it,1,IF(6=life_it,0.5,0))+Sens!D10017*IF(5&lt;life_it,1,IF(5=life_it,0.5,0))+Sens!E10017*IF(4&lt;life_it,1,IF(4=life_it,0.5,0))+Sens!F10017*IF(3&lt;life_it,1,IF(3=life_it,0.5,0))+Sens!G10017*IF(2&lt;life_it,1,IF(2=life_it,0.5,0))+Sens!H10017*IF(1&lt;life_it,1,IF(1=life_it,0.5,0))+Sens!I10017*0.5)/life_it</f>
        <v>108.788798541123</v>
      </c>
      <c r="J10019" s="6" t="n">
        <f aca="false">(Sens!C10017*IF(7&lt;life_it,1,IF(7=life_it,0.5,0))+Sens!D10017*IF(6&lt;life_it,1,IF(6=life_it,0.5,0))+Sens!E10017*IF(5&lt;life_it,1,IF(5=life_it,0.5,0))+Sens!F10017*IF(4&lt;life_it,1,IF(4=life_it,0.5,0))+Sens!G10017*IF(3&lt;life_it,1,IF(3=life_it,0.5,0))+Sens!H10017*IF(2&lt;life_it,1,IF(2=life_it,0.5,0))+Sens!I10017*IF(1&lt;life_it,1,IF(1=life_it,0.5,0))+Sens!J10017*0.5)/life_it</f>
        <v>136.414913558273</v>
      </c>
      <c r="K10019" s="6" t="n">
        <f aca="false">(Sens!C10017*IF(8&lt;life_it,1,IF(8=life_it,0.5,0))+Sens!D10017*IF(7&lt;life_it,1,IF(7=life_it,0.5,0))+Sens!E10017*IF(6&lt;life_it,1,IF(6=life_it,0.5,0))+Sens!F10017*IF(5&lt;life_it,1,IF(5=life_it,0.5,0))+Sens!G10017*IF(4&lt;life_it,1,IF(4=life_it,0.5,0))+Sens!H10017*IF(3&lt;life_it,1,IF(3=life_it,0.5,0))+Sens!I10017*IF(2&lt;life_it,1,IF(2=life_it,0.5,0))+Sens!J10017*IF(1&lt;life_it,1,IF(1=life_it,0.5,0))+Sens!K10017*0.5)/life_it</f>
        <v>165.32857703459</v>
      </c>
    </row>
    <row r="10020" customFormat="false" ht="17.15" hidden="false" customHeight="false" outlineLevel="0" collapsed="false">
      <c r="A10020" s="0" t="s">
        <v>760</v>
      </c>
      <c r="B10020" s="0" t="s">
        <v>95</v>
      </c>
      <c r="E10020" s="6" t="n">
        <f aca="false">(Sens!C10015*IF(2&lt;life_fac,1,IF(2=life_fac,0.5,0))+Sens!D10015*IF(1&lt;life_fac,1,IF(1=life_fac,0.5,0))+Sens!E10015*0.5)/life_fac</f>
        <v>1.2448275</v>
      </c>
      <c r="F10020" s="6" t="n">
        <f aca="false">(Sens!C10015*IF(3&lt;life_fac,1,IF(3=life_fac,0.5,0))+Sens!D10015*IF(2&lt;life_fac,1,IF(2=life_fac,0.5,0))+Sens!E10015*IF(1&lt;life_fac,1,IF(1=life_fac,0.5,0))+Sens!F10015*0.5)/life_fac</f>
        <v>2.4456901</v>
      </c>
      <c r="G10020" s="6" t="n">
        <f aca="false">(Sens!C10015*IF(4&lt;life_fac,1,IF(4=life_fac,0.5,0))+Sens!D10015*IF(3&lt;life_fac,1,IF(3=life_fac,0.5,0))+Sens!E10015*IF(2&lt;life_fac,1,IF(2=life_fac,0.5,0))+Sens!F10015*IF(1&lt;life_fac,1,IF(1=life_fac,0.5,0))+Sens!G10015*0.5)/life_fac</f>
        <v>3.9814208</v>
      </c>
      <c r="H10020" s="6" t="n">
        <f aca="false">(Sens!C10015*IF(5&lt;life_fac,1,IF(5=life_fac,0.5,0))+Sens!D10015*IF(4&lt;life_fac,1,IF(4=life_fac,0.5,0))+Sens!E10015*IF(3&lt;life_fac,1,IF(3=life_fac,0.5,0))+Sens!F10015*IF(2&lt;life_fac,1,IF(2=life_fac,0.5,0))+Sens!G10015*IF(1&lt;life_fac,1,IF(1=life_fac,0.5,0))+Sens!H10015*0.5)/life_fac</f>
        <v>5.582402</v>
      </c>
      <c r="I10020" s="6" t="n">
        <f aca="false">(Sens!C10015*IF(6&lt;life_fac,1,IF(6=life_fac,0.5,0))+Sens!D10015*IF(5&lt;life_fac,1,IF(5=life_fac,0.5,0))+Sens!E10015*IF(4&lt;life_fac,1,IF(4=life_fac,0.5,0))+Sens!F10015*IF(3&lt;life_fac,1,IF(3=life_fac,0.5,0))+Sens!G10015*IF(2&lt;life_fac,1,IF(2=life_fac,0.5,0))+Sens!H10015*IF(1&lt;life_fac,1,IF(1=life_fac,0.5,0))+Sens!I10015*0.5)/life_fac</f>
        <v>7.1833832</v>
      </c>
      <c r="J10020" s="6" t="n">
        <f aca="false">(Sens!C10015*IF(7&lt;life_fac,1,IF(7=life_fac,0.5,0))+Sens!D10015*IF(6&lt;life_fac,1,IF(6=life_fac,0.5,0))+Sens!E10015*IF(5&lt;life_fac,1,IF(5=life_fac,0.5,0))+Sens!F10015*IF(4&lt;life_fac,1,IF(4=life_fac,0.5,0))+Sens!G10015*IF(3&lt;life_fac,1,IF(3=life_fac,0.5,0))+Sens!H10015*IF(2&lt;life_fac,1,IF(2=life_fac,0.5,0))+Sens!I10015*IF(1&lt;life_fac,1,IF(1=life_fac,0.5,0))+Sens!J10015*0.5)/life_fac</f>
        <v>8.7843644</v>
      </c>
      <c r="K10020" s="6" t="n">
        <f aca="false">(Sens!C10015*IF(8&lt;life_fac,1,IF(8=life_fac,0.5,0))+Sens!D10015*IF(7&lt;life_fac,1,IF(7=life_fac,0.5,0))+Sens!E10015*IF(6&lt;life_fac,1,IF(6=life_fac,0.5,0))+Sens!F10015*IF(5&lt;life_fac,1,IF(5=life_fac,0.5,0))+Sens!G10015*IF(4&lt;life_fac,1,IF(4=life_fac,0.5,0))+Sens!H10015*IF(3&lt;life_fac,1,IF(3=life_fac,0.5,0))+Sens!I10015*IF(2&lt;life_fac,1,IF(2=life_fac,0.5,0))+Sens!J10015*IF(1&lt;life_fac,1,IF(1=life_fac,0.5,0))+Sens!K10015*0.5)/life_fac</f>
        <v>10.3853456</v>
      </c>
    </row>
    <row r="10021" customFormat="false" ht="17.15" hidden="false" customHeight="false" outlineLevel="0" collapsed="false">
      <c r="A10021" s="0" t="s">
        <v>761</v>
      </c>
      <c r="B10021" s="0" t="s">
        <v>95</v>
      </c>
      <c r="E10021" s="6" t="n">
        <f aca="false">Sens!E10019+Sens!E10020</f>
        <v>16.3054059770833</v>
      </c>
      <c r="F10021" s="6" t="n">
        <f aca="false">Sens!F10019+Sens!F10020</f>
        <v>34.7280354558698</v>
      </c>
      <c r="G10021" s="6" t="n">
        <f aca="false">Sens!G10019+Sens!G10020</f>
        <v>60.4817332603396</v>
      </c>
      <c r="H10021" s="6" t="n">
        <f aca="false">Sens!H10019+Sens!H10020</f>
        <v>87.7173159931396</v>
      </c>
      <c r="I10021" s="6" t="n">
        <f aca="false">Sens!I10019+Sens!I10020</f>
        <v>115.972181741123</v>
      </c>
      <c r="J10021" s="6" t="n">
        <f aca="false">Sens!J10019+Sens!J10020</f>
        <v>145.199277958273</v>
      </c>
      <c r="K10021" s="6" t="n">
        <f aca="false">Sens!K10019+Sens!K10020</f>
        <v>175.71392263459</v>
      </c>
    </row>
    <row r="10022" customFormat="false" ht="17.15" hidden="false" customHeight="false" outlineLevel="0" collapsed="false">
      <c r="A10022" s="0" t="s">
        <v>762</v>
      </c>
      <c r="B10022" s="0" t="s">
        <v>95</v>
      </c>
      <c r="E10022" s="6" t="n">
        <f aca="false">Sens!E10010-Sens!E10009*Sens!E10021</f>
        <v>8.92707889977379</v>
      </c>
      <c r="F10022" s="6" t="n">
        <f aca="false">Sens!F10010-Sens!F10009*Sens!F10021</f>
        <v>22.2910321312152</v>
      </c>
      <c r="G10022" s="6" t="n">
        <f aca="false">Sens!G10010-Sens!G10009*Sens!G10021</f>
        <v>42.1822624237015</v>
      </c>
      <c r="H10022" s="6" t="n">
        <f aca="false">Sens!H10010-Sens!H10009*Sens!H10021</f>
        <v>67.5392346653351</v>
      </c>
      <c r="I10022" s="6" t="n">
        <f aca="false">Sens!I10010-Sens!I10009*Sens!I10021</f>
        <v>86.5034049252897</v>
      </c>
      <c r="J10022" s="6" t="n">
        <f aca="false">Sens!J10010-Sens!J10009*Sens!J10021</f>
        <v>104.977308149687</v>
      </c>
      <c r="K10022" s="6" t="n">
        <f aca="false">Sens!K10010-Sens!K10009*Sens!K10021</f>
        <v>122.733431636425</v>
      </c>
    </row>
    <row r="10023" customFormat="false" ht="17.15" hidden="false" customHeight="false" outlineLevel="0" collapsed="false">
      <c r="A10023" s="3" t="s">
        <v>1400</v>
      </c>
    </row>
    <row r="10024" customFormat="false" ht="15" hidden="false" customHeight="false" outlineLevel="0" collapsed="false">
      <c r="A10024" s="4" t="s">
        <v>43</v>
      </c>
      <c r="B10024" s="4" t="s">
        <v>63</v>
      </c>
      <c r="C10024" s="19" t="s">
        <v>710</v>
      </c>
      <c r="D10024" s="19" t="s">
        <v>711</v>
      </c>
      <c r="E10024" s="19" t="s">
        <v>712</v>
      </c>
      <c r="F10024" s="19" t="s">
        <v>713</v>
      </c>
      <c r="G10024" s="19" t="s">
        <v>714</v>
      </c>
      <c r="H10024" s="19" t="s">
        <v>715</v>
      </c>
      <c r="I10024" s="19" t="s">
        <v>716</v>
      </c>
      <c r="J10024" s="19" t="s">
        <v>717</v>
      </c>
      <c r="K10024" s="19" t="s">
        <v>718</v>
      </c>
      <c r="L10024" s="4" t="s">
        <v>47</v>
      </c>
    </row>
    <row r="10025" customFormat="false" ht="17.15" hidden="false" customHeight="false" outlineLevel="0" collapsed="false">
      <c r="A10025" s="0" t="s">
        <v>780</v>
      </c>
      <c r="B10025" s="0" t="s">
        <v>95</v>
      </c>
      <c r="D10025" s="6" t="n">
        <f aca="false">Sens!D10004</f>
        <v>12.9359794422418</v>
      </c>
      <c r="E10025" s="6" t="n">
        <f aca="false">Sens!E10004</f>
        <v>27.8095064661409</v>
      </c>
      <c r="F10025" s="6" t="n">
        <f aca="false">Sens!F10004</f>
        <v>58.7324192305018</v>
      </c>
      <c r="G10025" s="6" t="n">
        <f aca="false">Sens!G10004</f>
        <v>101.369089141153</v>
      </c>
      <c r="H10025" s="6" t="n">
        <f aca="false">Sens!H10004</f>
        <v>149.785610014234</v>
      </c>
      <c r="I10025" s="6" t="n">
        <f aca="false">Sens!I10004</f>
        <v>192.439389583079</v>
      </c>
      <c r="J10025" s="6" t="n">
        <f aca="false">Sens!J10004</f>
        <v>235.195906491722</v>
      </c>
      <c r="K10025" s="6" t="n">
        <f aca="false">Sens!K10004</f>
        <v>278.012858836343</v>
      </c>
    </row>
    <row r="10026" customFormat="false" ht="17.15" hidden="false" customHeight="false" outlineLevel="0" collapsed="false">
      <c r="A10026" s="0" t="s">
        <v>781</v>
      </c>
      <c r="B10026" s="0" t="s">
        <v>95</v>
      </c>
      <c r="D10026" s="6" t="n">
        <f aca="false">Q!L6-Sens!D10025</f>
        <v>59.6740205577583</v>
      </c>
      <c r="E10026" s="6" t="n">
        <f aca="false">Q!M6-Sens!E10025</f>
        <v>74.1284935338591</v>
      </c>
      <c r="F10026" s="6" t="n">
        <f aca="false">Sens!E10026*(1+Sens!F10027)</f>
        <v>90.0799497373663</v>
      </c>
      <c r="G10026" s="6" t="n">
        <f aca="false">Sens!F10026*(1+Sens!G10027)</f>
        <v>107.02842520331</v>
      </c>
      <c r="H10026" s="6" t="n">
        <f aca="false">Sens!G10026*(1+Sens!H10027)</f>
        <v>124.271982585636</v>
      </c>
      <c r="I10026" s="6" t="n">
        <f aca="false">Sens!H10026*(1+Sens!I10027)</f>
        <v>140.933702381855</v>
      </c>
      <c r="J10026" s="6" t="n">
        <f aca="false">Sens!I10026*(1+Sens!J10027)</f>
        <v>156.018867314332</v>
      </c>
      <c r="K10026" s="6" t="n">
        <f aca="false">Sens!J10026*(1+Sens!K10027)</f>
        <v>168.500376699478</v>
      </c>
    </row>
    <row r="10027" customFormat="false" ht="15" hidden="false" customHeight="false" outlineLevel="0" collapsed="false">
      <c r="A10027" s="1" t="s">
        <v>782</v>
      </c>
      <c r="B10027" s="0" t="s">
        <v>126</v>
      </c>
      <c r="E10027" s="7" t="n">
        <f aca="false">Sens!E10026/Sens!D10026-1</f>
        <v>0.242223883039864</v>
      </c>
      <c r="F10027" s="7" t="n">
        <f aca="false">Sens!$E$10027+(glt_azo-Sens!$E$10027)*MIN(1,1/n_conv)</f>
        <v>0.215186569199887</v>
      </c>
      <c r="G10027" s="7" t="n">
        <f aca="false">Sens!$E$10027+(glt_azo-Sens!$E$10027)*MIN(1,2/n_conv)</f>
        <v>0.18814925535991</v>
      </c>
      <c r="H10027" s="7" t="n">
        <f aca="false">Sens!$E$10027+(glt_azo-Sens!$E$10027)*MIN(1,3/n_conv)</f>
        <v>0.161111941519932</v>
      </c>
      <c r="I10027" s="7" t="n">
        <f aca="false">Sens!$E$10027+(glt_azo-Sens!$E$10027)*MIN(1,4/n_conv)</f>
        <v>0.134074627679955</v>
      </c>
      <c r="J10027" s="7" t="n">
        <f aca="false">Sens!$E$10027+(glt_azo-Sens!$E$10027)*MIN(1,5/n_conv)</f>
        <v>0.107037313839977</v>
      </c>
      <c r="K10027" s="7" t="n">
        <f aca="false">Sens!$E$10027+(glt_azo-Sens!$E$10027)*MIN(1,6/n_conv)</f>
        <v>0.08</v>
      </c>
    </row>
    <row r="10028" customFormat="false" ht="15" hidden="false" customHeight="false" outlineLevel="0" collapsed="false">
      <c r="A10028" s="0" t="s">
        <v>783</v>
      </c>
      <c r="B10028" s="0" t="s">
        <v>95</v>
      </c>
      <c r="D10028" s="6" t="n">
        <f aca="false">Sens!D10025+Sens!D10026</f>
        <v>72.61</v>
      </c>
      <c r="E10028" s="6" t="n">
        <f aca="false">Sens!E10025+Sens!E10026</f>
        <v>101.938</v>
      </c>
      <c r="F10028" s="6" t="n">
        <f aca="false">Sens!F10025+Sens!F10026</f>
        <v>148.812368967868</v>
      </c>
      <c r="G10028" s="6" t="n">
        <f aca="false">Sens!G10025+Sens!G10026</f>
        <v>208.397514344463</v>
      </c>
      <c r="H10028" s="6" t="n">
        <f aca="false">Sens!H10025+Sens!H10026</f>
        <v>274.05759259987</v>
      </c>
      <c r="I10028" s="6" t="n">
        <f aca="false">Sens!I10025+Sens!I10026</f>
        <v>333.373091964934</v>
      </c>
      <c r="J10028" s="6" t="n">
        <f aca="false">Sens!J10025+Sens!J10026</f>
        <v>391.214773806054</v>
      </c>
      <c r="K10028" s="6" t="n">
        <f aca="false">Sens!K10025+Sens!K10026</f>
        <v>446.513235535821</v>
      </c>
    </row>
    <row r="10029" customFormat="false" ht="17.15" hidden="false" customHeight="false" outlineLevel="0" collapsed="false">
      <c r="A10029" s="0" t="s">
        <v>784</v>
      </c>
      <c r="B10029" s="1" t="s">
        <v>451</v>
      </c>
      <c r="C10029" s="27" t="n">
        <f aca="false">cop_s24</f>
        <v>1</v>
      </c>
      <c r="D10029" s="27" t="n">
        <f aca="false">cop_s25</f>
        <v>5</v>
      </c>
      <c r="E10029" s="27" t="n">
        <f aca="false">cop_s26</f>
        <v>30</v>
      </c>
      <c r="F10029" s="27" t="n">
        <f aca="false">Sens!E10029+IF(2027&lt;=2029,cop_add_A,cop_add_A*cop_tail)</f>
        <v>60</v>
      </c>
      <c r="G10029" s="27" t="n">
        <f aca="false">Sens!F10029+IF(2028&lt;=2029,cop_add_A,cop_add_A*cop_tail)</f>
        <v>90</v>
      </c>
      <c r="H10029" s="27" t="n">
        <f aca="false">Sens!G10029+IF(2029&lt;=2029,cop_add_A,cop_add_A*cop_tail)</f>
        <v>120</v>
      </c>
      <c r="I10029" s="27" t="n">
        <f aca="false">Sens!H10029+IF(2030&lt;=2029,cop_add_A,cop_add_A*cop_tail)</f>
        <v>135</v>
      </c>
      <c r="J10029" s="27" t="n">
        <f aca="false">Sens!I10029+IF(2031&lt;=2029,cop_add_A,cop_add_A*cop_tail)</f>
        <v>150</v>
      </c>
      <c r="K10029" s="27" t="n">
        <f aca="false">Sens!J10029+IF(2032&lt;=2029,cop_add_A,cop_add_A*cop_tail)</f>
        <v>165</v>
      </c>
    </row>
    <row r="10030" customFormat="false" ht="17.15" hidden="false" customHeight="false" outlineLevel="0" collapsed="false">
      <c r="A10030" s="0" t="s">
        <v>785</v>
      </c>
      <c r="B10030" s="0" t="s">
        <v>95</v>
      </c>
      <c r="D10030" s="6" t="n">
        <f aca="false">(Sens!C10029+Sens!D10029)/2*cop_px*12/1000</f>
        <v>0.9</v>
      </c>
      <c r="E10030" s="6" t="n">
        <f aca="false">(Sens!D10029+Sens!E10029)/2*cop_px*12/1000</f>
        <v>5.25</v>
      </c>
      <c r="F10030" s="6" t="n">
        <f aca="false">(Sens!E10029+Sens!F10029)/2*cop_px*12/1000</f>
        <v>13.5</v>
      </c>
      <c r="G10030" s="6" t="n">
        <f aca="false">(Sens!F10029+Sens!G10029)/2*cop_px*12/1000</f>
        <v>22.5</v>
      </c>
      <c r="H10030" s="6" t="n">
        <f aca="false">(Sens!G10029+Sens!H10029)/2*cop_px*12/1000</f>
        <v>31.5</v>
      </c>
      <c r="I10030" s="6" t="n">
        <f aca="false">(Sens!H10029+Sens!I10029)/2*cop_px*12/1000</f>
        <v>38.25</v>
      </c>
      <c r="J10030" s="6" t="n">
        <f aca="false">(Sens!I10029+Sens!J10029)/2*cop_px*12/1000</f>
        <v>42.75</v>
      </c>
      <c r="K10030" s="6" t="n">
        <f aca="false">(Sens!J10029+Sens!K10029)/2*cop_px*12/1000</f>
        <v>47.25</v>
      </c>
      <c r="L10030" s="1" t="s">
        <v>786</v>
      </c>
    </row>
    <row r="10031" customFormat="false" ht="17.15" hidden="false" customHeight="false" outlineLevel="0" collapsed="false">
      <c r="A10031" s="0" t="s">
        <v>787</v>
      </c>
      <c r="B10031" s="0" t="s">
        <v>95</v>
      </c>
      <c r="D10031" s="6" t="n">
        <f aca="false">Q!L7-Sens!D10030</f>
        <v>83.705</v>
      </c>
      <c r="E10031" s="6" t="n">
        <f aca="false">Q!M7-Sens!E10030</f>
        <v>95.049</v>
      </c>
      <c r="F10031" s="6" t="n">
        <f aca="false">Sens!E10031*(1+Sens!F10032)</f>
        <v>106.89238776686</v>
      </c>
      <c r="G10031" s="6" t="n">
        <f aca="false">Sens!F10031*(1+Sens!G10032)</f>
        <v>119.044168448684</v>
      </c>
      <c r="H10031" s="6" t="n">
        <f aca="false">Sens!G10031*(1+Sens!H10032)</f>
        <v>131.277359388781</v>
      </c>
      <c r="I10031" s="6" t="n">
        <f aca="false">Sens!H10031*(1+Sens!I10032)</f>
        <v>143.334028071957</v>
      </c>
      <c r="J10031" s="6" t="n">
        <f aca="false">Sens!I10031*(1+Sens!J10032)</f>
        <v>154.932702785465</v>
      </c>
      <c r="K10031" s="6" t="n">
        <f aca="false">Sens!J10031*(1+Sens!K10032)</f>
        <v>165.777991980448</v>
      </c>
    </row>
    <row r="10032" customFormat="false" ht="15" hidden="false" customHeight="false" outlineLevel="0" collapsed="false">
      <c r="A10032" s="1" t="s">
        <v>782</v>
      </c>
      <c r="B10032" s="0" t="s">
        <v>126</v>
      </c>
      <c r="E10032" s="7" t="n">
        <f aca="false">Sens!E10031/Sens!D10031-1</f>
        <v>0.135523564900544</v>
      </c>
      <c r="F10032" s="7" t="n">
        <f aca="false">Sens!$E$10032+(glt_m365b-Sens!$E$10032)*MIN(1,1/n_conv)</f>
        <v>0.124602970750453</v>
      </c>
      <c r="G10032" s="7" t="n">
        <f aca="false">Sens!$E$10032+(glt_m365b-Sens!$E$10032)*MIN(1,2/n_conv)</f>
        <v>0.113682376600363</v>
      </c>
      <c r="H10032" s="7" t="n">
        <f aca="false">Sens!$E$10032+(glt_m365b-Sens!$E$10032)*MIN(1,3/n_conv)</f>
        <v>0.102761782450272</v>
      </c>
      <c r="I10032" s="7" t="n">
        <f aca="false">Sens!$E$10032+(glt_m365b-Sens!$E$10032)*MIN(1,4/n_conv)</f>
        <v>0.0918411883001813</v>
      </c>
      <c r="J10032" s="7" t="n">
        <f aca="false">Sens!$E$10032+(glt_m365b-Sens!$E$10032)*MIN(1,5/n_conv)</f>
        <v>0.0809205941500906</v>
      </c>
      <c r="K10032" s="7" t="n">
        <f aca="false">Sens!$E$10032+(glt_m365b-Sens!$E$10032)*MIN(1,6/n_conv)</f>
        <v>0.07</v>
      </c>
    </row>
    <row r="10033" customFormat="false" ht="15" hidden="false" customHeight="false" outlineLevel="0" collapsed="false">
      <c r="A10033" s="0" t="s">
        <v>788</v>
      </c>
      <c r="B10033" s="0" t="s">
        <v>95</v>
      </c>
      <c r="D10033" s="6" t="n">
        <f aca="false">Sens!D10031+Sens!D10030</f>
        <v>84.605</v>
      </c>
      <c r="E10033" s="6" t="n">
        <f aca="false">Sens!E10031+Sens!E10030</f>
        <v>100.299</v>
      </c>
      <c r="F10033" s="6" t="n">
        <f aca="false">Sens!F10031+Sens!F10030</f>
        <v>120.39238776686</v>
      </c>
      <c r="G10033" s="6" t="n">
        <f aca="false">Sens!G10031+Sens!G10030</f>
        <v>141.544168448684</v>
      </c>
      <c r="H10033" s="6" t="n">
        <f aca="false">Sens!H10031+Sens!H10030</f>
        <v>162.777359388781</v>
      </c>
      <c r="I10033" s="6" t="n">
        <f aca="false">Sens!I10031+Sens!I10030</f>
        <v>181.584028071957</v>
      </c>
      <c r="J10033" s="6" t="n">
        <f aca="false">Sens!J10031+Sens!J10030</f>
        <v>197.682702785465</v>
      </c>
      <c r="K10033" s="6" t="n">
        <f aca="false">Sens!K10031+Sens!K10030</f>
        <v>213.027991980448</v>
      </c>
    </row>
    <row r="10034" customFormat="false" ht="15" hidden="false" customHeight="false" outlineLevel="0" collapsed="false">
      <c r="A10034" s="0" t="s">
        <v>789</v>
      </c>
      <c r="B10034" s="0" t="s">
        <v>95</v>
      </c>
      <c r="D10034" s="6" t="n">
        <f aca="false">Q!L8</f>
        <v>35.391</v>
      </c>
      <c r="E10034" s="6" t="n">
        <f aca="false">Q!M8</f>
        <v>37.285</v>
      </c>
      <c r="F10034" s="6" t="n">
        <f aca="false">Sens!E10034*(1+Sens!F10035)</f>
        <v>39.0720834331704</v>
      </c>
      <c r="G10034" s="6" t="n">
        <f aca="false">Sens!F10034*(1+Sens!G10035)</f>
        <v>40.726562953769</v>
      </c>
      <c r="H10034" s="6" t="n">
        <f aca="false">Sens!G10034*(1+Sens!H10035)</f>
        <v>42.2235987259198</v>
      </c>
      <c r="I10034" s="6" t="n">
        <f aca="false">Sens!H10034*(1+Sens!I10035)</f>
        <v>43.5397988077414</v>
      </c>
      <c r="J10034" s="6" t="n">
        <f aca="false">Sens!I10034*(1+Sens!J10035)</f>
        <v>44.653811225693</v>
      </c>
      <c r="K10034" s="6" t="n">
        <f aca="false">Sens!J10034*(1+Sens!K10035)</f>
        <v>45.5468874502068</v>
      </c>
    </row>
    <row r="10035" customFormat="false" ht="15" hidden="false" customHeight="false" outlineLevel="0" collapsed="false">
      <c r="A10035" s="1" t="s">
        <v>782</v>
      </c>
      <c r="B10035" s="0" t="s">
        <v>126</v>
      </c>
      <c r="E10035" s="7" t="n">
        <f aca="false">Sens!E10034/Sens!D10034-1</f>
        <v>0.0535164307309768</v>
      </c>
      <c r="F10035" s="7" t="n">
        <f aca="false">Sens!$E$10035+(glt_lic-Sens!$E$10035)*MIN(1,1/n_conv)</f>
        <v>0.0479303589424807</v>
      </c>
      <c r="G10035" s="7" t="n">
        <f aca="false">Sens!$E$10035+(glt_lic-Sens!$E$10035)*MIN(1,2/n_conv)</f>
        <v>0.0423442871539845</v>
      </c>
      <c r="H10035" s="7" t="n">
        <f aca="false">Sens!$E$10035+(glt_lic-Sens!$E$10035)*MIN(1,3/n_conv)</f>
        <v>0.0367582153654884</v>
      </c>
      <c r="I10035" s="7" t="n">
        <f aca="false">Sens!$E$10035+(glt_lic-Sens!$E$10035)*MIN(1,4/n_conv)</f>
        <v>0.0311721435769923</v>
      </c>
      <c r="J10035" s="7" t="n">
        <f aca="false">Sens!$E$10035+(glt_lic-Sens!$E$10035)*MIN(1,5/n_conv)</f>
        <v>0.0255860717884961</v>
      </c>
      <c r="K10035" s="7" t="n">
        <f aca="false">Sens!$E$10035+(glt_lic-Sens!$E$10035)*MIN(1,6/n_conv)</f>
        <v>0.02</v>
      </c>
    </row>
    <row r="10036" customFormat="false" ht="15" hidden="false" customHeight="false" outlineLevel="0" collapsed="false">
      <c r="A10036" s="0" t="s">
        <v>790</v>
      </c>
      <c r="B10036" s="0" t="s">
        <v>95</v>
      </c>
      <c r="D10036" s="6" t="n">
        <f aca="false">Q!L9</f>
        <v>18.417</v>
      </c>
      <c r="E10036" s="6" t="n">
        <f aca="false">Q!M9</f>
        <v>20.345</v>
      </c>
      <c r="F10036" s="6" t="n">
        <f aca="false">Sens!E10036*(1+Sens!F10037)</f>
        <v>22.3572203267814</v>
      </c>
      <c r="G10036" s="6" t="n">
        <f aca="false">Sens!F10036*(1+Sens!G10037)</f>
        <v>24.4392124437232</v>
      </c>
      <c r="H10036" s="6" t="n">
        <f aca="false">Sens!G10036*(1+Sens!H10037)</f>
        <v>26.5738052080665</v>
      </c>
      <c r="I10036" s="6" t="n">
        <f aca="false">Sens!H10036*(1+Sens!I10037)</f>
        <v>28.7412169166967</v>
      </c>
      <c r="J10036" s="6" t="n">
        <f aca="false">Sens!I10036*(1+Sens!J10037)</f>
        <v>30.9192545395413</v>
      </c>
      <c r="K10036" s="6" t="n">
        <f aca="false">Sens!J10036*(1+Sens!K10037)</f>
        <v>33.0836023573092</v>
      </c>
    </row>
    <row r="10037" customFormat="false" ht="15" hidden="false" customHeight="false" outlineLevel="0" collapsed="false">
      <c r="A10037" s="1" t="s">
        <v>782</v>
      </c>
      <c r="B10037" s="0" t="s">
        <v>126</v>
      </c>
      <c r="E10037" s="7" t="n">
        <f aca="false">Sens!E10036/Sens!D10036-1</f>
        <v>0.104685888038225</v>
      </c>
      <c r="F10037" s="7" t="n">
        <f aca="false">Sens!$E$10037+(glt_ind-Sens!$E$10037)*MIN(1,1/n_conv)</f>
        <v>0.0989049066985211</v>
      </c>
      <c r="G10037" s="7" t="n">
        <f aca="false">Sens!$E$10037+(glt_ind-Sens!$E$10037)*MIN(1,2/n_conv)</f>
        <v>0.0931239253588169</v>
      </c>
      <c r="H10037" s="7" t="n">
        <f aca="false">Sens!$E$10037+(glt_ind-Sens!$E$10037)*MIN(1,3/n_conv)</f>
        <v>0.0873429440191127</v>
      </c>
      <c r="I10037" s="7" t="n">
        <f aca="false">Sens!$E$10037+(glt_ind-Sens!$E$10037)*MIN(1,4/n_conv)</f>
        <v>0.0815619626794085</v>
      </c>
      <c r="J10037" s="7" t="n">
        <f aca="false">Sens!$E$10037+(glt_ind-Sens!$E$10037)*MIN(1,5/n_conv)</f>
        <v>0.0757809813397042</v>
      </c>
      <c r="K10037" s="7" t="n">
        <f aca="false">Sens!$E$10037+(glt_ind-Sens!$E$10037)*MIN(1,6/n_conv)</f>
        <v>0.07</v>
      </c>
    </row>
    <row r="10038" customFormat="false" ht="15" hidden="false" customHeight="false" outlineLevel="0" collapsed="false">
      <c r="A10038" s="0" t="s">
        <v>791</v>
      </c>
      <c r="B10038" s="0" t="s">
        <v>95</v>
      </c>
      <c r="D10038" s="6" t="n">
        <f aca="false">Q!L10</f>
        <v>7.76</v>
      </c>
      <c r="E10038" s="6" t="n">
        <f aca="false">Q!M10</f>
        <v>8.26</v>
      </c>
      <c r="F10038" s="6" t="n">
        <f aca="false">Sens!E10038*(1+Sens!F10039)</f>
        <v>8.79988041237113</v>
      </c>
      <c r="G10038" s="6" t="n">
        <f aca="false">Sens!F10038*(1+Sens!G10039)</f>
        <v>9.38321269125306</v>
      </c>
      <c r="H10038" s="6" t="n">
        <f aca="false">Sens!G10038*(1+Sens!H10039)</f>
        <v>10.0139193587476</v>
      </c>
      <c r="I10038" s="6" t="n">
        <f aca="false">Sens!H10038*(1+Sens!I10039)</f>
        <v>10.6963111830911</v>
      </c>
      <c r="J10038" s="6" t="n">
        <f aca="false">Sens!I10038*(1+Sens!J10039)</f>
        <v>11.4351285534696</v>
      </c>
      <c r="K10038" s="6" t="n">
        <f aca="false">Sens!J10038*(1+Sens!K10039)</f>
        <v>12.2355875522124</v>
      </c>
    </row>
    <row r="10039" customFormat="false" ht="15" hidden="false" customHeight="false" outlineLevel="0" collapsed="false">
      <c r="A10039" s="1" t="s">
        <v>782</v>
      </c>
      <c r="B10039" s="0" t="s">
        <v>126</v>
      </c>
      <c r="E10039" s="7" t="n">
        <f aca="false">Sens!E10038/Sens!D10038-1</f>
        <v>0.0644329896907216</v>
      </c>
      <c r="F10039" s="7" t="n">
        <f aca="false">Sens!$E$10039+(glt_fro-Sens!$E$10039)*MIN(1,1/n_conv)</f>
        <v>0.065360824742268</v>
      </c>
      <c r="G10039" s="7" t="n">
        <f aca="false">Sens!$E$10039+(glt_fro-Sens!$E$10039)*MIN(1,2/n_conv)</f>
        <v>0.0662886597938144</v>
      </c>
      <c r="H10039" s="7" t="n">
        <f aca="false">Sens!$E$10039+(glt_fro-Sens!$E$10039)*MIN(1,3/n_conv)</f>
        <v>0.0672164948453608</v>
      </c>
      <c r="I10039" s="7" t="n">
        <f aca="false">Sens!$E$10039+(glt_fro-Sens!$E$10039)*MIN(1,4/n_conv)</f>
        <v>0.0681443298969072</v>
      </c>
      <c r="J10039" s="7" t="n">
        <f aca="false">Sens!$E$10039+(glt_fro-Sens!$E$10039)*MIN(1,5/n_conv)</f>
        <v>0.0690721649484536</v>
      </c>
      <c r="K10039" s="7" t="n">
        <f aca="false">Sens!$E$10039+(glt_fro-Sens!$E$10039)*MIN(1,6/n_conv)</f>
        <v>0.07</v>
      </c>
    </row>
    <row r="10040" customFormat="false" ht="15" hidden="false" customHeight="false" outlineLevel="0" collapsed="false">
      <c r="A10040" s="0" t="s">
        <v>626</v>
      </c>
      <c r="B10040" s="0" t="s">
        <v>95</v>
      </c>
      <c r="D10040" s="6" t="n">
        <f aca="false">Sens!D10028+Sens!D10033+Sens!D10034+Sens!D10036+Sens!D10038</f>
        <v>218.783</v>
      </c>
      <c r="E10040" s="6" t="n">
        <f aca="false">Sens!E10028+Sens!E10033+Sens!E10034+Sens!E10036+Sens!E10038</f>
        <v>268.127</v>
      </c>
      <c r="F10040" s="6" t="n">
        <f aca="false">Sens!F10028+Sens!F10033+Sens!F10034+Sens!F10036+Sens!F10038</f>
        <v>339.433940907051</v>
      </c>
      <c r="G10040" s="6" t="n">
        <f aca="false">Sens!G10028+Sens!G10033+Sens!G10034+Sens!G10036+Sens!G10038</f>
        <v>424.490670881892</v>
      </c>
      <c r="H10040" s="6" t="n">
        <f aca="false">Sens!H10028+Sens!H10033+Sens!H10034+Sens!H10036+Sens!H10038</f>
        <v>515.646275281385</v>
      </c>
      <c r="I10040" s="6" t="n">
        <f aca="false">Sens!I10028+Sens!I10033+Sens!I10034+Sens!I10036+Sens!I10038</f>
        <v>597.93444694442</v>
      </c>
      <c r="J10040" s="6" t="n">
        <f aca="false">Sens!J10028+Sens!J10033+Sens!J10034+Sens!J10036+Sens!J10038</f>
        <v>675.905670910223</v>
      </c>
      <c r="K10040" s="6" t="n">
        <f aca="false">Sens!K10028+Sens!K10033+Sens!K10034+Sens!K10036+Sens!K10038</f>
        <v>750.407304875998</v>
      </c>
    </row>
    <row r="10041" customFormat="false" ht="15" hidden="false" customHeight="false" outlineLevel="0" collapsed="false">
      <c r="A10041" s="0" t="s">
        <v>792</v>
      </c>
      <c r="B10041" s="0" t="s">
        <v>95</v>
      </c>
      <c r="D10041" s="6" t="n">
        <f aca="false">Q!L13</f>
        <v>22.171</v>
      </c>
      <c r="E10041" s="6" t="n">
        <f aca="false">Q!M13</f>
        <v>24.835</v>
      </c>
      <c r="F10041" s="6" t="n">
        <f aca="false">Sens!E10041*(1+Sens!F10042)</f>
        <v>27.6114901218559</v>
      </c>
      <c r="G10041" s="6" t="n">
        <f aca="false">Sens!F10041*(1+Sens!G10042)</f>
        <v>30.4675667338515</v>
      </c>
      <c r="H10041" s="6" t="n">
        <f aca="false">Sens!G10041*(1+Sens!H10042)</f>
        <v>33.3643766955789</v>
      </c>
      <c r="I10041" s="6" t="n">
        <f aca="false">Sens!H10041*(1+Sens!I10042)</f>
        <v>36.2577016533691</v>
      </c>
      <c r="J10041" s="6" t="n">
        <f aca="false">Sens!I10041*(1+Sens!J10042)</f>
        <v>39.0988367952171</v>
      </c>
      <c r="K10041" s="6" t="n">
        <f aca="false">Sens!J10041*(1+Sens!K10042)</f>
        <v>41.8357553708823</v>
      </c>
    </row>
    <row r="10042" customFormat="false" ht="15" hidden="false" customHeight="false" outlineLevel="0" collapsed="false">
      <c r="A10042" s="1" t="s">
        <v>782</v>
      </c>
      <c r="B10042" s="0" t="s">
        <v>126</v>
      </c>
      <c r="E10042" s="7" t="n">
        <f aca="false">Sens!E10041/Sens!D10041-1</f>
        <v>0.120156961796942</v>
      </c>
      <c r="F10042" s="7" t="n">
        <f aca="false">Sens!$E$10042+(glt_srch-Sens!$E$10042)*MIN(1,1/n_conv)</f>
        <v>0.111797468164118</v>
      </c>
      <c r="G10042" s="7" t="n">
        <f aca="false">Sens!$E$10042+(glt_srch-Sens!$E$10042)*MIN(1,2/n_conv)</f>
        <v>0.103437974531295</v>
      </c>
      <c r="H10042" s="7" t="n">
        <f aca="false">Sens!$E$10042+(glt_srch-Sens!$E$10042)*MIN(1,3/n_conv)</f>
        <v>0.095078480898471</v>
      </c>
      <c r="I10042" s="7" t="n">
        <f aca="false">Sens!$E$10042+(glt_srch-Sens!$E$10042)*MIN(1,4/n_conv)</f>
        <v>0.0867189872656474</v>
      </c>
      <c r="J10042" s="7" t="n">
        <f aca="false">Sens!$E$10042+(glt_srch-Sens!$E$10042)*MIN(1,5/n_conv)</f>
        <v>0.0783594936328237</v>
      </c>
      <c r="K10042" s="7" t="n">
        <f aca="false">Sens!$E$10042+(glt_srch-Sens!$E$10042)*MIN(1,6/n_conv)</f>
        <v>0.07</v>
      </c>
    </row>
    <row r="10043" customFormat="false" ht="15" hidden="false" customHeight="false" outlineLevel="0" collapsed="false">
      <c r="A10043" s="0" t="s">
        <v>793</v>
      </c>
      <c r="B10043" s="0" t="s">
        <v>95</v>
      </c>
      <c r="D10043" s="6" t="n">
        <f aca="false">Q!L14</f>
        <v>23.455</v>
      </c>
      <c r="E10043" s="6" t="n">
        <f aca="false">Q!M14</f>
        <v>21.79</v>
      </c>
      <c r="F10043" s="6" t="n">
        <f aca="false">Sens!E10043*(1+Sens!F10044)</f>
        <v>20.5736277908051</v>
      </c>
      <c r="G10043" s="6" t="n">
        <f aca="false">Sens!F10043*(1+Sens!G10044)</f>
        <v>19.7371452817919</v>
      </c>
      <c r="H10043" s="6" t="n">
        <f aca="false">Sens!G10043*(1+Sens!H10044)</f>
        <v>19.2339764043138</v>
      </c>
      <c r="I10043" s="6" t="n">
        <f aca="false">Sens!H10043*(1+Sens!I10044)</f>
        <v>19.0353086852681</v>
      </c>
      <c r="J10043" s="6" t="n">
        <f aca="false">Sens!I10043*(1+Sens!J10044)</f>
        <v>19.1273539319129</v>
      </c>
      <c r="K10043" s="6" t="n">
        <f aca="false">Sens!J10043*(1+Sens!K10044)</f>
        <v>19.5099010105511</v>
      </c>
    </row>
    <row r="10044" customFormat="false" ht="15" hidden="false" customHeight="false" outlineLevel="0" collapsed="false">
      <c r="A10044" s="1" t="s">
        <v>782</v>
      </c>
      <c r="B10044" s="0" t="s">
        <v>126</v>
      </c>
      <c r="E10044" s="7" t="n">
        <f aca="false">Sens!E10043/Sens!D10043-1</f>
        <v>-0.0709869963760392</v>
      </c>
      <c r="F10044" s="7" t="n">
        <f aca="false">Sens!$E$10044+(glt_xbox-Sens!$E$10044)*MIN(1,1/n_conv)</f>
        <v>-0.0558224969800327</v>
      </c>
      <c r="G10044" s="7" t="n">
        <f aca="false">Sens!$E$10044+(glt_xbox-Sens!$E$10044)*MIN(1,2/n_conv)</f>
        <v>-0.0406579975840262</v>
      </c>
      <c r="H10044" s="7" t="n">
        <f aca="false">Sens!$E$10044+(glt_xbox-Sens!$E$10044)*MIN(1,3/n_conv)</f>
        <v>-0.0254934981880196</v>
      </c>
      <c r="I10044" s="7" t="n">
        <f aca="false">Sens!$E$10044+(glt_xbox-Sens!$E$10044)*MIN(1,4/n_conv)</f>
        <v>-0.0103289987920131</v>
      </c>
      <c r="J10044" s="7" t="n">
        <f aca="false">Sens!$E$10044+(glt_xbox-Sens!$E$10044)*MIN(1,5/n_conv)</f>
        <v>0.00483550060399347</v>
      </c>
      <c r="K10044" s="7" t="n">
        <f aca="false">Sens!$E$10044+(glt_xbox-Sens!$E$10044)*MIN(1,6/n_conv)</f>
        <v>0.02</v>
      </c>
    </row>
    <row r="10045" customFormat="false" ht="15" hidden="false" customHeight="false" outlineLevel="0" collapsed="false">
      <c r="A10045" s="0" t="s">
        <v>794</v>
      </c>
      <c r="B10045" s="0" t="s">
        <v>95</v>
      </c>
      <c r="D10045" s="6" t="n">
        <f aca="false">Q!L15</f>
        <v>17.315</v>
      </c>
      <c r="E10045" s="6" t="n">
        <f aca="false">Q!M15</f>
        <v>17.087</v>
      </c>
      <c r="F10045" s="6" t="n">
        <f aca="false">Sens!E10045*(1+Sens!F10046)</f>
        <v>16.9564585436519</v>
      </c>
      <c r="G10045" s="6" t="n">
        <f aca="false">Sens!F10045*(1+Sens!G10046)</f>
        <v>16.9206490624268</v>
      </c>
      <c r="H10045" s="6" t="n">
        <f aca="false">Sens!G10045*(1+Sens!H10046)</f>
        <v>16.9784519149849</v>
      </c>
      <c r="I10045" s="6" t="n">
        <f aca="false">Sens!H10045*(1+Sens!I10046)</f>
        <v>17.1303084701817</v>
      </c>
      <c r="J10045" s="6" t="n">
        <f aca="false">Sens!I10045*(1+Sens!J10046)</f>
        <v>17.3782189407267</v>
      </c>
      <c r="K10045" s="6" t="n">
        <f aca="false">Sens!J10045*(1+Sens!K10046)</f>
        <v>17.7257833195413</v>
      </c>
    </row>
    <row r="10046" customFormat="false" ht="15" hidden="false" customHeight="false" outlineLevel="0" collapsed="false">
      <c r="A10046" s="1" t="s">
        <v>782</v>
      </c>
      <c r="B10046" s="0" t="s">
        <v>126</v>
      </c>
      <c r="E10046" s="7" t="n">
        <f aca="false">Sens!E10045/Sens!D10045-1</f>
        <v>-0.0131677736066995</v>
      </c>
      <c r="F10046" s="7" t="n">
        <f aca="false">Sens!$E$10046+(glt_win-Sens!$E$10046)*MIN(1,1/n_conv)</f>
        <v>-0.00763981133891627</v>
      </c>
      <c r="G10046" s="7" t="n">
        <f aca="false">Sens!$E$10046+(glt_win-Sens!$E$10046)*MIN(1,2/n_conv)</f>
        <v>-0.00211184907113301</v>
      </c>
      <c r="H10046" s="7" t="n">
        <f aca="false">Sens!$E$10046+(glt_win-Sens!$E$10046)*MIN(1,3/n_conv)</f>
        <v>0.00341611319665024</v>
      </c>
      <c r="I10046" s="7" t="n">
        <f aca="false">Sens!$E$10046+(glt_win-Sens!$E$10046)*MIN(1,4/n_conv)</f>
        <v>0.00894407546443349</v>
      </c>
      <c r="J10046" s="7" t="n">
        <f aca="false">Sens!$E$10046+(glt_win-Sens!$E$10046)*MIN(1,5/n_conv)</f>
        <v>0.0144720377322168</v>
      </c>
      <c r="K10046" s="7" t="n">
        <f aca="false">Sens!$E$10046+(glt_win-Sens!$E$10046)*MIN(1,6/n_conv)</f>
        <v>0.02</v>
      </c>
    </row>
    <row r="10047" customFormat="false" ht="15" hidden="false" customHeight="false" outlineLevel="0" collapsed="false">
      <c r="A10047" s="0" t="s">
        <v>640</v>
      </c>
      <c r="B10047" s="0" t="s">
        <v>95</v>
      </c>
      <c r="D10047" s="6" t="n">
        <f aca="false">Sens!D10041+Sens!D10043+Sens!D10045</f>
        <v>62.941</v>
      </c>
      <c r="E10047" s="6" t="n">
        <f aca="false">Sens!E10041+Sens!E10043+Sens!E10045</f>
        <v>63.712</v>
      </c>
      <c r="F10047" s="6" t="n">
        <f aca="false">Sens!F10041+Sens!F10043+Sens!F10045</f>
        <v>65.1415764563129</v>
      </c>
      <c r="G10047" s="6" t="n">
        <f aca="false">Sens!G10041+Sens!G10043+Sens!G10045</f>
        <v>67.1253610780702</v>
      </c>
      <c r="H10047" s="6" t="n">
        <f aca="false">Sens!H10041+Sens!H10043+Sens!H10045</f>
        <v>69.5768050148776</v>
      </c>
      <c r="I10047" s="6" t="n">
        <f aca="false">Sens!I10041+Sens!I10043+Sens!I10045</f>
        <v>72.4233188088189</v>
      </c>
      <c r="J10047" s="6" t="n">
        <f aca="false">Sens!J10041+Sens!J10043+Sens!J10045</f>
        <v>75.6044096678567</v>
      </c>
      <c r="K10047" s="6" t="n">
        <f aca="false">Sens!K10041+Sens!K10043+Sens!K10045</f>
        <v>79.0714397009747</v>
      </c>
    </row>
    <row r="10048" customFormat="false" ht="15" hidden="false" customHeight="false" outlineLevel="0" collapsed="false">
      <c r="A10048" s="1" t="s">
        <v>795</v>
      </c>
      <c r="B10048" s="0" t="s">
        <v>95</v>
      </c>
      <c r="D10048" s="6" t="n">
        <f aca="false">Sens!D10040+Sens!D10047</f>
        <v>281.724</v>
      </c>
      <c r="E10048" s="6" t="n">
        <f aca="false">Sens!E10040+Sens!E10047</f>
        <v>331.839</v>
      </c>
      <c r="F10048" s="6" t="n">
        <f aca="false">Sens!F10040+Sens!F10047</f>
        <v>404.575517363364</v>
      </c>
      <c r="G10048" s="6" t="n">
        <f aca="false">Sens!G10040+Sens!G10047</f>
        <v>491.616031959962</v>
      </c>
      <c r="H10048" s="6" t="n">
        <f aca="false">Sens!H10040+Sens!H10047</f>
        <v>585.223080296262</v>
      </c>
      <c r="I10048" s="6" t="n">
        <f aca="false">Sens!I10040+Sens!I10047</f>
        <v>670.357765753239</v>
      </c>
      <c r="J10048" s="6" t="n">
        <f aca="false">Sens!J10040+Sens!J10047</f>
        <v>751.510080578079</v>
      </c>
      <c r="K10048" s="6" t="n">
        <f aca="false">Sens!K10040+Sens!K10047</f>
        <v>829.478744576972</v>
      </c>
    </row>
    <row r="10049" customFormat="false" ht="15" hidden="false" customHeight="false" outlineLevel="0" collapsed="false">
      <c r="A10049" s="22" t="s">
        <v>796</v>
      </c>
      <c r="B10049" s="28" t="s">
        <v>95</v>
      </c>
      <c r="C10049" s="28"/>
      <c r="D10049" s="23" t="n">
        <f aca="false">(Sens!D10028+Sens!D10033+Sens!D10034+Sens!D10036+Sens!D10038-Sens!D10040)+(Sens!D10041+Sens!D10043+Sens!D10045-Sens!D10047)+(Sens!D10040-Q!L5)+(Sens!D10047-Q!L12)+(Sens!D10028-Q!L6)+(Sens!D10033-Q!L7)</f>
        <v>0</v>
      </c>
      <c r="E10049" s="23" t="n">
        <f aca="false">(Sens!E10028+Sens!E10033+Sens!E10034+Sens!E10036+Sens!E10038-Sens!E10040)+(Sens!E10041+Sens!E10043+Sens!E10045-Sens!E10047)+(Sens!E10040-Q!M5)+(Sens!E10047-Q!M12)+(Sens!E10028-Q!M6)+(Sens!E10033-Q!M7)</f>
        <v>0</v>
      </c>
      <c r="F10049" s="23" t="n">
        <f aca="false">(Sens!F10028+Sens!F10033+Sens!F10034+Sens!F10036+Sens!F10038-Sens!F10040)+(Sens!F10041+Sens!F10043+Sens!F10045-Sens!F10047)</f>
        <v>0</v>
      </c>
      <c r="G10049" s="23" t="n">
        <f aca="false">(Sens!G10028+Sens!G10033+Sens!G10034+Sens!G10036+Sens!G10038-Sens!G10040)+(Sens!G10041+Sens!G10043+Sens!G10045-Sens!G10047)</f>
        <v>0</v>
      </c>
      <c r="H10049" s="23" t="n">
        <f aca="false">(Sens!H10028+Sens!H10033+Sens!H10034+Sens!H10036+Sens!H10038-Sens!H10040)+(Sens!H10041+Sens!H10043+Sens!H10045-Sens!H10047)</f>
        <v>0</v>
      </c>
      <c r="I10049" s="23" t="n">
        <f aca="false">(Sens!I10028+Sens!I10033+Sens!I10034+Sens!I10036+Sens!I10038-Sens!I10040)+(Sens!I10041+Sens!I10043+Sens!I10045-Sens!I10047)</f>
        <v>0</v>
      </c>
      <c r="J10049" s="23" t="n">
        <f aca="false">(Sens!J10028+Sens!J10033+Sens!J10034+Sens!J10036+Sens!J10038-Sens!J10040)+(Sens!J10041+Sens!J10043+Sens!J10045-Sens!J10047)</f>
        <v>0</v>
      </c>
      <c r="K10049" s="23" t="n">
        <f aca="false">(Sens!K10028+Sens!K10033+Sens!K10034+Sens!K10036+Sens!K10038-Sens!K10040)+(Sens!K10041+Sens!K10043+Sens!K10045-Sens!K10047)</f>
        <v>0</v>
      </c>
    </row>
    <row r="10050" customFormat="false" ht="17.15" hidden="false" customHeight="false" outlineLevel="0" collapsed="false">
      <c r="A10050" s="3" t="s">
        <v>1401</v>
      </c>
    </row>
    <row r="10051" customFormat="false" ht="15" hidden="false" customHeight="false" outlineLevel="0" collapsed="false">
      <c r="A10051" s="4" t="s">
        <v>43</v>
      </c>
      <c r="B10051" s="4" t="s">
        <v>63</v>
      </c>
      <c r="C10051" s="19" t="s">
        <v>710</v>
      </c>
      <c r="D10051" s="19" t="s">
        <v>711</v>
      </c>
      <c r="E10051" s="19" t="s">
        <v>712</v>
      </c>
      <c r="F10051" s="19" t="s">
        <v>713</v>
      </c>
      <c r="G10051" s="19" t="s">
        <v>714</v>
      </c>
      <c r="H10051" s="19" t="s">
        <v>715</v>
      </c>
      <c r="I10051" s="19" t="s">
        <v>716</v>
      </c>
      <c r="J10051" s="19" t="s">
        <v>717</v>
      </c>
      <c r="K10051" s="19" t="s">
        <v>718</v>
      </c>
      <c r="L10051" s="4" t="s">
        <v>47</v>
      </c>
    </row>
    <row r="10052" customFormat="false" ht="15" hidden="false" customHeight="false" outlineLevel="0" collapsed="false">
      <c r="A10052" s="0" t="s">
        <v>783</v>
      </c>
      <c r="B10052" s="0" t="s">
        <v>95</v>
      </c>
      <c r="D10052" s="6" t="n">
        <f aca="false">Sens!D10028</f>
        <v>72.61</v>
      </c>
      <c r="E10052" s="6" t="n">
        <f aca="false">Sens!E10028</f>
        <v>101.938</v>
      </c>
      <c r="F10052" s="6" t="n">
        <f aca="false">Sens!F10028</f>
        <v>148.812368967868</v>
      </c>
      <c r="G10052" s="6" t="n">
        <f aca="false">Sens!G10028</f>
        <v>208.397514344463</v>
      </c>
      <c r="H10052" s="6" t="n">
        <f aca="false">Sens!H10028</f>
        <v>274.05759259987</v>
      </c>
      <c r="I10052" s="6" t="n">
        <f aca="false">Sens!I10028</f>
        <v>333.373091964934</v>
      </c>
      <c r="J10052" s="6" t="n">
        <f aca="false">Sens!J10028</f>
        <v>391.214773806054</v>
      </c>
      <c r="K10052" s="6" t="n">
        <f aca="false">Sens!K10028</f>
        <v>446.513235535821</v>
      </c>
    </row>
    <row r="10053" customFormat="false" ht="17.15" hidden="false" customHeight="false" outlineLevel="0" collapsed="false">
      <c r="A10053" s="0" t="s">
        <v>780</v>
      </c>
      <c r="B10053" s="0" t="s">
        <v>95</v>
      </c>
      <c r="D10053" s="6" t="n">
        <f aca="false">Sens!D10025</f>
        <v>12.9359794422418</v>
      </c>
      <c r="E10053" s="6" t="n">
        <f aca="false">Sens!E10025</f>
        <v>27.8095064661409</v>
      </c>
      <c r="F10053" s="6" t="n">
        <f aca="false">Sens!F10025</f>
        <v>58.7324192305018</v>
      </c>
      <c r="G10053" s="6" t="n">
        <f aca="false">Sens!G10025</f>
        <v>101.369089141153</v>
      </c>
      <c r="H10053" s="6" t="n">
        <f aca="false">Sens!H10025</f>
        <v>149.785610014234</v>
      </c>
      <c r="I10053" s="6" t="n">
        <f aca="false">Sens!I10025</f>
        <v>192.439389583079</v>
      </c>
      <c r="J10053" s="6" t="n">
        <f aca="false">Sens!J10025</f>
        <v>235.195906491722</v>
      </c>
      <c r="K10053" s="6" t="n">
        <f aca="false">Sens!K10025</f>
        <v>278.012858836343</v>
      </c>
    </row>
    <row r="10054" customFormat="false" ht="17.15" hidden="false" customHeight="false" outlineLevel="0" collapsed="false">
      <c r="A10054" s="0" t="s">
        <v>807</v>
      </c>
      <c r="B10054" s="0" t="s">
        <v>95</v>
      </c>
      <c r="D10054" s="6" t="n">
        <f aca="false">Sens!D10026</f>
        <v>59.6740205577583</v>
      </c>
      <c r="E10054" s="6" t="n">
        <f aca="false">Sens!E10026</f>
        <v>74.1284935338591</v>
      </c>
      <c r="F10054" s="6" t="n">
        <f aca="false">Sens!F10026</f>
        <v>90.0799497373663</v>
      </c>
      <c r="G10054" s="6" t="n">
        <f aca="false">Sens!G10026</f>
        <v>107.02842520331</v>
      </c>
      <c r="H10054" s="6" t="n">
        <f aca="false">Sens!H10026</f>
        <v>124.271982585636</v>
      </c>
      <c r="I10054" s="6" t="n">
        <f aca="false">Sens!I10026</f>
        <v>140.933702381855</v>
      </c>
      <c r="J10054" s="6" t="n">
        <f aca="false">Sens!J10026</f>
        <v>156.018867314332</v>
      </c>
      <c r="K10054" s="6" t="n">
        <f aca="false">Sens!K10026</f>
        <v>168.500376699478</v>
      </c>
    </row>
    <row r="10055" customFormat="false" ht="15" hidden="false" customHeight="false" outlineLevel="0" collapsed="false">
      <c r="A10055" s="0" t="s">
        <v>788</v>
      </c>
      <c r="B10055" s="0" t="s">
        <v>95</v>
      </c>
      <c r="D10055" s="6" t="n">
        <f aca="false">Sens!D10033</f>
        <v>84.605</v>
      </c>
      <c r="E10055" s="6" t="n">
        <f aca="false">Sens!E10033</f>
        <v>100.299</v>
      </c>
      <c r="F10055" s="6" t="n">
        <f aca="false">Sens!F10033</f>
        <v>120.39238776686</v>
      </c>
      <c r="G10055" s="6" t="n">
        <f aca="false">Sens!G10033</f>
        <v>141.544168448684</v>
      </c>
      <c r="H10055" s="6" t="n">
        <f aca="false">Sens!H10033</f>
        <v>162.777359388781</v>
      </c>
      <c r="I10055" s="6" t="n">
        <f aca="false">Sens!I10033</f>
        <v>181.584028071957</v>
      </c>
      <c r="J10055" s="6" t="n">
        <f aca="false">Sens!J10033</f>
        <v>197.682702785465</v>
      </c>
      <c r="K10055" s="6" t="n">
        <f aca="false">Sens!K10033</f>
        <v>213.027991980448</v>
      </c>
    </row>
    <row r="10056" customFormat="false" ht="17.15" hidden="false" customHeight="false" outlineLevel="0" collapsed="false">
      <c r="A10056" s="0" t="s">
        <v>808</v>
      </c>
      <c r="B10056" s="0" t="s">
        <v>95</v>
      </c>
      <c r="D10056" s="6" t="n">
        <f aca="false">Sens!D10031</f>
        <v>83.705</v>
      </c>
      <c r="E10056" s="6" t="n">
        <f aca="false">Sens!E10031</f>
        <v>95.049</v>
      </c>
      <c r="F10056" s="6" t="n">
        <f aca="false">Sens!F10031</f>
        <v>106.89238776686</v>
      </c>
      <c r="G10056" s="6" t="n">
        <f aca="false">Sens!G10031</f>
        <v>119.044168448684</v>
      </c>
      <c r="H10056" s="6" t="n">
        <f aca="false">Sens!H10031</f>
        <v>131.277359388781</v>
      </c>
      <c r="I10056" s="6" t="n">
        <f aca="false">Sens!I10031</f>
        <v>143.334028071957</v>
      </c>
      <c r="J10056" s="6" t="n">
        <f aca="false">Sens!J10031</f>
        <v>154.932702785465</v>
      </c>
      <c r="K10056" s="6" t="n">
        <f aca="false">Sens!K10031</f>
        <v>165.777991980448</v>
      </c>
    </row>
    <row r="10057" customFormat="false" ht="17.15" hidden="false" customHeight="false" outlineLevel="0" collapsed="false">
      <c r="A10057" s="0" t="s">
        <v>809</v>
      </c>
      <c r="B10057" s="0" t="s">
        <v>95</v>
      </c>
      <c r="D10057" s="6" t="n">
        <f aca="false">Sens!D10030</f>
        <v>0.9</v>
      </c>
      <c r="E10057" s="6" t="n">
        <f aca="false">Sens!E10030</f>
        <v>5.25</v>
      </c>
      <c r="F10057" s="6" t="n">
        <f aca="false">Sens!F10030</f>
        <v>13.5</v>
      </c>
      <c r="G10057" s="6" t="n">
        <f aca="false">Sens!G10030</f>
        <v>22.5</v>
      </c>
      <c r="H10057" s="6" t="n">
        <f aca="false">Sens!H10030</f>
        <v>31.5</v>
      </c>
      <c r="I10057" s="6" t="n">
        <f aca="false">Sens!I10030</f>
        <v>38.25</v>
      </c>
      <c r="J10057" s="6" t="n">
        <f aca="false">Sens!J10030</f>
        <v>42.75</v>
      </c>
      <c r="K10057" s="6" t="n">
        <f aca="false">Sens!K10030</f>
        <v>47.25</v>
      </c>
    </row>
    <row r="10058" customFormat="false" ht="15" hidden="false" customHeight="false" outlineLevel="0" collapsed="false">
      <c r="A10058" s="0" t="s">
        <v>789</v>
      </c>
      <c r="B10058" s="0" t="s">
        <v>95</v>
      </c>
      <c r="D10058" s="6" t="n">
        <f aca="false">Sens!D10034</f>
        <v>35.391</v>
      </c>
      <c r="E10058" s="6" t="n">
        <f aca="false">Sens!E10034</f>
        <v>37.285</v>
      </c>
      <c r="F10058" s="6" t="n">
        <f aca="false">Sens!F10034</f>
        <v>39.0720834331704</v>
      </c>
      <c r="G10058" s="6" t="n">
        <f aca="false">Sens!G10034</f>
        <v>40.726562953769</v>
      </c>
      <c r="H10058" s="6" t="n">
        <f aca="false">Sens!H10034</f>
        <v>42.2235987259198</v>
      </c>
      <c r="I10058" s="6" t="n">
        <f aca="false">Sens!I10034</f>
        <v>43.5397988077414</v>
      </c>
      <c r="J10058" s="6" t="n">
        <f aca="false">Sens!J10034</f>
        <v>44.653811225693</v>
      </c>
      <c r="K10058" s="6" t="n">
        <f aca="false">Sens!K10034</f>
        <v>45.5468874502068</v>
      </c>
    </row>
    <row r="10059" customFormat="false" ht="15" hidden="false" customHeight="false" outlineLevel="0" collapsed="false">
      <c r="A10059" s="0" t="s">
        <v>790</v>
      </c>
      <c r="B10059" s="0" t="s">
        <v>95</v>
      </c>
      <c r="D10059" s="6" t="n">
        <f aca="false">Sens!D10036</f>
        <v>18.417</v>
      </c>
      <c r="E10059" s="6" t="n">
        <f aca="false">Sens!E10036</f>
        <v>20.345</v>
      </c>
      <c r="F10059" s="6" t="n">
        <f aca="false">Sens!F10036</f>
        <v>22.3572203267814</v>
      </c>
      <c r="G10059" s="6" t="n">
        <f aca="false">Sens!G10036</f>
        <v>24.4392124437232</v>
      </c>
      <c r="H10059" s="6" t="n">
        <f aca="false">Sens!H10036</f>
        <v>26.5738052080665</v>
      </c>
      <c r="I10059" s="6" t="n">
        <f aca="false">Sens!I10036</f>
        <v>28.7412169166967</v>
      </c>
      <c r="J10059" s="6" t="n">
        <f aca="false">Sens!J10036</f>
        <v>30.9192545395413</v>
      </c>
      <c r="K10059" s="6" t="n">
        <f aca="false">Sens!K10036</f>
        <v>33.0836023573092</v>
      </c>
    </row>
    <row r="10060" customFormat="false" ht="15" hidden="false" customHeight="false" outlineLevel="0" collapsed="false">
      <c r="A10060" s="0" t="s">
        <v>791</v>
      </c>
      <c r="B10060" s="0" t="s">
        <v>95</v>
      </c>
      <c r="D10060" s="6" t="n">
        <f aca="false">Sens!D10038</f>
        <v>7.76</v>
      </c>
      <c r="E10060" s="6" t="n">
        <f aca="false">Sens!E10038</f>
        <v>8.26</v>
      </c>
      <c r="F10060" s="6" t="n">
        <f aca="false">Sens!F10038</f>
        <v>8.79988041237113</v>
      </c>
      <c r="G10060" s="6" t="n">
        <f aca="false">Sens!G10038</f>
        <v>9.38321269125306</v>
      </c>
      <c r="H10060" s="6" t="n">
        <f aca="false">Sens!H10038</f>
        <v>10.0139193587476</v>
      </c>
      <c r="I10060" s="6" t="n">
        <f aca="false">Sens!I10038</f>
        <v>10.6963111830911</v>
      </c>
      <c r="J10060" s="6" t="n">
        <f aca="false">Sens!J10038</f>
        <v>11.4351285534696</v>
      </c>
      <c r="K10060" s="6" t="n">
        <f aca="false">Sens!K10038</f>
        <v>12.2355875522124</v>
      </c>
    </row>
    <row r="10061" customFormat="false" ht="15" hidden="false" customHeight="false" outlineLevel="0" collapsed="false">
      <c r="A10061" s="0" t="s">
        <v>626</v>
      </c>
      <c r="B10061" s="0" t="s">
        <v>95</v>
      </c>
      <c r="D10061" s="6" t="n">
        <f aca="false">Sens!D10040</f>
        <v>218.783</v>
      </c>
      <c r="E10061" s="6" t="n">
        <f aca="false">Sens!E10040</f>
        <v>268.127</v>
      </c>
      <c r="F10061" s="6" t="n">
        <f aca="false">Sens!F10040</f>
        <v>339.433940907051</v>
      </c>
      <c r="G10061" s="6" t="n">
        <f aca="false">Sens!G10040</f>
        <v>424.490670881892</v>
      </c>
      <c r="H10061" s="6" t="n">
        <f aca="false">Sens!H10040</f>
        <v>515.646275281385</v>
      </c>
      <c r="I10061" s="6" t="n">
        <f aca="false">Sens!I10040</f>
        <v>597.93444694442</v>
      </c>
      <c r="J10061" s="6" t="n">
        <f aca="false">Sens!J10040</f>
        <v>675.905670910223</v>
      </c>
      <c r="K10061" s="6" t="n">
        <f aca="false">Sens!K10040</f>
        <v>750.407304875998</v>
      </c>
    </row>
    <row r="10062" customFormat="false" ht="15" hidden="false" customHeight="false" outlineLevel="0" collapsed="false">
      <c r="A10062" s="0" t="s">
        <v>792</v>
      </c>
      <c r="B10062" s="0" t="s">
        <v>95</v>
      </c>
      <c r="D10062" s="6" t="n">
        <f aca="false">Sens!D10041</f>
        <v>22.171</v>
      </c>
      <c r="E10062" s="6" t="n">
        <f aca="false">Sens!E10041</f>
        <v>24.835</v>
      </c>
      <c r="F10062" s="6" t="n">
        <f aca="false">Sens!F10041</f>
        <v>27.6114901218559</v>
      </c>
      <c r="G10062" s="6" t="n">
        <f aca="false">Sens!G10041</f>
        <v>30.4675667338515</v>
      </c>
      <c r="H10062" s="6" t="n">
        <f aca="false">Sens!H10041</f>
        <v>33.3643766955789</v>
      </c>
      <c r="I10062" s="6" t="n">
        <f aca="false">Sens!I10041</f>
        <v>36.2577016533691</v>
      </c>
      <c r="J10062" s="6" t="n">
        <f aca="false">Sens!J10041</f>
        <v>39.0988367952171</v>
      </c>
      <c r="K10062" s="6" t="n">
        <f aca="false">Sens!K10041</f>
        <v>41.8357553708823</v>
      </c>
    </row>
    <row r="10063" customFormat="false" ht="15" hidden="false" customHeight="false" outlineLevel="0" collapsed="false">
      <c r="A10063" s="0" t="s">
        <v>793</v>
      </c>
      <c r="B10063" s="0" t="s">
        <v>95</v>
      </c>
      <c r="D10063" s="6" t="n">
        <f aca="false">Sens!D10043</f>
        <v>23.455</v>
      </c>
      <c r="E10063" s="6" t="n">
        <f aca="false">Sens!E10043</f>
        <v>21.79</v>
      </c>
      <c r="F10063" s="6" t="n">
        <f aca="false">Sens!F10043</f>
        <v>20.5736277908051</v>
      </c>
      <c r="G10063" s="6" t="n">
        <f aca="false">Sens!G10043</f>
        <v>19.7371452817919</v>
      </c>
      <c r="H10063" s="6" t="n">
        <f aca="false">Sens!H10043</f>
        <v>19.2339764043138</v>
      </c>
      <c r="I10063" s="6" t="n">
        <f aca="false">Sens!I10043</f>
        <v>19.0353086852681</v>
      </c>
      <c r="J10063" s="6" t="n">
        <f aca="false">Sens!J10043</f>
        <v>19.1273539319129</v>
      </c>
      <c r="K10063" s="6" t="n">
        <f aca="false">Sens!K10043</f>
        <v>19.5099010105511</v>
      </c>
    </row>
    <row r="10064" customFormat="false" ht="15" hidden="false" customHeight="false" outlineLevel="0" collapsed="false">
      <c r="A10064" s="0" t="s">
        <v>794</v>
      </c>
      <c r="B10064" s="0" t="s">
        <v>95</v>
      </c>
      <c r="D10064" s="6" t="n">
        <f aca="false">Sens!D10045</f>
        <v>17.315</v>
      </c>
      <c r="E10064" s="6" t="n">
        <f aca="false">Sens!E10045</f>
        <v>17.087</v>
      </c>
      <c r="F10064" s="6" t="n">
        <f aca="false">Sens!F10045</f>
        <v>16.9564585436519</v>
      </c>
      <c r="G10064" s="6" t="n">
        <f aca="false">Sens!G10045</f>
        <v>16.9206490624268</v>
      </c>
      <c r="H10064" s="6" t="n">
        <f aca="false">Sens!H10045</f>
        <v>16.9784519149849</v>
      </c>
      <c r="I10064" s="6" t="n">
        <f aca="false">Sens!I10045</f>
        <v>17.1303084701817</v>
      </c>
      <c r="J10064" s="6" t="n">
        <f aca="false">Sens!J10045</f>
        <v>17.3782189407267</v>
      </c>
      <c r="K10064" s="6" t="n">
        <f aca="false">Sens!K10045</f>
        <v>17.7257833195413</v>
      </c>
    </row>
    <row r="10065" customFormat="false" ht="15" hidden="false" customHeight="false" outlineLevel="0" collapsed="false">
      <c r="A10065" s="0" t="s">
        <v>640</v>
      </c>
      <c r="B10065" s="0" t="s">
        <v>95</v>
      </c>
      <c r="D10065" s="6" t="n">
        <f aca="false">Sens!D10047</f>
        <v>62.941</v>
      </c>
      <c r="E10065" s="6" t="n">
        <f aca="false">Sens!E10047</f>
        <v>63.712</v>
      </c>
      <c r="F10065" s="6" t="n">
        <f aca="false">Sens!F10047</f>
        <v>65.1415764563129</v>
      </c>
      <c r="G10065" s="6" t="n">
        <f aca="false">Sens!G10047</f>
        <v>67.1253610780702</v>
      </c>
      <c r="H10065" s="6" t="n">
        <f aca="false">Sens!H10047</f>
        <v>69.5768050148776</v>
      </c>
      <c r="I10065" s="6" t="n">
        <f aca="false">Sens!I10047</f>
        <v>72.4233188088189</v>
      </c>
      <c r="J10065" s="6" t="n">
        <f aca="false">Sens!J10047</f>
        <v>75.6044096678567</v>
      </c>
      <c r="K10065" s="6" t="n">
        <f aca="false">Sens!K10047</f>
        <v>79.0714397009747</v>
      </c>
    </row>
    <row r="10066" customFormat="false" ht="15" hidden="false" customHeight="false" outlineLevel="0" collapsed="false">
      <c r="A10066" s="1" t="s">
        <v>810</v>
      </c>
      <c r="B10066" s="0" t="s">
        <v>95</v>
      </c>
      <c r="D10066" s="6" t="n">
        <f aca="false">Sens!D10048</f>
        <v>281.724</v>
      </c>
      <c r="E10066" s="6" t="n">
        <f aca="false">Sens!E10048</f>
        <v>331.839</v>
      </c>
      <c r="F10066" s="6" t="n">
        <f aca="false">Sens!F10048</f>
        <v>404.575517363364</v>
      </c>
      <c r="G10066" s="6" t="n">
        <f aca="false">Sens!G10048</f>
        <v>491.616031959962</v>
      </c>
      <c r="H10066" s="6" t="n">
        <f aca="false">Sens!H10048</f>
        <v>585.223080296262</v>
      </c>
      <c r="I10066" s="6" t="n">
        <f aca="false">Sens!I10048</f>
        <v>670.357765753239</v>
      </c>
      <c r="J10066" s="6" t="n">
        <f aca="false">Sens!J10048</f>
        <v>751.510080578079</v>
      </c>
      <c r="K10066" s="6" t="n">
        <f aca="false">Sens!K10048</f>
        <v>829.478744576972</v>
      </c>
    </row>
    <row r="10067" customFormat="false" ht="15" hidden="false" customHeight="false" outlineLevel="0" collapsed="false">
      <c r="A10067" s="1" t="s">
        <v>811</v>
      </c>
      <c r="B10067" s="0" t="s">
        <v>126</v>
      </c>
      <c r="E10067" s="7" t="n">
        <f aca="false">Sens!E10066/Sens!D10066-1</f>
        <v>0.177886867998467</v>
      </c>
      <c r="F10067" s="7" t="n">
        <f aca="false">Sens!F10066/Sens!E10066-1</f>
        <v>0.219192190680914</v>
      </c>
      <c r="G10067" s="7" t="n">
        <f aca="false">Sens!G10066/Sens!F10066-1</f>
        <v>0.215140340581766</v>
      </c>
      <c r="H10067" s="7" t="n">
        <f aca="false">Sens!H10066/Sens!G10066-1</f>
        <v>0.19040682616291</v>
      </c>
      <c r="I10067" s="7" t="n">
        <f aca="false">Sens!I10066/Sens!H10066-1</f>
        <v>0.14547390272762</v>
      </c>
      <c r="J10067" s="7" t="n">
        <f aca="false">Sens!J10066/Sens!I10066-1</f>
        <v>0.121058215434641</v>
      </c>
      <c r="K10067" s="7" t="n">
        <f aca="false">Sens!K10066/Sens!J10066-1</f>
        <v>0.103749325543202</v>
      </c>
    </row>
    <row r="10068" customFormat="false" ht="17.15" hidden="false" customHeight="false" outlineLevel="0" collapsed="false">
      <c r="A10068" s="22" t="s">
        <v>812</v>
      </c>
      <c r="B10068" s="28" t="s">
        <v>95</v>
      </c>
      <c r="C10068" s="28"/>
      <c r="D10068" s="23" t="n">
        <f aca="false">(Sens!D10061+Sens!D10065-Sens!D10066)+(Sens!D10053+Sens!D10054-Sens!D10052)+(Sens!D10056+Sens!D10057-Sens!D10055)+(Sens!D10066-Q!L18)</f>
        <v>0</v>
      </c>
      <c r="E10068" s="23" t="n">
        <f aca="false">(Sens!E10061+Sens!E10065-Sens!E10066)+(Sens!E10053+Sens!E10054-Sens!E10052)+(Sens!E10056+Sens!E10057-Sens!E10055)+(Sens!E10066-Q!M18)</f>
        <v>0</v>
      </c>
      <c r="F10068" s="23" t="n">
        <f aca="false">(Sens!F10061+Sens!F10065-Sens!F10066)+(Sens!F10053+Sens!F10054-Sens!F10052)+(Sens!F10056+Sens!F10057-Sens!F10055)</f>
        <v>0</v>
      </c>
      <c r="G10068" s="23" t="n">
        <f aca="false">(Sens!G10061+Sens!G10065-Sens!G10066)+(Sens!G10053+Sens!G10054-Sens!G10052)+(Sens!G10056+Sens!G10057-Sens!G10055)</f>
        <v>0</v>
      </c>
      <c r="H10068" s="23" t="n">
        <f aca="false">(Sens!H10061+Sens!H10065-Sens!H10066)+(Sens!H10053+Sens!H10054-Sens!H10052)+(Sens!H10056+Sens!H10057-Sens!H10055)</f>
        <v>0</v>
      </c>
      <c r="I10068" s="23" t="n">
        <f aca="false">(Sens!I10061+Sens!I10065-Sens!I10066)+(Sens!I10053+Sens!I10054-Sens!I10052)+(Sens!I10056+Sens!I10057-Sens!I10055)</f>
        <v>0</v>
      </c>
      <c r="J10068" s="23" t="n">
        <f aca="false">(Sens!J10061+Sens!J10065-Sens!J10066)+(Sens!J10053+Sens!J10054-Sens!J10052)+(Sens!J10056+Sens!J10057-Sens!J10055)</f>
        <v>0</v>
      </c>
      <c r="K10068" s="23" t="n">
        <f aca="false">(Sens!K10061+Sens!K10065-Sens!K10066)+(Sens!K10053+Sens!K10054-Sens!K10052)+(Sens!K10056+Sens!K10057-Sens!K10055)</f>
        <v>0</v>
      </c>
    </row>
    <row r="10069" customFormat="false" ht="17.15" hidden="false" customHeight="false" outlineLevel="0" collapsed="false">
      <c r="A10069" s="0" t="s">
        <v>813</v>
      </c>
      <c r="B10069" s="0" t="s">
        <v>126</v>
      </c>
      <c r="E10069" s="7" t="n">
        <f aca="false">(Q!M21+Sens!E10006+Sens!E10007+Sens!E10008+Sens!E10021-Sens!E10004)/(Q!M5-Sens!E10004)</f>
        <v>0.570957350878296</v>
      </c>
      <c r="F10069" s="7" t="n">
        <f aca="false">Sens!$E$10069+dm_seg_hi</f>
        <v>0.590957350878296</v>
      </c>
      <c r="G10069" s="7" t="n">
        <f aca="false">Sens!$E$10069+dm_seg_hi</f>
        <v>0.590957350878296</v>
      </c>
      <c r="H10069" s="7" t="n">
        <f aca="false">Sens!$E$10069+dm_seg_hi</f>
        <v>0.590957350878296</v>
      </c>
      <c r="I10069" s="7" t="n">
        <f aca="false">Sens!$E$10069+dm_seg_hi</f>
        <v>0.590957350878296</v>
      </c>
      <c r="J10069" s="7" t="n">
        <f aca="false">Sens!$E$10069+dm_seg_hi</f>
        <v>0.590957350878296</v>
      </c>
      <c r="K10069" s="7" t="n">
        <f aca="false">Sens!$E$10069+dm_seg_hi</f>
        <v>0.590957350878296</v>
      </c>
      <c r="L10069" s="11" t="s">
        <v>814</v>
      </c>
    </row>
    <row r="10070" customFormat="false" ht="17.15" hidden="false" customHeight="false" outlineLevel="0" collapsed="false">
      <c r="A10070" s="0" t="s">
        <v>654</v>
      </c>
      <c r="B10070" s="0" t="s">
        <v>95</v>
      </c>
      <c r="D10070" s="6" t="n">
        <f aca="false">Q!L21</f>
        <v>110.814</v>
      </c>
      <c r="E10070" s="6" t="n">
        <f aca="false">Q!M21</f>
        <v>136.365</v>
      </c>
      <c r="F10070" s="6" t="n">
        <f aca="false">Sens!F10069*(Sens!F10040-Sens!F10004)+Sens!F10004-(Sens!F10006+Sens!F10007+Sens!F10008)-Sens!F10021</f>
        <v>167.749515035838</v>
      </c>
      <c r="G10070" s="6" t="n">
        <f aca="false">Sens!G10069*(Sens!G10040-Sens!G10004)+Sens!G10004-(Sens!G10006+Sens!G10007+Sens!G10008)-Sens!G10021</f>
        <v>198.156011902513</v>
      </c>
      <c r="H10070" s="6" t="n">
        <f aca="false">Sens!H10069*(Sens!H10040-Sens!H10004)+Sens!H10004-(Sens!H10006+Sens!H10007+Sens!H10008)-Sens!H10021</f>
        <v>233.396927302916</v>
      </c>
      <c r="I10070" s="6" t="n">
        <f aca="false">Sens!I10069*(Sens!I10040-Sens!I10004)+Sens!I10004-(Sens!I10006+Sens!I10007+Sens!I10008)-Sens!I10021</f>
        <v>259.990260045931</v>
      </c>
      <c r="J10070" s="6" t="n">
        <f aca="false">Sens!J10069*(Sens!J10040-Sens!J10004)+Sens!J10004-(Sens!J10006+Sens!J10007+Sens!J10008)-Sens!J10021</f>
        <v>283.086144141951</v>
      </c>
      <c r="K10070" s="6" t="n">
        <f aca="false">Sens!K10069*(Sens!K10040-Sens!K10004)+Sens!K10004-(Sens!K10006+Sens!K10007+Sens!K10008)-Sens!K10021</f>
        <v>302.859343904361</v>
      </c>
      <c r="L10070" s="1" t="s">
        <v>815</v>
      </c>
    </row>
    <row r="10071" customFormat="false" ht="17.15" hidden="false" customHeight="false" outlineLevel="0" collapsed="false">
      <c r="A10071" s="0" t="s">
        <v>816</v>
      </c>
      <c r="B10071" s="0" t="s">
        <v>126</v>
      </c>
      <c r="E10071" s="7" t="n">
        <f aca="false">Q!M22/Q!M12</f>
        <v>0.296207935710698</v>
      </c>
      <c r="F10071" s="7" t="n">
        <f aca="false">Sens!$E$10071+dm_seg_hi</f>
        <v>0.316207935710698</v>
      </c>
      <c r="G10071" s="7" t="n">
        <f aca="false">Sens!$E$10071+dm_seg_hi</f>
        <v>0.316207935710698</v>
      </c>
      <c r="H10071" s="7" t="n">
        <f aca="false">Sens!$E$10071+dm_seg_hi</f>
        <v>0.316207935710698</v>
      </c>
      <c r="I10071" s="7" t="n">
        <f aca="false">Sens!$E$10071+dm_seg_hi</f>
        <v>0.316207935710698</v>
      </c>
      <c r="J10071" s="7" t="n">
        <f aca="false">Sens!$E$10071+dm_seg_hi</f>
        <v>0.316207935710698</v>
      </c>
      <c r="K10071" s="7" t="n">
        <f aca="false">Sens!$E$10071+dm_seg_hi</f>
        <v>0.316207935710698</v>
      </c>
      <c r="L10071" s="11" t="s">
        <v>817</v>
      </c>
    </row>
    <row r="10072" customFormat="false" ht="17.15" hidden="false" customHeight="false" outlineLevel="0" collapsed="false">
      <c r="A10072" s="0" t="s">
        <v>656</v>
      </c>
      <c r="B10072" s="0" t="s">
        <v>95</v>
      </c>
      <c r="D10072" s="6" t="n">
        <f aca="false">Q!L22</f>
        <v>17.714</v>
      </c>
      <c r="E10072" s="6" t="n">
        <f aca="false">Q!M22</f>
        <v>18.872</v>
      </c>
      <c r="F10072" s="6" t="n">
        <f aca="false">Sens!F10047*Sens!F10071</f>
        <v>20.5982834201913</v>
      </c>
      <c r="G10072" s="6" t="n">
        <f aca="false">Sens!G10047*Sens!G10071</f>
        <v>21.2255718603318</v>
      </c>
      <c r="H10072" s="6" t="n">
        <f aca="false">Sens!H10047*Sens!H10071</f>
        <v>22.0007378871002</v>
      </c>
      <c r="I10072" s="6" t="n">
        <f aca="false">Sens!I10047*Sens!I10071</f>
        <v>22.9008281378544</v>
      </c>
      <c r="J10072" s="6" t="n">
        <f aca="false">Sens!J10047*Sens!J10071</f>
        <v>23.9067143116989</v>
      </c>
      <c r="K10072" s="6" t="n">
        <f aca="false">Sens!K10047*Sens!K10071</f>
        <v>25.0030167215181</v>
      </c>
    </row>
    <row r="10073" customFormat="false" ht="15" hidden="false" customHeight="false" outlineLevel="0" collapsed="false">
      <c r="A10073" s="1" t="s">
        <v>818</v>
      </c>
      <c r="B10073" s="0" t="s">
        <v>95</v>
      </c>
      <c r="D10073" s="6" t="n">
        <f aca="false">Sens!D10070+Sens!D10072</f>
        <v>128.528</v>
      </c>
      <c r="E10073" s="6" t="n">
        <f aca="false">Sens!E10070+Sens!E10072</f>
        <v>155.237</v>
      </c>
      <c r="F10073" s="6" t="n">
        <f aca="false">Sens!F10070+Sens!F10072</f>
        <v>188.347798456029</v>
      </c>
      <c r="G10073" s="6" t="n">
        <f aca="false">Sens!G10070+Sens!G10072</f>
        <v>219.381583762844</v>
      </c>
      <c r="H10073" s="6" t="n">
        <f aca="false">Sens!H10070+Sens!H10072</f>
        <v>255.397665190016</v>
      </c>
      <c r="I10073" s="6" t="n">
        <f aca="false">Sens!I10070+Sens!I10072</f>
        <v>282.891088183785</v>
      </c>
      <c r="J10073" s="6" t="n">
        <f aca="false">Sens!J10070+Sens!J10072</f>
        <v>306.99285845365</v>
      </c>
      <c r="K10073" s="6" t="n">
        <f aca="false">Sens!K10070+Sens!K10072</f>
        <v>327.862360625879</v>
      </c>
    </row>
    <row r="10074" customFormat="false" ht="15" hidden="false" customHeight="false" outlineLevel="0" collapsed="false">
      <c r="A10074" s="22" t="s">
        <v>819</v>
      </c>
      <c r="B10074" s="28" t="s">
        <v>95</v>
      </c>
      <c r="C10074" s="28"/>
      <c r="D10074" s="23" t="n">
        <f aca="false">Sens!D10073-Q!L23</f>
        <v>0</v>
      </c>
      <c r="E10074" s="23" t="n">
        <f aca="false">Sens!E10073-Q!M23</f>
        <v>0</v>
      </c>
      <c r="F10074" s="28"/>
      <c r="G10074" s="28"/>
      <c r="H10074" s="28"/>
      <c r="I10074" s="28"/>
      <c r="J10074" s="28"/>
      <c r="K10074" s="28"/>
    </row>
    <row r="10075" customFormat="false" ht="15" hidden="false" customHeight="false" outlineLevel="0" collapsed="false">
      <c r="A10075" s="1" t="s">
        <v>820</v>
      </c>
      <c r="B10075" s="0" t="s">
        <v>126</v>
      </c>
      <c r="D10075" s="7" t="n">
        <f aca="false">Sens!D10073/Sens!D10066</f>
        <v>0.456219562408598</v>
      </c>
      <c r="E10075" s="7" t="n">
        <f aca="false">Sens!E10073/Sens!E10066</f>
        <v>0.467808184089272</v>
      </c>
      <c r="F10075" s="7" t="n">
        <f aca="false">Sens!F10073/Sens!F10066</f>
        <v>0.46554423184947</v>
      </c>
      <c r="G10075" s="7" t="n">
        <f aca="false">Sens!G10073/Sens!G10066</f>
        <v>0.446245788381269</v>
      </c>
      <c r="H10075" s="7" t="n">
        <f aca="false">Sens!H10073/Sens!H10066</f>
        <v>0.436410787251801</v>
      </c>
      <c r="I10075" s="7" t="n">
        <f aca="false">Sens!I10073/Sens!I10066</f>
        <v>0.422000165636805</v>
      </c>
      <c r="J10075" s="7" t="n">
        <f aca="false">Sens!J10073/Sens!J10066</f>
        <v>0.408501318062832</v>
      </c>
      <c r="K10075" s="7" t="n">
        <f aca="false">Sens!K10073/Sens!K10066</f>
        <v>0.395263124907542</v>
      </c>
    </row>
    <row r="10076" customFormat="false" ht="17.15" hidden="false" customHeight="false" outlineLevel="0" collapsed="false">
      <c r="A10076" s="1" t="s">
        <v>821</v>
      </c>
      <c r="B10076" s="0" t="s">
        <v>95</v>
      </c>
      <c r="E10076" s="6" t="n">
        <f aca="false">Sens!E10021</f>
        <v>16.3054059770833</v>
      </c>
      <c r="F10076" s="6" t="n">
        <f aca="false">Sens!F10021</f>
        <v>34.7280354558698</v>
      </c>
      <c r="G10076" s="6" t="n">
        <f aca="false">Sens!G10021</f>
        <v>60.4817332603396</v>
      </c>
      <c r="H10076" s="6" t="n">
        <f aca="false">Sens!H10021</f>
        <v>87.7173159931396</v>
      </c>
      <c r="I10076" s="6" t="n">
        <f aca="false">Sens!I10021</f>
        <v>115.972181741123</v>
      </c>
      <c r="J10076" s="6" t="n">
        <f aca="false">Sens!J10021</f>
        <v>145.199277958273</v>
      </c>
      <c r="K10076" s="6" t="n">
        <f aca="false">Sens!K10021</f>
        <v>175.71392263459</v>
      </c>
    </row>
    <row r="10077" customFormat="false" ht="17.15" hidden="false" customHeight="false" outlineLevel="0" collapsed="false">
      <c r="A10077" s="1" t="s">
        <v>822</v>
      </c>
      <c r="B10077" s="0" t="s">
        <v>95</v>
      </c>
      <c r="E10077" s="6" t="n">
        <f aca="false">Sens!E10097</f>
        <v>22.2285940229167</v>
      </c>
      <c r="F10077" s="6" t="n">
        <f aca="false">Sens!F10097</f>
        <v>23.5786693435813</v>
      </c>
      <c r="G10077" s="6" t="n">
        <f aca="false">Sens!G10097</f>
        <v>25.3810917662621</v>
      </c>
      <c r="H10077" s="6" t="n">
        <f aca="false">Sens!H10097</f>
        <v>27.5991339540448</v>
      </c>
      <c r="I10077" s="6" t="n">
        <f aca="false">Sens!I10097</f>
        <v>30.1565605898047</v>
      </c>
      <c r="J10077" s="6" t="n">
        <f aca="false">Sens!J10097</f>
        <v>32.9614958558616</v>
      </c>
      <c r="K10077" s="6" t="n">
        <f aca="false">Sens!K10097</f>
        <v>35.9297165444749</v>
      </c>
    </row>
    <row r="10078" customFormat="false" ht="17.15" hidden="false" customHeight="false" outlineLevel="0" collapsed="false">
      <c r="A10078" s="1" t="s">
        <v>823</v>
      </c>
      <c r="B10078" s="0" t="s">
        <v>95</v>
      </c>
      <c r="D10078" s="6" t="n">
        <f aca="false">Q!L27</f>
        <v>-4.901</v>
      </c>
      <c r="E10078" s="6" t="n">
        <f aca="false">Q!M27</f>
        <v>10.697</v>
      </c>
      <c r="F10078" s="6" t="n">
        <f aca="false">oie_f</f>
        <v>-0.4</v>
      </c>
      <c r="G10078" s="6" t="n">
        <f aca="false">oie_f</f>
        <v>-0.4</v>
      </c>
      <c r="H10078" s="6" t="n">
        <f aca="false">oie_f</f>
        <v>-0.4</v>
      </c>
      <c r="I10078" s="6" t="n">
        <f aca="false">oie_f</f>
        <v>-0.4</v>
      </c>
      <c r="J10078" s="6" t="n">
        <f aca="false">oie_f</f>
        <v>-0.4</v>
      </c>
      <c r="K10078" s="6" t="n">
        <f aca="false">oie_f</f>
        <v>-0.4</v>
      </c>
      <c r="L10078" s="11" t="s">
        <v>824</v>
      </c>
    </row>
    <row r="10079" customFormat="false" ht="15" hidden="false" customHeight="false" outlineLevel="0" collapsed="false">
      <c r="A10079" s="1" t="s">
        <v>666</v>
      </c>
      <c r="B10079" s="0" t="s">
        <v>95</v>
      </c>
      <c r="D10079" s="6" t="n">
        <f aca="false">Sens!D10073+Sens!D10078</f>
        <v>123.627</v>
      </c>
      <c r="E10079" s="6" t="n">
        <f aca="false">Sens!E10073+Sens!E10078</f>
        <v>165.934</v>
      </c>
      <c r="F10079" s="6" t="n">
        <f aca="false">Sens!F10073+Sens!F10078</f>
        <v>187.947798456029</v>
      </c>
      <c r="G10079" s="6" t="n">
        <f aca="false">Sens!G10073+Sens!G10078</f>
        <v>218.981583762844</v>
      </c>
      <c r="H10079" s="6" t="n">
        <f aca="false">Sens!H10073+Sens!H10078</f>
        <v>254.997665190016</v>
      </c>
      <c r="I10079" s="6" t="n">
        <f aca="false">Sens!I10073+Sens!I10078</f>
        <v>282.491088183785</v>
      </c>
      <c r="J10079" s="6" t="n">
        <f aca="false">Sens!J10073+Sens!J10078</f>
        <v>306.59285845365</v>
      </c>
      <c r="K10079" s="6" t="n">
        <f aca="false">Sens!K10073+Sens!K10078</f>
        <v>327.462360625879</v>
      </c>
    </row>
    <row r="10080" customFormat="false" ht="15" hidden="false" customHeight="false" outlineLevel="0" collapsed="false">
      <c r="A10080" s="1" t="s">
        <v>668</v>
      </c>
      <c r="B10080" s="0" t="s">
        <v>95</v>
      </c>
      <c r="D10080" s="6" t="n">
        <f aca="false">Q!L29</f>
        <v>21.795</v>
      </c>
      <c r="E10080" s="6" t="n">
        <f aca="false">Q!M29</f>
        <v>32.185</v>
      </c>
      <c r="F10080" s="6" t="n">
        <f aca="false">Sens!F10079*tax_f</f>
        <v>37.5895596912058</v>
      </c>
      <c r="G10080" s="6" t="n">
        <f aca="false">Sens!G10079*tax_f</f>
        <v>43.7963167525689</v>
      </c>
      <c r="H10080" s="6" t="n">
        <f aca="false">Sens!H10079*tax_f</f>
        <v>50.9995330380032</v>
      </c>
      <c r="I10080" s="6" t="n">
        <f aca="false">Sens!I10079*tax_f</f>
        <v>56.4982176367571</v>
      </c>
      <c r="J10080" s="6" t="n">
        <f aca="false">Sens!J10079*tax_f</f>
        <v>61.3185716907301</v>
      </c>
      <c r="K10080" s="6" t="n">
        <f aca="false">Sens!K10079*tax_f</f>
        <v>65.4924721251759</v>
      </c>
    </row>
    <row r="10081" customFormat="false" ht="15" hidden="false" customHeight="false" outlineLevel="0" collapsed="false">
      <c r="A10081" s="1" t="s">
        <v>825</v>
      </c>
      <c r="B10081" s="0" t="s">
        <v>95</v>
      </c>
      <c r="D10081" s="6" t="n">
        <f aca="false">Sens!D10079-Sens!D10080</f>
        <v>101.832</v>
      </c>
      <c r="E10081" s="6" t="n">
        <f aca="false">Sens!E10079-Sens!E10080</f>
        <v>133.749</v>
      </c>
      <c r="F10081" s="6" t="n">
        <f aca="false">Sens!F10079-Sens!F10080</f>
        <v>150.358238764823</v>
      </c>
      <c r="G10081" s="6" t="n">
        <f aca="false">Sens!G10079-Sens!G10080</f>
        <v>175.185267010275</v>
      </c>
      <c r="H10081" s="6" t="n">
        <f aca="false">Sens!H10079-Sens!H10080</f>
        <v>203.998132152013</v>
      </c>
      <c r="I10081" s="6" t="n">
        <f aca="false">Sens!I10079-Sens!I10080</f>
        <v>225.992870547028</v>
      </c>
      <c r="J10081" s="6" t="n">
        <f aca="false">Sens!J10079-Sens!J10080</f>
        <v>245.27428676292</v>
      </c>
      <c r="K10081" s="6" t="n">
        <f aca="false">Sens!K10079-Sens!K10080</f>
        <v>261.969888500703</v>
      </c>
    </row>
    <row r="10082" customFormat="false" ht="17.15" hidden="false" customHeight="false" outlineLevel="0" collapsed="false">
      <c r="A10082" s="1" t="s">
        <v>826</v>
      </c>
      <c r="B10082" s="1" t="s">
        <v>79</v>
      </c>
      <c r="D10082" s="18" t="n">
        <f aca="false">Q!L31</f>
        <v>7.465</v>
      </c>
      <c r="E10082" s="18" t="n">
        <f aca="false">Q!M31</f>
        <v>7.453</v>
      </c>
      <c r="F10082" s="18" t="n">
        <f aca="false">Sens!F10119</f>
        <v>7.4735</v>
      </c>
      <c r="G10082" s="18" t="n">
        <f aca="false">Sens!G10119</f>
        <v>7.50286075487197</v>
      </c>
      <c r="H10082" s="18" t="n">
        <f aca="false">Sens!H10119</f>
        <v>7.51497309559388</v>
      </c>
      <c r="I10082" s="18" t="n">
        <f aca="false">Sens!I10119</f>
        <v>7.5267539276012</v>
      </c>
      <c r="J10082" s="18" t="n">
        <f aca="false">Sens!J10119</f>
        <v>7.54099543871908</v>
      </c>
      <c r="K10082" s="18" t="n">
        <f aca="false">Sens!K10119</f>
        <v>7.55751535642082</v>
      </c>
    </row>
    <row r="10083" customFormat="false" ht="17.15" hidden="false" customHeight="false" outlineLevel="0" collapsed="false">
      <c r="A10083" s="0" t="s">
        <v>827</v>
      </c>
      <c r="B10083" s="0" t="s">
        <v>73</v>
      </c>
      <c r="D10083" s="8" t="n">
        <f aca="false">Sens!D10081/Sens!D10082</f>
        <v>13.641259209645</v>
      </c>
      <c r="E10083" s="8" t="n">
        <f aca="false">Sens!E10081/Sens!E10082</f>
        <v>17.9456594659869</v>
      </c>
      <c r="F10083" s="8" t="n">
        <f aca="false">Sens!F10081/Sens!F10082</f>
        <v>20.1188517782596</v>
      </c>
      <c r="G10083" s="8" t="n">
        <f aca="false">Sens!G10081/Sens!G10082</f>
        <v>23.3491294499261</v>
      </c>
      <c r="H10083" s="8" t="n">
        <f aca="false">Sens!H10081/Sens!H10082</f>
        <v>27.1455572171801</v>
      </c>
      <c r="I10083" s="8" t="n">
        <f aca="false">Sens!I10081/Sens!I10082</f>
        <v>30.0252768618215</v>
      </c>
      <c r="J10083" s="8" t="n">
        <f aca="false">Sens!J10081/Sens!J10082</f>
        <v>32.5254522106677</v>
      </c>
      <c r="K10083" s="8" t="n">
        <f aca="false">Sens!K10081/Sens!K10082</f>
        <v>34.6634940381742</v>
      </c>
      <c r="L10083" s="1" t="s">
        <v>828</v>
      </c>
    </row>
    <row r="10084" customFormat="false" ht="17.15" hidden="false" customHeight="false" outlineLevel="0" collapsed="false">
      <c r="A10084" s="0" t="s">
        <v>829</v>
      </c>
      <c r="B10084" s="0" t="s">
        <v>126</v>
      </c>
      <c r="E10084" s="7" t="n">
        <f aca="false">Sens!E10083/Sens!D10083-1</f>
        <v>0.315542736208578</v>
      </c>
      <c r="F10084" s="7" t="n">
        <f aca="false">Sens!F10083/Sens!E10083-1</f>
        <v>0.121098492724198</v>
      </c>
      <c r="G10084" s="7" t="n">
        <f aca="false">Sens!G10083/Sens!F10083-1</f>
        <v>0.160559743034495</v>
      </c>
      <c r="H10084" s="7" t="n">
        <f aca="false">Sens!H10083/Sens!G10083-1</f>
        <v>0.162593974880124</v>
      </c>
      <c r="I10084" s="7" t="n">
        <f aca="false">Sens!I10083/Sens!H10083-1</f>
        <v>0.106084381381527</v>
      </c>
      <c r="J10084" s="7" t="n">
        <f aca="false">Sens!J10083/Sens!I10083-1</f>
        <v>0.0832690189786478</v>
      </c>
      <c r="K10084" s="7" t="n">
        <f aca="false">Sens!K10083/Sens!J10083-1</f>
        <v>0.0657344228039767</v>
      </c>
    </row>
    <row r="10085" customFormat="false" ht="17.15" hidden="false" customHeight="false" outlineLevel="0" collapsed="false">
      <c r="A10085" s="0" t="s">
        <v>763</v>
      </c>
      <c r="B10085" s="0" t="s">
        <v>95</v>
      </c>
      <c r="E10085" s="6" t="n">
        <f aca="false">Sens!E10030</f>
        <v>5.25</v>
      </c>
      <c r="F10085" s="6" t="n">
        <f aca="false">Sens!F10030</f>
        <v>13.5</v>
      </c>
      <c r="G10085" s="6" t="n">
        <f aca="false">Sens!G10030</f>
        <v>22.5</v>
      </c>
      <c r="H10085" s="6" t="n">
        <f aca="false">Sens!H10030</f>
        <v>31.5</v>
      </c>
      <c r="I10085" s="6" t="n">
        <f aca="false">Sens!I10030</f>
        <v>38.25</v>
      </c>
      <c r="J10085" s="6" t="n">
        <f aca="false">Sens!J10030</f>
        <v>42.75</v>
      </c>
      <c r="K10085" s="6" t="n">
        <f aca="false">Sens!K10030</f>
        <v>47.25</v>
      </c>
    </row>
    <row r="10086" customFormat="false" ht="17.15" hidden="false" customHeight="false" outlineLevel="0" collapsed="false">
      <c r="A10086" s="0" t="s">
        <v>764</v>
      </c>
      <c r="B10086" s="0" t="s">
        <v>95</v>
      </c>
      <c r="E10086" s="6" t="n">
        <f aca="false">Sens!E10010+Sens!E10085*Sens!E10069-Sens!E10011-Sens!E10021</f>
        <v>2.1514866143068</v>
      </c>
      <c r="F10086" s="6" t="n">
        <f aca="false">Sens!F10010+Sens!F10085*Sens!F10069-Sens!F10011-Sens!F10021</f>
        <v>9.84481163521455</v>
      </c>
      <c r="G10086" s="6" t="n">
        <f aca="false">Sens!G10010+Sens!G10085*Sens!G10069-Sens!G10011-Sens!G10021</f>
        <v>20.5014783401622</v>
      </c>
      <c r="H10086" s="6" t="n">
        <f aca="false">Sens!H10010+Sens!H10085*Sens!H10069-Sens!H10011-Sens!H10021</f>
        <v>35.8040343187356</v>
      </c>
      <c r="I10086" s="6" t="n">
        <f aca="false">Sens!I10010+Sens!I10085*Sens!I10069-Sens!I10011-Sens!I10021</f>
        <v>42.964093824525</v>
      </c>
      <c r="J10086" s="6" t="n">
        <f aca="false">Sens!J10010+Sens!J10085*Sens!J10069-Sens!J10011-Sens!J10021</f>
        <v>47.9088960050436</v>
      </c>
      <c r="K10086" s="6" t="n">
        <f aca="false">Sens!K10010+Sens!K10085*Sens!K10069-Sens!K10011-Sens!K10021</f>
        <v>51.6171083321463</v>
      </c>
    </row>
    <row r="10087" customFormat="false" ht="17.15" hidden="false" customHeight="false" outlineLevel="0" collapsed="false">
      <c r="A10087" s="0" t="s">
        <v>765</v>
      </c>
      <c r="B10087" s="0" t="s">
        <v>95</v>
      </c>
      <c r="E10087" s="6" t="n">
        <f aca="false">Sens!E9993*(cxit_open+self_build*tk_cxfac)/1000*ai_net_open</f>
        <v>126.6980382</v>
      </c>
      <c r="F10087" s="6" t="n">
        <f aca="false">Sens!E10087+Sens!F10018-Sens!F10021</f>
        <v>260.440655514568</v>
      </c>
      <c r="G10087" s="6" t="n">
        <f aca="false">Sens!F10087+Sens!G10018-Sens!G10021</f>
        <v>383.533102737428</v>
      </c>
      <c r="H10087" s="6" t="n">
        <f aca="false">Sens!G10087+Sens!H10018-Sens!H10021</f>
        <v>483.896072654688</v>
      </c>
      <c r="I10087" s="6" t="n">
        <f aca="false">Sens!H10087+Sens!I10018-Sens!I10021</f>
        <v>586.262852170632</v>
      </c>
      <c r="J10087" s="6" t="n">
        <f aca="false">Sens!I10087+Sens!J10018-Sens!J10021</f>
        <v>674.840635136093</v>
      </c>
      <c r="K10087" s="6" t="n">
        <f aca="false">Sens!J10087+Sens!K10018-Sens!K10021</f>
        <v>777.983024451903</v>
      </c>
      <c r="L10087" s="1" t="s">
        <v>766</v>
      </c>
    </row>
    <row r="10088" customFormat="false" ht="17.15" hidden="false" customHeight="false" outlineLevel="0" collapsed="false">
      <c r="A10088" s="0" t="s">
        <v>767</v>
      </c>
      <c r="B10088" s="0" t="s">
        <v>126</v>
      </c>
      <c r="F10088" s="7" t="n">
        <f aca="false">Sens!F10086*(1-tax_f)/((Sens!E10087+Sens!F10087)/2)</f>
        <v>0.0406874819595191</v>
      </c>
      <c r="G10088" s="7" t="n">
        <f aca="false">Sens!G10086*(1-tax_f)/((Sens!F10087+Sens!G10087)/2)</f>
        <v>0.0509374255145091</v>
      </c>
      <c r="H10088" s="7" t="n">
        <f aca="false">Sens!H10086*(1-tax_f)/((Sens!G10087+Sens!H10087)/2)</f>
        <v>0.0660416510478576</v>
      </c>
      <c r="I10088" s="7" t="n">
        <f aca="false">Sens!I10086*(1-tax_f)/((Sens!H10087+Sens!I10087)/2)</f>
        <v>0.0642358331314769</v>
      </c>
      <c r="J10088" s="7" t="n">
        <f aca="false">Sens!J10086*(1-tax_f)/((Sens!I10087+Sens!J10087)/2)</f>
        <v>0.0607834601835701</v>
      </c>
      <c r="K10088" s="7" t="n">
        <f aca="false">Sens!K10086*(1-tax_f)/((Sens!J10087+Sens!K10087)/2)</f>
        <v>0.0568461098402369</v>
      </c>
    </row>
    <row r="10089" customFormat="false" ht="17.15" hidden="false" customHeight="false" outlineLevel="0" collapsed="false">
      <c r="A10089" s="1" t="s">
        <v>768</v>
      </c>
      <c r="B10089" s="0" t="s">
        <v>126</v>
      </c>
      <c r="F10089" s="7" t="n">
        <f aca="false">Sens!F10022*(1-tax_f)/(Sens!F10009*(Sens!E10087+Sens!F10087)/2)</f>
        <v>0.153543815988938</v>
      </c>
      <c r="G10089" s="7" t="n">
        <f aca="false">Sens!G10022*(1-tax_f)/(Sens!G10009*(Sens!F10087+Sens!G10087)/2)</f>
        <v>0.17467487096866</v>
      </c>
      <c r="H10089" s="7" t="n">
        <f aca="false">Sens!H10022*(1-tax_f)/(Sens!H10009*(Sens!G10087+Sens!H10087)/2)</f>
        <v>0.207630352867497</v>
      </c>
      <c r="I10089" s="7" t="n">
        <f aca="false">Sens!I10022*(1-tax_f)/(Sens!I10009*(Sens!H10087+Sens!I10087)/2)</f>
        <v>0.21555279418437</v>
      </c>
      <c r="J10089" s="7" t="n">
        <f aca="false">Sens!J10022*(1-tax_f)/(Sens!J10009*(Sens!I10087+Sens!J10087)/2)</f>
        <v>0.221979790886961</v>
      </c>
      <c r="K10089" s="7" t="n">
        <f aca="false">Sens!K10022*(1-tax_f)/(Sens!K10009*(Sens!J10087+Sens!K10087)/2)</f>
        <v>0.225277960522259</v>
      </c>
    </row>
    <row r="10090" customFormat="false" ht="17.15" hidden="false" customHeight="false" outlineLevel="0" collapsed="false">
      <c r="A10090" s="0" t="s">
        <v>769</v>
      </c>
      <c r="B10090" s="0" t="s">
        <v>208</v>
      </c>
      <c r="F10090" s="7" t="n">
        <f aca="false">Sens!F10088-wacc</f>
        <v>-0.0682757391907349</v>
      </c>
      <c r="G10090" s="7" t="n">
        <f aca="false">Sens!G10088-wacc</f>
        <v>-0.0580257956357448</v>
      </c>
      <c r="H10090" s="7" t="n">
        <f aca="false">Sens!H10088-wacc</f>
        <v>-0.0429215701023964</v>
      </c>
      <c r="I10090" s="7" t="n">
        <f aca="false">Sens!I10088-wacc</f>
        <v>-0.0447273880187771</v>
      </c>
      <c r="J10090" s="7" t="n">
        <f aca="false">Sens!J10088-wacc</f>
        <v>-0.0481797609666839</v>
      </c>
      <c r="K10090" s="7" t="n">
        <f aca="false">Sens!K10088-wacc</f>
        <v>-0.0521171113100171</v>
      </c>
    </row>
    <row r="10091" customFormat="false" ht="17.15" hidden="false" customHeight="false" outlineLevel="0" collapsed="false">
      <c r="A10091" s="0" t="s">
        <v>770</v>
      </c>
      <c r="B10091" s="0" t="s">
        <v>95</v>
      </c>
      <c r="F10091" s="6" t="n">
        <f aca="false">Sens!F10086*(1-tax_f)-wacc*(Sens!E10087+Sens!F10087)/2</f>
        <v>-13.2160902413488</v>
      </c>
      <c r="G10091" s="6" t="n">
        <f aca="false">Sens!G10086*(1-tax_f)-wacc*(Sens!F10087+Sens!G10087)/2</f>
        <v>-18.6835448455564</v>
      </c>
      <c r="H10091" s="6" t="n">
        <f aca="false">Sens!H10086*(1-tax_f)-wacc*(Sens!G10087+Sens!H10087)/2</f>
        <v>-18.6157110802283</v>
      </c>
      <c r="I10091" s="6" t="n">
        <f aca="false">Sens!I10086*(1-tax_f)-wacc*(Sens!H10087+Sens!I10087)/2</f>
        <v>-23.9327067362097</v>
      </c>
      <c r="J10091" s="6" t="n">
        <f aca="false">Sens!J10086*(1-tax_f)-wacc*(Sens!I10087+Sens!J10087)/2</f>
        <v>-30.3798322863447</v>
      </c>
      <c r="K10091" s="6" t="n">
        <f aca="false">Sens!K10086*(1-tax_f)-wacc*(Sens!J10087+Sens!K10087)/2</f>
        <v>-37.858486190287</v>
      </c>
    </row>
    <row r="10092" customFormat="false" ht="17.15" hidden="false" customHeight="false" outlineLevel="0" collapsed="false">
      <c r="A10092" s="1" t="s">
        <v>771</v>
      </c>
      <c r="B10092" s="0" t="s">
        <v>95</v>
      </c>
      <c r="F10092" s="6" t="n">
        <f aca="false">(Sens!E9994+Sens!F9994)/2*Sens!F10001/1000</f>
        <v>26.7873066765967</v>
      </c>
      <c r="G10092" s="6" t="n">
        <f aca="false">(Sens!F9994+Sens!G9994)/2*Sens!G10001/1000</f>
        <v>45.4131817597218</v>
      </c>
      <c r="H10092" s="6" t="n">
        <f aca="false">(Sens!G9994+Sens!H9994)/2*Sens!H10001/1000</f>
        <v>65.3915129357971</v>
      </c>
      <c r="I10092" s="6" t="n">
        <f aca="false">(Sens!H9994+Sens!I9994)/2*Sens!I10001/1000</f>
        <v>85.5187419289299</v>
      </c>
      <c r="J10092" s="6" t="n">
        <f aca="false">(Sens!I9994+Sens!J9994)/2*Sens!J10001/1000</f>
        <v>105.723807195006</v>
      </c>
      <c r="K10092" s="6" t="n">
        <f aca="false">(Sens!J9994+Sens!K9994)/2*Sens!K10001/1000</f>
        <v>125.974659797015</v>
      </c>
      <c r="L10092" s="1" t="s">
        <v>772</v>
      </c>
    </row>
    <row r="10093" customFormat="false" ht="17.15" hidden="false" customHeight="false" outlineLevel="0" collapsed="false">
      <c r="A10093" s="1" t="s">
        <v>773</v>
      </c>
      <c r="B10093" s="0" t="s">
        <v>126</v>
      </c>
      <c r="F10093" s="7" t="n">
        <f aca="false">(Sens!F10010+Sens!F10092-Sens!F10011-Sens!F10021)*(1-tax_f)/((Sens!E10087+Sens!F10087)/2)</f>
        <v>0.118424511071293</v>
      </c>
      <c r="G10093" s="7" t="n">
        <f aca="false">(Sens!G10010+Sens!G10092-Sens!G10011-Sens!G10021)*(1-tax_f)/((Sens!F10087+Sens!G10087)/2)</f>
        <v>0.130733574853607</v>
      </c>
      <c r="H10093" s="7" t="n">
        <f aca="false">(Sens!H10010+Sens!H10092-Sens!H10011-Sens!H10021)*(1-tax_f)/((Sens!G10087+Sens!H10087)/2)</f>
        <v>0.152322090230892</v>
      </c>
      <c r="I10093" s="7" t="n">
        <f aca="false">(Sens!I10010+Sens!I10092-Sens!I10011-Sens!I10021)*(1-tax_f)/((Sens!H10087+Sens!I10087)/2)</f>
        <v>0.158299803330078</v>
      </c>
      <c r="J10093" s="7" t="n">
        <f aca="false">(Sens!J10010+Sens!J10092-Sens!J10011-Sens!J10021)*(1-tax_f)/((Sens!I10087+Sens!J10087)/2)</f>
        <v>0.162865969674421</v>
      </c>
      <c r="K10093" s="7" t="n">
        <f aca="false">(Sens!K10010+Sens!K10092-Sens!K10011-Sens!K10021)*(1-tax_f)/((Sens!J10087+Sens!K10087)/2)</f>
        <v>0.164831052757063</v>
      </c>
      <c r="L10093" s="1" t="s">
        <v>774</v>
      </c>
    </row>
    <row r="10094" customFormat="false" ht="17.15" hidden="false" customHeight="false" outlineLevel="0" collapsed="false">
      <c r="A10094" s="3" t="s">
        <v>1402</v>
      </c>
    </row>
    <row r="10095" customFormat="false" ht="15" hidden="false" customHeight="false" outlineLevel="0" collapsed="false">
      <c r="A10095" s="4" t="s">
        <v>43</v>
      </c>
      <c r="B10095" s="4" t="s">
        <v>63</v>
      </c>
      <c r="C10095" s="19" t="s">
        <v>710</v>
      </c>
      <c r="D10095" s="19" t="s">
        <v>711</v>
      </c>
      <c r="E10095" s="19" t="s">
        <v>712</v>
      </c>
      <c r="F10095" s="19" t="s">
        <v>713</v>
      </c>
      <c r="G10095" s="19" t="s">
        <v>714</v>
      </c>
      <c r="H10095" s="19" t="s">
        <v>715</v>
      </c>
      <c r="I10095" s="19" t="s">
        <v>716</v>
      </c>
      <c r="J10095" s="19" t="s">
        <v>717</v>
      </c>
      <c r="K10095" s="19" t="s">
        <v>718</v>
      </c>
      <c r="L10095" s="4" t="s">
        <v>47</v>
      </c>
    </row>
    <row r="10096" customFormat="false" ht="15" hidden="false" customHeight="false" outlineLevel="0" collapsed="false">
      <c r="A10096" s="1" t="s">
        <v>825</v>
      </c>
      <c r="B10096" s="0" t="s">
        <v>95</v>
      </c>
      <c r="F10096" s="6" t="n">
        <f aca="false">Sens!F10081</f>
        <v>150.358238764823</v>
      </c>
      <c r="G10096" s="6" t="n">
        <f aca="false">Sens!G10081</f>
        <v>175.185267010275</v>
      </c>
      <c r="H10096" s="6" t="n">
        <f aca="false">Sens!H10081</f>
        <v>203.998132152013</v>
      </c>
      <c r="I10096" s="6" t="n">
        <f aca="false">Sens!I10081</f>
        <v>225.992870547028</v>
      </c>
      <c r="J10096" s="6" t="n">
        <f aca="false">Sens!J10081</f>
        <v>245.27428676292</v>
      </c>
      <c r="K10096" s="6" t="n">
        <f aca="false">Sens!K10081</f>
        <v>261.969888500703</v>
      </c>
    </row>
    <row r="10097" customFormat="false" ht="17.15" hidden="false" customHeight="false" outlineLevel="0" collapsed="false">
      <c r="A10097" s="1" t="s">
        <v>843</v>
      </c>
      <c r="B10097" s="0" t="s">
        <v>95</v>
      </c>
      <c r="E10097" s="6" t="n">
        <f aca="false">Q!M38-Sens!E10021</f>
        <v>22.2285940229167</v>
      </c>
      <c r="F10097" s="6" t="n">
        <f aca="false">Sens!E10097*(1-1/life_nonai)+Sens!F10103/life_nonai</f>
        <v>23.5786693435813</v>
      </c>
      <c r="G10097" s="6" t="n">
        <f aca="false">Sens!F10097*(1-1/life_nonai)+Sens!G10103/life_nonai</f>
        <v>25.3810917662621</v>
      </c>
      <c r="H10097" s="6" t="n">
        <f aca="false">Sens!G10097*(1-1/life_nonai)+Sens!H10103/life_nonai</f>
        <v>27.5991339540448</v>
      </c>
      <c r="I10097" s="6" t="n">
        <f aca="false">Sens!H10097*(1-1/life_nonai)+Sens!I10103/life_nonai</f>
        <v>30.1565605898047</v>
      </c>
      <c r="J10097" s="6" t="n">
        <f aca="false">Sens!I10097*(1-1/life_nonai)+Sens!J10103/life_nonai</f>
        <v>32.9614958558616</v>
      </c>
      <c r="K10097" s="6" t="n">
        <f aca="false">Sens!J10097*(1-1/life_nonai)+Sens!K10103/life_nonai</f>
        <v>35.9297165444749</v>
      </c>
      <c r="L10097" s="11" t="s">
        <v>844</v>
      </c>
    </row>
    <row r="10098" customFormat="false" ht="17.15" hidden="false" customHeight="false" outlineLevel="0" collapsed="false">
      <c r="A10098" s="1" t="s">
        <v>845</v>
      </c>
      <c r="B10098" s="0" t="s">
        <v>95</v>
      </c>
      <c r="E10098" s="6" t="n">
        <f aca="false">Sens!E10021+Sens!E10097</f>
        <v>38.534</v>
      </c>
      <c r="F10098" s="6" t="n">
        <f aca="false">Sens!F10021+Sens!F10097</f>
        <v>58.306704799451</v>
      </c>
      <c r="G10098" s="6" t="n">
        <f aca="false">Sens!G10021+Sens!G10097</f>
        <v>85.8628250266016</v>
      </c>
      <c r="H10098" s="6" t="n">
        <f aca="false">Sens!H10021+Sens!H10097</f>
        <v>115.316449947184</v>
      </c>
      <c r="I10098" s="6" t="n">
        <f aca="false">Sens!I10021+Sens!I10097</f>
        <v>146.128742330928</v>
      </c>
      <c r="J10098" s="6" t="n">
        <f aca="false">Sens!J10021+Sens!J10097</f>
        <v>178.160773814135</v>
      </c>
      <c r="K10098" s="6" t="n">
        <f aca="false">Sens!K10021+Sens!K10097</f>
        <v>211.643639179064</v>
      </c>
    </row>
    <row r="10099" customFormat="false" ht="15" hidden="false" customHeight="false" outlineLevel="0" collapsed="false">
      <c r="A10099" s="1" t="s">
        <v>685</v>
      </c>
      <c r="B10099" s="0" t="s">
        <v>95</v>
      </c>
      <c r="F10099" s="6" t="n">
        <f aca="false">Sens!F10048*sbc_r</f>
        <v>15.1240791253967</v>
      </c>
      <c r="G10099" s="6" t="n">
        <f aca="false">Sens!G10048*sbc_r</f>
        <v>18.3778786594202</v>
      </c>
      <c r="H10099" s="6" t="n">
        <f aca="false">Sens!H10048*sbc_r</f>
        <v>21.8771522065674</v>
      </c>
      <c r="I10099" s="6" t="n">
        <f aca="false">Sens!I10048*sbc_r</f>
        <v>25.059706918623</v>
      </c>
      <c r="J10099" s="6" t="n">
        <f aca="false">Sens!J10048*sbc_r</f>
        <v>28.0933903175066</v>
      </c>
      <c r="K10099" s="6" t="n">
        <f aca="false">Sens!K10048*sbc_r</f>
        <v>31.0080606151698</v>
      </c>
    </row>
    <row r="10100" customFormat="false" ht="17.15" hidden="false" customHeight="false" outlineLevel="0" collapsed="false">
      <c r="A10100" s="1" t="s">
        <v>846</v>
      </c>
      <c r="B10100" s="0" t="s">
        <v>95</v>
      </c>
      <c r="F10100" s="6" t="n">
        <f aca="false">wc27</f>
        <v>-4.895</v>
      </c>
      <c r="G10100" s="6" t="n">
        <f aca="false">0</f>
        <v>0</v>
      </c>
      <c r="H10100" s="6" t="n">
        <f aca="false">0</f>
        <v>0</v>
      </c>
      <c r="I10100" s="6" t="n">
        <f aca="false">0</f>
        <v>0</v>
      </c>
      <c r="J10100" s="6" t="n">
        <f aca="false">0</f>
        <v>0</v>
      </c>
      <c r="K10100" s="6" t="n">
        <f aca="false">0</f>
        <v>0</v>
      </c>
      <c r="L10100" s="11" t="s">
        <v>847</v>
      </c>
    </row>
    <row r="10101" customFormat="false" ht="15" hidden="false" customHeight="false" outlineLevel="0" collapsed="false">
      <c r="A10101" s="1" t="s">
        <v>678</v>
      </c>
      <c r="B10101" s="0" t="s">
        <v>95</v>
      </c>
      <c r="E10101" s="6" t="n">
        <f aca="false">Q!M35</f>
        <v>182.935</v>
      </c>
      <c r="F10101" s="6" t="n">
        <f aca="false">Sens!F10096+Sens!F10098+Sens!F10099+Sens!F10100</f>
        <v>218.894022689671</v>
      </c>
      <c r="G10101" s="6" t="n">
        <f aca="false">Sens!G10096+Sens!G10098+Sens!G10099+Sens!G10100</f>
        <v>279.425970696297</v>
      </c>
      <c r="H10101" s="6" t="n">
        <f aca="false">Sens!H10096+Sens!H10098+Sens!H10099+Sens!H10100</f>
        <v>341.191734305765</v>
      </c>
      <c r="I10101" s="6" t="n">
        <f aca="false">Sens!I10096+Sens!I10098+Sens!I10099+Sens!I10100</f>
        <v>397.181319796579</v>
      </c>
      <c r="J10101" s="6" t="n">
        <f aca="false">Sens!J10096+Sens!J10098+Sens!J10099+Sens!J10100</f>
        <v>451.528450894561</v>
      </c>
      <c r="K10101" s="6" t="n">
        <f aca="false">Sens!K10096+Sens!K10098+Sens!K10099+Sens!K10100</f>
        <v>504.621588294938</v>
      </c>
    </row>
    <row r="10102" customFormat="false" ht="17.15" hidden="false" customHeight="false" outlineLevel="0" collapsed="false">
      <c r="A10102" s="0" t="s">
        <v>848</v>
      </c>
      <c r="B10102" s="0" t="s">
        <v>95</v>
      </c>
      <c r="F10102" s="6" t="n">
        <f aca="false">Sens!F10018</f>
        <v>168.470652770438</v>
      </c>
      <c r="G10102" s="6" t="n">
        <f aca="false">Sens!G10018</f>
        <v>183.5741804832</v>
      </c>
      <c r="H10102" s="6" t="n">
        <f aca="false">Sens!H10018</f>
        <v>188.0802859104</v>
      </c>
      <c r="I10102" s="6" t="n">
        <f aca="false">Sens!I10018</f>
        <v>218.338961257067</v>
      </c>
      <c r="J10102" s="6" t="n">
        <f aca="false">Sens!J10018</f>
        <v>233.777060923733</v>
      </c>
      <c r="K10102" s="6" t="n">
        <f aca="false">Sens!K10018</f>
        <v>278.8563119504</v>
      </c>
    </row>
    <row r="10103" customFormat="false" ht="17.15" hidden="false" customHeight="false" outlineLevel="0" collapsed="false">
      <c r="A10103" s="1" t="s">
        <v>849</v>
      </c>
      <c r="B10103" s="0" t="s">
        <v>95</v>
      </c>
      <c r="E10103" s="6" t="n">
        <f aca="false">Sens!E10026*cx_azo+Sens!E10033*cx_m365+Sens!E10034*cx_lic+(Sens!E10036+Sens!E10038)*cx_ind+Sens!E10041*cx_srch+(Sens!E10043+Sens!E10045)*cx_dev</f>
        <v>30.1846587067718</v>
      </c>
      <c r="F10103" s="6" t="n">
        <f aca="false">Sens!F10026*cx_azo+Sens!F10033*cx_m365+Sens!F10034*cx_lic+(Sens!F10036+Sens!F10038)*cx_ind+Sens!F10041*cx_srch+(Sens!F10043+Sens!F10045)*cx_dev</f>
        <v>35.7293472295625</v>
      </c>
      <c r="G10103" s="6" t="n">
        <f aca="false">Sens!G10026*cx_azo+Sens!G10033*cx_m365+Sens!G10034*cx_lic+(Sens!G10036+Sens!G10038)*cx_ind+Sens!G10041*cx_srch+(Sens!G10043+Sens!G10045)*cx_dev</f>
        <v>41.6028935703892</v>
      </c>
      <c r="H10103" s="6" t="n">
        <f aca="false">Sens!H10026*cx_azo+Sens!H10033*cx_m365+Sens!H10034*cx_lic+(Sens!H10036+Sens!H10038)*cx_ind+Sens!H10041*cx_srch+(Sens!H10043+Sens!H10045)*cx_dev</f>
        <v>47.5615136440897</v>
      </c>
      <c r="I10103" s="6" t="n">
        <f aca="false">Sens!I10026*cx_azo+Sens!I10033*cx_m365+Sens!I10034*cx_lic+(Sens!I10036+Sens!I10038)*cx_ind+Sens!I10041*cx_srch+(Sens!I10043+Sens!I10045)*cx_dev</f>
        <v>53.1734003116439</v>
      </c>
      <c r="J10103" s="6" t="n">
        <f aca="false">Sens!J10026*cx_azo+Sens!J10033*cx_m365+Sens!J10034*cx_lic+(Sens!J10036+Sens!J10038)*cx_ind+Sens!J10041*cx_srch+(Sens!J10043+Sens!J10045)*cx_dev</f>
        <v>58.2059132503738</v>
      </c>
      <c r="K10103" s="6" t="n">
        <f aca="false">Sens!K10026*cx_azo+Sens!K10033*cx_m365+Sens!K10034*cx_lic+(Sens!K10036+Sens!K10038)*cx_ind+Sens!K10041*cx_srch+(Sens!K10043+Sens!K10045)*cx_dev</f>
        <v>62.643702741994</v>
      </c>
    </row>
    <row r="10104" customFormat="false" ht="17.15" hidden="false" customHeight="false" outlineLevel="0" collapsed="false">
      <c r="A10104" s="1" t="s">
        <v>850</v>
      </c>
      <c r="B10104" s="0" t="s">
        <v>95</v>
      </c>
      <c r="E10104" s="6" t="n">
        <f aca="false">Q!M42</f>
        <v>145.3</v>
      </c>
      <c r="F10104" s="6" t="n">
        <f aca="false">Sens!F10102+Sens!F10103</f>
        <v>204.2</v>
      </c>
      <c r="G10104" s="6" t="n">
        <f aca="false">Sens!G10102+Sens!G10103</f>
        <v>225.177074053589</v>
      </c>
      <c r="H10104" s="6" t="n">
        <f aca="false">Sens!H10102+Sens!H10103</f>
        <v>235.64179955449</v>
      </c>
      <c r="I10104" s="6" t="n">
        <f aca="false">Sens!I10102+Sens!I10103</f>
        <v>271.512361568711</v>
      </c>
      <c r="J10104" s="6" t="n">
        <f aca="false">Sens!J10102+Sens!J10103</f>
        <v>291.982974174107</v>
      </c>
      <c r="K10104" s="6" t="n">
        <f aca="false">Sens!K10102+Sens!K10103</f>
        <v>341.500014692394</v>
      </c>
      <c r="L10104" s="1" t="s">
        <v>851</v>
      </c>
    </row>
    <row r="10105" customFormat="false" ht="15" hidden="false" customHeight="false" outlineLevel="0" collapsed="false">
      <c r="A10105" s="1" t="s">
        <v>852</v>
      </c>
      <c r="B10105" s="0" t="s">
        <v>95</v>
      </c>
      <c r="E10105" s="6" t="n">
        <f aca="false">fl_liab</f>
        <v>66.594</v>
      </c>
      <c r="F10105" s="6" t="n">
        <f aca="false">Sens!E10105-Sens!F10106</f>
        <v>62.46973</v>
      </c>
      <c r="G10105" s="6" t="n">
        <f aca="false">Sens!F10105-Sens!G10106</f>
        <v>57.98686785</v>
      </c>
      <c r="H10105" s="6" t="n">
        <f aca="false">Sens!G10105-Sens!H10106</f>
        <v>53.92827690325</v>
      </c>
      <c r="I10105" s="6" t="n">
        <f aca="false">Sens!H10105-Sens!I10106</f>
        <v>49.7850493638962</v>
      </c>
      <c r="J10105" s="6" t="n">
        <f aca="false">Sens!I10105-Sens!J10106</f>
        <v>45.4823765852716</v>
      </c>
      <c r="K10105" s="6" t="n">
        <f aca="false">Sens!J10105-Sens!K10106</f>
        <v>40.9860835316088</v>
      </c>
    </row>
    <row r="10106" customFormat="false" ht="15" hidden="false" customHeight="false" outlineLevel="0" collapsed="false">
      <c r="A10106" s="1" t="s">
        <v>853</v>
      </c>
      <c r="B10106" s="0" t="s">
        <v>95</v>
      </c>
      <c r="F10106" s="6" t="n">
        <f aca="false">fl_pay_27-Sens!E10105*fl_rate</f>
        <v>4.12427</v>
      </c>
      <c r="G10106" s="6" t="n">
        <f aca="false">fl_pay_28-Sens!F10105*fl_rate</f>
        <v>4.48286215</v>
      </c>
      <c r="H10106" s="6" t="n">
        <f aca="false">fl_pay_29-Sens!G10105*fl_rate</f>
        <v>4.05859094675</v>
      </c>
      <c r="I10106" s="6" t="n">
        <f aca="false">fl_pay_30-Sens!H10105*fl_rate</f>
        <v>4.14322753935375</v>
      </c>
      <c r="J10106" s="6" t="n">
        <f aca="false">fl_pay_31-Sens!I10105*fl_rate</f>
        <v>4.30267277862467</v>
      </c>
      <c r="K10106" s="6" t="n">
        <f aca="false">fl_pay_32-Sens!J10105*fl_rate</f>
        <v>4.49629305366278</v>
      </c>
    </row>
    <row r="10107" customFormat="false" ht="17.15" hidden="false" customHeight="false" outlineLevel="0" collapsed="false">
      <c r="A10107" s="1" t="s">
        <v>854</v>
      </c>
      <c r="B10107" s="0" t="s">
        <v>95</v>
      </c>
      <c r="E10107" s="6" t="n">
        <f aca="false">Q!M35-Q!M36-Q!M43</f>
        <v>63.886</v>
      </c>
      <c r="F10107" s="6" t="n">
        <f aca="false">Sens!F10101-Sens!F10104-Sens!F10106</f>
        <v>10.5697526896709</v>
      </c>
      <c r="G10107" s="6" t="n">
        <f aca="false">Sens!G10101-Sens!G10104-Sens!G10106</f>
        <v>49.766034492708</v>
      </c>
      <c r="H10107" s="6" t="n">
        <f aca="false">Sens!H10101-Sens!H10104-Sens!H10106</f>
        <v>101.491343804525</v>
      </c>
      <c r="I10107" s="6" t="n">
        <f aca="false">Sens!I10101-Sens!I10104-Sens!I10106</f>
        <v>121.525730688514</v>
      </c>
      <c r="J10107" s="6" t="n">
        <f aca="false">Sens!J10101-Sens!J10104-Sens!J10106</f>
        <v>155.24280394183</v>
      </c>
      <c r="K10107" s="6" t="n">
        <f aca="false">Sens!K10101-Sens!K10104-Sens!K10106</f>
        <v>158.625280548881</v>
      </c>
      <c r="L10107" s="11" t="s">
        <v>855</v>
      </c>
    </row>
    <row r="10108" customFormat="false" ht="15" hidden="false" customHeight="false" outlineLevel="0" collapsed="false">
      <c r="A10108" s="1" t="s">
        <v>856</v>
      </c>
      <c r="B10108" s="0" t="s">
        <v>73</v>
      </c>
      <c r="F10108" s="8" t="n">
        <f aca="false">dps_27</f>
        <v>3.85</v>
      </c>
      <c r="G10108" s="8" t="n">
        <f aca="false">Sens!F10108*(1+dps_g)</f>
        <v>4.158</v>
      </c>
      <c r="H10108" s="8" t="n">
        <f aca="false">Sens!G10108*(1+dps_g)</f>
        <v>4.49064</v>
      </c>
      <c r="I10108" s="8" t="n">
        <f aca="false">Sens!H10108*(1+dps_g)</f>
        <v>4.8498912</v>
      </c>
      <c r="J10108" s="8" t="n">
        <f aca="false">Sens!I10108*(1+dps_g)</f>
        <v>5.237882496</v>
      </c>
      <c r="K10108" s="8" t="n">
        <f aca="false">Sens!J10108*(1+dps_g)</f>
        <v>5.65691309568</v>
      </c>
    </row>
    <row r="10109" customFormat="false" ht="17.15" hidden="false" customHeight="false" outlineLevel="0" collapsed="false">
      <c r="A10109" s="1" t="s">
        <v>857</v>
      </c>
      <c r="B10109" s="0" t="s">
        <v>95</v>
      </c>
      <c r="E10109" s="6" t="n">
        <f aca="false">Q!M41</f>
        <v>26.445</v>
      </c>
      <c r="F10109" s="6" t="n">
        <f aca="false">Sens!F10108*Sens!E10118</f>
        <v>28.59395</v>
      </c>
      <c r="G10109" s="6" t="n">
        <f aca="false">Sens!G10108*Sens!F10118</f>
        <v>31.068576</v>
      </c>
      <c r="H10109" s="6" t="n">
        <f aca="false">Sens!H10108*Sens!G10118</f>
        <v>33.6156804405165</v>
      </c>
      <c r="I10109" s="6" t="n">
        <f aca="false">Sens!I10108*Sens!H10118</f>
        <v>36.3558741157573</v>
      </c>
      <c r="J10109" s="6" t="n">
        <f aca="false">Sens!J10108*Sens!I10118</f>
        <v>39.3327428933373</v>
      </c>
      <c r="K10109" s="6" t="n">
        <f aca="false">Sens!K10108*Sens!J10118</f>
        <v>42.5666175501093</v>
      </c>
      <c r="L10109" s="1" t="s">
        <v>858</v>
      </c>
    </row>
    <row r="10110" customFormat="false" ht="15" hidden="false" customHeight="false" outlineLevel="0" collapsed="false">
      <c r="A10110" s="1" t="s">
        <v>859</v>
      </c>
      <c r="B10110" s="0" t="s">
        <v>95</v>
      </c>
      <c r="E10110" s="6" t="n">
        <f aca="false">Sens!E10107-Sens!E10109</f>
        <v>37.441</v>
      </c>
      <c r="F10110" s="6" t="n">
        <f aca="false">Sens!F10107-Sens!F10109</f>
        <v>-18.0241973103291</v>
      </c>
      <c r="G10110" s="6" t="n">
        <f aca="false">Sens!G10107-Sens!G10109</f>
        <v>18.697458492708</v>
      </c>
      <c r="H10110" s="6" t="n">
        <f aca="false">Sens!H10107-Sens!H10109</f>
        <v>67.8756633640085</v>
      </c>
      <c r="I10110" s="6" t="n">
        <f aca="false">Sens!I10107-Sens!I10109</f>
        <v>85.1698565727572</v>
      </c>
      <c r="J10110" s="6" t="n">
        <f aca="false">Sens!J10107-Sens!J10109</f>
        <v>115.910061048492</v>
      </c>
      <c r="K10110" s="6" t="n">
        <f aca="false">Sens!K10107-Sens!K10109</f>
        <v>116.058662998772</v>
      </c>
    </row>
    <row r="10111" customFormat="false" ht="15" hidden="false" customHeight="false" outlineLevel="0" collapsed="false">
      <c r="A10111" s="1" t="s">
        <v>860</v>
      </c>
      <c r="B10111" s="0" t="s">
        <v>95</v>
      </c>
      <c r="F10111" s="6" t="n">
        <f aca="false">debt_mat_27</f>
        <v>9.25</v>
      </c>
      <c r="G10111" s="6" t="n">
        <f aca="false">debt_mat_28</f>
        <v>0</v>
      </c>
      <c r="H10111" s="6" t="n">
        <f aca="false">debt_mat_29</f>
        <v>2.001</v>
      </c>
      <c r="I10111" s="6" t="n">
        <f aca="false">debt_mat_30</f>
        <v>0</v>
      </c>
      <c r="J10111" s="6" t="n">
        <f aca="false">debt_mat_31</f>
        <v>0.5</v>
      </c>
      <c r="K10111" s="6" t="n">
        <f aca="false">debt_mat_32</f>
        <v>0</v>
      </c>
    </row>
    <row r="10112" customFormat="false" ht="15" hidden="false" customHeight="false" outlineLevel="0" collapsed="false">
      <c r="A10112" s="1" t="s">
        <v>861</v>
      </c>
      <c r="B10112" s="0" t="s">
        <v>95</v>
      </c>
      <c r="E10112" s="6" t="n">
        <f aca="false">Q!M40</f>
        <v>22.271</v>
      </c>
      <c r="F10112" s="6" t="n">
        <f aca="false">MAX(0,MIN(bb_target,Sens!E10114+Sens!F10110-Sens!F10111-min_cash))</f>
        <v>0</v>
      </c>
      <c r="G10112" s="6" t="n">
        <f aca="false">MAX(0,MIN(bb_target,Sens!F10114+Sens!G10110-Sens!G10111-min_cash))</f>
        <v>18.697458492708</v>
      </c>
      <c r="H10112" s="6" t="n">
        <f aca="false">MAX(0,MIN(bb_target,Sens!G10114+Sens!H10110-Sens!H10111-min_cash))</f>
        <v>22.271</v>
      </c>
      <c r="I10112" s="6" t="n">
        <f aca="false">MAX(0,MIN(bb_target,Sens!H10114+Sens!I10110-Sens!I10111-min_cash))</f>
        <v>22.271</v>
      </c>
      <c r="J10112" s="6" t="n">
        <f aca="false">MAX(0,MIN(bb_target,Sens!I10114+Sens!J10110-Sens!J10111-min_cash))</f>
        <v>22.271</v>
      </c>
      <c r="K10112" s="6" t="n">
        <f aca="false">MAX(0,MIN(bb_target,Sens!J10114+Sens!K10110-Sens!K10111-min_cash))</f>
        <v>22.271</v>
      </c>
    </row>
    <row r="10113" customFormat="false" ht="15" hidden="false" customHeight="false" outlineLevel="0" collapsed="false">
      <c r="A10113" s="1" t="s">
        <v>862</v>
      </c>
      <c r="B10113" s="0" t="s">
        <v>95</v>
      </c>
      <c r="F10113" s="6" t="n">
        <f aca="false">MAX(0,min_cash-(Sens!E10114+Sens!F10110-Sens!F10111-Sens!F10112))</f>
        <v>0.431197310329097</v>
      </c>
      <c r="G10113" s="6" t="n">
        <f aca="false">MAX(0,min_cash-(Sens!F10114+Sens!G10110-Sens!G10111-Sens!G10112))</f>
        <v>0</v>
      </c>
      <c r="H10113" s="6" t="n">
        <f aca="false">MAX(0,min_cash-(Sens!G10114+Sens!H10110-Sens!H10111-Sens!H10112))</f>
        <v>0</v>
      </c>
      <c r="I10113" s="6" t="n">
        <f aca="false">MAX(0,min_cash-(Sens!H10114+Sens!I10110-Sens!I10111-Sens!I10112))</f>
        <v>0</v>
      </c>
      <c r="J10113" s="6" t="n">
        <f aca="false">MAX(0,min_cash-(Sens!I10114+Sens!J10110-Sens!J10111-Sens!J10112))</f>
        <v>0</v>
      </c>
      <c r="K10113" s="6" t="n">
        <f aca="false">MAX(0,min_cash-(Sens!J10114+Sens!K10110-Sens!K10111-Sens!K10112))</f>
        <v>0</v>
      </c>
    </row>
    <row r="10114" customFormat="false" ht="15" hidden="false" customHeight="false" outlineLevel="0" collapsed="false">
      <c r="A10114" s="1" t="s">
        <v>863</v>
      </c>
      <c r="B10114" s="0" t="s">
        <v>95</v>
      </c>
      <c r="E10114" s="6" t="n">
        <f aca="false">cash_open</f>
        <v>76.843</v>
      </c>
      <c r="F10114" s="6" t="n">
        <f aca="false">Sens!E10114+Sens!F10110-Sens!F10111-Sens!F10112+Sens!F10113</f>
        <v>50</v>
      </c>
      <c r="G10114" s="6" t="n">
        <f aca="false">Sens!F10114+Sens!G10110-Sens!G10111-Sens!G10112+Sens!G10113</f>
        <v>50</v>
      </c>
      <c r="H10114" s="6" t="n">
        <f aca="false">Sens!G10114+Sens!H10110-Sens!H10111-Sens!H10112+Sens!H10113</f>
        <v>93.6036633640085</v>
      </c>
      <c r="I10114" s="6" t="n">
        <f aca="false">Sens!H10114+Sens!I10110-Sens!I10111-Sens!I10112+Sens!I10113</f>
        <v>156.502519936766</v>
      </c>
      <c r="J10114" s="6" t="n">
        <f aca="false">Sens!I10114+Sens!J10110-Sens!J10111-Sens!J10112+Sens!J10113</f>
        <v>249.641580985258</v>
      </c>
      <c r="K10114" s="6" t="n">
        <f aca="false">Sens!J10114+Sens!K10110-Sens!K10111-Sens!K10112+Sens!K10113</f>
        <v>343.42924398403</v>
      </c>
    </row>
    <row r="10115" customFormat="false" ht="15" hidden="false" customHeight="false" outlineLevel="0" collapsed="false">
      <c r="A10115" s="1" t="s">
        <v>864</v>
      </c>
      <c r="B10115" s="0" t="s">
        <v>95</v>
      </c>
      <c r="E10115" s="6" t="n">
        <f aca="false">debt_face</f>
        <v>46.136</v>
      </c>
      <c r="F10115" s="6" t="n">
        <f aca="false">Sens!E10115-Sens!F10111+Sens!F10113</f>
        <v>37.3171973103291</v>
      </c>
      <c r="G10115" s="6" t="n">
        <f aca="false">Sens!F10115-Sens!G10111+Sens!G10113</f>
        <v>37.3171973103291</v>
      </c>
      <c r="H10115" s="6" t="n">
        <f aca="false">Sens!G10115-Sens!H10111+Sens!H10113</f>
        <v>35.3161973103291</v>
      </c>
      <c r="I10115" s="6" t="n">
        <f aca="false">Sens!H10115-Sens!I10111+Sens!I10113</f>
        <v>35.3161973103291</v>
      </c>
      <c r="J10115" s="6" t="n">
        <f aca="false">Sens!I10115-Sens!J10111+Sens!J10113</f>
        <v>34.8161973103291</v>
      </c>
      <c r="K10115" s="6" t="n">
        <f aca="false">Sens!J10115-Sens!K10111+Sens!K10113</f>
        <v>34.8161973103291</v>
      </c>
    </row>
    <row r="10116" customFormat="false" ht="15" hidden="false" customHeight="false" outlineLevel="0" collapsed="false">
      <c r="A10116" s="1" t="s">
        <v>865</v>
      </c>
      <c r="B10116" s="0" t="s">
        <v>95</v>
      </c>
      <c r="E10116" s="6" t="n">
        <f aca="false">Sens!E10114-Sens!E10115</f>
        <v>30.707</v>
      </c>
      <c r="F10116" s="6" t="n">
        <f aca="false">Sens!F10114-Sens!F10115</f>
        <v>12.6828026896709</v>
      </c>
      <c r="G10116" s="6" t="n">
        <f aca="false">Sens!G10114-Sens!G10115</f>
        <v>12.6828026896709</v>
      </c>
      <c r="H10116" s="6" t="n">
        <f aca="false">Sens!H10114-Sens!H10115</f>
        <v>58.2874660536794</v>
      </c>
      <c r="I10116" s="6" t="n">
        <f aca="false">Sens!I10114-Sens!I10115</f>
        <v>121.186322626437</v>
      </c>
      <c r="J10116" s="6" t="n">
        <f aca="false">Sens!J10114-Sens!J10115</f>
        <v>214.825383674929</v>
      </c>
      <c r="K10116" s="6" t="n">
        <f aca="false">Sens!K10114-Sens!K10115</f>
        <v>308.613046673701</v>
      </c>
    </row>
    <row r="10117" customFormat="false" ht="15" hidden="false" customHeight="false" outlineLevel="0" collapsed="false">
      <c r="A10117" s="1" t="s">
        <v>866</v>
      </c>
      <c r="B10117" s="0" t="s">
        <v>73</v>
      </c>
      <c r="F10117" s="27" t="n">
        <f aca="false">px*(1+bb_g)^(1-0.5)</f>
        <v>553.494156066711</v>
      </c>
      <c r="G10117" s="27" t="n">
        <f aca="false">px*(1+bb_g)^(2-0.5)</f>
        <v>597.773688552047</v>
      </c>
      <c r="H10117" s="27" t="n">
        <f aca="false">px*(1+bb_g)^(3-0.5)</f>
        <v>645.595583636211</v>
      </c>
      <c r="I10117" s="27" t="n">
        <f aca="false">px*(1+bb_g)^(4-0.5)</f>
        <v>697.243230327108</v>
      </c>
      <c r="J10117" s="27" t="n">
        <f aca="false">px*(1+bb_g)^(5-0.5)</f>
        <v>753.022688753277</v>
      </c>
      <c r="K10117" s="27" t="n">
        <f aca="false">px*(1+bb_g)^(6-0.5)</f>
        <v>813.264503853539</v>
      </c>
    </row>
    <row r="10118" customFormat="false" ht="15" hidden="false" customHeight="false" outlineLevel="0" collapsed="false">
      <c r="A10118" s="1" t="s">
        <v>867</v>
      </c>
      <c r="B10118" s="1" t="s">
        <v>79</v>
      </c>
      <c r="E10118" s="18" t="n">
        <f aca="false">sh_out26</f>
        <v>7.427</v>
      </c>
      <c r="F10118" s="18" t="n">
        <f aca="false">Sens!E10118+sh_iss-Sens!F10112/Sens!F10117</f>
        <v>7.472</v>
      </c>
      <c r="G10118" s="18" t="n">
        <f aca="false">Sens!F10118+sh_iss-Sens!G10112/Sens!G10117</f>
        <v>7.48572150974393</v>
      </c>
      <c r="H10118" s="18" t="n">
        <f aca="false">Sens!G10118+sh_iss-Sens!H10112/Sens!H10117</f>
        <v>7.49622468144384</v>
      </c>
      <c r="I10118" s="18" t="n">
        <f aca="false">Sens!H10118+sh_iss-Sens!I10112/Sens!I10117</f>
        <v>7.50928317375856</v>
      </c>
      <c r="J10118" s="18" t="n">
        <f aca="false">Sens!I10118+sh_iss-Sens!J10112/Sens!J10117</f>
        <v>7.5247077036796</v>
      </c>
      <c r="K10118" s="18" t="n">
        <f aca="false">Sens!J10118+sh_iss-Sens!K10112/Sens!K10117</f>
        <v>7.54232300916205</v>
      </c>
    </row>
    <row r="10119" customFormat="false" ht="15" hidden="false" customHeight="false" outlineLevel="0" collapsed="false">
      <c r="A10119" s="1" t="s">
        <v>868</v>
      </c>
      <c r="B10119" s="1" t="s">
        <v>79</v>
      </c>
      <c r="E10119" s="18" t="n">
        <f aca="false">sh_dil26</f>
        <v>7.453</v>
      </c>
      <c r="F10119" s="18" t="n">
        <f aca="false">(Sens!E10118+Sens!F10118)/2+dil_gap</f>
        <v>7.4735</v>
      </c>
      <c r="G10119" s="18" t="n">
        <f aca="false">(Sens!F10118+Sens!G10118)/2+dil_gap</f>
        <v>7.50286075487197</v>
      </c>
      <c r="H10119" s="18" t="n">
        <f aca="false">(Sens!G10118+Sens!H10118)/2+dil_gap</f>
        <v>7.51497309559388</v>
      </c>
      <c r="I10119" s="18" t="n">
        <f aca="false">(Sens!H10118+Sens!I10118)/2+dil_gap</f>
        <v>7.5267539276012</v>
      </c>
      <c r="J10119" s="18" t="n">
        <f aca="false">(Sens!I10118+Sens!J10118)/2+dil_gap</f>
        <v>7.54099543871908</v>
      </c>
      <c r="K10119" s="18" t="n">
        <f aca="false">(Sens!J10118+Sens!K10118)/2+dil_gap</f>
        <v>7.55751535642082</v>
      </c>
    </row>
    <row r="10120" customFormat="false" ht="17.15" hidden="false" customHeight="false" outlineLevel="0" collapsed="false">
      <c r="A10120" s="1" t="s">
        <v>869</v>
      </c>
      <c r="B10120" s="0" t="s">
        <v>95</v>
      </c>
      <c r="C10120" s="6" t="n">
        <f aca="false">SUM(Sens!F10110:J10110)</f>
        <v>269.628842167637</v>
      </c>
    </row>
    <row r="10121" customFormat="false" ht="17.15" hidden="false" customHeight="false" outlineLevel="0" collapsed="false">
      <c r="A10121" s="1" t="s">
        <v>836</v>
      </c>
      <c r="B10121" s="1" t="s">
        <v>870</v>
      </c>
      <c r="C10121" s="30" t="str">
        <f aca="false">IF(SUM(Sens!F10113:J10113)&gt;0.05,"需要舉債 "&amp;TEXT(SUM(Sens!F10113:J10113),"0.0")&amp;" 十億美元","不需舉債")&amp;"；"&amp;IF(SUM(Sens!F10112:J10112)&lt;5*bb_target-0.05,"回購較每年 "&amp;TEXT(bb_target,"0.0")&amp;" 的目標少 "&amp;TEXT(5*bb_target-SUM(Sens!F10112:J10112),"0.0")&amp;" 十億美元（"&amp;TEXT(COUNTIF(Sens!F10112:J10112,"&lt;"&amp;(bb_target-0.05)),"0")&amp;" 年減少）","回購不減")</f>
        <v>需要舉債 0.4 十億美元；回購較每年 22.3 的目標少 25.8 十億美元（2 年減少）</v>
      </c>
    </row>
    <row r="10122" customFormat="false" ht="17.15" hidden="false" customHeight="false" outlineLevel="0" collapsed="false">
      <c r="A10122" s="3" t="s">
        <v>1403</v>
      </c>
    </row>
    <row r="10123" customFormat="false" ht="15" hidden="false" customHeight="false" outlineLevel="0" collapsed="false">
      <c r="A10123" s="4" t="s">
        <v>43</v>
      </c>
      <c r="B10123" s="4" t="s">
        <v>63</v>
      </c>
      <c r="C10123" s="19" t="s">
        <v>710</v>
      </c>
      <c r="D10123" s="19" t="s">
        <v>711</v>
      </c>
      <c r="E10123" s="19" t="s">
        <v>712</v>
      </c>
      <c r="F10123" s="19" t="s">
        <v>713</v>
      </c>
      <c r="G10123" s="19" t="s">
        <v>714</v>
      </c>
      <c r="H10123" s="19" t="s">
        <v>715</v>
      </c>
      <c r="I10123" s="19" t="s">
        <v>716</v>
      </c>
      <c r="J10123" s="19" t="s">
        <v>717</v>
      </c>
      <c r="K10123" s="19" t="s">
        <v>718</v>
      </c>
      <c r="L10123" s="4" t="s">
        <v>47</v>
      </c>
    </row>
    <row r="10124" customFormat="false" ht="17.15" hidden="false" customHeight="false" outlineLevel="0" collapsed="false">
      <c r="A10124" s="1" t="s">
        <v>938</v>
      </c>
      <c r="B10124" s="1" t="s">
        <v>213</v>
      </c>
      <c r="F10124" s="34" t="n">
        <f aca="false">1-0.5</f>
        <v>0.5</v>
      </c>
      <c r="G10124" s="34" t="n">
        <f aca="false">2-0.5</f>
        <v>1.5</v>
      </c>
      <c r="H10124" s="34" t="n">
        <f aca="false">3-0.5</f>
        <v>2.5</v>
      </c>
      <c r="I10124" s="34" t="n">
        <f aca="false">4-0.5</f>
        <v>3.5</v>
      </c>
      <c r="J10124" s="34" t="n">
        <f aca="false">5-0.5</f>
        <v>4.5</v>
      </c>
      <c r="K10124" s="34" t="n">
        <f aca="false">6-0.5</f>
        <v>5.5</v>
      </c>
    </row>
    <row r="10125" customFormat="false" ht="15" hidden="false" customHeight="false" outlineLevel="0" collapsed="false">
      <c r="A10125" s="1" t="s">
        <v>939</v>
      </c>
      <c r="B10125" s="0" t="s">
        <v>182</v>
      </c>
      <c r="F10125" s="18" t="n">
        <f aca="false">1/(1+wacc)^Sens!F10124</f>
        <v>0.949601579913219</v>
      </c>
      <c r="G10125" s="18" t="n">
        <f aca="false">1/(1+wacc)^Sens!G10124</f>
        <v>0.856296729956707</v>
      </c>
      <c r="H10125" s="18" t="n">
        <f aca="false">1/(1+wacc)^Sens!H10124</f>
        <v>0.772159719660069</v>
      </c>
      <c r="I10125" s="18" t="n">
        <f aca="false">1/(1+wacc)^Sens!I10124</f>
        <v>0.696289746073958</v>
      </c>
      <c r="J10125" s="18" t="n">
        <f aca="false">1/(1+wacc)^Sens!J10124</f>
        <v>0.627874516299776</v>
      </c>
      <c r="K10125" s="18" t="n">
        <f aca="false">1/(1+wacc)^Sens!K10124</f>
        <v>0.566181550771831</v>
      </c>
    </row>
    <row r="10126" customFormat="false" ht="15" hidden="false" customHeight="false" outlineLevel="0" collapsed="false">
      <c r="A10126" s="1" t="s">
        <v>940</v>
      </c>
      <c r="B10126" s="0" t="s">
        <v>95</v>
      </c>
      <c r="F10126" s="6" t="n">
        <f aca="false">Sens!F10107*Sens!F10125</f>
        <v>10.0370538534035</v>
      </c>
      <c r="G10126" s="6" t="n">
        <f aca="false">Sens!G10107*Sens!G10125</f>
        <v>42.6144925990186</v>
      </c>
      <c r="H10126" s="6" t="n">
        <f aca="false">Sens!H10107*Sens!H10125</f>
        <v>78.3675275800257</v>
      </c>
      <c r="I10126" s="6" t="n">
        <f aca="false">Sens!I10107*Sens!I10125</f>
        <v>84.6171201625579</v>
      </c>
      <c r="J10126" s="6" t="n">
        <f aca="false">Sens!J10107*Sens!J10125</f>
        <v>97.4730004339973</v>
      </c>
      <c r="K10126" s="6" t="n">
        <f aca="false">Sens!K10107*Sens!K10125</f>
        <v>89.8107073327822</v>
      </c>
    </row>
    <row r="10127" customFormat="false" ht="17.15" hidden="false" customHeight="false" outlineLevel="0" collapsed="false">
      <c r="A10127" s="1" t="s">
        <v>941</v>
      </c>
      <c r="B10127" s="0" t="s">
        <v>95</v>
      </c>
      <c r="C10127" s="6" t="n">
        <f aca="false">SUM(Sens!F10126:K10126)</f>
        <v>402.919901961785</v>
      </c>
    </row>
    <row r="10128" customFormat="false" ht="17.15" hidden="false" customHeight="false" outlineLevel="0" collapsed="false">
      <c r="A10128" s="1" t="s">
        <v>942</v>
      </c>
      <c r="B10128" s="0" t="s">
        <v>95</v>
      </c>
      <c r="C10128" s="6" t="n">
        <f aca="false">Sens!K10073*(1+g_tv)*(1-tax_f)</f>
        <v>270.158585155725</v>
      </c>
    </row>
    <row r="10129" customFormat="false" ht="17.15" hidden="false" customHeight="false" outlineLevel="0" collapsed="false">
      <c r="A10129" s="1" t="s">
        <v>943</v>
      </c>
      <c r="B10129" s="0" t="s">
        <v>95</v>
      </c>
      <c r="C10129" s="6" t="n">
        <f aca="false">Sens!$C$10128*(1-g_tv/(wacc+ronic_prem))</f>
        <v>195.777913685892</v>
      </c>
    </row>
    <row r="10130" customFormat="false" ht="17.15" hidden="false" customHeight="false" outlineLevel="0" collapsed="false">
      <c r="A10130" s="1" t="s">
        <v>944</v>
      </c>
      <c r="B10130" s="0" t="s">
        <v>95</v>
      </c>
      <c r="C10130" s="6" t="n">
        <f aca="false">Sens!$C$10129/(wacc-g_tv)</f>
        <v>2479.35571566108</v>
      </c>
    </row>
    <row r="10131" customFormat="false" ht="15" hidden="false" customHeight="false" outlineLevel="0" collapsed="false">
      <c r="A10131" s="1" t="s">
        <v>945</v>
      </c>
      <c r="B10131" s="0" t="s">
        <v>95</v>
      </c>
      <c r="C10131" s="6" t="n">
        <f aca="false">Sens!$C$10130/(1+wacc)^6</f>
        <v>1333.0179024496</v>
      </c>
    </row>
    <row r="10132" customFormat="false" ht="17.15" hidden="false" customHeight="false" outlineLevel="0" collapsed="false">
      <c r="A10132" s="0" t="s">
        <v>877</v>
      </c>
      <c r="B10132" s="0" t="s">
        <v>95</v>
      </c>
      <c r="C10132" s="6" t="n">
        <f aca="false">Sens!$C$10127+Sens!$C$10131</f>
        <v>1735.93780441139</v>
      </c>
    </row>
    <row r="10133" customFormat="false" ht="15" hidden="false" customHeight="false" outlineLevel="0" collapsed="false">
      <c r="A10133" s="1" t="s">
        <v>878</v>
      </c>
      <c r="B10133" s="0" t="s">
        <v>126</v>
      </c>
      <c r="C10133" s="7" t="n">
        <f aca="false">Sens!$C$10131/Sens!$C$10132</f>
        <v>0.767894966664198</v>
      </c>
    </row>
    <row r="10134" customFormat="false" ht="17.15" hidden="false" customHeight="false" outlineLevel="0" collapsed="false">
      <c r="A10134" s="1" t="s">
        <v>946</v>
      </c>
      <c r="B10134" s="0" t="s">
        <v>95</v>
      </c>
      <c r="C10134" s="6" t="n">
        <f aca="false">Sens!$C$10132+Sens!E10116+oai_v</f>
        <v>1937.04480441139</v>
      </c>
    </row>
    <row r="10135" customFormat="false" ht="17.15" hidden="false" customHeight="false" outlineLevel="0" collapsed="false">
      <c r="A10135" s="0" t="s">
        <v>883</v>
      </c>
      <c r="B10135" s="0" t="s">
        <v>73</v>
      </c>
      <c r="C10135" s="5" t="n">
        <f aca="false">Sens!$C$10134/sh_dil26</f>
        <v>259.901355750891</v>
      </c>
    </row>
    <row r="10136" customFormat="false" ht="17.15" hidden="false" customHeight="false" outlineLevel="0" collapsed="false">
      <c r="A10136" s="0" t="s">
        <v>947</v>
      </c>
      <c r="B10136" s="0" t="s">
        <v>73</v>
      </c>
      <c r="C10136" s="5" t="n">
        <f aca="false">Sens!$C$10135*(1+wacc)^t_roll</f>
        <v>298.10544397982</v>
      </c>
    </row>
    <row r="10137" customFormat="false" ht="17.15" hidden="false" customHeight="false" outlineLevel="0" collapsed="false">
      <c r="A10137" s="1" t="s">
        <v>948</v>
      </c>
      <c r="B10137" s="0" t="s">
        <v>126</v>
      </c>
      <c r="F10137" s="7" t="n">
        <f aca="false">Sens!F10097/(Sens!F10048-Sens!F10004)</f>
        <v>0.0681773598226415</v>
      </c>
      <c r="G10137" s="7" t="n">
        <f aca="false">Sens!G10097/(Sens!G10048-Sens!G10004)</f>
        <v>0.0650385409375172</v>
      </c>
      <c r="H10137" s="7" t="n">
        <f aca="false">Sens!H10097/(Sens!H10048-Sens!H10004)</f>
        <v>0.063382542471986</v>
      </c>
      <c r="I10137" s="7" t="n">
        <f aca="false">Sens!I10097/(Sens!I10048-Sens!I10004)</f>
        <v>0.0630998138876076</v>
      </c>
      <c r="J10137" s="7" t="n">
        <f aca="false">Sens!J10097/(Sens!J10048-Sens!J10004)</f>
        <v>0.0638399980286975</v>
      </c>
      <c r="K10137" s="7" t="n">
        <f aca="false">Sens!K10097/(Sens!K10048-Sens!K10004)</f>
        <v>0.0651531082402687</v>
      </c>
    </row>
    <row r="10138" customFormat="false" ht="17.15" hidden="false" customHeight="false" outlineLevel="0" collapsed="false">
      <c r="A10138" s="0" t="s">
        <v>949</v>
      </c>
      <c r="B10138" s="0" t="s">
        <v>95</v>
      </c>
      <c r="F10138" s="6" t="n">
        <f aca="false">Sens!F10033*(al_m365+Sens!F10137)</f>
        <v>80.4434678008041</v>
      </c>
      <c r="G10138" s="6" t="n">
        <f aca="false">Sens!G10033*(al_m365+Sens!G10137)</f>
        <v>94.1323272633269</v>
      </c>
      <c r="H10138" s="6" t="n">
        <f aca="false">Sens!H10033*(al_m365+Sens!H10137)</f>
        <v>107.983658528206</v>
      </c>
      <c r="I10138" s="6" t="n">
        <f aca="false">Sens!I10033*(al_m365+Sens!I10137)</f>
        <v>120.408335219477</v>
      </c>
      <c r="J10138" s="6" t="n">
        <f aca="false">Sens!J10033*(al_m365+Sens!J10137)</f>
        <v>131.229685027411</v>
      </c>
      <c r="K10138" s="6" t="n">
        <f aca="false">Sens!K10033*(al_m365+Sens!K10137)</f>
        <v>141.696231007978</v>
      </c>
    </row>
    <row r="10139" customFormat="false" ht="17.15" hidden="false" customHeight="false" outlineLevel="0" collapsed="false">
      <c r="A10139" s="0" t="s">
        <v>950</v>
      </c>
      <c r="B10139" s="0" t="s">
        <v>95</v>
      </c>
      <c r="F10139" s="6" t="n">
        <f aca="false">Sens!F10034*(al_lic+Sens!F10137)</f>
        <v>31.9678940661213</v>
      </c>
      <c r="G10139" s="6" t="n">
        <f aca="false">Sens!G10034*(al_lic+Sens!G10137)</f>
        <v>33.1937184472398</v>
      </c>
      <c r="H10139" s="6" t="n">
        <f aca="false">Sens!H10034*(al_lic+Sens!H10137)</f>
        <v>34.3439380840055</v>
      </c>
      <c r="I10139" s="6" t="n">
        <f aca="false">Sens!I10034*(al_lic+Sens!I10137)</f>
        <v>35.4022023072784</v>
      </c>
      <c r="J10139" s="6" t="n">
        <f aca="false">Sens!J10034*(al_lic+Sens!J10137)</f>
        <v>36.3410576398918</v>
      </c>
      <c r="K10139" s="6" t="n">
        <f aca="false">Sens!K10034*(al_lic+Sens!K10137)</f>
        <v>37.1276868757058</v>
      </c>
    </row>
    <row r="10140" customFormat="false" ht="17.15" hidden="false" customHeight="false" outlineLevel="0" collapsed="false">
      <c r="A10140" s="0" t="s">
        <v>951</v>
      </c>
      <c r="B10140" s="0" t="s">
        <v>95</v>
      </c>
      <c r="F10140" s="6" t="n">
        <f aca="false">Sens!F10036*(al_ind+Sens!F10137)</f>
        <v>8.23142235288747</v>
      </c>
      <c r="G10140" s="6" t="n">
        <f aca="false">Sens!G10036*(al_ind+Sens!G10137)</f>
        <v>8.92125445211874</v>
      </c>
      <c r="H10140" s="6" t="n">
        <f aca="false">Sens!H10036*(al_ind+Sens!H10137)</f>
        <v>9.65645689966252</v>
      </c>
      <c r="I10140" s="6" t="n">
        <f aca="false">Sens!I10036*(al_ind+Sens!I10137)</f>
        <v>10.4359305133559</v>
      </c>
      <c r="J10140" s="6" t="n">
        <f aca="false">Sens!J10036*(al_ind+Sens!J10137)</f>
        <v>11.2496615107155</v>
      </c>
      <c r="K10140" s="6" t="n">
        <f aca="false">Sens!K10036*(al_ind+Sens!K10137)</f>
        <v>12.0805802325565</v>
      </c>
    </row>
    <row r="10141" customFormat="false" ht="17.15" hidden="false" customHeight="false" outlineLevel="0" collapsed="false">
      <c r="A10141" s="0" t="s">
        <v>952</v>
      </c>
      <c r="B10141" s="0" t="s">
        <v>95</v>
      </c>
      <c r="F10141" s="6" t="n">
        <f aca="false">Sens!F10038*(al_fro+Sens!F10137)</f>
        <v>3.23991673698178</v>
      </c>
      <c r="G10141" s="6" t="n">
        <f aca="false">Sens!G10038*(al_fro+Sens!G10137)</f>
        <v>3.42523427012141</v>
      </c>
      <c r="H10141" s="6" t="n">
        <f aca="false">Sens!H10038*(al_fro+Sens!H10137)</f>
        <v>3.63888347669114</v>
      </c>
      <c r="I10141" s="6" t="n">
        <f aca="false">Sens!I10038*(al_fro+Sens!I10137)</f>
        <v>3.88382859986432</v>
      </c>
      <c r="J10141" s="6" t="n">
        <f aca="false">Sens!J10038*(al_fro+Sens!J10137)</f>
        <v>4.16055715035227</v>
      </c>
      <c r="K10141" s="6" t="n">
        <f aca="false">Sens!K10038*(al_fro+Sens!K10137)</f>
        <v>4.46786282583631</v>
      </c>
    </row>
    <row r="10142" customFormat="false" ht="17.15" hidden="false" customHeight="false" outlineLevel="0" collapsed="false">
      <c r="A10142" s="0" t="s">
        <v>953</v>
      </c>
      <c r="B10142" s="0" t="s">
        <v>95</v>
      </c>
      <c r="F10142" s="6" t="n">
        <f aca="false">Sens!F10041*(al_srch+Sens!F10137)</f>
        <v>10.1659255338338</v>
      </c>
      <c r="G10142" s="6" t="n">
        <f aca="false">Sens!G10041*(al_srch+Sens!G10137)</f>
        <v>11.1218361064416</v>
      </c>
      <c r="H10142" s="6" t="n">
        <f aca="false">Sens!H10041*(al_srch+Sens!H10137)</f>
        <v>12.1240320316325</v>
      </c>
      <c r="I10142" s="6" t="n">
        <f aca="false">Sens!I10041*(al_srch+Sens!I10137)</f>
        <v>13.1651647223307</v>
      </c>
      <c r="J10142" s="6" t="n">
        <f aca="false">Sens!J10041*(al_srch+Sens!J10137)</f>
        <v>14.2257207024961</v>
      </c>
      <c r="K10142" s="6" t="n">
        <f aca="false">Sens!K10041*(al_srch+Sens!K10137)</f>
        <v>15.2764561092572</v>
      </c>
    </row>
    <row r="10143" customFormat="false" ht="17.15" hidden="false" customHeight="false" outlineLevel="0" collapsed="false">
      <c r="A10143" s="0" t="s">
        <v>954</v>
      </c>
      <c r="B10143" s="0" t="s">
        <v>95</v>
      </c>
      <c r="F10143" s="6" t="n">
        <f aca="false">Sens!F10010</f>
        <v>43.1278534047371</v>
      </c>
      <c r="G10143" s="6" t="n">
        <f aca="false">Sens!G10010</f>
        <v>78.4713023799053</v>
      </c>
      <c r="H10143" s="6" t="n">
        <f aca="false">Sens!H10010</f>
        <v>120.169624261219</v>
      </c>
      <c r="I10143" s="6" t="n">
        <f aca="false">Sens!I10010</f>
        <v>156.086713969963</v>
      </c>
      <c r="J10143" s="6" t="n">
        <f aca="false">Sens!J10010</f>
        <v>192.09687492465</v>
      </c>
      <c r="K10143" s="6" t="n">
        <f aca="false">Sens!K10010</f>
        <v>228.161785217179</v>
      </c>
    </row>
    <row r="10144" customFormat="false" ht="17.15" hidden="false" customHeight="false" outlineLevel="0" collapsed="false">
      <c r="A10144" s="0" t="s">
        <v>955</v>
      </c>
      <c r="B10144" s="0" t="s">
        <v>95</v>
      </c>
      <c r="F10144" s="6" t="n">
        <f aca="false">Sens!F10070+Sens!F10021+Sens!F10137*(Sens!F10040-Sens!F10004)</f>
        <v>221.615039137812</v>
      </c>
      <c r="G10144" s="6" t="n">
        <f aca="false">Sens!G10070+Sens!G10021+Sens!G10137*(Sens!G10040-Sens!G10004)</f>
        <v>279.653101384692</v>
      </c>
      <c r="H10144" s="6" t="n">
        <f aca="false">Sens!H10070+Sens!H10021+Sens!H10137*(Sens!H10040-Sens!H10004)</f>
        <v>344.30342245118</v>
      </c>
      <c r="I10144" s="6" t="n">
        <f aca="false">Sens!I10070+Sens!I10021+Sens!I10137*(Sens!I10040-Sens!I10004)</f>
        <v>401.549104438899</v>
      </c>
      <c r="J10144" s="6" t="n">
        <f aca="false">Sens!J10070+Sens!J10021+Sens!J10137*(Sens!J10040-Sens!J10004)</f>
        <v>456.420332591929</v>
      </c>
      <c r="K10144" s="6" t="n">
        <f aca="false">Sens!K10070+Sens!K10021+Sens!K10137*(Sens!K10040-Sens!K10004)</f>
        <v>509.351233013874</v>
      </c>
    </row>
    <row r="10145" customFormat="false" ht="17.15" hidden="false" customHeight="false" outlineLevel="0" collapsed="false">
      <c r="A10145" s="0" t="s">
        <v>956</v>
      </c>
      <c r="B10145" s="0" t="s">
        <v>95</v>
      </c>
      <c r="F10145" s="6" t="n">
        <f aca="false">Sens!F10144-Sens!F10138-Sens!F10139-Sens!F10140-Sens!F10141-Sens!F10143</f>
        <v>54.6044847762807</v>
      </c>
      <c r="G10145" s="6" t="n">
        <f aca="false">Sens!G10144-Sens!G10138-Sens!G10139-Sens!G10140-Sens!G10141-Sens!G10143</f>
        <v>61.5092645719803</v>
      </c>
      <c r="H10145" s="6" t="n">
        <f aca="false">Sens!H10144-Sens!H10138-Sens!H10139-Sens!H10140-Sens!H10141-Sens!H10143</f>
        <v>68.5108612013958</v>
      </c>
      <c r="I10145" s="6" t="n">
        <f aca="false">Sens!I10144-Sens!I10138-Sens!I10139-Sens!I10140-Sens!I10141-Sens!I10143</f>
        <v>75.3320938289604</v>
      </c>
      <c r="J10145" s="6" t="n">
        <f aca="false">Sens!J10144-Sens!J10138-Sens!J10139-Sens!J10140-Sens!J10141-Sens!J10143</f>
        <v>81.3424963389083</v>
      </c>
      <c r="K10145" s="6" t="n">
        <f aca="false">Sens!K10144-Sens!K10138-Sens!K10139-Sens!K10140-Sens!K10141-Sens!K10143</f>
        <v>85.8170868546184</v>
      </c>
    </row>
    <row r="10146" customFormat="false" ht="17.15" hidden="false" customHeight="false" outlineLevel="0" collapsed="false">
      <c r="A10146" s="0" t="s">
        <v>957</v>
      </c>
      <c r="B10146" s="0" t="s">
        <v>95</v>
      </c>
      <c r="F10146" s="6" t="n">
        <f aca="false">Sens!F10072+Sens!F10137*Sens!F10047</f>
        <v>25.0394641176675</v>
      </c>
      <c r="G10146" s="6" t="n">
        <f aca="false">Sens!G10072+Sens!G10137*Sens!G10047</f>
        <v>25.5913074047535</v>
      </c>
      <c r="H10146" s="6" t="n">
        <f aca="false">Sens!H10072+Sens!H10137*Sens!H10047</f>
        <v>26.4106926860208</v>
      </c>
      <c r="I10146" s="6" t="n">
        <f aca="false">Sens!I10072+Sens!I10137*Sens!I10047</f>
        <v>27.4707260758137</v>
      </c>
      <c r="J10146" s="6" t="n">
        <f aca="false">Sens!J10072+Sens!J10137*Sens!J10047</f>
        <v>28.7332996758557</v>
      </c>
      <c r="K10146" s="6" t="n">
        <f aca="false">Sens!K10072+Sens!K10137*Sens!K10047</f>
        <v>30.1547667910696</v>
      </c>
    </row>
    <row r="10147" customFormat="false" ht="17.15" hidden="false" customHeight="false" outlineLevel="0" collapsed="false">
      <c r="A10147" s="0" t="s">
        <v>958</v>
      </c>
      <c r="B10147" s="0" t="s">
        <v>95</v>
      </c>
      <c r="F10147" s="6" t="n">
        <f aca="false">(Sens!F10146-Sens!F10142)*Sens!F10043/(Sens!F10043+Sens!F10045)</f>
        <v>8.1535289854909</v>
      </c>
      <c r="G10147" s="6" t="n">
        <f aca="false">(Sens!G10146-Sens!G10142)*Sens!G10043/(Sens!G10043+Sens!G10045)</f>
        <v>7.79059575935834</v>
      </c>
      <c r="H10147" s="6" t="n">
        <f aca="false">(Sens!H10146-Sens!H10142)*Sens!H10043/(Sens!H10043+Sens!H10045)</f>
        <v>7.58825924348461</v>
      </c>
      <c r="I10147" s="6" t="n">
        <f aca="false">(Sens!I10146-Sens!I10142)*Sens!I10043/(Sens!I10043+Sens!I10045)</f>
        <v>7.52954871775377</v>
      </c>
      <c r="J10147" s="6" t="n">
        <f aca="false">(Sens!J10146-Sens!J10142)*Sens!J10043/(Sens!J10043+Sens!J10045)</f>
        <v>7.60134894161878</v>
      </c>
      <c r="K10147" s="6" t="n">
        <f aca="false">(Sens!K10146-Sens!K10142)*Sens!K10043/(Sens!K10043+Sens!K10045)</f>
        <v>7.7955964507895</v>
      </c>
    </row>
    <row r="10148" customFormat="false" ht="17.15" hidden="false" customHeight="false" outlineLevel="0" collapsed="false">
      <c r="A10148" s="0" t="s">
        <v>959</v>
      </c>
      <c r="B10148" s="0" t="s">
        <v>95</v>
      </c>
      <c r="F10148" s="6" t="n">
        <f aca="false">Sens!F10146-Sens!F10142-Sens!F10147</f>
        <v>6.72000959834273</v>
      </c>
      <c r="G10148" s="6" t="n">
        <f aca="false">Sens!G10146-Sens!G10142-Sens!G10147</f>
        <v>6.67887553895359</v>
      </c>
      <c r="H10148" s="6" t="n">
        <f aca="false">Sens!H10146-Sens!H10142-Sens!H10147</f>
        <v>6.69840141090362</v>
      </c>
      <c r="I10148" s="6" t="n">
        <f aca="false">Sens!I10146-Sens!I10142-Sens!I10147</f>
        <v>6.77601263572926</v>
      </c>
      <c r="J10148" s="6" t="n">
        <f aca="false">Sens!J10146-Sens!J10142-Sens!J10147</f>
        <v>6.90623003174081</v>
      </c>
      <c r="K10148" s="6" t="n">
        <f aca="false">Sens!K10146-Sens!K10142-Sens!K10147</f>
        <v>7.08271423102295</v>
      </c>
    </row>
    <row r="10149" customFormat="false" ht="17.15" hidden="false" customHeight="false" outlineLevel="0" collapsed="false">
      <c r="A10149" s="1" t="s">
        <v>960</v>
      </c>
      <c r="B10149" s="0" t="s">
        <v>95</v>
      </c>
      <c r="C10149" s="6" t="n">
        <f aca="false">(w_ntm28*Sens!G10143+(1-w_ntm28)*Sens!H10143)*m_ai*1</f>
        <v>551.711134531404</v>
      </c>
    </row>
    <row r="10150" customFormat="false" ht="17.15" hidden="false" customHeight="false" outlineLevel="0" collapsed="false">
      <c r="A10150" s="1" t="s">
        <v>961</v>
      </c>
      <c r="B10150" s="0" t="s">
        <v>95</v>
      </c>
      <c r="C10150" s="6" t="n">
        <f aca="false">(w_ntm28*Sens!G10145+(1-w_ntm28)*Sens!H10145)*m_cloud*1</f>
        <v>881.340019177605</v>
      </c>
    </row>
    <row r="10151" customFormat="false" ht="17.15" hidden="false" customHeight="false" outlineLevel="0" collapsed="false">
      <c r="A10151" s="1" t="s">
        <v>962</v>
      </c>
      <c r="B10151" s="0" t="s">
        <v>95</v>
      </c>
      <c r="C10151" s="6" t="n">
        <f aca="false">(w_ntm28*Sens!G10138+(1-w_ntm28)*Sens!H10138)*m_sw*1</f>
        <v>1064.99115242739</v>
      </c>
    </row>
    <row r="10152" customFormat="false" ht="17.15" hidden="false" customHeight="false" outlineLevel="0" collapsed="false">
      <c r="A10152" s="1" t="s">
        <v>963</v>
      </c>
      <c r="B10152" s="0" t="s">
        <v>95</v>
      </c>
      <c r="C10152" s="6" t="n">
        <f aca="false">(w_ntm28*Sens!G10139+(1-w_ntm28)*Sens!H10139)*m_sw*1</f>
        <v>362.508158970174</v>
      </c>
    </row>
    <row r="10153" customFormat="false" ht="17.15" hidden="false" customHeight="false" outlineLevel="0" collapsed="false">
      <c r="A10153" s="1" t="s">
        <v>964</v>
      </c>
      <c r="B10153" s="0" t="s">
        <v>95</v>
      </c>
      <c r="C10153" s="6" t="n">
        <f aca="false">(w_ntm28*Sens!G10140+(1-w_ntm28)*Sens!H10140)*m_sw*1</f>
        <v>98.9165124641147</v>
      </c>
    </row>
    <row r="10154" customFormat="false" ht="17.15" hidden="false" customHeight="false" outlineLevel="0" collapsed="false">
      <c r="A10154" s="1" t="s">
        <v>965</v>
      </c>
      <c r="B10154" s="0" t="s">
        <v>95</v>
      </c>
      <c r="C10154" s="6" t="n">
        <f aca="false">(w_ntm28*Sens!G10141+(1-w_ntm28)*Sens!H10141)*m_sw*1</f>
        <v>37.7384877854002</v>
      </c>
    </row>
    <row r="10155" customFormat="false" ht="17.15" hidden="false" customHeight="false" outlineLevel="0" collapsed="false">
      <c r="A10155" s="1" t="s">
        <v>966</v>
      </c>
      <c r="B10155" s="0" t="s">
        <v>95</v>
      </c>
      <c r="C10155" s="6" t="n">
        <f aca="false">(w_ntm28*Sens!G10142+(1-w_ntm28)*Sens!H10142)*m_ads*1</f>
        <v>104.271544945195</v>
      </c>
    </row>
    <row r="10156" customFormat="false" ht="17.15" hidden="false" customHeight="false" outlineLevel="0" collapsed="false">
      <c r="A10156" s="1" t="s">
        <v>967</v>
      </c>
      <c r="B10156" s="0" t="s">
        <v>95</v>
      </c>
      <c r="C10156" s="6" t="n">
        <f aca="false">(w_ntm28*Sens!G10147+(1-w_ntm28)*Sens!H10147)*m_game*1</f>
        <v>97.5690595007855</v>
      </c>
    </row>
    <row r="10157" customFormat="false" ht="17.15" hidden="false" customHeight="false" outlineLevel="0" collapsed="false">
      <c r="A10157" s="1" t="s">
        <v>968</v>
      </c>
      <c r="B10157" s="0" t="s">
        <v>95</v>
      </c>
      <c r="C10157" s="6" t="n">
        <f aca="false">(w_ntm28*Sens!G10148+(1-w_ntm28)*Sens!H10148)*m_pc*1</f>
        <v>96.7346705426853</v>
      </c>
    </row>
    <row r="10158" customFormat="false" ht="17.15" hidden="false" customHeight="false" outlineLevel="0" collapsed="false">
      <c r="A10158" s="1" t="s">
        <v>969</v>
      </c>
      <c r="B10158" s="0" t="s">
        <v>95</v>
      </c>
      <c r="C10158" s="6" t="n">
        <f aca="false">Sens!$C$10149+Sens!$C$10150+Sens!$C$10151+Sens!$C$10152+Sens!$C$10153+Sens!$C$10154+Sens!$C$10155+Sens!$C$10156+Sens!$C$10157</f>
        <v>3295.78074034475</v>
      </c>
    </row>
    <row r="10159" customFormat="false" ht="17.15" hidden="false" customHeight="false" outlineLevel="0" collapsed="false">
      <c r="A10159" s="1" t="s">
        <v>903</v>
      </c>
      <c r="B10159" s="0" t="s">
        <v>95</v>
      </c>
      <c r="C10159" s="6" t="n">
        <f aca="false">Sens!F10116+oai_v-Sens!F10105</f>
        <v>120.613072689671</v>
      </c>
      <c r="L10159" s="1" t="s">
        <v>970</v>
      </c>
    </row>
    <row r="10160" customFormat="false" ht="15" hidden="false" customHeight="false" outlineLevel="0" collapsed="false">
      <c r="A10160" s="1" t="s">
        <v>904</v>
      </c>
      <c r="B10160" s="0" t="s">
        <v>73</v>
      </c>
      <c r="C10160" s="5" t="n">
        <f aca="false">(Sens!$C$10158+Sens!$C$10159)/Sens!F10118</f>
        <v>457.226152708033</v>
      </c>
    </row>
    <row r="10161" customFormat="false" ht="17.15" hidden="false" customHeight="false" outlineLevel="0" collapsed="false">
      <c r="A10161" s="1" t="s">
        <v>971</v>
      </c>
      <c r="B10161" s="0" t="s">
        <v>73</v>
      </c>
      <c r="C10161" s="5" t="n">
        <f aca="false">w_dcf*Sens!$C$10136+(1-w_dcf)*Sens!$C$10160</f>
        <v>377.665798343926</v>
      </c>
    </row>
    <row r="10162" customFormat="false" ht="17.15" hidden="false" customHeight="false" outlineLevel="0" collapsed="false">
      <c r="A10162" s="3" t="s">
        <v>1404</v>
      </c>
    </row>
    <row r="10163" customFormat="false" ht="15" hidden="false" customHeight="false" outlineLevel="0" collapsed="false">
      <c r="A10163" s="4" t="s">
        <v>43</v>
      </c>
      <c r="B10163" s="4" t="s">
        <v>63</v>
      </c>
      <c r="C10163" s="19" t="s">
        <v>710</v>
      </c>
      <c r="D10163" s="19" t="s">
        <v>711</v>
      </c>
      <c r="E10163" s="19" t="s">
        <v>712</v>
      </c>
      <c r="F10163" s="19" t="s">
        <v>713</v>
      </c>
      <c r="G10163" s="19" t="s">
        <v>714</v>
      </c>
      <c r="H10163" s="19" t="s">
        <v>715</v>
      </c>
      <c r="I10163" s="19" t="s">
        <v>716</v>
      </c>
      <c r="J10163" s="19" t="s">
        <v>717</v>
      </c>
      <c r="K10163" s="19" t="s">
        <v>718</v>
      </c>
      <c r="L10163" s="4" t="s">
        <v>47</v>
      </c>
    </row>
    <row r="10164" customFormat="false" ht="17.15" hidden="false" customHeight="false" outlineLevel="0" collapsed="false">
      <c r="A10164" s="1" t="s">
        <v>719</v>
      </c>
      <c r="B10164" s="0" t="s">
        <v>340</v>
      </c>
      <c r="C10164" s="27" t="n">
        <f aca="false">mw_ext_24</f>
        <v>640</v>
      </c>
      <c r="D10164" s="27" t="n">
        <f aca="false">mw_ext_25</f>
        <v>1630</v>
      </c>
      <c r="E10164" s="27" t="n">
        <f aca="false">mw_ext_26</f>
        <v>3250</v>
      </c>
      <c r="F10164" s="27" t="n">
        <f aca="false">MIN(1000000000,Sens!E10164+pace)</f>
        <v>5777.2</v>
      </c>
      <c r="G10164" s="27" t="n">
        <f aca="false">MIN(1000000000,Sens!F10164+pace)</f>
        <v>8304.4</v>
      </c>
      <c r="H10164" s="27" t="n">
        <f aca="false">MIN(1000000000,Sens!G10164+pace)</f>
        <v>10831.6</v>
      </c>
      <c r="I10164" s="27" t="n">
        <f aca="false">MIN(1000000000,Sens!H10164+pace)</f>
        <v>13358.8</v>
      </c>
      <c r="J10164" s="27" t="n">
        <f aca="false">MIN(1000000000,Sens!I10164+pace)</f>
        <v>15886</v>
      </c>
      <c r="K10164" s="27" t="n">
        <f aca="false">MIN(1000000000,Sens!J10164+pace)</f>
        <v>18413.2</v>
      </c>
      <c r="L10164" s="11" t="s">
        <v>720</v>
      </c>
    </row>
    <row r="10165" customFormat="false" ht="17.15" hidden="false" customHeight="false" outlineLevel="0" collapsed="false">
      <c r="A10165" s="1" t="s">
        <v>721</v>
      </c>
      <c r="B10165" s="0" t="s">
        <v>340</v>
      </c>
      <c r="C10165" s="27" t="n">
        <f aca="false">rent_ext_24</f>
        <v>150</v>
      </c>
      <c r="D10165" s="27" t="n">
        <f aca="false">rent_ext_25</f>
        <v>400</v>
      </c>
      <c r="E10165" s="27" t="n">
        <f aca="false">rent_ext_26</f>
        <v>550</v>
      </c>
      <c r="F10165" s="27" t="n">
        <f aca="false">rent_ext_f</f>
        <v>756</v>
      </c>
      <c r="G10165" s="27" t="n">
        <f aca="false">rent_ext_f</f>
        <v>756</v>
      </c>
      <c r="H10165" s="27" t="n">
        <f aca="false">rent_ext_f</f>
        <v>756</v>
      </c>
      <c r="I10165" s="27" t="n">
        <f aca="false">rent_ext_f</f>
        <v>756</v>
      </c>
      <c r="J10165" s="27" t="n">
        <f aca="false">rent_ext_f</f>
        <v>756</v>
      </c>
      <c r="K10165" s="27" t="n">
        <f aca="false">rent_ext_f</f>
        <v>756</v>
      </c>
      <c r="L10165" s="1" t="s">
        <v>722</v>
      </c>
    </row>
    <row r="10166" customFormat="false" ht="17.15" hidden="false" customHeight="false" outlineLevel="0" collapsed="false">
      <c r="A10166" s="1" t="s">
        <v>723</v>
      </c>
      <c r="B10166" s="0" t="s">
        <v>340</v>
      </c>
      <c r="C10166" s="27" t="n">
        <f aca="false">Sens!C10164-Sens!C10165</f>
        <v>490</v>
      </c>
      <c r="D10166" s="27" t="n">
        <f aca="false">Sens!D10164-Sens!D10165</f>
        <v>1230</v>
      </c>
      <c r="E10166" s="27" t="n">
        <f aca="false">Sens!E10164-Sens!E10165</f>
        <v>2700</v>
      </c>
      <c r="F10166" s="27" t="n">
        <f aca="false">Sens!F10164-Sens!F10165</f>
        <v>5021.2</v>
      </c>
      <c r="G10166" s="27" t="n">
        <f aca="false">Sens!G10164-Sens!G10165</f>
        <v>7548.4</v>
      </c>
      <c r="H10166" s="27" t="n">
        <f aca="false">Sens!H10164-Sens!H10165</f>
        <v>10075.6</v>
      </c>
      <c r="I10166" s="27" t="n">
        <f aca="false">Sens!I10164-Sens!I10165</f>
        <v>12602.8</v>
      </c>
      <c r="J10166" s="27" t="n">
        <f aca="false">Sens!J10164-Sens!J10165</f>
        <v>15130</v>
      </c>
      <c r="K10166" s="27" t="n">
        <f aca="false">Sens!K10164-Sens!K10165</f>
        <v>17657.2</v>
      </c>
    </row>
    <row r="10167" customFormat="false" ht="17.15" hidden="false" customHeight="false" outlineLevel="0" collapsed="false">
      <c r="A10167" s="1" t="s">
        <v>724</v>
      </c>
      <c r="B10167" s="0" t="s">
        <v>340</v>
      </c>
      <c r="C10167" s="27" t="n">
        <f aca="false">Sens!C10166/ext_sh</f>
        <v>816.666666666667</v>
      </c>
      <c r="D10167" s="27" t="n">
        <f aca="false">Sens!D10166/ext_sh</f>
        <v>2050</v>
      </c>
      <c r="E10167" s="27" t="n">
        <f aca="false">Sens!E10166/ext_sh</f>
        <v>4500</v>
      </c>
      <c r="F10167" s="27" t="n">
        <f aca="false">Sens!F10166/ext_sh</f>
        <v>8368.66666666667</v>
      </c>
      <c r="G10167" s="27" t="n">
        <f aca="false">Sens!G10166/ext_sh</f>
        <v>12580.6666666667</v>
      </c>
      <c r="H10167" s="27" t="n">
        <f aca="false">Sens!H10166/ext_sh</f>
        <v>16792.6666666667</v>
      </c>
      <c r="I10167" s="27" t="n">
        <f aca="false">Sens!I10166/ext_sh</f>
        <v>21004.6666666667</v>
      </c>
      <c r="J10167" s="27" t="n">
        <f aca="false">Sens!J10166/ext_sh</f>
        <v>25216.6666666667</v>
      </c>
      <c r="K10167" s="27" t="n">
        <f aca="false">Sens!K10166/ext_sh</f>
        <v>29428.6666666667</v>
      </c>
      <c r="L10167" s="1" t="s">
        <v>725</v>
      </c>
    </row>
    <row r="10168" customFormat="false" ht="17.15" hidden="false" customHeight="false" outlineLevel="0" collapsed="false">
      <c r="A10168" s="1" t="s">
        <v>726</v>
      </c>
      <c r="B10168" s="0" t="s">
        <v>340</v>
      </c>
      <c r="C10168" s="27" t="n">
        <f aca="false">Sens!C10167-Sens!C10166</f>
        <v>326.666666666667</v>
      </c>
      <c r="D10168" s="27" t="n">
        <f aca="false">Sens!D10167-Sens!D10166</f>
        <v>820</v>
      </c>
      <c r="E10168" s="27" t="n">
        <f aca="false">Sens!E10167-Sens!E10166</f>
        <v>1800</v>
      </c>
      <c r="F10168" s="27" t="n">
        <f aca="false">Sens!F10167-Sens!F10166</f>
        <v>3347.46666666667</v>
      </c>
      <c r="G10168" s="27" t="n">
        <f aca="false">Sens!G10167-Sens!G10166</f>
        <v>5032.26666666667</v>
      </c>
      <c r="H10168" s="27" t="n">
        <f aca="false">Sens!H10167-Sens!H10166</f>
        <v>6717.06666666667</v>
      </c>
      <c r="I10168" s="27" t="n">
        <f aca="false">Sens!I10167-Sens!I10166</f>
        <v>8401.86666666667</v>
      </c>
      <c r="J10168" s="27" t="n">
        <f aca="false">Sens!J10167-Sens!J10166</f>
        <v>10086.6666666667</v>
      </c>
      <c r="K10168" s="27" t="n">
        <f aca="false">Sens!K10167-Sens!K10166</f>
        <v>11771.4666666667</v>
      </c>
    </row>
    <row r="10169" customFormat="false" ht="17.15" hidden="false" customHeight="false" outlineLevel="0" collapsed="false">
      <c r="A10169" s="1" t="s">
        <v>727</v>
      </c>
      <c r="B10169" s="0" t="s">
        <v>340</v>
      </c>
      <c r="C10169" s="27" t="n">
        <f aca="false">Sens!C10167</f>
        <v>816.666666666667</v>
      </c>
      <c r="D10169" s="27" t="n">
        <f aca="false">Sens!D10167-Sens!C10167</f>
        <v>1233.33333333333</v>
      </c>
      <c r="E10169" s="27" t="n">
        <f aca="false">Sens!E10167-Sens!D10167</f>
        <v>2450</v>
      </c>
      <c r="F10169" s="27" t="n">
        <f aca="false">Sens!F10167-Sens!E10167</f>
        <v>3868.66666666667</v>
      </c>
      <c r="G10169" s="27" t="n">
        <f aca="false">Sens!G10167-Sens!F10167</f>
        <v>4212</v>
      </c>
      <c r="H10169" s="27" t="n">
        <f aca="false">Sens!H10167-Sens!G10167</f>
        <v>4212</v>
      </c>
      <c r="I10169" s="27" t="n">
        <f aca="false">Sens!I10167-Sens!H10167</f>
        <v>4212</v>
      </c>
      <c r="J10169" s="27" t="n">
        <f aca="false">Sens!J10167-Sens!I10167</f>
        <v>4212</v>
      </c>
      <c r="K10169" s="27" t="n">
        <f aca="false">Sens!K10167-Sens!J10167</f>
        <v>4212</v>
      </c>
    </row>
    <row r="10170" customFormat="false" ht="17.15" hidden="false" customHeight="false" outlineLevel="0" collapsed="false">
      <c r="A10170" s="1" t="s">
        <v>728</v>
      </c>
      <c r="B10170" s="0" t="s">
        <v>340</v>
      </c>
      <c r="D10170" s="27" t="n">
        <f aca="false">Sens!D10164-Sens!C10164</f>
        <v>990</v>
      </c>
      <c r="E10170" s="27" t="n">
        <f aca="false">Sens!E10164-Sens!D10164</f>
        <v>1620</v>
      </c>
      <c r="F10170" s="27" t="n">
        <f aca="false">Sens!F10164-Sens!E10164</f>
        <v>2527.2</v>
      </c>
      <c r="G10170" s="27" t="n">
        <f aca="false">Sens!G10164-Sens!F10164</f>
        <v>2527.2</v>
      </c>
      <c r="H10170" s="27" t="n">
        <f aca="false">Sens!H10164-Sens!G10164</f>
        <v>2527.2</v>
      </c>
      <c r="I10170" s="27" t="n">
        <f aca="false">Sens!I10164-Sens!H10164</f>
        <v>2527.2</v>
      </c>
      <c r="J10170" s="27" t="n">
        <f aca="false">Sens!J10164-Sens!I10164</f>
        <v>2527.2</v>
      </c>
      <c r="K10170" s="27" t="n">
        <f aca="false">Sens!K10164-Sens!J10164</f>
        <v>2527.2</v>
      </c>
    </row>
    <row r="10171" customFormat="false" ht="17.15" hidden="false" customHeight="false" outlineLevel="0" collapsed="false">
      <c r="A10171" s="1" t="s">
        <v>729</v>
      </c>
      <c r="B10171" s="0" t="s">
        <v>340</v>
      </c>
      <c r="C10171" s="27" t="n">
        <f aca="false">mix_h*Sens!C10164</f>
        <v>128</v>
      </c>
      <c r="D10171" s="27" t="n">
        <f aca="false">mix_h*Sens!D10164</f>
        <v>326</v>
      </c>
      <c r="E10171" s="27" t="n">
        <f aca="false">mix_h*Sens!E10164</f>
        <v>650</v>
      </c>
      <c r="F10171" s="27" t="n">
        <f aca="false">Sens!E10171</f>
        <v>650</v>
      </c>
      <c r="G10171" s="27" t="n">
        <f aca="false">Sens!F10171</f>
        <v>650</v>
      </c>
      <c r="H10171" s="27" t="n">
        <f aca="false">Sens!G10171</f>
        <v>650</v>
      </c>
      <c r="I10171" s="27" t="n">
        <f aca="false">Sens!H10171</f>
        <v>650</v>
      </c>
      <c r="J10171" s="27" t="n">
        <f aca="false">Sens!I10171</f>
        <v>650</v>
      </c>
      <c r="K10171" s="27" t="n">
        <f aca="false">Sens!J10171</f>
        <v>650</v>
      </c>
    </row>
    <row r="10172" customFormat="false" ht="17.15" hidden="false" customHeight="false" outlineLevel="0" collapsed="false">
      <c r="A10172" s="1" t="s">
        <v>730</v>
      </c>
      <c r="B10172" s="0" t="s">
        <v>340</v>
      </c>
      <c r="C10172" s="27" t="n">
        <f aca="false">mix_g2*Sens!C10164</f>
        <v>288</v>
      </c>
      <c r="D10172" s="27" t="n">
        <f aca="false">mix_g2*Sens!D10164</f>
        <v>733.5</v>
      </c>
      <c r="E10172" s="27" t="n">
        <f aca="false">mix_g2*Sens!E10164</f>
        <v>1462.5</v>
      </c>
      <c r="F10172" s="27" t="n">
        <f aca="false">Sens!E10172</f>
        <v>1462.5</v>
      </c>
      <c r="G10172" s="27" t="n">
        <f aca="false">Sens!F10172</f>
        <v>1462.5</v>
      </c>
      <c r="H10172" s="27" t="n">
        <f aca="false">Sens!G10172</f>
        <v>1462.5</v>
      </c>
      <c r="I10172" s="27" t="n">
        <f aca="false">Sens!H10172</f>
        <v>1462.5</v>
      </c>
      <c r="J10172" s="27" t="n">
        <f aca="false">Sens!I10172</f>
        <v>1462.5</v>
      </c>
      <c r="K10172" s="27" t="n">
        <f aca="false">Sens!J10172</f>
        <v>1462.5</v>
      </c>
    </row>
    <row r="10173" customFormat="false" ht="17.15" hidden="false" customHeight="false" outlineLevel="0" collapsed="false">
      <c r="A10173" s="1" t="s">
        <v>731</v>
      </c>
      <c r="B10173" s="0" t="s">
        <v>340</v>
      </c>
      <c r="C10173" s="27" t="n">
        <f aca="false">mix_g3*Sens!C10164</f>
        <v>224</v>
      </c>
      <c r="D10173" s="27" t="n">
        <f aca="false">mix_g3*Sens!D10164</f>
        <v>570.5</v>
      </c>
      <c r="E10173" s="27" t="n">
        <f aca="false">mix_g3*Sens!E10164</f>
        <v>1137.5</v>
      </c>
      <c r="F10173" s="27" t="n">
        <f aca="false">Sens!E10173+Sens!F10170*a_g3_27</f>
        <v>2906.54</v>
      </c>
      <c r="G10173" s="27" t="n">
        <f aca="false">Sens!F10173+Sens!G10170*a_g3_28</f>
        <v>3664.7</v>
      </c>
      <c r="H10173" s="27" t="n">
        <f aca="false">Sens!G10173+Sens!H10170*a_g3_29</f>
        <v>3917.42</v>
      </c>
      <c r="I10173" s="27" t="n">
        <f aca="false">Sens!H10173+Sens!I10170*a_g3_29</f>
        <v>4170.14</v>
      </c>
      <c r="J10173" s="27" t="n">
        <f aca="false">Sens!I10173+Sens!J10170*a_g3_29</f>
        <v>4422.86</v>
      </c>
      <c r="K10173" s="27" t="n">
        <f aca="false">Sens!J10173+Sens!K10170*a_g3_29</f>
        <v>4675.58</v>
      </c>
    </row>
    <row r="10174" customFormat="false" ht="17.15" hidden="false" customHeight="false" outlineLevel="0" collapsed="false">
      <c r="A10174" s="1" t="s">
        <v>732</v>
      </c>
      <c r="B10174" s="0" t="s">
        <v>340</v>
      </c>
      <c r="C10174" s="27" t="n">
        <f aca="false">0</f>
        <v>0</v>
      </c>
      <c r="D10174" s="27" t="n">
        <f aca="false">0</f>
        <v>0</v>
      </c>
      <c r="E10174" s="27" t="n">
        <f aca="false">0</f>
        <v>0</v>
      </c>
      <c r="F10174" s="27" t="n">
        <f aca="false">Sens!E10174+Sens!F10170*(1-a_g3_27)</f>
        <v>758.16</v>
      </c>
      <c r="G10174" s="27" t="n">
        <f aca="false">Sens!F10174+Sens!G10170*(1-a_g3_28)</f>
        <v>2527.2</v>
      </c>
      <c r="H10174" s="27" t="n">
        <f aca="false">Sens!G10174+Sens!H10170*(1-a_g3_29)</f>
        <v>4801.68</v>
      </c>
      <c r="I10174" s="27" t="n">
        <f aca="false">Sens!H10174+Sens!I10170*(1-a_g3_29)</f>
        <v>7076.16</v>
      </c>
      <c r="J10174" s="27" t="n">
        <f aca="false">Sens!I10174+Sens!J10170*(1-a_g3_29)</f>
        <v>9350.64</v>
      </c>
      <c r="K10174" s="27" t="n">
        <f aca="false">Sens!J10174+Sens!K10170*(1-a_g3_29)</f>
        <v>11625.12</v>
      </c>
    </row>
    <row r="10175" customFormat="false" ht="17.15" hidden="false" customHeight="false" outlineLevel="0" collapsed="false">
      <c r="A10175" s="1" t="s">
        <v>733</v>
      </c>
      <c r="B10175" s="0" t="s">
        <v>291</v>
      </c>
      <c r="C10175" s="18" t="n">
        <f aca="false">(Sens!C10171*tk_hold_h100+Sens!C10172*tk_hold_gb200+Sens!C10173*tk_hold_gb300+Sens!C10174*tk_hold_vr200)/Sens!C10164</f>
        <v>9.7235358126469</v>
      </c>
      <c r="D10175" s="18" t="n">
        <f aca="false">(Sens!D10171*tk_hold_h100+Sens!D10172*tk_hold_gb200+Sens!D10173*tk_hold_gb300+Sens!D10174*tk_hold_vr200)/Sens!D10164</f>
        <v>9.7235358126469</v>
      </c>
      <c r="E10175" s="18" t="n">
        <f aca="false">(Sens!E10171*tk_hold_h100+Sens!E10172*tk_hold_gb200+Sens!E10173*tk_hold_gb300+Sens!E10174*tk_hold_vr200)/Sens!E10164</f>
        <v>9.7235358126469</v>
      </c>
      <c r="F10175" s="18" t="n">
        <f aca="false">(Sens!F10171*tk_hold_h100+Sens!F10172*tk_hold_gb200+Sens!F10173*tk_hold_gb300+Sens!F10174*tk_hold_vr200)/Sens!F10164</f>
        <v>10.4079573161931</v>
      </c>
      <c r="G10175" s="18" t="n">
        <f aca="false">(Sens!G10171*tk_hold_h100+Sens!G10172*tk_hold_gb200+Sens!G10173*tk_hold_gb300+Sens!G10174*tk_hold_vr200)/Sens!G10164</f>
        <v>10.8388131109316</v>
      </c>
      <c r="H10175" s="18" t="n">
        <f aca="false">(Sens!H10171*tk_hold_h100+Sens!H10172*tk_hold_gb200+Sens!H10173*tk_hold_gb300+Sens!H10174*tk_hold_vr200)/Sens!H10164</f>
        <v>11.1311018388216</v>
      </c>
      <c r="I10175" s="18" t="n">
        <f aca="false">(Sens!I10171*tk_hold_h100+Sens!I10172*tk_hold_gb200+Sens!I10173*tk_hold_gb300+Sens!I10174*tk_hold_vr200)/Sens!I10164</f>
        <v>11.3128009818501</v>
      </c>
      <c r="J10175" s="18" t="n">
        <f aca="false">(Sens!J10171*tk_hold_h100+Sens!J10172*tk_hold_gb200+Sens!J10173*tk_hold_gb300+Sens!J10174*tk_hold_vr200)/Sens!J10164</f>
        <v>11.4366894646418</v>
      </c>
      <c r="K10175" s="18" t="n">
        <f aca="false">(Sens!K10171*tk_hold_h100+Sens!K10172*tk_hold_gb200+Sens!K10173*tk_hold_gb300+Sens!K10174*tk_hold_vr200)/Sens!K10164</f>
        <v>11.526570716348</v>
      </c>
    </row>
    <row r="10176" customFormat="false" ht="17.15" hidden="false" customHeight="false" outlineLevel="0" collapsed="false">
      <c r="A10176" s="0" t="s">
        <v>734</v>
      </c>
      <c r="B10176" s="0" t="s">
        <v>182</v>
      </c>
      <c r="C10176" s="18" t="n">
        <f aca="false">k_B</f>
        <v>1.17213932619116</v>
      </c>
      <c r="D10176" s="18" t="n">
        <f aca="false">k_B</f>
        <v>1.17213932619116</v>
      </c>
      <c r="E10176" s="18" t="n">
        <f aca="false">k_B</f>
        <v>1.17213932619116</v>
      </c>
      <c r="F10176" s="18" t="n">
        <f aca="false">(k_B+((ls_B*k_long+(1-ls_B)*k_spot)-k_B)*MIN(1,1/3))*1</f>
        <v>1.17213932619116</v>
      </c>
      <c r="G10176" s="18" t="n">
        <f aca="false">(k_B+((ls_B*k_long+(1-ls_B)*k_spot)-k_B)*MIN(1,2/3))*1</f>
        <v>1.17213932619116</v>
      </c>
      <c r="H10176" s="18" t="n">
        <f aca="false">(k_B+((ls_B*k_long+(1-ls_B)*k_spot)-k_B)*MIN(1,3/3))*1</f>
        <v>1.17213932619116</v>
      </c>
      <c r="I10176" s="18" t="n">
        <f aca="false">(k_B+((ls_B*k_long+(1-ls_B)*k_spot)-k_B)*MIN(1,4/3))*1</f>
        <v>1.17213932619116</v>
      </c>
      <c r="J10176" s="18" t="n">
        <f aca="false">(k_B+((ls_B*k_long+(1-ls_B)*k_spot)-k_B)*MIN(1,5/3))*1</f>
        <v>1.17213932619116</v>
      </c>
      <c r="K10176" s="18" t="n">
        <f aca="false">(k_B+((ls_B*k_long+(1-ls_B)*k_spot)-k_B)*MIN(1,6/3))*1</f>
        <v>1.17213932619116</v>
      </c>
      <c r="L10176" s="1" t="s">
        <v>735</v>
      </c>
    </row>
    <row r="10177" customFormat="false" ht="17.15" hidden="false" customHeight="false" outlineLevel="0" collapsed="false">
      <c r="A10177" s="1" t="s">
        <v>736</v>
      </c>
      <c r="B10177" s="0" t="s">
        <v>291</v>
      </c>
      <c r="C10177" s="18" t="n">
        <f aca="false">Sens!C10175*Sens!C10176*chip_f</f>
        <v>11.3973387156315</v>
      </c>
      <c r="D10177" s="18" t="n">
        <f aca="false">Sens!D10175*Sens!D10176*chip_f</f>
        <v>11.3973387156315</v>
      </c>
      <c r="E10177" s="18" t="n">
        <f aca="false">Sens!E10175*Sens!E10176*chip_f</f>
        <v>11.3973387156315</v>
      </c>
      <c r="F10177" s="18" t="n">
        <f aca="false">Sens!F10175*Sens!F10176*chip_f</f>
        <v>12.1995760756289</v>
      </c>
      <c r="G10177" s="18" t="n">
        <f aca="false">Sens!G10175*Sens!G10176*chip_f</f>
        <v>12.7045990965592</v>
      </c>
      <c r="H10177" s="18" t="n">
        <f aca="false">Sens!H10175*Sens!H10176*chip_f</f>
        <v>13.0472022091214</v>
      </c>
      <c r="I10177" s="18" t="n">
        <f aca="false">Sens!I10175*Sens!I10176*chip_f</f>
        <v>13.2601789202004</v>
      </c>
      <c r="J10177" s="18" t="n">
        <f aca="false">Sens!J10175*Sens!J10176*chip_f</f>
        <v>13.4053934829427</v>
      </c>
      <c r="K10177" s="18" t="n">
        <f aca="false">Sens!K10175*Sens!K10176*chip_f</f>
        <v>13.5107468327548</v>
      </c>
      <c r="L10177" s="1" t="s">
        <v>737</v>
      </c>
    </row>
    <row r="10178" customFormat="false" ht="17.15" hidden="false" customHeight="false" outlineLevel="0" collapsed="false">
      <c r="A10178" s="0" t="s">
        <v>738</v>
      </c>
      <c r="B10178" s="0" t="s">
        <v>95</v>
      </c>
      <c r="D10178" s="6" t="n">
        <f aca="false">(Sens!C10164+Sens!D10164)/2*Sens!D10177/1000</f>
        <v>12.9359794422418</v>
      </c>
      <c r="E10178" s="6" t="n">
        <f aca="false">(Sens!D10164+Sens!E10164)/2*Sens!E10177/1000</f>
        <v>27.8095064661409</v>
      </c>
      <c r="F10178" s="6" t="n">
        <f aca="false">(Sens!E10164+Sens!F10164)/2*Sens!F10177/1000</f>
        <v>55.0640065749585</v>
      </c>
      <c r="G10178" s="6" t="n">
        <f aca="false">(Sens!F10164+Sens!G10164)/2*Sens!G10177/1000</f>
        <v>89.4505413190538</v>
      </c>
      <c r="H10178" s="6" t="n">
        <f aca="false">(Sens!G10164+Sens!H10164)/2*Sens!H10177/1000</f>
        <v>124.835630736874</v>
      </c>
      <c r="I10178" s="6" t="n">
        <f aca="false">(Sens!H10164+Sens!I10164)/2*Sens!I10177/1000</f>
        <v>160.384516075608</v>
      </c>
      <c r="J10178" s="6" t="n">
        <f aca="false">(Sens!I10164+Sens!J10164)/2*Sens!J10177/1000</f>
        <v>196.019025664981</v>
      </c>
      <c r="K10178" s="6" t="n">
        <f aca="false">(Sens!J10164+Sens!K10164)/2*Sens!K10177/1000</f>
        <v>231.703903883012</v>
      </c>
      <c r="L10178" s="11" t="s">
        <v>739</v>
      </c>
    </row>
    <row r="10179" customFormat="false" ht="17.15" hidden="false" customHeight="false" outlineLevel="0" collapsed="false">
      <c r="A10179" s="1" t="s">
        <v>740</v>
      </c>
      <c r="B10179" s="0" t="s">
        <v>291</v>
      </c>
      <c r="C10179" s="18" t="n">
        <f aca="false">(Sens!C10171*tk_opex_h100+Sens!C10172*tk_opex_gb200+Sens!C10173*tk_opex_gb300+Sens!C10174*tk_opex_vr200)/Sens!C10164</f>
        <v>1.88636041306092</v>
      </c>
      <c r="D10179" s="18" t="n">
        <f aca="false">(Sens!D10171*tk_opex_h100+Sens!D10172*tk_opex_gb200+Sens!D10173*tk_opex_gb300+Sens!D10174*tk_opex_vr200)/Sens!D10164</f>
        <v>1.88636041306092</v>
      </c>
      <c r="E10179" s="18" t="n">
        <f aca="false">(Sens!E10171*tk_opex_h100+Sens!E10172*tk_opex_gb200+Sens!E10173*tk_opex_gb300+Sens!E10174*tk_opex_vr200)/Sens!E10164</f>
        <v>1.88636041306092</v>
      </c>
      <c r="F10179" s="18" t="n">
        <f aca="false">(Sens!F10171*tk_opex_h100+Sens!F10172*tk_opex_gb200+Sens!F10173*tk_opex_gb300+Sens!F10174*tk_opex_vr200)/Sens!F10164</f>
        <v>1.9430236476499</v>
      </c>
      <c r="G10179" s="18" t="n">
        <f aca="false">(Sens!G10171*tk_opex_h100+Sens!G10172*tk_opex_gb200+Sens!G10173*tk_opex_gb300+Sens!G10174*tk_opex_vr200)/Sens!G10164</f>
        <v>1.9786941852423</v>
      </c>
      <c r="H10179" s="18" t="n">
        <f aca="false">(Sens!H10171*tk_opex_h100+Sens!H10172*tk_opex_gb200+Sens!H10173*tk_opex_gb300+Sens!H10174*tk_opex_vr200)/Sens!H10164</f>
        <v>2.00289275976156</v>
      </c>
      <c r="I10179" s="18" t="n">
        <f aca="false">(Sens!I10171*tk_opex_h100+Sens!I10172*tk_opex_gb200+Sens!I10173*tk_opex_gb300+Sens!I10174*tk_opex_vr200)/Sens!I10164</f>
        <v>2.01793562605478</v>
      </c>
      <c r="J10179" s="18" t="n">
        <f aca="false">(Sens!J10171*tk_opex_h100+Sens!J10172*tk_opex_gb200+Sens!J10173*tk_opex_gb300+Sens!J10174*tk_opex_vr200)/Sens!J10164</f>
        <v>2.02819234961902</v>
      </c>
      <c r="K10179" s="18" t="n">
        <f aca="false">(Sens!K10171*tk_opex_h100+Sens!K10172*tk_opex_gb200+Sens!K10173*tk_opex_gb300+Sens!K10174*tk_opex_vr200)/Sens!K10164</f>
        <v>2.0356336155994</v>
      </c>
    </row>
    <row r="10180" customFormat="false" ht="17.15" hidden="false" customHeight="false" outlineLevel="0" collapsed="false">
      <c r="A10180" s="0" t="s">
        <v>741</v>
      </c>
      <c r="B10180" s="0" t="s">
        <v>95</v>
      </c>
      <c r="D10180" s="6" t="n">
        <f aca="false">(Sens!C10167+Sens!D10167)/2*Sens!D10179/1000</f>
        <v>2.70378325872065</v>
      </c>
      <c r="E10180" s="6" t="n">
        <f aca="false">(Sens!D10167+Sens!E10167)/2*Sens!E10179/1000</f>
        <v>6.17783035277451</v>
      </c>
      <c r="F10180" s="6" t="n">
        <f aca="false">(Sens!E10167+Sens!F10167)/2*Sens!F10179/1000</f>
        <v>12.5020618235287</v>
      </c>
      <c r="G10180" s="6" t="n">
        <f aca="false">(Sens!F10167+Sens!G10167)/2*Sens!G10179/1000</f>
        <v>20.7261620256847</v>
      </c>
      <c r="H10180" s="6" t="n">
        <f aca="false">(Sens!G10167+Sens!H10167)/2*Sens!H10179/1000</f>
        <v>29.4158183316982</v>
      </c>
      <c r="I10180" s="6" t="n">
        <f aca="false">(Sens!H10167+Sens!I10167)/2*Sens!I10179/1000</f>
        <v>38.1362927516005</v>
      </c>
      <c r="J10180" s="6" t="n">
        <f aca="false">(Sens!I10167+Sens!J10167)/2*Sens!J10179/1000</f>
        <v>46.8728773279286</v>
      </c>
      <c r="K10180" s="6" t="n">
        <f aca="false">(Sens!J10167+Sens!K10167)/2*Sens!K10179/1000</f>
        <v>55.618938734484</v>
      </c>
    </row>
    <row r="10181" customFormat="false" ht="17.15" hidden="false" customHeight="false" outlineLevel="0" collapsed="false">
      <c r="A10181" s="0" t="s">
        <v>742</v>
      </c>
      <c r="B10181" s="0" t="s">
        <v>95</v>
      </c>
      <c r="D10181" s="6" t="n">
        <f aca="false">(Sens!C10165+Sens!D10165)/2*rent_mw/1000</f>
        <v>2.44475</v>
      </c>
      <c r="E10181" s="6" t="n">
        <f aca="false">(Sens!D10165+Sens!E10165)/2*rent_mw/1000</f>
        <v>4.22275</v>
      </c>
      <c r="F10181" s="6" t="n">
        <f aca="false">(Sens!E10165+Sens!F10165)/2*rent_mw/1000</f>
        <v>5.80517</v>
      </c>
      <c r="G10181" s="6" t="n">
        <f aca="false">(Sens!F10165+Sens!G10165)/2*rent_mw/1000</f>
        <v>6.72084</v>
      </c>
      <c r="H10181" s="6" t="n">
        <f aca="false">(Sens!G10165+Sens!H10165)/2*rent_mw/1000</f>
        <v>6.72084</v>
      </c>
      <c r="I10181" s="6" t="n">
        <f aca="false">(Sens!H10165+Sens!I10165)/2*rent_mw/1000</f>
        <v>6.72084</v>
      </c>
      <c r="J10181" s="6" t="n">
        <f aca="false">(Sens!I10165+Sens!J10165)/2*rent_mw/1000</f>
        <v>6.72084</v>
      </c>
      <c r="K10181" s="6" t="n">
        <f aca="false">(Sens!J10165+Sens!K10165)/2*rent_mw/1000</f>
        <v>6.72084</v>
      </c>
    </row>
    <row r="10182" customFormat="false" ht="17.15" hidden="false" customHeight="false" outlineLevel="0" collapsed="false">
      <c r="A10182" s="0" t="s">
        <v>743</v>
      </c>
      <c r="B10182" s="0" t="s">
        <v>95</v>
      </c>
      <c r="D10182" s="6" t="n">
        <f aca="false">(Sens!C10167+Sens!D10167)/2*(1-self_build)*fac_rent/1000</f>
        <v>0.853242375631075</v>
      </c>
      <c r="E10182" s="6" t="n">
        <f aca="false">(Sens!D10167+Sens!E10167)/2*(1-self_build)*fac_rent/1000</f>
        <v>1.94955961408728</v>
      </c>
      <c r="F10182" s="6" t="n">
        <f aca="false">(Sens!E10167+Sens!F10167)/2*(1-self_build)*fac_rent/1000</f>
        <v>3.83026455274573</v>
      </c>
      <c r="G10182" s="6" t="n">
        <f aca="false">(Sens!F10167+Sens!G10167)/2*(1-self_build)*fac_rent/1000</f>
        <v>6.23541590972812</v>
      </c>
      <c r="H10182" s="6" t="n">
        <f aca="false">(Sens!G10167+Sens!H10167)/2*(1-self_build)*fac_rent/1000</f>
        <v>8.74275792332679</v>
      </c>
      <c r="I10182" s="6" t="n">
        <f aca="false">(Sens!H10167+Sens!I10167)/2*(1-self_build)*fac_rent/1000</f>
        <v>11.2500999369255</v>
      </c>
      <c r="J10182" s="6" t="n">
        <f aca="false">(Sens!I10167+Sens!J10167)/2*(1-self_build)*fac_rent/1000</f>
        <v>13.7574419505241</v>
      </c>
      <c r="K10182" s="6" t="n">
        <f aca="false">(Sens!J10167+Sens!K10167)/2*(1-self_build)*fac_rent/1000</f>
        <v>16.2647839641228</v>
      </c>
      <c r="L10182" s="11" t="s">
        <v>744</v>
      </c>
    </row>
    <row r="10183" customFormat="false" ht="17.15" hidden="false" customHeight="false" outlineLevel="0" collapsed="false">
      <c r="A10183" s="1" t="s">
        <v>745</v>
      </c>
      <c r="B10183" s="0" t="s">
        <v>126</v>
      </c>
      <c r="D10183" s="7" t="n">
        <f aca="false">(Sens!C10166+Sens!D10166)/(Sens!C10167+Sens!D10167)</f>
        <v>0.6</v>
      </c>
      <c r="E10183" s="7" t="n">
        <f aca="false">(Sens!D10166+Sens!E10166)/(Sens!D10167+Sens!E10167)</f>
        <v>0.6</v>
      </c>
      <c r="F10183" s="7" t="n">
        <f aca="false">(Sens!E10166+Sens!F10166)/(Sens!E10167+Sens!F10167)</f>
        <v>0.6</v>
      </c>
      <c r="G10183" s="7" t="n">
        <f aca="false">(Sens!F10166+Sens!G10166)/(Sens!F10167+Sens!G10167)</f>
        <v>0.6</v>
      </c>
      <c r="H10183" s="7" t="n">
        <f aca="false">(Sens!G10166+Sens!H10166)/(Sens!G10167+Sens!H10167)</f>
        <v>0.6</v>
      </c>
      <c r="I10183" s="7" t="n">
        <f aca="false">(Sens!H10166+Sens!I10166)/(Sens!H10167+Sens!I10167)</f>
        <v>0.6</v>
      </c>
      <c r="J10183" s="7" t="n">
        <f aca="false">(Sens!I10166+Sens!J10166)/(Sens!I10167+Sens!J10167)</f>
        <v>0.6</v>
      </c>
      <c r="K10183" s="7" t="n">
        <f aca="false">(Sens!J10166+Sens!K10166)/(Sens!J10167+Sens!K10167)</f>
        <v>0.6</v>
      </c>
    </row>
    <row r="10184" customFormat="false" ht="17.15" hidden="false" customHeight="false" outlineLevel="0" collapsed="false">
      <c r="A10184" s="0" t="s">
        <v>746</v>
      </c>
      <c r="B10184" s="0" t="s">
        <v>95</v>
      </c>
      <c r="D10184" s="6" t="n">
        <f aca="false">Sens!D10178-Sens!D10183*(Sens!D10180+Sens!D10182)-Sens!D10181</f>
        <v>8.35701406163072</v>
      </c>
      <c r="E10184" s="6" t="n">
        <f aca="false">Sens!E10178-Sens!E10183*(Sens!E10180+Sens!E10182)-Sens!E10181</f>
        <v>18.7103224860238</v>
      </c>
      <c r="F10184" s="6" t="n">
        <f aca="false">Sens!F10178-Sens!F10183*(Sens!F10180+Sens!F10182)-Sens!F10181</f>
        <v>39.4594407491938</v>
      </c>
      <c r="G10184" s="6" t="n">
        <f aca="false">Sens!G10178-Sens!G10183*(Sens!G10180+Sens!G10182)-Sens!G10181</f>
        <v>66.5527545578061</v>
      </c>
      <c r="H10184" s="6" t="n">
        <f aca="false">Sens!H10178-Sens!H10183*(Sens!H10180+Sens!H10182)-Sens!H10181</f>
        <v>95.219644983859</v>
      </c>
      <c r="I10184" s="6" t="n">
        <f aca="false">Sens!I10178-Sens!I10183*(Sens!I10180+Sens!I10182)-Sens!I10181</f>
        <v>124.031840462493</v>
      </c>
      <c r="J10184" s="6" t="n">
        <f aca="false">Sens!J10178-Sens!J10183*(Sens!J10180+Sens!J10182)-Sens!J10181</f>
        <v>152.919994097909</v>
      </c>
      <c r="K10184" s="6" t="n">
        <f aca="false">Sens!K10178-Sens!K10183*(Sens!K10180+Sens!K10182)-Sens!K10181</f>
        <v>181.852830263848</v>
      </c>
    </row>
    <row r="10185" customFormat="false" ht="17.15" hidden="false" customHeight="false" outlineLevel="0" collapsed="false">
      <c r="A10185" s="1" t="s">
        <v>747</v>
      </c>
      <c r="B10185" s="0" t="s">
        <v>95</v>
      </c>
      <c r="D10185" s="6" t="n">
        <f aca="false">(1-Sens!D10183)*(Sens!D10180+Sens!D10182)</f>
        <v>1.42281025374069</v>
      </c>
      <c r="E10185" s="6" t="n">
        <f aca="false">(1-Sens!E10183)*(Sens!E10180+Sens!E10182)</f>
        <v>3.25095598674472</v>
      </c>
      <c r="F10185" s="6" t="n">
        <f aca="false">(1-Sens!F10183)*(Sens!F10180+Sens!F10182)</f>
        <v>6.53293055050977</v>
      </c>
      <c r="G10185" s="6" t="n">
        <f aca="false">(1-Sens!G10183)*(Sens!G10180+Sens!G10182)</f>
        <v>10.7846311741651</v>
      </c>
      <c r="H10185" s="6" t="n">
        <f aca="false">(1-Sens!H10183)*(Sens!H10180+Sens!H10182)</f>
        <v>15.26343050201</v>
      </c>
      <c r="I10185" s="6" t="n">
        <f aca="false">(1-Sens!I10183)*(Sens!I10180+Sens!I10182)</f>
        <v>19.7545570754104</v>
      </c>
      <c r="J10185" s="6" t="n">
        <f aca="false">(1-Sens!J10183)*(Sens!J10180+Sens!J10182)</f>
        <v>24.2521277113811</v>
      </c>
      <c r="K10185" s="6" t="n">
        <f aca="false">(1-Sens!K10183)*(Sens!K10180+Sens!K10182)</f>
        <v>28.7534890794427</v>
      </c>
    </row>
    <row r="10186" customFormat="false" ht="17.15" hidden="false" customHeight="false" outlineLevel="0" collapsed="false">
      <c r="A10186" s="1" t="s">
        <v>748</v>
      </c>
      <c r="B10186" s="0" t="s">
        <v>302</v>
      </c>
      <c r="C10186" s="8" t="n">
        <f aca="false">cxit_open</f>
        <v>27.5918995</v>
      </c>
      <c r="D10186" s="8" t="n">
        <f aca="false">cxit_open</f>
        <v>27.5918995</v>
      </c>
      <c r="E10186" s="8" t="n">
        <f aca="false">cxit_open</f>
        <v>27.5918995</v>
      </c>
      <c r="F10186" s="8" t="n">
        <f aca="false">(a_g3_27*tk_cxit_gb300+(1-a_g3_27)*tk_cxit_vr200)</f>
        <v>33.8419624</v>
      </c>
      <c r="G10186" s="8" t="n">
        <f aca="false">(a_g3_28*tk_cxit_gb300+(1-a_g3_28)*tk_cxit_vr200)</f>
        <v>35.9816136</v>
      </c>
      <c r="H10186" s="8" t="n">
        <f aca="false">(a_g3_29*tk_cxit_gb300+(1-a_g3_29)*tk_cxit_vr200)</f>
        <v>37.0514392</v>
      </c>
      <c r="I10186" s="8" t="n">
        <f aca="false">(a_g3_29*tk_cxit_gb300+(1-a_g3_29)*tk_cxit_vr200)</f>
        <v>37.0514392</v>
      </c>
      <c r="J10186" s="8" t="n">
        <f aca="false">(a_g3_29*tk_cxit_gb300+(1-a_g3_29)*tk_cxit_vr200)</f>
        <v>37.0514392</v>
      </c>
      <c r="K10186" s="8" t="n">
        <f aca="false">(a_g3_29*tk_cxit_gb300+(1-a_g3_29)*tk_cxit_vr200)</f>
        <v>37.0514392</v>
      </c>
      <c r="L10186" s="11" t="s">
        <v>749</v>
      </c>
    </row>
    <row r="10187" customFormat="false" ht="17.15" hidden="false" customHeight="false" outlineLevel="0" collapsed="false">
      <c r="A10187" s="0" t="s">
        <v>750</v>
      </c>
      <c r="B10187" s="0" t="s">
        <v>340</v>
      </c>
      <c r="F10187" s="27" t="n">
        <f aca="false">Sens!C10169*IF(3=life_it,1,0)+Sens!D10169*IF(2=life_it,1,0)+Sens!E10169*IF(1=life_it,1,0)</f>
        <v>0</v>
      </c>
      <c r="G10187" s="27" t="n">
        <f aca="false">Sens!C10169*IF(4=life_it,1,0)+Sens!D10169*IF(3=life_it,1,0)+Sens!E10169*IF(2=life_it,1,0)+Sens!F10169*IF(1=life_it,1,0)</f>
        <v>0</v>
      </c>
      <c r="H10187" s="27" t="n">
        <f aca="false">Sens!C10169*IF(5=life_it,1,0)+Sens!D10169*IF(4=life_it,1,0)+Sens!E10169*IF(3=life_it,1,0)+Sens!F10169*IF(2=life_it,1,0)+Sens!G10169*IF(1=life_it,1,0)</f>
        <v>0</v>
      </c>
      <c r="I10187" s="27" t="n">
        <f aca="false">Sens!C10169*IF(6=life_it,1,0)+Sens!D10169*IF(5=life_it,1,0)+Sens!E10169*IF(4=life_it,1,0)+Sens!F10169*IF(3=life_it,1,0)+Sens!G10169*IF(2=life_it,1,0)+Sens!H10169*IF(1=life_it,1,0)</f>
        <v>816.666666666667</v>
      </c>
      <c r="J10187" s="27" t="n">
        <f aca="false">Sens!C10169*IF(7=life_it,1,0)+Sens!D10169*IF(6=life_it,1,0)+Sens!E10169*IF(5=life_it,1,0)+Sens!F10169*IF(4=life_it,1,0)+Sens!G10169*IF(3=life_it,1,0)+Sens!H10169*IF(2=life_it,1,0)+Sens!I10169*IF(1=life_it,1,0)</f>
        <v>1233.33333333333</v>
      </c>
      <c r="K10187" s="27" t="n">
        <f aca="false">Sens!C10169*IF(8=life_it,1,0)+Sens!D10169*IF(7=life_it,1,0)+Sens!E10169*IF(6=life_it,1,0)+Sens!F10169*IF(5=life_it,1,0)+Sens!G10169*IF(4=life_it,1,0)+Sens!H10169*IF(3=life_it,1,0)+Sens!I10169*IF(2=life_it,1,0)+Sens!J10169*IF(1=life_it,1,0)</f>
        <v>2450</v>
      </c>
      <c r="L10187" s="1" t="s">
        <v>751</v>
      </c>
    </row>
    <row r="10188" customFormat="false" ht="17.15" hidden="false" customHeight="false" outlineLevel="0" collapsed="false">
      <c r="A10188" s="0" t="s">
        <v>752</v>
      </c>
      <c r="B10188" s="0" t="s">
        <v>95</v>
      </c>
      <c r="C10188" s="6" t="n">
        <f aca="false">Sens!C10169*Sens!C10186/1000</f>
        <v>22.5333845916667</v>
      </c>
      <c r="D10188" s="6" t="n">
        <f aca="false">Sens!D10169*Sens!D10186/1000</f>
        <v>34.0300093833333</v>
      </c>
      <c r="E10188" s="6" t="n">
        <f aca="false">Sens!E10169*Sens!E10186/1000</f>
        <v>67.600153775</v>
      </c>
      <c r="F10188" s="6" t="n">
        <f aca="false">(Sens!F10169+Sens!F10187)*Sens!F10186/1000</f>
        <v>130.923271871467</v>
      </c>
      <c r="G10188" s="6" t="n">
        <f aca="false">(Sens!G10169+Sens!G10187)*Sens!G10186/1000</f>
        <v>151.5545564832</v>
      </c>
      <c r="H10188" s="6" t="n">
        <f aca="false">(Sens!H10169+Sens!H10187)*Sens!H10186/1000</f>
        <v>156.0606619104</v>
      </c>
      <c r="I10188" s="6" t="n">
        <f aca="false">(Sens!I10169+Sens!I10187)*Sens!I10186/1000</f>
        <v>186.319337257067</v>
      </c>
      <c r="J10188" s="6" t="n">
        <f aca="false">(Sens!J10169+Sens!J10187)*Sens!J10186/1000</f>
        <v>201.757436923733</v>
      </c>
      <c r="K10188" s="6" t="n">
        <f aca="false">(Sens!K10169+Sens!K10187)*Sens!K10186/1000</f>
        <v>246.8366879504</v>
      </c>
    </row>
    <row r="10189" customFormat="false" ht="17.15" hidden="false" customHeight="false" outlineLevel="0" collapsed="false">
      <c r="A10189" s="0" t="s">
        <v>753</v>
      </c>
      <c r="B10189" s="0" t="s">
        <v>95</v>
      </c>
      <c r="C10189" s="6" t="n">
        <f aca="false">Sens!C10169*self_build*tk_cxfac/1000</f>
        <v>6.2083</v>
      </c>
      <c r="D10189" s="6" t="n">
        <f aca="false">Sens!D10169*self_build*tk_cxfac/1000</f>
        <v>9.3758</v>
      </c>
      <c r="E10189" s="6" t="n">
        <f aca="false">Sens!E10169*self_build*tk_cxfac/1000</f>
        <v>18.6249</v>
      </c>
      <c r="F10189" s="6" t="n">
        <f aca="false">Sens!F10169*self_build*tk_cxfac/1000</f>
        <v>29.409604</v>
      </c>
      <c r="G10189" s="6" t="n">
        <f aca="false">Sens!G10169*self_build*tk_cxfac/1000</f>
        <v>32.019624</v>
      </c>
      <c r="H10189" s="6" t="n">
        <f aca="false">Sens!H10169*self_build*tk_cxfac/1000</f>
        <v>32.019624</v>
      </c>
      <c r="I10189" s="6" t="n">
        <f aca="false">Sens!I10169*self_build*tk_cxfac/1000</f>
        <v>32.019624</v>
      </c>
      <c r="J10189" s="6" t="n">
        <f aca="false">Sens!J10169*self_build*tk_cxfac/1000</f>
        <v>32.019624</v>
      </c>
      <c r="K10189" s="6" t="n">
        <f aca="false">Sens!K10169*self_build*tk_cxfac/1000</f>
        <v>32.019624</v>
      </c>
    </row>
    <row r="10190" customFormat="false" ht="17.15" hidden="false" customHeight="false" outlineLevel="0" collapsed="false">
      <c r="A10190" s="0" t="s">
        <v>754</v>
      </c>
      <c r="B10190" s="0" t="s">
        <v>95</v>
      </c>
      <c r="F10190" s="6" t="n">
        <f aca="false">MAX(0,capex_floor27-Sens!F10188-Sens!F10189-Sens!F10277)</f>
        <v>8.28777689897088</v>
      </c>
      <c r="G10190" s="6" t="n">
        <f aca="false">0</f>
        <v>0</v>
      </c>
      <c r="H10190" s="6" t="n">
        <f aca="false">0</f>
        <v>0</v>
      </c>
      <c r="I10190" s="6" t="n">
        <f aca="false">0</f>
        <v>0</v>
      </c>
      <c r="J10190" s="6" t="n">
        <f aca="false">0</f>
        <v>0</v>
      </c>
      <c r="K10190" s="6" t="n">
        <f aca="false">0</f>
        <v>0</v>
      </c>
      <c r="L10190" s="1" t="s">
        <v>755</v>
      </c>
    </row>
    <row r="10191" customFormat="false" ht="17.15" hidden="false" customHeight="false" outlineLevel="0" collapsed="false">
      <c r="A10191" s="0" t="s">
        <v>756</v>
      </c>
      <c r="B10191" s="0" t="s">
        <v>95</v>
      </c>
      <c r="C10191" s="6" t="n">
        <f aca="false">Sens!C10188</f>
        <v>22.5333845916667</v>
      </c>
      <c r="D10191" s="6" t="n">
        <f aca="false">Sens!D10188</f>
        <v>34.0300093833333</v>
      </c>
      <c r="E10191" s="6" t="n">
        <f aca="false">Sens!E10188</f>
        <v>67.600153775</v>
      </c>
      <c r="F10191" s="6" t="n">
        <f aca="false">Sens!F10188+Sens!F10190</f>
        <v>139.211048770438</v>
      </c>
      <c r="G10191" s="6" t="n">
        <f aca="false">Sens!G10188+Sens!G10190</f>
        <v>151.5545564832</v>
      </c>
      <c r="H10191" s="6" t="n">
        <f aca="false">Sens!H10188+Sens!H10190</f>
        <v>156.0606619104</v>
      </c>
      <c r="I10191" s="6" t="n">
        <f aca="false">Sens!I10188+Sens!I10190</f>
        <v>186.319337257067</v>
      </c>
      <c r="J10191" s="6" t="n">
        <f aca="false">Sens!J10188+Sens!J10190</f>
        <v>201.757436923733</v>
      </c>
      <c r="K10191" s="6" t="n">
        <f aca="false">Sens!K10188+Sens!K10190</f>
        <v>246.8366879504</v>
      </c>
    </row>
    <row r="10192" customFormat="false" ht="17.15" hidden="false" customHeight="false" outlineLevel="0" collapsed="false">
      <c r="A10192" s="0" t="s">
        <v>757</v>
      </c>
      <c r="B10192" s="0" t="s">
        <v>95</v>
      </c>
      <c r="C10192" s="6" t="n">
        <f aca="false">Sens!C10191+Sens!C10189</f>
        <v>28.7416845916667</v>
      </c>
      <c r="D10192" s="6" t="n">
        <f aca="false">Sens!D10191+Sens!D10189</f>
        <v>43.4058093833333</v>
      </c>
      <c r="E10192" s="6" t="n">
        <f aca="false">Sens!E10191+Sens!E10189</f>
        <v>86.225053775</v>
      </c>
      <c r="F10192" s="6" t="n">
        <f aca="false">Sens!F10191+Sens!F10189</f>
        <v>168.620652770438</v>
      </c>
      <c r="G10192" s="6" t="n">
        <f aca="false">Sens!G10191+Sens!G10189</f>
        <v>183.5741804832</v>
      </c>
      <c r="H10192" s="6" t="n">
        <f aca="false">Sens!H10191+Sens!H10189</f>
        <v>188.0802859104</v>
      </c>
      <c r="I10192" s="6" t="n">
        <f aca="false">Sens!I10191+Sens!I10189</f>
        <v>218.338961257067</v>
      </c>
      <c r="J10192" s="6" t="n">
        <f aca="false">Sens!J10191+Sens!J10189</f>
        <v>233.777060923733</v>
      </c>
      <c r="K10192" s="6" t="n">
        <f aca="false">Sens!K10191+Sens!K10189</f>
        <v>278.8563119504</v>
      </c>
      <c r="L10192" s="11" t="s">
        <v>758</v>
      </c>
    </row>
    <row r="10193" customFormat="false" ht="17.15" hidden="false" customHeight="false" outlineLevel="0" collapsed="false">
      <c r="A10193" s="0" t="s">
        <v>759</v>
      </c>
      <c r="B10193" s="0" t="s">
        <v>95</v>
      </c>
      <c r="E10193" s="6" t="n">
        <f aca="false">(Sens!C10191*IF(2&lt;life_it,1,IF(2=life_it,0.5,0))+Sens!D10191*IF(1&lt;life_it,1,IF(1=life_it,0.5,0))+Sens!E10191*0.5)/life_it</f>
        <v>15.0605784770833</v>
      </c>
      <c r="F10193" s="6" t="n">
        <f aca="false">(Sens!C10191*IF(3&lt;life_it,1,IF(3=life_it,0.5,0))+Sens!D10191*IF(2&lt;life_it,1,IF(2=life_it,0.5,0))+Sens!E10191*IF(1&lt;life_it,1,IF(1=life_it,0.5,0))+Sens!F10191*0.5)/life_it</f>
        <v>32.2948453558698</v>
      </c>
      <c r="G10193" s="6" t="n">
        <f aca="false">(Sens!C10191*IF(4&lt;life_it,1,IF(4=life_it,0.5,0))+Sens!D10191*IF(3&lt;life_it,1,IF(3=life_it,0.5,0))+Sens!E10191*IF(2&lt;life_it,1,IF(2=life_it,0.5,0))+Sens!F10191*IF(1&lt;life_it,1,IF(1=life_it,0.5,0))+Sens!G10191*0.5)/life_it</f>
        <v>56.5253124603396</v>
      </c>
      <c r="H10193" s="6" t="n">
        <f aca="false">(Sens!C10191*IF(5&lt;life_it,1,IF(5=life_it,0.5,0))+Sens!D10191*IF(4&lt;life_it,1,IF(4=life_it,0.5,0))+Sens!E10191*IF(3&lt;life_it,1,IF(3=life_it,0.5,0))+Sens!F10191*IF(2&lt;life_it,1,IF(2=life_it,0.5,0))+Sens!G10191*IF(1&lt;life_it,1,IF(1=life_it,0.5,0))+Sens!H10191*0.5)/life_it</f>
        <v>82.1599139931396</v>
      </c>
      <c r="I10193" s="6" t="n">
        <f aca="false">(Sens!C10191*IF(6&lt;life_it,1,IF(6=life_it,0.5,0))+Sens!D10191*IF(5&lt;life_it,1,IF(5=life_it,0.5,0))+Sens!E10191*IF(4&lt;life_it,1,IF(4=life_it,0.5,0))+Sens!F10191*IF(3&lt;life_it,1,IF(3=life_it,0.5,0))+Sens!G10191*IF(2&lt;life_it,1,IF(2=life_it,0.5,0))+Sens!H10191*IF(1&lt;life_it,1,IF(1=life_it,0.5,0))+Sens!I10191*0.5)/life_it</f>
        <v>108.813798541123</v>
      </c>
      <c r="J10193" s="6" t="n">
        <f aca="false">(Sens!C10191*IF(7&lt;life_it,1,IF(7=life_it,0.5,0))+Sens!D10191*IF(6&lt;life_it,1,IF(6=life_it,0.5,0))+Sens!E10191*IF(5&lt;life_it,1,IF(5=life_it,0.5,0))+Sens!F10191*IF(4&lt;life_it,1,IF(4=life_it,0.5,0))+Sens!G10191*IF(3&lt;life_it,1,IF(3=life_it,0.5,0))+Sens!H10191*IF(2&lt;life_it,1,IF(2=life_it,0.5,0))+Sens!I10191*IF(1&lt;life_it,1,IF(1=life_it,0.5,0))+Sens!J10191*0.5)/life_it</f>
        <v>136.439913558273</v>
      </c>
      <c r="K10193" s="6" t="n">
        <f aca="false">(Sens!C10191*IF(8&lt;life_it,1,IF(8=life_it,0.5,0))+Sens!D10191*IF(7&lt;life_it,1,IF(7=life_it,0.5,0))+Sens!E10191*IF(6&lt;life_it,1,IF(6=life_it,0.5,0))+Sens!F10191*IF(5&lt;life_it,1,IF(5=life_it,0.5,0))+Sens!G10191*IF(4&lt;life_it,1,IF(4=life_it,0.5,0))+Sens!H10191*IF(3&lt;life_it,1,IF(3=life_it,0.5,0))+Sens!I10191*IF(2&lt;life_it,1,IF(2=life_it,0.5,0))+Sens!J10191*IF(1&lt;life_it,1,IF(1=life_it,0.5,0))+Sens!K10191*0.5)/life_it</f>
        <v>165.35357703459</v>
      </c>
    </row>
    <row r="10194" customFormat="false" ht="17.15" hidden="false" customHeight="false" outlineLevel="0" collapsed="false">
      <c r="A10194" s="0" t="s">
        <v>760</v>
      </c>
      <c r="B10194" s="0" t="s">
        <v>95</v>
      </c>
      <c r="E10194" s="6" t="n">
        <f aca="false">(Sens!C10189*IF(2&lt;life_fac,1,IF(2=life_fac,0.5,0))+Sens!D10189*IF(1&lt;life_fac,1,IF(1=life_fac,0.5,0))+Sens!E10189*0.5)/life_fac</f>
        <v>1.2448275</v>
      </c>
      <c r="F10194" s="6" t="n">
        <f aca="false">(Sens!C10189*IF(3&lt;life_fac,1,IF(3=life_fac,0.5,0))+Sens!D10189*IF(2&lt;life_fac,1,IF(2=life_fac,0.5,0))+Sens!E10189*IF(1&lt;life_fac,1,IF(1=life_fac,0.5,0))+Sens!F10189*0.5)/life_fac</f>
        <v>2.4456901</v>
      </c>
      <c r="G10194" s="6" t="n">
        <f aca="false">(Sens!C10189*IF(4&lt;life_fac,1,IF(4=life_fac,0.5,0))+Sens!D10189*IF(3&lt;life_fac,1,IF(3=life_fac,0.5,0))+Sens!E10189*IF(2&lt;life_fac,1,IF(2=life_fac,0.5,0))+Sens!F10189*IF(1&lt;life_fac,1,IF(1=life_fac,0.5,0))+Sens!G10189*0.5)/life_fac</f>
        <v>3.9814208</v>
      </c>
      <c r="H10194" s="6" t="n">
        <f aca="false">(Sens!C10189*IF(5&lt;life_fac,1,IF(5=life_fac,0.5,0))+Sens!D10189*IF(4&lt;life_fac,1,IF(4=life_fac,0.5,0))+Sens!E10189*IF(3&lt;life_fac,1,IF(3=life_fac,0.5,0))+Sens!F10189*IF(2&lt;life_fac,1,IF(2=life_fac,0.5,0))+Sens!G10189*IF(1&lt;life_fac,1,IF(1=life_fac,0.5,0))+Sens!H10189*0.5)/life_fac</f>
        <v>5.582402</v>
      </c>
      <c r="I10194" s="6" t="n">
        <f aca="false">(Sens!C10189*IF(6&lt;life_fac,1,IF(6=life_fac,0.5,0))+Sens!D10189*IF(5&lt;life_fac,1,IF(5=life_fac,0.5,0))+Sens!E10189*IF(4&lt;life_fac,1,IF(4=life_fac,0.5,0))+Sens!F10189*IF(3&lt;life_fac,1,IF(3=life_fac,0.5,0))+Sens!G10189*IF(2&lt;life_fac,1,IF(2=life_fac,0.5,0))+Sens!H10189*IF(1&lt;life_fac,1,IF(1=life_fac,0.5,0))+Sens!I10189*0.5)/life_fac</f>
        <v>7.1833832</v>
      </c>
      <c r="J10194" s="6" t="n">
        <f aca="false">(Sens!C10189*IF(7&lt;life_fac,1,IF(7=life_fac,0.5,0))+Sens!D10189*IF(6&lt;life_fac,1,IF(6=life_fac,0.5,0))+Sens!E10189*IF(5&lt;life_fac,1,IF(5=life_fac,0.5,0))+Sens!F10189*IF(4&lt;life_fac,1,IF(4=life_fac,0.5,0))+Sens!G10189*IF(3&lt;life_fac,1,IF(3=life_fac,0.5,0))+Sens!H10189*IF(2&lt;life_fac,1,IF(2=life_fac,0.5,0))+Sens!I10189*IF(1&lt;life_fac,1,IF(1=life_fac,0.5,0))+Sens!J10189*0.5)/life_fac</f>
        <v>8.7843644</v>
      </c>
      <c r="K10194" s="6" t="n">
        <f aca="false">(Sens!C10189*IF(8&lt;life_fac,1,IF(8=life_fac,0.5,0))+Sens!D10189*IF(7&lt;life_fac,1,IF(7=life_fac,0.5,0))+Sens!E10189*IF(6&lt;life_fac,1,IF(6=life_fac,0.5,0))+Sens!F10189*IF(5&lt;life_fac,1,IF(5=life_fac,0.5,0))+Sens!G10189*IF(4&lt;life_fac,1,IF(4=life_fac,0.5,0))+Sens!H10189*IF(3&lt;life_fac,1,IF(3=life_fac,0.5,0))+Sens!I10189*IF(2&lt;life_fac,1,IF(2=life_fac,0.5,0))+Sens!J10189*IF(1&lt;life_fac,1,IF(1=life_fac,0.5,0))+Sens!K10189*0.5)/life_fac</f>
        <v>10.3853456</v>
      </c>
    </row>
    <row r="10195" customFormat="false" ht="17.15" hidden="false" customHeight="false" outlineLevel="0" collapsed="false">
      <c r="A10195" s="0" t="s">
        <v>761</v>
      </c>
      <c r="B10195" s="0" t="s">
        <v>95</v>
      </c>
      <c r="E10195" s="6" t="n">
        <f aca="false">Sens!E10193+Sens!E10194</f>
        <v>16.3054059770833</v>
      </c>
      <c r="F10195" s="6" t="n">
        <f aca="false">Sens!F10193+Sens!F10194</f>
        <v>34.7405354558698</v>
      </c>
      <c r="G10195" s="6" t="n">
        <f aca="false">Sens!G10193+Sens!G10194</f>
        <v>60.5067332603396</v>
      </c>
      <c r="H10195" s="6" t="n">
        <f aca="false">Sens!H10193+Sens!H10194</f>
        <v>87.7423159931396</v>
      </c>
      <c r="I10195" s="6" t="n">
        <f aca="false">Sens!I10193+Sens!I10194</f>
        <v>115.997181741123</v>
      </c>
      <c r="J10195" s="6" t="n">
        <f aca="false">Sens!J10193+Sens!J10194</f>
        <v>145.224277958273</v>
      </c>
      <c r="K10195" s="6" t="n">
        <f aca="false">Sens!K10193+Sens!K10194</f>
        <v>175.73892263459</v>
      </c>
    </row>
    <row r="10196" customFormat="false" ht="17.15" hidden="false" customHeight="false" outlineLevel="0" collapsed="false">
      <c r="A10196" s="0" t="s">
        <v>762</v>
      </c>
      <c r="B10196" s="0" t="s">
        <v>95</v>
      </c>
      <c r="E10196" s="6" t="n">
        <f aca="false">Sens!E10184-Sens!E10183*Sens!E10195</f>
        <v>8.92707889977379</v>
      </c>
      <c r="F10196" s="6" t="n">
        <f aca="false">Sens!F10184-Sens!F10183*Sens!F10195</f>
        <v>18.615119475672</v>
      </c>
      <c r="G10196" s="6" t="n">
        <f aca="false">Sens!G10184-Sens!G10183*Sens!G10195</f>
        <v>30.2487146016024</v>
      </c>
      <c r="H10196" s="6" t="n">
        <f aca="false">Sens!H10184-Sens!H10183*Sens!H10195</f>
        <v>42.5742553879752</v>
      </c>
      <c r="I10196" s="6" t="n">
        <f aca="false">Sens!I10184-Sens!I10183*Sens!I10195</f>
        <v>54.433531417819</v>
      </c>
      <c r="J10196" s="6" t="n">
        <f aca="false">Sens!J10184-Sens!J10183*Sens!J10195</f>
        <v>65.7854273229457</v>
      </c>
      <c r="K10196" s="6" t="n">
        <f aca="false">Sens!K10184-Sens!K10183*Sens!K10195</f>
        <v>76.4094766830945</v>
      </c>
    </row>
    <row r="10197" customFormat="false" ht="17.15" hidden="false" customHeight="false" outlineLevel="0" collapsed="false">
      <c r="A10197" s="3" t="s">
        <v>1405</v>
      </c>
    </row>
    <row r="10198" customFormat="false" ht="15" hidden="false" customHeight="false" outlineLevel="0" collapsed="false">
      <c r="A10198" s="4" t="s">
        <v>43</v>
      </c>
      <c r="B10198" s="4" t="s">
        <v>63</v>
      </c>
      <c r="C10198" s="19" t="s">
        <v>710</v>
      </c>
      <c r="D10198" s="19" t="s">
        <v>711</v>
      </c>
      <c r="E10198" s="19" t="s">
        <v>712</v>
      </c>
      <c r="F10198" s="19" t="s">
        <v>713</v>
      </c>
      <c r="G10198" s="19" t="s">
        <v>714</v>
      </c>
      <c r="H10198" s="19" t="s">
        <v>715</v>
      </c>
      <c r="I10198" s="19" t="s">
        <v>716</v>
      </c>
      <c r="J10198" s="19" t="s">
        <v>717</v>
      </c>
      <c r="K10198" s="19" t="s">
        <v>718</v>
      </c>
      <c r="L10198" s="4" t="s">
        <v>47</v>
      </c>
    </row>
    <row r="10199" customFormat="false" ht="17.15" hidden="false" customHeight="false" outlineLevel="0" collapsed="false">
      <c r="A10199" s="0" t="s">
        <v>780</v>
      </c>
      <c r="B10199" s="0" t="s">
        <v>95</v>
      </c>
      <c r="D10199" s="6" t="n">
        <f aca="false">Sens!D10178</f>
        <v>12.9359794422418</v>
      </c>
      <c r="E10199" s="6" t="n">
        <f aca="false">Sens!E10178</f>
        <v>27.8095064661409</v>
      </c>
      <c r="F10199" s="6" t="n">
        <f aca="false">Sens!F10178</f>
        <v>55.0640065749585</v>
      </c>
      <c r="G10199" s="6" t="n">
        <f aca="false">Sens!G10178</f>
        <v>89.4505413190538</v>
      </c>
      <c r="H10199" s="6" t="n">
        <f aca="false">Sens!H10178</f>
        <v>124.835630736874</v>
      </c>
      <c r="I10199" s="6" t="n">
        <f aca="false">Sens!I10178</f>
        <v>160.384516075608</v>
      </c>
      <c r="J10199" s="6" t="n">
        <f aca="false">Sens!J10178</f>
        <v>196.019025664981</v>
      </c>
      <c r="K10199" s="6" t="n">
        <f aca="false">Sens!K10178</f>
        <v>231.703903883012</v>
      </c>
    </row>
    <row r="10200" customFormat="false" ht="17.15" hidden="false" customHeight="false" outlineLevel="0" collapsed="false">
      <c r="A10200" s="0" t="s">
        <v>781</v>
      </c>
      <c r="B10200" s="0" t="s">
        <v>95</v>
      </c>
      <c r="D10200" s="6" t="n">
        <f aca="false">Q!L6-Sens!D10199</f>
        <v>59.6740205577583</v>
      </c>
      <c r="E10200" s="6" t="n">
        <f aca="false">Q!M6-Sens!E10199</f>
        <v>74.1284935338591</v>
      </c>
      <c r="F10200" s="6" t="n">
        <f aca="false">Sens!E10200*(1+Sens!F10201)</f>
        <v>90.0799497373663</v>
      </c>
      <c r="G10200" s="6" t="n">
        <f aca="false">Sens!F10200*(1+Sens!G10201)</f>
        <v>107.02842520331</v>
      </c>
      <c r="H10200" s="6" t="n">
        <f aca="false">Sens!G10200*(1+Sens!H10201)</f>
        <v>124.271982585636</v>
      </c>
      <c r="I10200" s="6" t="n">
        <f aca="false">Sens!H10200*(1+Sens!I10201)</f>
        <v>140.933702381855</v>
      </c>
      <c r="J10200" s="6" t="n">
        <f aca="false">Sens!I10200*(1+Sens!J10201)</f>
        <v>156.018867314332</v>
      </c>
      <c r="K10200" s="6" t="n">
        <f aca="false">Sens!J10200*(1+Sens!K10201)</f>
        <v>168.500376699478</v>
      </c>
    </row>
    <row r="10201" customFormat="false" ht="15" hidden="false" customHeight="false" outlineLevel="0" collapsed="false">
      <c r="A10201" s="1" t="s">
        <v>782</v>
      </c>
      <c r="B10201" s="0" t="s">
        <v>126</v>
      </c>
      <c r="E10201" s="7" t="n">
        <f aca="false">Sens!E10200/Sens!D10200-1</f>
        <v>0.242223883039864</v>
      </c>
      <c r="F10201" s="7" t="n">
        <f aca="false">Sens!$E$10201+(glt_azo-Sens!$E$10201)*MIN(1,1/n_conv)</f>
        <v>0.215186569199887</v>
      </c>
      <c r="G10201" s="7" t="n">
        <f aca="false">Sens!$E$10201+(glt_azo-Sens!$E$10201)*MIN(1,2/n_conv)</f>
        <v>0.18814925535991</v>
      </c>
      <c r="H10201" s="7" t="n">
        <f aca="false">Sens!$E$10201+(glt_azo-Sens!$E$10201)*MIN(1,3/n_conv)</f>
        <v>0.161111941519932</v>
      </c>
      <c r="I10201" s="7" t="n">
        <f aca="false">Sens!$E$10201+(glt_azo-Sens!$E$10201)*MIN(1,4/n_conv)</f>
        <v>0.134074627679955</v>
      </c>
      <c r="J10201" s="7" t="n">
        <f aca="false">Sens!$E$10201+(glt_azo-Sens!$E$10201)*MIN(1,5/n_conv)</f>
        <v>0.107037313839977</v>
      </c>
      <c r="K10201" s="7" t="n">
        <f aca="false">Sens!$E$10201+(glt_azo-Sens!$E$10201)*MIN(1,6/n_conv)</f>
        <v>0.08</v>
      </c>
    </row>
    <row r="10202" customFormat="false" ht="15" hidden="false" customHeight="false" outlineLevel="0" collapsed="false">
      <c r="A10202" s="0" t="s">
        <v>783</v>
      </c>
      <c r="B10202" s="0" t="s">
        <v>95</v>
      </c>
      <c r="D10202" s="6" t="n">
        <f aca="false">Sens!D10199+Sens!D10200</f>
        <v>72.61</v>
      </c>
      <c r="E10202" s="6" t="n">
        <f aca="false">Sens!E10199+Sens!E10200</f>
        <v>101.938</v>
      </c>
      <c r="F10202" s="6" t="n">
        <f aca="false">Sens!F10199+Sens!F10200</f>
        <v>145.143956312325</v>
      </c>
      <c r="G10202" s="6" t="n">
        <f aca="false">Sens!G10199+Sens!G10200</f>
        <v>196.478966522364</v>
      </c>
      <c r="H10202" s="6" t="n">
        <f aca="false">Sens!H10199+Sens!H10200</f>
        <v>249.10761332251</v>
      </c>
      <c r="I10202" s="6" t="n">
        <f aca="false">Sens!I10199+Sens!I10200</f>
        <v>301.318218457463</v>
      </c>
      <c r="J10202" s="6" t="n">
        <f aca="false">Sens!J10199+Sens!J10200</f>
        <v>352.037892979313</v>
      </c>
      <c r="K10202" s="6" t="n">
        <f aca="false">Sens!K10199+Sens!K10200</f>
        <v>400.20428058249</v>
      </c>
    </row>
    <row r="10203" customFormat="false" ht="17.15" hidden="false" customHeight="false" outlineLevel="0" collapsed="false">
      <c r="A10203" s="0" t="s">
        <v>784</v>
      </c>
      <c r="B10203" s="1" t="s">
        <v>451</v>
      </c>
      <c r="C10203" s="27" t="n">
        <f aca="false">cop_s24</f>
        <v>1</v>
      </c>
      <c r="D10203" s="27" t="n">
        <f aca="false">cop_s25</f>
        <v>5</v>
      </c>
      <c r="E10203" s="27" t="n">
        <f aca="false">cop_s26</f>
        <v>30</v>
      </c>
      <c r="F10203" s="27" t="n">
        <f aca="false">Sens!E10203+IF(2027&lt;=2029,cop_add_B,cop_add_B*cop_tail)</f>
        <v>50</v>
      </c>
      <c r="G10203" s="27" t="n">
        <f aca="false">Sens!F10203+IF(2028&lt;=2029,cop_add_B,cop_add_B*cop_tail)</f>
        <v>70</v>
      </c>
      <c r="H10203" s="27" t="n">
        <f aca="false">Sens!G10203+IF(2029&lt;=2029,cop_add_B,cop_add_B*cop_tail)</f>
        <v>90</v>
      </c>
      <c r="I10203" s="27" t="n">
        <f aca="false">Sens!H10203+IF(2030&lt;=2029,cop_add_B,cop_add_B*cop_tail)</f>
        <v>100</v>
      </c>
      <c r="J10203" s="27" t="n">
        <f aca="false">Sens!I10203+IF(2031&lt;=2029,cop_add_B,cop_add_B*cop_tail)</f>
        <v>110</v>
      </c>
      <c r="K10203" s="27" t="n">
        <f aca="false">Sens!J10203+IF(2032&lt;=2029,cop_add_B,cop_add_B*cop_tail)</f>
        <v>120</v>
      </c>
    </row>
    <row r="10204" customFormat="false" ht="17.15" hidden="false" customHeight="false" outlineLevel="0" collapsed="false">
      <c r="A10204" s="0" t="s">
        <v>785</v>
      </c>
      <c r="B10204" s="0" t="s">
        <v>95</v>
      </c>
      <c r="D10204" s="6" t="n">
        <f aca="false">(Sens!C10203+Sens!D10203)/2*cop_px*12/1000</f>
        <v>0.9</v>
      </c>
      <c r="E10204" s="6" t="n">
        <f aca="false">(Sens!D10203+Sens!E10203)/2*cop_px*12/1000</f>
        <v>5.25</v>
      </c>
      <c r="F10204" s="6" t="n">
        <f aca="false">(Sens!E10203+Sens!F10203)/2*cop_px*12/1000</f>
        <v>12</v>
      </c>
      <c r="G10204" s="6" t="n">
        <f aca="false">(Sens!F10203+Sens!G10203)/2*cop_px*12/1000</f>
        <v>18</v>
      </c>
      <c r="H10204" s="6" t="n">
        <f aca="false">(Sens!G10203+Sens!H10203)/2*cop_px*12/1000</f>
        <v>24</v>
      </c>
      <c r="I10204" s="6" t="n">
        <f aca="false">(Sens!H10203+Sens!I10203)/2*cop_px*12/1000</f>
        <v>28.5</v>
      </c>
      <c r="J10204" s="6" t="n">
        <f aca="false">(Sens!I10203+Sens!J10203)/2*cop_px*12/1000</f>
        <v>31.5</v>
      </c>
      <c r="K10204" s="6" t="n">
        <f aca="false">(Sens!J10203+Sens!K10203)/2*cop_px*12/1000</f>
        <v>34.5</v>
      </c>
      <c r="L10204" s="1" t="s">
        <v>786</v>
      </c>
    </row>
    <row r="10205" customFormat="false" ht="17.15" hidden="false" customHeight="false" outlineLevel="0" collapsed="false">
      <c r="A10205" s="0" t="s">
        <v>787</v>
      </c>
      <c r="B10205" s="0" t="s">
        <v>95</v>
      </c>
      <c r="D10205" s="6" t="n">
        <f aca="false">Q!L7-Sens!D10204</f>
        <v>83.705</v>
      </c>
      <c r="E10205" s="6" t="n">
        <f aca="false">Q!M7-Sens!E10204</f>
        <v>95.049</v>
      </c>
      <c r="F10205" s="6" t="n">
        <f aca="false">Sens!E10205*(1+Sens!F10206)</f>
        <v>106.89238776686</v>
      </c>
      <c r="G10205" s="6" t="n">
        <f aca="false">Sens!F10205*(1+Sens!G10206)</f>
        <v>119.044168448684</v>
      </c>
      <c r="H10205" s="6" t="n">
        <f aca="false">Sens!G10205*(1+Sens!H10206)</f>
        <v>131.277359388781</v>
      </c>
      <c r="I10205" s="6" t="n">
        <f aca="false">Sens!H10205*(1+Sens!I10206)</f>
        <v>143.334028071957</v>
      </c>
      <c r="J10205" s="6" t="n">
        <f aca="false">Sens!I10205*(1+Sens!J10206)</f>
        <v>154.932702785465</v>
      </c>
      <c r="K10205" s="6" t="n">
        <f aca="false">Sens!J10205*(1+Sens!K10206)</f>
        <v>165.777991980448</v>
      </c>
    </row>
    <row r="10206" customFormat="false" ht="15" hidden="false" customHeight="false" outlineLevel="0" collapsed="false">
      <c r="A10206" s="1" t="s">
        <v>782</v>
      </c>
      <c r="B10206" s="0" t="s">
        <v>126</v>
      </c>
      <c r="E10206" s="7" t="n">
        <f aca="false">Sens!E10205/Sens!D10205-1</f>
        <v>0.135523564900544</v>
      </c>
      <c r="F10206" s="7" t="n">
        <f aca="false">Sens!$E$10206+(glt_m365b-Sens!$E$10206)*MIN(1,1/n_conv)</f>
        <v>0.124602970750453</v>
      </c>
      <c r="G10206" s="7" t="n">
        <f aca="false">Sens!$E$10206+(glt_m365b-Sens!$E$10206)*MIN(1,2/n_conv)</f>
        <v>0.113682376600363</v>
      </c>
      <c r="H10206" s="7" t="n">
        <f aca="false">Sens!$E$10206+(glt_m365b-Sens!$E$10206)*MIN(1,3/n_conv)</f>
        <v>0.102761782450272</v>
      </c>
      <c r="I10206" s="7" t="n">
        <f aca="false">Sens!$E$10206+(glt_m365b-Sens!$E$10206)*MIN(1,4/n_conv)</f>
        <v>0.0918411883001813</v>
      </c>
      <c r="J10206" s="7" t="n">
        <f aca="false">Sens!$E$10206+(glt_m365b-Sens!$E$10206)*MIN(1,5/n_conv)</f>
        <v>0.0809205941500906</v>
      </c>
      <c r="K10206" s="7" t="n">
        <f aca="false">Sens!$E$10206+(glt_m365b-Sens!$E$10206)*MIN(1,6/n_conv)</f>
        <v>0.07</v>
      </c>
    </row>
    <row r="10207" customFormat="false" ht="15" hidden="false" customHeight="false" outlineLevel="0" collapsed="false">
      <c r="A10207" s="0" t="s">
        <v>788</v>
      </c>
      <c r="B10207" s="0" t="s">
        <v>95</v>
      </c>
      <c r="D10207" s="6" t="n">
        <f aca="false">Sens!D10205+Sens!D10204</f>
        <v>84.605</v>
      </c>
      <c r="E10207" s="6" t="n">
        <f aca="false">Sens!E10205+Sens!E10204</f>
        <v>100.299</v>
      </c>
      <c r="F10207" s="6" t="n">
        <f aca="false">Sens!F10205+Sens!F10204</f>
        <v>118.89238776686</v>
      </c>
      <c r="G10207" s="6" t="n">
        <f aca="false">Sens!G10205+Sens!G10204</f>
        <v>137.044168448684</v>
      </c>
      <c r="H10207" s="6" t="n">
        <f aca="false">Sens!H10205+Sens!H10204</f>
        <v>155.277359388781</v>
      </c>
      <c r="I10207" s="6" t="n">
        <f aca="false">Sens!I10205+Sens!I10204</f>
        <v>171.834028071957</v>
      </c>
      <c r="J10207" s="6" t="n">
        <f aca="false">Sens!J10205+Sens!J10204</f>
        <v>186.432702785465</v>
      </c>
      <c r="K10207" s="6" t="n">
        <f aca="false">Sens!K10205+Sens!K10204</f>
        <v>200.277991980448</v>
      </c>
    </row>
    <row r="10208" customFormat="false" ht="15" hidden="false" customHeight="false" outlineLevel="0" collapsed="false">
      <c r="A10208" s="0" t="s">
        <v>789</v>
      </c>
      <c r="B10208" s="0" t="s">
        <v>95</v>
      </c>
      <c r="D10208" s="6" t="n">
        <f aca="false">Q!L8</f>
        <v>35.391</v>
      </c>
      <c r="E10208" s="6" t="n">
        <f aca="false">Q!M8</f>
        <v>37.285</v>
      </c>
      <c r="F10208" s="6" t="n">
        <f aca="false">Sens!E10208*(1+Sens!F10209)</f>
        <v>39.0720834331704</v>
      </c>
      <c r="G10208" s="6" t="n">
        <f aca="false">Sens!F10208*(1+Sens!G10209)</f>
        <v>40.726562953769</v>
      </c>
      <c r="H10208" s="6" t="n">
        <f aca="false">Sens!G10208*(1+Sens!H10209)</f>
        <v>42.2235987259198</v>
      </c>
      <c r="I10208" s="6" t="n">
        <f aca="false">Sens!H10208*(1+Sens!I10209)</f>
        <v>43.5397988077414</v>
      </c>
      <c r="J10208" s="6" t="n">
        <f aca="false">Sens!I10208*(1+Sens!J10209)</f>
        <v>44.653811225693</v>
      </c>
      <c r="K10208" s="6" t="n">
        <f aca="false">Sens!J10208*(1+Sens!K10209)</f>
        <v>45.5468874502068</v>
      </c>
    </row>
    <row r="10209" customFormat="false" ht="15" hidden="false" customHeight="false" outlineLevel="0" collapsed="false">
      <c r="A10209" s="1" t="s">
        <v>782</v>
      </c>
      <c r="B10209" s="0" t="s">
        <v>126</v>
      </c>
      <c r="E10209" s="7" t="n">
        <f aca="false">Sens!E10208/Sens!D10208-1</f>
        <v>0.0535164307309768</v>
      </c>
      <c r="F10209" s="7" t="n">
        <f aca="false">Sens!$E$10209+(glt_lic-Sens!$E$10209)*MIN(1,1/n_conv)</f>
        <v>0.0479303589424807</v>
      </c>
      <c r="G10209" s="7" t="n">
        <f aca="false">Sens!$E$10209+(glt_lic-Sens!$E$10209)*MIN(1,2/n_conv)</f>
        <v>0.0423442871539845</v>
      </c>
      <c r="H10209" s="7" t="n">
        <f aca="false">Sens!$E$10209+(glt_lic-Sens!$E$10209)*MIN(1,3/n_conv)</f>
        <v>0.0367582153654884</v>
      </c>
      <c r="I10209" s="7" t="n">
        <f aca="false">Sens!$E$10209+(glt_lic-Sens!$E$10209)*MIN(1,4/n_conv)</f>
        <v>0.0311721435769923</v>
      </c>
      <c r="J10209" s="7" t="n">
        <f aca="false">Sens!$E$10209+(glt_lic-Sens!$E$10209)*MIN(1,5/n_conv)</f>
        <v>0.0255860717884961</v>
      </c>
      <c r="K10209" s="7" t="n">
        <f aca="false">Sens!$E$10209+(glt_lic-Sens!$E$10209)*MIN(1,6/n_conv)</f>
        <v>0.02</v>
      </c>
    </row>
    <row r="10210" customFormat="false" ht="15" hidden="false" customHeight="false" outlineLevel="0" collapsed="false">
      <c r="A10210" s="0" t="s">
        <v>790</v>
      </c>
      <c r="B10210" s="0" t="s">
        <v>95</v>
      </c>
      <c r="D10210" s="6" t="n">
        <f aca="false">Q!L9</f>
        <v>18.417</v>
      </c>
      <c r="E10210" s="6" t="n">
        <f aca="false">Q!M9</f>
        <v>20.345</v>
      </c>
      <c r="F10210" s="6" t="n">
        <f aca="false">Sens!E10210*(1+Sens!F10211)</f>
        <v>22.3572203267814</v>
      </c>
      <c r="G10210" s="6" t="n">
        <f aca="false">Sens!F10210*(1+Sens!G10211)</f>
        <v>24.4392124437232</v>
      </c>
      <c r="H10210" s="6" t="n">
        <f aca="false">Sens!G10210*(1+Sens!H10211)</f>
        <v>26.5738052080665</v>
      </c>
      <c r="I10210" s="6" t="n">
        <f aca="false">Sens!H10210*(1+Sens!I10211)</f>
        <v>28.7412169166967</v>
      </c>
      <c r="J10210" s="6" t="n">
        <f aca="false">Sens!I10210*(1+Sens!J10211)</f>
        <v>30.9192545395413</v>
      </c>
      <c r="K10210" s="6" t="n">
        <f aca="false">Sens!J10210*(1+Sens!K10211)</f>
        <v>33.0836023573092</v>
      </c>
    </row>
    <row r="10211" customFormat="false" ht="15" hidden="false" customHeight="false" outlineLevel="0" collapsed="false">
      <c r="A10211" s="1" t="s">
        <v>782</v>
      </c>
      <c r="B10211" s="0" t="s">
        <v>126</v>
      </c>
      <c r="E10211" s="7" t="n">
        <f aca="false">Sens!E10210/Sens!D10210-1</f>
        <v>0.104685888038225</v>
      </c>
      <c r="F10211" s="7" t="n">
        <f aca="false">Sens!$E$10211+(glt_ind-Sens!$E$10211)*MIN(1,1/n_conv)</f>
        <v>0.0989049066985211</v>
      </c>
      <c r="G10211" s="7" t="n">
        <f aca="false">Sens!$E$10211+(glt_ind-Sens!$E$10211)*MIN(1,2/n_conv)</f>
        <v>0.0931239253588169</v>
      </c>
      <c r="H10211" s="7" t="n">
        <f aca="false">Sens!$E$10211+(glt_ind-Sens!$E$10211)*MIN(1,3/n_conv)</f>
        <v>0.0873429440191127</v>
      </c>
      <c r="I10211" s="7" t="n">
        <f aca="false">Sens!$E$10211+(glt_ind-Sens!$E$10211)*MIN(1,4/n_conv)</f>
        <v>0.0815619626794085</v>
      </c>
      <c r="J10211" s="7" t="n">
        <f aca="false">Sens!$E$10211+(glt_ind-Sens!$E$10211)*MIN(1,5/n_conv)</f>
        <v>0.0757809813397042</v>
      </c>
      <c r="K10211" s="7" t="n">
        <f aca="false">Sens!$E$10211+(glt_ind-Sens!$E$10211)*MIN(1,6/n_conv)</f>
        <v>0.07</v>
      </c>
    </row>
    <row r="10212" customFormat="false" ht="15" hidden="false" customHeight="false" outlineLevel="0" collapsed="false">
      <c r="A10212" s="0" t="s">
        <v>791</v>
      </c>
      <c r="B10212" s="0" t="s">
        <v>95</v>
      </c>
      <c r="D10212" s="6" t="n">
        <f aca="false">Q!L10</f>
        <v>7.76</v>
      </c>
      <c r="E10212" s="6" t="n">
        <f aca="false">Q!M10</f>
        <v>8.26</v>
      </c>
      <c r="F10212" s="6" t="n">
        <f aca="false">Sens!E10212*(1+Sens!F10213)</f>
        <v>8.79988041237113</v>
      </c>
      <c r="G10212" s="6" t="n">
        <f aca="false">Sens!F10212*(1+Sens!G10213)</f>
        <v>9.38321269125306</v>
      </c>
      <c r="H10212" s="6" t="n">
        <f aca="false">Sens!G10212*(1+Sens!H10213)</f>
        <v>10.0139193587476</v>
      </c>
      <c r="I10212" s="6" t="n">
        <f aca="false">Sens!H10212*(1+Sens!I10213)</f>
        <v>10.6963111830911</v>
      </c>
      <c r="J10212" s="6" t="n">
        <f aca="false">Sens!I10212*(1+Sens!J10213)</f>
        <v>11.4351285534696</v>
      </c>
      <c r="K10212" s="6" t="n">
        <f aca="false">Sens!J10212*(1+Sens!K10213)</f>
        <v>12.2355875522124</v>
      </c>
    </row>
    <row r="10213" customFormat="false" ht="15" hidden="false" customHeight="false" outlineLevel="0" collapsed="false">
      <c r="A10213" s="1" t="s">
        <v>782</v>
      </c>
      <c r="B10213" s="0" t="s">
        <v>126</v>
      </c>
      <c r="E10213" s="7" t="n">
        <f aca="false">Sens!E10212/Sens!D10212-1</f>
        <v>0.0644329896907216</v>
      </c>
      <c r="F10213" s="7" t="n">
        <f aca="false">Sens!$E$10213+(glt_fro-Sens!$E$10213)*MIN(1,1/n_conv)</f>
        <v>0.065360824742268</v>
      </c>
      <c r="G10213" s="7" t="n">
        <f aca="false">Sens!$E$10213+(glt_fro-Sens!$E$10213)*MIN(1,2/n_conv)</f>
        <v>0.0662886597938144</v>
      </c>
      <c r="H10213" s="7" t="n">
        <f aca="false">Sens!$E$10213+(glt_fro-Sens!$E$10213)*MIN(1,3/n_conv)</f>
        <v>0.0672164948453608</v>
      </c>
      <c r="I10213" s="7" t="n">
        <f aca="false">Sens!$E$10213+(glt_fro-Sens!$E$10213)*MIN(1,4/n_conv)</f>
        <v>0.0681443298969072</v>
      </c>
      <c r="J10213" s="7" t="n">
        <f aca="false">Sens!$E$10213+(glt_fro-Sens!$E$10213)*MIN(1,5/n_conv)</f>
        <v>0.0690721649484536</v>
      </c>
      <c r="K10213" s="7" t="n">
        <f aca="false">Sens!$E$10213+(glt_fro-Sens!$E$10213)*MIN(1,6/n_conv)</f>
        <v>0.07</v>
      </c>
    </row>
    <row r="10214" customFormat="false" ht="15" hidden="false" customHeight="false" outlineLevel="0" collapsed="false">
      <c r="A10214" s="0" t="s">
        <v>626</v>
      </c>
      <c r="B10214" s="0" t="s">
        <v>95</v>
      </c>
      <c r="D10214" s="6" t="n">
        <f aca="false">Sens!D10202+Sens!D10207+Sens!D10208+Sens!D10210+Sens!D10212</f>
        <v>218.783</v>
      </c>
      <c r="E10214" s="6" t="n">
        <f aca="false">Sens!E10202+Sens!E10207+Sens!E10208+Sens!E10210+Sens!E10212</f>
        <v>268.127</v>
      </c>
      <c r="F10214" s="6" t="n">
        <f aca="false">Sens!F10202+Sens!F10207+Sens!F10208+Sens!F10210+Sens!F10212</f>
        <v>334.265528251508</v>
      </c>
      <c r="G10214" s="6" t="n">
        <f aca="false">Sens!G10202+Sens!G10207+Sens!G10208+Sens!G10210+Sens!G10212</f>
        <v>408.072123059793</v>
      </c>
      <c r="H10214" s="6" t="n">
        <f aca="false">Sens!H10202+Sens!H10207+Sens!H10208+Sens!H10210+Sens!H10212</f>
        <v>483.196296004025</v>
      </c>
      <c r="I10214" s="6" t="n">
        <f aca="false">Sens!I10202+Sens!I10207+Sens!I10208+Sens!I10210+Sens!I10212</f>
        <v>556.129573436949</v>
      </c>
      <c r="J10214" s="6" t="n">
        <f aca="false">Sens!J10202+Sens!J10207+Sens!J10208+Sens!J10210+Sens!J10212</f>
        <v>625.478790083482</v>
      </c>
      <c r="K10214" s="6" t="n">
        <f aca="false">Sens!K10202+Sens!K10207+Sens!K10208+Sens!K10210+Sens!K10212</f>
        <v>691.348349922667</v>
      </c>
    </row>
    <row r="10215" customFormat="false" ht="15" hidden="false" customHeight="false" outlineLevel="0" collapsed="false">
      <c r="A10215" s="0" t="s">
        <v>792</v>
      </c>
      <c r="B10215" s="0" t="s">
        <v>95</v>
      </c>
      <c r="D10215" s="6" t="n">
        <f aca="false">Q!L13</f>
        <v>22.171</v>
      </c>
      <c r="E10215" s="6" t="n">
        <f aca="false">Q!M13</f>
        <v>24.835</v>
      </c>
      <c r="F10215" s="6" t="n">
        <f aca="false">Sens!E10215*(1+Sens!F10216)</f>
        <v>27.6114901218559</v>
      </c>
      <c r="G10215" s="6" t="n">
        <f aca="false">Sens!F10215*(1+Sens!G10216)</f>
        <v>30.4675667338515</v>
      </c>
      <c r="H10215" s="6" t="n">
        <f aca="false">Sens!G10215*(1+Sens!H10216)</f>
        <v>33.3643766955789</v>
      </c>
      <c r="I10215" s="6" t="n">
        <f aca="false">Sens!H10215*(1+Sens!I10216)</f>
        <v>36.2577016533691</v>
      </c>
      <c r="J10215" s="6" t="n">
        <f aca="false">Sens!I10215*(1+Sens!J10216)</f>
        <v>39.0988367952171</v>
      </c>
      <c r="K10215" s="6" t="n">
        <f aca="false">Sens!J10215*(1+Sens!K10216)</f>
        <v>41.8357553708823</v>
      </c>
    </row>
    <row r="10216" customFormat="false" ht="15" hidden="false" customHeight="false" outlineLevel="0" collapsed="false">
      <c r="A10216" s="1" t="s">
        <v>782</v>
      </c>
      <c r="B10216" s="0" t="s">
        <v>126</v>
      </c>
      <c r="E10216" s="7" t="n">
        <f aca="false">Sens!E10215/Sens!D10215-1</f>
        <v>0.120156961796942</v>
      </c>
      <c r="F10216" s="7" t="n">
        <f aca="false">Sens!$E$10216+(glt_srch-Sens!$E$10216)*MIN(1,1/n_conv)</f>
        <v>0.111797468164118</v>
      </c>
      <c r="G10216" s="7" t="n">
        <f aca="false">Sens!$E$10216+(glt_srch-Sens!$E$10216)*MIN(1,2/n_conv)</f>
        <v>0.103437974531295</v>
      </c>
      <c r="H10216" s="7" t="n">
        <f aca="false">Sens!$E$10216+(glt_srch-Sens!$E$10216)*MIN(1,3/n_conv)</f>
        <v>0.095078480898471</v>
      </c>
      <c r="I10216" s="7" t="n">
        <f aca="false">Sens!$E$10216+(glt_srch-Sens!$E$10216)*MIN(1,4/n_conv)</f>
        <v>0.0867189872656474</v>
      </c>
      <c r="J10216" s="7" t="n">
        <f aca="false">Sens!$E$10216+(glt_srch-Sens!$E$10216)*MIN(1,5/n_conv)</f>
        <v>0.0783594936328237</v>
      </c>
      <c r="K10216" s="7" t="n">
        <f aca="false">Sens!$E$10216+(glt_srch-Sens!$E$10216)*MIN(1,6/n_conv)</f>
        <v>0.07</v>
      </c>
    </row>
    <row r="10217" customFormat="false" ht="15" hidden="false" customHeight="false" outlineLevel="0" collapsed="false">
      <c r="A10217" s="0" t="s">
        <v>793</v>
      </c>
      <c r="B10217" s="0" t="s">
        <v>95</v>
      </c>
      <c r="D10217" s="6" t="n">
        <f aca="false">Q!L14</f>
        <v>23.455</v>
      </c>
      <c r="E10217" s="6" t="n">
        <f aca="false">Q!M14</f>
        <v>21.79</v>
      </c>
      <c r="F10217" s="6" t="n">
        <f aca="false">Sens!E10217*(1+Sens!F10218)</f>
        <v>20.5736277908051</v>
      </c>
      <c r="G10217" s="6" t="n">
        <f aca="false">Sens!F10217*(1+Sens!G10218)</f>
        <v>19.7371452817919</v>
      </c>
      <c r="H10217" s="6" t="n">
        <f aca="false">Sens!G10217*(1+Sens!H10218)</f>
        <v>19.2339764043138</v>
      </c>
      <c r="I10217" s="6" t="n">
        <f aca="false">Sens!H10217*(1+Sens!I10218)</f>
        <v>19.0353086852681</v>
      </c>
      <c r="J10217" s="6" t="n">
        <f aca="false">Sens!I10217*(1+Sens!J10218)</f>
        <v>19.1273539319129</v>
      </c>
      <c r="K10217" s="6" t="n">
        <f aca="false">Sens!J10217*(1+Sens!K10218)</f>
        <v>19.5099010105511</v>
      </c>
    </row>
    <row r="10218" customFormat="false" ht="15" hidden="false" customHeight="false" outlineLevel="0" collapsed="false">
      <c r="A10218" s="1" t="s">
        <v>782</v>
      </c>
      <c r="B10218" s="0" t="s">
        <v>126</v>
      </c>
      <c r="E10218" s="7" t="n">
        <f aca="false">Sens!E10217/Sens!D10217-1</f>
        <v>-0.0709869963760392</v>
      </c>
      <c r="F10218" s="7" t="n">
        <f aca="false">Sens!$E$10218+(glt_xbox-Sens!$E$10218)*MIN(1,1/n_conv)</f>
        <v>-0.0558224969800327</v>
      </c>
      <c r="G10218" s="7" t="n">
        <f aca="false">Sens!$E$10218+(glt_xbox-Sens!$E$10218)*MIN(1,2/n_conv)</f>
        <v>-0.0406579975840262</v>
      </c>
      <c r="H10218" s="7" t="n">
        <f aca="false">Sens!$E$10218+(glt_xbox-Sens!$E$10218)*MIN(1,3/n_conv)</f>
        <v>-0.0254934981880196</v>
      </c>
      <c r="I10218" s="7" t="n">
        <f aca="false">Sens!$E$10218+(glt_xbox-Sens!$E$10218)*MIN(1,4/n_conv)</f>
        <v>-0.0103289987920131</v>
      </c>
      <c r="J10218" s="7" t="n">
        <f aca="false">Sens!$E$10218+(glt_xbox-Sens!$E$10218)*MIN(1,5/n_conv)</f>
        <v>0.00483550060399347</v>
      </c>
      <c r="K10218" s="7" t="n">
        <f aca="false">Sens!$E$10218+(glt_xbox-Sens!$E$10218)*MIN(1,6/n_conv)</f>
        <v>0.02</v>
      </c>
    </row>
    <row r="10219" customFormat="false" ht="15" hidden="false" customHeight="false" outlineLevel="0" collapsed="false">
      <c r="A10219" s="0" t="s">
        <v>794</v>
      </c>
      <c r="B10219" s="0" t="s">
        <v>95</v>
      </c>
      <c r="D10219" s="6" t="n">
        <f aca="false">Q!L15</f>
        <v>17.315</v>
      </c>
      <c r="E10219" s="6" t="n">
        <f aca="false">Q!M15</f>
        <v>17.087</v>
      </c>
      <c r="F10219" s="6" t="n">
        <f aca="false">Sens!E10219*(1+Sens!F10220)</f>
        <v>16.9564585436519</v>
      </c>
      <c r="G10219" s="6" t="n">
        <f aca="false">Sens!F10219*(1+Sens!G10220)</f>
        <v>16.9206490624268</v>
      </c>
      <c r="H10219" s="6" t="n">
        <f aca="false">Sens!G10219*(1+Sens!H10220)</f>
        <v>16.9784519149849</v>
      </c>
      <c r="I10219" s="6" t="n">
        <f aca="false">Sens!H10219*(1+Sens!I10220)</f>
        <v>17.1303084701817</v>
      </c>
      <c r="J10219" s="6" t="n">
        <f aca="false">Sens!I10219*(1+Sens!J10220)</f>
        <v>17.3782189407267</v>
      </c>
      <c r="K10219" s="6" t="n">
        <f aca="false">Sens!J10219*(1+Sens!K10220)</f>
        <v>17.7257833195413</v>
      </c>
    </row>
    <row r="10220" customFormat="false" ht="15" hidden="false" customHeight="false" outlineLevel="0" collapsed="false">
      <c r="A10220" s="1" t="s">
        <v>782</v>
      </c>
      <c r="B10220" s="0" t="s">
        <v>126</v>
      </c>
      <c r="E10220" s="7" t="n">
        <f aca="false">Sens!E10219/Sens!D10219-1</f>
        <v>-0.0131677736066995</v>
      </c>
      <c r="F10220" s="7" t="n">
        <f aca="false">Sens!$E$10220+(glt_win-Sens!$E$10220)*MIN(1,1/n_conv)</f>
        <v>-0.00763981133891627</v>
      </c>
      <c r="G10220" s="7" t="n">
        <f aca="false">Sens!$E$10220+(glt_win-Sens!$E$10220)*MIN(1,2/n_conv)</f>
        <v>-0.00211184907113301</v>
      </c>
      <c r="H10220" s="7" t="n">
        <f aca="false">Sens!$E$10220+(glt_win-Sens!$E$10220)*MIN(1,3/n_conv)</f>
        <v>0.00341611319665024</v>
      </c>
      <c r="I10220" s="7" t="n">
        <f aca="false">Sens!$E$10220+(glt_win-Sens!$E$10220)*MIN(1,4/n_conv)</f>
        <v>0.00894407546443349</v>
      </c>
      <c r="J10220" s="7" t="n">
        <f aca="false">Sens!$E$10220+(glt_win-Sens!$E$10220)*MIN(1,5/n_conv)</f>
        <v>0.0144720377322168</v>
      </c>
      <c r="K10220" s="7" t="n">
        <f aca="false">Sens!$E$10220+(glt_win-Sens!$E$10220)*MIN(1,6/n_conv)</f>
        <v>0.02</v>
      </c>
    </row>
    <row r="10221" customFormat="false" ht="15" hidden="false" customHeight="false" outlineLevel="0" collapsed="false">
      <c r="A10221" s="0" t="s">
        <v>640</v>
      </c>
      <c r="B10221" s="0" t="s">
        <v>95</v>
      </c>
      <c r="D10221" s="6" t="n">
        <f aca="false">Sens!D10215+Sens!D10217+Sens!D10219</f>
        <v>62.941</v>
      </c>
      <c r="E10221" s="6" t="n">
        <f aca="false">Sens!E10215+Sens!E10217+Sens!E10219</f>
        <v>63.712</v>
      </c>
      <c r="F10221" s="6" t="n">
        <f aca="false">Sens!F10215+Sens!F10217+Sens!F10219</f>
        <v>65.1415764563129</v>
      </c>
      <c r="G10221" s="6" t="n">
        <f aca="false">Sens!G10215+Sens!G10217+Sens!G10219</f>
        <v>67.1253610780702</v>
      </c>
      <c r="H10221" s="6" t="n">
        <f aca="false">Sens!H10215+Sens!H10217+Sens!H10219</f>
        <v>69.5768050148776</v>
      </c>
      <c r="I10221" s="6" t="n">
        <f aca="false">Sens!I10215+Sens!I10217+Sens!I10219</f>
        <v>72.4233188088189</v>
      </c>
      <c r="J10221" s="6" t="n">
        <f aca="false">Sens!J10215+Sens!J10217+Sens!J10219</f>
        <v>75.6044096678567</v>
      </c>
      <c r="K10221" s="6" t="n">
        <f aca="false">Sens!K10215+Sens!K10217+Sens!K10219</f>
        <v>79.0714397009747</v>
      </c>
    </row>
    <row r="10222" customFormat="false" ht="15" hidden="false" customHeight="false" outlineLevel="0" collapsed="false">
      <c r="A10222" s="1" t="s">
        <v>795</v>
      </c>
      <c r="B10222" s="0" t="s">
        <v>95</v>
      </c>
      <c r="D10222" s="6" t="n">
        <f aca="false">Sens!D10214+Sens!D10221</f>
        <v>281.724</v>
      </c>
      <c r="E10222" s="6" t="n">
        <f aca="false">Sens!E10214+Sens!E10221</f>
        <v>331.839</v>
      </c>
      <c r="F10222" s="6" t="n">
        <f aca="false">Sens!F10214+Sens!F10221</f>
        <v>399.407104707821</v>
      </c>
      <c r="G10222" s="6" t="n">
        <f aca="false">Sens!G10214+Sens!G10221</f>
        <v>475.197484137863</v>
      </c>
      <c r="H10222" s="6" t="n">
        <f aca="false">Sens!H10214+Sens!H10221</f>
        <v>552.773101018903</v>
      </c>
      <c r="I10222" s="6" t="n">
        <f aca="false">Sens!I10214+Sens!I10221</f>
        <v>628.552892245768</v>
      </c>
      <c r="J10222" s="6" t="n">
        <f aca="false">Sens!J10214+Sens!J10221</f>
        <v>701.083199751338</v>
      </c>
      <c r="K10222" s="6" t="n">
        <f aca="false">Sens!K10214+Sens!K10221</f>
        <v>770.419789623641</v>
      </c>
    </row>
    <row r="10223" customFormat="false" ht="15" hidden="false" customHeight="false" outlineLevel="0" collapsed="false">
      <c r="A10223" s="22" t="s">
        <v>796</v>
      </c>
      <c r="B10223" s="28" t="s">
        <v>95</v>
      </c>
      <c r="C10223" s="28"/>
      <c r="D10223" s="23" t="n">
        <f aca="false">(Sens!D10202+Sens!D10207+Sens!D10208+Sens!D10210+Sens!D10212-Sens!D10214)+(Sens!D10215+Sens!D10217+Sens!D10219-Sens!D10221)+(Sens!D10214-Q!L5)+(Sens!D10221-Q!L12)+(Sens!D10202-Q!L6)+(Sens!D10207-Q!L7)</f>
        <v>0</v>
      </c>
      <c r="E10223" s="23" t="n">
        <f aca="false">(Sens!E10202+Sens!E10207+Sens!E10208+Sens!E10210+Sens!E10212-Sens!E10214)+(Sens!E10215+Sens!E10217+Sens!E10219-Sens!E10221)+(Sens!E10214-Q!M5)+(Sens!E10221-Q!M12)+(Sens!E10202-Q!M6)+(Sens!E10207-Q!M7)</f>
        <v>0</v>
      </c>
      <c r="F10223" s="23" t="n">
        <f aca="false">(Sens!F10202+Sens!F10207+Sens!F10208+Sens!F10210+Sens!F10212-Sens!F10214)+(Sens!F10215+Sens!F10217+Sens!F10219-Sens!F10221)</f>
        <v>0</v>
      </c>
      <c r="G10223" s="23" t="n">
        <f aca="false">(Sens!G10202+Sens!G10207+Sens!G10208+Sens!G10210+Sens!G10212-Sens!G10214)+(Sens!G10215+Sens!G10217+Sens!G10219-Sens!G10221)</f>
        <v>0</v>
      </c>
      <c r="H10223" s="23" t="n">
        <f aca="false">(Sens!H10202+Sens!H10207+Sens!H10208+Sens!H10210+Sens!H10212-Sens!H10214)+(Sens!H10215+Sens!H10217+Sens!H10219-Sens!H10221)</f>
        <v>0</v>
      </c>
      <c r="I10223" s="23" t="n">
        <f aca="false">(Sens!I10202+Sens!I10207+Sens!I10208+Sens!I10210+Sens!I10212-Sens!I10214)+(Sens!I10215+Sens!I10217+Sens!I10219-Sens!I10221)</f>
        <v>0</v>
      </c>
      <c r="J10223" s="23" t="n">
        <f aca="false">(Sens!J10202+Sens!J10207+Sens!J10208+Sens!J10210+Sens!J10212-Sens!J10214)+(Sens!J10215+Sens!J10217+Sens!J10219-Sens!J10221)</f>
        <v>0</v>
      </c>
      <c r="K10223" s="23" t="n">
        <f aca="false">(Sens!K10202+Sens!K10207+Sens!K10208+Sens!K10210+Sens!K10212-Sens!K10214)+(Sens!K10215+Sens!K10217+Sens!K10219-Sens!K10221)</f>
        <v>0</v>
      </c>
    </row>
    <row r="10224" customFormat="false" ht="17.15" hidden="false" customHeight="false" outlineLevel="0" collapsed="false">
      <c r="A10224" s="3" t="s">
        <v>1406</v>
      </c>
    </row>
    <row r="10225" customFormat="false" ht="15" hidden="false" customHeight="false" outlineLevel="0" collapsed="false">
      <c r="A10225" s="4" t="s">
        <v>43</v>
      </c>
      <c r="B10225" s="4" t="s">
        <v>63</v>
      </c>
      <c r="C10225" s="19" t="s">
        <v>710</v>
      </c>
      <c r="D10225" s="19" t="s">
        <v>711</v>
      </c>
      <c r="E10225" s="19" t="s">
        <v>712</v>
      </c>
      <c r="F10225" s="19" t="s">
        <v>713</v>
      </c>
      <c r="G10225" s="19" t="s">
        <v>714</v>
      </c>
      <c r="H10225" s="19" t="s">
        <v>715</v>
      </c>
      <c r="I10225" s="19" t="s">
        <v>716</v>
      </c>
      <c r="J10225" s="19" t="s">
        <v>717</v>
      </c>
      <c r="K10225" s="19" t="s">
        <v>718</v>
      </c>
      <c r="L10225" s="4" t="s">
        <v>47</v>
      </c>
    </row>
    <row r="10226" customFormat="false" ht="15" hidden="false" customHeight="false" outlineLevel="0" collapsed="false">
      <c r="A10226" s="0" t="s">
        <v>783</v>
      </c>
      <c r="B10226" s="0" t="s">
        <v>95</v>
      </c>
      <c r="D10226" s="6" t="n">
        <f aca="false">Sens!D10202</f>
        <v>72.61</v>
      </c>
      <c r="E10226" s="6" t="n">
        <f aca="false">Sens!E10202</f>
        <v>101.938</v>
      </c>
      <c r="F10226" s="6" t="n">
        <f aca="false">Sens!F10202</f>
        <v>145.143956312325</v>
      </c>
      <c r="G10226" s="6" t="n">
        <f aca="false">Sens!G10202</f>
        <v>196.478966522364</v>
      </c>
      <c r="H10226" s="6" t="n">
        <f aca="false">Sens!H10202</f>
        <v>249.10761332251</v>
      </c>
      <c r="I10226" s="6" t="n">
        <f aca="false">Sens!I10202</f>
        <v>301.318218457463</v>
      </c>
      <c r="J10226" s="6" t="n">
        <f aca="false">Sens!J10202</f>
        <v>352.037892979313</v>
      </c>
      <c r="K10226" s="6" t="n">
        <f aca="false">Sens!K10202</f>
        <v>400.20428058249</v>
      </c>
    </row>
    <row r="10227" customFormat="false" ht="17.15" hidden="false" customHeight="false" outlineLevel="0" collapsed="false">
      <c r="A10227" s="0" t="s">
        <v>780</v>
      </c>
      <c r="B10227" s="0" t="s">
        <v>95</v>
      </c>
      <c r="D10227" s="6" t="n">
        <f aca="false">Sens!D10199</f>
        <v>12.9359794422418</v>
      </c>
      <c r="E10227" s="6" t="n">
        <f aca="false">Sens!E10199</f>
        <v>27.8095064661409</v>
      </c>
      <c r="F10227" s="6" t="n">
        <f aca="false">Sens!F10199</f>
        <v>55.0640065749585</v>
      </c>
      <c r="G10227" s="6" t="n">
        <f aca="false">Sens!G10199</f>
        <v>89.4505413190538</v>
      </c>
      <c r="H10227" s="6" t="n">
        <f aca="false">Sens!H10199</f>
        <v>124.835630736874</v>
      </c>
      <c r="I10227" s="6" t="n">
        <f aca="false">Sens!I10199</f>
        <v>160.384516075608</v>
      </c>
      <c r="J10227" s="6" t="n">
        <f aca="false">Sens!J10199</f>
        <v>196.019025664981</v>
      </c>
      <c r="K10227" s="6" t="n">
        <f aca="false">Sens!K10199</f>
        <v>231.703903883012</v>
      </c>
    </row>
    <row r="10228" customFormat="false" ht="17.15" hidden="false" customHeight="false" outlineLevel="0" collapsed="false">
      <c r="A10228" s="0" t="s">
        <v>807</v>
      </c>
      <c r="B10228" s="0" t="s">
        <v>95</v>
      </c>
      <c r="D10228" s="6" t="n">
        <f aca="false">Sens!D10200</f>
        <v>59.6740205577583</v>
      </c>
      <c r="E10228" s="6" t="n">
        <f aca="false">Sens!E10200</f>
        <v>74.1284935338591</v>
      </c>
      <c r="F10228" s="6" t="n">
        <f aca="false">Sens!F10200</f>
        <v>90.0799497373663</v>
      </c>
      <c r="G10228" s="6" t="n">
        <f aca="false">Sens!G10200</f>
        <v>107.02842520331</v>
      </c>
      <c r="H10228" s="6" t="n">
        <f aca="false">Sens!H10200</f>
        <v>124.271982585636</v>
      </c>
      <c r="I10228" s="6" t="n">
        <f aca="false">Sens!I10200</f>
        <v>140.933702381855</v>
      </c>
      <c r="J10228" s="6" t="n">
        <f aca="false">Sens!J10200</f>
        <v>156.018867314332</v>
      </c>
      <c r="K10228" s="6" t="n">
        <f aca="false">Sens!K10200</f>
        <v>168.500376699478</v>
      </c>
    </row>
    <row r="10229" customFormat="false" ht="15" hidden="false" customHeight="false" outlineLevel="0" collapsed="false">
      <c r="A10229" s="0" t="s">
        <v>788</v>
      </c>
      <c r="B10229" s="0" t="s">
        <v>95</v>
      </c>
      <c r="D10229" s="6" t="n">
        <f aca="false">Sens!D10207</f>
        <v>84.605</v>
      </c>
      <c r="E10229" s="6" t="n">
        <f aca="false">Sens!E10207</f>
        <v>100.299</v>
      </c>
      <c r="F10229" s="6" t="n">
        <f aca="false">Sens!F10207</f>
        <v>118.89238776686</v>
      </c>
      <c r="G10229" s="6" t="n">
        <f aca="false">Sens!G10207</f>
        <v>137.044168448684</v>
      </c>
      <c r="H10229" s="6" t="n">
        <f aca="false">Sens!H10207</f>
        <v>155.277359388781</v>
      </c>
      <c r="I10229" s="6" t="n">
        <f aca="false">Sens!I10207</f>
        <v>171.834028071957</v>
      </c>
      <c r="J10229" s="6" t="n">
        <f aca="false">Sens!J10207</f>
        <v>186.432702785465</v>
      </c>
      <c r="K10229" s="6" t="n">
        <f aca="false">Sens!K10207</f>
        <v>200.277991980448</v>
      </c>
    </row>
    <row r="10230" customFormat="false" ht="17.15" hidden="false" customHeight="false" outlineLevel="0" collapsed="false">
      <c r="A10230" s="0" t="s">
        <v>808</v>
      </c>
      <c r="B10230" s="0" t="s">
        <v>95</v>
      </c>
      <c r="D10230" s="6" t="n">
        <f aca="false">Sens!D10205</f>
        <v>83.705</v>
      </c>
      <c r="E10230" s="6" t="n">
        <f aca="false">Sens!E10205</f>
        <v>95.049</v>
      </c>
      <c r="F10230" s="6" t="n">
        <f aca="false">Sens!F10205</f>
        <v>106.89238776686</v>
      </c>
      <c r="G10230" s="6" t="n">
        <f aca="false">Sens!G10205</f>
        <v>119.044168448684</v>
      </c>
      <c r="H10230" s="6" t="n">
        <f aca="false">Sens!H10205</f>
        <v>131.277359388781</v>
      </c>
      <c r="I10230" s="6" t="n">
        <f aca="false">Sens!I10205</f>
        <v>143.334028071957</v>
      </c>
      <c r="J10230" s="6" t="n">
        <f aca="false">Sens!J10205</f>
        <v>154.932702785465</v>
      </c>
      <c r="K10230" s="6" t="n">
        <f aca="false">Sens!K10205</f>
        <v>165.777991980448</v>
      </c>
    </row>
    <row r="10231" customFormat="false" ht="17.15" hidden="false" customHeight="false" outlineLevel="0" collapsed="false">
      <c r="A10231" s="0" t="s">
        <v>809</v>
      </c>
      <c r="B10231" s="0" t="s">
        <v>95</v>
      </c>
      <c r="D10231" s="6" t="n">
        <f aca="false">Sens!D10204</f>
        <v>0.9</v>
      </c>
      <c r="E10231" s="6" t="n">
        <f aca="false">Sens!E10204</f>
        <v>5.25</v>
      </c>
      <c r="F10231" s="6" t="n">
        <f aca="false">Sens!F10204</f>
        <v>12</v>
      </c>
      <c r="G10231" s="6" t="n">
        <f aca="false">Sens!G10204</f>
        <v>18</v>
      </c>
      <c r="H10231" s="6" t="n">
        <f aca="false">Sens!H10204</f>
        <v>24</v>
      </c>
      <c r="I10231" s="6" t="n">
        <f aca="false">Sens!I10204</f>
        <v>28.5</v>
      </c>
      <c r="J10231" s="6" t="n">
        <f aca="false">Sens!J10204</f>
        <v>31.5</v>
      </c>
      <c r="K10231" s="6" t="n">
        <f aca="false">Sens!K10204</f>
        <v>34.5</v>
      </c>
    </row>
    <row r="10232" customFormat="false" ht="15" hidden="false" customHeight="false" outlineLevel="0" collapsed="false">
      <c r="A10232" s="0" t="s">
        <v>789</v>
      </c>
      <c r="B10232" s="0" t="s">
        <v>95</v>
      </c>
      <c r="D10232" s="6" t="n">
        <f aca="false">Sens!D10208</f>
        <v>35.391</v>
      </c>
      <c r="E10232" s="6" t="n">
        <f aca="false">Sens!E10208</f>
        <v>37.285</v>
      </c>
      <c r="F10232" s="6" t="n">
        <f aca="false">Sens!F10208</f>
        <v>39.0720834331704</v>
      </c>
      <c r="G10232" s="6" t="n">
        <f aca="false">Sens!G10208</f>
        <v>40.726562953769</v>
      </c>
      <c r="H10232" s="6" t="n">
        <f aca="false">Sens!H10208</f>
        <v>42.2235987259198</v>
      </c>
      <c r="I10232" s="6" t="n">
        <f aca="false">Sens!I10208</f>
        <v>43.5397988077414</v>
      </c>
      <c r="J10232" s="6" t="n">
        <f aca="false">Sens!J10208</f>
        <v>44.653811225693</v>
      </c>
      <c r="K10232" s="6" t="n">
        <f aca="false">Sens!K10208</f>
        <v>45.5468874502068</v>
      </c>
    </row>
    <row r="10233" customFormat="false" ht="15" hidden="false" customHeight="false" outlineLevel="0" collapsed="false">
      <c r="A10233" s="0" t="s">
        <v>790</v>
      </c>
      <c r="B10233" s="0" t="s">
        <v>95</v>
      </c>
      <c r="D10233" s="6" t="n">
        <f aca="false">Sens!D10210</f>
        <v>18.417</v>
      </c>
      <c r="E10233" s="6" t="n">
        <f aca="false">Sens!E10210</f>
        <v>20.345</v>
      </c>
      <c r="F10233" s="6" t="n">
        <f aca="false">Sens!F10210</f>
        <v>22.3572203267814</v>
      </c>
      <c r="G10233" s="6" t="n">
        <f aca="false">Sens!G10210</f>
        <v>24.4392124437232</v>
      </c>
      <c r="H10233" s="6" t="n">
        <f aca="false">Sens!H10210</f>
        <v>26.5738052080665</v>
      </c>
      <c r="I10233" s="6" t="n">
        <f aca="false">Sens!I10210</f>
        <v>28.7412169166967</v>
      </c>
      <c r="J10233" s="6" t="n">
        <f aca="false">Sens!J10210</f>
        <v>30.9192545395413</v>
      </c>
      <c r="K10233" s="6" t="n">
        <f aca="false">Sens!K10210</f>
        <v>33.0836023573092</v>
      </c>
    </row>
    <row r="10234" customFormat="false" ht="15" hidden="false" customHeight="false" outlineLevel="0" collapsed="false">
      <c r="A10234" s="0" t="s">
        <v>791</v>
      </c>
      <c r="B10234" s="0" t="s">
        <v>95</v>
      </c>
      <c r="D10234" s="6" t="n">
        <f aca="false">Sens!D10212</f>
        <v>7.76</v>
      </c>
      <c r="E10234" s="6" t="n">
        <f aca="false">Sens!E10212</f>
        <v>8.26</v>
      </c>
      <c r="F10234" s="6" t="n">
        <f aca="false">Sens!F10212</f>
        <v>8.79988041237113</v>
      </c>
      <c r="G10234" s="6" t="n">
        <f aca="false">Sens!G10212</f>
        <v>9.38321269125306</v>
      </c>
      <c r="H10234" s="6" t="n">
        <f aca="false">Sens!H10212</f>
        <v>10.0139193587476</v>
      </c>
      <c r="I10234" s="6" t="n">
        <f aca="false">Sens!I10212</f>
        <v>10.6963111830911</v>
      </c>
      <c r="J10234" s="6" t="n">
        <f aca="false">Sens!J10212</f>
        <v>11.4351285534696</v>
      </c>
      <c r="K10234" s="6" t="n">
        <f aca="false">Sens!K10212</f>
        <v>12.2355875522124</v>
      </c>
    </row>
    <row r="10235" customFormat="false" ht="15" hidden="false" customHeight="false" outlineLevel="0" collapsed="false">
      <c r="A10235" s="0" t="s">
        <v>626</v>
      </c>
      <c r="B10235" s="0" t="s">
        <v>95</v>
      </c>
      <c r="D10235" s="6" t="n">
        <f aca="false">Sens!D10214</f>
        <v>218.783</v>
      </c>
      <c r="E10235" s="6" t="n">
        <f aca="false">Sens!E10214</f>
        <v>268.127</v>
      </c>
      <c r="F10235" s="6" t="n">
        <f aca="false">Sens!F10214</f>
        <v>334.265528251508</v>
      </c>
      <c r="G10235" s="6" t="n">
        <f aca="false">Sens!G10214</f>
        <v>408.072123059793</v>
      </c>
      <c r="H10235" s="6" t="n">
        <f aca="false">Sens!H10214</f>
        <v>483.196296004025</v>
      </c>
      <c r="I10235" s="6" t="n">
        <f aca="false">Sens!I10214</f>
        <v>556.129573436949</v>
      </c>
      <c r="J10235" s="6" t="n">
        <f aca="false">Sens!J10214</f>
        <v>625.478790083482</v>
      </c>
      <c r="K10235" s="6" t="n">
        <f aca="false">Sens!K10214</f>
        <v>691.348349922667</v>
      </c>
    </row>
    <row r="10236" customFormat="false" ht="15" hidden="false" customHeight="false" outlineLevel="0" collapsed="false">
      <c r="A10236" s="0" t="s">
        <v>792</v>
      </c>
      <c r="B10236" s="0" t="s">
        <v>95</v>
      </c>
      <c r="D10236" s="6" t="n">
        <f aca="false">Sens!D10215</f>
        <v>22.171</v>
      </c>
      <c r="E10236" s="6" t="n">
        <f aca="false">Sens!E10215</f>
        <v>24.835</v>
      </c>
      <c r="F10236" s="6" t="n">
        <f aca="false">Sens!F10215</f>
        <v>27.6114901218559</v>
      </c>
      <c r="G10236" s="6" t="n">
        <f aca="false">Sens!G10215</f>
        <v>30.4675667338515</v>
      </c>
      <c r="H10236" s="6" t="n">
        <f aca="false">Sens!H10215</f>
        <v>33.3643766955789</v>
      </c>
      <c r="I10236" s="6" t="n">
        <f aca="false">Sens!I10215</f>
        <v>36.2577016533691</v>
      </c>
      <c r="J10236" s="6" t="n">
        <f aca="false">Sens!J10215</f>
        <v>39.0988367952171</v>
      </c>
      <c r="K10236" s="6" t="n">
        <f aca="false">Sens!K10215</f>
        <v>41.8357553708823</v>
      </c>
    </row>
    <row r="10237" customFormat="false" ht="15" hidden="false" customHeight="false" outlineLevel="0" collapsed="false">
      <c r="A10237" s="0" t="s">
        <v>793</v>
      </c>
      <c r="B10237" s="0" t="s">
        <v>95</v>
      </c>
      <c r="D10237" s="6" t="n">
        <f aca="false">Sens!D10217</f>
        <v>23.455</v>
      </c>
      <c r="E10237" s="6" t="n">
        <f aca="false">Sens!E10217</f>
        <v>21.79</v>
      </c>
      <c r="F10237" s="6" t="n">
        <f aca="false">Sens!F10217</f>
        <v>20.5736277908051</v>
      </c>
      <c r="G10237" s="6" t="n">
        <f aca="false">Sens!G10217</f>
        <v>19.7371452817919</v>
      </c>
      <c r="H10237" s="6" t="n">
        <f aca="false">Sens!H10217</f>
        <v>19.2339764043138</v>
      </c>
      <c r="I10237" s="6" t="n">
        <f aca="false">Sens!I10217</f>
        <v>19.0353086852681</v>
      </c>
      <c r="J10237" s="6" t="n">
        <f aca="false">Sens!J10217</f>
        <v>19.1273539319129</v>
      </c>
      <c r="K10237" s="6" t="n">
        <f aca="false">Sens!K10217</f>
        <v>19.5099010105511</v>
      </c>
    </row>
    <row r="10238" customFormat="false" ht="15" hidden="false" customHeight="false" outlineLevel="0" collapsed="false">
      <c r="A10238" s="0" t="s">
        <v>794</v>
      </c>
      <c r="B10238" s="0" t="s">
        <v>95</v>
      </c>
      <c r="D10238" s="6" t="n">
        <f aca="false">Sens!D10219</f>
        <v>17.315</v>
      </c>
      <c r="E10238" s="6" t="n">
        <f aca="false">Sens!E10219</f>
        <v>17.087</v>
      </c>
      <c r="F10238" s="6" t="n">
        <f aca="false">Sens!F10219</f>
        <v>16.9564585436519</v>
      </c>
      <c r="G10238" s="6" t="n">
        <f aca="false">Sens!G10219</f>
        <v>16.9206490624268</v>
      </c>
      <c r="H10238" s="6" t="n">
        <f aca="false">Sens!H10219</f>
        <v>16.9784519149849</v>
      </c>
      <c r="I10238" s="6" t="n">
        <f aca="false">Sens!I10219</f>
        <v>17.1303084701817</v>
      </c>
      <c r="J10238" s="6" t="n">
        <f aca="false">Sens!J10219</f>
        <v>17.3782189407267</v>
      </c>
      <c r="K10238" s="6" t="n">
        <f aca="false">Sens!K10219</f>
        <v>17.7257833195413</v>
      </c>
    </row>
    <row r="10239" customFormat="false" ht="15" hidden="false" customHeight="false" outlineLevel="0" collapsed="false">
      <c r="A10239" s="0" t="s">
        <v>640</v>
      </c>
      <c r="B10239" s="0" t="s">
        <v>95</v>
      </c>
      <c r="D10239" s="6" t="n">
        <f aca="false">Sens!D10221</f>
        <v>62.941</v>
      </c>
      <c r="E10239" s="6" t="n">
        <f aca="false">Sens!E10221</f>
        <v>63.712</v>
      </c>
      <c r="F10239" s="6" t="n">
        <f aca="false">Sens!F10221</f>
        <v>65.1415764563129</v>
      </c>
      <c r="G10239" s="6" t="n">
        <f aca="false">Sens!G10221</f>
        <v>67.1253610780702</v>
      </c>
      <c r="H10239" s="6" t="n">
        <f aca="false">Sens!H10221</f>
        <v>69.5768050148776</v>
      </c>
      <c r="I10239" s="6" t="n">
        <f aca="false">Sens!I10221</f>
        <v>72.4233188088189</v>
      </c>
      <c r="J10239" s="6" t="n">
        <f aca="false">Sens!J10221</f>
        <v>75.6044096678567</v>
      </c>
      <c r="K10239" s="6" t="n">
        <f aca="false">Sens!K10221</f>
        <v>79.0714397009747</v>
      </c>
    </row>
    <row r="10240" customFormat="false" ht="15" hidden="false" customHeight="false" outlineLevel="0" collapsed="false">
      <c r="A10240" s="1" t="s">
        <v>810</v>
      </c>
      <c r="B10240" s="0" t="s">
        <v>95</v>
      </c>
      <c r="D10240" s="6" t="n">
        <f aca="false">Sens!D10222</f>
        <v>281.724</v>
      </c>
      <c r="E10240" s="6" t="n">
        <f aca="false">Sens!E10222</f>
        <v>331.839</v>
      </c>
      <c r="F10240" s="6" t="n">
        <f aca="false">Sens!F10222</f>
        <v>399.407104707821</v>
      </c>
      <c r="G10240" s="6" t="n">
        <f aca="false">Sens!G10222</f>
        <v>475.197484137863</v>
      </c>
      <c r="H10240" s="6" t="n">
        <f aca="false">Sens!H10222</f>
        <v>552.773101018903</v>
      </c>
      <c r="I10240" s="6" t="n">
        <f aca="false">Sens!I10222</f>
        <v>628.552892245768</v>
      </c>
      <c r="J10240" s="6" t="n">
        <f aca="false">Sens!J10222</f>
        <v>701.083199751338</v>
      </c>
      <c r="K10240" s="6" t="n">
        <f aca="false">Sens!K10222</f>
        <v>770.419789623641</v>
      </c>
    </row>
    <row r="10241" customFormat="false" ht="15" hidden="false" customHeight="false" outlineLevel="0" collapsed="false">
      <c r="A10241" s="1" t="s">
        <v>811</v>
      </c>
      <c r="B10241" s="0" t="s">
        <v>126</v>
      </c>
      <c r="E10241" s="7" t="n">
        <f aca="false">Sens!E10240/Sens!D10240-1</f>
        <v>0.177886867998467</v>
      </c>
      <c r="F10241" s="7" t="n">
        <f aca="false">Sens!F10240/Sens!E10240-1</f>
        <v>0.203617129715978</v>
      </c>
      <c r="G10241" s="7" t="n">
        <f aca="false">Sens!G10240/Sens!F10240-1</f>
        <v>0.189757213972159</v>
      </c>
      <c r="H10241" s="7" t="n">
        <f aca="false">Sens!H10240/Sens!G10240-1</f>
        <v>0.163249216316418</v>
      </c>
      <c r="I10241" s="7" t="n">
        <f aca="false">Sens!I10240/Sens!H10240-1</f>
        <v>0.137090229403682</v>
      </c>
      <c r="J10241" s="7" t="n">
        <f aca="false">Sens!J10240/Sens!I10240-1</f>
        <v>0.11539252845759</v>
      </c>
      <c r="K10241" s="7" t="n">
        <f aca="false">Sens!K10240/Sens!J10240-1</f>
        <v>0.098899231784324</v>
      </c>
    </row>
    <row r="10242" customFormat="false" ht="17.15" hidden="false" customHeight="false" outlineLevel="0" collapsed="false">
      <c r="A10242" s="22" t="s">
        <v>812</v>
      </c>
      <c r="B10242" s="28" t="s">
        <v>95</v>
      </c>
      <c r="C10242" s="28"/>
      <c r="D10242" s="23" t="n">
        <f aca="false">(Sens!D10235+Sens!D10239-Sens!D10240)+(Sens!D10227+Sens!D10228-Sens!D10226)+(Sens!D10230+Sens!D10231-Sens!D10229)+(Sens!D10240-Q!L18)</f>
        <v>0</v>
      </c>
      <c r="E10242" s="23" t="n">
        <f aca="false">(Sens!E10235+Sens!E10239-Sens!E10240)+(Sens!E10227+Sens!E10228-Sens!E10226)+(Sens!E10230+Sens!E10231-Sens!E10229)+(Sens!E10240-Q!M18)</f>
        <v>0</v>
      </c>
      <c r="F10242" s="23" t="n">
        <f aca="false">(Sens!F10235+Sens!F10239-Sens!F10240)+(Sens!F10227+Sens!F10228-Sens!F10226)+(Sens!F10230+Sens!F10231-Sens!F10229)</f>
        <v>0</v>
      </c>
      <c r="G10242" s="23" t="n">
        <f aca="false">(Sens!G10235+Sens!G10239-Sens!G10240)+(Sens!G10227+Sens!G10228-Sens!G10226)+(Sens!G10230+Sens!G10231-Sens!G10229)</f>
        <v>0</v>
      </c>
      <c r="H10242" s="23" t="n">
        <f aca="false">(Sens!H10235+Sens!H10239-Sens!H10240)+(Sens!H10227+Sens!H10228-Sens!H10226)+(Sens!H10230+Sens!H10231-Sens!H10229)</f>
        <v>0</v>
      </c>
      <c r="I10242" s="23" t="n">
        <f aca="false">(Sens!I10235+Sens!I10239-Sens!I10240)+(Sens!I10227+Sens!I10228-Sens!I10226)+(Sens!I10230+Sens!I10231-Sens!I10229)</f>
        <v>0</v>
      </c>
      <c r="J10242" s="23" t="n">
        <f aca="false">(Sens!J10235+Sens!J10239-Sens!J10240)+(Sens!J10227+Sens!J10228-Sens!J10226)+(Sens!J10230+Sens!J10231-Sens!J10229)</f>
        <v>0</v>
      </c>
      <c r="K10242" s="23" t="n">
        <f aca="false">(Sens!K10235+Sens!K10239-Sens!K10240)+(Sens!K10227+Sens!K10228-Sens!K10226)+(Sens!K10230+Sens!K10231-Sens!K10229)</f>
        <v>0</v>
      </c>
    </row>
    <row r="10243" customFormat="false" ht="17.15" hidden="false" customHeight="false" outlineLevel="0" collapsed="false">
      <c r="A10243" s="0" t="s">
        <v>813</v>
      </c>
      <c r="B10243" s="0" t="s">
        <v>126</v>
      </c>
      <c r="E10243" s="7" t="n">
        <f aca="false">(Q!M21+Sens!E10180+Sens!E10181+Sens!E10182+Sens!E10195-Sens!E10178)/(Q!M5-Sens!E10178)</f>
        <v>0.570957350878296</v>
      </c>
      <c r="F10243" s="7" t="n">
        <f aca="false">Sens!$E$10243+dm_seg_hi</f>
        <v>0.590957350878296</v>
      </c>
      <c r="G10243" s="7" t="n">
        <f aca="false">Sens!$E$10243+dm_seg_hi</f>
        <v>0.590957350878296</v>
      </c>
      <c r="H10243" s="7" t="n">
        <f aca="false">Sens!$E$10243+dm_seg_hi</f>
        <v>0.590957350878296</v>
      </c>
      <c r="I10243" s="7" t="n">
        <f aca="false">Sens!$E$10243+dm_seg_hi</f>
        <v>0.590957350878296</v>
      </c>
      <c r="J10243" s="7" t="n">
        <f aca="false">Sens!$E$10243+dm_seg_hi</f>
        <v>0.590957350878296</v>
      </c>
      <c r="K10243" s="7" t="n">
        <f aca="false">Sens!$E$10243+dm_seg_hi</f>
        <v>0.590957350878296</v>
      </c>
      <c r="L10243" s="11" t="s">
        <v>814</v>
      </c>
    </row>
    <row r="10244" customFormat="false" ht="17.15" hidden="false" customHeight="false" outlineLevel="0" collapsed="false">
      <c r="A10244" s="0" t="s">
        <v>654</v>
      </c>
      <c r="B10244" s="0" t="s">
        <v>95</v>
      </c>
      <c r="D10244" s="6" t="n">
        <f aca="false">Q!L21</f>
        <v>110.814</v>
      </c>
      <c r="E10244" s="6" t="n">
        <f aca="false">Q!M21</f>
        <v>136.365</v>
      </c>
      <c r="F10244" s="6" t="n">
        <f aca="false">Sens!F10243*(Sens!F10214-Sens!F10178)+Sens!F10178-(Sens!F10180+Sens!F10181+Sens!F10182)-Sens!F10195</f>
        <v>163.182166353977</v>
      </c>
      <c r="G10244" s="6" t="n">
        <f aca="false">Sens!G10243*(Sens!G10214-Sens!G10178)+Sens!G10178-(Sens!G10180+Sens!G10181+Sens!G10182)-Sens!G10195</f>
        <v>183.553156001461</v>
      </c>
      <c r="H10244" s="6" t="n">
        <f aca="false">Sens!H10243*(Sens!H10214-Sens!H10178)+Sens!H10178-(Sens!H10180+Sens!H10181+Sens!H10182)-Sens!H10195</f>
        <v>203.989767893969</v>
      </c>
      <c r="I10244" s="6" t="n">
        <f aca="false">Sens!I10243*(Sens!I10214-Sens!I10178)+Sens!I10178-(Sens!I10180+Sens!I10181+Sens!I10182)-Sens!I10195</f>
        <v>222.148552367397</v>
      </c>
      <c r="J10244" s="6" t="n">
        <f aca="false">Sens!J10243*(Sens!J10214-Sens!J10178)+Sens!J10178-(Sens!J10180+Sens!J10181+Sens!J10182)-Sens!J10195</f>
        <v>237.23599311783</v>
      </c>
      <c r="K10244" s="6" t="n">
        <f aca="false">Sens!K10243*(Sens!K10214-Sens!K10178)+Sens!K10178-(Sens!K10180+Sens!K10181+Sens!K10182)-Sens!K10195</f>
        <v>248.990682727332</v>
      </c>
      <c r="L10244" s="1" t="s">
        <v>815</v>
      </c>
    </row>
    <row r="10245" customFormat="false" ht="17.15" hidden="false" customHeight="false" outlineLevel="0" collapsed="false">
      <c r="A10245" s="0" t="s">
        <v>816</v>
      </c>
      <c r="B10245" s="0" t="s">
        <v>126</v>
      </c>
      <c r="E10245" s="7" t="n">
        <f aca="false">Q!M22/Q!M12</f>
        <v>0.296207935710698</v>
      </c>
      <c r="F10245" s="7" t="n">
        <f aca="false">Sens!$E$10245+dm_seg_hi</f>
        <v>0.316207935710698</v>
      </c>
      <c r="G10245" s="7" t="n">
        <f aca="false">Sens!$E$10245+dm_seg_hi</f>
        <v>0.316207935710698</v>
      </c>
      <c r="H10245" s="7" t="n">
        <f aca="false">Sens!$E$10245+dm_seg_hi</f>
        <v>0.316207935710698</v>
      </c>
      <c r="I10245" s="7" t="n">
        <f aca="false">Sens!$E$10245+dm_seg_hi</f>
        <v>0.316207935710698</v>
      </c>
      <c r="J10245" s="7" t="n">
        <f aca="false">Sens!$E$10245+dm_seg_hi</f>
        <v>0.316207935710698</v>
      </c>
      <c r="K10245" s="7" t="n">
        <f aca="false">Sens!$E$10245+dm_seg_hi</f>
        <v>0.316207935710698</v>
      </c>
      <c r="L10245" s="11" t="s">
        <v>817</v>
      </c>
    </row>
    <row r="10246" customFormat="false" ht="17.15" hidden="false" customHeight="false" outlineLevel="0" collapsed="false">
      <c r="A10246" s="0" t="s">
        <v>656</v>
      </c>
      <c r="B10246" s="0" t="s">
        <v>95</v>
      </c>
      <c r="D10246" s="6" t="n">
        <f aca="false">Q!L22</f>
        <v>17.714</v>
      </c>
      <c r="E10246" s="6" t="n">
        <f aca="false">Q!M22</f>
        <v>18.872</v>
      </c>
      <c r="F10246" s="6" t="n">
        <f aca="false">Sens!F10221*Sens!F10245</f>
        <v>20.5982834201913</v>
      </c>
      <c r="G10246" s="6" t="n">
        <f aca="false">Sens!G10221*Sens!G10245</f>
        <v>21.2255718603318</v>
      </c>
      <c r="H10246" s="6" t="n">
        <f aca="false">Sens!H10221*Sens!H10245</f>
        <v>22.0007378871002</v>
      </c>
      <c r="I10246" s="6" t="n">
        <f aca="false">Sens!I10221*Sens!I10245</f>
        <v>22.9008281378544</v>
      </c>
      <c r="J10246" s="6" t="n">
        <f aca="false">Sens!J10221*Sens!J10245</f>
        <v>23.9067143116989</v>
      </c>
      <c r="K10246" s="6" t="n">
        <f aca="false">Sens!K10221*Sens!K10245</f>
        <v>25.0030167215181</v>
      </c>
    </row>
    <row r="10247" customFormat="false" ht="15" hidden="false" customHeight="false" outlineLevel="0" collapsed="false">
      <c r="A10247" s="1" t="s">
        <v>818</v>
      </c>
      <c r="B10247" s="0" t="s">
        <v>95</v>
      </c>
      <c r="D10247" s="6" t="n">
        <f aca="false">Sens!D10244+Sens!D10246</f>
        <v>128.528</v>
      </c>
      <c r="E10247" s="6" t="n">
        <f aca="false">Sens!E10244+Sens!E10246</f>
        <v>155.237</v>
      </c>
      <c r="F10247" s="6" t="n">
        <f aca="false">Sens!F10244+Sens!F10246</f>
        <v>183.780449774168</v>
      </c>
      <c r="G10247" s="6" t="n">
        <f aca="false">Sens!G10244+Sens!G10246</f>
        <v>204.778727861793</v>
      </c>
      <c r="H10247" s="6" t="n">
        <f aca="false">Sens!H10244+Sens!H10246</f>
        <v>225.990505781069</v>
      </c>
      <c r="I10247" s="6" t="n">
        <f aca="false">Sens!I10244+Sens!I10246</f>
        <v>245.049380505251</v>
      </c>
      <c r="J10247" s="6" t="n">
        <f aca="false">Sens!J10244+Sens!J10246</f>
        <v>261.142707429529</v>
      </c>
      <c r="K10247" s="6" t="n">
        <f aca="false">Sens!K10244+Sens!K10246</f>
        <v>273.99369944885</v>
      </c>
    </row>
    <row r="10248" customFormat="false" ht="15" hidden="false" customHeight="false" outlineLevel="0" collapsed="false">
      <c r="A10248" s="22" t="s">
        <v>819</v>
      </c>
      <c r="B10248" s="28" t="s">
        <v>95</v>
      </c>
      <c r="C10248" s="28"/>
      <c r="D10248" s="23" t="n">
        <f aca="false">Sens!D10247-Q!L23</f>
        <v>0</v>
      </c>
      <c r="E10248" s="23" t="n">
        <f aca="false">Sens!E10247-Q!M23</f>
        <v>0</v>
      </c>
      <c r="F10248" s="28"/>
      <c r="G10248" s="28"/>
      <c r="H10248" s="28"/>
      <c r="I10248" s="28"/>
      <c r="J10248" s="28"/>
      <c r="K10248" s="28"/>
    </row>
    <row r="10249" customFormat="false" ht="15" hidden="false" customHeight="false" outlineLevel="0" collapsed="false">
      <c r="A10249" s="1" t="s">
        <v>820</v>
      </c>
      <c r="B10249" s="0" t="s">
        <v>126</v>
      </c>
      <c r="D10249" s="7" t="n">
        <f aca="false">Sens!D10247/Sens!D10240</f>
        <v>0.456219562408598</v>
      </c>
      <c r="E10249" s="7" t="n">
        <f aca="false">Sens!E10247/Sens!E10240</f>
        <v>0.467808184089272</v>
      </c>
      <c r="F10249" s="7" t="n">
        <f aca="false">Sens!F10247/Sens!F10240</f>
        <v>0.460133151383498</v>
      </c>
      <c r="G10249" s="7" t="n">
        <f aca="false">Sens!G10247/Sens!G10240</f>
        <v>0.4309339478792</v>
      </c>
      <c r="H10249" s="7" t="n">
        <f aca="false">Sens!H10247/Sens!H10240</f>
        <v>0.408830504531625</v>
      </c>
      <c r="I10249" s="7" t="n">
        <f aca="false">Sens!I10247/Sens!I10240</f>
        <v>0.389862784068513</v>
      </c>
      <c r="J10249" s="7" t="n">
        <f aca="false">Sens!J10247/Sens!J10240</f>
        <v>0.372484617406538</v>
      </c>
      <c r="K10249" s="7" t="n">
        <f aca="false">Sens!K10247/Sens!K10240</f>
        <v>0.35564208388611</v>
      </c>
    </row>
    <row r="10250" customFormat="false" ht="17.15" hidden="false" customHeight="false" outlineLevel="0" collapsed="false">
      <c r="A10250" s="1" t="s">
        <v>821</v>
      </c>
      <c r="B10250" s="0" t="s">
        <v>95</v>
      </c>
      <c r="E10250" s="6" t="n">
        <f aca="false">Sens!E10195</f>
        <v>16.3054059770833</v>
      </c>
      <c r="F10250" s="6" t="n">
        <f aca="false">Sens!F10195</f>
        <v>34.7405354558698</v>
      </c>
      <c r="G10250" s="6" t="n">
        <f aca="false">Sens!G10195</f>
        <v>60.5067332603396</v>
      </c>
      <c r="H10250" s="6" t="n">
        <f aca="false">Sens!H10195</f>
        <v>87.7423159931396</v>
      </c>
      <c r="I10250" s="6" t="n">
        <f aca="false">Sens!I10195</f>
        <v>115.997181741123</v>
      </c>
      <c r="J10250" s="6" t="n">
        <f aca="false">Sens!J10195</f>
        <v>145.224277958273</v>
      </c>
      <c r="K10250" s="6" t="n">
        <f aca="false">Sens!K10195</f>
        <v>175.73892263459</v>
      </c>
    </row>
    <row r="10251" customFormat="false" ht="17.15" hidden="false" customHeight="false" outlineLevel="0" collapsed="false">
      <c r="A10251" s="1" t="s">
        <v>822</v>
      </c>
      <c r="B10251" s="0" t="s">
        <v>95</v>
      </c>
      <c r="E10251" s="6" t="n">
        <f aca="false">Sens!E10271</f>
        <v>22.2285940229167</v>
      </c>
      <c r="F10251" s="6" t="n">
        <f aca="false">Sens!F10271</f>
        <v>23.5636693435813</v>
      </c>
      <c r="G10251" s="6" t="n">
        <f aca="false">Sens!G10271</f>
        <v>25.3225917662621</v>
      </c>
      <c r="H10251" s="6" t="n">
        <f aca="false">Sens!H10271</f>
        <v>27.4714839540448</v>
      </c>
      <c r="I10251" s="6" t="n">
        <f aca="false">Sens!I10271</f>
        <v>29.9441755898047</v>
      </c>
      <c r="J10251" s="6" t="n">
        <f aca="false">Sens!J10271</f>
        <v>32.6578493558616</v>
      </c>
      <c r="K10251" s="6" t="n">
        <f aca="false">Sens!K10271</f>
        <v>35.5289346944749</v>
      </c>
    </row>
    <row r="10252" customFormat="false" ht="17.15" hidden="false" customHeight="false" outlineLevel="0" collapsed="false">
      <c r="A10252" s="1" t="s">
        <v>823</v>
      </c>
      <c r="B10252" s="0" t="s">
        <v>95</v>
      </c>
      <c r="D10252" s="6" t="n">
        <f aca="false">Q!L27</f>
        <v>-4.901</v>
      </c>
      <c r="E10252" s="6" t="n">
        <f aca="false">Q!M27</f>
        <v>10.697</v>
      </c>
      <c r="F10252" s="6" t="n">
        <f aca="false">oie_f</f>
        <v>-0.4</v>
      </c>
      <c r="G10252" s="6" t="n">
        <f aca="false">oie_f</f>
        <v>-0.4</v>
      </c>
      <c r="H10252" s="6" t="n">
        <f aca="false">oie_f</f>
        <v>-0.4</v>
      </c>
      <c r="I10252" s="6" t="n">
        <f aca="false">oie_f</f>
        <v>-0.4</v>
      </c>
      <c r="J10252" s="6" t="n">
        <f aca="false">oie_f</f>
        <v>-0.4</v>
      </c>
      <c r="K10252" s="6" t="n">
        <f aca="false">oie_f</f>
        <v>-0.4</v>
      </c>
      <c r="L10252" s="11" t="s">
        <v>824</v>
      </c>
    </row>
    <row r="10253" customFormat="false" ht="15" hidden="false" customHeight="false" outlineLevel="0" collapsed="false">
      <c r="A10253" s="1" t="s">
        <v>666</v>
      </c>
      <c r="B10253" s="0" t="s">
        <v>95</v>
      </c>
      <c r="D10253" s="6" t="n">
        <f aca="false">Sens!D10247+Sens!D10252</f>
        <v>123.627</v>
      </c>
      <c r="E10253" s="6" t="n">
        <f aca="false">Sens!E10247+Sens!E10252</f>
        <v>165.934</v>
      </c>
      <c r="F10253" s="6" t="n">
        <f aca="false">Sens!F10247+Sens!F10252</f>
        <v>183.380449774168</v>
      </c>
      <c r="G10253" s="6" t="n">
        <f aca="false">Sens!G10247+Sens!G10252</f>
        <v>204.378727861793</v>
      </c>
      <c r="H10253" s="6" t="n">
        <f aca="false">Sens!H10247+Sens!H10252</f>
        <v>225.590505781069</v>
      </c>
      <c r="I10253" s="6" t="n">
        <f aca="false">Sens!I10247+Sens!I10252</f>
        <v>244.649380505251</v>
      </c>
      <c r="J10253" s="6" t="n">
        <f aca="false">Sens!J10247+Sens!J10252</f>
        <v>260.742707429529</v>
      </c>
      <c r="K10253" s="6" t="n">
        <f aca="false">Sens!K10247+Sens!K10252</f>
        <v>273.59369944885</v>
      </c>
    </row>
    <row r="10254" customFormat="false" ht="15" hidden="false" customHeight="false" outlineLevel="0" collapsed="false">
      <c r="A10254" s="1" t="s">
        <v>668</v>
      </c>
      <c r="B10254" s="0" t="s">
        <v>95</v>
      </c>
      <c r="D10254" s="6" t="n">
        <f aca="false">Q!L29</f>
        <v>21.795</v>
      </c>
      <c r="E10254" s="6" t="n">
        <f aca="false">Q!M29</f>
        <v>32.185</v>
      </c>
      <c r="F10254" s="6" t="n">
        <f aca="false">Sens!F10253*tax_f</f>
        <v>36.6760899548336</v>
      </c>
      <c r="G10254" s="6" t="n">
        <f aca="false">Sens!G10253*tax_f</f>
        <v>40.8757455723586</v>
      </c>
      <c r="H10254" s="6" t="n">
        <f aca="false">Sens!H10253*tax_f</f>
        <v>45.1181011562138</v>
      </c>
      <c r="I10254" s="6" t="n">
        <f aca="false">Sens!I10253*tax_f</f>
        <v>48.9298761010503</v>
      </c>
      <c r="J10254" s="6" t="n">
        <f aca="false">Sens!J10253*tax_f</f>
        <v>52.1485414859057</v>
      </c>
      <c r="K10254" s="6" t="n">
        <f aca="false">Sens!K10253*tax_f</f>
        <v>54.71873988977</v>
      </c>
    </row>
    <row r="10255" customFormat="false" ht="15" hidden="false" customHeight="false" outlineLevel="0" collapsed="false">
      <c r="A10255" s="1" t="s">
        <v>825</v>
      </c>
      <c r="B10255" s="0" t="s">
        <v>95</v>
      </c>
      <c r="D10255" s="6" t="n">
        <f aca="false">Sens!D10253-Sens!D10254</f>
        <v>101.832</v>
      </c>
      <c r="E10255" s="6" t="n">
        <f aca="false">Sens!E10253-Sens!E10254</f>
        <v>133.749</v>
      </c>
      <c r="F10255" s="6" t="n">
        <f aca="false">Sens!F10253-Sens!F10254</f>
        <v>146.704359819335</v>
      </c>
      <c r="G10255" s="6" t="n">
        <f aca="false">Sens!G10253-Sens!G10254</f>
        <v>163.502982289434</v>
      </c>
      <c r="H10255" s="6" t="n">
        <f aca="false">Sens!H10253-Sens!H10254</f>
        <v>180.472404624855</v>
      </c>
      <c r="I10255" s="6" t="n">
        <f aca="false">Sens!I10253-Sens!I10254</f>
        <v>195.719504404201</v>
      </c>
      <c r="J10255" s="6" t="n">
        <f aca="false">Sens!J10253-Sens!J10254</f>
        <v>208.594165943623</v>
      </c>
      <c r="K10255" s="6" t="n">
        <f aca="false">Sens!K10253-Sens!K10254</f>
        <v>218.87495955908</v>
      </c>
    </row>
    <row r="10256" customFormat="false" ht="17.15" hidden="false" customHeight="false" outlineLevel="0" collapsed="false">
      <c r="A10256" s="1" t="s">
        <v>826</v>
      </c>
      <c r="B10256" s="1" t="s">
        <v>79</v>
      </c>
      <c r="D10256" s="18" t="n">
        <f aca="false">Q!L31</f>
        <v>7.465</v>
      </c>
      <c r="E10256" s="18" t="n">
        <f aca="false">Q!M31</f>
        <v>7.453</v>
      </c>
      <c r="F10256" s="18" t="n">
        <f aca="false">Sens!F10293</f>
        <v>7.4735</v>
      </c>
      <c r="G10256" s="18" t="n">
        <f aca="false">Sens!G10293</f>
        <v>7.51279725151484</v>
      </c>
      <c r="H10256" s="18" t="n">
        <f aca="false">Sens!H10293</f>
        <v>7.53484608887963</v>
      </c>
      <c r="I10256" s="18" t="n">
        <f aca="false">Sens!I10293</f>
        <v>7.54662692088694</v>
      </c>
      <c r="J10256" s="18" t="n">
        <f aca="false">Sens!J10293</f>
        <v>7.56086843200483</v>
      </c>
      <c r="K10256" s="18" t="n">
        <f aca="false">Sens!K10293</f>
        <v>7.57738834970657</v>
      </c>
    </row>
    <row r="10257" customFormat="false" ht="17.15" hidden="false" customHeight="false" outlineLevel="0" collapsed="false">
      <c r="A10257" s="0" t="s">
        <v>827</v>
      </c>
      <c r="B10257" s="0" t="s">
        <v>73</v>
      </c>
      <c r="D10257" s="8" t="n">
        <f aca="false">Sens!D10255/Sens!D10256</f>
        <v>13.641259209645</v>
      </c>
      <c r="E10257" s="8" t="n">
        <f aca="false">Sens!E10255/Sens!E10256</f>
        <v>17.9456594659869</v>
      </c>
      <c r="F10257" s="8" t="n">
        <f aca="false">Sens!F10255/Sens!F10256</f>
        <v>19.6299404321047</v>
      </c>
      <c r="G10257" s="8" t="n">
        <f aca="false">Sens!G10255/Sens!G10256</f>
        <v>21.7632629785752</v>
      </c>
      <c r="H10257" s="8" t="n">
        <f aca="false">Sens!H10255/Sens!H10256</f>
        <v>23.9517041882524</v>
      </c>
      <c r="I10257" s="8" t="n">
        <f aca="false">Sens!I10255/Sens!I10256</f>
        <v>25.9346998938697</v>
      </c>
      <c r="J10257" s="8" t="n">
        <f aca="false">Sens!J10255/Sens!J10256</f>
        <v>27.5886517295623</v>
      </c>
      <c r="K10257" s="8" t="n">
        <f aca="false">Sens!K10255/Sens!K10256</f>
        <v>28.8852767546956</v>
      </c>
      <c r="L10257" s="1" t="s">
        <v>828</v>
      </c>
    </row>
    <row r="10258" customFormat="false" ht="17.15" hidden="false" customHeight="false" outlineLevel="0" collapsed="false">
      <c r="A10258" s="0" t="s">
        <v>829</v>
      </c>
      <c r="B10258" s="0" t="s">
        <v>126</v>
      </c>
      <c r="E10258" s="7" t="n">
        <f aca="false">Sens!E10257/Sens!D10257-1</f>
        <v>0.315542736208578</v>
      </c>
      <c r="F10258" s="7" t="n">
        <f aca="false">Sens!F10257/Sens!E10257-1</f>
        <v>0.0938545038877032</v>
      </c>
      <c r="G10258" s="7" t="n">
        <f aca="false">Sens!G10257/Sens!F10257-1</f>
        <v>0.108676975044785</v>
      </c>
      <c r="H10258" s="7" t="n">
        <f aca="false">Sens!H10257/Sens!G10257-1</f>
        <v>0.100556667988232</v>
      </c>
      <c r="I10258" s="7" t="n">
        <f aca="false">Sens!I10257/Sens!H10257-1</f>
        <v>0.0827914243609429</v>
      </c>
      <c r="J10258" s="7" t="n">
        <f aca="false">Sens!J10257/Sens!I10257-1</f>
        <v>0.0637737025090279</v>
      </c>
      <c r="K10258" s="7" t="n">
        <f aca="false">Sens!K10257/Sens!J10257-1</f>
        <v>0.046998491910494</v>
      </c>
    </row>
    <row r="10259" customFormat="false" ht="17.15" hidden="false" customHeight="false" outlineLevel="0" collapsed="false">
      <c r="A10259" s="0" t="s">
        <v>763</v>
      </c>
      <c r="B10259" s="0" t="s">
        <v>95</v>
      </c>
      <c r="E10259" s="6" t="n">
        <f aca="false">Sens!E10204</f>
        <v>5.25</v>
      </c>
      <c r="F10259" s="6" t="n">
        <f aca="false">Sens!F10204</f>
        <v>12</v>
      </c>
      <c r="G10259" s="6" t="n">
        <f aca="false">Sens!G10204</f>
        <v>18</v>
      </c>
      <c r="H10259" s="6" t="n">
        <f aca="false">Sens!H10204</f>
        <v>24</v>
      </c>
      <c r="I10259" s="6" t="n">
        <f aca="false">Sens!I10204</f>
        <v>28.5</v>
      </c>
      <c r="J10259" s="6" t="n">
        <f aca="false">Sens!J10204</f>
        <v>31.5</v>
      </c>
      <c r="K10259" s="6" t="n">
        <f aca="false">Sens!K10204</f>
        <v>34.5</v>
      </c>
    </row>
    <row r="10260" customFormat="false" ht="17.15" hidden="false" customHeight="false" outlineLevel="0" collapsed="false">
      <c r="A10260" s="0" t="s">
        <v>764</v>
      </c>
      <c r="B10260" s="0" t="s">
        <v>95</v>
      </c>
      <c r="E10260" s="6" t="n">
        <f aca="false">Sens!E10184+Sens!E10259*Sens!E10243-Sens!E10185-Sens!E10195</f>
        <v>2.1514866143068</v>
      </c>
      <c r="F10260" s="6" t="n">
        <f aca="false">Sens!F10184+Sens!F10259*Sens!F10243-Sens!F10185-Sens!F10195</f>
        <v>5.27746295335383</v>
      </c>
      <c r="G10260" s="6" t="n">
        <f aca="false">Sens!G10184+Sens!G10259*Sens!G10243-Sens!G10185-Sens!G10195</f>
        <v>5.89862243911073</v>
      </c>
      <c r="H10260" s="6" t="n">
        <f aca="false">Sens!H10184+Sens!H10259*Sens!H10243-Sens!H10185-Sens!H10195</f>
        <v>6.39687490978851</v>
      </c>
      <c r="I10260" s="6" t="n">
        <f aca="false">Sens!I10184+Sens!I10259*Sens!I10243-Sens!I10185-Sens!I10195</f>
        <v>5.1223861459909</v>
      </c>
      <c r="J10260" s="6" t="n">
        <f aca="false">Sens!J10184+Sens!J10259*Sens!J10243-Sens!J10185-Sens!J10195</f>
        <v>2.05874498092177</v>
      </c>
      <c r="K10260" s="6" t="n">
        <f aca="false">Sens!K10184+Sens!K10259*Sens!K10243-Sens!K10185-Sens!K10195</f>
        <v>-2.25155284488287</v>
      </c>
    </row>
    <row r="10261" customFormat="false" ht="17.15" hidden="false" customHeight="false" outlineLevel="0" collapsed="false">
      <c r="A10261" s="0" t="s">
        <v>765</v>
      </c>
      <c r="B10261" s="0" t="s">
        <v>95</v>
      </c>
      <c r="E10261" s="6" t="n">
        <f aca="false">Sens!E10167*(cxit_open+self_build*tk_cxfac)/1000*ai_net_open</f>
        <v>126.6980382</v>
      </c>
      <c r="F10261" s="6" t="n">
        <f aca="false">Sens!E10261+Sens!F10192-Sens!F10195</f>
        <v>260.578155514568</v>
      </c>
      <c r="G10261" s="6" t="n">
        <f aca="false">Sens!F10261+Sens!G10192-Sens!G10195</f>
        <v>383.645602737428</v>
      </c>
      <c r="H10261" s="6" t="n">
        <f aca="false">Sens!G10261+Sens!H10192-Sens!H10195</f>
        <v>483.983572654688</v>
      </c>
      <c r="I10261" s="6" t="n">
        <f aca="false">Sens!H10261+Sens!I10192-Sens!I10195</f>
        <v>586.325352170632</v>
      </c>
      <c r="J10261" s="6" t="n">
        <f aca="false">Sens!I10261+Sens!J10192-Sens!J10195</f>
        <v>674.878135136093</v>
      </c>
      <c r="K10261" s="6" t="n">
        <f aca="false">Sens!J10261+Sens!K10192-Sens!K10195</f>
        <v>777.995524451903</v>
      </c>
      <c r="L10261" s="1" t="s">
        <v>766</v>
      </c>
    </row>
    <row r="10262" customFormat="false" ht="17.15" hidden="false" customHeight="false" outlineLevel="0" collapsed="false">
      <c r="A10262" s="0" t="s">
        <v>767</v>
      </c>
      <c r="B10262" s="0" t="s">
        <v>126</v>
      </c>
      <c r="F10262" s="7" t="n">
        <f aca="false">Sens!F10260*(1-tax_f)/((Sens!E10261+Sens!F10261)/2)</f>
        <v>0.0218034076517224</v>
      </c>
      <c r="G10262" s="7" t="n">
        <f aca="false">Sens!G10260*(1-tax_f)/((Sens!F10261+Sens!G10261)/2)</f>
        <v>0.0146498724731687</v>
      </c>
      <c r="H10262" s="7" t="n">
        <f aca="false">Sens!H10260*(1-tax_f)/((Sens!G10261+Sens!H10261)/2)</f>
        <v>0.0117965141629038</v>
      </c>
      <c r="I10262" s="7" t="n">
        <f aca="false">Sens!I10260*(1-tax_f)/((Sens!H10261+Sens!I10261)/2)</f>
        <v>0.00765743202124848</v>
      </c>
      <c r="J10262" s="7" t="n">
        <f aca="false">Sens!J10260*(1-tax_f)/((Sens!I10261+Sens!J10261)/2)</f>
        <v>0.00261178469820845</v>
      </c>
      <c r="K10262" s="7" t="n">
        <f aca="false">Sens!K10260*(1-tax_f)/((Sens!J10261+Sens!K10261)/2)</f>
        <v>-0.00247955803179347</v>
      </c>
    </row>
    <row r="10263" customFormat="false" ht="17.15" hidden="false" customHeight="false" outlineLevel="0" collapsed="false">
      <c r="A10263" s="1" t="s">
        <v>768</v>
      </c>
      <c r="B10263" s="0" t="s">
        <v>126</v>
      </c>
      <c r="F10263" s="7" t="n">
        <f aca="false">Sens!F10196*(1-tax_f)/(Sens!F10183*(Sens!E10261+Sens!F10261)/2)</f>
        <v>0.128178079126594</v>
      </c>
      <c r="G10263" s="7" t="n">
        <f aca="false">Sens!G10196*(1-tax_f)/(Sens!G10183*(Sens!F10261+Sens!G10261)/2)</f>
        <v>0.125209972318428</v>
      </c>
      <c r="H10263" s="7" t="n">
        <f aca="false">Sens!H10196*(1-tax_f)/(Sens!H10183*(Sens!G10261+Sens!H10261)/2)</f>
        <v>0.130852385928537</v>
      </c>
      <c r="I10263" s="7" t="n">
        <f aca="false">Sens!I10196*(1-tax_f)/(Sens!I10183*(Sens!H10261+Sens!I10261)/2)</f>
        <v>0.135620735671751</v>
      </c>
      <c r="J10263" s="7" t="n">
        <f aca="false">Sens!J10196*(1-tax_f)/(Sens!J10183*(Sens!I10261+Sens!J10261)/2)</f>
        <v>0.139095560676846</v>
      </c>
      <c r="K10263" s="7" t="n">
        <f aca="false">Sens!K10196*(1-tax_f)/(Sens!K10183*(Sens!J10261+Sens!K10261)/2)</f>
        <v>0.14024523271076</v>
      </c>
    </row>
    <row r="10264" customFormat="false" ht="17.15" hidden="false" customHeight="false" outlineLevel="0" collapsed="false">
      <c r="A10264" s="0" t="s">
        <v>769</v>
      </c>
      <c r="B10264" s="0" t="s">
        <v>208</v>
      </c>
      <c r="F10264" s="7" t="n">
        <f aca="false">Sens!F10262-wacc</f>
        <v>-0.0871598134985316</v>
      </c>
      <c r="G10264" s="7" t="n">
        <f aca="false">Sens!G10262-wacc</f>
        <v>-0.0943133486770853</v>
      </c>
      <c r="H10264" s="7" t="n">
        <f aca="false">Sens!H10262-wacc</f>
        <v>-0.0971667069873502</v>
      </c>
      <c r="I10264" s="7" t="n">
        <f aca="false">Sens!I10262-wacc</f>
        <v>-0.101305789129006</v>
      </c>
      <c r="J10264" s="7" t="n">
        <f aca="false">Sens!J10262-wacc</f>
        <v>-0.106351436452046</v>
      </c>
      <c r="K10264" s="7" t="n">
        <f aca="false">Sens!K10262-wacc</f>
        <v>-0.111442779182047</v>
      </c>
    </row>
    <row r="10265" customFormat="false" ht="17.15" hidden="false" customHeight="false" outlineLevel="0" collapsed="false">
      <c r="A10265" s="0" t="s">
        <v>770</v>
      </c>
      <c r="B10265" s="0" t="s">
        <v>95</v>
      </c>
      <c r="F10265" s="6" t="n">
        <f aca="false">Sens!F10260*(1-tax_f)-wacc*(Sens!E10261+Sens!F10261)/2</f>
        <v>-16.8774604082915</v>
      </c>
      <c r="G10265" s="6" t="n">
        <f aca="false">Sens!G10260*(1-tax_f)-wacc*(Sens!F10261+Sens!G10261)/2</f>
        <v>-30.3794499690414</v>
      </c>
      <c r="H10265" s="6" t="n">
        <f aca="false">Sens!H10260*(1-tax_f)-wacc*(Sens!G10261+Sens!H10261)/2</f>
        <v>-42.152334929501</v>
      </c>
      <c r="I10265" s="6" t="n">
        <f aca="false">Sens!I10260*(1-tax_f)-wacc*(Sens!H10261+Sens!I10261)/2</f>
        <v>-54.2142451206233</v>
      </c>
      <c r="J10265" s="6" t="n">
        <f aca="false">Sens!J10260*(1-tax_f)-wacc*(Sens!I10261+Sens!J10261)/2</f>
        <v>-67.0654012666997</v>
      </c>
      <c r="K10265" s="6" t="n">
        <f aca="false">Sens!K10260*(1-tax_f)-wacc*(Sens!J10261+Sens!K10261)/2</f>
        <v>-80.9561392124391</v>
      </c>
    </row>
    <row r="10266" customFormat="false" ht="17.15" hidden="false" customHeight="false" outlineLevel="0" collapsed="false">
      <c r="A10266" s="1" t="s">
        <v>771</v>
      </c>
      <c r="B10266" s="0" t="s">
        <v>95</v>
      </c>
      <c r="F10266" s="6" t="n">
        <f aca="false">(Sens!E10168+Sens!F10168)/2*Sens!F10175/1000</f>
        <v>26.7873066765967</v>
      </c>
      <c r="G10266" s="6" t="n">
        <f aca="false">(Sens!F10168+Sens!G10168)/2*Sens!G10175/1000</f>
        <v>45.4131817597218</v>
      </c>
      <c r="H10266" s="6" t="n">
        <f aca="false">(Sens!G10168+Sens!H10168)/2*Sens!H10175/1000</f>
        <v>65.3915129357971</v>
      </c>
      <c r="I10266" s="6" t="n">
        <f aca="false">(Sens!H10168+Sens!I10168)/2*Sens!I10175/1000</f>
        <v>85.5187419289299</v>
      </c>
      <c r="J10266" s="6" t="n">
        <f aca="false">(Sens!I10168+Sens!J10168)/2*Sens!J10175/1000</f>
        <v>105.723807195006</v>
      </c>
      <c r="K10266" s="6" t="n">
        <f aca="false">(Sens!J10168+Sens!K10168)/2*Sens!K10175/1000</f>
        <v>125.974659797015</v>
      </c>
      <c r="L10266" s="1" t="s">
        <v>772</v>
      </c>
    </row>
    <row r="10267" customFormat="false" ht="17.15" hidden="false" customHeight="false" outlineLevel="0" collapsed="false">
      <c r="A10267" s="1" t="s">
        <v>773</v>
      </c>
      <c r="B10267" s="0" t="s">
        <v>126</v>
      </c>
      <c r="F10267" s="7" t="n">
        <f aca="false">(Sens!F10184+Sens!F10266-Sens!F10185-Sens!F10195)*(1-tax_f)/((Sens!E10261+Sens!F10261)/2)</f>
        <v>0.103175074842083</v>
      </c>
      <c r="G10267" s="7" t="n">
        <f aca="false">(Sens!G10184+Sens!G10266-Sens!G10185-Sens!G10195)*(1-tax_f)/((Sens!F10261+Sens!G10261)/2)</f>
        <v>0.101019737597725</v>
      </c>
      <c r="H10267" s="7" t="n">
        <f aca="false">(Sens!H10184+Sens!H10266-Sens!H10185-Sens!H10195)*(1-tax_f)/((Sens!G10261+Sens!H10261)/2)</f>
        <v>0.106230473678522</v>
      </c>
      <c r="I10267" s="7" t="n">
        <f aca="false">(Sens!I10184+Sens!I10266-Sens!I10185-Sens!I10195)*(1-tax_f)/((Sens!H10261+Sens!I10261)/2)</f>
        <v>0.110321559487224</v>
      </c>
      <c r="J10267" s="7" t="n">
        <f aca="false">(Sens!J10184+Sens!J10266-Sens!J10185-Sens!J10195)*(1-tax_f)/((Sens!I10261+Sens!J10261)/2)</f>
        <v>0.113120392096189</v>
      </c>
      <c r="K10267" s="7" t="n">
        <f aca="false">(Sens!K10184+Sens!K10266-Sens!K10185-Sens!K10195)*(1-tax_f)/((Sens!J10261+Sens!K10261)/2)</f>
        <v>0.113799382529803</v>
      </c>
      <c r="L10267" s="1" t="s">
        <v>774</v>
      </c>
    </row>
    <row r="10268" customFormat="false" ht="17.15" hidden="false" customHeight="false" outlineLevel="0" collapsed="false">
      <c r="A10268" s="3" t="s">
        <v>1407</v>
      </c>
    </row>
    <row r="10269" customFormat="false" ht="15" hidden="false" customHeight="false" outlineLevel="0" collapsed="false">
      <c r="A10269" s="4" t="s">
        <v>43</v>
      </c>
      <c r="B10269" s="4" t="s">
        <v>63</v>
      </c>
      <c r="C10269" s="19" t="s">
        <v>710</v>
      </c>
      <c r="D10269" s="19" t="s">
        <v>711</v>
      </c>
      <c r="E10269" s="19" t="s">
        <v>712</v>
      </c>
      <c r="F10269" s="19" t="s">
        <v>713</v>
      </c>
      <c r="G10269" s="19" t="s">
        <v>714</v>
      </c>
      <c r="H10269" s="19" t="s">
        <v>715</v>
      </c>
      <c r="I10269" s="19" t="s">
        <v>716</v>
      </c>
      <c r="J10269" s="19" t="s">
        <v>717</v>
      </c>
      <c r="K10269" s="19" t="s">
        <v>718</v>
      </c>
      <c r="L10269" s="4" t="s">
        <v>47</v>
      </c>
    </row>
    <row r="10270" customFormat="false" ht="15" hidden="false" customHeight="false" outlineLevel="0" collapsed="false">
      <c r="A10270" s="1" t="s">
        <v>825</v>
      </c>
      <c r="B10270" s="0" t="s">
        <v>95</v>
      </c>
      <c r="F10270" s="6" t="n">
        <f aca="false">Sens!F10255</f>
        <v>146.704359819335</v>
      </c>
      <c r="G10270" s="6" t="n">
        <f aca="false">Sens!G10255</f>
        <v>163.502982289434</v>
      </c>
      <c r="H10270" s="6" t="n">
        <f aca="false">Sens!H10255</f>
        <v>180.472404624855</v>
      </c>
      <c r="I10270" s="6" t="n">
        <f aca="false">Sens!I10255</f>
        <v>195.719504404201</v>
      </c>
      <c r="J10270" s="6" t="n">
        <f aca="false">Sens!J10255</f>
        <v>208.594165943623</v>
      </c>
      <c r="K10270" s="6" t="n">
        <f aca="false">Sens!K10255</f>
        <v>218.87495955908</v>
      </c>
    </row>
    <row r="10271" customFormat="false" ht="17.15" hidden="false" customHeight="false" outlineLevel="0" collapsed="false">
      <c r="A10271" s="1" t="s">
        <v>843</v>
      </c>
      <c r="B10271" s="0" t="s">
        <v>95</v>
      </c>
      <c r="E10271" s="6" t="n">
        <f aca="false">Q!M38-Sens!E10195</f>
        <v>22.2285940229167</v>
      </c>
      <c r="F10271" s="6" t="n">
        <f aca="false">Sens!E10271*(1-1/life_nonai)+Sens!F10277/life_nonai</f>
        <v>23.5636693435813</v>
      </c>
      <c r="G10271" s="6" t="n">
        <f aca="false">Sens!F10271*(1-1/life_nonai)+Sens!G10277/life_nonai</f>
        <v>25.3225917662621</v>
      </c>
      <c r="H10271" s="6" t="n">
        <f aca="false">Sens!G10271*(1-1/life_nonai)+Sens!H10277/life_nonai</f>
        <v>27.4714839540448</v>
      </c>
      <c r="I10271" s="6" t="n">
        <f aca="false">Sens!H10271*(1-1/life_nonai)+Sens!I10277/life_nonai</f>
        <v>29.9441755898047</v>
      </c>
      <c r="J10271" s="6" t="n">
        <f aca="false">Sens!I10271*(1-1/life_nonai)+Sens!J10277/life_nonai</f>
        <v>32.6578493558616</v>
      </c>
      <c r="K10271" s="6" t="n">
        <f aca="false">Sens!J10271*(1-1/life_nonai)+Sens!K10277/life_nonai</f>
        <v>35.5289346944749</v>
      </c>
      <c r="L10271" s="11" t="s">
        <v>844</v>
      </c>
    </row>
    <row r="10272" customFormat="false" ht="17.15" hidden="false" customHeight="false" outlineLevel="0" collapsed="false">
      <c r="A10272" s="1" t="s">
        <v>845</v>
      </c>
      <c r="B10272" s="0" t="s">
        <v>95</v>
      </c>
      <c r="E10272" s="6" t="n">
        <f aca="false">Sens!E10195+Sens!E10271</f>
        <v>38.534</v>
      </c>
      <c r="F10272" s="6" t="n">
        <f aca="false">Sens!F10195+Sens!F10271</f>
        <v>58.304204799451</v>
      </c>
      <c r="G10272" s="6" t="n">
        <f aca="false">Sens!G10195+Sens!G10271</f>
        <v>85.8293250266017</v>
      </c>
      <c r="H10272" s="6" t="n">
        <f aca="false">Sens!H10195+Sens!H10271</f>
        <v>115.213799947184</v>
      </c>
      <c r="I10272" s="6" t="n">
        <f aca="false">Sens!I10195+Sens!I10271</f>
        <v>145.941357330928</v>
      </c>
      <c r="J10272" s="6" t="n">
        <f aca="false">Sens!J10195+Sens!J10271</f>
        <v>177.882127314135</v>
      </c>
      <c r="K10272" s="6" t="n">
        <f aca="false">Sens!K10195+Sens!K10271</f>
        <v>211.267857329064</v>
      </c>
    </row>
    <row r="10273" customFormat="false" ht="15" hidden="false" customHeight="false" outlineLevel="0" collapsed="false">
      <c r="A10273" s="1" t="s">
        <v>685</v>
      </c>
      <c r="B10273" s="0" t="s">
        <v>95</v>
      </c>
      <c r="F10273" s="6" t="n">
        <f aca="false">Sens!F10222*sbc_r</f>
        <v>14.9308704941267</v>
      </c>
      <c r="G10273" s="6" t="n">
        <f aca="false">Sens!G10222*sbc_r</f>
        <v>17.7641108812713</v>
      </c>
      <c r="H10273" s="6" t="n">
        <f aca="false">Sens!H10222*sbc_r</f>
        <v>20.6640880611968</v>
      </c>
      <c r="I10273" s="6" t="n">
        <f aca="false">Sens!I10222*sbc_r</f>
        <v>23.4969326339241</v>
      </c>
      <c r="J10273" s="6" t="n">
        <f aca="false">Sens!J10222*sbc_r</f>
        <v>26.2083031015503</v>
      </c>
      <c r="K10273" s="6" t="n">
        <f aca="false">Sens!K10222*sbc_r</f>
        <v>28.8002841446643</v>
      </c>
    </row>
    <row r="10274" customFormat="false" ht="17.15" hidden="false" customHeight="false" outlineLevel="0" collapsed="false">
      <c r="A10274" s="1" t="s">
        <v>846</v>
      </c>
      <c r="B10274" s="0" t="s">
        <v>95</v>
      </c>
      <c r="F10274" s="6" t="n">
        <f aca="false">wc27</f>
        <v>-4.895</v>
      </c>
      <c r="G10274" s="6" t="n">
        <f aca="false">0</f>
        <v>0</v>
      </c>
      <c r="H10274" s="6" t="n">
        <f aca="false">0</f>
        <v>0</v>
      </c>
      <c r="I10274" s="6" t="n">
        <f aca="false">0</f>
        <v>0</v>
      </c>
      <c r="J10274" s="6" t="n">
        <f aca="false">0</f>
        <v>0</v>
      </c>
      <c r="K10274" s="6" t="n">
        <f aca="false">0</f>
        <v>0</v>
      </c>
      <c r="L10274" s="11" t="s">
        <v>847</v>
      </c>
    </row>
    <row r="10275" customFormat="false" ht="15" hidden="false" customHeight="false" outlineLevel="0" collapsed="false">
      <c r="A10275" s="1" t="s">
        <v>678</v>
      </c>
      <c r="B10275" s="0" t="s">
        <v>95</v>
      </c>
      <c r="E10275" s="6" t="n">
        <f aca="false">Q!M35</f>
        <v>182.935</v>
      </c>
      <c r="F10275" s="6" t="n">
        <f aca="false">Sens!F10270+Sens!F10272+Sens!F10273+Sens!F10274</f>
        <v>215.044435112912</v>
      </c>
      <c r="G10275" s="6" t="n">
        <f aca="false">Sens!G10270+Sens!G10272+Sens!G10273+Sens!G10274</f>
        <v>267.096418197307</v>
      </c>
      <c r="H10275" s="6" t="n">
        <f aca="false">Sens!H10270+Sens!H10272+Sens!H10273+Sens!H10274</f>
        <v>316.350292633236</v>
      </c>
      <c r="I10275" s="6" t="n">
        <f aca="false">Sens!I10270+Sens!I10272+Sens!I10273+Sens!I10274</f>
        <v>365.157794369053</v>
      </c>
      <c r="J10275" s="6" t="n">
        <f aca="false">Sens!J10270+Sens!J10272+Sens!J10273+Sens!J10274</f>
        <v>412.684596359308</v>
      </c>
      <c r="K10275" s="6" t="n">
        <f aca="false">Sens!K10270+Sens!K10272+Sens!K10273+Sens!K10274</f>
        <v>458.943101032809</v>
      </c>
    </row>
    <row r="10276" customFormat="false" ht="17.15" hidden="false" customHeight="false" outlineLevel="0" collapsed="false">
      <c r="A10276" s="0" t="s">
        <v>848</v>
      </c>
      <c r="B10276" s="0" t="s">
        <v>95</v>
      </c>
      <c r="F10276" s="6" t="n">
        <f aca="false">Sens!F10192</f>
        <v>168.620652770438</v>
      </c>
      <c r="G10276" s="6" t="n">
        <f aca="false">Sens!G10192</f>
        <v>183.5741804832</v>
      </c>
      <c r="H10276" s="6" t="n">
        <f aca="false">Sens!H10192</f>
        <v>188.0802859104</v>
      </c>
      <c r="I10276" s="6" t="n">
        <f aca="false">Sens!I10192</f>
        <v>218.338961257067</v>
      </c>
      <c r="J10276" s="6" t="n">
        <f aca="false">Sens!J10192</f>
        <v>233.777060923733</v>
      </c>
      <c r="K10276" s="6" t="n">
        <f aca="false">Sens!K10192</f>
        <v>278.8563119504</v>
      </c>
    </row>
    <row r="10277" customFormat="false" ht="17.15" hidden="false" customHeight="false" outlineLevel="0" collapsed="false">
      <c r="A10277" s="1" t="s">
        <v>849</v>
      </c>
      <c r="B10277" s="0" t="s">
        <v>95</v>
      </c>
      <c r="E10277" s="6" t="n">
        <f aca="false">Sens!E10200*cx_azo+Sens!E10207*cx_m365+Sens!E10208*cx_lic+(Sens!E10210+Sens!E10212)*cx_ind+Sens!E10215*cx_srch+(Sens!E10217+Sens!E10219)*cx_dev</f>
        <v>30.1846587067718</v>
      </c>
      <c r="F10277" s="6" t="n">
        <f aca="false">Sens!F10200*cx_azo+Sens!F10207*cx_m365+Sens!F10208*cx_lic+(Sens!F10210+Sens!F10212)*cx_ind+Sens!F10215*cx_srch+(Sens!F10217+Sens!F10219)*cx_dev</f>
        <v>35.5793472295625</v>
      </c>
      <c r="G10277" s="6" t="n">
        <f aca="false">Sens!G10200*cx_azo+Sens!G10207*cx_m365+Sens!G10208*cx_lic+(Sens!G10210+Sens!G10212)*cx_ind+Sens!G10215*cx_srch+(Sens!G10217+Sens!G10219)*cx_dev</f>
        <v>41.1528935703892</v>
      </c>
      <c r="H10277" s="6" t="n">
        <f aca="false">Sens!H10200*cx_azo+Sens!H10207*cx_m365+Sens!H10208*cx_lic+(Sens!H10210+Sens!H10212)*cx_ind+Sens!H10215*cx_srch+(Sens!H10217+Sens!H10219)*cx_dev</f>
        <v>46.8115136440897</v>
      </c>
      <c r="I10277" s="6" t="n">
        <f aca="false">Sens!I10200*cx_azo+Sens!I10207*cx_m365+Sens!I10208*cx_lic+(Sens!I10210+Sens!I10212)*cx_ind+Sens!I10215*cx_srch+(Sens!I10217+Sens!I10219)*cx_dev</f>
        <v>52.1984003116439</v>
      </c>
      <c r="J10277" s="6" t="n">
        <f aca="false">Sens!J10200*cx_azo+Sens!J10207*cx_m365+Sens!J10208*cx_lic+(Sens!J10210+Sens!J10212)*cx_ind+Sens!J10215*cx_srch+(Sens!J10217+Sens!J10219)*cx_dev</f>
        <v>57.0809132503738</v>
      </c>
      <c r="K10277" s="6" t="n">
        <f aca="false">Sens!K10200*cx_azo+Sens!K10207*cx_m365+Sens!K10208*cx_lic+(Sens!K10210+Sens!K10212)*cx_ind+Sens!K10215*cx_srch+(Sens!K10217+Sens!K10219)*cx_dev</f>
        <v>61.368702741994</v>
      </c>
    </row>
    <row r="10278" customFormat="false" ht="17.15" hidden="false" customHeight="false" outlineLevel="0" collapsed="false">
      <c r="A10278" s="1" t="s">
        <v>850</v>
      </c>
      <c r="B10278" s="0" t="s">
        <v>95</v>
      </c>
      <c r="E10278" s="6" t="n">
        <f aca="false">Q!M42</f>
        <v>145.3</v>
      </c>
      <c r="F10278" s="6" t="n">
        <f aca="false">Sens!F10276+Sens!F10277</f>
        <v>204.2</v>
      </c>
      <c r="G10278" s="6" t="n">
        <f aca="false">Sens!G10276+Sens!G10277</f>
        <v>224.727074053589</v>
      </c>
      <c r="H10278" s="6" t="n">
        <f aca="false">Sens!H10276+Sens!H10277</f>
        <v>234.89179955449</v>
      </c>
      <c r="I10278" s="6" t="n">
        <f aca="false">Sens!I10276+Sens!I10277</f>
        <v>270.537361568711</v>
      </c>
      <c r="J10278" s="6" t="n">
        <f aca="false">Sens!J10276+Sens!J10277</f>
        <v>290.857974174107</v>
      </c>
      <c r="K10278" s="6" t="n">
        <f aca="false">Sens!K10276+Sens!K10277</f>
        <v>340.225014692394</v>
      </c>
      <c r="L10278" s="1" t="s">
        <v>851</v>
      </c>
    </row>
    <row r="10279" customFormat="false" ht="15" hidden="false" customHeight="false" outlineLevel="0" collapsed="false">
      <c r="A10279" s="1" t="s">
        <v>852</v>
      </c>
      <c r="B10279" s="0" t="s">
        <v>95</v>
      </c>
      <c r="E10279" s="6" t="n">
        <f aca="false">fl_liab</f>
        <v>66.594</v>
      </c>
      <c r="F10279" s="6" t="n">
        <f aca="false">Sens!E10279-Sens!F10280</f>
        <v>62.46973</v>
      </c>
      <c r="G10279" s="6" t="n">
        <f aca="false">Sens!F10279-Sens!G10280</f>
        <v>57.98686785</v>
      </c>
      <c r="H10279" s="6" t="n">
        <f aca="false">Sens!G10279-Sens!H10280</f>
        <v>53.92827690325</v>
      </c>
      <c r="I10279" s="6" t="n">
        <f aca="false">Sens!H10279-Sens!I10280</f>
        <v>49.7850493638962</v>
      </c>
      <c r="J10279" s="6" t="n">
        <f aca="false">Sens!I10279-Sens!J10280</f>
        <v>45.4823765852716</v>
      </c>
      <c r="K10279" s="6" t="n">
        <f aca="false">Sens!J10279-Sens!K10280</f>
        <v>40.9860835316088</v>
      </c>
    </row>
    <row r="10280" customFormat="false" ht="15" hidden="false" customHeight="false" outlineLevel="0" collapsed="false">
      <c r="A10280" s="1" t="s">
        <v>853</v>
      </c>
      <c r="B10280" s="0" t="s">
        <v>95</v>
      </c>
      <c r="F10280" s="6" t="n">
        <f aca="false">fl_pay_27-Sens!E10279*fl_rate</f>
        <v>4.12427</v>
      </c>
      <c r="G10280" s="6" t="n">
        <f aca="false">fl_pay_28-Sens!F10279*fl_rate</f>
        <v>4.48286215</v>
      </c>
      <c r="H10280" s="6" t="n">
        <f aca="false">fl_pay_29-Sens!G10279*fl_rate</f>
        <v>4.05859094675</v>
      </c>
      <c r="I10280" s="6" t="n">
        <f aca="false">fl_pay_30-Sens!H10279*fl_rate</f>
        <v>4.14322753935375</v>
      </c>
      <c r="J10280" s="6" t="n">
        <f aca="false">fl_pay_31-Sens!I10279*fl_rate</f>
        <v>4.30267277862467</v>
      </c>
      <c r="K10280" s="6" t="n">
        <f aca="false">fl_pay_32-Sens!J10279*fl_rate</f>
        <v>4.49629305366278</v>
      </c>
    </row>
    <row r="10281" customFormat="false" ht="17.15" hidden="false" customHeight="false" outlineLevel="0" collapsed="false">
      <c r="A10281" s="1" t="s">
        <v>854</v>
      </c>
      <c r="B10281" s="0" t="s">
        <v>95</v>
      </c>
      <c r="E10281" s="6" t="n">
        <f aca="false">Q!M35-Q!M36-Q!M43</f>
        <v>63.886</v>
      </c>
      <c r="F10281" s="6" t="n">
        <f aca="false">Sens!F10275-Sens!F10278-Sens!F10280</f>
        <v>6.72016511291229</v>
      </c>
      <c r="G10281" s="6" t="n">
        <f aca="false">Sens!G10275-Sens!G10278-Sens!G10280</f>
        <v>37.886481993718</v>
      </c>
      <c r="H10281" s="6" t="n">
        <f aca="false">Sens!H10275-Sens!H10278-Sens!H10280</f>
        <v>77.3999021319968</v>
      </c>
      <c r="I10281" s="6" t="n">
        <f aca="false">Sens!I10275-Sens!I10278-Sens!I10280</f>
        <v>90.4772052609883</v>
      </c>
      <c r="J10281" s="6" t="n">
        <f aca="false">Sens!J10275-Sens!J10278-Sens!J10280</f>
        <v>117.523949406576</v>
      </c>
      <c r="K10281" s="6" t="n">
        <f aca="false">Sens!K10275-Sens!K10278-Sens!K10280</f>
        <v>114.221793286752</v>
      </c>
      <c r="L10281" s="11" t="s">
        <v>855</v>
      </c>
    </row>
    <row r="10282" customFormat="false" ht="15" hidden="false" customHeight="false" outlineLevel="0" collapsed="false">
      <c r="A10282" s="1" t="s">
        <v>856</v>
      </c>
      <c r="B10282" s="0" t="s">
        <v>73</v>
      </c>
      <c r="F10282" s="8" t="n">
        <f aca="false">dps_27</f>
        <v>3.85</v>
      </c>
      <c r="G10282" s="8" t="n">
        <f aca="false">Sens!F10282*(1+dps_g)</f>
        <v>4.158</v>
      </c>
      <c r="H10282" s="8" t="n">
        <f aca="false">Sens!G10282*(1+dps_g)</f>
        <v>4.49064</v>
      </c>
      <c r="I10282" s="8" t="n">
        <f aca="false">Sens!H10282*(1+dps_g)</f>
        <v>4.8498912</v>
      </c>
      <c r="J10282" s="8" t="n">
        <f aca="false">Sens!I10282*(1+dps_g)</f>
        <v>5.237882496</v>
      </c>
      <c r="K10282" s="8" t="n">
        <f aca="false">Sens!J10282*(1+dps_g)</f>
        <v>5.65691309568</v>
      </c>
    </row>
    <row r="10283" customFormat="false" ht="17.15" hidden="false" customHeight="false" outlineLevel="0" collapsed="false">
      <c r="A10283" s="1" t="s">
        <v>857</v>
      </c>
      <c r="B10283" s="0" t="s">
        <v>95</v>
      </c>
      <c r="E10283" s="6" t="n">
        <f aca="false">Q!M41</f>
        <v>26.445</v>
      </c>
      <c r="F10283" s="6" t="n">
        <f aca="false">Sens!F10282*Sens!E10292</f>
        <v>28.59395</v>
      </c>
      <c r="G10283" s="6" t="n">
        <f aca="false">Sens!G10282*Sens!F10292</f>
        <v>31.068576</v>
      </c>
      <c r="H10283" s="6" t="n">
        <f aca="false">Sens!H10282*Sens!G10292</f>
        <v>33.7049228990852</v>
      </c>
      <c r="I10283" s="6" t="n">
        <f aca="false">Sens!I10282*Sens!H10292</f>
        <v>36.4522559710115</v>
      </c>
      <c r="J10283" s="6" t="n">
        <f aca="false">Sens!J10282*Sens!I10292</f>
        <v>39.4368352970118</v>
      </c>
      <c r="K10283" s="6" t="n">
        <f aca="false">Sens!K10282*Sens!J10292</f>
        <v>42.6790373460778</v>
      </c>
      <c r="L10283" s="1" t="s">
        <v>858</v>
      </c>
    </row>
    <row r="10284" customFormat="false" ht="15" hidden="false" customHeight="false" outlineLevel="0" collapsed="false">
      <c r="A10284" s="1" t="s">
        <v>859</v>
      </c>
      <c r="B10284" s="0" t="s">
        <v>95</v>
      </c>
      <c r="E10284" s="6" t="n">
        <f aca="false">Sens!E10281-Sens!E10283</f>
        <v>37.441</v>
      </c>
      <c r="F10284" s="6" t="n">
        <f aca="false">Sens!F10281-Sens!F10283</f>
        <v>-21.8737848870877</v>
      </c>
      <c r="G10284" s="6" t="n">
        <f aca="false">Sens!G10281-Sens!G10283</f>
        <v>6.81790599371799</v>
      </c>
      <c r="H10284" s="6" t="n">
        <f aca="false">Sens!H10281-Sens!H10283</f>
        <v>43.6949792329116</v>
      </c>
      <c r="I10284" s="6" t="n">
        <f aca="false">Sens!I10281-Sens!I10283</f>
        <v>54.0249492899769</v>
      </c>
      <c r="J10284" s="6" t="n">
        <f aca="false">Sens!J10281-Sens!J10283</f>
        <v>78.0871141095642</v>
      </c>
      <c r="K10284" s="6" t="n">
        <f aca="false">Sens!K10281-Sens!K10283</f>
        <v>71.5427559406743</v>
      </c>
    </row>
    <row r="10285" customFormat="false" ht="15" hidden="false" customHeight="false" outlineLevel="0" collapsed="false">
      <c r="A10285" s="1" t="s">
        <v>860</v>
      </c>
      <c r="B10285" s="0" t="s">
        <v>95</v>
      </c>
      <c r="F10285" s="6" t="n">
        <f aca="false">debt_mat_27</f>
        <v>9.25</v>
      </c>
      <c r="G10285" s="6" t="n">
        <f aca="false">debt_mat_28</f>
        <v>0</v>
      </c>
      <c r="H10285" s="6" t="n">
        <f aca="false">debt_mat_29</f>
        <v>2.001</v>
      </c>
      <c r="I10285" s="6" t="n">
        <f aca="false">debt_mat_30</f>
        <v>0</v>
      </c>
      <c r="J10285" s="6" t="n">
        <f aca="false">debt_mat_31</f>
        <v>0.5</v>
      </c>
      <c r="K10285" s="6" t="n">
        <f aca="false">debt_mat_32</f>
        <v>0</v>
      </c>
    </row>
    <row r="10286" customFormat="false" ht="15" hidden="false" customHeight="false" outlineLevel="0" collapsed="false">
      <c r="A10286" s="1" t="s">
        <v>861</v>
      </c>
      <c r="B10286" s="0" t="s">
        <v>95</v>
      </c>
      <c r="E10286" s="6" t="n">
        <f aca="false">Q!M40</f>
        <v>22.271</v>
      </c>
      <c r="F10286" s="6" t="n">
        <f aca="false">MAX(0,MIN(bb_target,Sens!E10288+Sens!F10284-Sens!F10285-min_cash))</f>
        <v>0</v>
      </c>
      <c r="G10286" s="6" t="n">
        <f aca="false">MAX(0,MIN(bb_target,Sens!F10288+Sens!G10284-Sens!G10285-min_cash))</f>
        <v>6.81790599371799</v>
      </c>
      <c r="H10286" s="6" t="n">
        <f aca="false">MAX(0,MIN(bb_target,Sens!G10288+Sens!H10284-Sens!H10285-min_cash))</f>
        <v>22.271</v>
      </c>
      <c r="I10286" s="6" t="n">
        <f aca="false">MAX(0,MIN(bb_target,Sens!H10288+Sens!I10284-Sens!I10285-min_cash))</f>
        <v>22.271</v>
      </c>
      <c r="J10286" s="6" t="n">
        <f aca="false">MAX(0,MIN(bb_target,Sens!I10288+Sens!J10284-Sens!J10285-min_cash))</f>
        <v>22.271</v>
      </c>
      <c r="K10286" s="6" t="n">
        <f aca="false">MAX(0,MIN(bb_target,Sens!J10288+Sens!K10284-Sens!K10285-min_cash))</f>
        <v>22.271</v>
      </c>
    </row>
    <row r="10287" customFormat="false" ht="15" hidden="false" customHeight="false" outlineLevel="0" collapsed="false">
      <c r="A10287" s="1" t="s">
        <v>862</v>
      </c>
      <c r="B10287" s="0" t="s">
        <v>95</v>
      </c>
      <c r="F10287" s="6" t="n">
        <f aca="false">MAX(0,min_cash-(Sens!E10288+Sens!F10284-Sens!F10285-Sens!F10286))</f>
        <v>4.28078488708771</v>
      </c>
      <c r="G10287" s="6" t="n">
        <f aca="false">MAX(0,min_cash-(Sens!F10288+Sens!G10284-Sens!G10285-Sens!G10286))</f>
        <v>0</v>
      </c>
      <c r="H10287" s="6" t="n">
        <f aca="false">MAX(0,min_cash-(Sens!G10288+Sens!H10284-Sens!H10285-Sens!H10286))</f>
        <v>0</v>
      </c>
      <c r="I10287" s="6" t="n">
        <f aca="false">MAX(0,min_cash-(Sens!H10288+Sens!I10284-Sens!I10285-Sens!I10286))</f>
        <v>0</v>
      </c>
      <c r="J10287" s="6" t="n">
        <f aca="false">MAX(0,min_cash-(Sens!I10288+Sens!J10284-Sens!J10285-Sens!J10286))</f>
        <v>0</v>
      </c>
      <c r="K10287" s="6" t="n">
        <f aca="false">MAX(0,min_cash-(Sens!J10288+Sens!K10284-Sens!K10285-Sens!K10286))</f>
        <v>0</v>
      </c>
    </row>
    <row r="10288" customFormat="false" ht="15" hidden="false" customHeight="false" outlineLevel="0" collapsed="false">
      <c r="A10288" s="1" t="s">
        <v>863</v>
      </c>
      <c r="B10288" s="0" t="s">
        <v>95</v>
      </c>
      <c r="E10288" s="6" t="n">
        <f aca="false">cash_open</f>
        <v>76.843</v>
      </c>
      <c r="F10288" s="6" t="n">
        <f aca="false">Sens!E10288+Sens!F10284-Sens!F10285-Sens!F10286+Sens!F10287</f>
        <v>50</v>
      </c>
      <c r="G10288" s="6" t="n">
        <f aca="false">Sens!F10288+Sens!G10284-Sens!G10285-Sens!G10286+Sens!G10287</f>
        <v>50</v>
      </c>
      <c r="H10288" s="6" t="n">
        <f aca="false">Sens!G10288+Sens!H10284-Sens!H10285-Sens!H10286+Sens!H10287</f>
        <v>69.4229792329115</v>
      </c>
      <c r="I10288" s="6" t="n">
        <f aca="false">Sens!H10288+Sens!I10284-Sens!I10285-Sens!I10286+Sens!I10287</f>
        <v>101.176928522888</v>
      </c>
      <c r="J10288" s="6" t="n">
        <f aca="false">Sens!I10288+Sens!J10284-Sens!J10285-Sens!J10286+Sens!J10287</f>
        <v>156.493042632453</v>
      </c>
      <c r="K10288" s="6" t="n">
        <f aca="false">Sens!J10288+Sens!K10284-Sens!K10285-Sens!K10286+Sens!K10287</f>
        <v>205.764798573127</v>
      </c>
    </row>
    <row r="10289" customFormat="false" ht="15" hidden="false" customHeight="false" outlineLevel="0" collapsed="false">
      <c r="A10289" s="1" t="s">
        <v>864</v>
      </c>
      <c r="B10289" s="0" t="s">
        <v>95</v>
      </c>
      <c r="E10289" s="6" t="n">
        <f aca="false">debt_face</f>
        <v>46.136</v>
      </c>
      <c r="F10289" s="6" t="n">
        <f aca="false">Sens!E10289-Sens!F10285+Sens!F10287</f>
        <v>41.1667848870877</v>
      </c>
      <c r="G10289" s="6" t="n">
        <f aca="false">Sens!F10289-Sens!G10285+Sens!G10287</f>
        <v>41.1667848870877</v>
      </c>
      <c r="H10289" s="6" t="n">
        <f aca="false">Sens!G10289-Sens!H10285+Sens!H10287</f>
        <v>39.1657848870877</v>
      </c>
      <c r="I10289" s="6" t="n">
        <f aca="false">Sens!H10289-Sens!I10285+Sens!I10287</f>
        <v>39.1657848870877</v>
      </c>
      <c r="J10289" s="6" t="n">
        <f aca="false">Sens!I10289-Sens!J10285+Sens!J10287</f>
        <v>38.6657848870877</v>
      </c>
      <c r="K10289" s="6" t="n">
        <f aca="false">Sens!J10289-Sens!K10285+Sens!K10287</f>
        <v>38.6657848870877</v>
      </c>
    </row>
    <row r="10290" customFormat="false" ht="15" hidden="false" customHeight="false" outlineLevel="0" collapsed="false">
      <c r="A10290" s="1" t="s">
        <v>865</v>
      </c>
      <c r="B10290" s="0" t="s">
        <v>95</v>
      </c>
      <c r="E10290" s="6" t="n">
        <f aca="false">Sens!E10288-Sens!E10289</f>
        <v>30.707</v>
      </c>
      <c r="F10290" s="6" t="n">
        <f aca="false">Sens!F10288-Sens!F10289</f>
        <v>8.83321511291229</v>
      </c>
      <c r="G10290" s="6" t="n">
        <f aca="false">Sens!G10288-Sens!G10289</f>
        <v>8.83321511291229</v>
      </c>
      <c r="H10290" s="6" t="n">
        <f aca="false">Sens!H10288-Sens!H10289</f>
        <v>30.2571943458238</v>
      </c>
      <c r="I10290" s="6" t="n">
        <f aca="false">Sens!I10288-Sens!I10289</f>
        <v>62.0111436358007</v>
      </c>
      <c r="J10290" s="6" t="n">
        <f aca="false">Sens!J10288-Sens!J10289</f>
        <v>117.827257745365</v>
      </c>
      <c r="K10290" s="6" t="n">
        <f aca="false">Sens!K10288-Sens!K10289</f>
        <v>167.099013686039</v>
      </c>
    </row>
    <row r="10291" customFormat="false" ht="15" hidden="false" customHeight="false" outlineLevel="0" collapsed="false">
      <c r="A10291" s="1" t="s">
        <v>866</v>
      </c>
      <c r="B10291" s="0" t="s">
        <v>73</v>
      </c>
      <c r="F10291" s="27" t="n">
        <f aca="false">px*(1+bb_g)^(1-0.5)</f>
        <v>553.494156066711</v>
      </c>
      <c r="G10291" s="27" t="n">
        <f aca="false">px*(1+bb_g)^(2-0.5)</f>
        <v>597.773688552047</v>
      </c>
      <c r="H10291" s="27" t="n">
        <f aca="false">px*(1+bb_g)^(3-0.5)</f>
        <v>645.595583636211</v>
      </c>
      <c r="I10291" s="27" t="n">
        <f aca="false">px*(1+bb_g)^(4-0.5)</f>
        <v>697.243230327108</v>
      </c>
      <c r="J10291" s="27" t="n">
        <f aca="false">px*(1+bb_g)^(5-0.5)</f>
        <v>753.022688753277</v>
      </c>
      <c r="K10291" s="27" t="n">
        <f aca="false">px*(1+bb_g)^(6-0.5)</f>
        <v>813.264503853539</v>
      </c>
    </row>
    <row r="10292" customFormat="false" ht="15" hidden="false" customHeight="false" outlineLevel="0" collapsed="false">
      <c r="A10292" s="1" t="s">
        <v>867</v>
      </c>
      <c r="B10292" s="1" t="s">
        <v>79</v>
      </c>
      <c r="E10292" s="18" t="n">
        <f aca="false">sh_out26</f>
        <v>7.427</v>
      </c>
      <c r="F10292" s="18" t="n">
        <f aca="false">Sens!E10292+sh_iss-Sens!F10286/Sens!F10291</f>
        <v>7.472</v>
      </c>
      <c r="G10292" s="18" t="n">
        <f aca="false">Sens!F10292+sh_iss-Sens!G10286/Sens!G10291</f>
        <v>7.50559450302968</v>
      </c>
      <c r="H10292" s="18" t="n">
        <f aca="false">Sens!G10292+sh_iss-Sens!H10286/Sens!H10291</f>
        <v>7.51609767472958</v>
      </c>
      <c r="I10292" s="18" t="n">
        <f aca="false">Sens!H10292+sh_iss-Sens!I10286/Sens!I10291</f>
        <v>7.52915616704431</v>
      </c>
      <c r="J10292" s="18" t="n">
        <f aca="false">Sens!I10292+sh_iss-Sens!J10286/Sens!J10291</f>
        <v>7.54458069696535</v>
      </c>
      <c r="K10292" s="18" t="n">
        <f aca="false">Sens!J10292+sh_iss-Sens!K10286/Sens!K10291</f>
        <v>7.56219600244779</v>
      </c>
    </row>
    <row r="10293" customFormat="false" ht="15" hidden="false" customHeight="false" outlineLevel="0" collapsed="false">
      <c r="A10293" s="1" t="s">
        <v>868</v>
      </c>
      <c r="B10293" s="1" t="s">
        <v>79</v>
      </c>
      <c r="E10293" s="18" t="n">
        <f aca="false">sh_dil26</f>
        <v>7.453</v>
      </c>
      <c r="F10293" s="18" t="n">
        <f aca="false">(Sens!E10292+Sens!F10292)/2+dil_gap</f>
        <v>7.4735</v>
      </c>
      <c r="G10293" s="18" t="n">
        <f aca="false">(Sens!F10292+Sens!G10292)/2+dil_gap</f>
        <v>7.51279725151484</v>
      </c>
      <c r="H10293" s="18" t="n">
        <f aca="false">(Sens!G10292+Sens!H10292)/2+dil_gap</f>
        <v>7.53484608887963</v>
      </c>
      <c r="I10293" s="18" t="n">
        <f aca="false">(Sens!H10292+Sens!I10292)/2+dil_gap</f>
        <v>7.54662692088694</v>
      </c>
      <c r="J10293" s="18" t="n">
        <f aca="false">(Sens!I10292+Sens!J10292)/2+dil_gap</f>
        <v>7.56086843200483</v>
      </c>
      <c r="K10293" s="18" t="n">
        <f aca="false">(Sens!J10292+Sens!K10292)/2+dil_gap</f>
        <v>7.57738834970657</v>
      </c>
    </row>
    <row r="10294" customFormat="false" ht="17.15" hidden="false" customHeight="false" outlineLevel="0" collapsed="false">
      <c r="A10294" s="1" t="s">
        <v>869</v>
      </c>
      <c r="B10294" s="0" t="s">
        <v>95</v>
      </c>
      <c r="C10294" s="6" t="n">
        <f aca="false">SUM(Sens!F10284:J10284)</f>
        <v>160.751163739083</v>
      </c>
    </row>
    <row r="10295" customFormat="false" ht="17.15" hidden="false" customHeight="false" outlineLevel="0" collapsed="false">
      <c r="A10295" s="1" t="s">
        <v>836</v>
      </c>
      <c r="B10295" s="1" t="s">
        <v>870</v>
      </c>
      <c r="C10295" s="30" t="str">
        <f aca="false">IF(SUM(Sens!F10287:J10287)&gt;0.05,"需要舉債 "&amp;TEXT(SUM(Sens!F10287:J10287),"0.0")&amp;" 十億美元","不需舉債")&amp;"；"&amp;IF(SUM(Sens!F10286:J10286)&lt;5*bb_target-0.05,"回購較每年 "&amp;TEXT(bb_target,"0.0")&amp;" 的目標少 "&amp;TEXT(5*bb_target-SUM(Sens!F10286:J10286),"0.0")&amp;" 十億美元（"&amp;TEXT(COUNTIF(Sens!F10286:J10286,"&lt;"&amp;(bb_target-0.05)),"0")&amp;" 年減少）","回購不減")</f>
        <v>需要舉債 4.3 十億美元；回購較每年 22.3 的目標少 37.7 十億美元（2 年減少）</v>
      </c>
    </row>
    <row r="10296" customFormat="false" ht="17.15" hidden="false" customHeight="false" outlineLevel="0" collapsed="false">
      <c r="A10296" s="3" t="s">
        <v>1408</v>
      </c>
    </row>
    <row r="10297" customFormat="false" ht="15" hidden="false" customHeight="false" outlineLevel="0" collapsed="false">
      <c r="A10297" s="4" t="s">
        <v>43</v>
      </c>
      <c r="B10297" s="4" t="s">
        <v>63</v>
      </c>
      <c r="C10297" s="19" t="s">
        <v>710</v>
      </c>
      <c r="D10297" s="19" t="s">
        <v>711</v>
      </c>
      <c r="E10297" s="19" t="s">
        <v>712</v>
      </c>
      <c r="F10297" s="19" t="s">
        <v>713</v>
      </c>
      <c r="G10297" s="19" t="s">
        <v>714</v>
      </c>
      <c r="H10297" s="19" t="s">
        <v>715</v>
      </c>
      <c r="I10297" s="19" t="s">
        <v>716</v>
      </c>
      <c r="J10297" s="19" t="s">
        <v>717</v>
      </c>
      <c r="K10297" s="19" t="s">
        <v>718</v>
      </c>
      <c r="L10297" s="4" t="s">
        <v>47</v>
      </c>
    </row>
    <row r="10298" customFormat="false" ht="17.15" hidden="false" customHeight="false" outlineLevel="0" collapsed="false">
      <c r="A10298" s="1" t="s">
        <v>938</v>
      </c>
      <c r="B10298" s="1" t="s">
        <v>213</v>
      </c>
      <c r="F10298" s="34" t="n">
        <f aca="false">1-0.5</f>
        <v>0.5</v>
      </c>
      <c r="G10298" s="34" t="n">
        <f aca="false">2-0.5</f>
        <v>1.5</v>
      </c>
      <c r="H10298" s="34" t="n">
        <f aca="false">3-0.5</f>
        <v>2.5</v>
      </c>
      <c r="I10298" s="34" t="n">
        <f aca="false">4-0.5</f>
        <v>3.5</v>
      </c>
      <c r="J10298" s="34" t="n">
        <f aca="false">5-0.5</f>
        <v>4.5</v>
      </c>
      <c r="K10298" s="34" t="n">
        <f aca="false">6-0.5</f>
        <v>5.5</v>
      </c>
    </row>
    <row r="10299" customFormat="false" ht="15" hidden="false" customHeight="false" outlineLevel="0" collapsed="false">
      <c r="A10299" s="1" t="s">
        <v>939</v>
      </c>
      <c r="B10299" s="0" t="s">
        <v>182</v>
      </c>
      <c r="F10299" s="18" t="n">
        <f aca="false">1/(1+wacc)^Sens!F10298</f>
        <v>0.949601579913219</v>
      </c>
      <c r="G10299" s="18" t="n">
        <f aca="false">1/(1+wacc)^Sens!G10298</f>
        <v>0.856296729956707</v>
      </c>
      <c r="H10299" s="18" t="n">
        <f aca="false">1/(1+wacc)^Sens!H10298</f>
        <v>0.772159719660069</v>
      </c>
      <c r="I10299" s="18" t="n">
        <f aca="false">1/(1+wacc)^Sens!I10298</f>
        <v>0.696289746073958</v>
      </c>
      <c r="J10299" s="18" t="n">
        <f aca="false">1/(1+wacc)^Sens!J10298</f>
        <v>0.627874516299776</v>
      </c>
      <c r="K10299" s="18" t="n">
        <f aca="false">1/(1+wacc)^Sens!K10298</f>
        <v>0.566181550771831</v>
      </c>
    </row>
    <row r="10300" customFormat="false" ht="15" hidden="false" customHeight="false" outlineLevel="0" collapsed="false">
      <c r="A10300" s="1" t="s">
        <v>940</v>
      </c>
      <c r="B10300" s="0" t="s">
        <v>95</v>
      </c>
      <c r="F10300" s="6" t="n">
        <f aca="false">Sens!F10281*Sens!F10299</f>
        <v>6.38147940849921</v>
      </c>
      <c r="G10300" s="6" t="n">
        <f aca="false">Sens!G10281*Sens!G10299</f>
        <v>32.4420706407844</v>
      </c>
      <c r="H10300" s="6" t="n">
        <f aca="false">Sens!H10281*Sens!H10299</f>
        <v>59.7650867319594</v>
      </c>
      <c r="I10300" s="6" t="n">
        <f aca="false">Sens!I10281*Sens!I10299</f>
        <v>62.9983502766549</v>
      </c>
      <c r="J10300" s="6" t="n">
        <f aca="false">Sens!J10281*Sens!J10299</f>
        <v>73.7902928872933</v>
      </c>
      <c r="K10300" s="6" t="n">
        <f aca="false">Sens!K10281*Sens!K10299</f>
        <v>64.6702720550329</v>
      </c>
    </row>
    <row r="10301" customFormat="false" ht="17.15" hidden="false" customHeight="false" outlineLevel="0" collapsed="false">
      <c r="A10301" s="1" t="s">
        <v>941</v>
      </c>
      <c r="B10301" s="0" t="s">
        <v>95</v>
      </c>
      <c r="C10301" s="6" t="n">
        <f aca="false">SUM(Sens!F10300:K10300)</f>
        <v>300.047552000224</v>
      </c>
    </row>
    <row r="10302" customFormat="false" ht="17.15" hidden="false" customHeight="false" outlineLevel="0" collapsed="false">
      <c r="A10302" s="1" t="s">
        <v>942</v>
      </c>
      <c r="B10302" s="0" t="s">
        <v>95</v>
      </c>
      <c r="C10302" s="6" t="n">
        <f aca="false">Sens!K10247*(1+g_tv)*(1-tax_f)</f>
        <v>225.770808345853</v>
      </c>
    </row>
    <row r="10303" customFormat="false" ht="17.15" hidden="false" customHeight="false" outlineLevel="0" collapsed="false">
      <c r="A10303" s="1" t="s">
        <v>943</v>
      </c>
      <c r="B10303" s="0" t="s">
        <v>95</v>
      </c>
      <c r="C10303" s="6" t="n">
        <f aca="false">Sens!$C$10302*(1-g_tv/(wacc+ronic_prem))</f>
        <v>163.611079779864</v>
      </c>
    </row>
    <row r="10304" customFormat="false" ht="17.15" hidden="false" customHeight="false" outlineLevel="0" collapsed="false">
      <c r="A10304" s="1" t="s">
        <v>944</v>
      </c>
      <c r="B10304" s="0" t="s">
        <v>95</v>
      </c>
      <c r="C10304" s="6" t="n">
        <f aca="false">Sens!$C$10303/(wacc-g_tv)</f>
        <v>2071.99095219962</v>
      </c>
    </row>
    <row r="10305" customFormat="false" ht="15" hidden="false" customHeight="false" outlineLevel="0" collapsed="false">
      <c r="A10305" s="1" t="s">
        <v>945</v>
      </c>
      <c r="B10305" s="0" t="s">
        <v>95</v>
      </c>
      <c r="C10305" s="6" t="n">
        <f aca="false">Sens!$C$10304/(1+wacc)^6</f>
        <v>1113.99950218892</v>
      </c>
    </row>
    <row r="10306" customFormat="false" ht="17.15" hidden="false" customHeight="false" outlineLevel="0" collapsed="false">
      <c r="A10306" s="0" t="s">
        <v>877</v>
      </c>
      <c r="B10306" s="0" t="s">
        <v>95</v>
      </c>
      <c r="C10306" s="6" t="n">
        <f aca="false">Sens!$C$10301+Sens!$C$10305</f>
        <v>1414.04705418914</v>
      </c>
    </row>
    <row r="10307" customFormat="false" ht="15" hidden="false" customHeight="false" outlineLevel="0" collapsed="false">
      <c r="A10307" s="1" t="s">
        <v>878</v>
      </c>
      <c r="B10307" s="0" t="s">
        <v>126</v>
      </c>
      <c r="C10307" s="7" t="n">
        <f aca="false">Sens!$C$10305/Sens!$C$10306</f>
        <v>0.787809358174237</v>
      </c>
    </row>
    <row r="10308" customFormat="false" ht="17.15" hidden="false" customHeight="false" outlineLevel="0" collapsed="false">
      <c r="A10308" s="1" t="s">
        <v>946</v>
      </c>
      <c r="B10308" s="0" t="s">
        <v>95</v>
      </c>
      <c r="C10308" s="6" t="n">
        <f aca="false">Sens!$C$10306+Sens!E10290+oai_v</f>
        <v>1615.15405418914</v>
      </c>
    </row>
    <row r="10309" customFormat="false" ht="17.15" hidden="false" customHeight="false" outlineLevel="0" collapsed="false">
      <c r="A10309" s="0" t="s">
        <v>883</v>
      </c>
      <c r="B10309" s="0" t="s">
        <v>73</v>
      </c>
      <c r="C10309" s="5" t="n">
        <f aca="false">Sens!$C$10308/sh_dil26</f>
        <v>216.711935353434</v>
      </c>
    </row>
    <row r="10310" customFormat="false" ht="17.15" hidden="false" customHeight="false" outlineLevel="0" collapsed="false">
      <c r="A10310" s="0" t="s">
        <v>947</v>
      </c>
      <c r="B10310" s="0" t="s">
        <v>73</v>
      </c>
      <c r="C10310" s="5" t="n">
        <f aca="false">Sens!$C$10309*(1+wacc)^t_roll</f>
        <v>248.567413269602</v>
      </c>
    </row>
    <row r="10311" customFormat="false" ht="17.15" hidden="false" customHeight="false" outlineLevel="0" collapsed="false">
      <c r="A10311" s="1" t="s">
        <v>948</v>
      </c>
      <c r="B10311" s="0" t="s">
        <v>126</v>
      </c>
      <c r="F10311" s="7" t="n">
        <f aca="false">Sens!F10271/(Sens!F10222-Sens!F10178)</f>
        <v>0.0684307874075333</v>
      </c>
      <c r="G10311" s="7" t="n">
        <f aca="false">Sens!G10271/(Sens!G10222-Sens!G10178)</f>
        <v>0.0656456058503526</v>
      </c>
      <c r="H10311" s="7" t="n">
        <f aca="false">Sens!H10271/(Sens!H10222-Sens!H10178)</f>
        <v>0.0641950889132003</v>
      </c>
      <c r="I10311" s="7" t="n">
        <f aca="false">Sens!I10271/(Sens!I10222-Sens!I10178)</f>
        <v>0.063960269667854</v>
      </c>
      <c r="J10311" s="7" t="n">
        <f aca="false">Sens!J10271/(Sens!J10222-Sens!J10178)</f>
        <v>0.0646607917002597</v>
      </c>
      <c r="K10311" s="7" t="n">
        <f aca="false">Sens!K10271/(Sens!K10222-Sens!K10178)</f>
        <v>0.0659511546529383</v>
      </c>
    </row>
    <row r="10312" customFormat="false" ht="17.15" hidden="false" customHeight="false" outlineLevel="0" collapsed="false">
      <c r="A10312" s="0" t="s">
        <v>949</v>
      </c>
      <c r="B10312" s="0" t="s">
        <v>95</v>
      </c>
      <c r="F10312" s="6" t="n">
        <f aca="false">Sens!F10207*(al_m365+Sens!F10311)</f>
        <v>79.4713323717639</v>
      </c>
      <c r="G10312" s="6" t="n">
        <f aca="false">Sens!G10207*(al_m365+Sens!G10311)</f>
        <v>91.222848535282</v>
      </c>
      <c r="H10312" s="6" t="n">
        <f aca="false">Sens!H10207*(al_m365+Sens!H10311)</f>
        <v>103.134459525438</v>
      </c>
      <c r="I10312" s="6" t="n">
        <f aca="false">Sens!I10207*(al_m365+Sens!I10311)</f>
        <v>114.09096761677</v>
      </c>
      <c r="J10312" s="6" t="n">
        <f aca="false">Sens!J10207*(al_m365+Sens!J10311)</f>
        <v>123.914507832207</v>
      </c>
      <c r="K10312" s="6" t="n">
        <f aca="false">Sens!K10207*(al_m365+Sens!K10311)</f>
        <v>133.375360010951</v>
      </c>
    </row>
    <row r="10313" customFormat="false" ht="17.15" hidden="false" customHeight="false" outlineLevel="0" collapsed="false">
      <c r="A10313" s="0" t="s">
        <v>950</v>
      </c>
      <c r="B10313" s="0" t="s">
        <v>95</v>
      </c>
      <c r="F10313" s="6" t="n">
        <f aca="false">Sens!F10208*(al_lic+Sens!F10311)</f>
        <v>31.9777960098625</v>
      </c>
      <c r="G10313" s="6" t="n">
        <f aca="false">Sens!G10208*(al_lic+Sens!G10311)</f>
        <v>33.2184421146294</v>
      </c>
      <c r="H10313" s="6" t="n">
        <f aca="false">Sens!H10208*(al_lic+Sens!H10311)</f>
        <v>34.3782467188855</v>
      </c>
      <c r="I10313" s="6" t="n">
        <f aca="false">Sens!I10208*(al_lic+Sens!I10311)</f>
        <v>35.4396663788333</v>
      </c>
      <c r="J10313" s="6" t="n">
        <f aca="false">Sens!J10208*(al_lic+Sens!J10311)</f>
        <v>36.377709205557</v>
      </c>
      <c r="K10313" s="6" t="n">
        <f aca="false">Sens!K10208*(al_lic+Sens!K10311)</f>
        <v>37.1640354058437</v>
      </c>
    </row>
    <row r="10314" customFormat="false" ht="17.15" hidden="false" customHeight="false" outlineLevel="0" collapsed="false">
      <c r="A10314" s="0" t="s">
        <v>951</v>
      </c>
      <c r="B10314" s="0" t="s">
        <v>95</v>
      </c>
      <c r="F10314" s="6" t="n">
        <f aca="false">Sens!F10210*(al_ind+Sens!F10311)</f>
        <v>8.23708828923978</v>
      </c>
      <c r="G10314" s="6" t="n">
        <f aca="false">Sens!G10210*(al_ind+Sens!G10311)</f>
        <v>8.93609064049065</v>
      </c>
      <c r="H10314" s="6" t="n">
        <f aca="false">Sens!H10210*(al_ind+Sens!H10311)</f>
        <v>9.67804935051386</v>
      </c>
      <c r="I10314" s="6" t="n">
        <f aca="false">Sens!I10210*(al_ind+Sens!I10311)</f>
        <v>10.4606610595832</v>
      </c>
      <c r="J10314" s="6" t="n">
        <f aca="false">Sens!J10210*(al_ind+Sens!J10311)</f>
        <v>11.275039839171</v>
      </c>
      <c r="K10314" s="6" t="n">
        <f aca="false">Sens!K10210*(al_ind+Sens!K10311)</f>
        <v>12.106982482736</v>
      </c>
    </row>
    <row r="10315" customFormat="false" ht="17.15" hidden="false" customHeight="false" outlineLevel="0" collapsed="false">
      <c r="A10315" s="0" t="s">
        <v>952</v>
      </c>
      <c r="B10315" s="0" t="s">
        <v>95</v>
      </c>
      <c r="F10315" s="6" t="n">
        <f aca="false">Sens!F10212*(al_fro+Sens!F10311)</f>
        <v>3.24214686942203</v>
      </c>
      <c r="G10315" s="6" t="n">
        <f aca="false">Sens!G10212*(al_fro+Sens!G10311)</f>
        <v>3.43093048931594</v>
      </c>
      <c r="H10315" s="6" t="n">
        <f aca="false">Sens!H10212*(al_fro+Sens!H10311)</f>
        <v>3.6470202512287</v>
      </c>
      <c r="I10315" s="6" t="n">
        <f aca="false">Sens!I10212*(al_fro+Sens!I10311)</f>
        <v>3.89303230264912</v>
      </c>
      <c r="J10315" s="6" t="n">
        <f aca="false">Sens!J10212*(al_fro+Sens!J10311)</f>
        <v>4.16994303150246</v>
      </c>
      <c r="K10315" s="6" t="n">
        <f aca="false">Sens!K10212*(al_fro+Sens!K10311)</f>
        <v>4.47762739258926</v>
      </c>
    </row>
    <row r="10316" customFormat="false" ht="17.15" hidden="false" customHeight="false" outlineLevel="0" collapsed="false">
      <c r="A10316" s="0" t="s">
        <v>953</v>
      </c>
      <c r="B10316" s="0" t="s">
        <v>95</v>
      </c>
      <c r="F10316" s="6" t="n">
        <f aca="false">Sens!F10215*(al_srch+Sens!F10311)</f>
        <v>10.1729230470907</v>
      </c>
      <c r="G10316" s="6" t="n">
        <f aca="false">Sens!G10215*(al_srch+Sens!G10311)</f>
        <v>11.1403318971852</v>
      </c>
      <c r="H10316" s="6" t="n">
        <f aca="false">Sens!H10215*(al_srch+Sens!H10311)</f>
        <v>12.1511421371799</v>
      </c>
      <c r="I10316" s="6" t="n">
        <f aca="false">Sens!I10215*(al_srch+Sens!I10311)</f>
        <v>13.1963628712968</v>
      </c>
      <c r="J10316" s="6" t="n">
        <f aca="false">Sens!J10215*(al_srch+Sens!J10311)</f>
        <v>14.2578127803031</v>
      </c>
      <c r="K10316" s="6" t="n">
        <f aca="false">Sens!K10215*(al_srch+Sens!K10311)</f>
        <v>15.3098429837522</v>
      </c>
    </row>
    <row r="10317" customFormat="false" ht="17.15" hidden="false" customHeight="false" outlineLevel="0" collapsed="false">
      <c r="A10317" s="0" t="s">
        <v>954</v>
      </c>
      <c r="B10317" s="0" t="s">
        <v>95</v>
      </c>
      <c r="F10317" s="6" t="n">
        <f aca="false">Sens!F10184</f>
        <v>39.4594407491938</v>
      </c>
      <c r="G10317" s="6" t="n">
        <f aca="false">Sens!G10184</f>
        <v>66.5527545578061</v>
      </c>
      <c r="H10317" s="6" t="n">
        <f aca="false">Sens!H10184</f>
        <v>95.219644983859</v>
      </c>
      <c r="I10317" s="6" t="n">
        <f aca="false">Sens!I10184</f>
        <v>124.031840462493</v>
      </c>
      <c r="J10317" s="6" t="n">
        <f aca="false">Sens!J10184</f>
        <v>152.919994097909</v>
      </c>
      <c r="K10317" s="6" t="n">
        <f aca="false">Sens!K10184</f>
        <v>181.852830263848</v>
      </c>
    </row>
    <row r="10318" customFormat="false" ht="17.15" hidden="false" customHeight="false" outlineLevel="0" collapsed="false">
      <c r="A10318" s="0" t="s">
        <v>955</v>
      </c>
      <c r="B10318" s="0" t="s">
        <v>95</v>
      </c>
      <c r="F10318" s="6" t="n">
        <f aca="false">Sens!F10244+Sens!F10195+Sens!F10311*(Sens!F10214-Sens!F10178)</f>
        <v>217.028681783554</v>
      </c>
      <c r="G10318" s="6" t="n">
        <f aca="false">Sens!G10244+Sens!G10195+Sens!G10311*(Sens!G10214-Sens!G10178)</f>
        <v>264.975996032169</v>
      </c>
      <c r="H10318" s="6" t="n">
        <f aca="false">Sens!H10244+Sens!H10195+Sens!H10311*(Sens!H10214-Sens!H10178)</f>
        <v>314.737078656927</v>
      </c>
      <c r="I10318" s="6" t="n">
        <f aca="false">Sens!I10244+Sens!I10195+Sens!I10311*(Sens!I10214-Sens!I10178)</f>
        <v>363.457694697072</v>
      </c>
      <c r="J10318" s="6" t="n">
        <f aca="false">Sens!J10244+Sens!J10195+Sens!J10311*(Sens!J10214-Sens!J10178)</f>
        <v>410.22947944681</v>
      </c>
      <c r="K10318" s="6" t="n">
        <f aca="false">Sens!K10244+Sens!K10195+Sens!K10311*(Sens!K10214-Sens!K10178)</f>
        <v>455.043687308047</v>
      </c>
    </row>
    <row r="10319" customFormat="false" ht="17.15" hidden="false" customHeight="false" outlineLevel="0" collapsed="false">
      <c r="A10319" s="0" t="s">
        <v>956</v>
      </c>
      <c r="B10319" s="0" t="s">
        <v>95</v>
      </c>
      <c r="F10319" s="6" t="n">
        <f aca="false">Sens!F10318-Sens!F10312-Sens!F10313-Sens!F10314-Sens!F10315-Sens!F10317</f>
        <v>54.6408774940724</v>
      </c>
      <c r="G10319" s="6" t="n">
        <f aca="false">Sens!G10318-Sens!G10312-Sens!G10313-Sens!G10314-Sens!G10315-Sens!G10317</f>
        <v>61.614929694645</v>
      </c>
      <c r="H10319" s="6" t="n">
        <f aca="false">Sens!H10318-Sens!H10312-Sens!H10313-Sens!H10314-Sens!H10315-Sens!H10317</f>
        <v>68.6796578270011</v>
      </c>
      <c r="I10319" s="6" t="n">
        <f aca="false">Sens!I10318-Sens!I10312-Sens!I10313-Sens!I10314-Sens!I10315-Sens!I10317</f>
        <v>75.5415268767431</v>
      </c>
      <c r="J10319" s="6" t="n">
        <f aca="false">Sens!J10318-Sens!J10312-Sens!J10313-Sens!J10314-Sens!J10315-Sens!J10317</f>
        <v>81.5722854404634</v>
      </c>
      <c r="K10319" s="6" t="n">
        <f aca="false">Sens!K10318-Sens!K10312-Sens!K10313-Sens!K10314-Sens!K10315-Sens!K10317</f>
        <v>86.0668517520786</v>
      </c>
    </row>
    <row r="10320" customFormat="false" ht="17.15" hidden="false" customHeight="false" outlineLevel="0" collapsed="false">
      <c r="A10320" s="0" t="s">
        <v>957</v>
      </c>
      <c r="B10320" s="0" t="s">
        <v>95</v>
      </c>
      <c r="F10320" s="6" t="n">
        <f aca="false">Sens!F10246+Sens!F10311*Sens!F10221</f>
        <v>25.0559727900648</v>
      </c>
      <c r="G10320" s="6" t="n">
        <f aca="false">Sens!G10246+Sens!G10311*Sens!G10221</f>
        <v>25.6320568562254</v>
      </c>
      <c r="H10320" s="6" t="n">
        <f aca="false">Sens!H10246+Sens!H10311*Sens!H10221</f>
        <v>26.4672270713267</v>
      </c>
      <c r="I10320" s="6" t="n">
        <f aca="false">Sens!I10246+Sens!I10311*Sens!I10221</f>
        <v>27.5330431391074</v>
      </c>
      <c r="J10320" s="6" t="n">
        <f aca="false">Sens!J10246+Sens!J10311*Sens!J10221</f>
        <v>28.7953552968533</v>
      </c>
      <c r="K10320" s="6" t="n">
        <f aca="false">Sens!K10246+Sens!K10311*Sens!K10221</f>
        <v>30.2178694698676</v>
      </c>
    </row>
    <row r="10321" customFormat="false" ht="17.15" hidden="false" customHeight="false" outlineLevel="0" collapsed="false">
      <c r="A10321" s="0" t="s">
        <v>958</v>
      </c>
      <c r="B10321" s="0" t="s">
        <v>95</v>
      </c>
      <c r="F10321" s="6" t="n">
        <f aca="false">(Sens!F10320-Sens!F10316)*Sens!F10217/(Sens!F10217+Sens!F10219)</f>
        <v>8.15874291029439</v>
      </c>
      <c r="G10321" s="6" t="n">
        <f aca="false">(Sens!G10320-Sens!G10316)*Sens!G10217/(Sens!G10217+Sens!G10219)</f>
        <v>7.80257748773845</v>
      </c>
      <c r="H10321" s="6" t="n">
        <f aca="false">(Sens!H10320-Sens!H10316)*Sens!H10217/(Sens!H10217+Sens!H10219)</f>
        <v>7.60388774256233</v>
      </c>
      <c r="I10321" s="6" t="n">
        <f aca="false">(Sens!I10320-Sens!I10316)*Sens!I10217/(Sens!I10217+Sens!I10219)</f>
        <v>7.54592775914078</v>
      </c>
      <c r="J10321" s="6" t="n">
        <f aca="false">(Sens!J10320-Sens!J10316)*Sens!J10217/(Sens!J10217+Sens!J10219)</f>
        <v>7.61704855267982</v>
      </c>
      <c r="K10321" s="6" t="n">
        <f aca="false">(Sens!K10320-Sens!K10316)*Sens!K10217/(Sens!K10217+Sens!K10219)</f>
        <v>7.81116625730252</v>
      </c>
    </row>
    <row r="10322" customFormat="false" ht="17.15" hidden="false" customHeight="false" outlineLevel="0" collapsed="false">
      <c r="A10322" s="0" t="s">
        <v>959</v>
      </c>
      <c r="B10322" s="0" t="s">
        <v>95</v>
      </c>
      <c r="F10322" s="6" t="n">
        <f aca="false">Sens!F10320-Sens!F10316-Sens!F10321</f>
        <v>6.72430683267977</v>
      </c>
      <c r="G10322" s="6" t="n">
        <f aca="false">Sens!G10320-Sens!G10316-Sens!G10321</f>
        <v>6.68914747130179</v>
      </c>
      <c r="H10322" s="6" t="n">
        <f aca="false">Sens!H10320-Sens!H10316-Sens!H10321</f>
        <v>6.71219719158447</v>
      </c>
      <c r="I10322" s="6" t="n">
        <f aca="false">Sens!I10320-Sens!I10316-Sens!I10321</f>
        <v>6.79075250866983</v>
      </c>
      <c r="J10322" s="6" t="n">
        <f aca="false">Sens!J10320-Sens!J10316-Sens!J10321</f>
        <v>6.92049396387038</v>
      </c>
      <c r="K10322" s="6" t="n">
        <f aca="false">Sens!K10320-Sens!K10316-Sens!K10321</f>
        <v>7.09686022881287</v>
      </c>
    </row>
    <row r="10323" customFormat="false" ht="17.15" hidden="false" customHeight="false" outlineLevel="0" collapsed="false">
      <c r="A10323" s="1" t="s">
        <v>960</v>
      </c>
      <c r="B10323" s="0" t="s">
        <v>95</v>
      </c>
      <c r="C10323" s="6" t="n">
        <f aca="false">(w_ntm28*Sens!G10317+(1-w_ntm28)*Sens!H10317)*m_ai*1</f>
        <v>454.922440830797</v>
      </c>
    </row>
    <row r="10324" customFormat="false" ht="17.15" hidden="false" customHeight="false" outlineLevel="0" collapsed="false">
      <c r="A10324" s="1" t="s">
        <v>961</v>
      </c>
      <c r="B10324" s="0" t="s">
        <v>95</v>
      </c>
      <c r="C10324" s="6" t="n">
        <f aca="false">(w_ntm28*Sens!G10319+(1-w_ntm28)*Sens!H10319)*m_cloud*1</f>
        <v>883.082372350188</v>
      </c>
    </row>
    <row r="10325" customFormat="false" ht="17.15" hidden="false" customHeight="false" outlineLevel="0" collapsed="false">
      <c r="A10325" s="1" t="s">
        <v>962</v>
      </c>
      <c r="B10325" s="0" t="s">
        <v>95</v>
      </c>
      <c r="C10325" s="6" t="n">
        <f aca="false">(w_ntm28*Sens!G10312+(1-w_ntm28)*Sens!H10312)*m_sw*1</f>
        <v>1026.79623553955</v>
      </c>
    </row>
    <row r="10326" customFormat="false" ht="17.15" hidden="false" customHeight="false" outlineLevel="0" collapsed="false">
      <c r="A10326" s="1" t="s">
        <v>963</v>
      </c>
      <c r="B10326" s="0" t="s">
        <v>95</v>
      </c>
      <c r="C10326" s="6" t="n">
        <f aca="false">(w_ntm28*Sens!G10313+(1-w_ntm28)*Sens!H10313)*m_sw*1</f>
        <v>362.808640557625</v>
      </c>
    </row>
    <row r="10327" customFormat="false" ht="17.15" hidden="false" customHeight="false" outlineLevel="0" collapsed="false">
      <c r="A10327" s="1" t="s">
        <v>964</v>
      </c>
      <c r="B10327" s="0" t="s">
        <v>95</v>
      </c>
      <c r="C10327" s="6" t="n">
        <f aca="false">(w_ntm28*Sens!G10314+(1-w_ntm28)*Sens!H10314)*m_sw*1</f>
        <v>99.1003328352541</v>
      </c>
    </row>
    <row r="10328" customFormat="false" ht="17.15" hidden="false" customHeight="false" outlineLevel="0" collapsed="false">
      <c r="A10328" s="1" t="s">
        <v>965</v>
      </c>
      <c r="B10328" s="0" t="s">
        <v>95</v>
      </c>
      <c r="C10328" s="6" t="n">
        <f aca="false">(w_ntm28*Sens!G10315+(1-w_ntm28)*Sens!H10315)*m_sw*1</f>
        <v>37.8085281683974</v>
      </c>
    </row>
    <row r="10329" customFormat="false" ht="17.15" hidden="false" customHeight="false" outlineLevel="0" collapsed="false">
      <c r="A10329" s="1" t="s">
        <v>966</v>
      </c>
      <c r="B10329" s="0" t="s">
        <v>95</v>
      </c>
      <c r="C10329" s="6" t="n">
        <f aca="false">(w_ntm28*Sens!G10316+(1-w_ntm28)*Sens!H10316)*m_ads*1</f>
        <v>104.465412054013</v>
      </c>
    </row>
    <row r="10330" customFormat="false" ht="17.15" hidden="false" customHeight="false" outlineLevel="0" collapsed="false">
      <c r="A10330" s="1" t="s">
        <v>967</v>
      </c>
      <c r="B10330" s="0" t="s">
        <v>95</v>
      </c>
      <c r="C10330" s="6" t="n">
        <f aca="false">(w_ntm28*Sens!G10321+(1-w_ntm28)*Sens!H10321)*m_game*1</f>
        <v>97.7352789445866</v>
      </c>
    </row>
    <row r="10331" customFormat="false" ht="17.15" hidden="false" customHeight="false" outlineLevel="0" collapsed="false">
      <c r="A10331" s="1" t="s">
        <v>968</v>
      </c>
      <c r="B10331" s="0" t="s">
        <v>95</v>
      </c>
      <c r="C10331" s="6" t="n">
        <f aca="false">(w_ntm28*Sens!G10322+(1-w_ntm28)*Sens!H10322)*m_pc*1</f>
        <v>96.8997898697201</v>
      </c>
    </row>
    <row r="10332" customFormat="false" ht="17.15" hidden="false" customHeight="false" outlineLevel="0" collapsed="false">
      <c r="A10332" s="1" t="s">
        <v>969</v>
      </c>
      <c r="B10332" s="0" t="s">
        <v>95</v>
      </c>
      <c r="C10332" s="6" t="n">
        <f aca="false">Sens!$C$10323+Sens!$C$10324+Sens!$C$10325+Sens!$C$10326+Sens!$C$10327+Sens!$C$10328+Sens!$C$10329+Sens!$C$10330+Sens!$C$10331</f>
        <v>3163.61903115014</v>
      </c>
    </row>
    <row r="10333" customFormat="false" ht="17.15" hidden="false" customHeight="false" outlineLevel="0" collapsed="false">
      <c r="A10333" s="1" t="s">
        <v>903</v>
      </c>
      <c r="B10333" s="0" t="s">
        <v>95</v>
      </c>
      <c r="C10333" s="6" t="n">
        <f aca="false">Sens!F10290+oai_v-Sens!F10279</f>
        <v>116.763485112912</v>
      </c>
      <c r="L10333" s="1" t="s">
        <v>970</v>
      </c>
    </row>
    <row r="10334" customFormat="false" ht="15" hidden="false" customHeight="false" outlineLevel="0" collapsed="false">
      <c r="A10334" s="1" t="s">
        <v>904</v>
      </c>
      <c r="B10334" s="0" t="s">
        <v>73</v>
      </c>
      <c r="C10334" s="5" t="n">
        <f aca="false">(Sens!$C$10332+Sens!$C$10333)/Sens!F10292</f>
        <v>439.023356030922</v>
      </c>
    </row>
    <row r="10335" customFormat="false" ht="17.15" hidden="false" customHeight="false" outlineLevel="0" collapsed="false">
      <c r="A10335" s="1" t="s">
        <v>971</v>
      </c>
      <c r="B10335" s="0" t="s">
        <v>73</v>
      </c>
      <c r="C10335" s="5" t="n">
        <f aca="false">w_dcf*Sens!$C$10310+(1-w_dcf)*Sens!$C$10334</f>
        <v>343.795384650262</v>
      </c>
    </row>
    <row r="10336" customFormat="false" ht="17.15" hidden="false" customHeight="false" outlineLevel="0" collapsed="false">
      <c r="A10336" s="3" t="s">
        <v>1409</v>
      </c>
    </row>
    <row r="10337" customFormat="false" ht="15" hidden="false" customHeight="false" outlineLevel="0" collapsed="false">
      <c r="A10337" s="4" t="s">
        <v>43</v>
      </c>
      <c r="B10337" s="4" t="s">
        <v>63</v>
      </c>
      <c r="C10337" s="19" t="s">
        <v>710</v>
      </c>
      <c r="D10337" s="19" t="s">
        <v>711</v>
      </c>
      <c r="E10337" s="19" t="s">
        <v>712</v>
      </c>
      <c r="F10337" s="19" t="s">
        <v>713</v>
      </c>
      <c r="G10337" s="19" t="s">
        <v>714</v>
      </c>
      <c r="H10337" s="19" t="s">
        <v>715</v>
      </c>
      <c r="I10337" s="19" t="s">
        <v>716</v>
      </c>
      <c r="J10337" s="19" t="s">
        <v>717</v>
      </c>
      <c r="K10337" s="19" t="s">
        <v>718</v>
      </c>
      <c r="L10337" s="4" t="s">
        <v>47</v>
      </c>
    </row>
    <row r="10338" customFormat="false" ht="17.15" hidden="false" customHeight="false" outlineLevel="0" collapsed="false">
      <c r="A10338" s="1" t="s">
        <v>719</v>
      </c>
      <c r="B10338" s="0" t="s">
        <v>340</v>
      </c>
      <c r="C10338" s="27" t="n">
        <f aca="false">mw_ext_24</f>
        <v>640</v>
      </c>
      <c r="D10338" s="27" t="n">
        <f aca="false">mw_ext_25</f>
        <v>1630</v>
      </c>
      <c r="E10338" s="27" t="n">
        <f aca="false">mw_ext_26</f>
        <v>3250</v>
      </c>
      <c r="F10338" s="27" t="n">
        <f aca="false">MIN(1000000000,Sens!E10338+pace)</f>
        <v>5777.2</v>
      </c>
      <c r="G10338" s="27" t="n">
        <f aca="false">MIN(1000000000,Sens!F10338+pace)</f>
        <v>8304.4</v>
      </c>
      <c r="H10338" s="27" t="n">
        <f aca="false">MIN(1000000000,Sens!G10338+pace)</f>
        <v>10831.6</v>
      </c>
      <c r="I10338" s="27" t="n">
        <f aca="false">MIN(1000000000,Sens!H10338+pace)</f>
        <v>13358.8</v>
      </c>
      <c r="J10338" s="27" t="n">
        <f aca="false">MIN(1000000000,Sens!I10338+pace)</f>
        <v>15886</v>
      </c>
      <c r="K10338" s="27" t="n">
        <f aca="false">MIN(1000000000,Sens!J10338+pace)</f>
        <v>18413.2</v>
      </c>
      <c r="L10338" s="11" t="s">
        <v>720</v>
      </c>
    </row>
    <row r="10339" customFormat="false" ht="17.15" hidden="false" customHeight="false" outlineLevel="0" collapsed="false">
      <c r="A10339" s="1" t="s">
        <v>721</v>
      </c>
      <c r="B10339" s="0" t="s">
        <v>340</v>
      </c>
      <c r="C10339" s="27" t="n">
        <f aca="false">rent_ext_24</f>
        <v>150</v>
      </c>
      <c r="D10339" s="27" t="n">
        <f aca="false">rent_ext_25</f>
        <v>400</v>
      </c>
      <c r="E10339" s="27" t="n">
        <f aca="false">rent_ext_26</f>
        <v>550</v>
      </c>
      <c r="F10339" s="27" t="n">
        <f aca="false">rent_ext_f</f>
        <v>756</v>
      </c>
      <c r="G10339" s="27" t="n">
        <f aca="false">rent_ext_f</f>
        <v>756</v>
      </c>
      <c r="H10339" s="27" t="n">
        <f aca="false">rent_ext_f</f>
        <v>756</v>
      </c>
      <c r="I10339" s="27" t="n">
        <f aca="false">rent_ext_f</f>
        <v>756</v>
      </c>
      <c r="J10339" s="27" t="n">
        <f aca="false">rent_ext_f</f>
        <v>756</v>
      </c>
      <c r="K10339" s="27" t="n">
        <f aca="false">rent_ext_f</f>
        <v>756</v>
      </c>
      <c r="L10339" s="1" t="s">
        <v>722</v>
      </c>
    </row>
    <row r="10340" customFormat="false" ht="17.15" hidden="false" customHeight="false" outlineLevel="0" collapsed="false">
      <c r="A10340" s="1" t="s">
        <v>723</v>
      </c>
      <c r="B10340" s="0" t="s">
        <v>340</v>
      </c>
      <c r="C10340" s="27" t="n">
        <f aca="false">Sens!C10338-Sens!C10339</f>
        <v>490</v>
      </c>
      <c r="D10340" s="27" t="n">
        <f aca="false">Sens!D10338-Sens!D10339</f>
        <v>1230</v>
      </c>
      <c r="E10340" s="27" t="n">
        <f aca="false">Sens!E10338-Sens!E10339</f>
        <v>2700</v>
      </c>
      <c r="F10340" s="27" t="n">
        <f aca="false">Sens!F10338-Sens!F10339</f>
        <v>5021.2</v>
      </c>
      <c r="G10340" s="27" t="n">
        <f aca="false">Sens!G10338-Sens!G10339</f>
        <v>7548.4</v>
      </c>
      <c r="H10340" s="27" t="n">
        <f aca="false">Sens!H10338-Sens!H10339</f>
        <v>10075.6</v>
      </c>
      <c r="I10340" s="27" t="n">
        <f aca="false">Sens!I10338-Sens!I10339</f>
        <v>12602.8</v>
      </c>
      <c r="J10340" s="27" t="n">
        <f aca="false">Sens!J10338-Sens!J10339</f>
        <v>15130</v>
      </c>
      <c r="K10340" s="27" t="n">
        <f aca="false">Sens!K10338-Sens!K10339</f>
        <v>17657.2</v>
      </c>
    </row>
    <row r="10341" customFormat="false" ht="17.15" hidden="false" customHeight="false" outlineLevel="0" collapsed="false">
      <c r="A10341" s="1" t="s">
        <v>724</v>
      </c>
      <c r="B10341" s="0" t="s">
        <v>340</v>
      </c>
      <c r="C10341" s="27" t="n">
        <f aca="false">Sens!C10340/ext_sh</f>
        <v>816.666666666667</v>
      </c>
      <c r="D10341" s="27" t="n">
        <f aca="false">Sens!D10340/ext_sh</f>
        <v>2050</v>
      </c>
      <c r="E10341" s="27" t="n">
        <f aca="false">Sens!E10340/ext_sh</f>
        <v>4500</v>
      </c>
      <c r="F10341" s="27" t="n">
        <f aca="false">Sens!F10340/ext_sh</f>
        <v>8368.66666666667</v>
      </c>
      <c r="G10341" s="27" t="n">
        <f aca="false">Sens!G10340/ext_sh</f>
        <v>12580.6666666667</v>
      </c>
      <c r="H10341" s="27" t="n">
        <f aca="false">Sens!H10340/ext_sh</f>
        <v>16792.6666666667</v>
      </c>
      <c r="I10341" s="27" t="n">
        <f aca="false">Sens!I10340/ext_sh</f>
        <v>21004.6666666667</v>
      </c>
      <c r="J10341" s="27" t="n">
        <f aca="false">Sens!J10340/ext_sh</f>
        <v>25216.6666666667</v>
      </c>
      <c r="K10341" s="27" t="n">
        <f aca="false">Sens!K10340/ext_sh</f>
        <v>29428.6666666667</v>
      </c>
      <c r="L10341" s="1" t="s">
        <v>725</v>
      </c>
    </row>
    <row r="10342" customFormat="false" ht="17.15" hidden="false" customHeight="false" outlineLevel="0" collapsed="false">
      <c r="A10342" s="1" t="s">
        <v>726</v>
      </c>
      <c r="B10342" s="0" t="s">
        <v>340</v>
      </c>
      <c r="C10342" s="27" t="n">
        <f aca="false">Sens!C10341-Sens!C10340</f>
        <v>326.666666666667</v>
      </c>
      <c r="D10342" s="27" t="n">
        <f aca="false">Sens!D10341-Sens!D10340</f>
        <v>820</v>
      </c>
      <c r="E10342" s="27" t="n">
        <f aca="false">Sens!E10341-Sens!E10340</f>
        <v>1800</v>
      </c>
      <c r="F10342" s="27" t="n">
        <f aca="false">Sens!F10341-Sens!F10340</f>
        <v>3347.46666666667</v>
      </c>
      <c r="G10342" s="27" t="n">
        <f aca="false">Sens!G10341-Sens!G10340</f>
        <v>5032.26666666667</v>
      </c>
      <c r="H10342" s="27" t="n">
        <f aca="false">Sens!H10341-Sens!H10340</f>
        <v>6717.06666666667</v>
      </c>
      <c r="I10342" s="27" t="n">
        <f aca="false">Sens!I10341-Sens!I10340</f>
        <v>8401.86666666667</v>
      </c>
      <c r="J10342" s="27" t="n">
        <f aca="false">Sens!J10341-Sens!J10340</f>
        <v>10086.6666666667</v>
      </c>
      <c r="K10342" s="27" t="n">
        <f aca="false">Sens!K10341-Sens!K10340</f>
        <v>11771.4666666667</v>
      </c>
    </row>
    <row r="10343" customFormat="false" ht="17.15" hidden="false" customHeight="false" outlineLevel="0" collapsed="false">
      <c r="A10343" s="1" t="s">
        <v>727</v>
      </c>
      <c r="B10343" s="0" t="s">
        <v>340</v>
      </c>
      <c r="C10343" s="27" t="n">
        <f aca="false">Sens!C10341</f>
        <v>816.666666666667</v>
      </c>
      <c r="D10343" s="27" t="n">
        <f aca="false">Sens!D10341-Sens!C10341</f>
        <v>1233.33333333333</v>
      </c>
      <c r="E10343" s="27" t="n">
        <f aca="false">Sens!E10341-Sens!D10341</f>
        <v>2450</v>
      </c>
      <c r="F10343" s="27" t="n">
        <f aca="false">Sens!F10341-Sens!E10341</f>
        <v>3868.66666666667</v>
      </c>
      <c r="G10343" s="27" t="n">
        <f aca="false">Sens!G10341-Sens!F10341</f>
        <v>4212</v>
      </c>
      <c r="H10343" s="27" t="n">
        <f aca="false">Sens!H10341-Sens!G10341</f>
        <v>4212</v>
      </c>
      <c r="I10343" s="27" t="n">
        <f aca="false">Sens!I10341-Sens!H10341</f>
        <v>4212</v>
      </c>
      <c r="J10343" s="27" t="n">
        <f aca="false">Sens!J10341-Sens!I10341</f>
        <v>4212</v>
      </c>
      <c r="K10343" s="27" t="n">
        <f aca="false">Sens!K10341-Sens!J10341</f>
        <v>4212</v>
      </c>
    </row>
    <row r="10344" customFormat="false" ht="17.15" hidden="false" customHeight="false" outlineLevel="0" collapsed="false">
      <c r="A10344" s="1" t="s">
        <v>728</v>
      </c>
      <c r="B10344" s="0" t="s">
        <v>340</v>
      </c>
      <c r="D10344" s="27" t="n">
        <f aca="false">Sens!D10338-Sens!C10338</f>
        <v>990</v>
      </c>
      <c r="E10344" s="27" t="n">
        <f aca="false">Sens!E10338-Sens!D10338</f>
        <v>1620</v>
      </c>
      <c r="F10344" s="27" t="n">
        <f aca="false">Sens!F10338-Sens!E10338</f>
        <v>2527.2</v>
      </c>
      <c r="G10344" s="27" t="n">
        <f aca="false">Sens!G10338-Sens!F10338</f>
        <v>2527.2</v>
      </c>
      <c r="H10344" s="27" t="n">
        <f aca="false">Sens!H10338-Sens!G10338</f>
        <v>2527.2</v>
      </c>
      <c r="I10344" s="27" t="n">
        <f aca="false">Sens!I10338-Sens!H10338</f>
        <v>2527.2</v>
      </c>
      <c r="J10344" s="27" t="n">
        <f aca="false">Sens!J10338-Sens!I10338</f>
        <v>2527.2</v>
      </c>
      <c r="K10344" s="27" t="n">
        <f aca="false">Sens!K10338-Sens!J10338</f>
        <v>2527.2</v>
      </c>
    </row>
    <row r="10345" customFormat="false" ht="17.15" hidden="false" customHeight="false" outlineLevel="0" collapsed="false">
      <c r="A10345" s="1" t="s">
        <v>729</v>
      </c>
      <c r="B10345" s="0" t="s">
        <v>340</v>
      </c>
      <c r="C10345" s="27" t="n">
        <f aca="false">mix_h*Sens!C10338</f>
        <v>128</v>
      </c>
      <c r="D10345" s="27" t="n">
        <f aca="false">mix_h*Sens!D10338</f>
        <v>326</v>
      </c>
      <c r="E10345" s="27" t="n">
        <f aca="false">mix_h*Sens!E10338</f>
        <v>650</v>
      </c>
      <c r="F10345" s="27" t="n">
        <f aca="false">Sens!E10345</f>
        <v>650</v>
      </c>
      <c r="G10345" s="27" t="n">
        <f aca="false">Sens!F10345</f>
        <v>650</v>
      </c>
      <c r="H10345" s="27" t="n">
        <f aca="false">Sens!G10345</f>
        <v>650</v>
      </c>
      <c r="I10345" s="27" t="n">
        <f aca="false">Sens!H10345</f>
        <v>650</v>
      </c>
      <c r="J10345" s="27" t="n">
        <f aca="false">Sens!I10345</f>
        <v>650</v>
      </c>
      <c r="K10345" s="27" t="n">
        <f aca="false">Sens!J10345</f>
        <v>650</v>
      </c>
    </row>
    <row r="10346" customFormat="false" ht="17.15" hidden="false" customHeight="false" outlineLevel="0" collapsed="false">
      <c r="A10346" s="1" t="s">
        <v>730</v>
      </c>
      <c r="B10346" s="0" t="s">
        <v>340</v>
      </c>
      <c r="C10346" s="27" t="n">
        <f aca="false">mix_g2*Sens!C10338</f>
        <v>288</v>
      </c>
      <c r="D10346" s="27" t="n">
        <f aca="false">mix_g2*Sens!D10338</f>
        <v>733.5</v>
      </c>
      <c r="E10346" s="27" t="n">
        <f aca="false">mix_g2*Sens!E10338</f>
        <v>1462.5</v>
      </c>
      <c r="F10346" s="27" t="n">
        <f aca="false">Sens!E10346</f>
        <v>1462.5</v>
      </c>
      <c r="G10346" s="27" t="n">
        <f aca="false">Sens!F10346</f>
        <v>1462.5</v>
      </c>
      <c r="H10346" s="27" t="n">
        <f aca="false">Sens!G10346</f>
        <v>1462.5</v>
      </c>
      <c r="I10346" s="27" t="n">
        <f aca="false">Sens!H10346</f>
        <v>1462.5</v>
      </c>
      <c r="J10346" s="27" t="n">
        <f aca="false">Sens!I10346</f>
        <v>1462.5</v>
      </c>
      <c r="K10346" s="27" t="n">
        <f aca="false">Sens!J10346</f>
        <v>1462.5</v>
      </c>
    </row>
    <row r="10347" customFormat="false" ht="17.15" hidden="false" customHeight="false" outlineLevel="0" collapsed="false">
      <c r="A10347" s="1" t="s">
        <v>731</v>
      </c>
      <c r="B10347" s="0" t="s">
        <v>340</v>
      </c>
      <c r="C10347" s="27" t="n">
        <f aca="false">mix_g3*Sens!C10338</f>
        <v>224</v>
      </c>
      <c r="D10347" s="27" t="n">
        <f aca="false">mix_g3*Sens!D10338</f>
        <v>570.5</v>
      </c>
      <c r="E10347" s="27" t="n">
        <f aca="false">mix_g3*Sens!E10338</f>
        <v>1137.5</v>
      </c>
      <c r="F10347" s="27" t="n">
        <f aca="false">Sens!E10347+Sens!F10344*a_g3_27</f>
        <v>2906.54</v>
      </c>
      <c r="G10347" s="27" t="n">
        <f aca="false">Sens!F10347+Sens!G10344*a_g3_28</f>
        <v>3664.7</v>
      </c>
      <c r="H10347" s="27" t="n">
        <f aca="false">Sens!G10347+Sens!H10344*a_g3_29</f>
        <v>3917.42</v>
      </c>
      <c r="I10347" s="27" t="n">
        <f aca="false">Sens!H10347+Sens!I10344*a_g3_29</f>
        <v>4170.14</v>
      </c>
      <c r="J10347" s="27" t="n">
        <f aca="false">Sens!I10347+Sens!J10344*a_g3_29</f>
        <v>4422.86</v>
      </c>
      <c r="K10347" s="27" t="n">
        <f aca="false">Sens!J10347+Sens!K10344*a_g3_29</f>
        <v>4675.58</v>
      </c>
    </row>
    <row r="10348" customFormat="false" ht="17.15" hidden="false" customHeight="false" outlineLevel="0" collapsed="false">
      <c r="A10348" s="1" t="s">
        <v>732</v>
      </c>
      <c r="B10348" s="0" t="s">
        <v>340</v>
      </c>
      <c r="C10348" s="27" t="n">
        <f aca="false">0</f>
        <v>0</v>
      </c>
      <c r="D10348" s="27" t="n">
        <f aca="false">0</f>
        <v>0</v>
      </c>
      <c r="E10348" s="27" t="n">
        <f aca="false">0</f>
        <v>0</v>
      </c>
      <c r="F10348" s="27" t="n">
        <f aca="false">Sens!E10348+Sens!F10344*(1-a_g3_27)</f>
        <v>758.16</v>
      </c>
      <c r="G10348" s="27" t="n">
        <f aca="false">Sens!F10348+Sens!G10344*(1-a_g3_28)</f>
        <v>2527.2</v>
      </c>
      <c r="H10348" s="27" t="n">
        <f aca="false">Sens!G10348+Sens!H10344*(1-a_g3_29)</f>
        <v>4801.68</v>
      </c>
      <c r="I10348" s="27" t="n">
        <f aca="false">Sens!H10348+Sens!I10344*(1-a_g3_29)</f>
        <v>7076.16</v>
      </c>
      <c r="J10348" s="27" t="n">
        <f aca="false">Sens!I10348+Sens!J10344*(1-a_g3_29)</f>
        <v>9350.64</v>
      </c>
      <c r="K10348" s="27" t="n">
        <f aca="false">Sens!J10348+Sens!K10344*(1-a_g3_29)</f>
        <v>11625.12</v>
      </c>
    </row>
    <row r="10349" customFormat="false" ht="17.15" hidden="false" customHeight="false" outlineLevel="0" collapsed="false">
      <c r="A10349" s="1" t="s">
        <v>733</v>
      </c>
      <c r="B10349" s="0" t="s">
        <v>291</v>
      </c>
      <c r="C10349" s="18" t="n">
        <f aca="false">(Sens!C10345*tk_hold_h100+Sens!C10346*tk_hold_gb200+Sens!C10347*tk_hold_gb300+Sens!C10348*tk_hold_vr200)/Sens!C10338</f>
        <v>9.7235358126469</v>
      </c>
      <c r="D10349" s="18" t="n">
        <f aca="false">(Sens!D10345*tk_hold_h100+Sens!D10346*tk_hold_gb200+Sens!D10347*tk_hold_gb300+Sens!D10348*tk_hold_vr200)/Sens!D10338</f>
        <v>9.7235358126469</v>
      </c>
      <c r="E10349" s="18" t="n">
        <f aca="false">(Sens!E10345*tk_hold_h100+Sens!E10346*tk_hold_gb200+Sens!E10347*tk_hold_gb300+Sens!E10348*tk_hold_vr200)/Sens!E10338</f>
        <v>9.7235358126469</v>
      </c>
      <c r="F10349" s="18" t="n">
        <f aca="false">(Sens!F10345*tk_hold_h100+Sens!F10346*tk_hold_gb200+Sens!F10347*tk_hold_gb300+Sens!F10348*tk_hold_vr200)/Sens!F10338</f>
        <v>10.4079573161931</v>
      </c>
      <c r="G10349" s="18" t="n">
        <f aca="false">(Sens!G10345*tk_hold_h100+Sens!G10346*tk_hold_gb200+Sens!G10347*tk_hold_gb300+Sens!G10348*tk_hold_vr200)/Sens!G10338</f>
        <v>10.8388131109316</v>
      </c>
      <c r="H10349" s="18" t="n">
        <f aca="false">(Sens!H10345*tk_hold_h100+Sens!H10346*tk_hold_gb200+Sens!H10347*tk_hold_gb300+Sens!H10348*tk_hold_vr200)/Sens!H10338</f>
        <v>11.1311018388216</v>
      </c>
      <c r="I10349" s="18" t="n">
        <f aca="false">(Sens!I10345*tk_hold_h100+Sens!I10346*tk_hold_gb200+Sens!I10347*tk_hold_gb300+Sens!I10348*tk_hold_vr200)/Sens!I10338</f>
        <v>11.3128009818501</v>
      </c>
      <c r="J10349" s="18" t="n">
        <f aca="false">(Sens!J10345*tk_hold_h100+Sens!J10346*tk_hold_gb200+Sens!J10347*tk_hold_gb300+Sens!J10348*tk_hold_vr200)/Sens!J10338</f>
        <v>11.4366894646418</v>
      </c>
      <c r="K10349" s="18" t="n">
        <f aca="false">(Sens!K10345*tk_hold_h100+Sens!K10346*tk_hold_gb200+Sens!K10347*tk_hold_gb300+Sens!K10348*tk_hold_vr200)/Sens!K10338</f>
        <v>11.526570716348</v>
      </c>
    </row>
    <row r="10350" customFormat="false" ht="17.15" hidden="false" customHeight="false" outlineLevel="0" collapsed="false">
      <c r="A10350" s="0" t="s">
        <v>734</v>
      </c>
      <c r="B10350" s="0" t="s">
        <v>182</v>
      </c>
      <c r="C10350" s="18" t="n">
        <f aca="false">k_B</f>
        <v>1.17213932619116</v>
      </c>
      <c r="D10350" s="18" t="n">
        <f aca="false">k_B</f>
        <v>1.17213932619116</v>
      </c>
      <c r="E10350" s="18" t="n">
        <f aca="false">k_B</f>
        <v>1.17213932619116</v>
      </c>
      <c r="F10350" s="18" t="n">
        <f aca="false">(k_B+((ls_C*k_long+(1-ls_C)*k_spot)-k_B)*MIN(1,1/3))*1</f>
        <v>1.07843258004497</v>
      </c>
      <c r="G10350" s="18" t="n">
        <f aca="false">(k_B+((ls_C*k_long+(1-ls_C)*k_spot)-k_B)*MIN(1,2/3))*1</f>
        <v>0.984725833898784</v>
      </c>
      <c r="H10350" s="18" t="n">
        <f aca="false">(k_B+((ls_C*k_long+(1-ls_C)*k_spot)-k_B)*MIN(1,3/3))*1</f>
        <v>0.891019087752599</v>
      </c>
      <c r="I10350" s="18" t="n">
        <f aca="false">(k_B+((ls_C*k_long+(1-ls_C)*k_spot)-k_B)*MIN(1,4/3))*1</f>
        <v>0.891019087752599</v>
      </c>
      <c r="J10350" s="18" t="n">
        <f aca="false">(k_B+((ls_C*k_long+(1-ls_C)*k_spot)-k_B)*MIN(1,5/3))*1</f>
        <v>0.891019087752599</v>
      </c>
      <c r="K10350" s="18" t="n">
        <f aca="false">(k_B+((ls_C*k_long+(1-ls_C)*k_spot)-k_B)*MIN(1,6/3))*1</f>
        <v>0.891019087752599</v>
      </c>
      <c r="L10350" s="1" t="s">
        <v>735</v>
      </c>
    </row>
    <row r="10351" customFormat="false" ht="17.15" hidden="false" customHeight="false" outlineLevel="0" collapsed="false">
      <c r="A10351" s="1" t="s">
        <v>736</v>
      </c>
      <c r="B10351" s="0" t="s">
        <v>291</v>
      </c>
      <c r="C10351" s="18" t="n">
        <f aca="false">Sens!C10349*Sens!C10350*chip_f</f>
        <v>11.3973387156315</v>
      </c>
      <c r="D10351" s="18" t="n">
        <f aca="false">Sens!D10349*Sens!D10350*chip_f</f>
        <v>11.3973387156315</v>
      </c>
      <c r="E10351" s="18" t="n">
        <f aca="false">Sens!E10349*Sens!E10350*chip_f</f>
        <v>11.3973387156315</v>
      </c>
      <c r="F10351" s="18" t="n">
        <f aca="false">Sens!F10349*Sens!F10350*chip_f</f>
        <v>11.2242802615</v>
      </c>
      <c r="G10351" s="18" t="n">
        <f aca="false">Sens!G10349*Sens!G10350*chip_f</f>
        <v>10.6732592791352</v>
      </c>
      <c r="H10351" s="18" t="n">
        <f aca="false">Sens!H10349*Sens!H10350*chip_f</f>
        <v>9.91802420610807</v>
      </c>
      <c r="I10351" s="18" t="n">
        <f aca="false">Sens!I10349*Sens!I10350*chip_f</f>
        <v>10.0799216107748</v>
      </c>
      <c r="J10351" s="18" t="n">
        <f aca="false">Sens!J10349*Sens!J10350*chip_f</f>
        <v>10.1903086136949</v>
      </c>
      <c r="K10351" s="18" t="n">
        <f aca="false">Sens!K10349*Sens!K10350*chip_f</f>
        <v>10.2703945245962</v>
      </c>
      <c r="L10351" s="1" t="s">
        <v>737</v>
      </c>
    </row>
    <row r="10352" customFormat="false" ht="17.15" hidden="false" customHeight="false" outlineLevel="0" collapsed="false">
      <c r="A10352" s="0" t="s">
        <v>738</v>
      </c>
      <c r="B10352" s="0" t="s">
        <v>95</v>
      </c>
      <c r="D10352" s="6" t="n">
        <f aca="false">(Sens!C10338+Sens!D10338)/2*Sens!D10351/1000</f>
        <v>12.9359794422418</v>
      </c>
      <c r="E10352" s="6" t="n">
        <f aca="false">(Sens!D10338+Sens!E10338)/2*Sens!E10351/1000</f>
        <v>27.8095064661409</v>
      </c>
      <c r="F10352" s="6" t="n">
        <f aca="false">(Sens!E10338+Sens!F10338)/2*Sens!F10351/1000</f>
        <v>50.6619113883066</v>
      </c>
      <c r="G10352" s="6" t="n">
        <f aca="false">(Sens!F10338+Sens!G10338)/2*Sens!G10351/1000</f>
        <v>75.1482839325348</v>
      </c>
      <c r="H10352" s="6" t="n">
        <f aca="false">(Sens!G10338+Sens!H10338)/2*Sens!H10351/1000</f>
        <v>94.895655604042</v>
      </c>
      <c r="I10352" s="6" t="n">
        <f aca="false">(Sens!H10338+Sens!I10338)/2*Sens!I10351/1000</f>
        <v>121.918667866643</v>
      </c>
      <c r="J10352" s="6" t="n">
        <f aca="false">(Sens!I10338+Sens!J10338)/2*Sens!J10351/1000</f>
        <v>149.006768672892</v>
      </c>
      <c r="K10352" s="6" t="n">
        <f aca="false">(Sens!J10338+Sens!K10338)/2*Sens!K10351/1000</f>
        <v>176.133157939015</v>
      </c>
      <c r="L10352" s="11" t="s">
        <v>739</v>
      </c>
    </row>
    <row r="10353" customFormat="false" ht="17.15" hidden="false" customHeight="false" outlineLevel="0" collapsed="false">
      <c r="A10353" s="1" t="s">
        <v>740</v>
      </c>
      <c r="B10353" s="0" t="s">
        <v>291</v>
      </c>
      <c r="C10353" s="18" t="n">
        <f aca="false">(Sens!C10345*tk_opex_h100+Sens!C10346*tk_opex_gb200+Sens!C10347*tk_opex_gb300+Sens!C10348*tk_opex_vr200)/Sens!C10338</f>
        <v>1.88636041306092</v>
      </c>
      <c r="D10353" s="18" t="n">
        <f aca="false">(Sens!D10345*tk_opex_h100+Sens!D10346*tk_opex_gb200+Sens!D10347*tk_opex_gb300+Sens!D10348*tk_opex_vr200)/Sens!D10338</f>
        <v>1.88636041306092</v>
      </c>
      <c r="E10353" s="18" t="n">
        <f aca="false">(Sens!E10345*tk_opex_h100+Sens!E10346*tk_opex_gb200+Sens!E10347*tk_opex_gb300+Sens!E10348*tk_opex_vr200)/Sens!E10338</f>
        <v>1.88636041306092</v>
      </c>
      <c r="F10353" s="18" t="n">
        <f aca="false">(Sens!F10345*tk_opex_h100+Sens!F10346*tk_opex_gb200+Sens!F10347*tk_opex_gb300+Sens!F10348*tk_opex_vr200)/Sens!F10338</f>
        <v>1.9430236476499</v>
      </c>
      <c r="G10353" s="18" t="n">
        <f aca="false">(Sens!G10345*tk_opex_h100+Sens!G10346*tk_opex_gb200+Sens!G10347*tk_opex_gb300+Sens!G10348*tk_opex_vr200)/Sens!G10338</f>
        <v>1.9786941852423</v>
      </c>
      <c r="H10353" s="18" t="n">
        <f aca="false">(Sens!H10345*tk_opex_h100+Sens!H10346*tk_opex_gb200+Sens!H10347*tk_opex_gb300+Sens!H10348*tk_opex_vr200)/Sens!H10338</f>
        <v>2.00289275976156</v>
      </c>
      <c r="I10353" s="18" t="n">
        <f aca="false">(Sens!I10345*tk_opex_h100+Sens!I10346*tk_opex_gb200+Sens!I10347*tk_opex_gb300+Sens!I10348*tk_opex_vr200)/Sens!I10338</f>
        <v>2.01793562605478</v>
      </c>
      <c r="J10353" s="18" t="n">
        <f aca="false">(Sens!J10345*tk_opex_h100+Sens!J10346*tk_opex_gb200+Sens!J10347*tk_opex_gb300+Sens!J10348*tk_opex_vr200)/Sens!J10338</f>
        <v>2.02819234961902</v>
      </c>
      <c r="K10353" s="18" t="n">
        <f aca="false">(Sens!K10345*tk_opex_h100+Sens!K10346*tk_opex_gb200+Sens!K10347*tk_opex_gb300+Sens!K10348*tk_opex_vr200)/Sens!K10338</f>
        <v>2.0356336155994</v>
      </c>
    </row>
    <row r="10354" customFormat="false" ht="17.15" hidden="false" customHeight="false" outlineLevel="0" collapsed="false">
      <c r="A10354" s="0" t="s">
        <v>741</v>
      </c>
      <c r="B10354" s="0" t="s">
        <v>95</v>
      </c>
      <c r="D10354" s="6" t="n">
        <f aca="false">(Sens!C10341+Sens!D10341)/2*Sens!D10353/1000</f>
        <v>2.70378325872065</v>
      </c>
      <c r="E10354" s="6" t="n">
        <f aca="false">(Sens!D10341+Sens!E10341)/2*Sens!E10353/1000</f>
        <v>6.17783035277451</v>
      </c>
      <c r="F10354" s="6" t="n">
        <f aca="false">(Sens!E10341+Sens!F10341)/2*Sens!F10353/1000</f>
        <v>12.5020618235287</v>
      </c>
      <c r="G10354" s="6" t="n">
        <f aca="false">(Sens!F10341+Sens!G10341)/2*Sens!G10353/1000</f>
        <v>20.7261620256847</v>
      </c>
      <c r="H10354" s="6" t="n">
        <f aca="false">(Sens!G10341+Sens!H10341)/2*Sens!H10353/1000</f>
        <v>29.4158183316982</v>
      </c>
      <c r="I10354" s="6" t="n">
        <f aca="false">(Sens!H10341+Sens!I10341)/2*Sens!I10353/1000</f>
        <v>38.1362927516005</v>
      </c>
      <c r="J10354" s="6" t="n">
        <f aca="false">(Sens!I10341+Sens!J10341)/2*Sens!J10353/1000</f>
        <v>46.8728773279286</v>
      </c>
      <c r="K10354" s="6" t="n">
        <f aca="false">(Sens!J10341+Sens!K10341)/2*Sens!K10353/1000</f>
        <v>55.618938734484</v>
      </c>
    </row>
    <row r="10355" customFormat="false" ht="17.15" hidden="false" customHeight="false" outlineLevel="0" collapsed="false">
      <c r="A10355" s="0" t="s">
        <v>742</v>
      </c>
      <c r="B10355" s="0" t="s">
        <v>95</v>
      </c>
      <c r="D10355" s="6" t="n">
        <f aca="false">(Sens!C10339+Sens!D10339)/2*rent_mw/1000</f>
        <v>2.44475</v>
      </c>
      <c r="E10355" s="6" t="n">
        <f aca="false">(Sens!D10339+Sens!E10339)/2*rent_mw/1000</f>
        <v>4.22275</v>
      </c>
      <c r="F10355" s="6" t="n">
        <f aca="false">(Sens!E10339+Sens!F10339)/2*rent_mw/1000</f>
        <v>5.80517</v>
      </c>
      <c r="G10355" s="6" t="n">
        <f aca="false">(Sens!F10339+Sens!G10339)/2*rent_mw/1000</f>
        <v>6.72084</v>
      </c>
      <c r="H10355" s="6" t="n">
        <f aca="false">(Sens!G10339+Sens!H10339)/2*rent_mw/1000</f>
        <v>6.72084</v>
      </c>
      <c r="I10355" s="6" t="n">
        <f aca="false">(Sens!H10339+Sens!I10339)/2*rent_mw/1000</f>
        <v>6.72084</v>
      </c>
      <c r="J10355" s="6" t="n">
        <f aca="false">(Sens!I10339+Sens!J10339)/2*rent_mw/1000</f>
        <v>6.72084</v>
      </c>
      <c r="K10355" s="6" t="n">
        <f aca="false">(Sens!J10339+Sens!K10339)/2*rent_mw/1000</f>
        <v>6.72084</v>
      </c>
    </row>
    <row r="10356" customFormat="false" ht="17.15" hidden="false" customHeight="false" outlineLevel="0" collapsed="false">
      <c r="A10356" s="0" t="s">
        <v>743</v>
      </c>
      <c r="B10356" s="0" t="s">
        <v>95</v>
      </c>
      <c r="D10356" s="6" t="n">
        <f aca="false">(Sens!C10341+Sens!D10341)/2*(1-self_build)*fac_rent/1000</f>
        <v>0.853242375631075</v>
      </c>
      <c r="E10356" s="6" t="n">
        <f aca="false">(Sens!D10341+Sens!E10341)/2*(1-self_build)*fac_rent/1000</f>
        <v>1.94955961408728</v>
      </c>
      <c r="F10356" s="6" t="n">
        <f aca="false">(Sens!E10341+Sens!F10341)/2*(1-self_build)*fac_rent/1000</f>
        <v>3.83026455274573</v>
      </c>
      <c r="G10356" s="6" t="n">
        <f aca="false">(Sens!F10341+Sens!G10341)/2*(1-self_build)*fac_rent/1000</f>
        <v>6.23541590972812</v>
      </c>
      <c r="H10356" s="6" t="n">
        <f aca="false">(Sens!G10341+Sens!H10341)/2*(1-self_build)*fac_rent/1000</f>
        <v>8.74275792332679</v>
      </c>
      <c r="I10356" s="6" t="n">
        <f aca="false">(Sens!H10341+Sens!I10341)/2*(1-self_build)*fac_rent/1000</f>
        <v>11.2500999369255</v>
      </c>
      <c r="J10356" s="6" t="n">
        <f aca="false">(Sens!I10341+Sens!J10341)/2*(1-self_build)*fac_rent/1000</f>
        <v>13.7574419505241</v>
      </c>
      <c r="K10356" s="6" t="n">
        <f aca="false">(Sens!J10341+Sens!K10341)/2*(1-self_build)*fac_rent/1000</f>
        <v>16.2647839641228</v>
      </c>
      <c r="L10356" s="11" t="s">
        <v>744</v>
      </c>
    </row>
    <row r="10357" customFormat="false" ht="17.15" hidden="false" customHeight="false" outlineLevel="0" collapsed="false">
      <c r="A10357" s="1" t="s">
        <v>745</v>
      </c>
      <c r="B10357" s="0" t="s">
        <v>126</v>
      </c>
      <c r="D10357" s="7" t="n">
        <f aca="false">(Sens!C10340+Sens!D10340)/(Sens!C10341+Sens!D10341)</f>
        <v>0.6</v>
      </c>
      <c r="E10357" s="7" t="n">
        <f aca="false">(Sens!D10340+Sens!E10340)/(Sens!D10341+Sens!E10341)</f>
        <v>0.6</v>
      </c>
      <c r="F10357" s="7" t="n">
        <f aca="false">(Sens!E10340+Sens!F10340)/(Sens!E10341+Sens!F10341)</f>
        <v>0.6</v>
      </c>
      <c r="G10357" s="7" t="n">
        <f aca="false">(Sens!F10340+Sens!G10340)/(Sens!F10341+Sens!G10341)</f>
        <v>0.6</v>
      </c>
      <c r="H10357" s="7" t="n">
        <f aca="false">(Sens!G10340+Sens!H10340)/(Sens!G10341+Sens!H10341)</f>
        <v>0.6</v>
      </c>
      <c r="I10357" s="7" t="n">
        <f aca="false">(Sens!H10340+Sens!I10340)/(Sens!H10341+Sens!I10341)</f>
        <v>0.6</v>
      </c>
      <c r="J10357" s="7" t="n">
        <f aca="false">(Sens!I10340+Sens!J10340)/(Sens!I10341+Sens!J10341)</f>
        <v>0.6</v>
      </c>
      <c r="K10357" s="7" t="n">
        <f aca="false">(Sens!J10340+Sens!K10340)/(Sens!J10341+Sens!K10341)</f>
        <v>0.6</v>
      </c>
    </row>
    <row r="10358" customFormat="false" ht="17.15" hidden="false" customHeight="false" outlineLevel="0" collapsed="false">
      <c r="A10358" s="0" t="s">
        <v>746</v>
      </c>
      <c r="B10358" s="0" t="s">
        <v>95</v>
      </c>
      <c r="D10358" s="6" t="n">
        <f aca="false">Sens!D10352-Sens!D10357*(Sens!D10354+Sens!D10356)-Sens!D10355</f>
        <v>8.35701406163072</v>
      </c>
      <c r="E10358" s="6" t="n">
        <f aca="false">Sens!E10352-Sens!E10357*(Sens!E10354+Sens!E10356)-Sens!E10355</f>
        <v>18.7103224860238</v>
      </c>
      <c r="F10358" s="6" t="n">
        <f aca="false">Sens!F10352-Sens!F10357*(Sens!F10354+Sens!F10356)-Sens!F10355</f>
        <v>35.0573455625419</v>
      </c>
      <c r="G10358" s="6" t="n">
        <f aca="false">Sens!G10352-Sens!G10357*(Sens!G10354+Sens!G10356)-Sens!G10355</f>
        <v>52.2504971712871</v>
      </c>
      <c r="H10358" s="6" t="n">
        <f aca="false">Sens!H10352-Sens!H10357*(Sens!H10354+Sens!H10356)-Sens!H10355</f>
        <v>65.2796698510271</v>
      </c>
      <c r="I10358" s="6" t="n">
        <f aca="false">Sens!I10352-Sens!I10357*(Sens!I10354+Sens!I10356)-Sens!I10355</f>
        <v>85.5659922535278</v>
      </c>
      <c r="J10358" s="6" t="n">
        <f aca="false">Sens!J10352-Sens!J10357*(Sens!J10354+Sens!J10356)-Sens!J10355</f>
        <v>105.90773710582</v>
      </c>
      <c r="K10358" s="6" t="n">
        <f aca="false">Sens!K10352-Sens!K10357*(Sens!K10354+Sens!K10356)-Sens!K10355</f>
        <v>126.282084319851</v>
      </c>
    </row>
    <row r="10359" customFormat="false" ht="17.15" hidden="false" customHeight="false" outlineLevel="0" collapsed="false">
      <c r="A10359" s="1" t="s">
        <v>747</v>
      </c>
      <c r="B10359" s="0" t="s">
        <v>95</v>
      </c>
      <c r="D10359" s="6" t="n">
        <f aca="false">(1-Sens!D10357)*(Sens!D10354+Sens!D10356)</f>
        <v>1.42281025374069</v>
      </c>
      <c r="E10359" s="6" t="n">
        <f aca="false">(1-Sens!E10357)*(Sens!E10354+Sens!E10356)</f>
        <v>3.25095598674472</v>
      </c>
      <c r="F10359" s="6" t="n">
        <f aca="false">(1-Sens!F10357)*(Sens!F10354+Sens!F10356)</f>
        <v>6.53293055050977</v>
      </c>
      <c r="G10359" s="6" t="n">
        <f aca="false">(1-Sens!G10357)*(Sens!G10354+Sens!G10356)</f>
        <v>10.7846311741651</v>
      </c>
      <c r="H10359" s="6" t="n">
        <f aca="false">(1-Sens!H10357)*(Sens!H10354+Sens!H10356)</f>
        <v>15.26343050201</v>
      </c>
      <c r="I10359" s="6" t="n">
        <f aca="false">(1-Sens!I10357)*(Sens!I10354+Sens!I10356)</f>
        <v>19.7545570754104</v>
      </c>
      <c r="J10359" s="6" t="n">
        <f aca="false">(1-Sens!J10357)*(Sens!J10354+Sens!J10356)</f>
        <v>24.2521277113811</v>
      </c>
      <c r="K10359" s="6" t="n">
        <f aca="false">(1-Sens!K10357)*(Sens!K10354+Sens!K10356)</f>
        <v>28.7534890794427</v>
      </c>
    </row>
    <row r="10360" customFormat="false" ht="17.15" hidden="false" customHeight="false" outlineLevel="0" collapsed="false">
      <c r="A10360" s="1" t="s">
        <v>748</v>
      </c>
      <c r="B10360" s="0" t="s">
        <v>302</v>
      </c>
      <c r="C10360" s="8" t="n">
        <f aca="false">cxit_open</f>
        <v>27.5918995</v>
      </c>
      <c r="D10360" s="8" t="n">
        <f aca="false">cxit_open</f>
        <v>27.5918995</v>
      </c>
      <c r="E10360" s="8" t="n">
        <f aca="false">cxit_open</f>
        <v>27.5918995</v>
      </c>
      <c r="F10360" s="8" t="n">
        <f aca="false">(a_g3_27*tk_cxit_gb300+(1-a_g3_27)*tk_cxit_vr200)</f>
        <v>33.8419624</v>
      </c>
      <c r="G10360" s="8" t="n">
        <f aca="false">(a_g3_28*tk_cxit_gb300+(1-a_g3_28)*tk_cxit_vr200)</f>
        <v>35.9816136</v>
      </c>
      <c r="H10360" s="8" t="n">
        <f aca="false">(a_g3_29*tk_cxit_gb300+(1-a_g3_29)*tk_cxit_vr200)</f>
        <v>37.0514392</v>
      </c>
      <c r="I10360" s="8" t="n">
        <f aca="false">(a_g3_29*tk_cxit_gb300+(1-a_g3_29)*tk_cxit_vr200)</f>
        <v>37.0514392</v>
      </c>
      <c r="J10360" s="8" t="n">
        <f aca="false">(a_g3_29*tk_cxit_gb300+(1-a_g3_29)*tk_cxit_vr200)</f>
        <v>37.0514392</v>
      </c>
      <c r="K10360" s="8" t="n">
        <f aca="false">(a_g3_29*tk_cxit_gb300+(1-a_g3_29)*tk_cxit_vr200)</f>
        <v>37.0514392</v>
      </c>
      <c r="L10360" s="11" t="s">
        <v>749</v>
      </c>
    </row>
    <row r="10361" customFormat="false" ht="17.15" hidden="false" customHeight="false" outlineLevel="0" collapsed="false">
      <c r="A10361" s="0" t="s">
        <v>750</v>
      </c>
      <c r="B10361" s="0" t="s">
        <v>340</v>
      </c>
      <c r="F10361" s="27" t="n">
        <f aca="false">Sens!C10343*IF(3=life_it,1,0)+Sens!D10343*IF(2=life_it,1,0)+Sens!E10343*IF(1=life_it,1,0)</f>
        <v>0</v>
      </c>
      <c r="G10361" s="27" t="n">
        <f aca="false">Sens!C10343*IF(4=life_it,1,0)+Sens!D10343*IF(3=life_it,1,0)+Sens!E10343*IF(2=life_it,1,0)+Sens!F10343*IF(1=life_it,1,0)</f>
        <v>0</v>
      </c>
      <c r="H10361" s="27" t="n">
        <f aca="false">Sens!C10343*IF(5=life_it,1,0)+Sens!D10343*IF(4=life_it,1,0)+Sens!E10343*IF(3=life_it,1,0)+Sens!F10343*IF(2=life_it,1,0)+Sens!G10343*IF(1=life_it,1,0)</f>
        <v>0</v>
      </c>
      <c r="I10361" s="27" t="n">
        <f aca="false">Sens!C10343*IF(6=life_it,1,0)+Sens!D10343*IF(5=life_it,1,0)+Sens!E10343*IF(4=life_it,1,0)+Sens!F10343*IF(3=life_it,1,0)+Sens!G10343*IF(2=life_it,1,0)+Sens!H10343*IF(1=life_it,1,0)</f>
        <v>816.666666666667</v>
      </c>
      <c r="J10361" s="27" t="n">
        <f aca="false">Sens!C10343*IF(7=life_it,1,0)+Sens!D10343*IF(6=life_it,1,0)+Sens!E10343*IF(5=life_it,1,0)+Sens!F10343*IF(4=life_it,1,0)+Sens!G10343*IF(3=life_it,1,0)+Sens!H10343*IF(2=life_it,1,0)+Sens!I10343*IF(1=life_it,1,0)</f>
        <v>1233.33333333333</v>
      </c>
      <c r="K10361" s="27" t="n">
        <f aca="false">Sens!C10343*IF(8=life_it,1,0)+Sens!D10343*IF(7=life_it,1,0)+Sens!E10343*IF(6=life_it,1,0)+Sens!F10343*IF(5=life_it,1,0)+Sens!G10343*IF(4=life_it,1,0)+Sens!H10343*IF(3=life_it,1,0)+Sens!I10343*IF(2=life_it,1,0)+Sens!J10343*IF(1=life_it,1,0)</f>
        <v>2450</v>
      </c>
      <c r="L10361" s="1" t="s">
        <v>751</v>
      </c>
    </row>
    <row r="10362" customFormat="false" ht="17.15" hidden="false" customHeight="false" outlineLevel="0" collapsed="false">
      <c r="A10362" s="0" t="s">
        <v>752</v>
      </c>
      <c r="B10362" s="0" t="s">
        <v>95</v>
      </c>
      <c r="C10362" s="6" t="n">
        <f aca="false">Sens!C10343*Sens!C10360/1000</f>
        <v>22.5333845916667</v>
      </c>
      <c r="D10362" s="6" t="n">
        <f aca="false">Sens!D10343*Sens!D10360/1000</f>
        <v>34.0300093833333</v>
      </c>
      <c r="E10362" s="6" t="n">
        <f aca="false">Sens!E10343*Sens!E10360/1000</f>
        <v>67.600153775</v>
      </c>
      <c r="F10362" s="6" t="n">
        <f aca="false">(Sens!F10343+Sens!F10361)*Sens!F10360/1000</f>
        <v>130.923271871467</v>
      </c>
      <c r="G10362" s="6" t="n">
        <f aca="false">(Sens!G10343+Sens!G10361)*Sens!G10360/1000</f>
        <v>151.5545564832</v>
      </c>
      <c r="H10362" s="6" t="n">
        <f aca="false">(Sens!H10343+Sens!H10361)*Sens!H10360/1000</f>
        <v>156.0606619104</v>
      </c>
      <c r="I10362" s="6" t="n">
        <f aca="false">(Sens!I10343+Sens!I10361)*Sens!I10360/1000</f>
        <v>186.319337257067</v>
      </c>
      <c r="J10362" s="6" t="n">
        <f aca="false">(Sens!J10343+Sens!J10361)*Sens!J10360/1000</f>
        <v>201.757436923733</v>
      </c>
      <c r="K10362" s="6" t="n">
        <f aca="false">(Sens!K10343+Sens!K10361)*Sens!K10360/1000</f>
        <v>246.8366879504</v>
      </c>
    </row>
    <row r="10363" customFormat="false" ht="17.15" hidden="false" customHeight="false" outlineLevel="0" collapsed="false">
      <c r="A10363" s="0" t="s">
        <v>753</v>
      </c>
      <c r="B10363" s="0" t="s">
        <v>95</v>
      </c>
      <c r="C10363" s="6" t="n">
        <f aca="false">Sens!C10343*self_build*tk_cxfac/1000</f>
        <v>6.2083</v>
      </c>
      <c r="D10363" s="6" t="n">
        <f aca="false">Sens!D10343*self_build*tk_cxfac/1000</f>
        <v>9.3758</v>
      </c>
      <c r="E10363" s="6" t="n">
        <f aca="false">Sens!E10343*self_build*tk_cxfac/1000</f>
        <v>18.6249</v>
      </c>
      <c r="F10363" s="6" t="n">
        <f aca="false">Sens!F10343*self_build*tk_cxfac/1000</f>
        <v>29.409604</v>
      </c>
      <c r="G10363" s="6" t="n">
        <f aca="false">Sens!G10343*self_build*tk_cxfac/1000</f>
        <v>32.019624</v>
      </c>
      <c r="H10363" s="6" t="n">
        <f aca="false">Sens!H10343*self_build*tk_cxfac/1000</f>
        <v>32.019624</v>
      </c>
      <c r="I10363" s="6" t="n">
        <f aca="false">Sens!I10343*self_build*tk_cxfac/1000</f>
        <v>32.019624</v>
      </c>
      <c r="J10363" s="6" t="n">
        <f aca="false">Sens!J10343*self_build*tk_cxfac/1000</f>
        <v>32.019624</v>
      </c>
      <c r="K10363" s="6" t="n">
        <f aca="false">Sens!K10343*self_build*tk_cxfac/1000</f>
        <v>32.019624</v>
      </c>
    </row>
    <row r="10364" customFormat="false" ht="17.15" hidden="false" customHeight="false" outlineLevel="0" collapsed="false">
      <c r="A10364" s="0" t="s">
        <v>754</v>
      </c>
      <c r="B10364" s="0" t="s">
        <v>95</v>
      </c>
      <c r="F10364" s="6" t="n">
        <f aca="false">MAX(0,capex_floor27-Sens!F10362-Sens!F10363-Sens!F10451)</f>
        <v>8.43777689897088</v>
      </c>
      <c r="G10364" s="6" t="n">
        <f aca="false">0</f>
        <v>0</v>
      </c>
      <c r="H10364" s="6" t="n">
        <f aca="false">0</f>
        <v>0</v>
      </c>
      <c r="I10364" s="6" t="n">
        <f aca="false">0</f>
        <v>0</v>
      </c>
      <c r="J10364" s="6" t="n">
        <f aca="false">0</f>
        <v>0</v>
      </c>
      <c r="K10364" s="6" t="n">
        <f aca="false">0</f>
        <v>0</v>
      </c>
      <c r="L10364" s="1" t="s">
        <v>755</v>
      </c>
    </row>
    <row r="10365" customFormat="false" ht="17.15" hidden="false" customHeight="false" outlineLevel="0" collapsed="false">
      <c r="A10365" s="0" t="s">
        <v>756</v>
      </c>
      <c r="B10365" s="0" t="s">
        <v>95</v>
      </c>
      <c r="C10365" s="6" t="n">
        <f aca="false">Sens!C10362</f>
        <v>22.5333845916667</v>
      </c>
      <c r="D10365" s="6" t="n">
        <f aca="false">Sens!D10362</f>
        <v>34.0300093833333</v>
      </c>
      <c r="E10365" s="6" t="n">
        <f aca="false">Sens!E10362</f>
        <v>67.600153775</v>
      </c>
      <c r="F10365" s="6" t="n">
        <f aca="false">Sens!F10362+Sens!F10364</f>
        <v>139.361048770438</v>
      </c>
      <c r="G10365" s="6" t="n">
        <f aca="false">Sens!G10362+Sens!G10364</f>
        <v>151.5545564832</v>
      </c>
      <c r="H10365" s="6" t="n">
        <f aca="false">Sens!H10362+Sens!H10364</f>
        <v>156.0606619104</v>
      </c>
      <c r="I10365" s="6" t="n">
        <f aca="false">Sens!I10362+Sens!I10364</f>
        <v>186.319337257067</v>
      </c>
      <c r="J10365" s="6" t="n">
        <f aca="false">Sens!J10362+Sens!J10364</f>
        <v>201.757436923733</v>
      </c>
      <c r="K10365" s="6" t="n">
        <f aca="false">Sens!K10362+Sens!K10364</f>
        <v>246.8366879504</v>
      </c>
    </row>
    <row r="10366" customFormat="false" ht="17.15" hidden="false" customHeight="false" outlineLevel="0" collapsed="false">
      <c r="A10366" s="0" t="s">
        <v>757</v>
      </c>
      <c r="B10366" s="0" t="s">
        <v>95</v>
      </c>
      <c r="C10366" s="6" t="n">
        <f aca="false">Sens!C10365+Sens!C10363</f>
        <v>28.7416845916667</v>
      </c>
      <c r="D10366" s="6" t="n">
        <f aca="false">Sens!D10365+Sens!D10363</f>
        <v>43.4058093833333</v>
      </c>
      <c r="E10366" s="6" t="n">
        <f aca="false">Sens!E10365+Sens!E10363</f>
        <v>86.225053775</v>
      </c>
      <c r="F10366" s="6" t="n">
        <f aca="false">Sens!F10365+Sens!F10363</f>
        <v>168.770652770438</v>
      </c>
      <c r="G10366" s="6" t="n">
        <f aca="false">Sens!G10365+Sens!G10363</f>
        <v>183.5741804832</v>
      </c>
      <c r="H10366" s="6" t="n">
        <f aca="false">Sens!H10365+Sens!H10363</f>
        <v>188.0802859104</v>
      </c>
      <c r="I10366" s="6" t="n">
        <f aca="false">Sens!I10365+Sens!I10363</f>
        <v>218.338961257067</v>
      </c>
      <c r="J10366" s="6" t="n">
        <f aca="false">Sens!J10365+Sens!J10363</f>
        <v>233.777060923733</v>
      </c>
      <c r="K10366" s="6" t="n">
        <f aca="false">Sens!K10365+Sens!K10363</f>
        <v>278.8563119504</v>
      </c>
      <c r="L10366" s="11" t="s">
        <v>758</v>
      </c>
    </row>
    <row r="10367" customFormat="false" ht="17.15" hidden="false" customHeight="false" outlineLevel="0" collapsed="false">
      <c r="A10367" s="0" t="s">
        <v>759</v>
      </c>
      <c r="B10367" s="0" t="s">
        <v>95</v>
      </c>
      <c r="E10367" s="6" t="n">
        <f aca="false">(Sens!C10365*IF(2&lt;life_it,1,IF(2=life_it,0.5,0))+Sens!D10365*IF(1&lt;life_it,1,IF(1=life_it,0.5,0))+Sens!E10365*0.5)/life_it</f>
        <v>15.0605784770833</v>
      </c>
      <c r="F10367" s="6" t="n">
        <f aca="false">(Sens!C10365*IF(3&lt;life_it,1,IF(3=life_it,0.5,0))+Sens!D10365*IF(2&lt;life_it,1,IF(2=life_it,0.5,0))+Sens!E10365*IF(1&lt;life_it,1,IF(1=life_it,0.5,0))+Sens!F10365*0.5)/life_it</f>
        <v>32.3073453558698</v>
      </c>
      <c r="G10367" s="6" t="n">
        <f aca="false">(Sens!C10365*IF(4&lt;life_it,1,IF(4=life_it,0.5,0))+Sens!D10365*IF(3&lt;life_it,1,IF(3=life_it,0.5,0))+Sens!E10365*IF(2&lt;life_it,1,IF(2=life_it,0.5,0))+Sens!F10365*IF(1&lt;life_it,1,IF(1=life_it,0.5,0))+Sens!G10365*0.5)/life_it</f>
        <v>56.5503124603396</v>
      </c>
      <c r="H10367" s="6" t="n">
        <f aca="false">(Sens!C10365*IF(5&lt;life_it,1,IF(5=life_it,0.5,0))+Sens!D10365*IF(4&lt;life_it,1,IF(4=life_it,0.5,0))+Sens!E10365*IF(3&lt;life_it,1,IF(3=life_it,0.5,0))+Sens!F10365*IF(2&lt;life_it,1,IF(2=life_it,0.5,0))+Sens!G10365*IF(1&lt;life_it,1,IF(1=life_it,0.5,0))+Sens!H10365*0.5)/life_it</f>
        <v>82.1849139931396</v>
      </c>
      <c r="I10367" s="6" t="n">
        <f aca="false">(Sens!C10365*IF(6&lt;life_it,1,IF(6=life_it,0.5,0))+Sens!D10365*IF(5&lt;life_it,1,IF(5=life_it,0.5,0))+Sens!E10365*IF(4&lt;life_it,1,IF(4=life_it,0.5,0))+Sens!F10365*IF(3&lt;life_it,1,IF(3=life_it,0.5,0))+Sens!G10365*IF(2&lt;life_it,1,IF(2=life_it,0.5,0))+Sens!H10365*IF(1&lt;life_it,1,IF(1=life_it,0.5,0))+Sens!I10365*0.5)/life_it</f>
        <v>108.838798541123</v>
      </c>
      <c r="J10367" s="6" t="n">
        <f aca="false">(Sens!C10365*IF(7&lt;life_it,1,IF(7=life_it,0.5,0))+Sens!D10365*IF(6&lt;life_it,1,IF(6=life_it,0.5,0))+Sens!E10365*IF(5&lt;life_it,1,IF(5=life_it,0.5,0))+Sens!F10365*IF(4&lt;life_it,1,IF(4=life_it,0.5,0))+Sens!G10365*IF(3&lt;life_it,1,IF(3=life_it,0.5,0))+Sens!H10365*IF(2&lt;life_it,1,IF(2=life_it,0.5,0))+Sens!I10365*IF(1&lt;life_it,1,IF(1=life_it,0.5,0))+Sens!J10365*0.5)/life_it</f>
        <v>136.464913558273</v>
      </c>
      <c r="K10367" s="6" t="n">
        <f aca="false">(Sens!C10365*IF(8&lt;life_it,1,IF(8=life_it,0.5,0))+Sens!D10365*IF(7&lt;life_it,1,IF(7=life_it,0.5,0))+Sens!E10365*IF(6&lt;life_it,1,IF(6=life_it,0.5,0))+Sens!F10365*IF(5&lt;life_it,1,IF(5=life_it,0.5,0))+Sens!G10365*IF(4&lt;life_it,1,IF(4=life_it,0.5,0))+Sens!H10365*IF(3&lt;life_it,1,IF(3=life_it,0.5,0))+Sens!I10365*IF(2&lt;life_it,1,IF(2=life_it,0.5,0))+Sens!J10365*IF(1&lt;life_it,1,IF(1=life_it,0.5,0))+Sens!K10365*0.5)/life_it</f>
        <v>165.37857703459</v>
      </c>
    </row>
    <row r="10368" customFormat="false" ht="17.15" hidden="false" customHeight="false" outlineLevel="0" collapsed="false">
      <c r="A10368" s="0" t="s">
        <v>760</v>
      </c>
      <c r="B10368" s="0" t="s">
        <v>95</v>
      </c>
      <c r="E10368" s="6" t="n">
        <f aca="false">(Sens!C10363*IF(2&lt;life_fac,1,IF(2=life_fac,0.5,0))+Sens!D10363*IF(1&lt;life_fac,1,IF(1=life_fac,0.5,0))+Sens!E10363*0.5)/life_fac</f>
        <v>1.2448275</v>
      </c>
      <c r="F10368" s="6" t="n">
        <f aca="false">(Sens!C10363*IF(3&lt;life_fac,1,IF(3=life_fac,0.5,0))+Sens!D10363*IF(2&lt;life_fac,1,IF(2=life_fac,0.5,0))+Sens!E10363*IF(1&lt;life_fac,1,IF(1=life_fac,0.5,0))+Sens!F10363*0.5)/life_fac</f>
        <v>2.4456901</v>
      </c>
      <c r="G10368" s="6" t="n">
        <f aca="false">(Sens!C10363*IF(4&lt;life_fac,1,IF(4=life_fac,0.5,0))+Sens!D10363*IF(3&lt;life_fac,1,IF(3=life_fac,0.5,0))+Sens!E10363*IF(2&lt;life_fac,1,IF(2=life_fac,0.5,0))+Sens!F10363*IF(1&lt;life_fac,1,IF(1=life_fac,0.5,0))+Sens!G10363*0.5)/life_fac</f>
        <v>3.9814208</v>
      </c>
      <c r="H10368" s="6" t="n">
        <f aca="false">(Sens!C10363*IF(5&lt;life_fac,1,IF(5=life_fac,0.5,0))+Sens!D10363*IF(4&lt;life_fac,1,IF(4=life_fac,0.5,0))+Sens!E10363*IF(3&lt;life_fac,1,IF(3=life_fac,0.5,0))+Sens!F10363*IF(2&lt;life_fac,1,IF(2=life_fac,0.5,0))+Sens!G10363*IF(1&lt;life_fac,1,IF(1=life_fac,0.5,0))+Sens!H10363*0.5)/life_fac</f>
        <v>5.582402</v>
      </c>
      <c r="I10368" s="6" t="n">
        <f aca="false">(Sens!C10363*IF(6&lt;life_fac,1,IF(6=life_fac,0.5,0))+Sens!D10363*IF(5&lt;life_fac,1,IF(5=life_fac,0.5,0))+Sens!E10363*IF(4&lt;life_fac,1,IF(4=life_fac,0.5,0))+Sens!F10363*IF(3&lt;life_fac,1,IF(3=life_fac,0.5,0))+Sens!G10363*IF(2&lt;life_fac,1,IF(2=life_fac,0.5,0))+Sens!H10363*IF(1&lt;life_fac,1,IF(1=life_fac,0.5,0))+Sens!I10363*0.5)/life_fac</f>
        <v>7.1833832</v>
      </c>
      <c r="J10368" s="6" t="n">
        <f aca="false">(Sens!C10363*IF(7&lt;life_fac,1,IF(7=life_fac,0.5,0))+Sens!D10363*IF(6&lt;life_fac,1,IF(6=life_fac,0.5,0))+Sens!E10363*IF(5&lt;life_fac,1,IF(5=life_fac,0.5,0))+Sens!F10363*IF(4&lt;life_fac,1,IF(4=life_fac,0.5,0))+Sens!G10363*IF(3&lt;life_fac,1,IF(3=life_fac,0.5,0))+Sens!H10363*IF(2&lt;life_fac,1,IF(2=life_fac,0.5,0))+Sens!I10363*IF(1&lt;life_fac,1,IF(1=life_fac,0.5,0))+Sens!J10363*0.5)/life_fac</f>
        <v>8.7843644</v>
      </c>
      <c r="K10368" s="6" t="n">
        <f aca="false">(Sens!C10363*IF(8&lt;life_fac,1,IF(8=life_fac,0.5,0))+Sens!D10363*IF(7&lt;life_fac,1,IF(7=life_fac,0.5,0))+Sens!E10363*IF(6&lt;life_fac,1,IF(6=life_fac,0.5,0))+Sens!F10363*IF(5&lt;life_fac,1,IF(5=life_fac,0.5,0))+Sens!G10363*IF(4&lt;life_fac,1,IF(4=life_fac,0.5,0))+Sens!H10363*IF(3&lt;life_fac,1,IF(3=life_fac,0.5,0))+Sens!I10363*IF(2&lt;life_fac,1,IF(2=life_fac,0.5,0))+Sens!J10363*IF(1&lt;life_fac,1,IF(1=life_fac,0.5,0))+Sens!K10363*0.5)/life_fac</f>
        <v>10.3853456</v>
      </c>
    </row>
    <row r="10369" customFormat="false" ht="17.15" hidden="false" customHeight="false" outlineLevel="0" collapsed="false">
      <c r="A10369" s="0" t="s">
        <v>761</v>
      </c>
      <c r="B10369" s="0" t="s">
        <v>95</v>
      </c>
      <c r="E10369" s="6" t="n">
        <f aca="false">Sens!E10367+Sens!E10368</f>
        <v>16.3054059770833</v>
      </c>
      <c r="F10369" s="6" t="n">
        <f aca="false">Sens!F10367+Sens!F10368</f>
        <v>34.7530354558698</v>
      </c>
      <c r="G10369" s="6" t="n">
        <f aca="false">Sens!G10367+Sens!G10368</f>
        <v>60.5317332603396</v>
      </c>
      <c r="H10369" s="6" t="n">
        <f aca="false">Sens!H10367+Sens!H10368</f>
        <v>87.7673159931396</v>
      </c>
      <c r="I10369" s="6" t="n">
        <f aca="false">Sens!I10367+Sens!I10368</f>
        <v>116.022181741123</v>
      </c>
      <c r="J10369" s="6" t="n">
        <f aca="false">Sens!J10367+Sens!J10368</f>
        <v>145.249277958273</v>
      </c>
      <c r="K10369" s="6" t="n">
        <f aca="false">Sens!K10367+Sens!K10368</f>
        <v>175.76392263459</v>
      </c>
    </row>
    <row r="10370" customFormat="false" ht="17.15" hidden="false" customHeight="false" outlineLevel="0" collapsed="false">
      <c r="A10370" s="0" t="s">
        <v>762</v>
      </c>
      <c r="B10370" s="0" t="s">
        <v>95</v>
      </c>
      <c r="E10370" s="6" t="n">
        <f aca="false">Sens!E10358-Sens!E10357*Sens!E10369</f>
        <v>8.92707889977379</v>
      </c>
      <c r="F10370" s="6" t="n">
        <f aca="false">Sens!F10358-Sens!F10357*Sens!F10369</f>
        <v>14.2055242890201</v>
      </c>
      <c r="G10370" s="6" t="n">
        <f aca="false">Sens!G10358-Sens!G10357*Sens!G10369</f>
        <v>15.9314572150833</v>
      </c>
      <c r="H10370" s="6" t="n">
        <f aca="false">Sens!H10358-Sens!H10357*Sens!H10369</f>
        <v>12.6192802551433</v>
      </c>
      <c r="I10370" s="6" t="n">
        <f aca="false">Sens!I10358-Sens!I10357*Sens!I10369</f>
        <v>15.9526832088541</v>
      </c>
      <c r="J10370" s="6" t="n">
        <f aca="false">Sens!J10358-Sens!J10357*Sens!J10369</f>
        <v>18.7581703308565</v>
      </c>
      <c r="K10370" s="6" t="n">
        <f aca="false">Sens!K10358-Sens!K10357*Sens!K10369</f>
        <v>20.8237307390974</v>
      </c>
    </row>
    <row r="10371" customFormat="false" ht="17.15" hidden="false" customHeight="false" outlineLevel="0" collapsed="false">
      <c r="A10371" s="3" t="s">
        <v>1410</v>
      </c>
    </row>
    <row r="10372" customFormat="false" ht="15" hidden="false" customHeight="false" outlineLevel="0" collapsed="false">
      <c r="A10372" s="4" t="s">
        <v>43</v>
      </c>
      <c r="B10372" s="4" t="s">
        <v>63</v>
      </c>
      <c r="C10372" s="19" t="s">
        <v>710</v>
      </c>
      <c r="D10372" s="19" t="s">
        <v>711</v>
      </c>
      <c r="E10372" s="19" t="s">
        <v>712</v>
      </c>
      <c r="F10372" s="19" t="s">
        <v>713</v>
      </c>
      <c r="G10372" s="19" t="s">
        <v>714</v>
      </c>
      <c r="H10372" s="19" t="s">
        <v>715</v>
      </c>
      <c r="I10372" s="19" t="s">
        <v>716</v>
      </c>
      <c r="J10372" s="19" t="s">
        <v>717</v>
      </c>
      <c r="K10372" s="19" t="s">
        <v>718</v>
      </c>
      <c r="L10372" s="4" t="s">
        <v>47</v>
      </c>
    </row>
    <row r="10373" customFormat="false" ht="17.15" hidden="false" customHeight="false" outlineLevel="0" collapsed="false">
      <c r="A10373" s="0" t="s">
        <v>780</v>
      </c>
      <c r="B10373" s="0" t="s">
        <v>95</v>
      </c>
      <c r="D10373" s="6" t="n">
        <f aca="false">Sens!D10352</f>
        <v>12.9359794422418</v>
      </c>
      <c r="E10373" s="6" t="n">
        <f aca="false">Sens!E10352</f>
        <v>27.8095064661409</v>
      </c>
      <c r="F10373" s="6" t="n">
        <f aca="false">Sens!F10352</f>
        <v>50.6619113883066</v>
      </c>
      <c r="G10373" s="6" t="n">
        <f aca="false">Sens!G10352</f>
        <v>75.1482839325348</v>
      </c>
      <c r="H10373" s="6" t="n">
        <f aca="false">Sens!H10352</f>
        <v>94.895655604042</v>
      </c>
      <c r="I10373" s="6" t="n">
        <f aca="false">Sens!I10352</f>
        <v>121.918667866643</v>
      </c>
      <c r="J10373" s="6" t="n">
        <f aca="false">Sens!J10352</f>
        <v>149.006768672892</v>
      </c>
      <c r="K10373" s="6" t="n">
        <f aca="false">Sens!K10352</f>
        <v>176.133157939015</v>
      </c>
    </row>
    <row r="10374" customFormat="false" ht="17.15" hidden="false" customHeight="false" outlineLevel="0" collapsed="false">
      <c r="A10374" s="0" t="s">
        <v>781</v>
      </c>
      <c r="B10374" s="0" t="s">
        <v>95</v>
      </c>
      <c r="D10374" s="6" t="n">
        <f aca="false">Q!L6-Sens!D10373</f>
        <v>59.6740205577583</v>
      </c>
      <c r="E10374" s="6" t="n">
        <f aca="false">Q!M6-Sens!E10373</f>
        <v>74.1284935338591</v>
      </c>
      <c r="F10374" s="6" t="n">
        <f aca="false">Sens!E10374*(1+Sens!F10375)</f>
        <v>90.0799497373663</v>
      </c>
      <c r="G10374" s="6" t="n">
        <f aca="false">Sens!F10374*(1+Sens!G10375)</f>
        <v>107.02842520331</v>
      </c>
      <c r="H10374" s="6" t="n">
        <f aca="false">Sens!G10374*(1+Sens!H10375)</f>
        <v>124.271982585636</v>
      </c>
      <c r="I10374" s="6" t="n">
        <f aca="false">Sens!H10374*(1+Sens!I10375)</f>
        <v>140.933702381855</v>
      </c>
      <c r="J10374" s="6" t="n">
        <f aca="false">Sens!I10374*(1+Sens!J10375)</f>
        <v>156.018867314332</v>
      </c>
      <c r="K10374" s="6" t="n">
        <f aca="false">Sens!J10374*(1+Sens!K10375)</f>
        <v>168.500376699478</v>
      </c>
    </row>
    <row r="10375" customFormat="false" ht="15" hidden="false" customHeight="false" outlineLevel="0" collapsed="false">
      <c r="A10375" s="1" t="s">
        <v>782</v>
      </c>
      <c r="B10375" s="0" t="s">
        <v>126</v>
      </c>
      <c r="E10375" s="7" t="n">
        <f aca="false">Sens!E10374/Sens!D10374-1</f>
        <v>0.242223883039864</v>
      </c>
      <c r="F10375" s="7" t="n">
        <f aca="false">Sens!$E$10375+(glt_azo-Sens!$E$10375)*MIN(1,1/n_conv)</f>
        <v>0.215186569199887</v>
      </c>
      <c r="G10375" s="7" t="n">
        <f aca="false">Sens!$E$10375+(glt_azo-Sens!$E$10375)*MIN(1,2/n_conv)</f>
        <v>0.18814925535991</v>
      </c>
      <c r="H10375" s="7" t="n">
        <f aca="false">Sens!$E$10375+(glt_azo-Sens!$E$10375)*MIN(1,3/n_conv)</f>
        <v>0.161111941519932</v>
      </c>
      <c r="I10375" s="7" t="n">
        <f aca="false">Sens!$E$10375+(glt_azo-Sens!$E$10375)*MIN(1,4/n_conv)</f>
        <v>0.134074627679955</v>
      </c>
      <c r="J10375" s="7" t="n">
        <f aca="false">Sens!$E$10375+(glt_azo-Sens!$E$10375)*MIN(1,5/n_conv)</f>
        <v>0.107037313839977</v>
      </c>
      <c r="K10375" s="7" t="n">
        <f aca="false">Sens!$E$10375+(glt_azo-Sens!$E$10375)*MIN(1,6/n_conv)</f>
        <v>0.08</v>
      </c>
    </row>
    <row r="10376" customFormat="false" ht="15" hidden="false" customHeight="false" outlineLevel="0" collapsed="false">
      <c r="A10376" s="0" t="s">
        <v>783</v>
      </c>
      <c r="B10376" s="0" t="s">
        <v>95</v>
      </c>
      <c r="D10376" s="6" t="n">
        <f aca="false">Sens!D10373+Sens!D10374</f>
        <v>72.61</v>
      </c>
      <c r="E10376" s="6" t="n">
        <f aca="false">Sens!E10373+Sens!E10374</f>
        <v>101.938</v>
      </c>
      <c r="F10376" s="6" t="n">
        <f aca="false">Sens!F10373+Sens!F10374</f>
        <v>140.741861125673</v>
      </c>
      <c r="G10376" s="6" t="n">
        <f aca="false">Sens!G10373+Sens!G10374</f>
        <v>182.176709135845</v>
      </c>
      <c r="H10376" s="6" t="n">
        <f aca="false">Sens!H10373+Sens!H10374</f>
        <v>219.167638189678</v>
      </c>
      <c r="I10376" s="6" t="n">
        <f aca="false">Sens!I10373+Sens!I10374</f>
        <v>262.852370248498</v>
      </c>
      <c r="J10376" s="6" t="n">
        <f aca="false">Sens!J10373+Sens!J10374</f>
        <v>305.025635987223</v>
      </c>
      <c r="K10376" s="6" t="n">
        <f aca="false">Sens!K10373+Sens!K10374</f>
        <v>344.633534638493</v>
      </c>
    </row>
    <row r="10377" customFormat="false" ht="17.15" hidden="false" customHeight="false" outlineLevel="0" collapsed="false">
      <c r="A10377" s="0" t="s">
        <v>784</v>
      </c>
      <c r="B10377" s="1" t="s">
        <v>451</v>
      </c>
      <c r="C10377" s="27" t="n">
        <f aca="false">cop_s24</f>
        <v>1</v>
      </c>
      <c r="D10377" s="27" t="n">
        <f aca="false">cop_s25</f>
        <v>5</v>
      </c>
      <c r="E10377" s="27" t="n">
        <f aca="false">cop_s26</f>
        <v>30</v>
      </c>
      <c r="F10377" s="27" t="n">
        <f aca="false">Sens!E10377+IF(2027&lt;=2029,cop_add_C,cop_add_C*cop_tail)</f>
        <v>40</v>
      </c>
      <c r="G10377" s="27" t="n">
        <f aca="false">Sens!F10377+IF(2028&lt;=2029,cop_add_C,cop_add_C*cop_tail)</f>
        <v>50</v>
      </c>
      <c r="H10377" s="27" t="n">
        <f aca="false">Sens!G10377+IF(2029&lt;=2029,cop_add_C,cop_add_C*cop_tail)</f>
        <v>60</v>
      </c>
      <c r="I10377" s="27" t="n">
        <f aca="false">Sens!H10377+IF(2030&lt;=2029,cop_add_C,cop_add_C*cop_tail)</f>
        <v>65</v>
      </c>
      <c r="J10377" s="27" t="n">
        <f aca="false">Sens!I10377+IF(2031&lt;=2029,cop_add_C,cop_add_C*cop_tail)</f>
        <v>70</v>
      </c>
      <c r="K10377" s="27" t="n">
        <f aca="false">Sens!J10377+IF(2032&lt;=2029,cop_add_C,cop_add_C*cop_tail)</f>
        <v>75</v>
      </c>
    </row>
    <row r="10378" customFormat="false" ht="17.15" hidden="false" customHeight="false" outlineLevel="0" collapsed="false">
      <c r="A10378" s="0" t="s">
        <v>785</v>
      </c>
      <c r="B10378" s="0" t="s">
        <v>95</v>
      </c>
      <c r="D10378" s="6" t="n">
        <f aca="false">(Sens!C10377+Sens!D10377)/2*cop_px*12/1000</f>
        <v>0.9</v>
      </c>
      <c r="E10378" s="6" t="n">
        <f aca="false">(Sens!D10377+Sens!E10377)/2*cop_px*12/1000</f>
        <v>5.25</v>
      </c>
      <c r="F10378" s="6" t="n">
        <f aca="false">(Sens!E10377+Sens!F10377)/2*cop_px*12/1000</f>
        <v>10.5</v>
      </c>
      <c r="G10378" s="6" t="n">
        <f aca="false">(Sens!F10377+Sens!G10377)/2*cop_px*12/1000</f>
        <v>13.5</v>
      </c>
      <c r="H10378" s="6" t="n">
        <f aca="false">(Sens!G10377+Sens!H10377)/2*cop_px*12/1000</f>
        <v>16.5</v>
      </c>
      <c r="I10378" s="6" t="n">
        <f aca="false">(Sens!H10377+Sens!I10377)/2*cop_px*12/1000</f>
        <v>18.75</v>
      </c>
      <c r="J10378" s="6" t="n">
        <f aca="false">(Sens!I10377+Sens!J10377)/2*cop_px*12/1000</f>
        <v>20.25</v>
      </c>
      <c r="K10378" s="6" t="n">
        <f aca="false">(Sens!J10377+Sens!K10377)/2*cop_px*12/1000</f>
        <v>21.75</v>
      </c>
      <c r="L10378" s="1" t="s">
        <v>786</v>
      </c>
    </row>
    <row r="10379" customFormat="false" ht="17.15" hidden="false" customHeight="false" outlineLevel="0" collapsed="false">
      <c r="A10379" s="0" t="s">
        <v>787</v>
      </c>
      <c r="B10379" s="0" t="s">
        <v>95</v>
      </c>
      <c r="D10379" s="6" t="n">
        <f aca="false">Q!L7-Sens!D10378</f>
        <v>83.705</v>
      </c>
      <c r="E10379" s="6" t="n">
        <f aca="false">Q!M7-Sens!E10378</f>
        <v>95.049</v>
      </c>
      <c r="F10379" s="6" t="n">
        <f aca="false">Sens!E10379*(1+Sens!F10380)</f>
        <v>106.89238776686</v>
      </c>
      <c r="G10379" s="6" t="n">
        <f aca="false">Sens!F10379*(1+Sens!G10380)</f>
        <v>119.044168448684</v>
      </c>
      <c r="H10379" s="6" t="n">
        <f aca="false">Sens!G10379*(1+Sens!H10380)</f>
        <v>131.277359388781</v>
      </c>
      <c r="I10379" s="6" t="n">
        <f aca="false">Sens!H10379*(1+Sens!I10380)</f>
        <v>143.334028071957</v>
      </c>
      <c r="J10379" s="6" t="n">
        <f aca="false">Sens!I10379*(1+Sens!J10380)</f>
        <v>154.932702785465</v>
      </c>
      <c r="K10379" s="6" t="n">
        <f aca="false">Sens!J10379*(1+Sens!K10380)</f>
        <v>165.777991980448</v>
      </c>
    </row>
    <row r="10380" customFormat="false" ht="15" hidden="false" customHeight="false" outlineLevel="0" collapsed="false">
      <c r="A10380" s="1" t="s">
        <v>782</v>
      </c>
      <c r="B10380" s="0" t="s">
        <v>126</v>
      </c>
      <c r="E10380" s="7" t="n">
        <f aca="false">Sens!E10379/Sens!D10379-1</f>
        <v>0.135523564900544</v>
      </c>
      <c r="F10380" s="7" t="n">
        <f aca="false">Sens!$E$10380+(glt_m365b-Sens!$E$10380)*MIN(1,1/n_conv)</f>
        <v>0.124602970750453</v>
      </c>
      <c r="G10380" s="7" t="n">
        <f aca="false">Sens!$E$10380+(glt_m365b-Sens!$E$10380)*MIN(1,2/n_conv)</f>
        <v>0.113682376600363</v>
      </c>
      <c r="H10380" s="7" t="n">
        <f aca="false">Sens!$E$10380+(glt_m365b-Sens!$E$10380)*MIN(1,3/n_conv)</f>
        <v>0.102761782450272</v>
      </c>
      <c r="I10380" s="7" t="n">
        <f aca="false">Sens!$E$10380+(glt_m365b-Sens!$E$10380)*MIN(1,4/n_conv)</f>
        <v>0.0918411883001813</v>
      </c>
      <c r="J10380" s="7" t="n">
        <f aca="false">Sens!$E$10380+(glt_m365b-Sens!$E$10380)*MIN(1,5/n_conv)</f>
        <v>0.0809205941500906</v>
      </c>
      <c r="K10380" s="7" t="n">
        <f aca="false">Sens!$E$10380+(glt_m365b-Sens!$E$10380)*MIN(1,6/n_conv)</f>
        <v>0.07</v>
      </c>
    </row>
    <row r="10381" customFormat="false" ht="15" hidden="false" customHeight="false" outlineLevel="0" collapsed="false">
      <c r="A10381" s="0" t="s">
        <v>788</v>
      </c>
      <c r="B10381" s="0" t="s">
        <v>95</v>
      </c>
      <c r="D10381" s="6" t="n">
        <f aca="false">Sens!D10379+Sens!D10378</f>
        <v>84.605</v>
      </c>
      <c r="E10381" s="6" t="n">
        <f aca="false">Sens!E10379+Sens!E10378</f>
        <v>100.299</v>
      </c>
      <c r="F10381" s="6" t="n">
        <f aca="false">Sens!F10379+Sens!F10378</f>
        <v>117.39238776686</v>
      </c>
      <c r="G10381" s="6" t="n">
        <f aca="false">Sens!G10379+Sens!G10378</f>
        <v>132.544168448684</v>
      </c>
      <c r="H10381" s="6" t="n">
        <f aca="false">Sens!H10379+Sens!H10378</f>
        <v>147.777359388781</v>
      </c>
      <c r="I10381" s="6" t="n">
        <f aca="false">Sens!I10379+Sens!I10378</f>
        <v>162.084028071957</v>
      </c>
      <c r="J10381" s="6" t="n">
        <f aca="false">Sens!J10379+Sens!J10378</f>
        <v>175.182702785465</v>
      </c>
      <c r="K10381" s="6" t="n">
        <f aca="false">Sens!K10379+Sens!K10378</f>
        <v>187.527991980448</v>
      </c>
    </row>
    <row r="10382" customFormat="false" ht="15" hidden="false" customHeight="false" outlineLevel="0" collapsed="false">
      <c r="A10382" s="0" t="s">
        <v>789</v>
      </c>
      <c r="B10382" s="0" t="s">
        <v>95</v>
      </c>
      <c r="D10382" s="6" t="n">
        <f aca="false">Q!L8</f>
        <v>35.391</v>
      </c>
      <c r="E10382" s="6" t="n">
        <f aca="false">Q!M8</f>
        <v>37.285</v>
      </c>
      <c r="F10382" s="6" t="n">
        <f aca="false">Sens!E10382*(1+Sens!F10383)</f>
        <v>39.0720834331704</v>
      </c>
      <c r="G10382" s="6" t="n">
        <f aca="false">Sens!F10382*(1+Sens!G10383)</f>
        <v>40.726562953769</v>
      </c>
      <c r="H10382" s="6" t="n">
        <f aca="false">Sens!G10382*(1+Sens!H10383)</f>
        <v>42.2235987259198</v>
      </c>
      <c r="I10382" s="6" t="n">
        <f aca="false">Sens!H10382*(1+Sens!I10383)</f>
        <v>43.5397988077414</v>
      </c>
      <c r="J10382" s="6" t="n">
        <f aca="false">Sens!I10382*(1+Sens!J10383)</f>
        <v>44.653811225693</v>
      </c>
      <c r="K10382" s="6" t="n">
        <f aca="false">Sens!J10382*(1+Sens!K10383)</f>
        <v>45.5468874502068</v>
      </c>
    </row>
    <row r="10383" customFormat="false" ht="15" hidden="false" customHeight="false" outlineLevel="0" collapsed="false">
      <c r="A10383" s="1" t="s">
        <v>782</v>
      </c>
      <c r="B10383" s="0" t="s">
        <v>126</v>
      </c>
      <c r="E10383" s="7" t="n">
        <f aca="false">Sens!E10382/Sens!D10382-1</f>
        <v>0.0535164307309768</v>
      </c>
      <c r="F10383" s="7" t="n">
        <f aca="false">Sens!$E$10383+(glt_lic-Sens!$E$10383)*MIN(1,1/n_conv)</f>
        <v>0.0479303589424807</v>
      </c>
      <c r="G10383" s="7" t="n">
        <f aca="false">Sens!$E$10383+(glt_lic-Sens!$E$10383)*MIN(1,2/n_conv)</f>
        <v>0.0423442871539845</v>
      </c>
      <c r="H10383" s="7" t="n">
        <f aca="false">Sens!$E$10383+(glt_lic-Sens!$E$10383)*MIN(1,3/n_conv)</f>
        <v>0.0367582153654884</v>
      </c>
      <c r="I10383" s="7" t="n">
        <f aca="false">Sens!$E$10383+(glt_lic-Sens!$E$10383)*MIN(1,4/n_conv)</f>
        <v>0.0311721435769923</v>
      </c>
      <c r="J10383" s="7" t="n">
        <f aca="false">Sens!$E$10383+(glt_lic-Sens!$E$10383)*MIN(1,5/n_conv)</f>
        <v>0.0255860717884961</v>
      </c>
      <c r="K10383" s="7" t="n">
        <f aca="false">Sens!$E$10383+(glt_lic-Sens!$E$10383)*MIN(1,6/n_conv)</f>
        <v>0.02</v>
      </c>
    </row>
    <row r="10384" customFormat="false" ht="15" hidden="false" customHeight="false" outlineLevel="0" collapsed="false">
      <c r="A10384" s="0" t="s">
        <v>790</v>
      </c>
      <c r="B10384" s="0" t="s">
        <v>95</v>
      </c>
      <c r="D10384" s="6" t="n">
        <f aca="false">Q!L9</f>
        <v>18.417</v>
      </c>
      <c r="E10384" s="6" t="n">
        <f aca="false">Q!M9</f>
        <v>20.345</v>
      </c>
      <c r="F10384" s="6" t="n">
        <f aca="false">Sens!E10384*(1+Sens!F10385)</f>
        <v>22.3572203267814</v>
      </c>
      <c r="G10384" s="6" t="n">
        <f aca="false">Sens!F10384*(1+Sens!G10385)</f>
        <v>24.4392124437232</v>
      </c>
      <c r="H10384" s="6" t="n">
        <f aca="false">Sens!G10384*(1+Sens!H10385)</f>
        <v>26.5738052080665</v>
      </c>
      <c r="I10384" s="6" t="n">
        <f aca="false">Sens!H10384*(1+Sens!I10385)</f>
        <v>28.7412169166967</v>
      </c>
      <c r="J10384" s="6" t="n">
        <f aca="false">Sens!I10384*(1+Sens!J10385)</f>
        <v>30.9192545395413</v>
      </c>
      <c r="K10384" s="6" t="n">
        <f aca="false">Sens!J10384*(1+Sens!K10385)</f>
        <v>33.0836023573092</v>
      </c>
    </row>
    <row r="10385" customFormat="false" ht="15" hidden="false" customHeight="false" outlineLevel="0" collapsed="false">
      <c r="A10385" s="1" t="s">
        <v>782</v>
      </c>
      <c r="B10385" s="0" t="s">
        <v>126</v>
      </c>
      <c r="E10385" s="7" t="n">
        <f aca="false">Sens!E10384/Sens!D10384-1</f>
        <v>0.104685888038225</v>
      </c>
      <c r="F10385" s="7" t="n">
        <f aca="false">Sens!$E$10385+(glt_ind-Sens!$E$10385)*MIN(1,1/n_conv)</f>
        <v>0.0989049066985211</v>
      </c>
      <c r="G10385" s="7" t="n">
        <f aca="false">Sens!$E$10385+(glt_ind-Sens!$E$10385)*MIN(1,2/n_conv)</f>
        <v>0.0931239253588169</v>
      </c>
      <c r="H10385" s="7" t="n">
        <f aca="false">Sens!$E$10385+(glt_ind-Sens!$E$10385)*MIN(1,3/n_conv)</f>
        <v>0.0873429440191127</v>
      </c>
      <c r="I10385" s="7" t="n">
        <f aca="false">Sens!$E$10385+(glt_ind-Sens!$E$10385)*MIN(1,4/n_conv)</f>
        <v>0.0815619626794085</v>
      </c>
      <c r="J10385" s="7" t="n">
        <f aca="false">Sens!$E$10385+(glt_ind-Sens!$E$10385)*MIN(1,5/n_conv)</f>
        <v>0.0757809813397042</v>
      </c>
      <c r="K10385" s="7" t="n">
        <f aca="false">Sens!$E$10385+(glt_ind-Sens!$E$10385)*MIN(1,6/n_conv)</f>
        <v>0.07</v>
      </c>
    </row>
    <row r="10386" customFormat="false" ht="15" hidden="false" customHeight="false" outlineLevel="0" collapsed="false">
      <c r="A10386" s="0" t="s">
        <v>791</v>
      </c>
      <c r="B10386" s="0" t="s">
        <v>95</v>
      </c>
      <c r="D10386" s="6" t="n">
        <f aca="false">Q!L10</f>
        <v>7.76</v>
      </c>
      <c r="E10386" s="6" t="n">
        <f aca="false">Q!M10</f>
        <v>8.26</v>
      </c>
      <c r="F10386" s="6" t="n">
        <f aca="false">Sens!E10386*(1+Sens!F10387)</f>
        <v>8.79988041237113</v>
      </c>
      <c r="G10386" s="6" t="n">
        <f aca="false">Sens!F10386*(1+Sens!G10387)</f>
        <v>9.38321269125306</v>
      </c>
      <c r="H10386" s="6" t="n">
        <f aca="false">Sens!G10386*(1+Sens!H10387)</f>
        <v>10.0139193587476</v>
      </c>
      <c r="I10386" s="6" t="n">
        <f aca="false">Sens!H10386*(1+Sens!I10387)</f>
        <v>10.6963111830911</v>
      </c>
      <c r="J10386" s="6" t="n">
        <f aca="false">Sens!I10386*(1+Sens!J10387)</f>
        <v>11.4351285534696</v>
      </c>
      <c r="K10386" s="6" t="n">
        <f aca="false">Sens!J10386*(1+Sens!K10387)</f>
        <v>12.2355875522124</v>
      </c>
    </row>
    <row r="10387" customFormat="false" ht="15" hidden="false" customHeight="false" outlineLevel="0" collapsed="false">
      <c r="A10387" s="1" t="s">
        <v>782</v>
      </c>
      <c r="B10387" s="0" t="s">
        <v>126</v>
      </c>
      <c r="E10387" s="7" t="n">
        <f aca="false">Sens!E10386/Sens!D10386-1</f>
        <v>0.0644329896907216</v>
      </c>
      <c r="F10387" s="7" t="n">
        <f aca="false">Sens!$E$10387+(glt_fro-Sens!$E$10387)*MIN(1,1/n_conv)</f>
        <v>0.065360824742268</v>
      </c>
      <c r="G10387" s="7" t="n">
        <f aca="false">Sens!$E$10387+(glt_fro-Sens!$E$10387)*MIN(1,2/n_conv)</f>
        <v>0.0662886597938144</v>
      </c>
      <c r="H10387" s="7" t="n">
        <f aca="false">Sens!$E$10387+(glt_fro-Sens!$E$10387)*MIN(1,3/n_conv)</f>
        <v>0.0672164948453608</v>
      </c>
      <c r="I10387" s="7" t="n">
        <f aca="false">Sens!$E$10387+(glt_fro-Sens!$E$10387)*MIN(1,4/n_conv)</f>
        <v>0.0681443298969072</v>
      </c>
      <c r="J10387" s="7" t="n">
        <f aca="false">Sens!$E$10387+(glt_fro-Sens!$E$10387)*MIN(1,5/n_conv)</f>
        <v>0.0690721649484536</v>
      </c>
      <c r="K10387" s="7" t="n">
        <f aca="false">Sens!$E$10387+(glt_fro-Sens!$E$10387)*MIN(1,6/n_conv)</f>
        <v>0.07</v>
      </c>
    </row>
    <row r="10388" customFormat="false" ht="15" hidden="false" customHeight="false" outlineLevel="0" collapsed="false">
      <c r="A10388" s="0" t="s">
        <v>626</v>
      </c>
      <c r="B10388" s="0" t="s">
        <v>95</v>
      </c>
      <c r="D10388" s="6" t="n">
        <f aca="false">Sens!D10376+Sens!D10381+Sens!D10382+Sens!D10384+Sens!D10386</f>
        <v>218.783</v>
      </c>
      <c r="E10388" s="6" t="n">
        <f aca="false">Sens!E10376+Sens!E10381+Sens!E10382+Sens!E10384+Sens!E10386</f>
        <v>268.127</v>
      </c>
      <c r="F10388" s="6" t="n">
        <f aca="false">Sens!F10376+Sens!F10381+Sens!F10382+Sens!F10384+Sens!F10386</f>
        <v>328.363433064856</v>
      </c>
      <c r="G10388" s="6" t="n">
        <f aca="false">Sens!G10376+Sens!G10381+Sens!G10382+Sens!G10384+Sens!G10386</f>
        <v>389.269865673274</v>
      </c>
      <c r="H10388" s="6" t="n">
        <f aca="false">Sens!H10376+Sens!H10381+Sens!H10382+Sens!H10384+Sens!H10386</f>
        <v>445.756320871193</v>
      </c>
      <c r="I10388" s="6" t="n">
        <f aca="false">Sens!I10376+Sens!I10381+Sens!I10382+Sens!I10384+Sens!I10386</f>
        <v>507.913725227984</v>
      </c>
      <c r="J10388" s="6" t="n">
        <f aca="false">Sens!J10376+Sens!J10381+Sens!J10382+Sens!J10384+Sens!J10386</f>
        <v>567.216533091392</v>
      </c>
      <c r="K10388" s="6" t="n">
        <f aca="false">Sens!K10376+Sens!K10381+Sens!K10382+Sens!K10384+Sens!K10386</f>
        <v>623.027603978669</v>
      </c>
    </row>
    <row r="10389" customFormat="false" ht="15" hidden="false" customHeight="false" outlineLevel="0" collapsed="false">
      <c r="A10389" s="0" t="s">
        <v>792</v>
      </c>
      <c r="B10389" s="0" t="s">
        <v>95</v>
      </c>
      <c r="D10389" s="6" t="n">
        <f aca="false">Q!L13</f>
        <v>22.171</v>
      </c>
      <c r="E10389" s="6" t="n">
        <f aca="false">Q!M13</f>
        <v>24.835</v>
      </c>
      <c r="F10389" s="6" t="n">
        <f aca="false">Sens!E10389*(1+Sens!F10390)</f>
        <v>27.6114901218559</v>
      </c>
      <c r="G10389" s="6" t="n">
        <f aca="false">Sens!F10389*(1+Sens!G10390)</f>
        <v>30.4675667338515</v>
      </c>
      <c r="H10389" s="6" t="n">
        <f aca="false">Sens!G10389*(1+Sens!H10390)</f>
        <v>33.3643766955789</v>
      </c>
      <c r="I10389" s="6" t="n">
        <f aca="false">Sens!H10389*(1+Sens!I10390)</f>
        <v>36.2577016533691</v>
      </c>
      <c r="J10389" s="6" t="n">
        <f aca="false">Sens!I10389*(1+Sens!J10390)</f>
        <v>39.0988367952171</v>
      </c>
      <c r="K10389" s="6" t="n">
        <f aca="false">Sens!J10389*(1+Sens!K10390)</f>
        <v>41.8357553708823</v>
      </c>
    </row>
    <row r="10390" customFormat="false" ht="15" hidden="false" customHeight="false" outlineLevel="0" collapsed="false">
      <c r="A10390" s="1" t="s">
        <v>782</v>
      </c>
      <c r="B10390" s="0" t="s">
        <v>126</v>
      </c>
      <c r="E10390" s="7" t="n">
        <f aca="false">Sens!E10389/Sens!D10389-1</f>
        <v>0.120156961796942</v>
      </c>
      <c r="F10390" s="7" t="n">
        <f aca="false">Sens!$E$10390+(glt_srch-Sens!$E$10390)*MIN(1,1/n_conv)</f>
        <v>0.111797468164118</v>
      </c>
      <c r="G10390" s="7" t="n">
        <f aca="false">Sens!$E$10390+(glt_srch-Sens!$E$10390)*MIN(1,2/n_conv)</f>
        <v>0.103437974531295</v>
      </c>
      <c r="H10390" s="7" t="n">
        <f aca="false">Sens!$E$10390+(glt_srch-Sens!$E$10390)*MIN(1,3/n_conv)</f>
        <v>0.095078480898471</v>
      </c>
      <c r="I10390" s="7" t="n">
        <f aca="false">Sens!$E$10390+(glt_srch-Sens!$E$10390)*MIN(1,4/n_conv)</f>
        <v>0.0867189872656474</v>
      </c>
      <c r="J10390" s="7" t="n">
        <f aca="false">Sens!$E$10390+(glt_srch-Sens!$E$10390)*MIN(1,5/n_conv)</f>
        <v>0.0783594936328237</v>
      </c>
      <c r="K10390" s="7" t="n">
        <f aca="false">Sens!$E$10390+(glt_srch-Sens!$E$10390)*MIN(1,6/n_conv)</f>
        <v>0.07</v>
      </c>
    </row>
    <row r="10391" customFormat="false" ht="15" hidden="false" customHeight="false" outlineLevel="0" collapsed="false">
      <c r="A10391" s="0" t="s">
        <v>793</v>
      </c>
      <c r="B10391" s="0" t="s">
        <v>95</v>
      </c>
      <c r="D10391" s="6" t="n">
        <f aca="false">Q!L14</f>
        <v>23.455</v>
      </c>
      <c r="E10391" s="6" t="n">
        <f aca="false">Q!M14</f>
        <v>21.79</v>
      </c>
      <c r="F10391" s="6" t="n">
        <f aca="false">Sens!E10391*(1+Sens!F10392)</f>
        <v>20.5736277908051</v>
      </c>
      <c r="G10391" s="6" t="n">
        <f aca="false">Sens!F10391*(1+Sens!G10392)</f>
        <v>19.7371452817919</v>
      </c>
      <c r="H10391" s="6" t="n">
        <f aca="false">Sens!G10391*(1+Sens!H10392)</f>
        <v>19.2339764043138</v>
      </c>
      <c r="I10391" s="6" t="n">
        <f aca="false">Sens!H10391*(1+Sens!I10392)</f>
        <v>19.0353086852681</v>
      </c>
      <c r="J10391" s="6" t="n">
        <f aca="false">Sens!I10391*(1+Sens!J10392)</f>
        <v>19.1273539319129</v>
      </c>
      <c r="K10391" s="6" t="n">
        <f aca="false">Sens!J10391*(1+Sens!K10392)</f>
        <v>19.5099010105511</v>
      </c>
    </row>
    <row r="10392" customFormat="false" ht="15" hidden="false" customHeight="false" outlineLevel="0" collapsed="false">
      <c r="A10392" s="1" t="s">
        <v>782</v>
      </c>
      <c r="B10392" s="0" t="s">
        <v>126</v>
      </c>
      <c r="E10392" s="7" t="n">
        <f aca="false">Sens!E10391/Sens!D10391-1</f>
        <v>-0.0709869963760392</v>
      </c>
      <c r="F10392" s="7" t="n">
        <f aca="false">Sens!$E$10392+(glt_xbox-Sens!$E$10392)*MIN(1,1/n_conv)</f>
        <v>-0.0558224969800327</v>
      </c>
      <c r="G10392" s="7" t="n">
        <f aca="false">Sens!$E$10392+(glt_xbox-Sens!$E$10392)*MIN(1,2/n_conv)</f>
        <v>-0.0406579975840262</v>
      </c>
      <c r="H10392" s="7" t="n">
        <f aca="false">Sens!$E$10392+(glt_xbox-Sens!$E$10392)*MIN(1,3/n_conv)</f>
        <v>-0.0254934981880196</v>
      </c>
      <c r="I10392" s="7" t="n">
        <f aca="false">Sens!$E$10392+(glt_xbox-Sens!$E$10392)*MIN(1,4/n_conv)</f>
        <v>-0.0103289987920131</v>
      </c>
      <c r="J10392" s="7" t="n">
        <f aca="false">Sens!$E$10392+(glt_xbox-Sens!$E$10392)*MIN(1,5/n_conv)</f>
        <v>0.00483550060399347</v>
      </c>
      <c r="K10392" s="7" t="n">
        <f aca="false">Sens!$E$10392+(glt_xbox-Sens!$E$10392)*MIN(1,6/n_conv)</f>
        <v>0.02</v>
      </c>
    </row>
    <row r="10393" customFormat="false" ht="15" hidden="false" customHeight="false" outlineLevel="0" collapsed="false">
      <c r="A10393" s="0" t="s">
        <v>794</v>
      </c>
      <c r="B10393" s="0" t="s">
        <v>95</v>
      </c>
      <c r="D10393" s="6" t="n">
        <f aca="false">Q!L15</f>
        <v>17.315</v>
      </c>
      <c r="E10393" s="6" t="n">
        <f aca="false">Q!M15</f>
        <v>17.087</v>
      </c>
      <c r="F10393" s="6" t="n">
        <f aca="false">Sens!E10393*(1+Sens!F10394)</f>
        <v>16.9564585436519</v>
      </c>
      <c r="G10393" s="6" t="n">
        <f aca="false">Sens!F10393*(1+Sens!G10394)</f>
        <v>16.9206490624268</v>
      </c>
      <c r="H10393" s="6" t="n">
        <f aca="false">Sens!G10393*(1+Sens!H10394)</f>
        <v>16.9784519149849</v>
      </c>
      <c r="I10393" s="6" t="n">
        <f aca="false">Sens!H10393*(1+Sens!I10394)</f>
        <v>17.1303084701817</v>
      </c>
      <c r="J10393" s="6" t="n">
        <f aca="false">Sens!I10393*(1+Sens!J10394)</f>
        <v>17.3782189407267</v>
      </c>
      <c r="K10393" s="6" t="n">
        <f aca="false">Sens!J10393*(1+Sens!K10394)</f>
        <v>17.7257833195413</v>
      </c>
    </row>
    <row r="10394" customFormat="false" ht="15" hidden="false" customHeight="false" outlineLevel="0" collapsed="false">
      <c r="A10394" s="1" t="s">
        <v>782</v>
      </c>
      <c r="B10394" s="0" t="s">
        <v>126</v>
      </c>
      <c r="E10394" s="7" t="n">
        <f aca="false">Sens!E10393/Sens!D10393-1</f>
        <v>-0.0131677736066995</v>
      </c>
      <c r="F10394" s="7" t="n">
        <f aca="false">Sens!$E$10394+(glt_win-Sens!$E$10394)*MIN(1,1/n_conv)</f>
        <v>-0.00763981133891627</v>
      </c>
      <c r="G10394" s="7" t="n">
        <f aca="false">Sens!$E$10394+(glt_win-Sens!$E$10394)*MIN(1,2/n_conv)</f>
        <v>-0.00211184907113301</v>
      </c>
      <c r="H10394" s="7" t="n">
        <f aca="false">Sens!$E$10394+(glt_win-Sens!$E$10394)*MIN(1,3/n_conv)</f>
        <v>0.00341611319665024</v>
      </c>
      <c r="I10394" s="7" t="n">
        <f aca="false">Sens!$E$10394+(glt_win-Sens!$E$10394)*MIN(1,4/n_conv)</f>
        <v>0.00894407546443349</v>
      </c>
      <c r="J10394" s="7" t="n">
        <f aca="false">Sens!$E$10394+(glt_win-Sens!$E$10394)*MIN(1,5/n_conv)</f>
        <v>0.0144720377322168</v>
      </c>
      <c r="K10394" s="7" t="n">
        <f aca="false">Sens!$E$10394+(glt_win-Sens!$E$10394)*MIN(1,6/n_conv)</f>
        <v>0.02</v>
      </c>
    </row>
    <row r="10395" customFormat="false" ht="15" hidden="false" customHeight="false" outlineLevel="0" collapsed="false">
      <c r="A10395" s="0" t="s">
        <v>640</v>
      </c>
      <c r="B10395" s="0" t="s">
        <v>95</v>
      </c>
      <c r="D10395" s="6" t="n">
        <f aca="false">Sens!D10389+Sens!D10391+Sens!D10393</f>
        <v>62.941</v>
      </c>
      <c r="E10395" s="6" t="n">
        <f aca="false">Sens!E10389+Sens!E10391+Sens!E10393</f>
        <v>63.712</v>
      </c>
      <c r="F10395" s="6" t="n">
        <f aca="false">Sens!F10389+Sens!F10391+Sens!F10393</f>
        <v>65.1415764563129</v>
      </c>
      <c r="G10395" s="6" t="n">
        <f aca="false">Sens!G10389+Sens!G10391+Sens!G10393</f>
        <v>67.1253610780702</v>
      </c>
      <c r="H10395" s="6" t="n">
        <f aca="false">Sens!H10389+Sens!H10391+Sens!H10393</f>
        <v>69.5768050148776</v>
      </c>
      <c r="I10395" s="6" t="n">
        <f aca="false">Sens!I10389+Sens!I10391+Sens!I10393</f>
        <v>72.4233188088189</v>
      </c>
      <c r="J10395" s="6" t="n">
        <f aca="false">Sens!J10389+Sens!J10391+Sens!J10393</f>
        <v>75.6044096678567</v>
      </c>
      <c r="K10395" s="6" t="n">
        <f aca="false">Sens!K10389+Sens!K10391+Sens!K10393</f>
        <v>79.0714397009747</v>
      </c>
    </row>
    <row r="10396" customFormat="false" ht="15" hidden="false" customHeight="false" outlineLevel="0" collapsed="false">
      <c r="A10396" s="1" t="s">
        <v>795</v>
      </c>
      <c r="B10396" s="0" t="s">
        <v>95</v>
      </c>
      <c r="D10396" s="6" t="n">
        <f aca="false">Sens!D10388+Sens!D10395</f>
        <v>281.724</v>
      </c>
      <c r="E10396" s="6" t="n">
        <f aca="false">Sens!E10388+Sens!E10395</f>
        <v>331.839</v>
      </c>
      <c r="F10396" s="6" t="n">
        <f aca="false">Sens!F10388+Sens!F10395</f>
        <v>393.505009521169</v>
      </c>
      <c r="G10396" s="6" t="n">
        <f aca="false">Sens!G10388+Sens!G10395</f>
        <v>456.395226751344</v>
      </c>
      <c r="H10396" s="6" t="n">
        <f aca="false">Sens!H10388+Sens!H10395</f>
        <v>515.333125886071</v>
      </c>
      <c r="I10396" s="6" t="n">
        <f aca="false">Sens!I10388+Sens!I10395</f>
        <v>580.337044036803</v>
      </c>
      <c r="J10396" s="6" t="n">
        <f aca="false">Sens!J10388+Sens!J10395</f>
        <v>642.820942759249</v>
      </c>
      <c r="K10396" s="6" t="n">
        <f aca="false">Sens!K10388+Sens!K10395</f>
        <v>702.099043679644</v>
      </c>
    </row>
    <row r="10397" customFormat="false" ht="15" hidden="false" customHeight="false" outlineLevel="0" collapsed="false">
      <c r="A10397" s="22" t="s">
        <v>796</v>
      </c>
      <c r="B10397" s="28" t="s">
        <v>95</v>
      </c>
      <c r="C10397" s="28"/>
      <c r="D10397" s="23" t="n">
        <f aca="false">(Sens!D10376+Sens!D10381+Sens!D10382+Sens!D10384+Sens!D10386-Sens!D10388)+(Sens!D10389+Sens!D10391+Sens!D10393-Sens!D10395)+(Sens!D10388-Q!L5)+(Sens!D10395-Q!L12)+(Sens!D10376-Q!L6)+(Sens!D10381-Q!L7)</f>
        <v>0</v>
      </c>
      <c r="E10397" s="23" t="n">
        <f aca="false">(Sens!E10376+Sens!E10381+Sens!E10382+Sens!E10384+Sens!E10386-Sens!E10388)+(Sens!E10389+Sens!E10391+Sens!E10393-Sens!E10395)+(Sens!E10388-Q!M5)+(Sens!E10395-Q!M12)+(Sens!E10376-Q!M6)+(Sens!E10381-Q!M7)</f>
        <v>0</v>
      </c>
      <c r="F10397" s="23" t="n">
        <f aca="false">(Sens!F10376+Sens!F10381+Sens!F10382+Sens!F10384+Sens!F10386-Sens!F10388)+(Sens!F10389+Sens!F10391+Sens!F10393-Sens!F10395)</f>
        <v>0</v>
      </c>
      <c r="G10397" s="23" t="n">
        <f aca="false">(Sens!G10376+Sens!G10381+Sens!G10382+Sens!G10384+Sens!G10386-Sens!G10388)+(Sens!G10389+Sens!G10391+Sens!G10393-Sens!G10395)</f>
        <v>0</v>
      </c>
      <c r="H10397" s="23" t="n">
        <f aca="false">(Sens!H10376+Sens!H10381+Sens!H10382+Sens!H10384+Sens!H10386-Sens!H10388)+(Sens!H10389+Sens!H10391+Sens!H10393-Sens!H10395)</f>
        <v>0</v>
      </c>
      <c r="I10397" s="23" t="n">
        <f aca="false">(Sens!I10376+Sens!I10381+Sens!I10382+Sens!I10384+Sens!I10386-Sens!I10388)+(Sens!I10389+Sens!I10391+Sens!I10393-Sens!I10395)</f>
        <v>0</v>
      </c>
      <c r="J10397" s="23" t="n">
        <f aca="false">(Sens!J10376+Sens!J10381+Sens!J10382+Sens!J10384+Sens!J10386-Sens!J10388)+(Sens!J10389+Sens!J10391+Sens!J10393-Sens!J10395)</f>
        <v>0</v>
      </c>
      <c r="K10397" s="23" t="n">
        <f aca="false">(Sens!K10376+Sens!K10381+Sens!K10382+Sens!K10384+Sens!K10386-Sens!K10388)+(Sens!K10389+Sens!K10391+Sens!K10393-Sens!K10395)</f>
        <v>0</v>
      </c>
    </row>
    <row r="10398" customFormat="false" ht="17.15" hidden="false" customHeight="false" outlineLevel="0" collapsed="false">
      <c r="A10398" s="3" t="s">
        <v>1411</v>
      </c>
    </row>
    <row r="10399" customFormat="false" ht="15" hidden="false" customHeight="false" outlineLevel="0" collapsed="false">
      <c r="A10399" s="4" t="s">
        <v>43</v>
      </c>
      <c r="B10399" s="4" t="s">
        <v>63</v>
      </c>
      <c r="C10399" s="19" t="s">
        <v>710</v>
      </c>
      <c r="D10399" s="19" t="s">
        <v>711</v>
      </c>
      <c r="E10399" s="19" t="s">
        <v>712</v>
      </c>
      <c r="F10399" s="19" t="s">
        <v>713</v>
      </c>
      <c r="G10399" s="19" t="s">
        <v>714</v>
      </c>
      <c r="H10399" s="19" t="s">
        <v>715</v>
      </c>
      <c r="I10399" s="19" t="s">
        <v>716</v>
      </c>
      <c r="J10399" s="19" t="s">
        <v>717</v>
      </c>
      <c r="K10399" s="19" t="s">
        <v>718</v>
      </c>
      <c r="L10399" s="4" t="s">
        <v>47</v>
      </c>
    </row>
    <row r="10400" customFormat="false" ht="15" hidden="false" customHeight="false" outlineLevel="0" collapsed="false">
      <c r="A10400" s="0" t="s">
        <v>783</v>
      </c>
      <c r="B10400" s="0" t="s">
        <v>95</v>
      </c>
      <c r="D10400" s="6" t="n">
        <f aca="false">Sens!D10376</f>
        <v>72.61</v>
      </c>
      <c r="E10400" s="6" t="n">
        <f aca="false">Sens!E10376</f>
        <v>101.938</v>
      </c>
      <c r="F10400" s="6" t="n">
        <f aca="false">Sens!F10376</f>
        <v>140.741861125673</v>
      </c>
      <c r="G10400" s="6" t="n">
        <f aca="false">Sens!G10376</f>
        <v>182.176709135845</v>
      </c>
      <c r="H10400" s="6" t="n">
        <f aca="false">Sens!H10376</f>
        <v>219.167638189678</v>
      </c>
      <c r="I10400" s="6" t="n">
        <f aca="false">Sens!I10376</f>
        <v>262.852370248498</v>
      </c>
      <c r="J10400" s="6" t="n">
        <f aca="false">Sens!J10376</f>
        <v>305.025635987223</v>
      </c>
      <c r="K10400" s="6" t="n">
        <f aca="false">Sens!K10376</f>
        <v>344.633534638493</v>
      </c>
    </row>
    <row r="10401" customFormat="false" ht="17.15" hidden="false" customHeight="false" outlineLevel="0" collapsed="false">
      <c r="A10401" s="0" t="s">
        <v>780</v>
      </c>
      <c r="B10401" s="0" t="s">
        <v>95</v>
      </c>
      <c r="D10401" s="6" t="n">
        <f aca="false">Sens!D10373</f>
        <v>12.9359794422418</v>
      </c>
      <c r="E10401" s="6" t="n">
        <f aca="false">Sens!E10373</f>
        <v>27.8095064661409</v>
      </c>
      <c r="F10401" s="6" t="n">
        <f aca="false">Sens!F10373</f>
        <v>50.6619113883066</v>
      </c>
      <c r="G10401" s="6" t="n">
        <f aca="false">Sens!G10373</f>
        <v>75.1482839325348</v>
      </c>
      <c r="H10401" s="6" t="n">
        <f aca="false">Sens!H10373</f>
        <v>94.895655604042</v>
      </c>
      <c r="I10401" s="6" t="n">
        <f aca="false">Sens!I10373</f>
        <v>121.918667866643</v>
      </c>
      <c r="J10401" s="6" t="n">
        <f aca="false">Sens!J10373</f>
        <v>149.006768672892</v>
      </c>
      <c r="K10401" s="6" t="n">
        <f aca="false">Sens!K10373</f>
        <v>176.133157939015</v>
      </c>
    </row>
    <row r="10402" customFormat="false" ht="17.15" hidden="false" customHeight="false" outlineLevel="0" collapsed="false">
      <c r="A10402" s="0" t="s">
        <v>807</v>
      </c>
      <c r="B10402" s="0" t="s">
        <v>95</v>
      </c>
      <c r="D10402" s="6" t="n">
        <f aca="false">Sens!D10374</f>
        <v>59.6740205577583</v>
      </c>
      <c r="E10402" s="6" t="n">
        <f aca="false">Sens!E10374</f>
        <v>74.1284935338591</v>
      </c>
      <c r="F10402" s="6" t="n">
        <f aca="false">Sens!F10374</f>
        <v>90.0799497373663</v>
      </c>
      <c r="G10402" s="6" t="n">
        <f aca="false">Sens!G10374</f>
        <v>107.02842520331</v>
      </c>
      <c r="H10402" s="6" t="n">
        <f aca="false">Sens!H10374</f>
        <v>124.271982585636</v>
      </c>
      <c r="I10402" s="6" t="n">
        <f aca="false">Sens!I10374</f>
        <v>140.933702381855</v>
      </c>
      <c r="J10402" s="6" t="n">
        <f aca="false">Sens!J10374</f>
        <v>156.018867314332</v>
      </c>
      <c r="K10402" s="6" t="n">
        <f aca="false">Sens!K10374</f>
        <v>168.500376699478</v>
      </c>
    </row>
    <row r="10403" customFormat="false" ht="15" hidden="false" customHeight="false" outlineLevel="0" collapsed="false">
      <c r="A10403" s="0" t="s">
        <v>788</v>
      </c>
      <c r="B10403" s="0" t="s">
        <v>95</v>
      </c>
      <c r="D10403" s="6" t="n">
        <f aca="false">Sens!D10381</f>
        <v>84.605</v>
      </c>
      <c r="E10403" s="6" t="n">
        <f aca="false">Sens!E10381</f>
        <v>100.299</v>
      </c>
      <c r="F10403" s="6" t="n">
        <f aca="false">Sens!F10381</f>
        <v>117.39238776686</v>
      </c>
      <c r="G10403" s="6" t="n">
        <f aca="false">Sens!G10381</f>
        <v>132.544168448684</v>
      </c>
      <c r="H10403" s="6" t="n">
        <f aca="false">Sens!H10381</f>
        <v>147.777359388781</v>
      </c>
      <c r="I10403" s="6" t="n">
        <f aca="false">Sens!I10381</f>
        <v>162.084028071957</v>
      </c>
      <c r="J10403" s="6" t="n">
        <f aca="false">Sens!J10381</f>
        <v>175.182702785465</v>
      </c>
      <c r="K10403" s="6" t="n">
        <f aca="false">Sens!K10381</f>
        <v>187.527991980448</v>
      </c>
    </row>
    <row r="10404" customFormat="false" ht="17.15" hidden="false" customHeight="false" outlineLevel="0" collapsed="false">
      <c r="A10404" s="0" t="s">
        <v>808</v>
      </c>
      <c r="B10404" s="0" t="s">
        <v>95</v>
      </c>
      <c r="D10404" s="6" t="n">
        <f aca="false">Sens!D10379</f>
        <v>83.705</v>
      </c>
      <c r="E10404" s="6" t="n">
        <f aca="false">Sens!E10379</f>
        <v>95.049</v>
      </c>
      <c r="F10404" s="6" t="n">
        <f aca="false">Sens!F10379</f>
        <v>106.89238776686</v>
      </c>
      <c r="G10404" s="6" t="n">
        <f aca="false">Sens!G10379</f>
        <v>119.044168448684</v>
      </c>
      <c r="H10404" s="6" t="n">
        <f aca="false">Sens!H10379</f>
        <v>131.277359388781</v>
      </c>
      <c r="I10404" s="6" t="n">
        <f aca="false">Sens!I10379</f>
        <v>143.334028071957</v>
      </c>
      <c r="J10404" s="6" t="n">
        <f aca="false">Sens!J10379</f>
        <v>154.932702785465</v>
      </c>
      <c r="K10404" s="6" t="n">
        <f aca="false">Sens!K10379</f>
        <v>165.777991980448</v>
      </c>
    </row>
    <row r="10405" customFormat="false" ht="17.15" hidden="false" customHeight="false" outlineLevel="0" collapsed="false">
      <c r="A10405" s="0" t="s">
        <v>809</v>
      </c>
      <c r="B10405" s="0" t="s">
        <v>95</v>
      </c>
      <c r="D10405" s="6" t="n">
        <f aca="false">Sens!D10378</f>
        <v>0.9</v>
      </c>
      <c r="E10405" s="6" t="n">
        <f aca="false">Sens!E10378</f>
        <v>5.25</v>
      </c>
      <c r="F10405" s="6" t="n">
        <f aca="false">Sens!F10378</f>
        <v>10.5</v>
      </c>
      <c r="G10405" s="6" t="n">
        <f aca="false">Sens!G10378</f>
        <v>13.5</v>
      </c>
      <c r="H10405" s="6" t="n">
        <f aca="false">Sens!H10378</f>
        <v>16.5</v>
      </c>
      <c r="I10405" s="6" t="n">
        <f aca="false">Sens!I10378</f>
        <v>18.75</v>
      </c>
      <c r="J10405" s="6" t="n">
        <f aca="false">Sens!J10378</f>
        <v>20.25</v>
      </c>
      <c r="K10405" s="6" t="n">
        <f aca="false">Sens!K10378</f>
        <v>21.75</v>
      </c>
    </row>
    <row r="10406" customFormat="false" ht="15" hidden="false" customHeight="false" outlineLevel="0" collapsed="false">
      <c r="A10406" s="0" t="s">
        <v>789</v>
      </c>
      <c r="B10406" s="0" t="s">
        <v>95</v>
      </c>
      <c r="D10406" s="6" t="n">
        <f aca="false">Sens!D10382</f>
        <v>35.391</v>
      </c>
      <c r="E10406" s="6" t="n">
        <f aca="false">Sens!E10382</f>
        <v>37.285</v>
      </c>
      <c r="F10406" s="6" t="n">
        <f aca="false">Sens!F10382</f>
        <v>39.0720834331704</v>
      </c>
      <c r="G10406" s="6" t="n">
        <f aca="false">Sens!G10382</f>
        <v>40.726562953769</v>
      </c>
      <c r="H10406" s="6" t="n">
        <f aca="false">Sens!H10382</f>
        <v>42.2235987259198</v>
      </c>
      <c r="I10406" s="6" t="n">
        <f aca="false">Sens!I10382</f>
        <v>43.5397988077414</v>
      </c>
      <c r="J10406" s="6" t="n">
        <f aca="false">Sens!J10382</f>
        <v>44.653811225693</v>
      </c>
      <c r="K10406" s="6" t="n">
        <f aca="false">Sens!K10382</f>
        <v>45.5468874502068</v>
      </c>
    </row>
    <row r="10407" customFormat="false" ht="15" hidden="false" customHeight="false" outlineLevel="0" collapsed="false">
      <c r="A10407" s="0" t="s">
        <v>790</v>
      </c>
      <c r="B10407" s="0" t="s">
        <v>95</v>
      </c>
      <c r="D10407" s="6" t="n">
        <f aca="false">Sens!D10384</f>
        <v>18.417</v>
      </c>
      <c r="E10407" s="6" t="n">
        <f aca="false">Sens!E10384</f>
        <v>20.345</v>
      </c>
      <c r="F10407" s="6" t="n">
        <f aca="false">Sens!F10384</f>
        <v>22.3572203267814</v>
      </c>
      <c r="G10407" s="6" t="n">
        <f aca="false">Sens!G10384</f>
        <v>24.4392124437232</v>
      </c>
      <c r="H10407" s="6" t="n">
        <f aca="false">Sens!H10384</f>
        <v>26.5738052080665</v>
      </c>
      <c r="I10407" s="6" t="n">
        <f aca="false">Sens!I10384</f>
        <v>28.7412169166967</v>
      </c>
      <c r="J10407" s="6" t="n">
        <f aca="false">Sens!J10384</f>
        <v>30.9192545395413</v>
      </c>
      <c r="K10407" s="6" t="n">
        <f aca="false">Sens!K10384</f>
        <v>33.0836023573092</v>
      </c>
    </row>
    <row r="10408" customFormat="false" ht="15" hidden="false" customHeight="false" outlineLevel="0" collapsed="false">
      <c r="A10408" s="0" t="s">
        <v>791</v>
      </c>
      <c r="B10408" s="0" t="s">
        <v>95</v>
      </c>
      <c r="D10408" s="6" t="n">
        <f aca="false">Sens!D10386</f>
        <v>7.76</v>
      </c>
      <c r="E10408" s="6" t="n">
        <f aca="false">Sens!E10386</f>
        <v>8.26</v>
      </c>
      <c r="F10408" s="6" t="n">
        <f aca="false">Sens!F10386</f>
        <v>8.79988041237113</v>
      </c>
      <c r="G10408" s="6" t="n">
        <f aca="false">Sens!G10386</f>
        <v>9.38321269125306</v>
      </c>
      <c r="H10408" s="6" t="n">
        <f aca="false">Sens!H10386</f>
        <v>10.0139193587476</v>
      </c>
      <c r="I10408" s="6" t="n">
        <f aca="false">Sens!I10386</f>
        <v>10.6963111830911</v>
      </c>
      <c r="J10408" s="6" t="n">
        <f aca="false">Sens!J10386</f>
        <v>11.4351285534696</v>
      </c>
      <c r="K10408" s="6" t="n">
        <f aca="false">Sens!K10386</f>
        <v>12.2355875522124</v>
      </c>
    </row>
    <row r="10409" customFormat="false" ht="15" hidden="false" customHeight="false" outlineLevel="0" collapsed="false">
      <c r="A10409" s="0" t="s">
        <v>626</v>
      </c>
      <c r="B10409" s="0" t="s">
        <v>95</v>
      </c>
      <c r="D10409" s="6" t="n">
        <f aca="false">Sens!D10388</f>
        <v>218.783</v>
      </c>
      <c r="E10409" s="6" t="n">
        <f aca="false">Sens!E10388</f>
        <v>268.127</v>
      </c>
      <c r="F10409" s="6" t="n">
        <f aca="false">Sens!F10388</f>
        <v>328.363433064856</v>
      </c>
      <c r="G10409" s="6" t="n">
        <f aca="false">Sens!G10388</f>
        <v>389.269865673274</v>
      </c>
      <c r="H10409" s="6" t="n">
        <f aca="false">Sens!H10388</f>
        <v>445.756320871193</v>
      </c>
      <c r="I10409" s="6" t="n">
        <f aca="false">Sens!I10388</f>
        <v>507.913725227984</v>
      </c>
      <c r="J10409" s="6" t="n">
        <f aca="false">Sens!J10388</f>
        <v>567.216533091392</v>
      </c>
      <c r="K10409" s="6" t="n">
        <f aca="false">Sens!K10388</f>
        <v>623.027603978669</v>
      </c>
    </row>
    <row r="10410" customFormat="false" ht="15" hidden="false" customHeight="false" outlineLevel="0" collapsed="false">
      <c r="A10410" s="0" t="s">
        <v>792</v>
      </c>
      <c r="B10410" s="0" t="s">
        <v>95</v>
      </c>
      <c r="D10410" s="6" t="n">
        <f aca="false">Sens!D10389</f>
        <v>22.171</v>
      </c>
      <c r="E10410" s="6" t="n">
        <f aca="false">Sens!E10389</f>
        <v>24.835</v>
      </c>
      <c r="F10410" s="6" t="n">
        <f aca="false">Sens!F10389</f>
        <v>27.6114901218559</v>
      </c>
      <c r="G10410" s="6" t="n">
        <f aca="false">Sens!G10389</f>
        <v>30.4675667338515</v>
      </c>
      <c r="H10410" s="6" t="n">
        <f aca="false">Sens!H10389</f>
        <v>33.3643766955789</v>
      </c>
      <c r="I10410" s="6" t="n">
        <f aca="false">Sens!I10389</f>
        <v>36.2577016533691</v>
      </c>
      <c r="J10410" s="6" t="n">
        <f aca="false">Sens!J10389</f>
        <v>39.0988367952171</v>
      </c>
      <c r="K10410" s="6" t="n">
        <f aca="false">Sens!K10389</f>
        <v>41.8357553708823</v>
      </c>
    </row>
    <row r="10411" customFormat="false" ht="15" hidden="false" customHeight="false" outlineLevel="0" collapsed="false">
      <c r="A10411" s="0" t="s">
        <v>793</v>
      </c>
      <c r="B10411" s="0" t="s">
        <v>95</v>
      </c>
      <c r="D10411" s="6" t="n">
        <f aca="false">Sens!D10391</f>
        <v>23.455</v>
      </c>
      <c r="E10411" s="6" t="n">
        <f aca="false">Sens!E10391</f>
        <v>21.79</v>
      </c>
      <c r="F10411" s="6" t="n">
        <f aca="false">Sens!F10391</f>
        <v>20.5736277908051</v>
      </c>
      <c r="G10411" s="6" t="n">
        <f aca="false">Sens!G10391</f>
        <v>19.7371452817919</v>
      </c>
      <c r="H10411" s="6" t="n">
        <f aca="false">Sens!H10391</f>
        <v>19.2339764043138</v>
      </c>
      <c r="I10411" s="6" t="n">
        <f aca="false">Sens!I10391</f>
        <v>19.0353086852681</v>
      </c>
      <c r="J10411" s="6" t="n">
        <f aca="false">Sens!J10391</f>
        <v>19.1273539319129</v>
      </c>
      <c r="K10411" s="6" t="n">
        <f aca="false">Sens!K10391</f>
        <v>19.5099010105511</v>
      </c>
    </row>
    <row r="10412" customFormat="false" ht="15" hidden="false" customHeight="false" outlineLevel="0" collapsed="false">
      <c r="A10412" s="0" t="s">
        <v>794</v>
      </c>
      <c r="B10412" s="0" t="s">
        <v>95</v>
      </c>
      <c r="D10412" s="6" t="n">
        <f aca="false">Sens!D10393</f>
        <v>17.315</v>
      </c>
      <c r="E10412" s="6" t="n">
        <f aca="false">Sens!E10393</f>
        <v>17.087</v>
      </c>
      <c r="F10412" s="6" t="n">
        <f aca="false">Sens!F10393</f>
        <v>16.9564585436519</v>
      </c>
      <c r="G10412" s="6" t="n">
        <f aca="false">Sens!G10393</f>
        <v>16.9206490624268</v>
      </c>
      <c r="H10412" s="6" t="n">
        <f aca="false">Sens!H10393</f>
        <v>16.9784519149849</v>
      </c>
      <c r="I10412" s="6" t="n">
        <f aca="false">Sens!I10393</f>
        <v>17.1303084701817</v>
      </c>
      <c r="J10412" s="6" t="n">
        <f aca="false">Sens!J10393</f>
        <v>17.3782189407267</v>
      </c>
      <c r="K10412" s="6" t="n">
        <f aca="false">Sens!K10393</f>
        <v>17.7257833195413</v>
      </c>
    </row>
    <row r="10413" customFormat="false" ht="15" hidden="false" customHeight="false" outlineLevel="0" collapsed="false">
      <c r="A10413" s="0" t="s">
        <v>640</v>
      </c>
      <c r="B10413" s="0" t="s">
        <v>95</v>
      </c>
      <c r="D10413" s="6" t="n">
        <f aca="false">Sens!D10395</f>
        <v>62.941</v>
      </c>
      <c r="E10413" s="6" t="n">
        <f aca="false">Sens!E10395</f>
        <v>63.712</v>
      </c>
      <c r="F10413" s="6" t="n">
        <f aca="false">Sens!F10395</f>
        <v>65.1415764563129</v>
      </c>
      <c r="G10413" s="6" t="n">
        <f aca="false">Sens!G10395</f>
        <v>67.1253610780702</v>
      </c>
      <c r="H10413" s="6" t="n">
        <f aca="false">Sens!H10395</f>
        <v>69.5768050148776</v>
      </c>
      <c r="I10413" s="6" t="n">
        <f aca="false">Sens!I10395</f>
        <v>72.4233188088189</v>
      </c>
      <c r="J10413" s="6" t="n">
        <f aca="false">Sens!J10395</f>
        <v>75.6044096678567</v>
      </c>
      <c r="K10413" s="6" t="n">
        <f aca="false">Sens!K10395</f>
        <v>79.0714397009747</v>
      </c>
    </row>
    <row r="10414" customFormat="false" ht="15" hidden="false" customHeight="false" outlineLevel="0" collapsed="false">
      <c r="A10414" s="1" t="s">
        <v>810</v>
      </c>
      <c r="B10414" s="0" t="s">
        <v>95</v>
      </c>
      <c r="D10414" s="6" t="n">
        <f aca="false">Sens!D10396</f>
        <v>281.724</v>
      </c>
      <c r="E10414" s="6" t="n">
        <f aca="false">Sens!E10396</f>
        <v>331.839</v>
      </c>
      <c r="F10414" s="6" t="n">
        <f aca="false">Sens!F10396</f>
        <v>393.505009521169</v>
      </c>
      <c r="G10414" s="6" t="n">
        <f aca="false">Sens!G10396</f>
        <v>456.395226751344</v>
      </c>
      <c r="H10414" s="6" t="n">
        <f aca="false">Sens!H10396</f>
        <v>515.333125886071</v>
      </c>
      <c r="I10414" s="6" t="n">
        <f aca="false">Sens!I10396</f>
        <v>580.337044036803</v>
      </c>
      <c r="J10414" s="6" t="n">
        <f aca="false">Sens!J10396</f>
        <v>642.820942759249</v>
      </c>
      <c r="K10414" s="6" t="n">
        <f aca="false">Sens!K10396</f>
        <v>702.099043679644</v>
      </c>
    </row>
    <row r="10415" customFormat="false" ht="15" hidden="false" customHeight="false" outlineLevel="0" collapsed="false">
      <c r="A10415" s="1" t="s">
        <v>811</v>
      </c>
      <c r="B10415" s="0" t="s">
        <v>126</v>
      </c>
      <c r="E10415" s="7" t="n">
        <f aca="false">Sens!E10414/Sens!D10414-1</f>
        <v>0.177886867998467</v>
      </c>
      <c r="F10415" s="7" t="n">
        <f aca="false">Sens!F10414/Sens!E10414-1</f>
        <v>0.185831109427067</v>
      </c>
      <c r="G10415" s="7" t="n">
        <f aca="false">Sens!G10414/Sens!F10414-1</f>
        <v>0.159820626697237</v>
      </c>
      <c r="H10415" s="7" t="n">
        <f aca="false">Sens!H10414/Sens!G10414-1</f>
        <v>0.129137851756801</v>
      </c>
      <c r="I10415" s="7" t="n">
        <f aca="false">Sens!I10414/Sens!H10414-1</f>
        <v>0.126139607344208</v>
      </c>
      <c r="J10415" s="7" t="n">
        <f aca="false">Sens!J10414/Sens!I10414-1</f>
        <v>0.107668292700756</v>
      </c>
      <c r="K10415" s="7" t="n">
        <f aca="false">Sens!K10414/Sens!J10414-1</f>
        <v>0.0922155719848661</v>
      </c>
    </row>
    <row r="10416" customFormat="false" ht="17.15" hidden="false" customHeight="false" outlineLevel="0" collapsed="false">
      <c r="A10416" s="22" t="s">
        <v>812</v>
      </c>
      <c r="B10416" s="28" t="s">
        <v>95</v>
      </c>
      <c r="C10416" s="28"/>
      <c r="D10416" s="23" t="n">
        <f aca="false">(Sens!D10409+Sens!D10413-Sens!D10414)+(Sens!D10401+Sens!D10402-Sens!D10400)+(Sens!D10404+Sens!D10405-Sens!D10403)+(Sens!D10414-Q!L18)</f>
        <v>0</v>
      </c>
      <c r="E10416" s="23" t="n">
        <f aca="false">(Sens!E10409+Sens!E10413-Sens!E10414)+(Sens!E10401+Sens!E10402-Sens!E10400)+(Sens!E10404+Sens!E10405-Sens!E10403)+(Sens!E10414-Q!M18)</f>
        <v>0</v>
      </c>
      <c r="F10416" s="23" t="n">
        <f aca="false">(Sens!F10409+Sens!F10413-Sens!F10414)+(Sens!F10401+Sens!F10402-Sens!F10400)+(Sens!F10404+Sens!F10405-Sens!F10403)</f>
        <v>0</v>
      </c>
      <c r="G10416" s="23" t="n">
        <f aca="false">(Sens!G10409+Sens!G10413-Sens!G10414)+(Sens!G10401+Sens!G10402-Sens!G10400)+(Sens!G10404+Sens!G10405-Sens!G10403)</f>
        <v>0</v>
      </c>
      <c r="H10416" s="23" t="n">
        <f aca="false">(Sens!H10409+Sens!H10413-Sens!H10414)+(Sens!H10401+Sens!H10402-Sens!H10400)+(Sens!H10404+Sens!H10405-Sens!H10403)</f>
        <v>0</v>
      </c>
      <c r="I10416" s="23" t="n">
        <f aca="false">(Sens!I10409+Sens!I10413-Sens!I10414)+(Sens!I10401+Sens!I10402-Sens!I10400)+(Sens!I10404+Sens!I10405-Sens!I10403)</f>
        <v>0</v>
      </c>
      <c r="J10416" s="23" t="n">
        <f aca="false">(Sens!J10409+Sens!J10413-Sens!J10414)+(Sens!J10401+Sens!J10402-Sens!J10400)+(Sens!J10404+Sens!J10405-Sens!J10403)</f>
        <v>0</v>
      </c>
      <c r="K10416" s="23" t="n">
        <f aca="false">(Sens!K10409+Sens!K10413-Sens!K10414)+(Sens!K10401+Sens!K10402-Sens!K10400)+(Sens!K10404+Sens!K10405-Sens!K10403)</f>
        <v>0</v>
      </c>
    </row>
    <row r="10417" customFormat="false" ht="17.15" hidden="false" customHeight="false" outlineLevel="0" collapsed="false">
      <c r="A10417" s="0" t="s">
        <v>813</v>
      </c>
      <c r="B10417" s="0" t="s">
        <v>126</v>
      </c>
      <c r="E10417" s="7" t="n">
        <f aca="false">(Q!M21+Sens!E10354+Sens!E10355+Sens!E10356+Sens!E10369-Sens!E10352)/(Q!M5-Sens!E10352)</f>
        <v>0.570957350878296</v>
      </c>
      <c r="F10417" s="7" t="n">
        <f aca="false">Sens!$E$10417+dm_seg_hi</f>
        <v>0.590957350878296</v>
      </c>
      <c r="G10417" s="7" t="n">
        <f aca="false">Sens!$E$10417+dm_seg_hi</f>
        <v>0.590957350878296</v>
      </c>
      <c r="H10417" s="7" t="n">
        <f aca="false">Sens!$E$10417+dm_seg_hi</f>
        <v>0.590957350878296</v>
      </c>
      <c r="I10417" s="7" t="n">
        <f aca="false">Sens!$E$10417+dm_seg_hi</f>
        <v>0.590957350878296</v>
      </c>
      <c r="J10417" s="7" t="n">
        <f aca="false">Sens!$E$10417+dm_seg_hi</f>
        <v>0.590957350878296</v>
      </c>
      <c r="K10417" s="7" t="n">
        <f aca="false">Sens!$E$10417+dm_seg_hi</f>
        <v>0.590957350878296</v>
      </c>
      <c r="L10417" s="11" t="s">
        <v>814</v>
      </c>
    </row>
    <row r="10418" customFormat="false" ht="17.15" hidden="false" customHeight="false" outlineLevel="0" collapsed="false">
      <c r="A10418" s="0" t="s">
        <v>654</v>
      </c>
      <c r="B10418" s="0" t="s">
        <v>95</v>
      </c>
      <c r="D10418" s="6" t="n">
        <f aca="false">Q!L21</f>
        <v>110.814</v>
      </c>
      <c r="E10418" s="6" t="n">
        <f aca="false">Q!M21</f>
        <v>136.365</v>
      </c>
      <c r="F10418" s="6" t="n">
        <f aca="false">Sens!F10417*(Sens!F10388-Sens!F10352)+Sens!F10352-(Sens!F10354+Sens!F10355+Sens!F10356)-Sens!F10369</f>
        <v>157.881135141008</v>
      </c>
      <c r="G10418" s="6" t="n">
        <f aca="false">Sens!G10417*(Sens!G10388-Sens!G10352)+Sens!G10352-(Sens!G10354+Sens!G10355+Sens!G10356)-Sens!G10369</f>
        <v>166.56659053599</v>
      </c>
      <c r="H10418" s="6" t="n">
        <f aca="false">Sens!H10417*(Sens!H10388-Sens!H10352)+Sens!H10352-(Sens!H10354+Sens!H10355+Sens!H10356)-Sens!H10369</f>
        <v>169.59261262955</v>
      </c>
      <c r="I10418" s="6" t="n">
        <f aca="false">Sens!I10417*(Sens!I10388-Sens!I10352)+Sens!I10352-(Sens!I10354+Sens!I10355+Sens!I10356)-Sens!I10369</f>
        <v>177.895869987368</v>
      </c>
      <c r="J10418" s="6" t="n">
        <f aca="false">Sens!J10417*(Sens!J10388-Sens!J10352)+Sens!J10352-(Sens!J10354+Sens!J10355+Sens!J10356)-Sens!J10369</f>
        <v>183.55046592836</v>
      </c>
      <c r="K10418" s="6" t="n">
        <f aca="false">Sens!K10417*(Sens!K10388-Sens!K10352)+Sens!K10352-(Sens!K10354+Sens!K10355+Sens!K10356)-Sens!K10369</f>
        <v>185.860230559637</v>
      </c>
      <c r="L10418" s="1" t="s">
        <v>815</v>
      </c>
    </row>
    <row r="10419" customFormat="false" ht="17.15" hidden="false" customHeight="false" outlineLevel="0" collapsed="false">
      <c r="A10419" s="0" t="s">
        <v>816</v>
      </c>
      <c r="B10419" s="0" t="s">
        <v>126</v>
      </c>
      <c r="E10419" s="7" t="n">
        <f aca="false">Q!M22/Q!M12</f>
        <v>0.296207935710698</v>
      </c>
      <c r="F10419" s="7" t="n">
        <f aca="false">Sens!$E$10419+dm_seg_hi</f>
        <v>0.316207935710698</v>
      </c>
      <c r="G10419" s="7" t="n">
        <f aca="false">Sens!$E$10419+dm_seg_hi</f>
        <v>0.316207935710698</v>
      </c>
      <c r="H10419" s="7" t="n">
        <f aca="false">Sens!$E$10419+dm_seg_hi</f>
        <v>0.316207935710698</v>
      </c>
      <c r="I10419" s="7" t="n">
        <f aca="false">Sens!$E$10419+dm_seg_hi</f>
        <v>0.316207935710698</v>
      </c>
      <c r="J10419" s="7" t="n">
        <f aca="false">Sens!$E$10419+dm_seg_hi</f>
        <v>0.316207935710698</v>
      </c>
      <c r="K10419" s="7" t="n">
        <f aca="false">Sens!$E$10419+dm_seg_hi</f>
        <v>0.316207935710698</v>
      </c>
      <c r="L10419" s="11" t="s">
        <v>817</v>
      </c>
    </row>
    <row r="10420" customFormat="false" ht="17.15" hidden="false" customHeight="false" outlineLevel="0" collapsed="false">
      <c r="A10420" s="0" t="s">
        <v>656</v>
      </c>
      <c r="B10420" s="0" t="s">
        <v>95</v>
      </c>
      <c r="D10420" s="6" t="n">
        <f aca="false">Q!L22</f>
        <v>17.714</v>
      </c>
      <c r="E10420" s="6" t="n">
        <f aca="false">Q!M22</f>
        <v>18.872</v>
      </c>
      <c r="F10420" s="6" t="n">
        <f aca="false">Sens!F10395*Sens!F10419</f>
        <v>20.5982834201913</v>
      </c>
      <c r="G10420" s="6" t="n">
        <f aca="false">Sens!G10395*Sens!G10419</f>
        <v>21.2255718603318</v>
      </c>
      <c r="H10420" s="6" t="n">
        <f aca="false">Sens!H10395*Sens!H10419</f>
        <v>22.0007378871002</v>
      </c>
      <c r="I10420" s="6" t="n">
        <f aca="false">Sens!I10395*Sens!I10419</f>
        <v>22.9008281378544</v>
      </c>
      <c r="J10420" s="6" t="n">
        <f aca="false">Sens!J10395*Sens!J10419</f>
        <v>23.9067143116989</v>
      </c>
      <c r="K10420" s="6" t="n">
        <f aca="false">Sens!K10395*Sens!K10419</f>
        <v>25.0030167215181</v>
      </c>
    </row>
    <row r="10421" customFormat="false" ht="15" hidden="false" customHeight="false" outlineLevel="0" collapsed="false">
      <c r="A10421" s="1" t="s">
        <v>818</v>
      </c>
      <c r="B10421" s="0" t="s">
        <v>95</v>
      </c>
      <c r="D10421" s="6" t="n">
        <f aca="false">Sens!D10418+Sens!D10420</f>
        <v>128.528</v>
      </c>
      <c r="E10421" s="6" t="n">
        <f aca="false">Sens!E10418+Sens!E10420</f>
        <v>155.237</v>
      </c>
      <c r="F10421" s="6" t="n">
        <f aca="false">Sens!F10418+Sens!F10420</f>
        <v>178.479418561199</v>
      </c>
      <c r="G10421" s="6" t="n">
        <f aca="false">Sens!G10418+Sens!G10420</f>
        <v>187.792162396322</v>
      </c>
      <c r="H10421" s="6" t="n">
        <f aca="false">Sens!H10418+Sens!H10420</f>
        <v>191.59335051665</v>
      </c>
      <c r="I10421" s="6" t="n">
        <f aca="false">Sens!I10418+Sens!I10420</f>
        <v>200.796698125223</v>
      </c>
      <c r="J10421" s="6" t="n">
        <f aca="false">Sens!J10418+Sens!J10420</f>
        <v>207.457180240058</v>
      </c>
      <c r="K10421" s="6" t="n">
        <f aca="false">Sens!K10418+Sens!K10420</f>
        <v>210.863247281155</v>
      </c>
    </row>
    <row r="10422" customFormat="false" ht="15" hidden="false" customHeight="false" outlineLevel="0" collapsed="false">
      <c r="A10422" s="22" t="s">
        <v>819</v>
      </c>
      <c r="B10422" s="28" t="s">
        <v>95</v>
      </c>
      <c r="C10422" s="28"/>
      <c r="D10422" s="23" t="n">
        <f aca="false">Sens!D10421-Q!L23</f>
        <v>0</v>
      </c>
      <c r="E10422" s="23" t="n">
        <f aca="false">Sens!E10421-Q!M23</f>
        <v>0</v>
      </c>
      <c r="F10422" s="28"/>
      <c r="G10422" s="28"/>
      <c r="H10422" s="28"/>
      <c r="I10422" s="28"/>
      <c r="J10422" s="28"/>
      <c r="K10422" s="28"/>
    </row>
    <row r="10423" customFormat="false" ht="15" hidden="false" customHeight="false" outlineLevel="0" collapsed="false">
      <c r="A10423" s="1" t="s">
        <v>820</v>
      </c>
      <c r="B10423" s="0" t="s">
        <v>126</v>
      </c>
      <c r="D10423" s="7" t="n">
        <f aca="false">Sens!D10421/Sens!D10414</f>
        <v>0.456219562408598</v>
      </c>
      <c r="E10423" s="7" t="n">
        <f aca="false">Sens!E10421/Sens!E10414</f>
        <v>0.467808184089272</v>
      </c>
      <c r="F10423" s="7" t="n">
        <f aca="false">Sens!F10421/Sens!F10414</f>
        <v>0.453563269190344</v>
      </c>
      <c r="G10423" s="7" t="n">
        <f aca="false">Sens!G10421/Sens!G10414</f>
        <v>0.411468287547704</v>
      </c>
      <c r="H10423" s="7" t="n">
        <f aca="false">Sens!H10421/Sens!H10414</f>
        <v>0.371785435270092</v>
      </c>
      <c r="I10423" s="7" t="n">
        <f aca="false">Sens!I10421/Sens!I10414</f>
        <v>0.346000139381916</v>
      </c>
      <c r="J10423" s="7" t="n">
        <f aca="false">Sens!J10421/Sens!J10414</f>
        <v>0.322729342559326</v>
      </c>
      <c r="K10423" s="7" t="n">
        <f aca="false">Sens!K10421/Sens!K10414</f>
        <v>0.300332622839133</v>
      </c>
    </row>
    <row r="10424" customFormat="false" ht="17.15" hidden="false" customHeight="false" outlineLevel="0" collapsed="false">
      <c r="A10424" s="1" t="s">
        <v>821</v>
      </c>
      <c r="B10424" s="0" t="s">
        <v>95</v>
      </c>
      <c r="E10424" s="6" t="n">
        <f aca="false">Sens!E10369</f>
        <v>16.3054059770833</v>
      </c>
      <c r="F10424" s="6" t="n">
        <f aca="false">Sens!F10369</f>
        <v>34.7530354558698</v>
      </c>
      <c r="G10424" s="6" t="n">
        <f aca="false">Sens!G10369</f>
        <v>60.5317332603396</v>
      </c>
      <c r="H10424" s="6" t="n">
        <f aca="false">Sens!H10369</f>
        <v>87.7673159931396</v>
      </c>
      <c r="I10424" s="6" t="n">
        <f aca="false">Sens!I10369</f>
        <v>116.022181741123</v>
      </c>
      <c r="J10424" s="6" t="n">
        <f aca="false">Sens!J10369</f>
        <v>145.249277958273</v>
      </c>
      <c r="K10424" s="6" t="n">
        <f aca="false">Sens!K10369</f>
        <v>175.76392263459</v>
      </c>
    </row>
    <row r="10425" customFormat="false" ht="17.15" hidden="false" customHeight="false" outlineLevel="0" collapsed="false">
      <c r="A10425" s="1" t="s">
        <v>822</v>
      </c>
      <c r="B10425" s="0" t="s">
        <v>95</v>
      </c>
      <c r="E10425" s="6" t="n">
        <f aca="false">Sens!E10445</f>
        <v>22.2285940229167</v>
      </c>
      <c r="F10425" s="6" t="n">
        <f aca="false">Sens!F10445</f>
        <v>23.5486693435813</v>
      </c>
      <c r="G10425" s="6" t="n">
        <f aca="false">Sens!G10445</f>
        <v>25.264091766262</v>
      </c>
      <c r="H10425" s="6" t="n">
        <f aca="false">Sens!H10445</f>
        <v>27.3438339540448</v>
      </c>
      <c r="I10425" s="6" t="n">
        <f aca="false">Sens!I10445</f>
        <v>29.7317905898047</v>
      </c>
      <c r="J10425" s="6" t="n">
        <f aca="false">Sens!J10445</f>
        <v>32.3542028558616</v>
      </c>
      <c r="K10425" s="6" t="n">
        <f aca="false">Sens!K10445</f>
        <v>35.1281528444749</v>
      </c>
    </row>
    <row r="10426" customFormat="false" ht="17.15" hidden="false" customHeight="false" outlineLevel="0" collapsed="false">
      <c r="A10426" s="1" t="s">
        <v>823</v>
      </c>
      <c r="B10426" s="0" t="s">
        <v>95</v>
      </c>
      <c r="D10426" s="6" t="n">
        <f aca="false">Q!L27</f>
        <v>-4.901</v>
      </c>
      <c r="E10426" s="6" t="n">
        <f aca="false">Q!M27</f>
        <v>10.697</v>
      </c>
      <c r="F10426" s="6" t="n">
        <f aca="false">oie_f</f>
        <v>-0.4</v>
      </c>
      <c r="G10426" s="6" t="n">
        <f aca="false">oie_f</f>
        <v>-0.4</v>
      </c>
      <c r="H10426" s="6" t="n">
        <f aca="false">oie_f</f>
        <v>-0.4</v>
      </c>
      <c r="I10426" s="6" t="n">
        <f aca="false">oie_f</f>
        <v>-0.4</v>
      </c>
      <c r="J10426" s="6" t="n">
        <f aca="false">oie_f</f>
        <v>-0.4</v>
      </c>
      <c r="K10426" s="6" t="n">
        <f aca="false">oie_f</f>
        <v>-0.4</v>
      </c>
      <c r="L10426" s="11" t="s">
        <v>824</v>
      </c>
    </row>
    <row r="10427" customFormat="false" ht="15" hidden="false" customHeight="false" outlineLevel="0" collapsed="false">
      <c r="A10427" s="1" t="s">
        <v>666</v>
      </c>
      <c r="B10427" s="0" t="s">
        <v>95</v>
      </c>
      <c r="D10427" s="6" t="n">
        <f aca="false">Sens!D10421+Sens!D10426</f>
        <v>123.627</v>
      </c>
      <c r="E10427" s="6" t="n">
        <f aca="false">Sens!E10421+Sens!E10426</f>
        <v>165.934</v>
      </c>
      <c r="F10427" s="6" t="n">
        <f aca="false">Sens!F10421+Sens!F10426</f>
        <v>178.079418561199</v>
      </c>
      <c r="G10427" s="6" t="n">
        <f aca="false">Sens!G10421+Sens!G10426</f>
        <v>187.392162396322</v>
      </c>
      <c r="H10427" s="6" t="n">
        <f aca="false">Sens!H10421+Sens!H10426</f>
        <v>191.19335051665</v>
      </c>
      <c r="I10427" s="6" t="n">
        <f aca="false">Sens!I10421+Sens!I10426</f>
        <v>200.396698125223</v>
      </c>
      <c r="J10427" s="6" t="n">
        <f aca="false">Sens!J10421+Sens!J10426</f>
        <v>207.057180240058</v>
      </c>
      <c r="K10427" s="6" t="n">
        <f aca="false">Sens!K10421+Sens!K10426</f>
        <v>210.463247281155</v>
      </c>
    </row>
    <row r="10428" customFormat="false" ht="15" hidden="false" customHeight="false" outlineLevel="0" collapsed="false">
      <c r="A10428" s="1" t="s">
        <v>668</v>
      </c>
      <c r="B10428" s="0" t="s">
        <v>95</v>
      </c>
      <c r="D10428" s="6" t="n">
        <f aca="false">Q!L29</f>
        <v>21.795</v>
      </c>
      <c r="E10428" s="6" t="n">
        <f aca="false">Q!M29</f>
        <v>32.185</v>
      </c>
      <c r="F10428" s="6" t="n">
        <f aca="false">Sens!F10427*tax_f</f>
        <v>35.6158837122398</v>
      </c>
      <c r="G10428" s="6" t="n">
        <f aca="false">Sens!G10427*tax_f</f>
        <v>37.4784324792643</v>
      </c>
      <c r="H10428" s="6" t="n">
        <f aca="false">Sens!H10427*tax_f</f>
        <v>38.23867010333</v>
      </c>
      <c r="I10428" s="6" t="n">
        <f aca="false">Sens!I10427*tax_f</f>
        <v>40.0793396250446</v>
      </c>
      <c r="J10428" s="6" t="n">
        <f aca="false">Sens!J10427*tax_f</f>
        <v>41.4114360480117</v>
      </c>
      <c r="K10428" s="6" t="n">
        <f aca="false">Sens!K10427*tax_f</f>
        <v>42.0926494562309</v>
      </c>
    </row>
    <row r="10429" customFormat="false" ht="15" hidden="false" customHeight="false" outlineLevel="0" collapsed="false">
      <c r="A10429" s="1" t="s">
        <v>825</v>
      </c>
      <c r="B10429" s="0" t="s">
        <v>95</v>
      </c>
      <c r="D10429" s="6" t="n">
        <f aca="false">Sens!D10427-Sens!D10428</f>
        <v>101.832</v>
      </c>
      <c r="E10429" s="6" t="n">
        <f aca="false">Sens!E10427-Sens!E10428</f>
        <v>133.749</v>
      </c>
      <c r="F10429" s="6" t="n">
        <f aca="false">Sens!F10427-Sens!F10428</f>
        <v>142.463534848959</v>
      </c>
      <c r="G10429" s="6" t="n">
        <f aca="false">Sens!G10427-Sens!G10428</f>
        <v>149.913729917057</v>
      </c>
      <c r="H10429" s="6" t="n">
        <f aca="false">Sens!H10427-Sens!H10428</f>
        <v>152.95468041332</v>
      </c>
      <c r="I10429" s="6" t="n">
        <f aca="false">Sens!I10427-Sens!I10428</f>
        <v>160.317358500178</v>
      </c>
      <c r="J10429" s="6" t="n">
        <f aca="false">Sens!J10427-Sens!J10428</f>
        <v>165.645744192047</v>
      </c>
      <c r="K10429" s="6" t="n">
        <f aca="false">Sens!K10427-Sens!K10428</f>
        <v>168.370597824924</v>
      </c>
    </row>
    <row r="10430" customFormat="false" ht="17.15" hidden="false" customHeight="false" outlineLevel="0" collapsed="false">
      <c r="A10430" s="1" t="s">
        <v>826</v>
      </c>
      <c r="B10430" s="1" t="s">
        <v>79</v>
      </c>
      <c r="D10430" s="18" t="n">
        <f aca="false">Q!L31</f>
        <v>7.465</v>
      </c>
      <c r="E10430" s="18" t="n">
        <f aca="false">Q!M31</f>
        <v>7.453</v>
      </c>
      <c r="F10430" s="18" t="n">
        <f aca="false">Sens!F10467</f>
        <v>7.4735</v>
      </c>
      <c r="G10430" s="18" t="n">
        <f aca="false">Sens!G10467</f>
        <v>7.5185</v>
      </c>
      <c r="H10430" s="18" t="n">
        <f aca="false">Sens!H10467</f>
        <v>7.55314306426176</v>
      </c>
      <c r="I10430" s="18" t="n">
        <f aca="false">Sens!I10467</f>
        <v>7.57524687158541</v>
      </c>
      <c r="J10430" s="18" t="n">
        <f aca="false">Sens!J10467</f>
        <v>7.5929198796078</v>
      </c>
      <c r="K10430" s="18" t="n">
        <f aca="false">Sens!K10467</f>
        <v>7.60943979730954</v>
      </c>
    </row>
    <row r="10431" customFormat="false" ht="17.15" hidden="false" customHeight="false" outlineLevel="0" collapsed="false">
      <c r="A10431" s="0" t="s">
        <v>827</v>
      </c>
      <c r="B10431" s="0" t="s">
        <v>73</v>
      </c>
      <c r="D10431" s="8" t="n">
        <f aca="false">Sens!D10429/Sens!D10430</f>
        <v>13.641259209645</v>
      </c>
      <c r="E10431" s="8" t="n">
        <f aca="false">Sens!E10429/Sens!E10430</f>
        <v>17.9456594659869</v>
      </c>
      <c r="F10431" s="8" t="n">
        <f aca="false">Sens!F10429/Sens!F10430</f>
        <v>19.0624921186805</v>
      </c>
      <c r="G10431" s="8" t="n">
        <f aca="false">Sens!G10429/Sens!G10430</f>
        <v>19.939313681859</v>
      </c>
      <c r="H10431" s="8" t="n">
        <f aca="false">Sens!H10429/Sens!H10430</f>
        <v>20.2504678002242</v>
      </c>
      <c r="I10431" s="8" t="n">
        <f aca="false">Sens!I10429/Sens!I10430</f>
        <v>21.1633180037373</v>
      </c>
      <c r="J10431" s="8" t="n">
        <f aca="false">Sens!J10429/Sens!J10430</f>
        <v>21.8158161574863</v>
      </c>
      <c r="K10431" s="8" t="n">
        <f aca="false">Sens!K10429/Sens!K10430</f>
        <v>22.1265431240358</v>
      </c>
      <c r="L10431" s="1" t="s">
        <v>828</v>
      </c>
    </row>
    <row r="10432" customFormat="false" ht="17.15" hidden="false" customHeight="false" outlineLevel="0" collapsed="false">
      <c r="A10432" s="0" t="s">
        <v>829</v>
      </c>
      <c r="B10432" s="0" t="s">
        <v>126</v>
      </c>
      <c r="E10432" s="7" t="n">
        <f aca="false">Sens!E10431/Sens!D10431-1</f>
        <v>0.315542736208578</v>
      </c>
      <c r="F10432" s="7" t="n">
        <f aca="false">Sens!F10431/Sens!E10431-1</f>
        <v>0.0622341382778644</v>
      </c>
      <c r="G10432" s="7" t="n">
        <f aca="false">Sens!G10431/Sens!F10431-1</f>
        <v>0.0459972157742818</v>
      </c>
      <c r="H10432" s="7" t="n">
        <f aca="false">Sens!H10431/Sens!G10431-1</f>
        <v>0.0156050565897006</v>
      </c>
      <c r="I10432" s="7" t="n">
        <f aca="false">Sens!I10431/Sens!H10431-1</f>
        <v>0.0450779810381952</v>
      </c>
      <c r="J10432" s="7" t="n">
        <f aca="false">Sens!J10431/Sens!I10431-1</f>
        <v>0.0308315621224298</v>
      </c>
      <c r="K10432" s="7" t="n">
        <f aca="false">Sens!K10431/Sens!J10431-1</f>
        <v>0.0142431969680334</v>
      </c>
    </row>
    <row r="10433" customFormat="false" ht="17.15" hidden="false" customHeight="false" outlineLevel="0" collapsed="false">
      <c r="A10433" s="0" t="s">
        <v>763</v>
      </c>
      <c r="B10433" s="0" t="s">
        <v>95</v>
      </c>
      <c r="E10433" s="6" t="n">
        <f aca="false">Sens!E10378</f>
        <v>5.25</v>
      </c>
      <c r="F10433" s="6" t="n">
        <f aca="false">Sens!F10378</f>
        <v>10.5</v>
      </c>
      <c r="G10433" s="6" t="n">
        <f aca="false">Sens!G10378</f>
        <v>13.5</v>
      </c>
      <c r="H10433" s="6" t="n">
        <f aca="false">Sens!H10378</f>
        <v>16.5</v>
      </c>
      <c r="I10433" s="6" t="n">
        <f aca="false">Sens!I10378</f>
        <v>18.75</v>
      </c>
      <c r="J10433" s="6" t="n">
        <f aca="false">Sens!J10378</f>
        <v>20.25</v>
      </c>
      <c r="K10433" s="6" t="n">
        <f aca="false">Sens!K10378</f>
        <v>21.75</v>
      </c>
    </row>
    <row r="10434" customFormat="false" ht="17.15" hidden="false" customHeight="false" outlineLevel="0" collapsed="false">
      <c r="A10434" s="0" t="s">
        <v>764</v>
      </c>
      <c r="B10434" s="0" t="s">
        <v>95</v>
      </c>
      <c r="E10434" s="6" t="n">
        <f aca="false">Sens!E10358+Sens!E10433*Sens!E10417-Sens!E10359-Sens!E10369</f>
        <v>2.1514866143068</v>
      </c>
      <c r="F10434" s="6" t="n">
        <f aca="false">Sens!F10358+Sens!F10433*Sens!F10417-Sens!F10359-Sens!F10369</f>
        <v>-0.0235682596155229</v>
      </c>
      <c r="G10434" s="6" t="n">
        <f aca="false">Sens!G10358+Sens!G10433*Sens!G10417-Sens!G10359-Sens!G10369</f>
        <v>-11.0879430263606</v>
      </c>
      <c r="H10434" s="6" t="n">
        <f aca="false">Sens!H10358+Sens!H10433*Sens!H10417-Sens!H10359-Sens!H10369</f>
        <v>-28.0002803546306</v>
      </c>
      <c r="I10434" s="6" t="n">
        <f aca="false">Sens!I10358+Sens!I10433*Sens!I10417-Sens!I10359-Sens!I10369</f>
        <v>-39.1302962340374</v>
      </c>
      <c r="J10434" s="6" t="n">
        <f aca="false">Sens!J10358+Sens!J10433*Sens!J10417-Sens!J10359-Sens!J10369</f>
        <v>-51.6267822085483</v>
      </c>
      <c r="K10434" s="6" t="n">
        <f aca="false">Sens!K10358+Sens!K10433*Sens!K10417-Sens!K10359-Sens!K10369</f>
        <v>-65.3820050125782</v>
      </c>
    </row>
    <row r="10435" customFormat="false" ht="17.15" hidden="false" customHeight="false" outlineLevel="0" collapsed="false">
      <c r="A10435" s="0" t="s">
        <v>765</v>
      </c>
      <c r="B10435" s="0" t="s">
        <v>95</v>
      </c>
      <c r="E10435" s="6" t="n">
        <f aca="false">Sens!E10341*(cxit_open+self_build*tk_cxfac)/1000*ai_net_open</f>
        <v>126.6980382</v>
      </c>
      <c r="F10435" s="6" t="n">
        <f aca="false">Sens!E10435+Sens!F10366-Sens!F10369</f>
        <v>260.715655514568</v>
      </c>
      <c r="G10435" s="6" t="n">
        <f aca="false">Sens!F10435+Sens!G10366-Sens!G10369</f>
        <v>383.758102737428</v>
      </c>
      <c r="H10435" s="6" t="n">
        <f aca="false">Sens!G10435+Sens!H10366-Sens!H10369</f>
        <v>484.071072654689</v>
      </c>
      <c r="I10435" s="6" t="n">
        <f aca="false">Sens!H10435+Sens!I10366-Sens!I10369</f>
        <v>586.387852170632</v>
      </c>
      <c r="J10435" s="6" t="n">
        <f aca="false">Sens!I10435+Sens!J10366-Sens!J10369</f>
        <v>674.915635136093</v>
      </c>
      <c r="K10435" s="6" t="n">
        <f aca="false">Sens!J10435+Sens!K10366-Sens!K10369</f>
        <v>778.008024451903</v>
      </c>
      <c r="L10435" s="1" t="s">
        <v>766</v>
      </c>
    </row>
    <row r="10436" customFormat="false" ht="17.15" hidden="false" customHeight="false" outlineLevel="0" collapsed="false">
      <c r="A10436" s="0" t="s">
        <v>767</v>
      </c>
      <c r="B10436" s="0" t="s">
        <v>126</v>
      </c>
      <c r="F10436" s="7" t="n">
        <f aca="false">Sens!F10434*(1-tax_f)/((Sens!E10435+Sens!F10435)/2)</f>
        <v>-9.7335783418692E-005</v>
      </c>
      <c r="G10436" s="7" t="n">
        <f aca="false">Sens!G10434*(1-tax_f)/((Sens!F10435+Sens!G10435)/2)</f>
        <v>-0.0275274339955983</v>
      </c>
      <c r="H10436" s="7" t="n">
        <f aca="false">Sens!H10434*(1-tax_f)/((Sens!G10435+Sens!H10435)/2)</f>
        <v>-0.0516235796603249</v>
      </c>
      <c r="I10436" s="7" t="n">
        <f aca="false">Sens!I10434*(1-tax_f)/((Sens!H10435+Sens!I10435)/2)</f>
        <v>-0.0584875071079224</v>
      </c>
      <c r="J10436" s="7" t="n">
        <f aca="false">Sens!J10434*(1-tax_f)/((Sens!I10435+Sens!J10435)/2)</f>
        <v>-0.0654900683023243</v>
      </c>
      <c r="K10436" s="7" t="n">
        <f aca="false">Sens!K10434*(1-tax_f)/((Sens!J10435+Sens!K10435)/2)</f>
        <v>-0.0720004849048915</v>
      </c>
    </row>
    <row r="10437" customFormat="false" ht="17.15" hidden="false" customHeight="false" outlineLevel="0" collapsed="false">
      <c r="A10437" s="1" t="s">
        <v>768</v>
      </c>
      <c r="B10437" s="0" t="s">
        <v>126</v>
      </c>
      <c r="F10437" s="7" t="n">
        <f aca="false">Sens!F10370*(1-tax_f)/(Sens!F10357*(Sens!E10435+Sens!F10435)/2)</f>
        <v>0.0977802249085266</v>
      </c>
      <c r="G10437" s="7" t="n">
        <f aca="false">Sens!G10370*(1-tax_f)/(Sens!G10357*(Sens!F10435+Sens!G10435)/2)</f>
        <v>0.0659202727231561</v>
      </c>
      <c r="H10437" s="7" t="n">
        <f aca="false">Sens!H10370*(1-tax_f)/(Sens!H10357*(Sens!G10435+Sens!H10435)/2)</f>
        <v>0.0387765414760463</v>
      </c>
      <c r="I10437" s="7" t="n">
        <f aca="false">Sens!I10370*(1-tax_f)/(Sens!I10357*(Sens!H10435+Sens!I10435)/2)</f>
        <v>0.0397404212066203</v>
      </c>
      <c r="J10437" s="7" t="n">
        <f aca="false">Sens!J10370*(1-tax_f)/(Sens!J10357*(Sens!I10435+Sens!J10435)/2)</f>
        <v>0.0396588038107804</v>
      </c>
      <c r="K10437" s="7" t="n">
        <f aca="false">Sens!K10370*(1-tax_f)/(Sens!K10357*(Sens!J10435+Sens!K10435)/2)</f>
        <v>0.0382194537690573</v>
      </c>
    </row>
    <row r="10438" customFormat="false" ht="17.15" hidden="false" customHeight="false" outlineLevel="0" collapsed="false">
      <c r="A10438" s="0" t="s">
        <v>769</v>
      </c>
      <c r="B10438" s="0" t="s">
        <v>208</v>
      </c>
      <c r="F10438" s="7" t="n">
        <f aca="false">Sens!F10436-wacc</f>
        <v>-0.109060556933673</v>
      </c>
      <c r="G10438" s="7" t="n">
        <f aca="false">Sens!G10436-wacc</f>
        <v>-0.136490655145852</v>
      </c>
      <c r="H10438" s="7" t="n">
        <f aca="false">Sens!H10436-wacc</f>
        <v>-0.160586800810579</v>
      </c>
      <c r="I10438" s="7" t="n">
        <f aca="false">Sens!I10436-wacc</f>
        <v>-0.167450728258176</v>
      </c>
      <c r="J10438" s="7" t="n">
        <f aca="false">Sens!J10436-wacc</f>
        <v>-0.174453289452578</v>
      </c>
      <c r="K10438" s="7" t="n">
        <f aca="false">Sens!K10436-wacc</f>
        <v>-0.180963706055145</v>
      </c>
    </row>
    <row r="10439" customFormat="false" ht="17.15" hidden="false" customHeight="false" outlineLevel="0" collapsed="false">
      <c r="A10439" s="0" t="s">
        <v>770</v>
      </c>
      <c r="B10439" s="0" t="s">
        <v>95</v>
      </c>
      <c r="F10439" s="6" t="n">
        <f aca="false">Sens!F10434*(1-tax_f)-wacc*(Sens!E10435+Sens!F10435)/2</f>
        <v>-21.125776600121</v>
      </c>
      <c r="G10439" s="6" t="n">
        <f aca="false">Sens!G10434*(1-tax_f)-wacc*(Sens!F10435+Sens!G10435)/2</f>
        <v>-43.9823227440623</v>
      </c>
      <c r="H10439" s="6" t="n">
        <f aca="false">Sens!H10434*(1-tax_f)-wacc*(Sens!G10435+Sens!H10435)/2</f>
        <v>-69.6809554631514</v>
      </c>
      <c r="I10439" s="6" t="n">
        <f aca="false">Sens!I10434*(1-tax_f)-wacc*(Sens!H10435+Sens!I10435)/2</f>
        <v>-89.6245632662322</v>
      </c>
      <c r="J10439" s="6" t="n">
        <f aca="false">Sens!J10434*(1-tax_f)-wacc*(Sens!I10435+Sens!J10435)/2</f>
        <v>-110.019271179333</v>
      </c>
      <c r="K10439" s="6" t="n">
        <f aca="false">Sens!K10434*(1-tax_f)-wacc*(Sens!J10435+Sens!K10435)/2</f>
        <v>-131.463225027124</v>
      </c>
    </row>
    <row r="10440" customFormat="false" ht="17.15" hidden="false" customHeight="false" outlineLevel="0" collapsed="false">
      <c r="A10440" s="1" t="s">
        <v>771</v>
      </c>
      <c r="B10440" s="0" t="s">
        <v>95</v>
      </c>
      <c r="F10440" s="6" t="n">
        <f aca="false">(Sens!E10342+Sens!F10342)/2*Sens!F10349/1000</f>
        <v>26.7873066765967</v>
      </c>
      <c r="G10440" s="6" t="n">
        <f aca="false">(Sens!F10342+Sens!G10342)/2*Sens!G10349/1000</f>
        <v>45.4131817597218</v>
      </c>
      <c r="H10440" s="6" t="n">
        <f aca="false">(Sens!G10342+Sens!H10342)/2*Sens!H10349/1000</f>
        <v>65.3915129357971</v>
      </c>
      <c r="I10440" s="6" t="n">
        <f aca="false">(Sens!H10342+Sens!I10342)/2*Sens!I10349/1000</f>
        <v>85.5187419289299</v>
      </c>
      <c r="J10440" s="6" t="n">
        <f aca="false">(Sens!I10342+Sens!J10342)/2*Sens!J10349/1000</f>
        <v>105.723807195006</v>
      </c>
      <c r="K10440" s="6" t="n">
        <f aca="false">(Sens!J10342+Sens!K10342)/2*Sens!K10349/1000</f>
        <v>125.974659797015</v>
      </c>
      <c r="L10440" s="1" t="s">
        <v>772</v>
      </c>
    </row>
    <row r="10441" customFormat="false" ht="17.15" hidden="false" customHeight="false" outlineLevel="0" collapsed="false">
      <c r="A10441" s="1" t="s">
        <v>773</v>
      </c>
      <c r="B10441" s="0" t="s">
        <v>126</v>
      </c>
      <c r="F10441" s="7" t="n">
        <f aca="false">(Sens!F10358+Sens!F10440-Sens!F10359-Sens!F10369)*(1-tax_f)/((Sens!E10435+Sens!F10435)/2)</f>
        <v>0.0849063894903249</v>
      </c>
      <c r="G10441" s="7" t="n">
        <f aca="false">(Sens!G10358+Sens!G10440-Sens!G10359-Sens!G10369)*(1-tax_f)/((Sens!F10435+Sens!G10435)/2)</f>
        <v>0.0654110468496738</v>
      </c>
      <c r="H10441" s="7" t="n">
        <f aca="false">(Sens!H10358+Sens!H10440-Sens!H10359-Sens!H10369)*(1-tax_f)/((Sens!G10435+Sens!H10435)/2)</f>
        <v>0.0509601420656284</v>
      </c>
      <c r="I10441" s="7" t="n">
        <f aca="false">(Sens!I10358+Sens!I10440-Sens!I10359-Sens!I10369)*(1-tax_f)/((Sens!H10435+Sens!I10435)/2)</f>
        <v>0.0527743674001295</v>
      </c>
      <c r="J10441" s="7" t="n">
        <f aca="false">(Sens!J10358+Sens!J10440-Sens!J10359-Sens!J10369)*(1-tax_f)/((Sens!I10435+Sens!J10435)/2)</f>
        <v>0.0534433009091354</v>
      </c>
      <c r="K10441" s="7" t="n">
        <f aca="false">(Sens!K10358+Sens!K10440-Sens!K10359-Sens!K10369)*(1-tax_f)/((Sens!J10435+Sens!K10435)/2)</f>
        <v>0.0525718824526499</v>
      </c>
      <c r="L10441" s="1" t="s">
        <v>774</v>
      </c>
    </row>
    <row r="10442" customFormat="false" ht="17.15" hidden="false" customHeight="false" outlineLevel="0" collapsed="false">
      <c r="A10442" s="3" t="s">
        <v>1412</v>
      </c>
    </row>
    <row r="10443" customFormat="false" ht="15" hidden="false" customHeight="false" outlineLevel="0" collapsed="false">
      <c r="A10443" s="4" t="s">
        <v>43</v>
      </c>
      <c r="B10443" s="4" t="s">
        <v>63</v>
      </c>
      <c r="C10443" s="19" t="s">
        <v>710</v>
      </c>
      <c r="D10443" s="19" t="s">
        <v>711</v>
      </c>
      <c r="E10443" s="19" t="s">
        <v>712</v>
      </c>
      <c r="F10443" s="19" t="s">
        <v>713</v>
      </c>
      <c r="G10443" s="19" t="s">
        <v>714</v>
      </c>
      <c r="H10443" s="19" t="s">
        <v>715</v>
      </c>
      <c r="I10443" s="19" t="s">
        <v>716</v>
      </c>
      <c r="J10443" s="19" t="s">
        <v>717</v>
      </c>
      <c r="K10443" s="19" t="s">
        <v>718</v>
      </c>
      <c r="L10443" s="4" t="s">
        <v>47</v>
      </c>
    </row>
    <row r="10444" customFormat="false" ht="15" hidden="false" customHeight="false" outlineLevel="0" collapsed="false">
      <c r="A10444" s="1" t="s">
        <v>825</v>
      </c>
      <c r="B10444" s="0" t="s">
        <v>95</v>
      </c>
      <c r="F10444" s="6" t="n">
        <f aca="false">Sens!F10429</f>
        <v>142.463534848959</v>
      </c>
      <c r="G10444" s="6" t="n">
        <f aca="false">Sens!G10429</f>
        <v>149.913729917057</v>
      </c>
      <c r="H10444" s="6" t="n">
        <f aca="false">Sens!H10429</f>
        <v>152.95468041332</v>
      </c>
      <c r="I10444" s="6" t="n">
        <f aca="false">Sens!I10429</f>
        <v>160.317358500178</v>
      </c>
      <c r="J10444" s="6" t="n">
        <f aca="false">Sens!J10429</f>
        <v>165.645744192047</v>
      </c>
      <c r="K10444" s="6" t="n">
        <f aca="false">Sens!K10429</f>
        <v>168.370597824924</v>
      </c>
    </row>
    <row r="10445" customFormat="false" ht="17.15" hidden="false" customHeight="false" outlineLevel="0" collapsed="false">
      <c r="A10445" s="1" t="s">
        <v>843</v>
      </c>
      <c r="B10445" s="0" t="s">
        <v>95</v>
      </c>
      <c r="E10445" s="6" t="n">
        <f aca="false">Q!M38-Sens!E10369</f>
        <v>22.2285940229167</v>
      </c>
      <c r="F10445" s="6" t="n">
        <f aca="false">Sens!E10445*(1-1/life_nonai)+Sens!F10451/life_nonai</f>
        <v>23.5486693435813</v>
      </c>
      <c r="G10445" s="6" t="n">
        <f aca="false">Sens!F10445*(1-1/life_nonai)+Sens!G10451/life_nonai</f>
        <v>25.264091766262</v>
      </c>
      <c r="H10445" s="6" t="n">
        <f aca="false">Sens!G10445*(1-1/life_nonai)+Sens!H10451/life_nonai</f>
        <v>27.3438339540448</v>
      </c>
      <c r="I10445" s="6" t="n">
        <f aca="false">Sens!H10445*(1-1/life_nonai)+Sens!I10451/life_nonai</f>
        <v>29.7317905898047</v>
      </c>
      <c r="J10445" s="6" t="n">
        <f aca="false">Sens!I10445*(1-1/life_nonai)+Sens!J10451/life_nonai</f>
        <v>32.3542028558616</v>
      </c>
      <c r="K10445" s="6" t="n">
        <f aca="false">Sens!J10445*(1-1/life_nonai)+Sens!K10451/life_nonai</f>
        <v>35.1281528444749</v>
      </c>
      <c r="L10445" s="11" t="s">
        <v>844</v>
      </c>
    </row>
    <row r="10446" customFormat="false" ht="17.15" hidden="false" customHeight="false" outlineLevel="0" collapsed="false">
      <c r="A10446" s="1" t="s">
        <v>845</v>
      </c>
      <c r="B10446" s="0" t="s">
        <v>95</v>
      </c>
      <c r="E10446" s="6" t="n">
        <f aca="false">Sens!E10369+Sens!E10445</f>
        <v>38.534</v>
      </c>
      <c r="F10446" s="6" t="n">
        <f aca="false">Sens!F10369+Sens!F10445</f>
        <v>58.301704799451</v>
      </c>
      <c r="G10446" s="6" t="n">
        <f aca="false">Sens!G10369+Sens!G10445</f>
        <v>85.7958250266017</v>
      </c>
      <c r="H10446" s="6" t="n">
        <f aca="false">Sens!H10369+Sens!H10445</f>
        <v>115.111149947184</v>
      </c>
      <c r="I10446" s="6" t="n">
        <f aca="false">Sens!I10369+Sens!I10445</f>
        <v>145.753972330928</v>
      </c>
      <c r="J10446" s="6" t="n">
        <f aca="false">Sens!J10369+Sens!J10445</f>
        <v>177.603480814135</v>
      </c>
      <c r="K10446" s="6" t="n">
        <f aca="false">Sens!K10369+Sens!K10445</f>
        <v>210.892075479064</v>
      </c>
    </row>
    <row r="10447" customFormat="false" ht="15" hidden="false" customHeight="false" outlineLevel="0" collapsed="false">
      <c r="A10447" s="1" t="s">
        <v>685</v>
      </c>
      <c r="B10447" s="0" t="s">
        <v>95</v>
      </c>
      <c r="F10447" s="6" t="n">
        <f aca="false">Sens!F10396*sbc_r</f>
        <v>14.7102349124428</v>
      </c>
      <c r="G10447" s="6" t="n">
        <f aca="false">Sens!G10396*sbc_r</f>
        <v>17.061233875013</v>
      </c>
      <c r="H10447" s="6" t="n">
        <f aca="false">Sens!H10396*sbc_r</f>
        <v>19.2644849659525</v>
      </c>
      <c r="I10447" s="6" t="n">
        <f aca="false">Sens!I10396*sbc_r</f>
        <v>21.6944995352461</v>
      </c>
      <c r="J10447" s="6" t="n">
        <f aca="false">Sens!J10396*sbc_r</f>
        <v>24.0303092612034</v>
      </c>
      <c r="K10447" s="6" t="n">
        <f aca="false">Sens!K10396*sbc_r</f>
        <v>26.2462779746985</v>
      </c>
    </row>
    <row r="10448" customFormat="false" ht="17.15" hidden="false" customHeight="false" outlineLevel="0" collapsed="false">
      <c r="A10448" s="1" t="s">
        <v>846</v>
      </c>
      <c r="B10448" s="0" t="s">
        <v>95</v>
      </c>
      <c r="F10448" s="6" t="n">
        <f aca="false">wc27</f>
        <v>-4.895</v>
      </c>
      <c r="G10448" s="6" t="n">
        <f aca="false">0</f>
        <v>0</v>
      </c>
      <c r="H10448" s="6" t="n">
        <f aca="false">0</f>
        <v>0</v>
      </c>
      <c r="I10448" s="6" t="n">
        <f aca="false">0</f>
        <v>0</v>
      </c>
      <c r="J10448" s="6" t="n">
        <f aca="false">0</f>
        <v>0</v>
      </c>
      <c r="K10448" s="6" t="n">
        <f aca="false">0</f>
        <v>0</v>
      </c>
      <c r="L10448" s="11" t="s">
        <v>847</v>
      </c>
    </row>
    <row r="10449" customFormat="false" ht="15" hidden="false" customHeight="false" outlineLevel="0" collapsed="false">
      <c r="A10449" s="1" t="s">
        <v>678</v>
      </c>
      <c r="B10449" s="0" t="s">
        <v>95</v>
      </c>
      <c r="E10449" s="6" t="n">
        <f aca="false">Q!M35</f>
        <v>182.935</v>
      </c>
      <c r="F10449" s="6" t="n">
        <f aca="false">Sens!F10444+Sens!F10446+Sens!F10447+Sens!F10448</f>
        <v>210.580474560853</v>
      </c>
      <c r="G10449" s="6" t="n">
        <f aca="false">Sens!G10444+Sens!G10446+Sens!G10447+Sens!G10448</f>
        <v>252.770788818672</v>
      </c>
      <c r="H10449" s="6" t="n">
        <f aca="false">Sens!H10444+Sens!H10446+Sens!H10447+Sens!H10448</f>
        <v>287.330315326457</v>
      </c>
      <c r="I10449" s="6" t="n">
        <f aca="false">Sens!I10444+Sens!I10446+Sens!I10447+Sens!I10448</f>
        <v>327.765830366352</v>
      </c>
      <c r="J10449" s="6" t="n">
        <f aca="false">Sens!J10444+Sens!J10446+Sens!J10447+Sens!J10448</f>
        <v>367.279534267385</v>
      </c>
      <c r="K10449" s="6" t="n">
        <f aca="false">Sens!K10444+Sens!K10446+Sens!K10447+Sens!K10448</f>
        <v>405.508951278687</v>
      </c>
    </row>
    <row r="10450" customFormat="false" ht="17.15" hidden="false" customHeight="false" outlineLevel="0" collapsed="false">
      <c r="A10450" s="0" t="s">
        <v>848</v>
      </c>
      <c r="B10450" s="0" t="s">
        <v>95</v>
      </c>
      <c r="F10450" s="6" t="n">
        <f aca="false">Sens!F10366</f>
        <v>168.770652770438</v>
      </c>
      <c r="G10450" s="6" t="n">
        <f aca="false">Sens!G10366</f>
        <v>183.5741804832</v>
      </c>
      <c r="H10450" s="6" t="n">
        <f aca="false">Sens!H10366</f>
        <v>188.0802859104</v>
      </c>
      <c r="I10450" s="6" t="n">
        <f aca="false">Sens!I10366</f>
        <v>218.338961257067</v>
      </c>
      <c r="J10450" s="6" t="n">
        <f aca="false">Sens!J10366</f>
        <v>233.777060923733</v>
      </c>
      <c r="K10450" s="6" t="n">
        <f aca="false">Sens!K10366</f>
        <v>278.8563119504</v>
      </c>
    </row>
    <row r="10451" customFormat="false" ht="17.15" hidden="false" customHeight="false" outlineLevel="0" collapsed="false">
      <c r="A10451" s="1" t="s">
        <v>849</v>
      </c>
      <c r="B10451" s="0" t="s">
        <v>95</v>
      </c>
      <c r="E10451" s="6" t="n">
        <f aca="false">Sens!E10374*cx_azo+Sens!E10381*cx_m365+Sens!E10382*cx_lic+(Sens!E10384+Sens!E10386)*cx_ind+Sens!E10389*cx_srch+(Sens!E10391+Sens!E10393)*cx_dev</f>
        <v>30.1846587067718</v>
      </c>
      <c r="F10451" s="6" t="n">
        <f aca="false">Sens!F10374*cx_azo+Sens!F10381*cx_m365+Sens!F10382*cx_lic+(Sens!F10384+Sens!F10386)*cx_ind+Sens!F10389*cx_srch+(Sens!F10391+Sens!F10393)*cx_dev</f>
        <v>35.4293472295625</v>
      </c>
      <c r="G10451" s="6" t="n">
        <f aca="false">Sens!G10374*cx_azo+Sens!G10381*cx_m365+Sens!G10382*cx_lic+(Sens!G10384+Sens!G10386)*cx_ind+Sens!G10389*cx_srch+(Sens!G10391+Sens!G10393)*cx_dev</f>
        <v>40.7028935703892</v>
      </c>
      <c r="H10451" s="6" t="n">
        <f aca="false">Sens!H10374*cx_azo+Sens!H10381*cx_m365+Sens!H10382*cx_lic+(Sens!H10384+Sens!H10386)*cx_ind+Sens!H10389*cx_srch+(Sens!H10391+Sens!H10393)*cx_dev</f>
        <v>46.0615136440897</v>
      </c>
      <c r="I10451" s="6" t="n">
        <f aca="false">Sens!I10374*cx_azo+Sens!I10381*cx_m365+Sens!I10382*cx_lic+(Sens!I10384+Sens!I10386)*cx_ind+Sens!I10389*cx_srch+(Sens!I10391+Sens!I10393)*cx_dev</f>
        <v>51.2234003116439</v>
      </c>
      <c r="J10451" s="6" t="n">
        <f aca="false">Sens!J10374*cx_azo+Sens!J10381*cx_m365+Sens!J10382*cx_lic+(Sens!J10384+Sens!J10386)*cx_ind+Sens!J10389*cx_srch+(Sens!J10391+Sens!J10393)*cx_dev</f>
        <v>55.9559132503738</v>
      </c>
      <c r="K10451" s="6" t="n">
        <f aca="false">Sens!K10374*cx_azo+Sens!K10381*cx_m365+Sens!K10382*cx_lic+(Sens!K10384+Sens!K10386)*cx_ind+Sens!K10389*cx_srch+(Sens!K10391+Sens!K10393)*cx_dev</f>
        <v>60.093702741994</v>
      </c>
    </row>
    <row r="10452" customFormat="false" ht="17.15" hidden="false" customHeight="false" outlineLevel="0" collapsed="false">
      <c r="A10452" s="1" t="s">
        <v>850</v>
      </c>
      <c r="B10452" s="0" t="s">
        <v>95</v>
      </c>
      <c r="E10452" s="6" t="n">
        <f aca="false">Q!M42</f>
        <v>145.3</v>
      </c>
      <c r="F10452" s="6" t="n">
        <f aca="false">Sens!F10450+Sens!F10451</f>
        <v>204.2</v>
      </c>
      <c r="G10452" s="6" t="n">
        <f aca="false">Sens!G10450+Sens!G10451</f>
        <v>224.277074053589</v>
      </c>
      <c r="H10452" s="6" t="n">
        <f aca="false">Sens!H10450+Sens!H10451</f>
        <v>234.14179955449</v>
      </c>
      <c r="I10452" s="6" t="n">
        <f aca="false">Sens!I10450+Sens!I10451</f>
        <v>269.562361568711</v>
      </c>
      <c r="J10452" s="6" t="n">
        <f aca="false">Sens!J10450+Sens!J10451</f>
        <v>289.732974174107</v>
      </c>
      <c r="K10452" s="6" t="n">
        <f aca="false">Sens!K10450+Sens!K10451</f>
        <v>338.950014692394</v>
      </c>
      <c r="L10452" s="1" t="s">
        <v>851</v>
      </c>
    </row>
    <row r="10453" customFormat="false" ht="15" hidden="false" customHeight="false" outlineLevel="0" collapsed="false">
      <c r="A10453" s="1" t="s">
        <v>852</v>
      </c>
      <c r="B10453" s="0" t="s">
        <v>95</v>
      </c>
      <c r="E10453" s="6" t="n">
        <f aca="false">fl_liab</f>
        <v>66.594</v>
      </c>
      <c r="F10453" s="6" t="n">
        <f aca="false">Sens!E10453-Sens!F10454</f>
        <v>62.46973</v>
      </c>
      <c r="G10453" s="6" t="n">
        <f aca="false">Sens!F10453-Sens!G10454</f>
        <v>57.98686785</v>
      </c>
      <c r="H10453" s="6" t="n">
        <f aca="false">Sens!G10453-Sens!H10454</f>
        <v>53.92827690325</v>
      </c>
      <c r="I10453" s="6" t="n">
        <f aca="false">Sens!H10453-Sens!I10454</f>
        <v>49.7850493638962</v>
      </c>
      <c r="J10453" s="6" t="n">
        <f aca="false">Sens!I10453-Sens!J10454</f>
        <v>45.4823765852716</v>
      </c>
      <c r="K10453" s="6" t="n">
        <f aca="false">Sens!J10453-Sens!K10454</f>
        <v>40.9860835316088</v>
      </c>
    </row>
    <row r="10454" customFormat="false" ht="15" hidden="false" customHeight="false" outlineLevel="0" collapsed="false">
      <c r="A10454" s="1" t="s">
        <v>853</v>
      </c>
      <c r="B10454" s="0" t="s">
        <v>95</v>
      </c>
      <c r="F10454" s="6" t="n">
        <f aca="false">fl_pay_27-Sens!E10453*fl_rate</f>
        <v>4.12427</v>
      </c>
      <c r="G10454" s="6" t="n">
        <f aca="false">fl_pay_28-Sens!F10453*fl_rate</f>
        <v>4.48286215</v>
      </c>
      <c r="H10454" s="6" t="n">
        <f aca="false">fl_pay_29-Sens!G10453*fl_rate</f>
        <v>4.05859094675</v>
      </c>
      <c r="I10454" s="6" t="n">
        <f aca="false">fl_pay_30-Sens!H10453*fl_rate</f>
        <v>4.14322753935375</v>
      </c>
      <c r="J10454" s="6" t="n">
        <f aca="false">fl_pay_31-Sens!I10453*fl_rate</f>
        <v>4.30267277862467</v>
      </c>
      <c r="K10454" s="6" t="n">
        <f aca="false">fl_pay_32-Sens!J10453*fl_rate</f>
        <v>4.49629305366278</v>
      </c>
    </row>
    <row r="10455" customFormat="false" ht="17.15" hidden="false" customHeight="false" outlineLevel="0" collapsed="false">
      <c r="A10455" s="1" t="s">
        <v>854</v>
      </c>
      <c r="B10455" s="0" t="s">
        <v>95</v>
      </c>
      <c r="E10455" s="6" t="n">
        <f aca="false">Q!M35-Q!M36-Q!M43</f>
        <v>63.886</v>
      </c>
      <c r="F10455" s="6" t="n">
        <f aca="false">Sens!F10449-Sens!F10452-Sens!F10454</f>
        <v>2.25620456085283</v>
      </c>
      <c r="G10455" s="6" t="n">
        <f aca="false">Sens!G10449-Sens!G10452-Sens!G10454</f>
        <v>24.0108526150826</v>
      </c>
      <c r="H10455" s="6" t="n">
        <f aca="false">Sens!H10449-Sens!H10452-Sens!H10454</f>
        <v>49.1299248252172</v>
      </c>
      <c r="I10455" s="6" t="n">
        <f aca="false">Sens!I10449-Sens!I10452-Sens!I10454</f>
        <v>54.0602412582875</v>
      </c>
      <c r="J10455" s="6" t="n">
        <f aca="false">Sens!J10449-Sens!J10452-Sens!J10454</f>
        <v>73.243887314653</v>
      </c>
      <c r="K10455" s="6" t="n">
        <f aca="false">Sens!K10449-Sens!K10452-Sens!K10454</f>
        <v>62.0626435326299</v>
      </c>
      <c r="L10455" s="11" t="s">
        <v>855</v>
      </c>
    </row>
    <row r="10456" customFormat="false" ht="15" hidden="false" customHeight="false" outlineLevel="0" collapsed="false">
      <c r="A10456" s="1" t="s">
        <v>856</v>
      </c>
      <c r="B10456" s="0" t="s">
        <v>73</v>
      </c>
      <c r="F10456" s="8" t="n">
        <f aca="false">dps_27</f>
        <v>3.85</v>
      </c>
      <c r="G10456" s="8" t="n">
        <f aca="false">Sens!F10456*(1+dps_g)</f>
        <v>4.158</v>
      </c>
      <c r="H10456" s="8" t="n">
        <f aca="false">Sens!G10456*(1+dps_g)</f>
        <v>4.49064</v>
      </c>
      <c r="I10456" s="8" t="n">
        <f aca="false">Sens!H10456*(1+dps_g)</f>
        <v>4.8498912</v>
      </c>
      <c r="J10456" s="8" t="n">
        <f aca="false">Sens!I10456*(1+dps_g)</f>
        <v>5.237882496</v>
      </c>
      <c r="K10456" s="8" t="n">
        <f aca="false">Sens!J10456*(1+dps_g)</f>
        <v>5.65691309568</v>
      </c>
    </row>
    <row r="10457" customFormat="false" ht="17.15" hidden="false" customHeight="false" outlineLevel="0" collapsed="false">
      <c r="A10457" s="1" t="s">
        <v>857</v>
      </c>
      <c r="B10457" s="0" t="s">
        <v>95</v>
      </c>
      <c r="E10457" s="6" t="n">
        <f aca="false">Q!M41</f>
        <v>26.445</v>
      </c>
      <c r="F10457" s="6" t="n">
        <f aca="false">Sens!F10456*Sens!E10466</f>
        <v>28.59395</v>
      </c>
      <c r="G10457" s="6" t="n">
        <f aca="false">Sens!G10456*Sens!F10466</f>
        <v>31.068576</v>
      </c>
      <c r="H10457" s="6" t="n">
        <f aca="false">Sens!H10456*Sens!G10466</f>
        <v>33.75614088</v>
      </c>
      <c r="I10457" s="6" t="n">
        <f aca="false">Sens!I10456*Sens!H10466</f>
        <v>36.5744172314083</v>
      </c>
      <c r="J10457" s="6" t="n">
        <f aca="false">Sens!J10456*Sens!I10466</f>
        <v>39.6047170133829</v>
      </c>
      <c r="K10457" s="6" t="n">
        <f aca="false">Sens!K10456*Sens!J10466</f>
        <v>42.8603495997586</v>
      </c>
      <c r="L10457" s="1" t="s">
        <v>858</v>
      </c>
    </row>
    <row r="10458" customFormat="false" ht="15" hidden="false" customHeight="false" outlineLevel="0" collapsed="false">
      <c r="A10458" s="1" t="s">
        <v>859</v>
      </c>
      <c r="B10458" s="0" t="s">
        <v>95</v>
      </c>
      <c r="E10458" s="6" t="n">
        <f aca="false">Sens!E10455-Sens!E10457</f>
        <v>37.441</v>
      </c>
      <c r="F10458" s="6" t="n">
        <f aca="false">Sens!F10455-Sens!F10457</f>
        <v>-26.3377454391472</v>
      </c>
      <c r="G10458" s="6" t="n">
        <f aca="false">Sens!G10455-Sens!G10457</f>
        <v>-7.05772338491744</v>
      </c>
      <c r="H10458" s="6" t="n">
        <f aca="false">Sens!H10455-Sens!H10457</f>
        <v>15.3737839452172</v>
      </c>
      <c r="I10458" s="6" t="n">
        <f aca="false">Sens!I10455-Sens!I10457</f>
        <v>17.4858240268792</v>
      </c>
      <c r="J10458" s="6" t="n">
        <f aca="false">Sens!J10455-Sens!J10457</f>
        <v>33.6391703012701</v>
      </c>
      <c r="K10458" s="6" t="n">
        <f aca="false">Sens!K10455-Sens!K10457</f>
        <v>19.2022939328713</v>
      </c>
    </row>
    <row r="10459" customFormat="false" ht="15" hidden="false" customHeight="false" outlineLevel="0" collapsed="false">
      <c r="A10459" s="1" t="s">
        <v>860</v>
      </c>
      <c r="B10459" s="0" t="s">
        <v>95</v>
      </c>
      <c r="F10459" s="6" t="n">
        <f aca="false">debt_mat_27</f>
        <v>9.25</v>
      </c>
      <c r="G10459" s="6" t="n">
        <f aca="false">debt_mat_28</f>
        <v>0</v>
      </c>
      <c r="H10459" s="6" t="n">
        <f aca="false">debt_mat_29</f>
        <v>2.001</v>
      </c>
      <c r="I10459" s="6" t="n">
        <f aca="false">debt_mat_30</f>
        <v>0</v>
      </c>
      <c r="J10459" s="6" t="n">
        <f aca="false">debt_mat_31</f>
        <v>0.5</v>
      </c>
      <c r="K10459" s="6" t="n">
        <f aca="false">debt_mat_32</f>
        <v>0</v>
      </c>
    </row>
    <row r="10460" customFormat="false" ht="15" hidden="false" customHeight="false" outlineLevel="0" collapsed="false">
      <c r="A10460" s="1" t="s">
        <v>861</v>
      </c>
      <c r="B10460" s="0" t="s">
        <v>95</v>
      </c>
      <c r="E10460" s="6" t="n">
        <f aca="false">Q!M40</f>
        <v>22.271</v>
      </c>
      <c r="F10460" s="6" t="n">
        <f aca="false">MAX(0,MIN(bb_target,Sens!E10462+Sens!F10458-Sens!F10459-min_cash))</f>
        <v>0</v>
      </c>
      <c r="G10460" s="6" t="n">
        <f aca="false">MAX(0,MIN(bb_target,Sens!F10462+Sens!G10458-Sens!G10459-min_cash))</f>
        <v>0</v>
      </c>
      <c r="H10460" s="6" t="n">
        <f aca="false">MAX(0,MIN(bb_target,Sens!G10462+Sens!H10458-Sens!H10459-min_cash))</f>
        <v>13.3727839452172</v>
      </c>
      <c r="I10460" s="6" t="n">
        <f aca="false">MAX(0,MIN(bb_target,Sens!H10462+Sens!I10458-Sens!I10459-min_cash))</f>
        <v>17.4858240268792</v>
      </c>
      <c r="J10460" s="6" t="n">
        <f aca="false">MAX(0,MIN(bb_target,Sens!I10462+Sens!J10458-Sens!J10459-min_cash))</f>
        <v>22.271</v>
      </c>
      <c r="K10460" s="6" t="n">
        <f aca="false">MAX(0,MIN(bb_target,Sens!J10462+Sens!K10458-Sens!K10459-min_cash))</f>
        <v>22.271</v>
      </c>
    </row>
    <row r="10461" customFormat="false" ht="15" hidden="false" customHeight="false" outlineLevel="0" collapsed="false">
      <c r="A10461" s="1" t="s">
        <v>862</v>
      </c>
      <c r="B10461" s="0" t="s">
        <v>95</v>
      </c>
      <c r="F10461" s="6" t="n">
        <f aca="false">MAX(0,min_cash-(Sens!E10462+Sens!F10458-Sens!F10459-Sens!F10460))</f>
        <v>8.74474543914717</v>
      </c>
      <c r="G10461" s="6" t="n">
        <f aca="false">MAX(0,min_cash-(Sens!F10462+Sens!G10458-Sens!G10459-Sens!G10460))</f>
        <v>7.05772338491744</v>
      </c>
      <c r="H10461" s="6" t="n">
        <f aca="false">MAX(0,min_cash-(Sens!G10462+Sens!H10458-Sens!H10459-Sens!H10460))</f>
        <v>0</v>
      </c>
      <c r="I10461" s="6" t="n">
        <f aca="false">MAX(0,min_cash-(Sens!H10462+Sens!I10458-Sens!I10459-Sens!I10460))</f>
        <v>0</v>
      </c>
      <c r="J10461" s="6" t="n">
        <f aca="false">MAX(0,min_cash-(Sens!I10462+Sens!J10458-Sens!J10459-Sens!J10460))</f>
        <v>0</v>
      </c>
      <c r="K10461" s="6" t="n">
        <f aca="false">MAX(0,min_cash-(Sens!J10462+Sens!K10458-Sens!K10459-Sens!K10460))</f>
        <v>0</v>
      </c>
    </row>
    <row r="10462" customFormat="false" ht="15" hidden="false" customHeight="false" outlineLevel="0" collapsed="false">
      <c r="A10462" s="1" t="s">
        <v>863</v>
      </c>
      <c r="B10462" s="0" t="s">
        <v>95</v>
      </c>
      <c r="E10462" s="6" t="n">
        <f aca="false">cash_open</f>
        <v>76.843</v>
      </c>
      <c r="F10462" s="6" t="n">
        <f aca="false">Sens!E10462+Sens!F10458-Sens!F10459-Sens!F10460+Sens!F10461</f>
        <v>50</v>
      </c>
      <c r="G10462" s="6" t="n">
        <f aca="false">Sens!F10462+Sens!G10458-Sens!G10459-Sens!G10460+Sens!G10461</f>
        <v>50</v>
      </c>
      <c r="H10462" s="6" t="n">
        <f aca="false">Sens!G10462+Sens!H10458-Sens!H10459-Sens!H10460+Sens!H10461</f>
        <v>50</v>
      </c>
      <c r="I10462" s="6" t="n">
        <f aca="false">Sens!H10462+Sens!I10458-Sens!I10459-Sens!I10460+Sens!I10461</f>
        <v>50</v>
      </c>
      <c r="J10462" s="6" t="n">
        <f aca="false">Sens!I10462+Sens!J10458-Sens!J10459-Sens!J10460+Sens!J10461</f>
        <v>60.8681703012701</v>
      </c>
      <c r="K10462" s="6" t="n">
        <f aca="false">Sens!J10462+Sens!K10458-Sens!K10459-Sens!K10460+Sens!K10461</f>
        <v>57.7994642341414</v>
      </c>
    </row>
    <row r="10463" customFormat="false" ht="15" hidden="false" customHeight="false" outlineLevel="0" collapsed="false">
      <c r="A10463" s="1" t="s">
        <v>864</v>
      </c>
      <c r="B10463" s="0" t="s">
        <v>95</v>
      </c>
      <c r="E10463" s="6" t="n">
        <f aca="false">debt_face</f>
        <v>46.136</v>
      </c>
      <c r="F10463" s="6" t="n">
        <f aca="false">Sens!E10463-Sens!F10459+Sens!F10461</f>
        <v>45.6307454391472</v>
      </c>
      <c r="G10463" s="6" t="n">
        <f aca="false">Sens!F10463-Sens!G10459+Sens!G10461</f>
        <v>52.6884688240646</v>
      </c>
      <c r="H10463" s="6" t="n">
        <f aca="false">Sens!G10463-Sens!H10459+Sens!H10461</f>
        <v>50.6874688240646</v>
      </c>
      <c r="I10463" s="6" t="n">
        <f aca="false">Sens!H10463-Sens!I10459+Sens!I10461</f>
        <v>50.6874688240646</v>
      </c>
      <c r="J10463" s="6" t="n">
        <f aca="false">Sens!I10463-Sens!J10459+Sens!J10461</f>
        <v>50.1874688240646</v>
      </c>
      <c r="K10463" s="6" t="n">
        <f aca="false">Sens!J10463-Sens!K10459+Sens!K10461</f>
        <v>50.1874688240646</v>
      </c>
    </row>
    <row r="10464" customFormat="false" ht="15" hidden="false" customHeight="false" outlineLevel="0" collapsed="false">
      <c r="A10464" s="1" t="s">
        <v>865</v>
      </c>
      <c r="B10464" s="0" t="s">
        <v>95</v>
      </c>
      <c r="E10464" s="6" t="n">
        <f aca="false">Sens!E10462-Sens!E10463</f>
        <v>30.707</v>
      </c>
      <c r="F10464" s="6" t="n">
        <f aca="false">Sens!F10462-Sens!F10463</f>
        <v>4.36925456085283</v>
      </c>
      <c r="G10464" s="6" t="n">
        <f aca="false">Sens!G10462-Sens!G10463</f>
        <v>-2.68846882406461</v>
      </c>
      <c r="H10464" s="6" t="n">
        <f aca="false">Sens!H10462-Sens!H10463</f>
        <v>-0.687468824064609</v>
      </c>
      <c r="I10464" s="6" t="n">
        <f aca="false">Sens!I10462-Sens!I10463</f>
        <v>-0.687468824064609</v>
      </c>
      <c r="J10464" s="6" t="n">
        <f aca="false">Sens!J10462-Sens!J10463</f>
        <v>10.6807014772055</v>
      </c>
      <c r="K10464" s="6" t="n">
        <f aca="false">Sens!K10462-Sens!K10463</f>
        <v>7.6119954100768</v>
      </c>
    </row>
    <row r="10465" customFormat="false" ht="15" hidden="false" customHeight="false" outlineLevel="0" collapsed="false">
      <c r="A10465" s="1" t="s">
        <v>866</v>
      </c>
      <c r="B10465" s="0" t="s">
        <v>73</v>
      </c>
      <c r="F10465" s="27" t="n">
        <f aca="false">px*(1+bb_g)^(1-0.5)</f>
        <v>553.494156066711</v>
      </c>
      <c r="G10465" s="27" t="n">
        <f aca="false">px*(1+bb_g)^(2-0.5)</f>
        <v>597.773688552047</v>
      </c>
      <c r="H10465" s="27" t="n">
        <f aca="false">px*(1+bb_g)^(3-0.5)</f>
        <v>645.595583636211</v>
      </c>
      <c r="I10465" s="27" t="n">
        <f aca="false">px*(1+bb_g)^(4-0.5)</f>
        <v>697.243230327108</v>
      </c>
      <c r="J10465" s="27" t="n">
        <f aca="false">px*(1+bb_g)^(5-0.5)</f>
        <v>753.022688753277</v>
      </c>
      <c r="K10465" s="27" t="n">
        <f aca="false">px*(1+bb_g)^(6-0.5)</f>
        <v>813.264503853539</v>
      </c>
    </row>
    <row r="10466" customFormat="false" ht="15" hidden="false" customHeight="false" outlineLevel="0" collapsed="false">
      <c r="A10466" s="1" t="s">
        <v>867</v>
      </c>
      <c r="B10466" s="1" t="s">
        <v>79</v>
      </c>
      <c r="E10466" s="18" t="n">
        <f aca="false">sh_out26</f>
        <v>7.427</v>
      </c>
      <c r="F10466" s="18" t="n">
        <f aca="false">Sens!E10466+sh_iss-Sens!F10460/Sens!F10465</f>
        <v>7.472</v>
      </c>
      <c r="G10466" s="18" t="n">
        <f aca="false">Sens!F10466+sh_iss-Sens!G10460/Sens!G10465</f>
        <v>7.517</v>
      </c>
      <c r="H10466" s="18" t="n">
        <f aca="false">Sens!G10466+sh_iss-Sens!H10460/Sens!H10465</f>
        <v>7.54128612852353</v>
      </c>
      <c r="I10466" s="18" t="n">
        <f aca="false">Sens!H10466+sh_iss-Sens!I10460/Sens!I10465</f>
        <v>7.56120761464728</v>
      </c>
      <c r="J10466" s="18" t="n">
        <f aca="false">Sens!I10466+sh_iss-Sens!J10460/Sens!J10465</f>
        <v>7.57663214456832</v>
      </c>
      <c r="K10466" s="18" t="n">
        <f aca="false">Sens!J10466+sh_iss-Sens!K10460/Sens!K10465</f>
        <v>7.59424745005077</v>
      </c>
    </row>
    <row r="10467" customFormat="false" ht="15" hidden="false" customHeight="false" outlineLevel="0" collapsed="false">
      <c r="A10467" s="1" t="s">
        <v>868</v>
      </c>
      <c r="B10467" s="1" t="s">
        <v>79</v>
      </c>
      <c r="E10467" s="18" t="n">
        <f aca="false">sh_dil26</f>
        <v>7.453</v>
      </c>
      <c r="F10467" s="18" t="n">
        <f aca="false">(Sens!E10466+Sens!F10466)/2+dil_gap</f>
        <v>7.4735</v>
      </c>
      <c r="G10467" s="18" t="n">
        <f aca="false">(Sens!F10466+Sens!G10466)/2+dil_gap</f>
        <v>7.5185</v>
      </c>
      <c r="H10467" s="18" t="n">
        <f aca="false">(Sens!G10466+Sens!H10466)/2+dil_gap</f>
        <v>7.55314306426176</v>
      </c>
      <c r="I10467" s="18" t="n">
        <f aca="false">(Sens!H10466+Sens!I10466)/2+dil_gap</f>
        <v>7.57524687158541</v>
      </c>
      <c r="J10467" s="18" t="n">
        <f aca="false">(Sens!I10466+Sens!J10466)/2+dil_gap</f>
        <v>7.5929198796078</v>
      </c>
      <c r="K10467" s="18" t="n">
        <f aca="false">(Sens!J10466+Sens!K10466)/2+dil_gap</f>
        <v>7.60943979730954</v>
      </c>
    </row>
    <row r="10468" customFormat="false" ht="17.15" hidden="false" customHeight="false" outlineLevel="0" collapsed="false">
      <c r="A10468" s="1" t="s">
        <v>869</v>
      </c>
      <c r="B10468" s="0" t="s">
        <v>95</v>
      </c>
      <c r="C10468" s="6" t="n">
        <f aca="false">SUM(Sens!F10458:J10458)</f>
        <v>33.1033094493019</v>
      </c>
    </row>
    <row r="10469" customFormat="false" ht="17.15" hidden="false" customHeight="false" outlineLevel="0" collapsed="false">
      <c r="A10469" s="1" t="s">
        <v>836</v>
      </c>
      <c r="B10469" s="1" t="s">
        <v>870</v>
      </c>
      <c r="C10469" s="30" t="str">
        <f aca="false">IF(SUM(Sens!F10461:J10461)&gt;0.05,"需要舉債 "&amp;TEXT(SUM(Sens!F10461:J10461),"0.0")&amp;" 十億美元","不需舉債")&amp;"；"&amp;IF(SUM(Sens!F10460:J10460)&lt;5*bb_target-0.05,"回購較每年 "&amp;TEXT(bb_target,"0.0")&amp;" 的目標少 "&amp;TEXT(5*bb_target-SUM(Sens!F10460:J10460),"0.0")&amp;" 十億美元（"&amp;TEXT(COUNTIF(Sens!F10460:J10460,"&lt;"&amp;(bb_target-0.05)),"0")&amp;" 年減少）","回購不減")</f>
        <v>需要舉債 15.8 十億美元；回購較每年 22.3 的目標少 58.2 十億美元（4 年減少）</v>
      </c>
    </row>
    <row r="10470" customFormat="false" ht="17.15" hidden="false" customHeight="false" outlineLevel="0" collapsed="false">
      <c r="A10470" s="3" t="s">
        <v>1413</v>
      </c>
    </row>
    <row r="10471" customFormat="false" ht="15" hidden="false" customHeight="false" outlineLevel="0" collapsed="false">
      <c r="A10471" s="4" t="s">
        <v>43</v>
      </c>
      <c r="B10471" s="4" t="s">
        <v>63</v>
      </c>
      <c r="C10471" s="19" t="s">
        <v>710</v>
      </c>
      <c r="D10471" s="19" t="s">
        <v>711</v>
      </c>
      <c r="E10471" s="19" t="s">
        <v>712</v>
      </c>
      <c r="F10471" s="19" t="s">
        <v>713</v>
      </c>
      <c r="G10471" s="19" t="s">
        <v>714</v>
      </c>
      <c r="H10471" s="19" t="s">
        <v>715</v>
      </c>
      <c r="I10471" s="19" t="s">
        <v>716</v>
      </c>
      <c r="J10471" s="19" t="s">
        <v>717</v>
      </c>
      <c r="K10471" s="19" t="s">
        <v>718</v>
      </c>
      <c r="L10471" s="4" t="s">
        <v>47</v>
      </c>
    </row>
    <row r="10472" customFormat="false" ht="17.15" hidden="false" customHeight="false" outlineLevel="0" collapsed="false">
      <c r="A10472" s="1" t="s">
        <v>938</v>
      </c>
      <c r="B10472" s="1" t="s">
        <v>213</v>
      </c>
      <c r="F10472" s="34" t="n">
        <f aca="false">1-0.5</f>
        <v>0.5</v>
      </c>
      <c r="G10472" s="34" t="n">
        <f aca="false">2-0.5</f>
        <v>1.5</v>
      </c>
      <c r="H10472" s="34" t="n">
        <f aca="false">3-0.5</f>
        <v>2.5</v>
      </c>
      <c r="I10472" s="34" t="n">
        <f aca="false">4-0.5</f>
        <v>3.5</v>
      </c>
      <c r="J10472" s="34" t="n">
        <f aca="false">5-0.5</f>
        <v>4.5</v>
      </c>
      <c r="K10472" s="34" t="n">
        <f aca="false">6-0.5</f>
        <v>5.5</v>
      </c>
    </row>
    <row r="10473" customFormat="false" ht="15" hidden="false" customHeight="false" outlineLevel="0" collapsed="false">
      <c r="A10473" s="1" t="s">
        <v>939</v>
      </c>
      <c r="B10473" s="0" t="s">
        <v>182</v>
      </c>
      <c r="F10473" s="18" t="n">
        <f aca="false">1/(1+wacc)^Sens!F10472</f>
        <v>0.949601579913219</v>
      </c>
      <c r="G10473" s="18" t="n">
        <f aca="false">1/(1+wacc)^Sens!G10472</f>
        <v>0.856296729956707</v>
      </c>
      <c r="H10473" s="18" t="n">
        <f aca="false">1/(1+wacc)^Sens!H10472</f>
        <v>0.772159719660069</v>
      </c>
      <c r="I10473" s="18" t="n">
        <f aca="false">1/(1+wacc)^Sens!I10472</f>
        <v>0.696289746073958</v>
      </c>
      <c r="J10473" s="18" t="n">
        <f aca="false">1/(1+wacc)^Sens!J10472</f>
        <v>0.627874516299776</v>
      </c>
      <c r="K10473" s="18" t="n">
        <f aca="false">1/(1+wacc)^Sens!K10472</f>
        <v>0.566181550771831</v>
      </c>
    </row>
    <row r="10474" customFormat="false" ht="15" hidden="false" customHeight="false" outlineLevel="0" collapsed="false">
      <c r="A10474" s="1" t="s">
        <v>940</v>
      </c>
      <c r="B10474" s="0" t="s">
        <v>95</v>
      </c>
      <c r="F10474" s="6" t="n">
        <f aca="false">Sens!F10455*Sens!F10473</f>
        <v>2.14249541559326</v>
      </c>
      <c r="G10474" s="6" t="n">
        <f aca="false">Sens!G10455*Sens!G10473</f>
        <v>20.5604145777676</v>
      </c>
      <c r="H10474" s="6" t="n">
        <f aca="false">Sens!H10455*Sens!H10473</f>
        <v>37.93614897996</v>
      </c>
      <c r="I10474" s="6" t="n">
        <f aca="false">Sens!I10455*Sens!I10473</f>
        <v>37.6415916584299</v>
      </c>
      <c r="J10474" s="6" t="n">
        <f aca="false">Sens!J10455*Sens!J10473</f>
        <v>45.9879703196031</v>
      </c>
      <c r="K10474" s="6" t="n">
        <f aca="false">Sens!K10455*Sens!K10473</f>
        <v>35.1387237603038</v>
      </c>
    </row>
    <row r="10475" customFormat="false" ht="17.15" hidden="false" customHeight="false" outlineLevel="0" collapsed="false">
      <c r="A10475" s="1" t="s">
        <v>941</v>
      </c>
      <c r="B10475" s="0" t="s">
        <v>95</v>
      </c>
      <c r="C10475" s="6" t="n">
        <f aca="false">SUM(Sens!F10474:K10474)</f>
        <v>179.407344711658</v>
      </c>
    </row>
    <row r="10476" customFormat="false" ht="17.15" hidden="false" customHeight="false" outlineLevel="0" collapsed="false">
      <c r="A10476" s="1" t="s">
        <v>942</v>
      </c>
      <c r="B10476" s="0" t="s">
        <v>95</v>
      </c>
      <c r="C10476" s="6" t="n">
        <f aca="false">Sens!K10421*(1+g_tv)*(1-tax_f)</f>
        <v>173.751315759671</v>
      </c>
    </row>
    <row r="10477" customFormat="false" ht="17.15" hidden="false" customHeight="false" outlineLevel="0" collapsed="false">
      <c r="A10477" s="1" t="s">
        <v>943</v>
      </c>
      <c r="B10477" s="0" t="s">
        <v>95</v>
      </c>
      <c r="C10477" s="6" t="n">
        <f aca="false">Sens!$C$10476*(1-g_tv/(wacc+ronic_prem))</f>
        <v>125.913711311448</v>
      </c>
    </row>
    <row r="10478" customFormat="false" ht="17.15" hidden="false" customHeight="false" outlineLevel="0" collapsed="false">
      <c r="A10478" s="1" t="s">
        <v>944</v>
      </c>
      <c r="B10478" s="0" t="s">
        <v>95</v>
      </c>
      <c r="C10478" s="6" t="n">
        <f aca="false">Sens!$C$10477/(wacc-g_tv)</f>
        <v>1594.58681494078</v>
      </c>
    </row>
    <row r="10479" customFormat="false" ht="15" hidden="false" customHeight="false" outlineLevel="0" collapsed="false">
      <c r="A10479" s="1" t="s">
        <v>945</v>
      </c>
      <c r="B10479" s="0" t="s">
        <v>95</v>
      </c>
      <c r="C10479" s="6" t="n">
        <f aca="false">Sens!$C$10478/(1+wacc)^6</f>
        <v>857.324650069179</v>
      </c>
    </row>
    <row r="10480" customFormat="false" ht="17.15" hidden="false" customHeight="false" outlineLevel="0" collapsed="false">
      <c r="A10480" s="0" t="s">
        <v>877</v>
      </c>
      <c r="B10480" s="0" t="s">
        <v>95</v>
      </c>
      <c r="C10480" s="6" t="n">
        <f aca="false">Sens!$C$10475+Sens!$C$10479</f>
        <v>1036.73199478084</v>
      </c>
    </row>
    <row r="10481" customFormat="false" ht="15" hidden="false" customHeight="false" outlineLevel="0" collapsed="false">
      <c r="A10481" s="1" t="s">
        <v>878</v>
      </c>
      <c r="B10481" s="0" t="s">
        <v>126</v>
      </c>
      <c r="C10481" s="7" t="n">
        <f aca="false">Sens!$C$10479/Sens!$C$10480</f>
        <v>0.82694915791657</v>
      </c>
    </row>
    <row r="10482" customFormat="false" ht="17.15" hidden="false" customHeight="false" outlineLevel="0" collapsed="false">
      <c r="A10482" s="1" t="s">
        <v>946</v>
      </c>
      <c r="B10482" s="0" t="s">
        <v>95</v>
      </c>
      <c r="C10482" s="6" t="n">
        <f aca="false">Sens!$C$10480+Sens!E10464+oai_v</f>
        <v>1237.83899478084</v>
      </c>
    </row>
    <row r="10483" customFormat="false" ht="17.15" hidden="false" customHeight="false" outlineLevel="0" collapsed="false">
      <c r="A10483" s="0" t="s">
        <v>883</v>
      </c>
      <c r="B10483" s="0" t="s">
        <v>73</v>
      </c>
      <c r="C10483" s="5" t="n">
        <f aca="false">Sens!$C$10482/sh_dil26</f>
        <v>166.086004935038</v>
      </c>
    </row>
    <row r="10484" customFormat="false" ht="17.15" hidden="false" customHeight="false" outlineLevel="0" collapsed="false">
      <c r="A10484" s="0" t="s">
        <v>947</v>
      </c>
      <c r="B10484" s="0" t="s">
        <v>73</v>
      </c>
      <c r="C10484" s="5" t="n">
        <f aca="false">Sens!$C$10483*(1+wacc)^t_roll</f>
        <v>190.499745939953</v>
      </c>
    </row>
    <row r="10485" customFormat="false" ht="17.15" hidden="false" customHeight="false" outlineLevel="0" collapsed="false">
      <c r="A10485" s="1" t="s">
        <v>948</v>
      </c>
      <c r="B10485" s="0" t="s">
        <v>126</v>
      </c>
      <c r="F10485" s="7" t="n">
        <f aca="false">Sens!F10445/(Sens!F10396-Sens!F10352)</f>
        <v>0.0686864325746334</v>
      </c>
      <c r="G10485" s="7" t="n">
        <f aca="false">Sens!G10445/(Sens!G10396-Sens!G10352)</f>
        <v>0.066267001590801</v>
      </c>
      <c r="H10485" s="7" t="n">
        <f aca="false">Sens!H10445/(Sens!H10396-Sens!H10352)</f>
        <v>0.0650366246750144</v>
      </c>
      <c r="I10485" s="7" t="n">
        <f aca="false">Sens!I10445/(Sens!I10396-Sens!I10352)</f>
        <v>0.0648573271390164</v>
      </c>
      <c r="J10485" s="7" t="n">
        <f aca="false">Sens!J10445/(Sens!J10396-Sens!J10352)</f>
        <v>0.0655189837669657</v>
      </c>
      <c r="K10485" s="7" t="n">
        <f aca="false">Sens!K10445/(Sens!K10396-Sens!K10352)</f>
        <v>0.0667878921367872</v>
      </c>
    </row>
    <row r="10486" customFormat="false" ht="17.15" hidden="false" customHeight="false" outlineLevel="0" collapsed="false">
      <c r="A10486" s="0" t="s">
        <v>949</v>
      </c>
      <c r="B10486" s="0" t="s">
        <v>95</v>
      </c>
      <c r="F10486" s="6" t="n">
        <f aca="false">Sens!F10381*(al_m365+Sens!F10485)</f>
        <v>78.4986969872395</v>
      </c>
      <c r="G10486" s="6" t="n">
        <f aca="false">Sens!G10381*(al_m365+Sens!G10485)</f>
        <v>88.3098056906507</v>
      </c>
      <c r="H10486" s="6" t="n">
        <f aca="false">Sens!H10381*(al_m365+Sens!H10485)</f>
        <v>98.2773562913015</v>
      </c>
      <c r="I10486" s="6" t="n">
        <f aca="false">Sens!I10381*(al_m365+Sens!I10485)</f>
        <v>107.762753675846</v>
      </c>
      <c r="J10486" s="6" t="n">
        <f aca="false">Sens!J10381*(al_m365+Sens!J10485)</f>
        <v>116.587414331333</v>
      </c>
      <c r="K10486" s="6" t="n">
        <f aca="false">Sens!K10381*(al_m365+Sens!K10485)</f>
        <v>125.041394489287</v>
      </c>
    </row>
    <row r="10487" customFormat="false" ht="17.15" hidden="false" customHeight="false" outlineLevel="0" collapsed="false">
      <c r="A10487" s="0" t="s">
        <v>950</v>
      </c>
      <c r="B10487" s="0" t="s">
        <v>95</v>
      </c>
      <c r="F10487" s="6" t="n">
        <f aca="false">Sens!F10382*(al_lic+Sens!F10485)</f>
        <v>31.9877845991607</v>
      </c>
      <c r="G10487" s="6" t="n">
        <f aca="false">Sens!G10382*(al_lic+Sens!G10485)</f>
        <v>33.243749427372</v>
      </c>
      <c r="H10487" s="6" t="n">
        <f aca="false">Sens!H10382*(al_lic+Sens!H10485)</f>
        <v>34.4137793872059</v>
      </c>
      <c r="I10487" s="6" t="n">
        <f aca="false">Sens!I10382*(al_lic+Sens!I10485)</f>
        <v>35.4787240806467</v>
      </c>
      <c r="J10487" s="6" t="n">
        <f aca="false">Sens!J10382*(al_lic+Sens!J10485)</f>
        <v>36.4160307520991</v>
      </c>
      <c r="K10487" s="6" t="n">
        <f aca="false">Sens!K10382*(al_lic+Sens!K10485)</f>
        <v>37.2021461938459</v>
      </c>
    </row>
    <row r="10488" customFormat="false" ht="17.15" hidden="false" customHeight="false" outlineLevel="0" collapsed="false">
      <c r="A10488" s="0" t="s">
        <v>951</v>
      </c>
      <c r="B10488" s="0" t="s">
        <v>95</v>
      </c>
      <c r="F10488" s="6" t="n">
        <f aca="false">Sens!F10384*(al_ind+Sens!F10485)</f>
        <v>8.24280380456612</v>
      </c>
      <c r="G10488" s="6" t="n">
        <f aca="false">Sens!G10384*(al_ind+Sens!G10485)</f>
        <v>8.9512770630031</v>
      </c>
      <c r="H10488" s="6" t="n">
        <f aca="false">Sens!H10384*(al_ind+Sens!H10485)</f>
        <v>9.70041215792393</v>
      </c>
      <c r="I10488" s="6" t="n">
        <f aca="false">Sens!I10384*(al_ind+Sens!I10485)</f>
        <v>10.4864435829487</v>
      </c>
      <c r="J10488" s="6" t="n">
        <f aca="false">Sens!J10384*(al_ind+Sens!J10485)</f>
        <v>11.3015744981253</v>
      </c>
      <c r="K10488" s="6" t="n">
        <f aca="false">Sens!K10384*(al_ind+Sens!K10485)</f>
        <v>12.1346647729291</v>
      </c>
    </row>
    <row r="10489" customFormat="false" ht="17.15" hidden="false" customHeight="false" outlineLevel="0" collapsed="false">
      <c r="A10489" s="0" t="s">
        <v>952</v>
      </c>
      <c r="B10489" s="0" t="s">
        <v>95</v>
      </c>
      <c r="F10489" s="6" t="n">
        <f aca="false">Sens!F10386*(al_fro+Sens!F10485)</f>
        <v>3.24439651632051</v>
      </c>
      <c r="G10489" s="6" t="n">
        <f aca="false">Sens!G10386*(al_fro+Sens!G10485)</f>
        <v>3.43676117771401</v>
      </c>
      <c r="H10489" s="6" t="n">
        <f aca="false">Sens!H10386*(al_fro+Sens!H10485)</f>
        <v>3.65544732248501</v>
      </c>
      <c r="I10489" s="6" t="n">
        <f aca="false">Sens!I10386*(al_fro+Sens!I10485)</f>
        <v>3.90262750850979</v>
      </c>
      <c r="J10489" s="6" t="n">
        <f aca="false">Sens!J10386*(al_fro+Sens!J10485)</f>
        <v>4.17975656810881</v>
      </c>
      <c r="K10489" s="6" t="n">
        <f aca="false">Sens!K10386*(al_fro+Sens!K10485)</f>
        <v>4.48786536733111</v>
      </c>
    </row>
    <row r="10490" customFormat="false" ht="17.15" hidden="false" customHeight="false" outlineLevel="0" collapsed="false">
      <c r="A10490" s="0" t="s">
        <v>953</v>
      </c>
      <c r="B10490" s="0" t="s">
        <v>95</v>
      </c>
      <c r="F10490" s="6" t="n">
        <f aca="false">Sens!F10389*(al_srch+Sens!F10485)</f>
        <v>10.1799817910968</v>
      </c>
      <c r="G10490" s="6" t="n">
        <f aca="false">Sens!G10389*(al_srch+Sens!G10485)</f>
        <v>11.1592643133754</v>
      </c>
      <c r="H10490" s="6" t="n">
        <f aca="false">Sens!H10389*(al_srch+Sens!H10485)</f>
        <v>12.1792194533398</v>
      </c>
      <c r="I10490" s="6" t="n">
        <f aca="false">Sens!I10389*(al_srch+Sens!I10485)</f>
        <v>13.2288881134521</v>
      </c>
      <c r="J10490" s="6" t="n">
        <f aca="false">Sens!J10389*(al_srch+Sens!J10485)</f>
        <v>14.2913670918582</v>
      </c>
      <c r="K10490" s="6" t="n">
        <f aca="false">Sens!K10389*(al_srch+Sens!K10485)</f>
        <v>15.3448485284362</v>
      </c>
    </row>
    <row r="10491" customFormat="false" ht="17.15" hidden="false" customHeight="false" outlineLevel="0" collapsed="false">
      <c r="A10491" s="0" t="s">
        <v>954</v>
      </c>
      <c r="B10491" s="0" t="s">
        <v>95</v>
      </c>
      <c r="F10491" s="6" t="n">
        <f aca="false">Sens!F10358</f>
        <v>35.0573455625419</v>
      </c>
      <c r="G10491" s="6" t="n">
        <f aca="false">Sens!G10358</f>
        <v>52.2504971712871</v>
      </c>
      <c r="H10491" s="6" t="n">
        <f aca="false">Sens!H10358</f>
        <v>65.2796698510271</v>
      </c>
      <c r="I10491" s="6" t="n">
        <f aca="false">Sens!I10358</f>
        <v>85.5659922535278</v>
      </c>
      <c r="J10491" s="6" t="n">
        <f aca="false">Sens!J10358</f>
        <v>105.90773710582</v>
      </c>
      <c r="K10491" s="6" t="n">
        <f aca="false">Sens!K10358</f>
        <v>126.282084319851</v>
      </c>
    </row>
    <row r="10492" customFormat="false" ht="17.15" hidden="false" customHeight="false" outlineLevel="0" collapsed="false">
      <c r="A10492" s="0" t="s">
        <v>955</v>
      </c>
      <c r="B10492" s="0" t="s">
        <v>95</v>
      </c>
      <c r="F10492" s="6" t="n">
        <f aca="false">Sens!F10418+Sens!F10369+Sens!F10485*(Sens!F10388-Sens!F10352)</f>
        <v>211.708497441387</v>
      </c>
      <c r="G10492" s="6" t="n">
        <f aca="false">Sens!G10418+Sens!G10369+Sens!G10485*(Sens!G10388-Sens!G10352)</f>
        <v>247.914219153248</v>
      </c>
      <c r="H10492" s="6" t="n">
        <f aca="false">Sens!H10418+Sens!H10369+Sens!H10485*(Sens!H10388-Sens!H10352)</f>
        <v>280.178722022895</v>
      </c>
      <c r="I10492" s="6" t="n">
        <f aca="false">Sens!I10418+Sens!I10369+Sens!I10485*(Sens!I10388-Sens!I10352)</f>
        <v>318.952659437819</v>
      </c>
      <c r="J10492" s="6" t="n">
        <f aca="false">Sens!J10418+Sens!J10369+Sens!J10485*(Sens!J10388-Sens!J10352)</f>
        <v>356.200422652755</v>
      </c>
      <c r="K10492" s="6" t="n">
        <f aca="false">Sens!K10418+Sens!K10369+Sens!K10485*(Sens!K10388-Sens!K10352)</f>
        <v>391.471291252852</v>
      </c>
    </row>
    <row r="10493" customFormat="false" ht="17.15" hidden="false" customHeight="false" outlineLevel="0" collapsed="false">
      <c r="A10493" s="0" t="s">
        <v>956</v>
      </c>
      <c r="B10493" s="0" t="s">
        <v>95</v>
      </c>
      <c r="F10493" s="6" t="n">
        <f aca="false">Sens!F10492-Sens!F10486-Sens!F10487-Sens!F10488-Sens!F10489-Sens!F10491</f>
        <v>54.6774699715579</v>
      </c>
      <c r="G10493" s="6" t="n">
        <f aca="false">Sens!G10492-Sens!G10486-Sens!G10487-Sens!G10488-Sens!G10489-Sens!G10491</f>
        <v>61.7221286232208</v>
      </c>
      <c r="H10493" s="6" t="n">
        <f aca="false">Sens!H10492-Sens!H10486-Sens!H10487-Sens!H10488-Sens!H10489-Sens!H10491</f>
        <v>68.8520570129514</v>
      </c>
      <c r="I10493" s="6" t="n">
        <f aca="false">Sens!I10492-Sens!I10486-Sens!I10487-Sens!I10488-Sens!I10489-Sens!I10491</f>
        <v>75.7561183363398</v>
      </c>
      <c r="J10493" s="6" t="n">
        <f aca="false">Sens!J10492-Sens!J10486-Sens!J10487-Sens!J10488-Sens!J10489-Sens!J10491</f>
        <v>81.8079093972682</v>
      </c>
      <c r="K10493" s="6" t="n">
        <f aca="false">Sens!K10492-Sens!K10486-Sens!K10487-Sens!K10488-Sens!K10489-Sens!K10491</f>
        <v>86.3231361096074</v>
      </c>
    </row>
    <row r="10494" customFormat="false" ht="17.15" hidden="false" customHeight="false" outlineLevel="0" collapsed="false">
      <c r="A10494" s="0" t="s">
        <v>957</v>
      </c>
      <c r="B10494" s="0" t="s">
        <v>95</v>
      </c>
      <c r="F10494" s="6" t="n">
        <f aca="false">Sens!F10420+Sens!F10485*Sens!F10395</f>
        <v>25.0726259192632</v>
      </c>
      <c r="G10494" s="6" t="n">
        <f aca="false">Sens!G10420+Sens!G10485*Sens!G10395</f>
        <v>25.6737682696754</v>
      </c>
      <c r="H10494" s="6" t="n">
        <f aca="false">Sens!H10420+Sens!H10485*Sens!H10395</f>
        <v>26.5257784409395</v>
      </c>
      <c r="I10494" s="6" t="n">
        <f aca="false">Sens!I10420+Sens!I10485*Sens!I10395</f>
        <v>27.5980110183312</v>
      </c>
      <c r="J10494" s="6" t="n">
        <f aca="false">Sens!J10420+Sens!J10485*Sens!J10395</f>
        <v>28.8602384014382</v>
      </c>
      <c r="K10494" s="6" t="n">
        <f aca="false">Sens!K10420+Sens!K10485*Sens!K10395</f>
        <v>30.2840315073673</v>
      </c>
    </row>
    <row r="10495" customFormat="false" ht="17.15" hidden="false" customHeight="false" outlineLevel="0" collapsed="false">
      <c r="A10495" s="0" t="s">
        <v>958</v>
      </c>
      <c r="B10495" s="0" t="s">
        <v>95</v>
      </c>
      <c r="F10495" s="6" t="n">
        <f aca="false">(Sens!F10494-Sens!F10490)*Sens!F10391/(Sens!F10391+Sens!F10393)</f>
        <v>8.16400245880882</v>
      </c>
      <c r="G10495" s="6" t="n">
        <f aca="false">(Sens!G10494-Sens!G10490)*Sens!G10391/(Sens!G10391+Sens!G10393)</f>
        <v>7.81484206574516</v>
      </c>
      <c r="H10495" s="6" t="n">
        <f aca="false">(Sens!H10494-Sens!H10490)*Sens!H10391/(Sens!H10391+Sens!H10393)</f>
        <v>7.62007382154845</v>
      </c>
      <c r="I10495" s="6" t="n">
        <f aca="false">(Sens!I10494-Sens!I10490)*Sens!I10391/(Sens!I10391+Sens!I10393)</f>
        <v>7.56300352501278</v>
      </c>
      <c r="J10495" s="6" t="n">
        <f aca="false">(Sens!J10494-Sens!J10490)*Sens!J10391/(Sens!J10391+Sens!J10393)</f>
        <v>7.63346349608126</v>
      </c>
      <c r="K10495" s="6" t="n">
        <f aca="false">(Sens!K10494-Sens!K10490)*Sens!K10391/(Sens!K10391+Sens!K10393)</f>
        <v>7.82749092278422</v>
      </c>
    </row>
    <row r="10496" customFormat="false" ht="17.15" hidden="false" customHeight="false" outlineLevel="0" collapsed="false">
      <c r="A10496" s="0" t="s">
        <v>959</v>
      </c>
      <c r="B10496" s="0" t="s">
        <v>95</v>
      </c>
      <c r="F10496" s="6" t="n">
        <f aca="false">Sens!F10494-Sens!F10490-Sens!F10495</f>
        <v>6.72864166935758</v>
      </c>
      <c r="G10496" s="6" t="n">
        <f aca="false">Sens!G10494-Sens!G10490-Sens!G10495</f>
        <v>6.6996618905548</v>
      </c>
      <c r="H10496" s="6" t="n">
        <f aca="false">Sens!H10494-Sens!H10490-Sens!H10495</f>
        <v>6.72648516605117</v>
      </c>
      <c r="I10496" s="6" t="n">
        <f aca="false">Sens!I10494-Sens!I10490-Sens!I10495</f>
        <v>6.80611937986632</v>
      </c>
      <c r="J10496" s="6" t="n">
        <f aca="false">Sens!J10494-Sens!J10490-Sens!J10495</f>
        <v>6.93540781349879</v>
      </c>
      <c r="K10496" s="6" t="n">
        <f aca="false">Sens!K10494-Sens!K10490-Sens!K10495</f>
        <v>7.11169205614691</v>
      </c>
    </row>
    <row r="10497" customFormat="false" ht="17.15" hidden="false" customHeight="false" outlineLevel="0" collapsed="false">
      <c r="A10497" s="1" t="s">
        <v>960</v>
      </c>
      <c r="B10497" s="0" t="s">
        <v>95</v>
      </c>
      <c r="C10497" s="6" t="n">
        <f aca="false">(w_ntm28*Sens!G10491+(1-w_ntm28)*Sens!H10491)*m_ai*1</f>
        <v>338.776008390068</v>
      </c>
    </row>
    <row r="10498" customFormat="false" ht="17.15" hidden="false" customHeight="false" outlineLevel="0" collapsed="false">
      <c r="A10498" s="1" t="s">
        <v>961</v>
      </c>
      <c r="B10498" s="0" t="s">
        <v>95</v>
      </c>
      <c r="C10498" s="6" t="n">
        <f aca="false">(w_ntm28*Sens!G10493+(1-w_ntm28)*Sens!H10493)*m_cloud*1</f>
        <v>884.855165575205</v>
      </c>
    </row>
    <row r="10499" customFormat="false" ht="17.15" hidden="false" customHeight="false" outlineLevel="0" collapsed="false">
      <c r="A10499" s="1" t="s">
        <v>962</v>
      </c>
      <c r="B10499" s="0" t="s">
        <v>95</v>
      </c>
      <c r="C10499" s="6" t="n">
        <f aca="false">(w_ntm28*Sens!G10486+(1-w_ntm28)*Sens!H10486)*m_sw*1</f>
        <v>988.547672652094</v>
      </c>
    </row>
    <row r="10500" customFormat="false" ht="17.15" hidden="false" customHeight="false" outlineLevel="0" collapsed="false">
      <c r="A10500" s="1" t="s">
        <v>963</v>
      </c>
      <c r="B10500" s="0" t="s">
        <v>95</v>
      </c>
      <c r="C10500" s="6" t="n">
        <f aca="false">(w_ntm28*Sens!G10487+(1-w_ntm28)*Sens!H10487)*m_sw*1</f>
        <v>363.117661434282</v>
      </c>
    </row>
    <row r="10501" customFormat="false" ht="17.15" hidden="false" customHeight="false" outlineLevel="0" collapsed="false">
      <c r="A10501" s="1" t="s">
        <v>964</v>
      </c>
      <c r="B10501" s="0" t="s">
        <v>95</v>
      </c>
      <c r="C10501" s="6" t="n">
        <f aca="false">(w_ntm28*Sens!G10488+(1-w_ntm28)*Sens!H10488)*m_sw*1</f>
        <v>99.2894025954118</v>
      </c>
    </row>
    <row r="10502" customFormat="false" ht="17.15" hidden="false" customHeight="false" outlineLevel="0" collapsed="false">
      <c r="A10502" s="1" t="s">
        <v>965</v>
      </c>
      <c r="B10502" s="0" t="s">
        <v>95</v>
      </c>
      <c r="C10502" s="6" t="n">
        <f aca="false">(w_ntm28*Sens!G10489+(1-w_ntm28)*Sens!H10489)*m_sw*1</f>
        <v>37.8805648916295</v>
      </c>
    </row>
    <row r="10503" customFormat="false" ht="17.15" hidden="false" customHeight="false" outlineLevel="0" collapsed="false">
      <c r="A10503" s="1" t="s">
        <v>966</v>
      </c>
      <c r="B10503" s="0" t="s">
        <v>95</v>
      </c>
      <c r="C10503" s="6" t="n">
        <f aca="false">(w_ntm28*Sens!G10490+(1-w_ntm28)*Sens!H10490)*m_ads*1</f>
        <v>104.664819473916</v>
      </c>
    </row>
    <row r="10504" customFormat="false" ht="17.15" hidden="false" customHeight="false" outlineLevel="0" collapsed="false">
      <c r="A10504" s="1" t="s">
        <v>967</v>
      </c>
      <c r="B10504" s="0" t="s">
        <v>95</v>
      </c>
      <c r="C10504" s="6" t="n">
        <f aca="false">(w_ntm28*Sens!G10495+(1-w_ntm28)*Sens!H10495)*m_game*1</f>
        <v>97.906192536783</v>
      </c>
    </row>
    <row r="10505" customFormat="false" ht="17.15" hidden="false" customHeight="false" outlineLevel="0" collapsed="false">
      <c r="A10505" s="1" t="s">
        <v>968</v>
      </c>
      <c r="B10505" s="0" t="s">
        <v>95</v>
      </c>
      <c r="C10505" s="6" t="n">
        <f aca="false">(w_ntm28*Sens!G10496+(1-w_ntm28)*Sens!H10496)*m_pc*1</f>
        <v>97.0695861042157</v>
      </c>
    </row>
    <row r="10506" customFormat="false" ht="17.15" hidden="false" customHeight="false" outlineLevel="0" collapsed="false">
      <c r="A10506" s="1" t="s">
        <v>969</v>
      </c>
      <c r="B10506" s="0" t="s">
        <v>95</v>
      </c>
      <c r="C10506" s="6" t="n">
        <f aca="false">Sens!$C$10497+Sens!$C$10498+Sens!$C$10499+Sens!$C$10500+Sens!$C$10501+Sens!$C$10502+Sens!$C$10503+Sens!$C$10504+Sens!$C$10505</f>
        <v>3012.10707365361</v>
      </c>
    </row>
    <row r="10507" customFormat="false" ht="17.15" hidden="false" customHeight="false" outlineLevel="0" collapsed="false">
      <c r="A10507" s="1" t="s">
        <v>903</v>
      </c>
      <c r="B10507" s="0" t="s">
        <v>95</v>
      </c>
      <c r="C10507" s="6" t="n">
        <f aca="false">Sens!F10464+oai_v-Sens!F10453</f>
        <v>112.299524560853</v>
      </c>
      <c r="L10507" s="1" t="s">
        <v>970</v>
      </c>
    </row>
    <row r="10508" customFormat="false" ht="15" hidden="false" customHeight="false" outlineLevel="0" collapsed="false">
      <c r="A10508" s="1" t="s">
        <v>904</v>
      </c>
      <c r="B10508" s="0" t="s">
        <v>73</v>
      </c>
      <c r="C10508" s="5" t="n">
        <f aca="false">(Sens!$C$10506+Sens!$C$10507)/Sens!F10466</f>
        <v>418.148634664676</v>
      </c>
    </row>
    <row r="10509" customFormat="false" ht="17.15" hidden="false" customHeight="false" outlineLevel="0" collapsed="false">
      <c r="A10509" s="1" t="s">
        <v>971</v>
      </c>
      <c r="B10509" s="0" t="s">
        <v>73</v>
      </c>
      <c r="C10509" s="5" t="n">
        <f aca="false">w_dcf*Sens!$C$10484+(1-w_dcf)*Sens!$C$10508</f>
        <v>304.324190302314</v>
      </c>
    </row>
    <row r="10510" customFormat="false" ht="17.15" hidden="false" customHeight="false" outlineLevel="0" collapsed="false">
      <c r="A10510" s="3" t="s">
        <v>1414</v>
      </c>
    </row>
    <row r="10511" customFormat="false" ht="15" hidden="false" customHeight="false" outlineLevel="0" collapsed="false">
      <c r="A10511" s="4" t="s">
        <v>43</v>
      </c>
      <c r="B10511" s="4" t="s">
        <v>63</v>
      </c>
      <c r="C10511" s="19" t="s">
        <v>710</v>
      </c>
      <c r="D10511" s="19" t="s">
        <v>711</v>
      </c>
      <c r="E10511" s="19" t="s">
        <v>712</v>
      </c>
      <c r="F10511" s="19" t="s">
        <v>713</v>
      </c>
      <c r="G10511" s="19" t="s">
        <v>714</v>
      </c>
      <c r="H10511" s="19" t="s">
        <v>715</v>
      </c>
      <c r="I10511" s="19" t="s">
        <v>716</v>
      </c>
      <c r="J10511" s="19" t="s">
        <v>717</v>
      </c>
      <c r="K10511" s="19" t="s">
        <v>718</v>
      </c>
      <c r="L10511" s="4" t="s">
        <v>47</v>
      </c>
    </row>
    <row r="10512" customFormat="false" ht="17.15" hidden="false" customHeight="false" outlineLevel="0" collapsed="false">
      <c r="A10512" s="1" t="s">
        <v>938</v>
      </c>
      <c r="B10512" s="1" t="s">
        <v>213</v>
      </c>
      <c r="F10512" s="34" t="n">
        <f aca="false">1-0.5</f>
        <v>0.5</v>
      </c>
      <c r="G10512" s="34" t="n">
        <f aca="false">2-0.5</f>
        <v>1.5</v>
      </c>
      <c r="H10512" s="34" t="n">
        <f aca="false">3-0.5</f>
        <v>2.5</v>
      </c>
      <c r="I10512" s="34" t="n">
        <f aca="false">4-0.5</f>
        <v>3.5</v>
      </c>
      <c r="J10512" s="34" t="n">
        <f aca="false">5-0.5</f>
        <v>4.5</v>
      </c>
      <c r="K10512" s="34" t="n">
        <f aca="false">6-0.5</f>
        <v>5.5</v>
      </c>
    </row>
    <row r="10513" customFormat="false" ht="15" hidden="false" customHeight="false" outlineLevel="0" collapsed="false">
      <c r="A10513" s="1" t="s">
        <v>939</v>
      </c>
      <c r="B10513" s="0" t="s">
        <v>182</v>
      </c>
      <c r="F10513" s="18" t="n">
        <f aca="false">1/(1+(wacc-0.01))^Sens!F10512</f>
        <v>0.953912238873929</v>
      </c>
      <c r="G10513" s="18" t="n">
        <f aca="false">1/(1+(wacc-0.01))^Sens!G10512</f>
        <v>0.868011067627446</v>
      </c>
      <c r="H10513" s="18" t="n">
        <f aca="false">1/(1+(wacc-0.01))^Sens!H10512</f>
        <v>0.789845420594625</v>
      </c>
      <c r="I10513" s="18" t="n">
        <f aca="false">1/(1+(wacc-0.01))^Sens!I10512</f>
        <v>0.718718702676797</v>
      </c>
      <c r="J10513" s="18" t="n">
        <f aca="false">1/(1+(wacc-0.01))^Sens!J10512</f>
        <v>0.653997048167394</v>
      </c>
      <c r="K10513" s="18" t="n">
        <f aca="false">1/(1+(wacc-0.01))^Sens!K10512</f>
        <v>0.595103671879823</v>
      </c>
    </row>
    <row r="10514" customFormat="false" ht="15" hidden="false" customHeight="false" outlineLevel="0" collapsed="false">
      <c r="A10514" s="1" t="s">
        <v>940</v>
      </c>
      <c r="B10514" s="0" t="s">
        <v>95</v>
      </c>
      <c r="F10514" s="6" t="n">
        <f aca="false">CF!F27*Sens!F10513</f>
        <v>4.80415302792344</v>
      </c>
      <c r="G10514" s="6" t="n">
        <f aca="false">CF!G27*Sens!G10513</f>
        <v>37.7776500840077</v>
      </c>
      <c r="H10514" s="6" t="n">
        <f aca="false">CF!H27*Sens!H10513</f>
        <v>74.6596204642777</v>
      </c>
      <c r="I10514" s="6" t="n">
        <f aca="false">CF!I27*Sens!I10513</f>
        <v>81.8469934973962</v>
      </c>
      <c r="J10514" s="6" t="n">
        <f aca="false">CF!J27*Sens!J10513</f>
        <v>96.1256483947146</v>
      </c>
      <c r="K10514" s="6" t="n">
        <f aca="false">CF!K27*Sens!K10513</f>
        <v>89.1476169312749</v>
      </c>
    </row>
    <row r="10515" customFormat="false" ht="17.15" hidden="false" customHeight="false" outlineLevel="0" collapsed="false">
      <c r="A10515" s="1" t="s">
        <v>941</v>
      </c>
      <c r="B10515" s="0" t="s">
        <v>95</v>
      </c>
      <c r="C10515" s="6" t="n">
        <f aca="false">SUM(Sens!F10514:K10514)</f>
        <v>384.361682399595</v>
      </c>
    </row>
    <row r="10516" customFormat="false" ht="17.15" hidden="false" customHeight="false" outlineLevel="0" collapsed="false">
      <c r="A10516" s="1" t="s">
        <v>942</v>
      </c>
      <c r="B10516" s="0" t="s">
        <v>95</v>
      </c>
      <c r="C10516" s="6" t="n">
        <f aca="false">PL!K35*(1+g_tv)*(1-tax_f)</f>
        <v>261.070427358719</v>
      </c>
    </row>
    <row r="10517" customFormat="false" ht="17.15" hidden="false" customHeight="false" outlineLevel="0" collapsed="false">
      <c r="A10517" s="1" t="s">
        <v>943</v>
      </c>
      <c r="B10517" s="0" t="s">
        <v>95</v>
      </c>
      <c r="C10517" s="6" t="n">
        <f aca="false">Sens!$C$10516*(1-g_tv/((wacc-0.01)+ronic_prem))</f>
        <v>181.928775240603</v>
      </c>
    </row>
    <row r="10518" customFormat="false" ht="17.15" hidden="false" customHeight="false" outlineLevel="0" collapsed="false">
      <c r="A10518" s="1" t="s">
        <v>944</v>
      </c>
      <c r="B10518" s="0" t="s">
        <v>95</v>
      </c>
      <c r="C10518" s="6" t="n">
        <f aca="false">Sens!$C$10517/((wacc-0.01)-g_tv)</f>
        <v>2638.05507060386</v>
      </c>
    </row>
    <row r="10519" customFormat="false" ht="15" hidden="false" customHeight="false" outlineLevel="0" collapsed="false">
      <c r="A10519" s="1" t="s">
        <v>945</v>
      </c>
      <c r="B10519" s="0" t="s">
        <v>95</v>
      </c>
      <c r="C10519" s="6" t="n">
        <f aca="false">Sens!$C$10518/(1+(wacc-0.01))^6</f>
        <v>1497.56233359848</v>
      </c>
    </row>
    <row r="10520" customFormat="false" ht="17.15" hidden="false" customHeight="false" outlineLevel="0" collapsed="false">
      <c r="A10520" s="0" t="s">
        <v>877</v>
      </c>
      <c r="B10520" s="0" t="s">
        <v>95</v>
      </c>
      <c r="C10520" s="6" t="n">
        <f aca="false">Sens!$C$10515+Sens!$C$10519</f>
        <v>1881.92401599807</v>
      </c>
    </row>
    <row r="10521" customFormat="false" ht="15" hidden="false" customHeight="false" outlineLevel="0" collapsed="false">
      <c r="A10521" s="1" t="s">
        <v>878</v>
      </c>
      <c r="B10521" s="0" t="s">
        <v>126</v>
      </c>
      <c r="C10521" s="7" t="n">
        <f aca="false">Sens!$C$10519/Sens!$C$10520</f>
        <v>0.795761317071163</v>
      </c>
    </row>
    <row r="10522" customFormat="false" ht="17.15" hidden="false" customHeight="false" outlineLevel="0" collapsed="false">
      <c r="A10522" s="1" t="s">
        <v>946</v>
      </c>
      <c r="B10522" s="0" t="s">
        <v>95</v>
      </c>
      <c r="C10522" s="6" t="n">
        <f aca="false">Sens!$C$10520+CF!E36+oai_v</f>
        <v>2083.03101599807</v>
      </c>
    </row>
    <row r="10523" customFormat="false" ht="17.15" hidden="false" customHeight="false" outlineLevel="0" collapsed="false">
      <c r="A10523" s="0" t="s">
        <v>883</v>
      </c>
      <c r="B10523" s="0" t="s">
        <v>73</v>
      </c>
      <c r="C10523" s="5" t="n">
        <f aca="false">Sens!$C$10522/sh_dil26</f>
        <v>279.488932778488</v>
      </c>
    </row>
    <row r="10524" customFormat="false" ht="17.15" hidden="false" customHeight="false" outlineLevel="0" collapsed="false">
      <c r="A10524" s="0" t="s">
        <v>947</v>
      </c>
      <c r="B10524" s="0" t="s">
        <v>73</v>
      </c>
      <c r="C10524" s="5" t="n">
        <f aca="false">Sens!$C$10523*(1+(wacc-0.01))^t_roll</f>
        <v>316.744735914389</v>
      </c>
    </row>
    <row r="10525" customFormat="false" ht="17.15" hidden="false" customHeight="false" outlineLevel="0" collapsed="false">
      <c r="A10525" s="1" t="s">
        <v>948</v>
      </c>
      <c r="B10525" s="0" t="s">
        <v>126</v>
      </c>
      <c r="F10525" s="7" t="n">
        <f aca="false">CF!F17/(Seg!F29-Thesis!F20)</f>
        <v>0.0681773598226415</v>
      </c>
      <c r="G10525" s="7" t="n">
        <f aca="false">CF!G17/(Seg!G29-Thesis!G20)</f>
        <v>0.0650385409375172</v>
      </c>
      <c r="H10525" s="7" t="n">
        <f aca="false">CF!H17/(Seg!H29-Thesis!H20)</f>
        <v>0.063382542471986</v>
      </c>
      <c r="I10525" s="7" t="n">
        <f aca="false">CF!I17/(Seg!I29-Thesis!I20)</f>
        <v>0.0630998138876076</v>
      </c>
      <c r="J10525" s="7" t="n">
        <f aca="false">CF!J17/(Seg!J29-Thesis!J20)</f>
        <v>0.0638399980286975</v>
      </c>
      <c r="K10525" s="7" t="n">
        <f aca="false">CF!K17/(Seg!K29-Thesis!K20)</f>
        <v>0.0651531082402687</v>
      </c>
    </row>
    <row r="10526" customFormat="false" ht="17.15" hidden="false" customHeight="false" outlineLevel="0" collapsed="false">
      <c r="A10526" s="0" t="s">
        <v>949</v>
      </c>
      <c r="B10526" s="0" t="s">
        <v>95</v>
      </c>
      <c r="F10526" s="6" t="n">
        <f aca="false">Seg!F14*(al_m365+Sens!F10525)</f>
        <v>80.4434678008041</v>
      </c>
      <c r="G10526" s="6" t="n">
        <f aca="false">Seg!G14*(al_m365+Sens!G10525)</f>
        <v>94.1323272633269</v>
      </c>
      <c r="H10526" s="6" t="n">
        <f aca="false">Seg!H14*(al_m365+Sens!H10525)</f>
        <v>107.983658528206</v>
      </c>
      <c r="I10526" s="6" t="n">
        <f aca="false">Seg!I14*(al_m365+Sens!I10525)</f>
        <v>120.408335219477</v>
      </c>
      <c r="J10526" s="6" t="n">
        <f aca="false">Seg!J14*(al_m365+Sens!J10525)</f>
        <v>131.229685027411</v>
      </c>
      <c r="K10526" s="6" t="n">
        <f aca="false">Seg!K14*(al_m365+Sens!K10525)</f>
        <v>141.696231007978</v>
      </c>
    </row>
    <row r="10527" customFormat="false" ht="17.15" hidden="false" customHeight="false" outlineLevel="0" collapsed="false">
      <c r="A10527" s="0" t="s">
        <v>950</v>
      </c>
      <c r="B10527" s="0" t="s">
        <v>95</v>
      </c>
      <c r="F10527" s="6" t="n">
        <f aca="false">Seg!F15*(al_lic+Sens!F10525)</f>
        <v>31.9678940661213</v>
      </c>
      <c r="G10527" s="6" t="n">
        <f aca="false">Seg!G15*(al_lic+Sens!G10525)</f>
        <v>33.1937184472398</v>
      </c>
      <c r="H10527" s="6" t="n">
        <f aca="false">Seg!H15*(al_lic+Sens!H10525)</f>
        <v>34.3439380840055</v>
      </c>
      <c r="I10527" s="6" t="n">
        <f aca="false">Seg!I15*(al_lic+Sens!I10525)</f>
        <v>35.4022023072784</v>
      </c>
      <c r="J10527" s="6" t="n">
        <f aca="false">Seg!J15*(al_lic+Sens!J10525)</f>
        <v>36.3410576398918</v>
      </c>
      <c r="K10527" s="6" t="n">
        <f aca="false">Seg!K15*(al_lic+Sens!K10525)</f>
        <v>37.1276868757058</v>
      </c>
    </row>
    <row r="10528" customFormat="false" ht="17.15" hidden="false" customHeight="false" outlineLevel="0" collapsed="false">
      <c r="A10528" s="0" t="s">
        <v>951</v>
      </c>
      <c r="B10528" s="0" t="s">
        <v>95</v>
      </c>
      <c r="F10528" s="6" t="n">
        <f aca="false">Seg!F17*(al_ind+Sens!F10525)</f>
        <v>8.23142235288747</v>
      </c>
      <c r="G10528" s="6" t="n">
        <f aca="false">Seg!G17*(al_ind+Sens!G10525)</f>
        <v>8.92125445211874</v>
      </c>
      <c r="H10528" s="6" t="n">
        <f aca="false">Seg!H17*(al_ind+Sens!H10525)</f>
        <v>9.65645689966252</v>
      </c>
      <c r="I10528" s="6" t="n">
        <f aca="false">Seg!I17*(al_ind+Sens!I10525)</f>
        <v>10.4359305133559</v>
      </c>
      <c r="J10528" s="6" t="n">
        <f aca="false">Seg!J17*(al_ind+Sens!J10525)</f>
        <v>11.2496615107155</v>
      </c>
      <c r="K10528" s="6" t="n">
        <f aca="false">Seg!K17*(al_ind+Sens!K10525)</f>
        <v>12.0805802325565</v>
      </c>
    </row>
    <row r="10529" customFormat="false" ht="17.15" hidden="false" customHeight="false" outlineLevel="0" collapsed="false">
      <c r="A10529" s="0" t="s">
        <v>952</v>
      </c>
      <c r="B10529" s="0" t="s">
        <v>95</v>
      </c>
      <c r="F10529" s="6" t="n">
        <f aca="false">Seg!F19*(al_fro+Sens!F10525)</f>
        <v>3.23991673698178</v>
      </c>
      <c r="G10529" s="6" t="n">
        <f aca="false">Seg!G19*(al_fro+Sens!G10525)</f>
        <v>3.42523427012141</v>
      </c>
      <c r="H10529" s="6" t="n">
        <f aca="false">Seg!H19*(al_fro+Sens!H10525)</f>
        <v>3.63888347669114</v>
      </c>
      <c r="I10529" s="6" t="n">
        <f aca="false">Seg!I19*(al_fro+Sens!I10525)</f>
        <v>3.88382859986432</v>
      </c>
      <c r="J10529" s="6" t="n">
        <f aca="false">Seg!J19*(al_fro+Sens!J10525)</f>
        <v>4.16055715035227</v>
      </c>
      <c r="K10529" s="6" t="n">
        <f aca="false">Seg!K19*(al_fro+Sens!K10525)</f>
        <v>4.46786282583631</v>
      </c>
    </row>
    <row r="10530" customFormat="false" ht="17.15" hidden="false" customHeight="false" outlineLevel="0" collapsed="false">
      <c r="A10530" s="0" t="s">
        <v>953</v>
      </c>
      <c r="B10530" s="0" t="s">
        <v>95</v>
      </c>
      <c r="F10530" s="6" t="n">
        <f aca="false">Seg!F22*(al_srch+Sens!F10525)</f>
        <v>10.1659255338338</v>
      </c>
      <c r="G10530" s="6" t="n">
        <f aca="false">Seg!G22*(al_srch+Sens!G10525)</f>
        <v>11.1218361064416</v>
      </c>
      <c r="H10530" s="6" t="n">
        <f aca="false">Seg!H22*(al_srch+Sens!H10525)</f>
        <v>12.1240320316325</v>
      </c>
      <c r="I10530" s="6" t="n">
        <f aca="false">Seg!I22*(al_srch+Sens!I10525)</f>
        <v>13.1651647223307</v>
      </c>
      <c r="J10530" s="6" t="n">
        <f aca="false">Seg!J22*(al_srch+Sens!J10525)</f>
        <v>14.2257207024961</v>
      </c>
      <c r="K10530" s="6" t="n">
        <f aca="false">Seg!K22*(al_srch+Sens!K10525)</f>
        <v>15.2764561092572</v>
      </c>
    </row>
    <row r="10531" customFormat="false" ht="17.15" hidden="false" customHeight="false" outlineLevel="0" collapsed="false">
      <c r="A10531" s="0" t="s">
        <v>954</v>
      </c>
      <c r="B10531" s="0" t="s">
        <v>95</v>
      </c>
      <c r="F10531" s="6" t="n">
        <f aca="false">Thesis!F26</f>
        <v>43.1278534047371</v>
      </c>
      <c r="G10531" s="6" t="n">
        <f aca="false">Thesis!G26</f>
        <v>78.4713023799053</v>
      </c>
      <c r="H10531" s="6" t="n">
        <f aca="false">Thesis!H26</f>
        <v>120.169624261219</v>
      </c>
      <c r="I10531" s="6" t="n">
        <f aca="false">Thesis!I26</f>
        <v>156.086713969963</v>
      </c>
      <c r="J10531" s="6" t="n">
        <f aca="false">Thesis!J26</f>
        <v>192.09687492465</v>
      </c>
      <c r="K10531" s="6" t="n">
        <f aca="false">Thesis!K26</f>
        <v>228.161785217179</v>
      </c>
    </row>
    <row r="10532" customFormat="false" ht="17.15" hidden="false" customHeight="false" outlineLevel="0" collapsed="false">
      <c r="A10532" s="0" t="s">
        <v>955</v>
      </c>
      <c r="B10532" s="0" t="s">
        <v>95</v>
      </c>
      <c r="F10532" s="6" t="n">
        <f aca="false">PL!F32+Thesis!F37+Sens!F10525*(Seg!F21-Thesis!F20)</f>
        <v>216.001008704281</v>
      </c>
      <c r="G10532" s="6" t="n">
        <f aca="false">PL!G32+Thesis!G37+Sens!G10525*(Seg!G21-Thesis!G20)</f>
        <v>273.190669749878</v>
      </c>
      <c r="H10532" s="6" t="n">
        <f aca="false">PL!H32+Thesis!H37+Sens!H10525*(Seg!H21-Thesis!H20)</f>
        <v>336.986209145837</v>
      </c>
      <c r="I10532" s="6" t="n">
        <f aca="false">PL!I32+Thesis!I37+Sens!I10525*(Seg!I21-Thesis!I20)</f>
        <v>393.439203291672</v>
      </c>
      <c r="J10532" s="6" t="n">
        <f aca="false">PL!J32+Thesis!J37+Sens!J10525*(Seg!J21-Thesis!J20)</f>
        <v>447.606137303559</v>
      </c>
      <c r="K10532" s="6" t="n">
        <f aca="false">PL!K32+Thesis!K37+Sens!K10525*(Seg!K21-Thesis!K20)</f>
        <v>499.903344093081</v>
      </c>
    </row>
    <row r="10533" customFormat="false" ht="17.15" hidden="false" customHeight="false" outlineLevel="0" collapsed="false">
      <c r="A10533" s="0" t="s">
        <v>956</v>
      </c>
      <c r="B10533" s="0" t="s">
        <v>95</v>
      </c>
      <c r="F10533" s="6" t="n">
        <f aca="false">Sens!F10532-Sens!F10526-Sens!F10527-Sens!F10528-Sens!F10529-Sens!F10531</f>
        <v>48.9904543427497</v>
      </c>
      <c r="G10533" s="6" t="n">
        <f aca="false">Sens!G10532-Sens!G10526-Sens!G10527-Sens!G10528-Sens!G10529-Sens!G10531</f>
        <v>55.0468329371655</v>
      </c>
      <c r="H10533" s="6" t="n">
        <f aca="false">Sens!H10532-Sens!H10526-Sens!H10527-Sens!H10528-Sens!H10529-Sens!H10531</f>
        <v>61.1936478960528</v>
      </c>
      <c r="I10533" s="6" t="n">
        <f aca="false">Sens!I10532-Sens!I10526-Sens!I10527-Sens!I10528-Sens!I10529-Sens!I10531</f>
        <v>67.2221926817336</v>
      </c>
      <c r="J10533" s="6" t="n">
        <f aca="false">Sens!J10532-Sens!J10526-Sens!J10527-Sens!J10528-Sens!J10529-Sens!J10531</f>
        <v>72.5283010505383</v>
      </c>
      <c r="K10533" s="6" t="n">
        <f aca="false">Sens!K10532-Sens!K10526-Sens!K10527-Sens!K10528-Sens!K10529-Sens!K10531</f>
        <v>76.3691979338254</v>
      </c>
    </row>
    <row r="10534" customFormat="false" ht="17.15" hidden="false" customHeight="false" outlineLevel="0" collapsed="false">
      <c r="A10534" s="0" t="s">
        <v>957</v>
      </c>
      <c r="B10534" s="0" t="s">
        <v>95</v>
      </c>
      <c r="F10534" s="6" t="n">
        <f aca="false">PL!F34+Sens!F10525*Seg!F28</f>
        <v>23.7366325885412</v>
      </c>
      <c r="G10534" s="6" t="n">
        <f aca="false">PL!G34+Sens!G10525*Seg!G28</f>
        <v>24.2488001831921</v>
      </c>
      <c r="H10534" s="6" t="n">
        <f aca="false">PL!H34+Sens!H10525*Seg!H28</f>
        <v>25.0191565857232</v>
      </c>
      <c r="I10534" s="6" t="n">
        <f aca="false">PL!I34+Sens!I10525*Seg!I28</f>
        <v>26.0222596996374</v>
      </c>
      <c r="J10534" s="6" t="n">
        <f aca="false">PL!J34+Sens!J10525*Seg!J28</f>
        <v>27.2212114824986</v>
      </c>
      <c r="K10534" s="6" t="n">
        <f aca="false">PL!K34+Sens!K10525*Seg!K28</f>
        <v>28.5733379970501</v>
      </c>
    </row>
    <row r="10535" customFormat="false" ht="17.15" hidden="false" customHeight="false" outlineLevel="0" collapsed="false">
      <c r="A10535" s="0" t="s">
        <v>958</v>
      </c>
      <c r="B10535" s="0" t="s">
        <v>95</v>
      </c>
      <c r="F10535" s="6" t="n">
        <f aca="false">(Sens!F10534-Sens!F10530)*Seg!F24/(Seg!F24+Seg!F26)</f>
        <v>7.43932943061911</v>
      </c>
      <c r="G10535" s="6" t="n">
        <f aca="false">(Sens!G10534-Sens!G10530)*Seg!G24/(Seg!G24+Seg!G26)</f>
        <v>7.06776830757547</v>
      </c>
      <c r="H10535" s="6" t="n">
        <f aca="false">(Sens!H10534-Sens!H10530)*Seg!H24/(Seg!H24+Seg!H26)</f>
        <v>6.84915463876495</v>
      </c>
      <c r="I10535" s="6" t="n">
        <f aca="false">(Sens!I10534-Sens!I10530)*Seg!I24/(Seg!I24+Seg!I26)</f>
        <v>6.76716702045722</v>
      </c>
      <c r="J10535" s="6" t="n">
        <f aca="false">(Sens!J10534-Sens!J10530)*Seg!J24/(Seg!J24+Seg!J26)</f>
        <v>6.80907960368748</v>
      </c>
      <c r="K10535" s="6" t="n">
        <f aca="false">(Sens!K10534-Sens!K10530)*Seg!K24/(Seg!K24+Seg!K26)</f>
        <v>6.96699561313494</v>
      </c>
    </row>
    <row r="10536" customFormat="false" ht="17.15" hidden="false" customHeight="false" outlineLevel="0" collapsed="false">
      <c r="A10536" s="0" t="s">
        <v>959</v>
      </c>
      <c r="B10536" s="0" t="s">
        <v>95</v>
      </c>
      <c r="F10536" s="6" t="n">
        <f aca="false">Sens!F10534-Sens!F10530-Sens!F10535</f>
        <v>6.13137762408826</v>
      </c>
      <c r="G10536" s="6" t="n">
        <f aca="false">Sens!G10534-Sens!G10530-Sens!G10535</f>
        <v>6.05919576917506</v>
      </c>
      <c r="H10536" s="6" t="n">
        <f aca="false">Sens!H10534-Sens!H10530-Sens!H10535</f>
        <v>6.04596991532572</v>
      </c>
      <c r="I10536" s="6" t="n">
        <f aca="false">Sens!I10534-Sens!I10530-Sens!I10535</f>
        <v>6.08992795684943</v>
      </c>
      <c r="J10536" s="6" t="n">
        <f aca="false">Sens!J10534-Sens!J10530-Sens!J10535</f>
        <v>6.18641117631496</v>
      </c>
      <c r="K10536" s="6" t="n">
        <f aca="false">Sens!K10534-Sens!K10530-Sens!K10535</f>
        <v>6.32988627465802</v>
      </c>
    </row>
    <row r="10537" customFormat="false" ht="17.15" hidden="false" customHeight="false" outlineLevel="0" collapsed="false">
      <c r="A10537" s="1" t="s">
        <v>960</v>
      </c>
      <c r="B10537" s="0" t="s">
        <v>95</v>
      </c>
      <c r="C10537" s="6" t="n">
        <f aca="false">(w_ntm28*Sens!G10531+(1-w_ntm28)*Sens!H10531)*m_ai*1</f>
        <v>551.711134531404</v>
      </c>
    </row>
    <row r="10538" customFormat="false" ht="17.15" hidden="false" customHeight="false" outlineLevel="0" collapsed="false">
      <c r="A10538" s="1" t="s">
        <v>961</v>
      </c>
      <c r="B10538" s="0" t="s">
        <v>95</v>
      </c>
      <c r="C10538" s="6" t="n">
        <f aca="false">(w_ntm28*Sens!G10533+(1-w_ntm28)*Sens!H10533)*m_cloud*1</f>
        <v>788.2101899926</v>
      </c>
    </row>
    <row r="10539" customFormat="false" ht="17.15" hidden="false" customHeight="false" outlineLevel="0" collapsed="false">
      <c r="A10539" s="1" t="s">
        <v>962</v>
      </c>
      <c r="B10539" s="0" t="s">
        <v>95</v>
      </c>
      <c r="C10539" s="6" t="n">
        <f aca="false">(w_ntm28*Sens!G10526+(1-w_ntm28)*Sens!H10526)*m_sw*1</f>
        <v>1064.99115242739</v>
      </c>
    </row>
    <row r="10540" customFormat="false" ht="17.15" hidden="false" customHeight="false" outlineLevel="0" collapsed="false">
      <c r="A10540" s="1" t="s">
        <v>963</v>
      </c>
      <c r="B10540" s="0" t="s">
        <v>95</v>
      </c>
      <c r="C10540" s="6" t="n">
        <f aca="false">(w_ntm28*Sens!G10527+(1-w_ntm28)*Sens!H10527)*m_sw*1</f>
        <v>362.508158970174</v>
      </c>
    </row>
    <row r="10541" customFormat="false" ht="17.15" hidden="false" customHeight="false" outlineLevel="0" collapsed="false">
      <c r="A10541" s="1" t="s">
        <v>964</v>
      </c>
      <c r="B10541" s="0" t="s">
        <v>95</v>
      </c>
      <c r="C10541" s="6" t="n">
        <f aca="false">(w_ntm28*Sens!G10528+(1-w_ntm28)*Sens!H10528)*m_sw*1</f>
        <v>98.9165124641147</v>
      </c>
    </row>
    <row r="10542" customFormat="false" ht="17.15" hidden="false" customHeight="false" outlineLevel="0" collapsed="false">
      <c r="A10542" s="1" t="s">
        <v>965</v>
      </c>
      <c r="B10542" s="0" t="s">
        <v>95</v>
      </c>
      <c r="C10542" s="6" t="n">
        <f aca="false">(w_ntm28*Sens!G10529+(1-w_ntm28)*Sens!H10529)*m_sw*1</f>
        <v>37.7384877854002</v>
      </c>
    </row>
    <row r="10543" customFormat="false" ht="17.15" hidden="false" customHeight="false" outlineLevel="0" collapsed="false">
      <c r="A10543" s="1" t="s">
        <v>966</v>
      </c>
      <c r="B10543" s="0" t="s">
        <v>95</v>
      </c>
      <c r="C10543" s="6" t="n">
        <f aca="false">(w_ntm28*Sens!G10530+(1-w_ntm28)*Sens!H10530)*m_ads*1</f>
        <v>104.271544945195</v>
      </c>
    </row>
    <row r="10544" customFormat="false" ht="17.15" hidden="false" customHeight="false" outlineLevel="0" collapsed="false">
      <c r="A10544" s="1" t="s">
        <v>967</v>
      </c>
      <c r="B10544" s="0" t="s">
        <v>95</v>
      </c>
      <c r="C10544" s="6" t="n">
        <f aca="false">(w_ntm28*Sens!G10535+(1-w_ntm28)*Sens!H10535)*m_game*1</f>
        <v>88.3732871625547</v>
      </c>
    </row>
    <row r="10545" customFormat="false" ht="17.15" hidden="false" customHeight="false" outlineLevel="0" collapsed="false">
      <c r="A10545" s="1" t="s">
        <v>968</v>
      </c>
      <c r="B10545" s="0" t="s">
        <v>95</v>
      </c>
      <c r="C10545" s="6" t="n">
        <f aca="false">(w_ntm28*Sens!G10536+(1-w_ntm28)*Sens!H10536)*m_pc*1</f>
        <v>87.614692598008</v>
      </c>
    </row>
    <row r="10546" customFormat="false" ht="17.15" hidden="false" customHeight="false" outlineLevel="0" collapsed="false">
      <c r="A10546" s="1" t="s">
        <v>969</v>
      </c>
      <c r="B10546" s="0" t="s">
        <v>95</v>
      </c>
      <c r="C10546" s="6" t="n">
        <f aca="false">Sens!$C$10537+Sens!$C$10538+Sens!$C$10539+Sens!$C$10540+Sens!$C$10541+Sens!$C$10542+Sens!$C$10543+Sens!$C$10544+Sens!$C$10545</f>
        <v>3184.33516087684</v>
      </c>
    </row>
    <row r="10547" customFormat="false" ht="17.15" hidden="false" customHeight="false" outlineLevel="0" collapsed="false">
      <c r="A10547" s="1" t="s">
        <v>903</v>
      </c>
      <c r="B10547" s="0" t="s">
        <v>95</v>
      </c>
      <c r="C10547" s="6" t="n">
        <f aca="false">CF!F36+oai_v-CF!F25</f>
        <v>115.079583119545</v>
      </c>
      <c r="L10547" s="1" t="s">
        <v>970</v>
      </c>
    </row>
    <row r="10548" customFormat="false" ht="15" hidden="false" customHeight="false" outlineLevel="0" collapsed="false">
      <c r="A10548" s="1" t="s">
        <v>904</v>
      </c>
      <c r="B10548" s="0" t="s">
        <v>73</v>
      </c>
      <c r="C10548" s="5" t="n">
        <f aca="false">(Sens!$C$10546+Sens!$C$10547)/CF!F38</f>
        <v>441.570495716861</v>
      </c>
    </row>
    <row r="10549" customFormat="false" ht="17.15" hidden="false" customHeight="false" outlineLevel="0" collapsed="false">
      <c r="A10549" s="1" t="s">
        <v>971</v>
      </c>
      <c r="B10549" s="0" t="s">
        <v>73</v>
      </c>
      <c r="C10549" s="5" t="n">
        <f aca="false">w_dcf*Sens!$C$10524+(1-w_dcf)*Sens!$C$10548</f>
        <v>379.157615815625</v>
      </c>
    </row>
    <row r="10550" customFormat="false" ht="17.15" hidden="false" customHeight="false" outlineLevel="0" collapsed="false">
      <c r="A10550" s="3" t="s">
        <v>1415</v>
      </c>
    </row>
    <row r="10551" customFormat="false" ht="15" hidden="false" customHeight="false" outlineLevel="0" collapsed="false">
      <c r="A10551" s="4" t="s">
        <v>43</v>
      </c>
      <c r="B10551" s="4" t="s">
        <v>63</v>
      </c>
      <c r="C10551" s="19" t="s">
        <v>710</v>
      </c>
      <c r="D10551" s="19" t="s">
        <v>711</v>
      </c>
      <c r="E10551" s="19" t="s">
        <v>712</v>
      </c>
      <c r="F10551" s="19" t="s">
        <v>713</v>
      </c>
      <c r="G10551" s="19" t="s">
        <v>714</v>
      </c>
      <c r="H10551" s="19" t="s">
        <v>715</v>
      </c>
      <c r="I10551" s="19" t="s">
        <v>716</v>
      </c>
      <c r="J10551" s="19" t="s">
        <v>717</v>
      </c>
      <c r="K10551" s="19" t="s">
        <v>718</v>
      </c>
      <c r="L10551" s="4" t="s">
        <v>47</v>
      </c>
    </row>
    <row r="10552" customFormat="false" ht="17.15" hidden="false" customHeight="false" outlineLevel="0" collapsed="false">
      <c r="A10552" s="1" t="s">
        <v>938</v>
      </c>
      <c r="B10552" s="1" t="s">
        <v>213</v>
      </c>
      <c r="F10552" s="34" t="n">
        <f aca="false">1-0.5</f>
        <v>0.5</v>
      </c>
      <c r="G10552" s="34" t="n">
        <f aca="false">2-0.5</f>
        <v>1.5</v>
      </c>
      <c r="H10552" s="34" t="n">
        <f aca="false">3-0.5</f>
        <v>2.5</v>
      </c>
      <c r="I10552" s="34" t="n">
        <f aca="false">4-0.5</f>
        <v>3.5</v>
      </c>
      <c r="J10552" s="34" t="n">
        <f aca="false">5-0.5</f>
        <v>4.5</v>
      </c>
      <c r="K10552" s="34" t="n">
        <f aca="false">6-0.5</f>
        <v>5.5</v>
      </c>
    </row>
    <row r="10553" customFormat="false" ht="15" hidden="false" customHeight="false" outlineLevel="0" collapsed="false">
      <c r="A10553" s="1" t="s">
        <v>939</v>
      </c>
      <c r="B10553" s="0" t="s">
        <v>182</v>
      </c>
      <c r="F10553" s="18" t="n">
        <f aca="false">1/(1+(wacc-0.01))^Sens!F10552</f>
        <v>0.953912238873929</v>
      </c>
      <c r="G10553" s="18" t="n">
        <f aca="false">1/(1+(wacc-0.01))^Sens!G10552</f>
        <v>0.868011067627446</v>
      </c>
      <c r="H10553" s="18" t="n">
        <f aca="false">1/(1+(wacc-0.01))^Sens!H10552</f>
        <v>0.789845420594625</v>
      </c>
      <c r="I10553" s="18" t="n">
        <f aca="false">1/(1+(wacc-0.01))^Sens!I10552</f>
        <v>0.718718702676797</v>
      </c>
      <c r="J10553" s="18" t="n">
        <f aca="false">1/(1+(wacc-0.01))^Sens!J10552</f>
        <v>0.653997048167394</v>
      </c>
      <c r="K10553" s="18" t="n">
        <f aca="false">1/(1+(wacc-0.01))^Sens!K10552</f>
        <v>0.595103671879823</v>
      </c>
    </row>
    <row r="10554" customFormat="false" ht="15" hidden="false" customHeight="false" outlineLevel="0" collapsed="false">
      <c r="A10554" s="1" t="s">
        <v>940</v>
      </c>
      <c r="B10554" s="0" t="s">
        <v>95</v>
      </c>
      <c r="F10554" s="6" t="n">
        <f aca="false">CF!F55*Sens!F10553</f>
        <v>1.15487821756938</v>
      </c>
      <c r="G10554" s="6" t="n">
        <f aca="false">CF!G55*Sens!G10553</f>
        <v>27.5285638332923</v>
      </c>
      <c r="H10554" s="6" t="n">
        <f aca="false">CF!H55*Sens!H10553</f>
        <v>55.72588703418</v>
      </c>
      <c r="I10554" s="6" t="n">
        <f aca="false">CF!I55*Sens!I10553</f>
        <v>59.6439576997147</v>
      </c>
      <c r="J10554" s="6" t="n">
        <f aca="false">CF!J55*Sens!J10553</f>
        <v>71.5753483370735</v>
      </c>
      <c r="K10554" s="6" t="n">
        <f aca="false">CF!K55*Sens!K10553</f>
        <v>62.8443397663765</v>
      </c>
    </row>
    <row r="10555" customFormat="false" ht="17.15" hidden="false" customHeight="false" outlineLevel="0" collapsed="false">
      <c r="A10555" s="1" t="s">
        <v>941</v>
      </c>
      <c r="B10555" s="0" t="s">
        <v>95</v>
      </c>
      <c r="C10555" s="6" t="n">
        <f aca="false">SUM(Sens!F10554:K10554)</f>
        <v>278.472974888206</v>
      </c>
    </row>
    <row r="10556" customFormat="false" ht="17.15" hidden="false" customHeight="false" outlineLevel="0" collapsed="false">
      <c r="A10556" s="1" t="s">
        <v>942</v>
      </c>
      <c r="B10556" s="0" t="s">
        <v>95</v>
      </c>
      <c r="C10556" s="6" t="n">
        <f aca="false">PL!K70*(1+g_tv)*(1-tax_f)</f>
        <v>216.892770548847</v>
      </c>
    </row>
    <row r="10557" customFormat="false" ht="17.15" hidden="false" customHeight="false" outlineLevel="0" collapsed="false">
      <c r="A10557" s="1" t="s">
        <v>943</v>
      </c>
      <c r="B10557" s="0" t="s">
        <v>95</v>
      </c>
      <c r="C10557" s="6" t="n">
        <f aca="false">Sens!$C$10556*(1-g_tv/((wacc-0.01)+ronic_prem))</f>
        <v>151.143262389788</v>
      </c>
    </row>
    <row r="10558" customFormat="false" ht="17.15" hidden="false" customHeight="false" outlineLevel="0" collapsed="false">
      <c r="A10558" s="1" t="s">
        <v>944</v>
      </c>
      <c r="B10558" s="0" t="s">
        <v>95</v>
      </c>
      <c r="C10558" s="6" t="n">
        <f aca="false">Sens!$C$10557/((wacc-0.01)-g_tv)</f>
        <v>2191.65027196864</v>
      </c>
    </row>
    <row r="10559" customFormat="false" ht="15" hidden="false" customHeight="false" outlineLevel="0" collapsed="false">
      <c r="A10559" s="1" t="s">
        <v>945</v>
      </c>
      <c r="B10559" s="0" t="s">
        <v>95</v>
      </c>
      <c r="C10559" s="6" t="n">
        <f aca="false">Sens!$C$10558/(1+(wacc-0.01))^6</f>
        <v>1244.14874135656</v>
      </c>
    </row>
    <row r="10560" customFormat="false" ht="17.15" hidden="false" customHeight="false" outlineLevel="0" collapsed="false">
      <c r="A10560" s="0" t="s">
        <v>877</v>
      </c>
      <c r="B10560" s="0" t="s">
        <v>95</v>
      </c>
      <c r="C10560" s="6" t="n">
        <f aca="false">Sens!$C$10555+Sens!$C$10559</f>
        <v>1522.62171624477</v>
      </c>
    </row>
    <row r="10561" customFormat="false" ht="15" hidden="false" customHeight="false" outlineLevel="0" collapsed="false">
      <c r="A10561" s="1" t="s">
        <v>878</v>
      </c>
      <c r="B10561" s="0" t="s">
        <v>126</v>
      </c>
      <c r="C10561" s="7" t="n">
        <f aca="false">Sens!$C$10559/Sens!$C$10560</f>
        <v>0.817109547356909</v>
      </c>
    </row>
    <row r="10562" customFormat="false" ht="17.15" hidden="false" customHeight="false" outlineLevel="0" collapsed="false">
      <c r="A10562" s="1" t="s">
        <v>946</v>
      </c>
      <c r="B10562" s="0" t="s">
        <v>95</v>
      </c>
      <c r="C10562" s="6" t="n">
        <f aca="false">Sens!$C$10560+CF!E64+oai_v</f>
        <v>1723.72871624477</v>
      </c>
    </row>
    <row r="10563" customFormat="false" ht="17.15" hidden="false" customHeight="false" outlineLevel="0" collapsed="false">
      <c r="A10563" s="0" t="s">
        <v>883</v>
      </c>
      <c r="B10563" s="0" t="s">
        <v>73</v>
      </c>
      <c r="C10563" s="5" t="n">
        <f aca="false">Sens!$C$10562/sh_dil26</f>
        <v>231.279849221088</v>
      </c>
    </row>
    <row r="10564" customFormat="false" ht="17.15" hidden="false" customHeight="false" outlineLevel="0" collapsed="false">
      <c r="A10564" s="0" t="s">
        <v>947</v>
      </c>
      <c r="B10564" s="0" t="s">
        <v>73</v>
      </c>
      <c r="C10564" s="5" t="n">
        <f aca="false">Sens!$C$10563*(1+(wacc-0.01))^t_roll</f>
        <v>262.10939386968</v>
      </c>
    </row>
    <row r="10565" customFormat="false" ht="17.15" hidden="false" customHeight="false" outlineLevel="0" collapsed="false">
      <c r="A10565" s="1" t="s">
        <v>948</v>
      </c>
      <c r="B10565" s="0" t="s">
        <v>126</v>
      </c>
      <c r="F10565" s="7" t="n">
        <f aca="false">CF!F45/(Seg!F56-Thesis!F64)</f>
        <v>0.0684307874075333</v>
      </c>
      <c r="G10565" s="7" t="n">
        <f aca="false">CF!G45/(Seg!G56-Thesis!G64)</f>
        <v>0.0656456058503526</v>
      </c>
      <c r="H10565" s="7" t="n">
        <f aca="false">CF!H45/(Seg!H56-Thesis!H64)</f>
        <v>0.0641950889132003</v>
      </c>
      <c r="I10565" s="7" t="n">
        <f aca="false">CF!I45/(Seg!I56-Thesis!I64)</f>
        <v>0.063960269667854</v>
      </c>
      <c r="J10565" s="7" t="n">
        <f aca="false">CF!J45/(Seg!J56-Thesis!J64)</f>
        <v>0.0646607917002597</v>
      </c>
      <c r="K10565" s="7" t="n">
        <f aca="false">CF!K45/(Seg!K56-Thesis!K64)</f>
        <v>0.0659511546529383</v>
      </c>
    </row>
    <row r="10566" customFormat="false" ht="17.15" hidden="false" customHeight="false" outlineLevel="0" collapsed="false">
      <c r="A10566" s="0" t="s">
        <v>949</v>
      </c>
      <c r="B10566" s="0" t="s">
        <v>95</v>
      </c>
      <c r="F10566" s="6" t="n">
        <f aca="false">Seg!F41*(al_m365+Sens!F10565)</f>
        <v>79.4713323717639</v>
      </c>
      <c r="G10566" s="6" t="n">
        <f aca="false">Seg!G41*(al_m365+Sens!G10565)</f>
        <v>91.222848535282</v>
      </c>
      <c r="H10566" s="6" t="n">
        <f aca="false">Seg!H41*(al_m365+Sens!H10565)</f>
        <v>103.134459525438</v>
      </c>
      <c r="I10566" s="6" t="n">
        <f aca="false">Seg!I41*(al_m365+Sens!I10565)</f>
        <v>114.09096761677</v>
      </c>
      <c r="J10566" s="6" t="n">
        <f aca="false">Seg!J41*(al_m365+Sens!J10565)</f>
        <v>123.914507832207</v>
      </c>
      <c r="K10566" s="6" t="n">
        <f aca="false">Seg!K41*(al_m365+Sens!K10565)</f>
        <v>133.375360010951</v>
      </c>
    </row>
    <row r="10567" customFormat="false" ht="17.15" hidden="false" customHeight="false" outlineLevel="0" collapsed="false">
      <c r="A10567" s="0" t="s">
        <v>950</v>
      </c>
      <c r="B10567" s="0" t="s">
        <v>95</v>
      </c>
      <c r="F10567" s="6" t="n">
        <f aca="false">Seg!F42*(al_lic+Sens!F10565)</f>
        <v>31.9777960098625</v>
      </c>
      <c r="G10567" s="6" t="n">
        <f aca="false">Seg!G42*(al_lic+Sens!G10565)</f>
        <v>33.2184421146294</v>
      </c>
      <c r="H10567" s="6" t="n">
        <f aca="false">Seg!H42*(al_lic+Sens!H10565)</f>
        <v>34.3782467188855</v>
      </c>
      <c r="I10567" s="6" t="n">
        <f aca="false">Seg!I42*(al_lic+Sens!I10565)</f>
        <v>35.4396663788333</v>
      </c>
      <c r="J10567" s="6" t="n">
        <f aca="false">Seg!J42*(al_lic+Sens!J10565)</f>
        <v>36.377709205557</v>
      </c>
      <c r="K10567" s="6" t="n">
        <f aca="false">Seg!K42*(al_lic+Sens!K10565)</f>
        <v>37.1640354058437</v>
      </c>
    </row>
    <row r="10568" customFormat="false" ht="17.15" hidden="false" customHeight="false" outlineLevel="0" collapsed="false">
      <c r="A10568" s="0" t="s">
        <v>951</v>
      </c>
      <c r="B10568" s="0" t="s">
        <v>95</v>
      </c>
      <c r="F10568" s="6" t="n">
        <f aca="false">Seg!F44*(al_ind+Sens!F10565)</f>
        <v>8.23708828923978</v>
      </c>
      <c r="G10568" s="6" t="n">
        <f aca="false">Seg!G44*(al_ind+Sens!G10565)</f>
        <v>8.93609064049065</v>
      </c>
      <c r="H10568" s="6" t="n">
        <f aca="false">Seg!H44*(al_ind+Sens!H10565)</f>
        <v>9.67804935051386</v>
      </c>
      <c r="I10568" s="6" t="n">
        <f aca="false">Seg!I44*(al_ind+Sens!I10565)</f>
        <v>10.4606610595832</v>
      </c>
      <c r="J10568" s="6" t="n">
        <f aca="false">Seg!J44*(al_ind+Sens!J10565)</f>
        <v>11.275039839171</v>
      </c>
      <c r="K10568" s="6" t="n">
        <f aca="false">Seg!K44*(al_ind+Sens!K10565)</f>
        <v>12.106982482736</v>
      </c>
    </row>
    <row r="10569" customFormat="false" ht="17.15" hidden="false" customHeight="false" outlineLevel="0" collapsed="false">
      <c r="A10569" s="0" t="s">
        <v>952</v>
      </c>
      <c r="B10569" s="0" t="s">
        <v>95</v>
      </c>
      <c r="F10569" s="6" t="n">
        <f aca="false">Seg!F46*(al_fro+Sens!F10565)</f>
        <v>3.24214686942203</v>
      </c>
      <c r="G10569" s="6" t="n">
        <f aca="false">Seg!G46*(al_fro+Sens!G10565)</f>
        <v>3.43093048931594</v>
      </c>
      <c r="H10569" s="6" t="n">
        <f aca="false">Seg!H46*(al_fro+Sens!H10565)</f>
        <v>3.6470202512287</v>
      </c>
      <c r="I10569" s="6" t="n">
        <f aca="false">Seg!I46*(al_fro+Sens!I10565)</f>
        <v>3.89303230264912</v>
      </c>
      <c r="J10569" s="6" t="n">
        <f aca="false">Seg!J46*(al_fro+Sens!J10565)</f>
        <v>4.16994303150246</v>
      </c>
      <c r="K10569" s="6" t="n">
        <f aca="false">Seg!K46*(al_fro+Sens!K10565)</f>
        <v>4.47762739258926</v>
      </c>
    </row>
    <row r="10570" customFormat="false" ht="17.15" hidden="false" customHeight="false" outlineLevel="0" collapsed="false">
      <c r="A10570" s="0" t="s">
        <v>953</v>
      </c>
      <c r="B10570" s="0" t="s">
        <v>95</v>
      </c>
      <c r="F10570" s="6" t="n">
        <f aca="false">Seg!F49*(al_srch+Sens!F10565)</f>
        <v>10.1729230470907</v>
      </c>
      <c r="G10570" s="6" t="n">
        <f aca="false">Seg!G49*(al_srch+Sens!G10565)</f>
        <v>11.1403318971852</v>
      </c>
      <c r="H10570" s="6" t="n">
        <f aca="false">Seg!H49*(al_srch+Sens!H10565)</f>
        <v>12.1511421371799</v>
      </c>
      <c r="I10570" s="6" t="n">
        <f aca="false">Seg!I49*(al_srch+Sens!I10565)</f>
        <v>13.1963628712968</v>
      </c>
      <c r="J10570" s="6" t="n">
        <f aca="false">Seg!J49*(al_srch+Sens!J10565)</f>
        <v>14.2578127803031</v>
      </c>
      <c r="K10570" s="6" t="n">
        <f aca="false">Seg!K49*(al_srch+Sens!K10565)</f>
        <v>15.3098429837522</v>
      </c>
    </row>
    <row r="10571" customFormat="false" ht="17.15" hidden="false" customHeight="false" outlineLevel="0" collapsed="false">
      <c r="A10571" s="0" t="s">
        <v>954</v>
      </c>
      <c r="B10571" s="0" t="s">
        <v>95</v>
      </c>
      <c r="F10571" s="6" t="n">
        <f aca="false">Thesis!F70</f>
        <v>39.4594407491938</v>
      </c>
      <c r="G10571" s="6" t="n">
        <f aca="false">Thesis!G70</f>
        <v>66.5527545578061</v>
      </c>
      <c r="H10571" s="6" t="n">
        <f aca="false">Thesis!H70</f>
        <v>95.219644983859</v>
      </c>
      <c r="I10571" s="6" t="n">
        <f aca="false">Thesis!I70</f>
        <v>124.031840462493</v>
      </c>
      <c r="J10571" s="6" t="n">
        <f aca="false">Thesis!J70</f>
        <v>152.919994097909</v>
      </c>
      <c r="K10571" s="6" t="n">
        <f aca="false">Thesis!K70</f>
        <v>181.852830263848</v>
      </c>
    </row>
    <row r="10572" customFormat="false" ht="17.15" hidden="false" customHeight="false" outlineLevel="0" collapsed="false">
      <c r="A10572" s="0" t="s">
        <v>955</v>
      </c>
      <c r="B10572" s="0" t="s">
        <v>95</v>
      </c>
      <c r="F10572" s="6" t="n">
        <f aca="false">PL!F67+Thesis!F81+Sens!F10565*(Seg!F48-Thesis!F64)</f>
        <v>211.444651350023</v>
      </c>
      <c r="G10572" s="6" t="n">
        <f aca="false">PL!G67+Thesis!G81+Sens!G10565*(Seg!G48-Thesis!G64)</f>
        <v>258.603564397354</v>
      </c>
      <c r="H10572" s="6" t="n">
        <f aca="false">PL!H67+Thesis!H81+Sens!H10565*(Seg!H48-Thesis!H64)</f>
        <v>307.569865351584</v>
      </c>
      <c r="I10572" s="6" t="n">
        <f aca="false">PL!I67+Thesis!I81+Sens!I10565*(Seg!I48-Thesis!I64)</f>
        <v>355.542793549845</v>
      </c>
      <c r="J10572" s="6" t="n">
        <f aca="false">PL!J67+Thesis!J81+Sens!J10565*(Seg!J48-Thesis!J64)</f>
        <v>401.64028415844</v>
      </c>
      <c r="K10572" s="6" t="n">
        <f aca="false">PL!K67+Thesis!K81+Sens!K10565*(Seg!K48-Thesis!K64)</f>
        <v>445.850798387254</v>
      </c>
    </row>
    <row r="10573" customFormat="false" ht="17.15" hidden="false" customHeight="false" outlineLevel="0" collapsed="false">
      <c r="A10573" s="0" t="s">
        <v>956</v>
      </c>
      <c r="B10573" s="0" t="s">
        <v>95</v>
      </c>
      <c r="F10573" s="6" t="n">
        <f aca="false">Sens!F10572-Sens!F10566-Sens!F10567-Sens!F10568-Sens!F10569-Sens!F10571</f>
        <v>49.0568470605414</v>
      </c>
      <c r="G10573" s="6" t="n">
        <f aca="false">Sens!G10572-Sens!G10566-Sens!G10567-Sens!G10568-Sens!G10569-Sens!G10571</f>
        <v>55.2424980598302</v>
      </c>
      <c r="H10573" s="6" t="n">
        <f aca="false">Sens!H10572-Sens!H10566-Sens!H10567-Sens!H10568-Sens!H10569-Sens!H10571</f>
        <v>61.5124445216581</v>
      </c>
      <c r="I10573" s="6" t="n">
        <f aca="false">Sens!I10572-Sens!I10566-Sens!I10567-Sens!I10568-Sens!I10569-Sens!I10571</f>
        <v>67.6266257295162</v>
      </c>
      <c r="J10573" s="6" t="n">
        <f aca="false">Sens!J10572-Sens!J10566-Sens!J10567-Sens!J10568-Sens!J10569-Sens!J10571</f>
        <v>72.9830901520934</v>
      </c>
      <c r="K10573" s="6" t="n">
        <f aca="false">Sens!K10572-Sens!K10566-Sens!K10567-Sens!K10568-Sens!K10569-Sens!K10571</f>
        <v>76.8739628312856</v>
      </c>
    </row>
    <row r="10574" customFormat="false" ht="17.15" hidden="false" customHeight="false" outlineLevel="0" collapsed="false">
      <c r="A10574" s="0" t="s">
        <v>957</v>
      </c>
      <c r="B10574" s="0" t="s">
        <v>95</v>
      </c>
      <c r="F10574" s="6" t="n">
        <f aca="false">PL!F69+Sens!F10565*Seg!F55</f>
        <v>23.7531412609386</v>
      </c>
      <c r="G10574" s="6" t="n">
        <f aca="false">PL!G69+Sens!G10565*Seg!G55</f>
        <v>24.289549634664</v>
      </c>
      <c r="H10574" s="6" t="n">
        <f aca="false">PL!H69+Sens!H10565*Seg!H55</f>
        <v>25.0756909710291</v>
      </c>
      <c r="I10574" s="6" t="n">
        <f aca="false">PL!I69+Sens!I10565*Seg!I55</f>
        <v>26.084576762931</v>
      </c>
      <c r="J10574" s="6" t="n">
        <f aca="false">PL!J69+Sens!J10565*Seg!J55</f>
        <v>27.2832671034962</v>
      </c>
      <c r="K10574" s="6" t="n">
        <f aca="false">PL!K69+Sens!K10565*Seg!K55</f>
        <v>28.6364406758481</v>
      </c>
    </row>
    <row r="10575" customFormat="false" ht="17.15" hidden="false" customHeight="false" outlineLevel="0" collapsed="false">
      <c r="A10575" s="0" t="s">
        <v>958</v>
      </c>
      <c r="B10575" s="0" t="s">
        <v>95</v>
      </c>
      <c r="F10575" s="6" t="n">
        <f aca="false">(Sens!F10574-Sens!F10570)*Seg!F51/(Seg!F51+Seg!F53)</f>
        <v>7.4445433554226</v>
      </c>
      <c r="G10575" s="6" t="n">
        <f aca="false">(Sens!G10574-Sens!G10570)*Seg!G51/(Seg!G51+Seg!G53)</f>
        <v>7.07975003595558</v>
      </c>
      <c r="H10575" s="6" t="n">
        <f aca="false">(Sens!H10574-Sens!H10570)*Seg!H51/(Seg!H51+Seg!H53)</f>
        <v>6.86478313784268</v>
      </c>
      <c r="I10575" s="6" t="n">
        <f aca="false">(Sens!I10574-Sens!I10570)*Seg!I51/(Seg!I51+Seg!I53)</f>
        <v>6.78354606184423</v>
      </c>
      <c r="J10575" s="6" t="n">
        <f aca="false">(Sens!J10574-Sens!J10570)*Seg!J51/(Seg!J51+Seg!J53)</f>
        <v>6.82477921474853</v>
      </c>
      <c r="K10575" s="6" t="n">
        <f aca="false">(Sens!K10574-Sens!K10570)*Seg!K51/(Seg!K51+Seg!K53)</f>
        <v>6.98256541964795</v>
      </c>
    </row>
    <row r="10576" customFormat="false" ht="17.15" hidden="false" customHeight="false" outlineLevel="0" collapsed="false">
      <c r="A10576" s="0" t="s">
        <v>959</v>
      </c>
      <c r="B10576" s="0" t="s">
        <v>95</v>
      </c>
      <c r="F10576" s="6" t="n">
        <f aca="false">Sens!F10574-Sens!F10570-Sens!F10575</f>
        <v>6.1356748584253</v>
      </c>
      <c r="G10576" s="6" t="n">
        <f aca="false">Sens!G10574-Sens!G10570-Sens!G10575</f>
        <v>6.06946770152326</v>
      </c>
      <c r="H10576" s="6" t="n">
        <f aca="false">Sens!H10574-Sens!H10570-Sens!H10575</f>
        <v>6.05976569600657</v>
      </c>
      <c r="I10576" s="6" t="n">
        <f aca="false">Sens!I10574-Sens!I10570-Sens!I10575</f>
        <v>6.10466782979</v>
      </c>
      <c r="J10576" s="6" t="n">
        <f aca="false">Sens!J10574-Sens!J10570-Sens!J10575</f>
        <v>6.20067510844453</v>
      </c>
      <c r="K10576" s="6" t="n">
        <f aca="false">Sens!K10574-Sens!K10570-Sens!K10575</f>
        <v>6.34403227244794</v>
      </c>
    </row>
    <row r="10577" customFormat="false" ht="17.15" hidden="false" customHeight="false" outlineLevel="0" collapsed="false">
      <c r="A10577" s="1" t="s">
        <v>960</v>
      </c>
      <c r="B10577" s="0" t="s">
        <v>95</v>
      </c>
      <c r="C10577" s="6" t="n">
        <f aca="false">(w_ntm28*Sens!G10571+(1-w_ntm28)*Sens!H10571)*m_ai*1</f>
        <v>454.922440830797</v>
      </c>
    </row>
    <row r="10578" customFormat="false" ht="17.15" hidden="false" customHeight="false" outlineLevel="0" collapsed="false">
      <c r="A10578" s="1" t="s">
        <v>961</v>
      </c>
      <c r="B10578" s="0" t="s">
        <v>95</v>
      </c>
      <c r="C10578" s="6" t="n">
        <f aca="false">(w_ntm28*Sens!G10573+(1-w_ntm28)*Sens!H10573)*m_cloud*1</f>
        <v>791.46441330217</v>
      </c>
    </row>
    <row r="10579" customFormat="false" ht="17.15" hidden="false" customHeight="false" outlineLevel="0" collapsed="false">
      <c r="A10579" s="1" t="s">
        <v>962</v>
      </c>
      <c r="B10579" s="0" t="s">
        <v>95</v>
      </c>
      <c r="C10579" s="6" t="n">
        <f aca="false">(w_ntm28*Sens!G10566+(1-w_ntm28)*Sens!H10566)*m_sw*1</f>
        <v>1026.79623553955</v>
      </c>
    </row>
    <row r="10580" customFormat="false" ht="17.15" hidden="false" customHeight="false" outlineLevel="0" collapsed="false">
      <c r="A10580" s="1" t="s">
        <v>963</v>
      </c>
      <c r="B10580" s="0" t="s">
        <v>95</v>
      </c>
      <c r="C10580" s="6" t="n">
        <f aca="false">(w_ntm28*Sens!G10567+(1-w_ntm28)*Sens!H10567)*m_sw*1</f>
        <v>362.808640557625</v>
      </c>
    </row>
    <row r="10581" customFormat="false" ht="17.15" hidden="false" customHeight="false" outlineLevel="0" collapsed="false">
      <c r="A10581" s="1" t="s">
        <v>964</v>
      </c>
      <c r="B10581" s="0" t="s">
        <v>95</v>
      </c>
      <c r="C10581" s="6" t="n">
        <f aca="false">(w_ntm28*Sens!G10568+(1-w_ntm28)*Sens!H10568)*m_sw*1</f>
        <v>99.1003328352541</v>
      </c>
    </row>
    <row r="10582" customFormat="false" ht="17.15" hidden="false" customHeight="false" outlineLevel="0" collapsed="false">
      <c r="A10582" s="1" t="s">
        <v>965</v>
      </c>
      <c r="B10582" s="0" t="s">
        <v>95</v>
      </c>
      <c r="C10582" s="6" t="n">
        <f aca="false">(w_ntm28*Sens!G10569+(1-w_ntm28)*Sens!H10569)*m_sw*1</f>
        <v>37.8085281683974</v>
      </c>
    </row>
    <row r="10583" customFormat="false" ht="17.15" hidden="false" customHeight="false" outlineLevel="0" collapsed="false">
      <c r="A10583" s="1" t="s">
        <v>966</v>
      </c>
      <c r="B10583" s="0" t="s">
        <v>95</v>
      </c>
      <c r="C10583" s="6" t="n">
        <f aca="false">(w_ntm28*Sens!G10570+(1-w_ntm28)*Sens!H10570)*m_ads*1</f>
        <v>104.465412054013</v>
      </c>
    </row>
    <row r="10584" customFormat="false" ht="17.15" hidden="false" customHeight="false" outlineLevel="0" collapsed="false">
      <c r="A10584" s="1" t="s">
        <v>967</v>
      </c>
      <c r="B10584" s="0" t="s">
        <v>95</v>
      </c>
      <c r="C10584" s="6" t="n">
        <f aca="false">(w_ntm28*Sens!G10575+(1-w_ntm28)*Sens!H10575)*m_game*1</f>
        <v>88.5395066063557</v>
      </c>
    </row>
    <row r="10585" customFormat="false" ht="17.15" hidden="false" customHeight="false" outlineLevel="0" collapsed="false">
      <c r="A10585" s="1" t="s">
        <v>968</v>
      </c>
      <c r="B10585" s="0" t="s">
        <v>95</v>
      </c>
      <c r="C10585" s="6" t="n">
        <f aca="false">(w_ntm28*Sens!G10576+(1-w_ntm28)*Sens!H10576)*m_pc*1</f>
        <v>87.7798119250428</v>
      </c>
    </row>
    <row r="10586" customFormat="false" ht="17.15" hidden="false" customHeight="false" outlineLevel="0" collapsed="false">
      <c r="A10586" s="1" t="s">
        <v>969</v>
      </c>
      <c r="B10586" s="0" t="s">
        <v>95</v>
      </c>
      <c r="C10586" s="6" t="n">
        <f aca="false">Sens!$C$10577+Sens!$C$10578+Sens!$C$10579+Sens!$C$10580+Sens!$C$10581+Sens!$C$10582+Sens!$C$10583+Sens!$C$10584+Sens!$C$10585</f>
        <v>3053.68532181921</v>
      </c>
    </row>
    <row r="10587" customFormat="false" ht="17.15" hidden="false" customHeight="false" outlineLevel="0" collapsed="false">
      <c r="A10587" s="1" t="s">
        <v>903</v>
      </c>
      <c r="B10587" s="0" t="s">
        <v>95</v>
      </c>
      <c r="C10587" s="6" t="n">
        <f aca="false">CF!F64+oai_v-CF!F53</f>
        <v>111.253995542787</v>
      </c>
      <c r="L10587" s="1" t="s">
        <v>970</v>
      </c>
    </row>
    <row r="10588" customFormat="false" ht="15" hidden="false" customHeight="false" outlineLevel="0" collapsed="false">
      <c r="A10588" s="1" t="s">
        <v>904</v>
      </c>
      <c r="B10588" s="0" t="s">
        <v>73</v>
      </c>
      <c r="C10588" s="5" t="n">
        <f aca="false">(Sens!$C$10586+Sens!$C$10587)/CF!F66</f>
        <v>423.573249111616</v>
      </c>
    </row>
    <row r="10589" customFormat="false" ht="17.15" hidden="false" customHeight="false" outlineLevel="0" collapsed="false">
      <c r="A10589" s="1" t="s">
        <v>971</v>
      </c>
      <c r="B10589" s="0" t="s">
        <v>73</v>
      </c>
      <c r="C10589" s="5" t="n">
        <f aca="false">w_dcf*Sens!$C$10564+(1-w_dcf)*Sens!$C$10588</f>
        <v>342.841321490648</v>
      </c>
    </row>
    <row r="10590" customFormat="false" ht="17.15" hidden="false" customHeight="false" outlineLevel="0" collapsed="false">
      <c r="A10590" s="3" t="s">
        <v>1416</v>
      </c>
    </row>
    <row r="10591" customFormat="false" ht="15" hidden="false" customHeight="false" outlineLevel="0" collapsed="false">
      <c r="A10591" s="4" t="s">
        <v>43</v>
      </c>
      <c r="B10591" s="4" t="s">
        <v>63</v>
      </c>
      <c r="C10591" s="19" t="s">
        <v>710</v>
      </c>
      <c r="D10591" s="19" t="s">
        <v>711</v>
      </c>
      <c r="E10591" s="19" t="s">
        <v>712</v>
      </c>
      <c r="F10591" s="19" t="s">
        <v>713</v>
      </c>
      <c r="G10591" s="19" t="s">
        <v>714</v>
      </c>
      <c r="H10591" s="19" t="s">
        <v>715</v>
      </c>
      <c r="I10591" s="19" t="s">
        <v>716</v>
      </c>
      <c r="J10591" s="19" t="s">
        <v>717</v>
      </c>
      <c r="K10591" s="19" t="s">
        <v>718</v>
      </c>
      <c r="L10591" s="4" t="s">
        <v>47</v>
      </c>
    </row>
    <row r="10592" customFormat="false" ht="17.15" hidden="false" customHeight="false" outlineLevel="0" collapsed="false">
      <c r="A10592" s="1" t="s">
        <v>938</v>
      </c>
      <c r="B10592" s="1" t="s">
        <v>213</v>
      </c>
      <c r="F10592" s="34" t="n">
        <f aca="false">1-0.5</f>
        <v>0.5</v>
      </c>
      <c r="G10592" s="34" t="n">
        <f aca="false">2-0.5</f>
        <v>1.5</v>
      </c>
      <c r="H10592" s="34" t="n">
        <f aca="false">3-0.5</f>
        <v>2.5</v>
      </c>
      <c r="I10592" s="34" t="n">
        <f aca="false">4-0.5</f>
        <v>3.5</v>
      </c>
      <c r="J10592" s="34" t="n">
        <f aca="false">5-0.5</f>
        <v>4.5</v>
      </c>
      <c r="K10592" s="34" t="n">
        <f aca="false">6-0.5</f>
        <v>5.5</v>
      </c>
    </row>
    <row r="10593" customFormat="false" ht="15" hidden="false" customHeight="false" outlineLevel="0" collapsed="false">
      <c r="A10593" s="1" t="s">
        <v>939</v>
      </c>
      <c r="B10593" s="0" t="s">
        <v>182</v>
      </c>
      <c r="F10593" s="18" t="n">
        <f aca="false">1/(1+(wacc-0.01))^Sens!F10592</f>
        <v>0.953912238873929</v>
      </c>
      <c r="G10593" s="18" t="n">
        <f aca="false">1/(1+(wacc-0.01))^Sens!G10592</f>
        <v>0.868011067627446</v>
      </c>
      <c r="H10593" s="18" t="n">
        <f aca="false">1/(1+(wacc-0.01))^Sens!H10592</f>
        <v>0.789845420594625</v>
      </c>
      <c r="I10593" s="18" t="n">
        <f aca="false">1/(1+(wacc-0.01))^Sens!I10592</f>
        <v>0.718718702676797</v>
      </c>
      <c r="J10593" s="18" t="n">
        <f aca="false">1/(1+(wacc-0.01))^Sens!J10592</f>
        <v>0.653997048167394</v>
      </c>
      <c r="K10593" s="18" t="n">
        <f aca="false">1/(1+(wacc-0.01))^Sens!K10592</f>
        <v>0.595103671879823</v>
      </c>
    </row>
    <row r="10594" customFormat="false" ht="15" hidden="false" customHeight="false" outlineLevel="0" collapsed="false">
      <c r="A10594" s="1" t="s">
        <v>940</v>
      </c>
      <c r="B10594" s="0" t="s">
        <v>95</v>
      </c>
      <c r="F10594" s="6" t="n">
        <f aca="false">CF!F83*Sens!F10593</f>
        <v>-3.08045449315759</v>
      </c>
      <c r="G10594" s="6" t="n">
        <f aca="false">CF!G83*Sens!G10593</f>
        <v>15.5468607592094</v>
      </c>
      <c r="H10594" s="6" t="n">
        <f aca="false">CF!H83*Sens!H10593</f>
        <v>33.4917563685776</v>
      </c>
      <c r="I10594" s="6" t="n">
        <f aca="false">CF!I83*Sens!I10593</f>
        <v>33.5825246938835</v>
      </c>
      <c r="J10594" s="6" t="n">
        <f aca="false">CF!J83*Sens!J10593</f>
        <v>42.7340379049572</v>
      </c>
      <c r="K10594" s="6" t="n">
        <f aca="false">CF!K83*Sens!K10593</f>
        <v>31.9256393746322</v>
      </c>
    </row>
    <row r="10595" customFormat="false" ht="17.15" hidden="false" customHeight="false" outlineLevel="0" collapsed="false">
      <c r="A10595" s="1" t="s">
        <v>941</v>
      </c>
      <c r="B10595" s="0" t="s">
        <v>95</v>
      </c>
      <c r="C10595" s="6" t="n">
        <f aca="false">SUM(Sens!F10594:K10594)</f>
        <v>154.200364608102</v>
      </c>
    </row>
    <row r="10596" customFormat="false" ht="17.15" hidden="false" customHeight="false" outlineLevel="0" collapsed="false">
      <c r="A10596" s="1" t="s">
        <v>942</v>
      </c>
      <c r="B10596" s="0" t="s">
        <v>95</v>
      </c>
      <c r="C10596" s="6" t="n">
        <f aca="false">PL!K105*(1+g_tv)*(1-tax_f)</f>
        <v>165.083397962666</v>
      </c>
    </row>
    <row r="10597" customFormat="false" ht="17.15" hidden="false" customHeight="false" outlineLevel="0" collapsed="false">
      <c r="A10597" s="1" t="s">
        <v>943</v>
      </c>
      <c r="B10597" s="0" t="s">
        <v>95</v>
      </c>
      <c r="C10597" s="6" t="n">
        <f aca="false">Sens!$C$10596*(1-g_tv/((wacc-0.01)+ronic_prem))</f>
        <v>115.039534380652</v>
      </c>
    </row>
    <row r="10598" customFormat="false" ht="17.15" hidden="false" customHeight="false" outlineLevel="0" collapsed="false">
      <c r="A10598" s="1" t="s">
        <v>944</v>
      </c>
      <c r="B10598" s="0" t="s">
        <v>95</v>
      </c>
      <c r="C10598" s="6" t="n">
        <f aca="false">Sens!$C$10597/((wacc-0.01)-g_tv)</f>
        <v>1668.12878606713</v>
      </c>
    </row>
    <row r="10599" customFormat="false" ht="15" hidden="false" customHeight="false" outlineLevel="0" collapsed="false">
      <c r="A10599" s="1" t="s">
        <v>945</v>
      </c>
      <c r="B10599" s="0" t="s">
        <v>95</v>
      </c>
      <c r="C10599" s="6" t="n">
        <f aca="false">Sens!$C$10598/(1+(wacc-0.01))^6</f>
        <v>946.957804422806</v>
      </c>
    </row>
    <row r="10600" customFormat="false" ht="17.15" hidden="false" customHeight="false" outlineLevel="0" collapsed="false">
      <c r="A10600" s="0" t="s">
        <v>877</v>
      </c>
      <c r="B10600" s="0" t="s">
        <v>95</v>
      </c>
      <c r="C10600" s="6" t="n">
        <f aca="false">Sens!$C$10595+Sens!$C$10599</f>
        <v>1101.15816903091</v>
      </c>
    </row>
    <row r="10601" customFormat="false" ht="15" hidden="false" customHeight="false" outlineLevel="0" collapsed="false">
      <c r="A10601" s="1" t="s">
        <v>878</v>
      </c>
      <c r="B10601" s="0" t="s">
        <v>126</v>
      </c>
      <c r="C10601" s="7" t="n">
        <f aca="false">Sens!$C$10599/Sens!$C$10600</f>
        <v>0.859965290232729</v>
      </c>
    </row>
    <row r="10602" customFormat="false" ht="17.15" hidden="false" customHeight="false" outlineLevel="0" collapsed="false">
      <c r="A10602" s="1" t="s">
        <v>946</v>
      </c>
      <c r="B10602" s="0" t="s">
        <v>95</v>
      </c>
      <c r="C10602" s="6" t="n">
        <f aca="false">Sens!$C$10600+CF!E92+oai_v</f>
        <v>1302.26516903091</v>
      </c>
    </row>
    <row r="10603" customFormat="false" ht="17.15" hidden="false" customHeight="false" outlineLevel="0" collapsed="false">
      <c r="A10603" s="0" t="s">
        <v>883</v>
      </c>
      <c r="B10603" s="0" t="s">
        <v>73</v>
      </c>
      <c r="C10603" s="5" t="n">
        <f aca="false">Sens!$C$10602/sh_dil26</f>
        <v>174.730332621885</v>
      </c>
    </row>
    <row r="10604" customFormat="false" ht="17.15" hidden="false" customHeight="false" outlineLevel="0" collapsed="false">
      <c r="A10604" s="0" t="s">
        <v>947</v>
      </c>
      <c r="B10604" s="0" t="s">
        <v>73</v>
      </c>
      <c r="C10604" s="5" t="n">
        <f aca="false">Sens!$C$10603*(1+(wacc-0.01))^t_roll</f>
        <v>198.021841195467</v>
      </c>
    </row>
    <row r="10605" customFormat="false" ht="17.15" hidden="false" customHeight="false" outlineLevel="0" collapsed="false">
      <c r="A10605" s="1" t="s">
        <v>948</v>
      </c>
      <c r="B10605" s="0" t="s">
        <v>126</v>
      </c>
      <c r="F10605" s="7" t="n">
        <f aca="false">CF!F73/(Seg!F83-Thesis!F108)</f>
        <v>0.0686864325746334</v>
      </c>
      <c r="G10605" s="7" t="n">
        <f aca="false">CF!G73/(Seg!G83-Thesis!G108)</f>
        <v>0.066267001590801</v>
      </c>
      <c r="H10605" s="7" t="n">
        <f aca="false">CF!H73/(Seg!H83-Thesis!H108)</f>
        <v>0.0650366246750144</v>
      </c>
      <c r="I10605" s="7" t="n">
        <f aca="false">CF!I73/(Seg!I83-Thesis!I108)</f>
        <v>0.0648573271390164</v>
      </c>
      <c r="J10605" s="7" t="n">
        <f aca="false">CF!J73/(Seg!J83-Thesis!J108)</f>
        <v>0.0655189837669657</v>
      </c>
      <c r="K10605" s="7" t="n">
        <f aca="false">CF!K73/(Seg!K83-Thesis!K108)</f>
        <v>0.0667878921367872</v>
      </c>
    </row>
    <row r="10606" customFormat="false" ht="17.15" hidden="false" customHeight="false" outlineLevel="0" collapsed="false">
      <c r="A10606" s="0" t="s">
        <v>949</v>
      </c>
      <c r="B10606" s="0" t="s">
        <v>95</v>
      </c>
      <c r="F10606" s="6" t="n">
        <f aca="false">Seg!F68*(al_m365+Sens!F10605)</f>
        <v>78.4986969872395</v>
      </c>
      <c r="G10606" s="6" t="n">
        <f aca="false">Seg!G68*(al_m365+Sens!G10605)</f>
        <v>88.3098056906507</v>
      </c>
      <c r="H10606" s="6" t="n">
        <f aca="false">Seg!H68*(al_m365+Sens!H10605)</f>
        <v>98.2773562913015</v>
      </c>
      <c r="I10606" s="6" t="n">
        <f aca="false">Seg!I68*(al_m365+Sens!I10605)</f>
        <v>107.762753675846</v>
      </c>
      <c r="J10606" s="6" t="n">
        <f aca="false">Seg!J68*(al_m365+Sens!J10605)</f>
        <v>116.587414331333</v>
      </c>
      <c r="K10606" s="6" t="n">
        <f aca="false">Seg!K68*(al_m365+Sens!K10605)</f>
        <v>125.041394489287</v>
      </c>
    </row>
    <row r="10607" customFormat="false" ht="17.15" hidden="false" customHeight="false" outlineLevel="0" collapsed="false">
      <c r="A10607" s="0" t="s">
        <v>950</v>
      </c>
      <c r="B10607" s="0" t="s">
        <v>95</v>
      </c>
      <c r="F10607" s="6" t="n">
        <f aca="false">Seg!F69*(al_lic+Sens!F10605)</f>
        <v>31.9877845991607</v>
      </c>
      <c r="G10607" s="6" t="n">
        <f aca="false">Seg!G69*(al_lic+Sens!G10605)</f>
        <v>33.243749427372</v>
      </c>
      <c r="H10607" s="6" t="n">
        <f aca="false">Seg!H69*(al_lic+Sens!H10605)</f>
        <v>34.4137793872059</v>
      </c>
      <c r="I10607" s="6" t="n">
        <f aca="false">Seg!I69*(al_lic+Sens!I10605)</f>
        <v>35.4787240806467</v>
      </c>
      <c r="J10607" s="6" t="n">
        <f aca="false">Seg!J69*(al_lic+Sens!J10605)</f>
        <v>36.4160307520991</v>
      </c>
      <c r="K10607" s="6" t="n">
        <f aca="false">Seg!K69*(al_lic+Sens!K10605)</f>
        <v>37.2021461938459</v>
      </c>
    </row>
    <row r="10608" customFormat="false" ht="17.15" hidden="false" customHeight="false" outlineLevel="0" collapsed="false">
      <c r="A10608" s="0" t="s">
        <v>951</v>
      </c>
      <c r="B10608" s="0" t="s">
        <v>95</v>
      </c>
      <c r="F10608" s="6" t="n">
        <f aca="false">Seg!F71*(al_ind+Sens!F10605)</f>
        <v>8.24280380456612</v>
      </c>
      <c r="G10608" s="6" t="n">
        <f aca="false">Seg!G71*(al_ind+Sens!G10605)</f>
        <v>8.9512770630031</v>
      </c>
      <c r="H10608" s="6" t="n">
        <f aca="false">Seg!H71*(al_ind+Sens!H10605)</f>
        <v>9.70041215792393</v>
      </c>
      <c r="I10608" s="6" t="n">
        <f aca="false">Seg!I71*(al_ind+Sens!I10605)</f>
        <v>10.4864435829487</v>
      </c>
      <c r="J10608" s="6" t="n">
        <f aca="false">Seg!J71*(al_ind+Sens!J10605)</f>
        <v>11.3015744981253</v>
      </c>
      <c r="K10608" s="6" t="n">
        <f aca="false">Seg!K71*(al_ind+Sens!K10605)</f>
        <v>12.1346647729291</v>
      </c>
    </row>
    <row r="10609" customFormat="false" ht="17.15" hidden="false" customHeight="false" outlineLevel="0" collapsed="false">
      <c r="A10609" s="0" t="s">
        <v>952</v>
      </c>
      <c r="B10609" s="0" t="s">
        <v>95</v>
      </c>
      <c r="F10609" s="6" t="n">
        <f aca="false">Seg!F73*(al_fro+Sens!F10605)</f>
        <v>3.24439651632051</v>
      </c>
      <c r="G10609" s="6" t="n">
        <f aca="false">Seg!G73*(al_fro+Sens!G10605)</f>
        <v>3.43676117771401</v>
      </c>
      <c r="H10609" s="6" t="n">
        <f aca="false">Seg!H73*(al_fro+Sens!H10605)</f>
        <v>3.65544732248501</v>
      </c>
      <c r="I10609" s="6" t="n">
        <f aca="false">Seg!I73*(al_fro+Sens!I10605)</f>
        <v>3.90262750850979</v>
      </c>
      <c r="J10609" s="6" t="n">
        <f aca="false">Seg!J73*(al_fro+Sens!J10605)</f>
        <v>4.17975656810881</v>
      </c>
      <c r="K10609" s="6" t="n">
        <f aca="false">Seg!K73*(al_fro+Sens!K10605)</f>
        <v>4.48786536733111</v>
      </c>
    </row>
    <row r="10610" customFormat="false" ht="17.15" hidden="false" customHeight="false" outlineLevel="0" collapsed="false">
      <c r="A10610" s="0" t="s">
        <v>953</v>
      </c>
      <c r="B10610" s="0" t="s">
        <v>95</v>
      </c>
      <c r="F10610" s="6" t="n">
        <f aca="false">Seg!F76*(al_srch+Sens!F10605)</f>
        <v>10.1799817910968</v>
      </c>
      <c r="G10610" s="6" t="n">
        <f aca="false">Seg!G76*(al_srch+Sens!G10605)</f>
        <v>11.1592643133754</v>
      </c>
      <c r="H10610" s="6" t="n">
        <f aca="false">Seg!H76*(al_srch+Sens!H10605)</f>
        <v>12.1792194533398</v>
      </c>
      <c r="I10610" s="6" t="n">
        <f aca="false">Seg!I76*(al_srch+Sens!I10605)</f>
        <v>13.2288881134521</v>
      </c>
      <c r="J10610" s="6" t="n">
        <f aca="false">Seg!J76*(al_srch+Sens!J10605)</f>
        <v>14.2913670918582</v>
      </c>
      <c r="K10610" s="6" t="n">
        <f aca="false">Seg!K76*(al_srch+Sens!K10605)</f>
        <v>15.3448485284362</v>
      </c>
    </row>
    <row r="10611" customFormat="false" ht="17.15" hidden="false" customHeight="false" outlineLevel="0" collapsed="false">
      <c r="A10611" s="0" t="s">
        <v>954</v>
      </c>
      <c r="B10611" s="0" t="s">
        <v>95</v>
      </c>
      <c r="F10611" s="6" t="n">
        <f aca="false">Thesis!F114</f>
        <v>35.0573455625419</v>
      </c>
      <c r="G10611" s="6" t="n">
        <f aca="false">Thesis!G114</f>
        <v>52.2504971712871</v>
      </c>
      <c r="H10611" s="6" t="n">
        <f aca="false">Thesis!H114</f>
        <v>65.2796698510271</v>
      </c>
      <c r="I10611" s="6" t="n">
        <f aca="false">Thesis!I114</f>
        <v>85.5659922535278</v>
      </c>
      <c r="J10611" s="6" t="n">
        <f aca="false">Thesis!J114</f>
        <v>105.90773710582</v>
      </c>
      <c r="K10611" s="6" t="n">
        <f aca="false">Thesis!K114</f>
        <v>126.282084319851</v>
      </c>
    </row>
    <row r="10612" customFormat="false" ht="17.15" hidden="false" customHeight="false" outlineLevel="0" collapsed="false">
      <c r="A10612" s="0" t="s">
        <v>955</v>
      </c>
      <c r="B10612" s="0" t="s">
        <v>95</v>
      </c>
      <c r="F10612" s="6" t="n">
        <f aca="false">PL!F102+Thesis!F125+Sens!F10605*(Seg!F75-Thesis!F108)</f>
        <v>206.154467007856</v>
      </c>
      <c r="G10612" s="6" t="n">
        <f aca="false">PL!G102+Thesis!G125+Sens!G10605*(Seg!G75-Thesis!G108)</f>
        <v>241.631787518433</v>
      </c>
      <c r="H10612" s="6" t="n">
        <f aca="false">PL!H102+Thesis!H125+Sens!H10605*(Seg!H75-Thesis!H108)</f>
        <v>273.161508717552</v>
      </c>
      <c r="I10612" s="6" t="n">
        <f aca="false">PL!I102+Thesis!I125+Sens!I10605*(Seg!I75-Thesis!I108)</f>
        <v>311.232758290592</v>
      </c>
      <c r="J10612" s="6" t="n">
        <f aca="false">PL!J102+Thesis!J125+Sens!J10605*(Seg!J75-Thesis!J108)</f>
        <v>347.836227364385</v>
      </c>
      <c r="K10612" s="6" t="n">
        <f aca="false">PL!K102+Thesis!K125+Sens!K10605*(Seg!K75-Thesis!K108)</f>
        <v>382.533402332059</v>
      </c>
    </row>
    <row r="10613" customFormat="false" ht="17.15" hidden="false" customHeight="false" outlineLevel="0" collapsed="false">
      <c r="A10613" s="0" t="s">
        <v>956</v>
      </c>
      <c r="B10613" s="0" t="s">
        <v>95</v>
      </c>
      <c r="F10613" s="6" t="n">
        <f aca="false">Sens!F10612-Sens!F10606-Sens!F10607-Sens!F10608-Sens!F10609-Sens!F10611</f>
        <v>49.123439538027</v>
      </c>
      <c r="G10613" s="6" t="n">
        <f aca="false">Sens!G10612-Sens!G10606-Sens!G10607-Sens!G10608-Sens!G10609-Sens!G10611</f>
        <v>55.4396969884061</v>
      </c>
      <c r="H10613" s="6" t="n">
        <f aca="false">Sens!H10612-Sens!H10606-Sens!H10607-Sens!H10608-Sens!H10609-Sens!H10611</f>
        <v>61.8348437076084</v>
      </c>
      <c r="I10613" s="6" t="n">
        <f aca="false">Sens!I10612-Sens!I10606-Sens!I10607-Sens!I10608-Sens!I10609-Sens!I10611</f>
        <v>68.0362171891129</v>
      </c>
      <c r="J10613" s="6" t="n">
        <f aca="false">Sens!J10612-Sens!J10606-Sens!J10607-Sens!J10608-Sens!J10609-Sens!J10611</f>
        <v>73.4437141088982</v>
      </c>
      <c r="K10613" s="6" t="n">
        <f aca="false">Sens!K10612-Sens!K10606-Sens!K10607-Sens!K10608-Sens!K10609-Sens!K10611</f>
        <v>77.3852471888144</v>
      </c>
    </row>
    <row r="10614" customFormat="false" ht="17.15" hidden="false" customHeight="false" outlineLevel="0" collapsed="false">
      <c r="A10614" s="0" t="s">
        <v>957</v>
      </c>
      <c r="B10614" s="0" t="s">
        <v>95</v>
      </c>
      <c r="F10614" s="6" t="n">
        <f aca="false">PL!F104+Sens!F10605*Seg!F82</f>
        <v>23.7697943901369</v>
      </c>
      <c r="G10614" s="6" t="n">
        <f aca="false">PL!G104+Sens!G10605*Seg!G82</f>
        <v>24.331261048114</v>
      </c>
      <c r="H10614" s="6" t="n">
        <f aca="false">PL!H104+Sens!H10605*Seg!H82</f>
        <v>25.1342423406419</v>
      </c>
      <c r="I10614" s="6" t="n">
        <f aca="false">PL!I104+Sens!I10605*Seg!I82</f>
        <v>26.1495446421549</v>
      </c>
      <c r="J10614" s="6" t="n">
        <f aca="false">PL!J104+Sens!J10605*Seg!J82</f>
        <v>27.3481502080811</v>
      </c>
      <c r="K10614" s="6" t="n">
        <f aca="false">PL!K104+Sens!K10605*Seg!K82</f>
        <v>28.7026027133478</v>
      </c>
    </row>
    <row r="10615" customFormat="false" ht="17.15" hidden="false" customHeight="false" outlineLevel="0" collapsed="false">
      <c r="A10615" s="0" t="s">
        <v>958</v>
      </c>
      <c r="B10615" s="0" t="s">
        <v>95</v>
      </c>
      <c r="F10615" s="6" t="n">
        <f aca="false">(Sens!F10614-Sens!F10610)*Seg!F78/(Seg!F78+Seg!F80)</f>
        <v>7.44980290393703</v>
      </c>
      <c r="G10615" s="6" t="n">
        <f aca="false">(Sens!G10614-Sens!G10610)*Seg!G78/(Seg!G78+Seg!G80)</f>
        <v>7.09201461396229</v>
      </c>
      <c r="H10615" s="6" t="n">
        <f aca="false">(Sens!H10614-Sens!H10610)*Seg!H78/(Seg!H78+Seg!H80)</f>
        <v>6.8809692168288</v>
      </c>
      <c r="I10615" s="6" t="n">
        <f aca="false">(Sens!I10614-Sens!I10610)*Seg!I78/(Seg!I78+Seg!I80)</f>
        <v>6.80062182771623</v>
      </c>
      <c r="J10615" s="6" t="n">
        <f aca="false">(Sens!J10614-Sens!J10610)*Seg!J78/(Seg!J78+Seg!J80)</f>
        <v>6.84119415814997</v>
      </c>
      <c r="K10615" s="6" t="n">
        <f aca="false">(Sens!K10614-Sens!K10610)*Seg!K78/(Seg!K78+Seg!K80)</f>
        <v>6.99889008512966</v>
      </c>
    </row>
    <row r="10616" customFormat="false" ht="17.15" hidden="false" customHeight="false" outlineLevel="0" collapsed="false">
      <c r="A10616" s="0" t="s">
        <v>959</v>
      </c>
      <c r="B10616" s="0" t="s">
        <v>95</v>
      </c>
      <c r="F10616" s="6" t="n">
        <f aca="false">Sens!F10614-Sens!F10610-Sens!F10615</f>
        <v>6.14000969510312</v>
      </c>
      <c r="G10616" s="6" t="n">
        <f aca="false">Sens!G10614-Sens!G10610-Sens!G10615</f>
        <v>6.07998212077627</v>
      </c>
      <c r="H10616" s="6" t="n">
        <f aca="false">Sens!H10614-Sens!H10610-Sens!H10615</f>
        <v>6.07405367047327</v>
      </c>
      <c r="I10616" s="6" t="n">
        <f aca="false">Sens!I10614-Sens!I10610-Sens!I10615</f>
        <v>6.12003470098649</v>
      </c>
      <c r="J10616" s="6" t="n">
        <f aca="false">Sens!J10614-Sens!J10610-Sens!J10615</f>
        <v>6.21558895807294</v>
      </c>
      <c r="K10616" s="6" t="n">
        <f aca="false">Sens!K10614-Sens!K10610-Sens!K10615</f>
        <v>6.35886409978198</v>
      </c>
    </row>
    <row r="10617" customFormat="false" ht="17.15" hidden="false" customHeight="false" outlineLevel="0" collapsed="false">
      <c r="A10617" s="1" t="s">
        <v>960</v>
      </c>
      <c r="B10617" s="0" t="s">
        <v>95</v>
      </c>
      <c r="C10617" s="6" t="n">
        <f aca="false">(w_ntm28*Sens!G10611+(1-w_ntm28)*Sens!H10611)*m_ai*1</f>
        <v>338.776008390068</v>
      </c>
    </row>
    <row r="10618" customFormat="false" ht="17.15" hidden="false" customHeight="false" outlineLevel="0" collapsed="false">
      <c r="A10618" s="1" t="s">
        <v>961</v>
      </c>
      <c r="B10618" s="0" t="s">
        <v>95</v>
      </c>
      <c r="C10618" s="6" t="n">
        <f aca="false">(w_ntm28*Sens!G10613+(1-w_ntm28)*Sens!H10613)*m_cloud*1</f>
        <v>794.749076664173</v>
      </c>
    </row>
    <row r="10619" customFormat="false" ht="17.15" hidden="false" customHeight="false" outlineLevel="0" collapsed="false">
      <c r="A10619" s="1" t="s">
        <v>962</v>
      </c>
      <c r="B10619" s="0" t="s">
        <v>95</v>
      </c>
      <c r="C10619" s="6" t="n">
        <f aca="false">(w_ntm28*Sens!G10606+(1-w_ntm28)*Sens!H10606)*m_sw*1</f>
        <v>988.547672652094</v>
      </c>
    </row>
    <row r="10620" customFormat="false" ht="17.15" hidden="false" customHeight="false" outlineLevel="0" collapsed="false">
      <c r="A10620" s="1" t="s">
        <v>963</v>
      </c>
      <c r="B10620" s="0" t="s">
        <v>95</v>
      </c>
      <c r="C10620" s="6" t="n">
        <f aca="false">(w_ntm28*Sens!G10607+(1-w_ntm28)*Sens!H10607)*m_sw*1</f>
        <v>363.117661434282</v>
      </c>
    </row>
    <row r="10621" customFormat="false" ht="17.15" hidden="false" customHeight="false" outlineLevel="0" collapsed="false">
      <c r="A10621" s="1" t="s">
        <v>964</v>
      </c>
      <c r="B10621" s="0" t="s">
        <v>95</v>
      </c>
      <c r="C10621" s="6" t="n">
        <f aca="false">(w_ntm28*Sens!G10608+(1-w_ntm28)*Sens!H10608)*m_sw*1</f>
        <v>99.2894025954118</v>
      </c>
    </row>
    <row r="10622" customFormat="false" ht="17.15" hidden="false" customHeight="false" outlineLevel="0" collapsed="false">
      <c r="A10622" s="1" t="s">
        <v>965</v>
      </c>
      <c r="B10622" s="0" t="s">
        <v>95</v>
      </c>
      <c r="C10622" s="6" t="n">
        <f aca="false">(w_ntm28*Sens!G10609+(1-w_ntm28)*Sens!H10609)*m_sw*1</f>
        <v>37.8805648916295</v>
      </c>
    </row>
    <row r="10623" customFormat="false" ht="17.15" hidden="false" customHeight="false" outlineLevel="0" collapsed="false">
      <c r="A10623" s="1" t="s">
        <v>966</v>
      </c>
      <c r="B10623" s="0" t="s">
        <v>95</v>
      </c>
      <c r="C10623" s="6" t="n">
        <f aca="false">(w_ntm28*Sens!G10610+(1-w_ntm28)*Sens!H10610)*m_ads*1</f>
        <v>104.664819473916</v>
      </c>
    </row>
    <row r="10624" customFormat="false" ht="17.15" hidden="false" customHeight="false" outlineLevel="0" collapsed="false">
      <c r="A10624" s="1" t="s">
        <v>967</v>
      </c>
      <c r="B10624" s="0" t="s">
        <v>95</v>
      </c>
      <c r="C10624" s="6" t="n">
        <f aca="false">(w_ntm28*Sens!G10615+(1-w_ntm28)*Sens!H10615)*m_game*1</f>
        <v>88.7104201985522</v>
      </c>
    </row>
    <row r="10625" customFormat="false" ht="17.15" hidden="false" customHeight="false" outlineLevel="0" collapsed="false">
      <c r="A10625" s="1" t="s">
        <v>968</v>
      </c>
      <c r="B10625" s="0" t="s">
        <v>95</v>
      </c>
      <c r="C10625" s="6" t="n">
        <f aca="false">(w_ntm28*Sens!G10616+(1-w_ntm28)*Sens!H10616)*m_pc*1</f>
        <v>87.9496081595385</v>
      </c>
    </row>
    <row r="10626" customFormat="false" ht="17.15" hidden="false" customHeight="false" outlineLevel="0" collapsed="false">
      <c r="A10626" s="1" t="s">
        <v>969</v>
      </c>
      <c r="B10626" s="0" t="s">
        <v>95</v>
      </c>
      <c r="C10626" s="6" t="n">
        <f aca="false">Sens!$C$10617+Sens!$C$10618+Sens!$C$10619+Sens!$C$10620+Sens!$C$10621+Sens!$C$10622+Sens!$C$10623+Sens!$C$10624+Sens!$C$10625</f>
        <v>2903.68523445966</v>
      </c>
    </row>
    <row r="10627" customFormat="false" ht="17.15" hidden="false" customHeight="false" outlineLevel="0" collapsed="false">
      <c r="A10627" s="1" t="s">
        <v>903</v>
      </c>
      <c r="B10627" s="0" t="s">
        <v>95</v>
      </c>
      <c r="C10627" s="6" t="n">
        <f aca="false">CF!F92+oai_v-CF!F81</f>
        <v>106.814034990727</v>
      </c>
      <c r="L10627" s="1" t="s">
        <v>970</v>
      </c>
    </row>
    <row r="10628" customFormat="false" ht="15" hidden="false" customHeight="false" outlineLevel="0" collapsed="false">
      <c r="A10628" s="1" t="s">
        <v>904</v>
      </c>
      <c r="B10628" s="0" t="s">
        <v>73</v>
      </c>
      <c r="C10628" s="5" t="n">
        <f aca="false">(Sens!$C$10626+Sens!$C$10627)/CF!F94</f>
        <v>402.904077817237</v>
      </c>
    </row>
    <row r="10629" customFormat="false" ht="17.15" hidden="false" customHeight="false" outlineLevel="0" collapsed="false">
      <c r="A10629" s="1" t="s">
        <v>971</v>
      </c>
      <c r="B10629" s="0" t="s">
        <v>73</v>
      </c>
      <c r="C10629" s="5" t="n">
        <f aca="false">w_dcf*Sens!$C$10604+(1-w_dcf)*Sens!$C$10628</f>
        <v>300.462959506352</v>
      </c>
    </row>
    <row r="10630" customFormat="false" ht="17.15" hidden="false" customHeight="false" outlineLevel="0" collapsed="false">
      <c r="A10630" s="3" t="s">
        <v>1417</v>
      </c>
    </row>
    <row r="10631" customFormat="false" ht="15" hidden="false" customHeight="false" outlineLevel="0" collapsed="false">
      <c r="A10631" s="4" t="s">
        <v>43</v>
      </c>
      <c r="B10631" s="4" t="s">
        <v>63</v>
      </c>
      <c r="C10631" s="19" t="s">
        <v>710</v>
      </c>
      <c r="D10631" s="19" t="s">
        <v>711</v>
      </c>
      <c r="E10631" s="19" t="s">
        <v>712</v>
      </c>
      <c r="F10631" s="19" t="s">
        <v>713</v>
      </c>
      <c r="G10631" s="19" t="s">
        <v>714</v>
      </c>
      <c r="H10631" s="19" t="s">
        <v>715</v>
      </c>
      <c r="I10631" s="19" t="s">
        <v>716</v>
      </c>
      <c r="J10631" s="19" t="s">
        <v>717</v>
      </c>
      <c r="K10631" s="19" t="s">
        <v>718</v>
      </c>
      <c r="L10631" s="4" t="s">
        <v>47</v>
      </c>
    </row>
    <row r="10632" customFormat="false" ht="17.15" hidden="false" customHeight="false" outlineLevel="0" collapsed="false">
      <c r="A10632" s="1" t="s">
        <v>938</v>
      </c>
      <c r="B10632" s="1" t="s">
        <v>213</v>
      </c>
      <c r="F10632" s="34" t="n">
        <f aca="false">1-0.5</f>
        <v>0.5</v>
      </c>
      <c r="G10632" s="34" t="n">
        <f aca="false">2-0.5</f>
        <v>1.5</v>
      </c>
      <c r="H10632" s="34" t="n">
        <f aca="false">3-0.5</f>
        <v>2.5</v>
      </c>
      <c r="I10632" s="34" t="n">
        <f aca="false">4-0.5</f>
        <v>3.5</v>
      </c>
      <c r="J10632" s="34" t="n">
        <f aca="false">5-0.5</f>
        <v>4.5</v>
      </c>
      <c r="K10632" s="34" t="n">
        <f aca="false">6-0.5</f>
        <v>5.5</v>
      </c>
    </row>
    <row r="10633" customFormat="false" ht="15" hidden="false" customHeight="false" outlineLevel="0" collapsed="false">
      <c r="A10633" s="1" t="s">
        <v>939</v>
      </c>
      <c r="B10633" s="0" t="s">
        <v>182</v>
      </c>
      <c r="F10633" s="18" t="n">
        <f aca="false">1/(1+(wacc+0.01))^Sens!F10632</f>
        <v>0.945348836365402</v>
      </c>
      <c r="G10633" s="18" t="n">
        <f aca="false">1/(1+(wacc+0.01))^Sens!G10632</f>
        <v>0.844843528810194</v>
      </c>
      <c r="H10633" s="18" t="n">
        <f aca="false">1/(1+(wacc+0.01))^Sens!H10632</f>
        <v>0.755023501077833</v>
      </c>
      <c r="I10633" s="18" t="n">
        <f aca="false">1/(1+(wacc+0.01))^Sens!I10632</f>
        <v>0.674752741472321</v>
      </c>
      <c r="J10633" s="18" t="n">
        <f aca="false">1/(1+(wacc+0.01))^Sens!J10632</f>
        <v>0.603016014037261</v>
      </c>
      <c r="K10633" s="18" t="n">
        <f aca="false">1/(1+(wacc+0.01))^Sens!K10632</f>
        <v>0.538906018213344</v>
      </c>
    </row>
    <row r="10634" customFormat="false" ht="15" hidden="false" customHeight="false" outlineLevel="0" collapsed="false">
      <c r="A10634" s="1" t="s">
        <v>940</v>
      </c>
      <c r="B10634" s="0" t="s">
        <v>95</v>
      </c>
      <c r="F10634" s="6" t="n">
        <f aca="false">CF!F27*Sens!F10633</f>
        <v>4.76102547969193</v>
      </c>
      <c r="G10634" s="6" t="n">
        <f aca="false">CF!G27*Sens!G10633</f>
        <v>36.7693505272543</v>
      </c>
      <c r="H10634" s="6" t="n">
        <f aca="false">CF!H27*Sens!H10633</f>
        <v>71.3681013553815</v>
      </c>
      <c r="I10634" s="6" t="n">
        <f aca="false">CF!I27*Sens!I10633</f>
        <v>76.840192189169</v>
      </c>
      <c r="J10634" s="6" t="n">
        <f aca="false">CF!J27*Sens!J10633</f>
        <v>88.6323653969942</v>
      </c>
      <c r="K10634" s="6" t="n">
        <f aca="false">CF!K27*Sens!K10633</f>
        <v>80.7291057739325</v>
      </c>
    </row>
    <row r="10635" customFormat="false" ht="17.15" hidden="false" customHeight="false" outlineLevel="0" collapsed="false">
      <c r="A10635" s="1" t="s">
        <v>941</v>
      </c>
      <c r="B10635" s="0" t="s">
        <v>95</v>
      </c>
      <c r="C10635" s="6" t="n">
        <f aca="false">SUM(Sens!F10634:K10634)</f>
        <v>359.100140722423</v>
      </c>
    </row>
    <row r="10636" customFormat="false" ht="17.15" hidden="false" customHeight="false" outlineLevel="0" collapsed="false">
      <c r="A10636" s="1" t="s">
        <v>942</v>
      </c>
      <c r="B10636" s="0" t="s">
        <v>95</v>
      </c>
      <c r="C10636" s="6" t="n">
        <f aca="false">PL!K35*(1+g_tv)*(1-tax_f)</f>
        <v>261.070427358719</v>
      </c>
    </row>
    <row r="10637" customFormat="false" ht="17.15" hidden="false" customHeight="false" outlineLevel="0" collapsed="false">
      <c r="A10637" s="1" t="s">
        <v>943</v>
      </c>
      <c r="B10637" s="0" t="s">
        <v>95</v>
      </c>
      <c r="C10637" s="6" t="n">
        <f aca="false">Sens!$C$10636*(1-g_tv/((wacc+0.01)+ronic_prem))</f>
        <v>195.234005437448</v>
      </c>
    </row>
    <row r="10638" customFormat="false" ht="17.15" hidden="false" customHeight="false" outlineLevel="0" collapsed="false">
      <c r="A10638" s="1" t="s">
        <v>944</v>
      </c>
      <c r="B10638" s="0" t="s">
        <v>95</v>
      </c>
      <c r="C10638" s="6" t="n">
        <f aca="false">Sens!$C$10637/((wacc+0.01)-g_tv)</f>
        <v>2194.5473973757</v>
      </c>
    </row>
    <row r="10639" customFormat="false" ht="15" hidden="false" customHeight="false" outlineLevel="0" collapsed="false">
      <c r="A10639" s="1" t="s">
        <v>945</v>
      </c>
      <c r="B10639" s="0" t="s">
        <v>95</v>
      </c>
      <c r="C10639" s="6" t="n">
        <f aca="false">Sens!$C$10638/(1+(wacc+0.01))^6</f>
        <v>1118.02133871854</v>
      </c>
    </row>
    <row r="10640" customFormat="false" ht="17.15" hidden="false" customHeight="false" outlineLevel="0" collapsed="false">
      <c r="A10640" s="0" t="s">
        <v>877</v>
      </c>
      <c r="B10640" s="0" t="s">
        <v>95</v>
      </c>
      <c r="C10640" s="6" t="n">
        <f aca="false">Sens!$C$10635+Sens!$C$10639</f>
        <v>1477.12147944096</v>
      </c>
    </row>
    <row r="10641" customFormat="false" ht="15" hidden="false" customHeight="false" outlineLevel="0" collapsed="false">
      <c r="A10641" s="1" t="s">
        <v>878</v>
      </c>
      <c r="B10641" s="0" t="s">
        <v>126</v>
      </c>
      <c r="C10641" s="7" t="n">
        <f aca="false">Sens!$C$10639/Sens!$C$10640</f>
        <v>0.756891937650023</v>
      </c>
    </row>
    <row r="10642" customFormat="false" ht="17.15" hidden="false" customHeight="false" outlineLevel="0" collapsed="false">
      <c r="A10642" s="1" t="s">
        <v>946</v>
      </c>
      <c r="B10642" s="0" t="s">
        <v>95</v>
      </c>
      <c r="C10642" s="6" t="n">
        <f aca="false">Sens!$C$10640+CF!E36+oai_v</f>
        <v>1678.22847944096</v>
      </c>
    </row>
    <row r="10643" customFormat="false" ht="17.15" hidden="false" customHeight="false" outlineLevel="0" collapsed="false">
      <c r="A10643" s="0" t="s">
        <v>883</v>
      </c>
      <c r="B10643" s="0" t="s">
        <v>73</v>
      </c>
      <c r="C10643" s="5" t="n">
        <f aca="false">Sens!$C$10642/sh_dil26</f>
        <v>225.174893256535</v>
      </c>
    </row>
    <row r="10644" customFormat="false" ht="17.15" hidden="false" customHeight="false" outlineLevel="0" collapsed="false">
      <c r="A10644" s="0" t="s">
        <v>947</v>
      </c>
      <c r="B10644" s="0" t="s">
        <v>73</v>
      </c>
      <c r="C10644" s="5" t="n">
        <f aca="false">Sens!$C$10643*(1+(wacc+0.01))^t_roll</f>
        <v>261.36719063093</v>
      </c>
    </row>
    <row r="10645" customFormat="false" ht="17.15" hidden="false" customHeight="false" outlineLevel="0" collapsed="false">
      <c r="A10645" s="1" t="s">
        <v>948</v>
      </c>
      <c r="B10645" s="0" t="s">
        <v>126</v>
      </c>
      <c r="F10645" s="7" t="n">
        <f aca="false">CF!F17/(Seg!F29-Thesis!F20)</f>
        <v>0.0681773598226415</v>
      </c>
      <c r="G10645" s="7" t="n">
        <f aca="false">CF!G17/(Seg!G29-Thesis!G20)</f>
        <v>0.0650385409375172</v>
      </c>
      <c r="H10645" s="7" t="n">
        <f aca="false">CF!H17/(Seg!H29-Thesis!H20)</f>
        <v>0.063382542471986</v>
      </c>
      <c r="I10645" s="7" t="n">
        <f aca="false">CF!I17/(Seg!I29-Thesis!I20)</f>
        <v>0.0630998138876076</v>
      </c>
      <c r="J10645" s="7" t="n">
        <f aca="false">CF!J17/(Seg!J29-Thesis!J20)</f>
        <v>0.0638399980286975</v>
      </c>
      <c r="K10645" s="7" t="n">
        <f aca="false">CF!K17/(Seg!K29-Thesis!K20)</f>
        <v>0.0651531082402687</v>
      </c>
    </row>
    <row r="10646" customFormat="false" ht="17.15" hidden="false" customHeight="false" outlineLevel="0" collapsed="false">
      <c r="A10646" s="0" t="s">
        <v>949</v>
      </c>
      <c r="B10646" s="0" t="s">
        <v>95</v>
      </c>
      <c r="F10646" s="6" t="n">
        <f aca="false">Seg!F14*(al_m365+Sens!F10645)</f>
        <v>80.4434678008041</v>
      </c>
      <c r="G10646" s="6" t="n">
        <f aca="false">Seg!G14*(al_m365+Sens!G10645)</f>
        <v>94.1323272633269</v>
      </c>
      <c r="H10646" s="6" t="n">
        <f aca="false">Seg!H14*(al_m365+Sens!H10645)</f>
        <v>107.983658528206</v>
      </c>
      <c r="I10646" s="6" t="n">
        <f aca="false">Seg!I14*(al_m365+Sens!I10645)</f>
        <v>120.408335219477</v>
      </c>
      <c r="J10646" s="6" t="n">
        <f aca="false">Seg!J14*(al_m365+Sens!J10645)</f>
        <v>131.229685027411</v>
      </c>
      <c r="K10646" s="6" t="n">
        <f aca="false">Seg!K14*(al_m365+Sens!K10645)</f>
        <v>141.696231007978</v>
      </c>
    </row>
    <row r="10647" customFormat="false" ht="17.15" hidden="false" customHeight="false" outlineLevel="0" collapsed="false">
      <c r="A10647" s="0" t="s">
        <v>950</v>
      </c>
      <c r="B10647" s="0" t="s">
        <v>95</v>
      </c>
      <c r="F10647" s="6" t="n">
        <f aca="false">Seg!F15*(al_lic+Sens!F10645)</f>
        <v>31.9678940661213</v>
      </c>
      <c r="G10647" s="6" t="n">
        <f aca="false">Seg!G15*(al_lic+Sens!G10645)</f>
        <v>33.1937184472398</v>
      </c>
      <c r="H10647" s="6" t="n">
        <f aca="false">Seg!H15*(al_lic+Sens!H10645)</f>
        <v>34.3439380840055</v>
      </c>
      <c r="I10647" s="6" t="n">
        <f aca="false">Seg!I15*(al_lic+Sens!I10645)</f>
        <v>35.4022023072784</v>
      </c>
      <c r="J10647" s="6" t="n">
        <f aca="false">Seg!J15*(al_lic+Sens!J10645)</f>
        <v>36.3410576398918</v>
      </c>
      <c r="K10647" s="6" t="n">
        <f aca="false">Seg!K15*(al_lic+Sens!K10645)</f>
        <v>37.1276868757058</v>
      </c>
    </row>
    <row r="10648" customFormat="false" ht="17.15" hidden="false" customHeight="false" outlineLevel="0" collapsed="false">
      <c r="A10648" s="0" t="s">
        <v>951</v>
      </c>
      <c r="B10648" s="0" t="s">
        <v>95</v>
      </c>
      <c r="F10648" s="6" t="n">
        <f aca="false">Seg!F17*(al_ind+Sens!F10645)</f>
        <v>8.23142235288747</v>
      </c>
      <c r="G10648" s="6" t="n">
        <f aca="false">Seg!G17*(al_ind+Sens!G10645)</f>
        <v>8.92125445211874</v>
      </c>
      <c r="H10648" s="6" t="n">
        <f aca="false">Seg!H17*(al_ind+Sens!H10645)</f>
        <v>9.65645689966252</v>
      </c>
      <c r="I10648" s="6" t="n">
        <f aca="false">Seg!I17*(al_ind+Sens!I10645)</f>
        <v>10.4359305133559</v>
      </c>
      <c r="J10648" s="6" t="n">
        <f aca="false">Seg!J17*(al_ind+Sens!J10645)</f>
        <v>11.2496615107155</v>
      </c>
      <c r="K10648" s="6" t="n">
        <f aca="false">Seg!K17*(al_ind+Sens!K10645)</f>
        <v>12.0805802325565</v>
      </c>
    </row>
    <row r="10649" customFormat="false" ht="17.15" hidden="false" customHeight="false" outlineLevel="0" collapsed="false">
      <c r="A10649" s="0" t="s">
        <v>952</v>
      </c>
      <c r="B10649" s="0" t="s">
        <v>95</v>
      </c>
      <c r="F10649" s="6" t="n">
        <f aca="false">Seg!F19*(al_fro+Sens!F10645)</f>
        <v>3.23991673698178</v>
      </c>
      <c r="G10649" s="6" t="n">
        <f aca="false">Seg!G19*(al_fro+Sens!G10645)</f>
        <v>3.42523427012141</v>
      </c>
      <c r="H10649" s="6" t="n">
        <f aca="false">Seg!H19*(al_fro+Sens!H10645)</f>
        <v>3.63888347669114</v>
      </c>
      <c r="I10649" s="6" t="n">
        <f aca="false">Seg!I19*(al_fro+Sens!I10645)</f>
        <v>3.88382859986432</v>
      </c>
      <c r="J10649" s="6" t="n">
        <f aca="false">Seg!J19*(al_fro+Sens!J10645)</f>
        <v>4.16055715035227</v>
      </c>
      <c r="K10649" s="6" t="n">
        <f aca="false">Seg!K19*(al_fro+Sens!K10645)</f>
        <v>4.46786282583631</v>
      </c>
    </row>
    <row r="10650" customFormat="false" ht="17.15" hidden="false" customHeight="false" outlineLevel="0" collapsed="false">
      <c r="A10650" s="0" t="s">
        <v>953</v>
      </c>
      <c r="B10650" s="0" t="s">
        <v>95</v>
      </c>
      <c r="F10650" s="6" t="n">
        <f aca="false">Seg!F22*(al_srch+Sens!F10645)</f>
        <v>10.1659255338338</v>
      </c>
      <c r="G10650" s="6" t="n">
        <f aca="false">Seg!G22*(al_srch+Sens!G10645)</f>
        <v>11.1218361064416</v>
      </c>
      <c r="H10650" s="6" t="n">
        <f aca="false">Seg!H22*(al_srch+Sens!H10645)</f>
        <v>12.1240320316325</v>
      </c>
      <c r="I10650" s="6" t="n">
        <f aca="false">Seg!I22*(al_srch+Sens!I10645)</f>
        <v>13.1651647223307</v>
      </c>
      <c r="J10650" s="6" t="n">
        <f aca="false">Seg!J22*(al_srch+Sens!J10645)</f>
        <v>14.2257207024961</v>
      </c>
      <c r="K10650" s="6" t="n">
        <f aca="false">Seg!K22*(al_srch+Sens!K10645)</f>
        <v>15.2764561092572</v>
      </c>
    </row>
    <row r="10651" customFormat="false" ht="17.15" hidden="false" customHeight="false" outlineLevel="0" collapsed="false">
      <c r="A10651" s="0" t="s">
        <v>954</v>
      </c>
      <c r="B10651" s="0" t="s">
        <v>95</v>
      </c>
      <c r="F10651" s="6" t="n">
        <f aca="false">Thesis!F26</f>
        <v>43.1278534047371</v>
      </c>
      <c r="G10651" s="6" t="n">
        <f aca="false">Thesis!G26</f>
        <v>78.4713023799053</v>
      </c>
      <c r="H10651" s="6" t="n">
        <f aca="false">Thesis!H26</f>
        <v>120.169624261219</v>
      </c>
      <c r="I10651" s="6" t="n">
        <f aca="false">Thesis!I26</f>
        <v>156.086713969963</v>
      </c>
      <c r="J10651" s="6" t="n">
        <f aca="false">Thesis!J26</f>
        <v>192.09687492465</v>
      </c>
      <c r="K10651" s="6" t="n">
        <f aca="false">Thesis!K26</f>
        <v>228.161785217179</v>
      </c>
    </row>
    <row r="10652" customFormat="false" ht="17.15" hidden="false" customHeight="false" outlineLevel="0" collapsed="false">
      <c r="A10652" s="0" t="s">
        <v>955</v>
      </c>
      <c r="B10652" s="0" t="s">
        <v>95</v>
      </c>
      <c r="F10652" s="6" t="n">
        <f aca="false">PL!F32+Thesis!F37+Sens!F10645*(Seg!F21-Thesis!F20)</f>
        <v>216.001008704281</v>
      </c>
      <c r="G10652" s="6" t="n">
        <f aca="false">PL!G32+Thesis!G37+Sens!G10645*(Seg!G21-Thesis!G20)</f>
        <v>273.190669749878</v>
      </c>
      <c r="H10652" s="6" t="n">
        <f aca="false">PL!H32+Thesis!H37+Sens!H10645*(Seg!H21-Thesis!H20)</f>
        <v>336.986209145837</v>
      </c>
      <c r="I10652" s="6" t="n">
        <f aca="false">PL!I32+Thesis!I37+Sens!I10645*(Seg!I21-Thesis!I20)</f>
        <v>393.439203291672</v>
      </c>
      <c r="J10652" s="6" t="n">
        <f aca="false">PL!J32+Thesis!J37+Sens!J10645*(Seg!J21-Thesis!J20)</f>
        <v>447.606137303559</v>
      </c>
      <c r="K10652" s="6" t="n">
        <f aca="false">PL!K32+Thesis!K37+Sens!K10645*(Seg!K21-Thesis!K20)</f>
        <v>499.903344093081</v>
      </c>
    </row>
    <row r="10653" customFormat="false" ht="17.15" hidden="false" customHeight="false" outlineLevel="0" collapsed="false">
      <c r="A10653" s="0" t="s">
        <v>956</v>
      </c>
      <c r="B10653" s="0" t="s">
        <v>95</v>
      </c>
      <c r="F10653" s="6" t="n">
        <f aca="false">Sens!F10652-Sens!F10646-Sens!F10647-Sens!F10648-Sens!F10649-Sens!F10651</f>
        <v>48.9904543427497</v>
      </c>
      <c r="G10653" s="6" t="n">
        <f aca="false">Sens!G10652-Sens!G10646-Sens!G10647-Sens!G10648-Sens!G10649-Sens!G10651</f>
        <v>55.0468329371655</v>
      </c>
      <c r="H10653" s="6" t="n">
        <f aca="false">Sens!H10652-Sens!H10646-Sens!H10647-Sens!H10648-Sens!H10649-Sens!H10651</f>
        <v>61.1936478960528</v>
      </c>
      <c r="I10653" s="6" t="n">
        <f aca="false">Sens!I10652-Sens!I10646-Sens!I10647-Sens!I10648-Sens!I10649-Sens!I10651</f>
        <v>67.2221926817336</v>
      </c>
      <c r="J10653" s="6" t="n">
        <f aca="false">Sens!J10652-Sens!J10646-Sens!J10647-Sens!J10648-Sens!J10649-Sens!J10651</f>
        <v>72.5283010505383</v>
      </c>
      <c r="K10653" s="6" t="n">
        <f aca="false">Sens!K10652-Sens!K10646-Sens!K10647-Sens!K10648-Sens!K10649-Sens!K10651</f>
        <v>76.3691979338254</v>
      </c>
    </row>
    <row r="10654" customFormat="false" ht="17.15" hidden="false" customHeight="false" outlineLevel="0" collapsed="false">
      <c r="A10654" s="0" t="s">
        <v>957</v>
      </c>
      <c r="B10654" s="0" t="s">
        <v>95</v>
      </c>
      <c r="F10654" s="6" t="n">
        <f aca="false">PL!F34+Sens!F10645*Seg!F28</f>
        <v>23.7366325885412</v>
      </c>
      <c r="G10654" s="6" t="n">
        <f aca="false">PL!G34+Sens!G10645*Seg!G28</f>
        <v>24.2488001831921</v>
      </c>
      <c r="H10654" s="6" t="n">
        <f aca="false">PL!H34+Sens!H10645*Seg!H28</f>
        <v>25.0191565857232</v>
      </c>
      <c r="I10654" s="6" t="n">
        <f aca="false">PL!I34+Sens!I10645*Seg!I28</f>
        <v>26.0222596996374</v>
      </c>
      <c r="J10654" s="6" t="n">
        <f aca="false">PL!J34+Sens!J10645*Seg!J28</f>
        <v>27.2212114824986</v>
      </c>
      <c r="K10654" s="6" t="n">
        <f aca="false">PL!K34+Sens!K10645*Seg!K28</f>
        <v>28.5733379970501</v>
      </c>
    </row>
    <row r="10655" customFormat="false" ht="17.15" hidden="false" customHeight="false" outlineLevel="0" collapsed="false">
      <c r="A10655" s="0" t="s">
        <v>958</v>
      </c>
      <c r="B10655" s="0" t="s">
        <v>95</v>
      </c>
      <c r="F10655" s="6" t="n">
        <f aca="false">(Sens!F10654-Sens!F10650)*Seg!F24/(Seg!F24+Seg!F26)</f>
        <v>7.43932943061911</v>
      </c>
      <c r="G10655" s="6" t="n">
        <f aca="false">(Sens!G10654-Sens!G10650)*Seg!G24/(Seg!G24+Seg!G26)</f>
        <v>7.06776830757547</v>
      </c>
      <c r="H10655" s="6" t="n">
        <f aca="false">(Sens!H10654-Sens!H10650)*Seg!H24/(Seg!H24+Seg!H26)</f>
        <v>6.84915463876495</v>
      </c>
      <c r="I10655" s="6" t="n">
        <f aca="false">(Sens!I10654-Sens!I10650)*Seg!I24/(Seg!I24+Seg!I26)</f>
        <v>6.76716702045722</v>
      </c>
      <c r="J10655" s="6" t="n">
        <f aca="false">(Sens!J10654-Sens!J10650)*Seg!J24/(Seg!J24+Seg!J26)</f>
        <v>6.80907960368748</v>
      </c>
      <c r="K10655" s="6" t="n">
        <f aca="false">(Sens!K10654-Sens!K10650)*Seg!K24/(Seg!K24+Seg!K26)</f>
        <v>6.96699561313494</v>
      </c>
    </row>
    <row r="10656" customFormat="false" ht="17.15" hidden="false" customHeight="false" outlineLevel="0" collapsed="false">
      <c r="A10656" s="0" t="s">
        <v>959</v>
      </c>
      <c r="B10656" s="0" t="s">
        <v>95</v>
      </c>
      <c r="F10656" s="6" t="n">
        <f aca="false">Sens!F10654-Sens!F10650-Sens!F10655</f>
        <v>6.13137762408826</v>
      </c>
      <c r="G10656" s="6" t="n">
        <f aca="false">Sens!G10654-Sens!G10650-Sens!G10655</f>
        <v>6.05919576917506</v>
      </c>
      <c r="H10656" s="6" t="n">
        <f aca="false">Sens!H10654-Sens!H10650-Sens!H10655</f>
        <v>6.04596991532572</v>
      </c>
      <c r="I10656" s="6" t="n">
        <f aca="false">Sens!I10654-Sens!I10650-Sens!I10655</f>
        <v>6.08992795684943</v>
      </c>
      <c r="J10656" s="6" t="n">
        <f aca="false">Sens!J10654-Sens!J10650-Sens!J10655</f>
        <v>6.18641117631496</v>
      </c>
      <c r="K10656" s="6" t="n">
        <f aca="false">Sens!K10654-Sens!K10650-Sens!K10655</f>
        <v>6.32988627465802</v>
      </c>
    </row>
    <row r="10657" customFormat="false" ht="17.15" hidden="false" customHeight="false" outlineLevel="0" collapsed="false">
      <c r="A10657" s="1" t="s">
        <v>960</v>
      </c>
      <c r="B10657" s="0" t="s">
        <v>95</v>
      </c>
      <c r="C10657" s="6" t="n">
        <f aca="false">(w_ntm28*Sens!G10651+(1-w_ntm28)*Sens!H10651)*m_ai*1</f>
        <v>551.711134531404</v>
      </c>
    </row>
    <row r="10658" customFormat="false" ht="17.15" hidden="false" customHeight="false" outlineLevel="0" collapsed="false">
      <c r="A10658" s="1" t="s">
        <v>961</v>
      </c>
      <c r="B10658" s="0" t="s">
        <v>95</v>
      </c>
      <c r="C10658" s="6" t="n">
        <f aca="false">(w_ntm28*Sens!G10653+(1-w_ntm28)*Sens!H10653)*m_cloud*1</f>
        <v>788.2101899926</v>
      </c>
    </row>
    <row r="10659" customFormat="false" ht="17.15" hidden="false" customHeight="false" outlineLevel="0" collapsed="false">
      <c r="A10659" s="1" t="s">
        <v>962</v>
      </c>
      <c r="B10659" s="0" t="s">
        <v>95</v>
      </c>
      <c r="C10659" s="6" t="n">
        <f aca="false">(w_ntm28*Sens!G10646+(1-w_ntm28)*Sens!H10646)*m_sw*1</f>
        <v>1064.99115242739</v>
      </c>
    </row>
    <row r="10660" customFormat="false" ht="17.15" hidden="false" customHeight="false" outlineLevel="0" collapsed="false">
      <c r="A10660" s="1" t="s">
        <v>963</v>
      </c>
      <c r="B10660" s="0" t="s">
        <v>95</v>
      </c>
      <c r="C10660" s="6" t="n">
        <f aca="false">(w_ntm28*Sens!G10647+(1-w_ntm28)*Sens!H10647)*m_sw*1</f>
        <v>362.508158970174</v>
      </c>
    </row>
    <row r="10661" customFormat="false" ht="17.15" hidden="false" customHeight="false" outlineLevel="0" collapsed="false">
      <c r="A10661" s="1" t="s">
        <v>964</v>
      </c>
      <c r="B10661" s="0" t="s">
        <v>95</v>
      </c>
      <c r="C10661" s="6" t="n">
        <f aca="false">(w_ntm28*Sens!G10648+(1-w_ntm28)*Sens!H10648)*m_sw*1</f>
        <v>98.9165124641147</v>
      </c>
    </row>
    <row r="10662" customFormat="false" ht="17.15" hidden="false" customHeight="false" outlineLevel="0" collapsed="false">
      <c r="A10662" s="1" t="s">
        <v>965</v>
      </c>
      <c r="B10662" s="0" t="s">
        <v>95</v>
      </c>
      <c r="C10662" s="6" t="n">
        <f aca="false">(w_ntm28*Sens!G10649+(1-w_ntm28)*Sens!H10649)*m_sw*1</f>
        <v>37.7384877854002</v>
      </c>
    </row>
    <row r="10663" customFormat="false" ht="17.15" hidden="false" customHeight="false" outlineLevel="0" collapsed="false">
      <c r="A10663" s="1" t="s">
        <v>966</v>
      </c>
      <c r="B10663" s="0" t="s">
        <v>95</v>
      </c>
      <c r="C10663" s="6" t="n">
        <f aca="false">(w_ntm28*Sens!G10650+(1-w_ntm28)*Sens!H10650)*m_ads*1</f>
        <v>104.271544945195</v>
      </c>
    </row>
    <row r="10664" customFormat="false" ht="17.15" hidden="false" customHeight="false" outlineLevel="0" collapsed="false">
      <c r="A10664" s="1" t="s">
        <v>967</v>
      </c>
      <c r="B10664" s="0" t="s">
        <v>95</v>
      </c>
      <c r="C10664" s="6" t="n">
        <f aca="false">(w_ntm28*Sens!G10655+(1-w_ntm28)*Sens!H10655)*m_game*1</f>
        <v>88.3732871625547</v>
      </c>
    </row>
    <row r="10665" customFormat="false" ht="17.15" hidden="false" customHeight="false" outlineLevel="0" collapsed="false">
      <c r="A10665" s="1" t="s">
        <v>968</v>
      </c>
      <c r="B10665" s="0" t="s">
        <v>95</v>
      </c>
      <c r="C10665" s="6" t="n">
        <f aca="false">(w_ntm28*Sens!G10656+(1-w_ntm28)*Sens!H10656)*m_pc*1</f>
        <v>87.614692598008</v>
      </c>
    </row>
    <row r="10666" customFormat="false" ht="17.15" hidden="false" customHeight="false" outlineLevel="0" collapsed="false">
      <c r="A10666" s="1" t="s">
        <v>969</v>
      </c>
      <c r="B10666" s="0" t="s">
        <v>95</v>
      </c>
      <c r="C10666" s="6" t="n">
        <f aca="false">Sens!$C$10657+Sens!$C$10658+Sens!$C$10659+Sens!$C$10660+Sens!$C$10661+Sens!$C$10662+Sens!$C$10663+Sens!$C$10664+Sens!$C$10665</f>
        <v>3184.33516087684</v>
      </c>
    </row>
    <row r="10667" customFormat="false" ht="17.15" hidden="false" customHeight="false" outlineLevel="0" collapsed="false">
      <c r="A10667" s="1" t="s">
        <v>903</v>
      </c>
      <c r="B10667" s="0" t="s">
        <v>95</v>
      </c>
      <c r="C10667" s="6" t="n">
        <f aca="false">CF!F36+oai_v-CF!F25</f>
        <v>115.079583119545</v>
      </c>
      <c r="L10667" s="1" t="s">
        <v>970</v>
      </c>
    </row>
    <row r="10668" customFormat="false" ht="15" hidden="false" customHeight="false" outlineLevel="0" collapsed="false">
      <c r="A10668" s="1" t="s">
        <v>904</v>
      </c>
      <c r="B10668" s="0" t="s">
        <v>73</v>
      </c>
      <c r="C10668" s="5" t="n">
        <f aca="false">(Sens!$C$10666+Sens!$C$10667)/CF!F38</f>
        <v>441.570495716861</v>
      </c>
    </row>
    <row r="10669" customFormat="false" ht="17.15" hidden="false" customHeight="false" outlineLevel="0" collapsed="false">
      <c r="A10669" s="1" t="s">
        <v>971</v>
      </c>
      <c r="B10669" s="0" t="s">
        <v>73</v>
      </c>
      <c r="C10669" s="5" t="n">
        <f aca="false">w_dcf*Sens!$C$10644+(1-w_dcf)*Sens!$C$10668</f>
        <v>351.468843173895</v>
      </c>
    </row>
    <row r="10670" customFormat="false" ht="17.15" hidden="false" customHeight="false" outlineLevel="0" collapsed="false">
      <c r="A10670" s="3" t="s">
        <v>1418</v>
      </c>
    </row>
    <row r="10671" customFormat="false" ht="15" hidden="false" customHeight="false" outlineLevel="0" collapsed="false">
      <c r="A10671" s="4" t="s">
        <v>43</v>
      </c>
      <c r="B10671" s="4" t="s">
        <v>63</v>
      </c>
      <c r="C10671" s="19" t="s">
        <v>710</v>
      </c>
      <c r="D10671" s="19" t="s">
        <v>711</v>
      </c>
      <c r="E10671" s="19" t="s">
        <v>712</v>
      </c>
      <c r="F10671" s="19" t="s">
        <v>713</v>
      </c>
      <c r="G10671" s="19" t="s">
        <v>714</v>
      </c>
      <c r="H10671" s="19" t="s">
        <v>715</v>
      </c>
      <c r="I10671" s="19" t="s">
        <v>716</v>
      </c>
      <c r="J10671" s="19" t="s">
        <v>717</v>
      </c>
      <c r="K10671" s="19" t="s">
        <v>718</v>
      </c>
      <c r="L10671" s="4" t="s">
        <v>47</v>
      </c>
    </row>
    <row r="10672" customFormat="false" ht="17.15" hidden="false" customHeight="false" outlineLevel="0" collapsed="false">
      <c r="A10672" s="1" t="s">
        <v>938</v>
      </c>
      <c r="B10672" s="1" t="s">
        <v>213</v>
      </c>
      <c r="F10672" s="34" t="n">
        <f aca="false">1-0.5</f>
        <v>0.5</v>
      </c>
      <c r="G10672" s="34" t="n">
        <f aca="false">2-0.5</f>
        <v>1.5</v>
      </c>
      <c r="H10672" s="34" t="n">
        <f aca="false">3-0.5</f>
        <v>2.5</v>
      </c>
      <c r="I10672" s="34" t="n">
        <f aca="false">4-0.5</f>
        <v>3.5</v>
      </c>
      <c r="J10672" s="34" t="n">
        <f aca="false">5-0.5</f>
        <v>4.5</v>
      </c>
      <c r="K10672" s="34" t="n">
        <f aca="false">6-0.5</f>
        <v>5.5</v>
      </c>
    </row>
    <row r="10673" customFormat="false" ht="15" hidden="false" customHeight="false" outlineLevel="0" collapsed="false">
      <c r="A10673" s="1" t="s">
        <v>939</v>
      </c>
      <c r="B10673" s="0" t="s">
        <v>182</v>
      </c>
      <c r="F10673" s="18" t="n">
        <f aca="false">1/(1+(wacc+0.01))^Sens!F10672</f>
        <v>0.945348836365402</v>
      </c>
      <c r="G10673" s="18" t="n">
        <f aca="false">1/(1+(wacc+0.01))^Sens!G10672</f>
        <v>0.844843528810194</v>
      </c>
      <c r="H10673" s="18" t="n">
        <f aca="false">1/(1+(wacc+0.01))^Sens!H10672</f>
        <v>0.755023501077833</v>
      </c>
      <c r="I10673" s="18" t="n">
        <f aca="false">1/(1+(wacc+0.01))^Sens!I10672</f>
        <v>0.674752741472321</v>
      </c>
      <c r="J10673" s="18" t="n">
        <f aca="false">1/(1+(wacc+0.01))^Sens!J10672</f>
        <v>0.603016014037261</v>
      </c>
      <c r="K10673" s="18" t="n">
        <f aca="false">1/(1+(wacc+0.01))^Sens!K10672</f>
        <v>0.538906018213344</v>
      </c>
    </row>
    <row r="10674" customFormat="false" ht="15" hidden="false" customHeight="false" outlineLevel="0" collapsed="false">
      <c r="A10674" s="1" t="s">
        <v>940</v>
      </c>
      <c r="B10674" s="0" t="s">
        <v>95</v>
      </c>
      <c r="F10674" s="6" t="n">
        <f aca="false">CF!F55*Sens!F10673</f>
        <v>1.14451071558927</v>
      </c>
      <c r="G10674" s="6" t="n">
        <f aca="false">CF!G55*Sens!G10673</f>
        <v>26.793816207396</v>
      </c>
      <c r="H10674" s="6" t="n">
        <f aca="false">CF!H55*Sens!H10673</f>
        <v>53.2690995379061</v>
      </c>
      <c r="I10674" s="6" t="n">
        <f aca="false">CF!I55*Sens!I10673</f>
        <v>55.9953759659424</v>
      </c>
      <c r="J10674" s="6" t="n">
        <f aca="false">CF!J55*Sens!J10673</f>
        <v>65.9958349636209</v>
      </c>
      <c r="K10674" s="6" t="n">
        <f aca="false">CF!K55*Sens!K10673</f>
        <v>56.9097360864272</v>
      </c>
    </row>
    <row r="10675" customFormat="false" ht="17.15" hidden="false" customHeight="false" outlineLevel="0" collapsed="false">
      <c r="A10675" s="1" t="s">
        <v>941</v>
      </c>
      <c r="B10675" s="0" t="s">
        <v>95</v>
      </c>
      <c r="C10675" s="6" t="n">
        <f aca="false">SUM(Sens!F10674:K10674)</f>
        <v>260.108373476882</v>
      </c>
    </row>
    <row r="10676" customFormat="false" ht="17.15" hidden="false" customHeight="false" outlineLevel="0" collapsed="false">
      <c r="A10676" s="1" t="s">
        <v>942</v>
      </c>
      <c r="B10676" s="0" t="s">
        <v>95</v>
      </c>
      <c r="C10676" s="6" t="n">
        <f aca="false">PL!K70*(1+g_tv)*(1-tax_f)</f>
        <v>216.892770548847</v>
      </c>
    </row>
    <row r="10677" customFormat="false" ht="17.15" hidden="false" customHeight="false" outlineLevel="0" collapsed="false">
      <c r="A10677" s="1" t="s">
        <v>943</v>
      </c>
      <c r="B10677" s="0" t="s">
        <v>95</v>
      </c>
      <c r="C10677" s="6" t="n">
        <f aca="false">Sens!$C$10676*(1-g_tv/((wacc+0.01)+ronic_prem))</f>
        <v>162.197016234603</v>
      </c>
    </row>
    <row r="10678" customFormat="false" ht="17.15" hidden="false" customHeight="false" outlineLevel="0" collapsed="false">
      <c r="A10678" s="1" t="s">
        <v>944</v>
      </c>
      <c r="B10678" s="0" t="s">
        <v>95</v>
      </c>
      <c r="C10678" s="6" t="n">
        <f aca="false">Sens!$C$10677/((wacc+0.01)-g_tv)</f>
        <v>1823.19181047481</v>
      </c>
    </row>
    <row r="10679" customFormat="false" ht="15" hidden="false" customHeight="false" outlineLevel="0" collapsed="false">
      <c r="A10679" s="1" t="s">
        <v>945</v>
      </c>
      <c r="B10679" s="0" t="s">
        <v>95</v>
      </c>
      <c r="C10679" s="6" t="n">
        <f aca="false">Sens!$C$10678/(1+(wacc+0.01))^6</f>
        <v>928.832683734815</v>
      </c>
    </row>
    <row r="10680" customFormat="false" ht="17.15" hidden="false" customHeight="false" outlineLevel="0" collapsed="false">
      <c r="A10680" s="0" t="s">
        <v>877</v>
      </c>
      <c r="B10680" s="0" t="s">
        <v>95</v>
      </c>
      <c r="C10680" s="6" t="n">
        <f aca="false">Sens!$C$10675+Sens!$C$10679</f>
        <v>1188.9410572117</v>
      </c>
    </row>
    <row r="10681" customFormat="false" ht="15" hidden="false" customHeight="false" outlineLevel="0" collapsed="false">
      <c r="A10681" s="1" t="s">
        <v>878</v>
      </c>
      <c r="B10681" s="0" t="s">
        <v>126</v>
      </c>
      <c r="C10681" s="7" t="n">
        <f aca="false">Sens!$C$10679/Sens!$C$10680</f>
        <v>0.781226855697214</v>
      </c>
    </row>
    <row r="10682" customFormat="false" ht="17.15" hidden="false" customHeight="false" outlineLevel="0" collapsed="false">
      <c r="A10682" s="1" t="s">
        <v>946</v>
      </c>
      <c r="B10682" s="0" t="s">
        <v>95</v>
      </c>
      <c r="C10682" s="6" t="n">
        <f aca="false">Sens!$C$10680+CF!E64+oai_v</f>
        <v>1390.0480572117</v>
      </c>
    </row>
    <row r="10683" customFormat="false" ht="17.15" hidden="false" customHeight="false" outlineLevel="0" collapsed="false">
      <c r="A10683" s="0" t="s">
        <v>883</v>
      </c>
      <c r="B10683" s="0" t="s">
        <v>73</v>
      </c>
      <c r="C10683" s="5" t="n">
        <f aca="false">Sens!$C$10682/sh_dil26</f>
        <v>186.508527735368</v>
      </c>
    </row>
    <row r="10684" customFormat="false" ht="17.15" hidden="false" customHeight="false" outlineLevel="0" collapsed="false">
      <c r="A10684" s="0" t="s">
        <v>947</v>
      </c>
      <c r="B10684" s="0" t="s">
        <v>73</v>
      </c>
      <c r="C10684" s="5" t="n">
        <f aca="false">Sens!$C$10683*(1+(wacc+0.01))^t_roll</f>
        <v>216.485991035278</v>
      </c>
    </row>
    <row r="10685" customFormat="false" ht="17.15" hidden="false" customHeight="false" outlineLevel="0" collapsed="false">
      <c r="A10685" s="1" t="s">
        <v>948</v>
      </c>
      <c r="B10685" s="0" t="s">
        <v>126</v>
      </c>
      <c r="F10685" s="7" t="n">
        <f aca="false">CF!F45/(Seg!F56-Thesis!F64)</f>
        <v>0.0684307874075333</v>
      </c>
      <c r="G10685" s="7" t="n">
        <f aca="false">CF!G45/(Seg!G56-Thesis!G64)</f>
        <v>0.0656456058503526</v>
      </c>
      <c r="H10685" s="7" t="n">
        <f aca="false">CF!H45/(Seg!H56-Thesis!H64)</f>
        <v>0.0641950889132003</v>
      </c>
      <c r="I10685" s="7" t="n">
        <f aca="false">CF!I45/(Seg!I56-Thesis!I64)</f>
        <v>0.063960269667854</v>
      </c>
      <c r="J10685" s="7" t="n">
        <f aca="false">CF!J45/(Seg!J56-Thesis!J64)</f>
        <v>0.0646607917002597</v>
      </c>
      <c r="K10685" s="7" t="n">
        <f aca="false">CF!K45/(Seg!K56-Thesis!K64)</f>
        <v>0.0659511546529383</v>
      </c>
    </row>
    <row r="10686" customFormat="false" ht="17.15" hidden="false" customHeight="false" outlineLevel="0" collapsed="false">
      <c r="A10686" s="0" t="s">
        <v>949</v>
      </c>
      <c r="B10686" s="0" t="s">
        <v>95</v>
      </c>
      <c r="F10686" s="6" t="n">
        <f aca="false">Seg!F41*(al_m365+Sens!F10685)</f>
        <v>79.4713323717639</v>
      </c>
      <c r="G10686" s="6" t="n">
        <f aca="false">Seg!G41*(al_m365+Sens!G10685)</f>
        <v>91.222848535282</v>
      </c>
      <c r="H10686" s="6" t="n">
        <f aca="false">Seg!H41*(al_m365+Sens!H10685)</f>
        <v>103.134459525438</v>
      </c>
      <c r="I10686" s="6" t="n">
        <f aca="false">Seg!I41*(al_m365+Sens!I10685)</f>
        <v>114.09096761677</v>
      </c>
      <c r="J10686" s="6" t="n">
        <f aca="false">Seg!J41*(al_m365+Sens!J10685)</f>
        <v>123.914507832207</v>
      </c>
      <c r="K10686" s="6" t="n">
        <f aca="false">Seg!K41*(al_m365+Sens!K10685)</f>
        <v>133.375360010951</v>
      </c>
    </row>
    <row r="10687" customFormat="false" ht="17.15" hidden="false" customHeight="false" outlineLevel="0" collapsed="false">
      <c r="A10687" s="0" t="s">
        <v>950</v>
      </c>
      <c r="B10687" s="0" t="s">
        <v>95</v>
      </c>
      <c r="F10687" s="6" t="n">
        <f aca="false">Seg!F42*(al_lic+Sens!F10685)</f>
        <v>31.9777960098625</v>
      </c>
      <c r="G10687" s="6" t="n">
        <f aca="false">Seg!G42*(al_lic+Sens!G10685)</f>
        <v>33.2184421146294</v>
      </c>
      <c r="H10687" s="6" t="n">
        <f aca="false">Seg!H42*(al_lic+Sens!H10685)</f>
        <v>34.3782467188855</v>
      </c>
      <c r="I10687" s="6" t="n">
        <f aca="false">Seg!I42*(al_lic+Sens!I10685)</f>
        <v>35.4396663788333</v>
      </c>
      <c r="J10687" s="6" t="n">
        <f aca="false">Seg!J42*(al_lic+Sens!J10685)</f>
        <v>36.377709205557</v>
      </c>
      <c r="K10687" s="6" t="n">
        <f aca="false">Seg!K42*(al_lic+Sens!K10685)</f>
        <v>37.1640354058437</v>
      </c>
    </row>
    <row r="10688" customFormat="false" ht="17.15" hidden="false" customHeight="false" outlineLevel="0" collapsed="false">
      <c r="A10688" s="0" t="s">
        <v>951</v>
      </c>
      <c r="B10688" s="0" t="s">
        <v>95</v>
      </c>
      <c r="F10688" s="6" t="n">
        <f aca="false">Seg!F44*(al_ind+Sens!F10685)</f>
        <v>8.23708828923978</v>
      </c>
      <c r="G10688" s="6" t="n">
        <f aca="false">Seg!G44*(al_ind+Sens!G10685)</f>
        <v>8.93609064049065</v>
      </c>
      <c r="H10688" s="6" t="n">
        <f aca="false">Seg!H44*(al_ind+Sens!H10685)</f>
        <v>9.67804935051386</v>
      </c>
      <c r="I10688" s="6" t="n">
        <f aca="false">Seg!I44*(al_ind+Sens!I10685)</f>
        <v>10.4606610595832</v>
      </c>
      <c r="J10688" s="6" t="n">
        <f aca="false">Seg!J44*(al_ind+Sens!J10685)</f>
        <v>11.275039839171</v>
      </c>
      <c r="K10688" s="6" t="n">
        <f aca="false">Seg!K44*(al_ind+Sens!K10685)</f>
        <v>12.106982482736</v>
      </c>
    </row>
    <row r="10689" customFormat="false" ht="17.15" hidden="false" customHeight="false" outlineLevel="0" collapsed="false">
      <c r="A10689" s="0" t="s">
        <v>952</v>
      </c>
      <c r="B10689" s="0" t="s">
        <v>95</v>
      </c>
      <c r="F10689" s="6" t="n">
        <f aca="false">Seg!F46*(al_fro+Sens!F10685)</f>
        <v>3.24214686942203</v>
      </c>
      <c r="G10689" s="6" t="n">
        <f aca="false">Seg!G46*(al_fro+Sens!G10685)</f>
        <v>3.43093048931594</v>
      </c>
      <c r="H10689" s="6" t="n">
        <f aca="false">Seg!H46*(al_fro+Sens!H10685)</f>
        <v>3.6470202512287</v>
      </c>
      <c r="I10689" s="6" t="n">
        <f aca="false">Seg!I46*(al_fro+Sens!I10685)</f>
        <v>3.89303230264912</v>
      </c>
      <c r="J10689" s="6" t="n">
        <f aca="false">Seg!J46*(al_fro+Sens!J10685)</f>
        <v>4.16994303150246</v>
      </c>
      <c r="K10689" s="6" t="n">
        <f aca="false">Seg!K46*(al_fro+Sens!K10685)</f>
        <v>4.47762739258926</v>
      </c>
    </row>
    <row r="10690" customFormat="false" ht="17.15" hidden="false" customHeight="false" outlineLevel="0" collapsed="false">
      <c r="A10690" s="0" t="s">
        <v>953</v>
      </c>
      <c r="B10690" s="0" t="s">
        <v>95</v>
      </c>
      <c r="F10690" s="6" t="n">
        <f aca="false">Seg!F49*(al_srch+Sens!F10685)</f>
        <v>10.1729230470907</v>
      </c>
      <c r="G10690" s="6" t="n">
        <f aca="false">Seg!G49*(al_srch+Sens!G10685)</f>
        <v>11.1403318971852</v>
      </c>
      <c r="H10690" s="6" t="n">
        <f aca="false">Seg!H49*(al_srch+Sens!H10685)</f>
        <v>12.1511421371799</v>
      </c>
      <c r="I10690" s="6" t="n">
        <f aca="false">Seg!I49*(al_srch+Sens!I10685)</f>
        <v>13.1963628712968</v>
      </c>
      <c r="J10690" s="6" t="n">
        <f aca="false">Seg!J49*(al_srch+Sens!J10685)</f>
        <v>14.2578127803031</v>
      </c>
      <c r="K10690" s="6" t="n">
        <f aca="false">Seg!K49*(al_srch+Sens!K10685)</f>
        <v>15.3098429837522</v>
      </c>
    </row>
    <row r="10691" customFormat="false" ht="17.15" hidden="false" customHeight="false" outlineLevel="0" collapsed="false">
      <c r="A10691" s="0" t="s">
        <v>954</v>
      </c>
      <c r="B10691" s="0" t="s">
        <v>95</v>
      </c>
      <c r="F10691" s="6" t="n">
        <f aca="false">Thesis!F70</f>
        <v>39.4594407491938</v>
      </c>
      <c r="G10691" s="6" t="n">
        <f aca="false">Thesis!G70</f>
        <v>66.5527545578061</v>
      </c>
      <c r="H10691" s="6" t="n">
        <f aca="false">Thesis!H70</f>
        <v>95.219644983859</v>
      </c>
      <c r="I10691" s="6" t="n">
        <f aca="false">Thesis!I70</f>
        <v>124.031840462493</v>
      </c>
      <c r="J10691" s="6" t="n">
        <f aca="false">Thesis!J70</f>
        <v>152.919994097909</v>
      </c>
      <c r="K10691" s="6" t="n">
        <f aca="false">Thesis!K70</f>
        <v>181.852830263848</v>
      </c>
    </row>
    <row r="10692" customFormat="false" ht="17.15" hidden="false" customHeight="false" outlineLevel="0" collapsed="false">
      <c r="A10692" s="0" t="s">
        <v>955</v>
      </c>
      <c r="B10692" s="0" t="s">
        <v>95</v>
      </c>
      <c r="F10692" s="6" t="n">
        <f aca="false">PL!F67+Thesis!F81+Sens!F10685*(Seg!F48-Thesis!F64)</f>
        <v>211.444651350023</v>
      </c>
      <c r="G10692" s="6" t="n">
        <f aca="false">PL!G67+Thesis!G81+Sens!G10685*(Seg!G48-Thesis!G64)</f>
        <v>258.603564397354</v>
      </c>
      <c r="H10692" s="6" t="n">
        <f aca="false">PL!H67+Thesis!H81+Sens!H10685*(Seg!H48-Thesis!H64)</f>
        <v>307.569865351584</v>
      </c>
      <c r="I10692" s="6" t="n">
        <f aca="false">PL!I67+Thesis!I81+Sens!I10685*(Seg!I48-Thesis!I64)</f>
        <v>355.542793549845</v>
      </c>
      <c r="J10692" s="6" t="n">
        <f aca="false">PL!J67+Thesis!J81+Sens!J10685*(Seg!J48-Thesis!J64)</f>
        <v>401.64028415844</v>
      </c>
      <c r="K10692" s="6" t="n">
        <f aca="false">PL!K67+Thesis!K81+Sens!K10685*(Seg!K48-Thesis!K64)</f>
        <v>445.850798387254</v>
      </c>
    </row>
    <row r="10693" customFormat="false" ht="17.15" hidden="false" customHeight="false" outlineLevel="0" collapsed="false">
      <c r="A10693" s="0" t="s">
        <v>956</v>
      </c>
      <c r="B10693" s="0" t="s">
        <v>95</v>
      </c>
      <c r="F10693" s="6" t="n">
        <f aca="false">Sens!F10692-Sens!F10686-Sens!F10687-Sens!F10688-Sens!F10689-Sens!F10691</f>
        <v>49.0568470605414</v>
      </c>
      <c r="G10693" s="6" t="n">
        <f aca="false">Sens!G10692-Sens!G10686-Sens!G10687-Sens!G10688-Sens!G10689-Sens!G10691</f>
        <v>55.2424980598302</v>
      </c>
      <c r="H10693" s="6" t="n">
        <f aca="false">Sens!H10692-Sens!H10686-Sens!H10687-Sens!H10688-Sens!H10689-Sens!H10691</f>
        <v>61.5124445216581</v>
      </c>
      <c r="I10693" s="6" t="n">
        <f aca="false">Sens!I10692-Sens!I10686-Sens!I10687-Sens!I10688-Sens!I10689-Sens!I10691</f>
        <v>67.6266257295162</v>
      </c>
      <c r="J10693" s="6" t="n">
        <f aca="false">Sens!J10692-Sens!J10686-Sens!J10687-Sens!J10688-Sens!J10689-Sens!J10691</f>
        <v>72.9830901520934</v>
      </c>
      <c r="K10693" s="6" t="n">
        <f aca="false">Sens!K10692-Sens!K10686-Sens!K10687-Sens!K10688-Sens!K10689-Sens!K10691</f>
        <v>76.8739628312856</v>
      </c>
    </row>
    <row r="10694" customFormat="false" ht="17.15" hidden="false" customHeight="false" outlineLevel="0" collapsed="false">
      <c r="A10694" s="0" t="s">
        <v>957</v>
      </c>
      <c r="B10694" s="0" t="s">
        <v>95</v>
      </c>
      <c r="F10694" s="6" t="n">
        <f aca="false">PL!F69+Sens!F10685*Seg!F55</f>
        <v>23.7531412609386</v>
      </c>
      <c r="G10694" s="6" t="n">
        <f aca="false">PL!G69+Sens!G10685*Seg!G55</f>
        <v>24.289549634664</v>
      </c>
      <c r="H10694" s="6" t="n">
        <f aca="false">PL!H69+Sens!H10685*Seg!H55</f>
        <v>25.0756909710291</v>
      </c>
      <c r="I10694" s="6" t="n">
        <f aca="false">PL!I69+Sens!I10685*Seg!I55</f>
        <v>26.084576762931</v>
      </c>
      <c r="J10694" s="6" t="n">
        <f aca="false">PL!J69+Sens!J10685*Seg!J55</f>
        <v>27.2832671034962</v>
      </c>
      <c r="K10694" s="6" t="n">
        <f aca="false">PL!K69+Sens!K10685*Seg!K55</f>
        <v>28.6364406758481</v>
      </c>
    </row>
    <row r="10695" customFormat="false" ht="17.15" hidden="false" customHeight="false" outlineLevel="0" collapsed="false">
      <c r="A10695" s="0" t="s">
        <v>958</v>
      </c>
      <c r="B10695" s="0" t="s">
        <v>95</v>
      </c>
      <c r="F10695" s="6" t="n">
        <f aca="false">(Sens!F10694-Sens!F10690)*Seg!F51/(Seg!F51+Seg!F53)</f>
        <v>7.4445433554226</v>
      </c>
      <c r="G10695" s="6" t="n">
        <f aca="false">(Sens!G10694-Sens!G10690)*Seg!G51/(Seg!G51+Seg!G53)</f>
        <v>7.07975003595558</v>
      </c>
      <c r="H10695" s="6" t="n">
        <f aca="false">(Sens!H10694-Sens!H10690)*Seg!H51/(Seg!H51+Seg!H53)</f>
        <v>6.86478313784268</v>
      </c>
      <c r="I10695" s="6" t="n">
        <f aca="false">(Sens!I10694-Sens!I10690)*Seg!I51/(Seg!I51+Seg!I53)</f>
        <v>6.78354606184423</v>
      </c>
      <c r="J10695" s="6" t="n">
        <f aca="false">(Sens!J10694-Sens!J10690)*Seg!J51/(Seg!J51+Seg!J53)</f>
        <v>6.82477921474853</v>
      </c>
      <c r="K10695" s="6" t="n">
        <f aca="false">(Sens!K10694-Sens!K10690)*Seg!K51/(Seg!K51+Seg!K53)</f>
        <v>6.98256541964795</v>
      </c>
    </row>
    <row r="10696" customFormat="false" ht="17.15" hidden="false" customHeight="false" outlineLevel="0" collapsed="false">
      <c r="A10696" s="0" t="s">
        <v>959</v>
      </c>
      <c r="B10696" s="0" t="s">
        <v>95</v>
      </c>
      <c r="F10696" s="6" t="n">
        <f aca="false">Sens!F10694-Sens!F10690-Sens!F10695</f>
        <v>6.1356748584253</v>
      </c>
      <c r="G10696" s="6" t="n">
        <f aca="false">Sens!G10694-Sens!G10690-Sens!G10695</f>
        <v>6.06946770152326</v>
      </c>
      <c r="H10696" s="6" t="n">
        <f aca="false">Sens!H10694-Sens!H10690-Sens!H10695</f>
        <v>6.05976569600657</v>
      </c>
      <c r="I10696" s="6" t="n">
        <f aca="false">Sens!I10694-Sens!I10690-Sens!I10695</f>
        <v>6.10466782979</v>
      </c>
      <c r="J10696" s="6" t="n">
        <f aca="false">Sens!J10694-Sens!J10690-Sens!J10695</f>
        <v>6.20067510844453</v>
      </c>
      <c r="K10696" s="6" t="n">
        <f aca="false">Sens!K10694-Sens!K10690-Sens!K10695</f>
        <v>6.34403227244794</v>
      </c>
    </row>
    <row r="10697" customFormat="false" ht="17.15" hidden="false" customHeight="false" outlineLevel="0" collapsed="false">
      <c r="A10697" s="1" t="s">
        <v>960</v>
      </c>
      <c r="B10697" s="0" t="s">
        <v>95</v>
      </c>
      <c r="C10697" s="6" t="n">
        <f aca="false">(w_ntm28*Sens!G10691+(1-w_ntm28)*Sens!H10691)*m_ai*1</f>
        <v>454.922440830797</v>
      </c>
    </row>
    <row r="10698" customFormat="false" ht="17.15" hidden="false" customHeight="false" outlineLevel="0" collapsed="false">
      <c r="A10698" s="1" t="s">
        <v>961</v>
      </c>
      <c r="B10698" s="0" t="s">
        <v>95</v>
      </c>
      <c r="C10698" s="6" t="n">
        <f aca="false">(w_ntm28*Sens!G10693+(1-w_ntm28)*Sens!H10693)*m_cloud*1</f>
        <v>791.46441330217</v>
      </c>
    </row>
    <row r="10699" customFormat="false" ht="17.15" hidden="false" customHeight="false" outlineLevel="0" collapsed="false">
      <c r="A10699" s="1" t="s">
        <v>962</v>
      </c>
      <c r="B10699" s="0" t="s">
        <v>95</v>
      </c>
      <c r="C10699" s="6" t="n">
        <f aca="false">(w_ntm28*Sens!G10686+(1-w_ntm28)*Sens!H10686)*m_sw*1</f>
        <v>1026.79623553955</v>
      </c>
    </row>
    <row r="10700" customFormat="false" ht="17.15" hidden="false" customHeight="false" outlineLevel="0" collapsed="false">
      <c r="A10700" s="1" t="s">
        <v>963</v>
      </c>
      <c r="B10700" s="0" t="s">
        <v>95</v>
      </c>
      <c r="C10700" s="6" t="n">
        <f aca="false">(w_ntm28*Sens!G10687+(1-w_ntm28)*Sens!H10687)*m_sw*1</f>
        <v>362.808640557625</v>
      </c>
    </row>
    <row r="10701" customFormat="false" ht="17.15" hidden="false" customHeight="false" outlineLevel="0" collapsed="false">
      <c r="A10701" s="1" t="s">
        <v>964</v>
      </c>
      <c r="B10701" s="0" t="s">
        <v>95</v>
      </c>
      <c r="C10701" s="6" t="n">
        <f aca="false">(w_ntm28*Sens!G10688+(1-w_ntm28)*Sens!H10688)*m_sw*1</f>
        <v>99.1003328352541</v>
      </c>
    </row>
    <row r="10702" customFormat="false" ht="17.15" hidden="false" customHeight="false" outlineLevel="0" collapsed="false">
      <c r="A10702" s="1" t="s">
        <v>965</v>
      </c>
      <c r="B10702" s="0" t="s">
        <v>95</v>
      </c>
      <c r="C10702" s="6" t="n">
        <f aca="false">(w_ntm28*Sens!G10689+(1-w_ntm28)*Sens!H10689)*m_sw*1</f>
        <v>37.8085281683974</v>
      </c>
    </row>
    <row r="10703" customFormat="false" ht="17.15" hidden="false" customHeight="false" outlineLevel="0" collapsed="false">
      <c r="A10703" s="1" t="s">
        <v>966</v>
      </c>
      <c r="B10703" s="0" t="s">
        <v>95</v>
      </c>
      <c r="C10703" s="6" t="n">
        <f aca="false">(w_ntm28*Sens!G10690+(1-w_ntm28)*Sens!H10690)*m_ads*1</f>
        <v>104.465412054013</v>
      </c>
    </row>
    <row r="10704" customFormat="false" ht="17.15" hidden="false" customHeight="false" outlineLevel="0" collapsed="false">
      <c r="A10704" s="1" t="s">
        <v>967</v>
      </c>
      <c r="B10704" s="0" t="s">
        <v>95</v>
      </c>
      <c r="C10704" s="6" t="n">
        <f aca="false">(w_ntm28*Sens!G10695+(1-w_ntm28)*Sens!H10695)*m_game*1</f>
        <v>88.5395066063557</v>
      </c>
    </row>
    <row r="10705" customFormat="false" ht="17.15" hidden="false" customHeight="false" outlineLevel="0" collapsed="false">
      <c r="A10705" s="1" t="s">
        <v>968</v>
      </c>
      <c r="B10705" s="0" t="s">
        <v>95</v>
      </c>
      <c r="C10705" s="6" t="n">
        <f aca="false">(w_ntm28*Sens!G10696+(1-w_ntm28)*Sens!H10696)*m_pc*1</f>
        <v>87.7798119250428</v>
      </c>
    </row>
    <row r="10706" customFormat="false" ht="17.15" hidden="false" customHeight="false" outlineLevel="0" collapsed="false">
      <c r="A10706" s="1" t="s">
        <v>969</v>
      </c>
      <c r="B10706" s="0" t="s">
        <v>95</v>
      </c>
      <c r="C10706" s="6" t="n">
        <f aca="false">Sens!$C$10697+Sens!$C$10698+Sens!$C$10699+Sens!$C$10700+Sens!$C$10701+Sens!$C$10702+Sens!$C$10703+Sens!$C$10704+Sens!$C$10705</f>
        <v>3053.68532181921</v>
      </c>
    </row>
    <row r="10707" customFormat="false" ht="17.15" hidden="false" customHeight="false" outlineLevel="0" collapsed="false">
      <c r="A10707" s="1" t="s">
        <v>903</v>
      </c>
      <c r="B10707" s="0" t="s">
        <v>95</v>
      </c>
      <c r="C10707" s="6" t="n">
        <f aca="false">CF!F64+oai_v-CF!F53</f>
        <v>111.253995542787</v>
      </c>
      <c r="L10707" s="1" t="s">
        <v>970</v>
      </c>
    </row>
    <row r="10708" customFormat="false" ht="15" hidden="false" customHeight="false" outlineLevel="0" collapsed="false">
      <c r="A10708" s="1" t="s">
        <v>904</v>
      </c>
      <c r="B10708" s="0" t="s">
        <v>73</v>
      </c>
      <c r="C10708" s="5" t="n">
        <f aca="false">(Sens!$C$10706+Sens!$C$10707)/CF!F66</f>
        <v>423.573249111616</v>
      </c>
    </row>
    <row r="10709" customFormat="false" ht="17.15" hidden="false" customHeight="false" outlineLevel="0" collapsed="false">
      <c r="A10709" s="1" t="s">
        <v>971</v>
      </c>
      <c r="B10709" s="0" t="s">
        <v>73</v>
      </c>
      <c r="C10709" s="5" t="n">
        <f aca="false">w_dcf*Sens!$C$10684+(1-w_dcf)*Sens!$C$10708</f>
        <v>320.029620073447</v>
      </c>
    </row>
    <row r="10710" customFormat="false" ht="17.15" hidden="false" customHeight="false" outlineLevel="0" collapsed="false">
      <c r="A10710" s="3" t="s">
        <v>1419</v>
      </c>
    </row>
    <row r="10711" customFormat="false" ht="15" hidden="false" customHeight="false" outlineLevel="0" collapsed="false">
      <c r="A10711" s="4" t="s">
        <v>43</v>
      </c>
      <c r="B10711" s="4" t="s">
        <v>63</v>
      </c>
      <c r="C10711" s="19" t="s">
        <v>710</v>
      </c>
      <c r="D10711" s="19" t="s">
        <v>711</v>
      </c>
      <c r="E10711" s="19" t="s">
        <v>712</v>
      </c>
      <c r="F10711" s="19" t="s">
        <v>713</v>
      </c>
      <c r="G10711" s="19" t="s">
        <v>714</v>
      </c>
      <c r="H10711" s="19" t="s">
        <v>715</v>
      </c>
      <c r="I10711" s="19" t="s">
        <v>716</v>
      </c>
      <c r="J10711" s="19" t="s">
        <v>717</v>
      </c>
      <c r="K10711" s="19" t="s">
        <v>718</v>
      </c>
      <c r="L10711" s="4" t="s">
        <v>47</v>
      </c>
    </row>
    <row r="10712" customFormat="false" ht="17.15" hidden="false" customHeight="false" outlineLevel="0" collapsed="false">
      <c r="A10712" s="1" t="s">
        <v>938</v>
      </c>
      <c r="B10712" s="1" t="s">
        <v>213</v>
      </c>
      <c r="F10712" s="34" t="n">
        <f aca="false">1-0.5</f>
        <v>0.5</v>
      </c>
      <c r="G10712" s="34" t="n">
        <f aca="false">2-0.5</f>
        <v>1.5</v>
      </c>
      <c r="H10712" s="34" t="n">
        <f aca="false">3-0.5</f>
        <v>2.5</v>
      </c>
      <c r="I10712" s="34" t="n">
        <f aca="false">4-0.5</f>
        <v>3.5</v>
      </c>
      <c r="J10712" s="34" t="n">
        <f aca="false">5-0.5</f>
        <v>4.5</v>
      </c>
      <c r="K10712" s="34" t="n">
        <f aca="false">6-0.5</f>
        <v>5.5</v>
      </c>
    </row>
    <row r="10713" customFormat="false" ht="15" hidden="false" customHeight="false" outlineLevel="0" collapsed="false">
      <c r="A10713" s="1" t="s">
        <v>939</v>
      </c>
      <c r="B10713" s="0" t="s">
        <v>182</v>
      </c>
      <c r="F10713" s="18" t="n">
        <f aca="false">1/(1+(wacc+0.01))^Sens!F10712</f>
        <v>0.945348836365402</v>
      </c>
      <c r="G10713" s="18" t="n">
        <f aca="false">1/(1+(wacc+0.01))^Sens!G10712</f>
        <v>0.844843528810194</v>
      </c>
      <c r="H10713" s="18" t="n">
        <f aca="false">1/(1+(wacc+0.01))^Sens!H10712</f>
        <v>0.755023501077833</v>
      </c>
      <c r="I10713" s="18" t="n">
        <f aca="false">1/(1+(wacc+0.01))^Sens!I10712</f>
        <v>0.674752741472321</v>
      </c>
      <c r="J10713" s="18" t="n">
        <f aca="false">1/(1+(wacc+0.01))^Sens!J10712</f>
        <v>0.603016014037261</v>
      </c>
      <c r="K10713" s="18" t="n">
        <f aca="false">1/(1+(wacc+0.01))^Sens!K10712</f>
        <v>0.538906018213344</v>
      </c>
    </row>
    <row r="10714" customFormat="false" ht="15" hidden="false" customHeight="false" outlineLevel="0" collapsed="false">
      <c r="A10714" s="1" t="s">
        <v>940</v>
      </c>
      <c r="B10714" s="0" t="s">
        <v>95</v>
      </c>
      <c r="F10714" s="6" t="n">
        <f aca="false">CF!F83*Sens!F10713</f>
        <v>-3.05280082580843</v>
      </c>
      <c r="G10714" s="6" t="n">
        <f aca="false">CF!G83*Sens!G10713</f>
        <v>15.1319092527616</v>
      </c>
      <c r="H10714" s="6" t="n">
        <f aca="false">CF!H83*Sens!H10713</f>
        <v>32.0152051164799</v>
      </c>
      <c r="I10714" s="6" t="n">
        <f aca="false">CF!I83*Sens!I10713</f>
        <v>31.5281910966908</v>
      </c>
      <c r="J10714" s="6" t="n">
        <f aca="false">CF!J83*Sens!J10713</f>
        <v>39.4027913021539</v>
      </c>
      <c r="K10714" s="6" t="n">
        <f aca="false">CF!K83*Sens!K10713</f>
        <v>28.9107932067551</v>
      </c>
    </row>
    <row r="10715" customFormat="false" ht="17.15" hidden="false" customHeight="false" outlineLevel="0" collapsed="false">
      <c r="A10715" s="1" t="s">
        <v>941</v>
      </c>
      <c r="B10715" s="0" t="s">
        <v>95</v>
      </c>
      <c r="C10715" s="6" t="n">
        <f aca="false">SUM(Sens!F10714:K10714)</f>
        <v>143.936089149033</v>
      </c>
    </row>
    <row r="10716" customFormat="false" ht="17.15" hidden="false" customHeight="false" outlineLevel="0" collapsed="false">
      <c r="A10716" s="1" t="s">
        <v>942</v>
      </c>
      <c r="B10716" s="0" t="s">
        <v>95</v>
      </c>
      <c r="C10716" s="6" t="n">
        <f aca="false">PL!K105*(1+g_tv)*(1-tax_f)</f>
        <v>165.083397962666</v>
      </c>
    </row>
    <row r="10717" customFormat="false" ht="17.15" hidden="false" customHeight="false" outlineLevel="0" collapsed="false">
      <c r="A10717" s="1" t="s">
        <v>943</v>
      </c>
      <c r="B10717" s="0" t="s">
        <v>95</v>
      </c>
      <c r="C10717" s="6" t="n">
        <f aca="false">Sens!$C$10716*(1-g_tv/((wacc+0.01)+ronic_prem))</f>
        <v>123.452868030858</v>
      </c>
    </row>
    <row r="10718" customFormat="false" ht="17.15" hidden="false" customHeight="false" outlineLevel="0" collapsed="false">
      <c r="A10718" s="1" t="s">
        <v>944</v>
      </c>
      <c r="B10718" s="0" t="s">
        <v>95</v>
      </c>
      <c r="C10718" s="6" t="n">
        <f aca="false">Sens!$C$10717/((wacc+0.01)-g_tv)</f>
        <v>1387.68433106028</v>
      </c>
    </row>
    <row r="10719" customFormat="false" ht="15" hidden="false" customHeight="false" outlineLevel="0" collapsed="false">
      <c r="A10719" s="1" t="s">
        <v>945</v>
      </c>
      <c r="B10719" s="0" t="s">
        <v>95</v>
      </c>
      <c r="C10719" s="6" t="n">
        <f aca="false">Sens!$C$10718/(1+(wacc+0.01))^6</f>
        <v>706.961579132913</v>
      </c>
    </row>
    <row r="10720" customFormat="false" ht="17.15" hidden="false" customHeight="false" outlineLevel="0" collapsed="false">
      <c r="A10720" s="0" t="s">
        <v>877</v>
      </c>
      <c r="B10720" s="0" t="s">
        <v>95</v>
      </c>
      <c r="C10720" s="6" t="n">
        <f aca="false">Sens!$C$10715+Sens!$C$10719</f>
        <v>850.897668281946</v>
      </c>
    </row>
    <row r="10721" customFormat="false" ht="15" hidden="false" customHeight="false" outlineLevel="0" collapsed="false">
      <c r="A10721" s="1" t="s">
        <v>878</v>
      </c>
      <c r="B10721" s="0" t="s">
        <v>126</v>
      </c>
      <c r="C10721" s="7" t="n">
        <f aca="false">Sens!$C$10719/Sens!$C$10720</f>
        <v>0.830842068894541</v>
      </c>
    </row>
    <row r="10722" customFormat="false" ht="17.15" hidden="false" customHeight="false" outlineLevel="0" collapsed="false">
      <c r="A10722" s="1" t="s">
        <v>946</v>
      </c>
      <c r="B10722" s="0" t="s">
        <v>95</v>
      </c>
      <c r="C10722" s="6" t="n">
        <f aca="false">Sens!$C$10720+CF!E92+oai_v</f>
        <v>1052.00466828195</v>
      </c>
    </row>
    <row r="10723" customFormat="false" ht="17.15" hidden="false" customHeight="false" outlineLevel="0" collapsed="false">
      <c r="A10723" s="0" t="s">
        <v>883</v>
      </c>
      <c r="B10723" s="0" t="s">
        <v>73</v>
      </c>
      <c r="C10723" s="5" t="n">
        <f aca="false">Sens!$C$10722/sh_dil26</f>
        <v>141.15184063893</v>
      </c>
    </row>
    <row r="10724" customFormat="false" ht="17.15" hidden="false" customHeight="false" outlineLevel="0" collapsed="false">
      <c r="A10724" s="0" t="s">
        <v>947</v>
      </c>
      <c r="B10724" s="0" t="s">
        <v>73</v>
      </c>
      <c r="C10724" s="5" t="n">
        <f aca="false">Sens!$C$10723*(1+(wacc+0.01))^t_roll</f>
        <v>163.839136355896</v>
      </c>
    </row>
    <row r="10725" customFormat="false" ht="17.15" hidden="false" customHeight="false" outlineLevel="0" collapsed="false">
      <c r="A10725" s="1" t="s">
        <v>948</v>
      </c>
      <c r="B10725" s="0" t="s">
        <v>126</v>
      </c>
      <c r="F10725" s="7" t="n">
        <f aca="false">CF!F73/(Seg!F83-Thesis!F108)</f>
        <v>0.0686864325746334</v>
      </c>
      <c r="G10725" s="7" t="n">
        <f aca="false">CF!G73/(Seg!G83-Thesis!G108)</f>
        <v>0.066267001590801</v>
      </c>
      <c r="H10725" s="7" t="n">
        <f aca="false">CF!H73/(Seg!H83-Thesis!H108)</f>
        <v>0.0650366246750144</v>
      </c>
      <c r="I10725" s="7" t="n">
        <f aca="false">CF!I73/(Seg!I83-Thesis!I108)</f>
        <v>0.0648573271390164</v>
      </c>
      <c r="J10725" s="7" t="n">
        <f aca="false">CF!J73/(Seg!J83-Thesis!J108)</f>
        <v>0.0655189837669657</v>
      </c>
      <c r="K10725" s="7" t="n">
        <f aca="false">CF!K73/(Seg!K83-Thesis!K108)</f>
        <v>0.0667878921367872</v>
      </c>
    </row>
    <row r="10726" customFormat="false" ht="17.15" hidden="false" customHeight="false" outlineLevel="0" collapsed="false">
      <c r="A10726" s="0" t="s">
        <v>949</v>
      </c>
      <c r="B10726" s="0" t="s">
        <v>95</v>
      </c>
      <c r="F10726" s="6" t="n">
        <f aca="false">Seg!F68*(al_m365+Sens!F10725)</f>
        <v>78.4986969872395</v>
      </c>
      <c r="G10726" s="6" t="n">
        <f aca="false">Seg!G68*(al_m365+Sens!G10725)</f>
        <v>88.3098056906507</v>
      </c>
      <c r="H10726" s="6" t="n">
        <f aca="false">Seg!H68*(al_m365+Sens!H10725)</f>
        <v>98.2773562913015</v>
      </c>
      <c r="I10726" s="6" t="n">
        <f aca="false">Seg!I68*(al_m365+Sens!I10725)</f>
        <v>107.762753675846</v>
      </c>
      <c r="J10726" s="6" t="n">
        <f aca="false">Seg!J68*(al_m365+Sens!J10725)</f>
        <v>116.587414331333</v>
      </c>
      <c r="K10726" s="6" t="n">
        <f aca="false">Seg!K68*(al_m365+Sens!K10725)</f>
        <v>125.041394489287</v>
      </c>
    </row>
    <row r="10727" customFormat="false" ht="17.15" hidden="false" customHeight="false" outlineLevel="0" collapsed="false">
      <c r="A10727" s="0" t="s">
        <v>950</v>
      </c>
      <c r="B10727" s="0" t="s">
        <v>95</v>
      </c>
      <c r="F10727" s="6" t="n">
        <f aca="false">Seg!F69*(al_lic+Sens!F10725)</f>
        <v>31.9877845991607</v>
      </c>
      <c r="G10727" s="6" t="n">
        <f aca="false">Seg!G69*(al_lic+Sens!G10725)</f>
        <v>33.243749427372</v>
      </c>
      <c r="H10727" s="6" t="n">
        <f aca="false">Seg!H69*(al_lic+Sens!H10725)</f>
        <v>34.4137793872059</v>
      </c>
      <c r="I10727" s="6" t="n">
        <f aca="false">Seg!I69*(al_lic+Sens!I10725)</f>
        <v>35.4787240806467</v>
      </c>
      <c r="J10727" s="6" t="n">
        <f aca="false">Seg!J69*(al_lic+Sens!J10725)</f>
        <v>36.4160307520991</v>
      </c>
      <c r="K10727" s="6" t="n">
        <f aca="false">Seg!K69*(al_lic+Sens!K10725)</f>
        <v>37.2021461938459</v>
      </c>
    </row>
    <row r="10728" customFormat="false" ht="17.15" hidden="false" customHeight="false" outlineLevel="0" collapsed="false">
      <c r="A10728" s="0" t="s">
        <v>951</v>
      </c>
      <c r="B10728" s="0" t="s">
        <v>95</v>
      </c>
      <c r="F10728" s="6" t="n">
        <f aca="false">Seg!F71*(al_ind+Sens!F10725)</f>
        <v>8.24280380456612</v>
      </c>
      <c r="G10728" s="6" t="n">
        <f aca="false">Seg!G71*(al_ind+Sens!G10725)</f>
        <v>8.9512770630031</v>
      </c>
      <c r="H10728" s="6" t="n">
        <f aca="false">Seg!H71*(al_ind+Sens!H10725)</f>
        <v>9.70041215792393</v>
      </c>
      <c r="I10728" s="6" t="n">
        <f aca="false">Seg!I71*(al_ind+Sens!I10725)</f>
        <v>10.4864435829487</v>
      </c>
      <c r="J10728" s="6" t="n">
        <f aca="false">Seg!J71*(al_ind+Sens!J10725)</f>
        <v>11.3015744981253</v>
      </c>
      <c r="K10728" s="6" t="n">
        <f aca="false">Seg!K71*(al_ind+Sens!K10725)</f>
        <v>12.1346647729291</v>
      </c>
    </row>
    <row r="10729" customFormat="false" ht="17.15" hidden="false" customHeight="false" outlineLevel="0" collapsed="false">
      <c r="A10729" s="0" t="s">
        <v>952</v>
      </c>
      <c r="B10729" s="0" t="s">
        <v>95</v>
      </c>
      <c r="F10729" s="6" t="n">
        <f aca="false">Seg!F73*(al_fro+Sens!F10725)</f>
        <v>3.24439651632051</v>
      </c>
      <c r="G10729" s="6" t="n">
        <f aca="false">Seg!G73*(al_fro+Sens!G10725)</f>
        <v>3.43676117771401</v>
      </c>
      <c r="H10729" s="6" t="n">
        <f aca="false">Seg!H73*(al_fro+Sens!H10725)</f>
        <v>3.65544732248501</v>
      </c>
      <c r="I10729" s="6" t="n">
        <f aca="false">Seg!I73*(al_fro+Sens!I10725)</f>
        <v>3.90262750850979</v>
      </c>
      <c r="J10729" s="6" t="n">
        <f aca="false">Seg!J73*(al_fro+Sens!J10725)</f>
        <v>4.17975656810881</v>
      </c>
      <c r="K10729" s="6" t="n">
        <f aca="false">Seg!K73*(al_fro+Sens!K10725)</f>
        <v>4.48786536733111</v>
      </c>
    </row>
    <row r="10730" customFormat="false" ht="17.15" hidden="false" customHeight="false" outlineLevel="0" collapsed="false">
      <c r="A10730" s="0" t="s">
        <v>953</v>
      </c>
      <c r="B10730" s="0" t="s">
        <v>95</v>
      </c>
      <c r="F10730" s="6" t="n">
        <f aca="false">Seg!F76*(al_srch+Sens!F10725)</f>
        <v>10.1799817910968</v>
      </c>
      <c r="G10730" s="6" t="n">
        <f aca="false">Seg!G76*(al_srch+Sens!G10725)</f>
        <v>11.1592643133754</v>
      </c>
      <c r="H10730" s="6" t="n">
        <f aca="false">Seg!H76*(al_srch+Sens!H10725)</f>
        <v>12.1792194533398</v>
      </c>
      <c r="I10730" s="6" t="n">
        <f aca="false">Seg!I76*(al_srch+Sens!I10725)</f>
        <v>13.2288881134521</v>
      </c>
      <c r="J10730" s="6" t="n">
        <f aca="false">Seg!J76*(al_srch+Sens!J10725)</f>
        <v>14.2913670918582</v>
      </c>
      <c r="K10730" s="6" t="n">
        <f aca="false">Seg!K76*(al_srch+Sens!K10725)</f>
        <v>15.3448485284362</v>
      </c>
    </row>
    <row r="10731" customFormat="false" ht="17.15" hidden="false" customHeight="false" outlineLevel="0" collapsed="false">
      <c r="A10731" s="0" t="s">
        <v>954</v>
      </c>
      <c r="B10731" s="0" t="s">
        <v>95</v>
      </c>
      <c r="F10731" s="6" t="n">
        <f aca="false">Thesis!F114</f>
        <v>35.0573455625419</v>
      </c>
      <c r="G10731" s="6" t="n">
        <f aca="false">Thesis!G114</f>
        <v>52.2504971712871</v>
      </c>
      <c r="H10731" s="6" t="n">
        <f aca="false">Thesis!H114</f>
        <v>65.2796698510271</v>
      </c>
      <c r="I10731" s="6" t="n">
        <f aca="false">Thesis!I114</f>
        <v>85.5659922535278</v>
      </c>
      <c r="J10731" s="6" t="n">
        <f aca="false">Thesis!J114</f>
        <v>105.90773710582</v>
      </c>
      <c r="K10731" s="6" t="n">
        <f aca="false">Thesis!K114</f>
        <v>126.282084319851</v>
      </c>
    </row>
    <row r="10732" customFormat="false" ht="17.15" hidden="false" customHeight="false" outlineLevel="0" collapsed="false">
      <c r="A10732" s="0" t="s">
        <v>955</v>
      </c>
      <c r="B10732" s="0" t="s">
        <v>95</v>
      </c>
      <c r="F10732" s="6" t="n">
        <f aca="false">PL!F102+Thesis!F125+Sens!F10725*(Seg!F75-Thesis!F108)</f>
        <v>206.154467007856</v>
      </c>
      <c r="G10732" s="6" t="n">
        <f aca="false">PL!G102+Thesis!G125+Sens!G10725*(Seg!G75-Thesis!G108)</f>
        <v>241.631787518433</v>
      </c>
      <c r="H10732" s="6" t="n">
        <f aca="false">PL!H102+Thesis!H125+Sens!H10725*(Seg!H75-Thesis!H108)</f>
        <v>273.161508717552</v>
      </c>
      <c r="I10732" s="6" t="n">
        <f aca="false">PL!I102+Thesis!I125+Sens!I10725*(Seg!I75-Thesis!I108)</f>
        <v>311.232758290592</v>
      </c>
      <c r="J10732" s="6" t="n">
        <f aca="false">PL!J102+Thesis!J125+Sens!J10725*(Seg!J75-Thesis!J108)</f>
        <v>347.836227364385</v>
      </c>
      <c r="K10732" s="6" t="n">
        <f aca="false">PL!K102+Thesis!K125+Sens!K10725*(Seg!K75-Thesis!K108)</f>
        <v>382.533402332059</v>
      </c>
    </row>
    <row r="10733" customFormat="false" ht="17.15" hidden="false" customHeight="false" outlineLevel="0" collapsed="false">
      <c r="A10733" s="0" t="s">
        <v>956</v>
      </c>
      <c r="B10733" s="0" t="s">
        <v>95</v>
      </c>
      <c r="F10733" s="6" t="n">
        <f aca="false">Sens!F10732-Sens!F10726-Sens!F10727-Sens!F10728-Sens!F10729-Sens!F10731</f>
        <v>49.123439538027</v>
      </c>
      <c r="G10733" s="6" t="n">
        <f aca="false">Sens!G10732-Sens!G10726-Sens!G10727-Sens!G10728-Sens!G10729-Sens!G10731</f>
        <v>55.4396969884061</v>
      </c>
      <c r="H10733" s="6" t="n">
        <f aca="false">Sens!H10732-Sens!H10726-Sens!H10727-Sens!H10728-Sens!H10729-Sens!H10731</f>
        <v>61.8348437076084</v>
      </c>
      <c r="I10733" s="6" t="n">
        <f aca="false">Sens!I10732-Sens!I10726-Sens!I10727-Sens!I10728-Sens!I10729-Sens!I10731</f>
        <v>68.0362171891129</v>
      </c>
      <c r="J10733" s="6" t="n">
        <f aca="false">Sens!J10732-Sens!J10726-Sens!J10727-Sens!J10728-Sens!J10729-Sens!J10731</f>
        <v>73.4437141088982</v>
      </c>
      <c r="K10733" s="6" t="n">
        <f aca="false">Sens!K10732-Sens!K10726-Sens!K10727-Sens!K10728-Sens!K10729-Sens!K10731</f>
        <v>77.3852471888144</v>
      </c>
    </row>
    <row r="10734" customFormat="false" ht="17.15" hidden="false" customHeight="false" outlineLevel="0" collapsed="false">
      <c r="A10734" s="0" t="s">
        <v>957</v>
      </c>
      <c r="B10734" s="0" t="s">
        <v>95</v>
      </c>
      <c r="F10734" s="6" t="n">
        <f aca="false">PL!F104+Sens!F10725*Seg!F82</f>
        <v>23.7697943901369</v>
      </c>
      <c r="G10734" s="6" t="n">
        <f aca="false">PL!G104+Sens!G10725*Seg!G82</f>
        <v>24.331261048114</v>
      </c>
      <c r="H10734" s="6" t="n">
        <f aca="false">PL!H104+Sens!H10725*Seg!H82</f>
        <v>25.1342423406419</v>
      </c>
      <c r="I10734" s="6" t="n">
        <f aca="false">PL!I104+Sens!I10725*Seg!I82</f>
        <v>26.1495446421549</v>
      </c>
      <c r="J10734" s="6" t="n">
        <f aca="false">PL!J104+Sens!J10725*Seg!J82</f>
        <v>27.3481502080811</v>
      </c>
      <c r="K10734" s="6" t="n">
        <f aca="false">PL!K104+Sens!K10725*Seg!K82</f>
        <v>28.7026027133478</v>
      </c>
    </row>
    <row r="10735" customFormat="false" ht="17.15" hidden="false" customHeight="false" outlineLevel="0" collapsed="false">
      <c r="A10735" s="0" t="s">
        <v>958</v>
      </c>
      <c r="B10735" s="0" t="s">
        <v>95</v>
      </c>
      <c r="F10735" s="6" t="n">
        <f aca="false">(Sens!F10734-Sens!F10730)*Seg!F78/(Seg!F78+Seg!F80)</f>
        <v>7.44980290393703</v>
      </c>
      <c r="G10735" s="6" t="n">
        <f aca="false">(Sens!G10734-Sens!G10730)*Seg!G78/(Seg!G78+Seg!G80)</f>
        <v>7.09201461396229</v>
      </c>
      <c r="H10735" s="6" t="n">
        <f aca="false">(Sens!H10734-Sens!H10730)*Seg!H78/(Seg!H78+Seg!H80)</f>
        <v>6.8809692168288</v>
      </c>
      <c r="I10735" s="6" t="n">
        <f aca="false">(Sens!I10734-Sens!I10730)*Seg!I78/(Seg!I78+Seg!I80)</f>
        <v>6.80062182771623</v>
      </c>
      <c r="J10735" s="6" t="n">
        <f aca="false">(Sens!J10734-Sens!J10730)*Seg!J78/(Seg!J78+Seg!J80)</f>
        <v>6.84119415814997</v>
      </c>
      <c r="K10735" s="6" t="n">
        <f aca="false">(Sens!K10734-Sens!K10730)*Seg!K78/(Seg!K78+Seg!K80)</f>
        <v>6.99889008512966</v>
      </c>
    </row>
    <row r="10736" customFormat="false" ht="17.15" hidden="false" customHeight="false" outlineLevel="0" collapsed="false">
      <c r="A10736" s="0" t="s">
        <v>959</v>
      </c>
      <c r="B10736" s="0" t="s">
        <v>95</v>
      </c>
      <c r="F10736" s="6" t="n">
        <f aca="false">Sens!F10734-Sens!F10730-Sens!F10735</f>
        <v>6.14000969510312</v>
      </c>
      <c r="G10736" s="6" t="n">
        <f aca="false">Sens!G10734-Sens!G10730-Sens!G10735</f>
        <v>6.07998212077627</v>
      </c>
      <c r="H10736" s="6" t="n">
        <f aca="false">Sens!H10734-Sens!H10730-Sens!H10735</f>
        <v>6.07405367047327</v>
      </c>
      <c r="I10736" s="6" t="n">
        <f aca="false">Sens!I10734-Sens!I10730-Sens!I10735</f>
        <v>6.12003470098649</v>
      </c>
      <c r="J10736" s="6" t="n">
        <f aca="false">Sens!J10734-Sens!J10730-Sens!J10735</f>
        <v>6.21558895807294</v>
      </c>
      <c r="K10736" s="6" t="n">
        <f aca="false">Sens!K10734-Sens!K10730-Sens!K10735</f>
        <v>6.35886409978198</v>
      </c>
    </row>
    <row r="10737" customFormat="false" ht="17.15" hidden="false" customHeight="false" outlineLevel="0" collapsed="false">
      <c r="A10737" s="1" t="s">
        <v>960</v>
      </c>
      <c r="B10737" s="0" t="s">
        <v>95</v>
      </c>
      <c r="C10737" s="6" t="n">
        <f aca="false">(w_ntm28*Sens!G10731+(1-w_ntm28)*Sens!H10731)*m_ai*1</f>
        <v>338.776008390068</v>
      </c>
    </row>
    <row r="10738" customFormat="false" ht="17.15" hidden="false" customHeight="false" outlineLevel="0" collapsed="false">
      <c r="A10738" s="1" t="s">
        <v>961</v>
      </c>
      <c r="B10738" s="0" t="s">
        <v>95</v>
      </c>
      <c r="C10738" s="6" t="n">
        <f aca="false">(w_ntm28*Sens!G10733+(1-w_ntm28)*Sens!H10733)*m_cloud*1</f>
        <v>794.749076664173</v>
      </c>
    </row>
    <row r="10739" customFormat="false" ht="17.15" hidden="false" customHeight="false" outlineLevel="0" collapsed="false">
      <c r="A10739" s="1" t="s">
        <v>962</v>
      </c>
      <c r="B10739" s="0" t="s">
        <v>95</v>
      </c>
      <c r="C10739" s="6" t="n">
        <f aca="false">(w_ntm28*Sens!G10726+(1-w_ntm28)*Sens!H10726)*m_sw*1</f>
        <v>988.547672652094</v>
      </c>
    </row>
    <row r="10740" customFormat="false" ht="17.15" hidden="false" customHeight="false" outlineLevel="0" collapsed="false">
      <c r="A10740" s="1" t="s">
        <v>963</v>
      </c>
      <c r="B10740" s="0" t="s">
        <v>95</v>
      </c>
      <c r="C10740" s="6" t="n">
        <f aca="false">(w_ntm28*Sens!G10727+(1-w_ntm28)*Sens!H10727)*m_sw*1</f>
        <v>363.117661434282</v>
      </c>
    </row>
    <row r="10741" customFormat="false" ht="17.15" hidden="false" customHeight="false" outlineLevel="0" collapsed="false">
      <c r="A10741" s="1" t="s">
        <v>964</v>
      </c>
      <c r="B10741" s="0" t="s">
        <v>95</v>
      </c>
      <c r="C10741" s="6" t="n">
        <f aca="false">(w_ntm28*Sens!G10728+(1-w_ntm28)*Sens!H10728)*m_sw*1</f>
        <v>99.2894025954118</v>
      </c>
    </row>
    <row r="10742" customFormat="false" ht="17.15" hidden="false" customHeight="false" outlineLevel="0" collapsed="false">
      <c r="A10742" s="1" t="s">
        <v>965</v>
      </c>
      <c r="B10742" s="0" t="s">
        <v>95</v>
      </c>
      <c r="C10742" s="6" t="n">
        <f aca="false">(w_ntm28*Sens!G10729+(1-w_ntm28)*Sens!H10729)*m_sw*1</f>
        <v>37.8805648916295</v>
      </c>
    </row>
    <row r="10743" customFormat="false" ht="17.15" hidden="false" customHeight="false" outlineLevel="0" collapsed="false">
      <c r="A10743" s="1" t="s">
        <v>966</v>
      </c>
      <c r="B10743" s="0" t="s">
        <v>95</v>
      </c>
      <c r="C10743" s="6" t="n">
        <f aca="false">(w_ntm28*Sens!G10730+(1-w_ntm28)*Sens!H10730)*m_ads*1</f>
        <v>104.664819473916</v>
      </c>
    </row>
    <row r="10744" customFormat="false" ht="17.15" hidden="false" customHeight="false" outlineLevel="0" collapsed="false">
      <c r="A10744" s="1" t="s">
        <v>967</v>
      </c>
      <c r="B10744" s="0" t="s">
        <v>95</v>
      </c>
      <c r="C10744" s="6" t="n">
        <f aca="false">(w_ntm28*Sens!G10735+(1-w_ntm28)*Sens!H10735)*m_game*1</f>
        <v>88.7104201985522</v>
      </c>
    </row>
    <row r="10745" customFormat="false" ht="17.15" hidden="false" customHeight="false" outlineLevel="0" collapsed="false">
      <c r="A10745" s="1" t="s">
        <v>968</v>
      </c>
      <c r="B10745" s="0" t="s">
        <v>95</v>
      </c>
      <c r="C10745" s="6" t="n">
        <f aca="false">(w_ntm28*Sens!G10736+(1-w_ntm28)*Sens!H10736)*m_pc*1</f>
        <v>87.9496081595385</v>
      </c>
    </row>
    <row r="10746" customFormat="false" ht="17.15" hidden="false" customHeight="false" outlineLevel="0" collapsed="false">
      <c r="A10746" s="1" t="s">
        <v>969</v>
      </c>
      <c r="B10746" s="0" t="s">
        <v>95</v>
      </c>
      <c r="C10746" s="6" t="n">
        <f aca="false">Sens!$C$10737+Sens!$C$10738+Sens!$C$10739+Sens!$C$10740+Sens!$C$10741+Sens!$C$10742+Sens!$C$10743+Sens!$C$10744+Sens!$C$10745</f>
        <v>2903.68523445966</v>
      </c>
    </row>
    <row r="10747" customFormat="false" ht="17.15" hidden="false" customHeight="false" outlineLevel="0" collapsed="false">
      <c r="A10747" s="1" t="s">
        <v>903</v>
      </c>
      <c r="B10747" s="0" t="s">
        <v>95</v>
      </c>
      <c r="C10747" s="6" t="n">
        <f aca="false">CF!F92+oai_v-CF!F81</f>
        <v>106.814034990727</v>
      </c>
      <c r="L10747" s="1" t="s">
        <v>970</v>
      </c>
    </row>
    <row r="10748" customFormat="false" ht="15" hidden="false" customHeight="false" outlineLevel="0" collapsed="false">
      <c r="A10748" s="1" t="s">
        <v>904</v>
      </c>
      <c r="B10748" s="0" t="s">
        <v>73</v>
      </c>
      <c r="C10748" s="5" t="n">
        <f aca="false">(Sens!$C$10746+Sens!$C$10747)/CF!F94</f>
        <v>402.904077817237</v>
      </c>
    </row>
    <row r="10749" customFormat="false" ht="17.15" hidden="false" customHeight="false" outlineLevel="0" collapsed="false">
      <c r="A10749" s="1" t="s">
        <v>971</v>
      </c>
      <c r="B10749" s="0" t="s">
        <v>73</v>
      </c>
      <c r="C10749" s="5" t="n">
        <f aca="false">w_dcf*Sens!$C$10724+(1-w_dcf)*Sens!$C$10748</f>
        <v>283.371607086566</v>
      </c>
    </row>
    <row r="10750" customFormat="false" ht="17.15" hidden="false" customHeight="false" outlineLevel="0" collapsed="false">
      <c r="A10750" s="3" t="s">
        <v>1420</v>
      </c>
    </row>
    <row r="10751" customFormat="false" ht="15" hidden="false" customHeight="false" outlineLevel="0" collapsed="false">
      <c r="A10751" s="4" t="s">
        <v>43</v>
      </c>
      <c r="B10751" s="4" t="s">
        <v>63</v>
      </c>
      <c r="C10751" s="19" t="s">
        <v>710</v>
      </c>
      <c r="D10751" s="19" t="s">
        <v>711</v>
      </c>
      <c r="E10751" s="19" t="s">
        <v>712</v>
      </c>
      <c r="F10751" s="19" t="s">
        <v>713</v>
      </c>
      <c r="G10751" s="19" t="s">
        <v>714</v>
      </c>
      <c r="H10751" s="19" t="s">
        <v>715</v>
      </c>
      <c r="I10751" s="19" t="s">
        <v>716</v>
      </c>
      <c r="J10751" s="19" t="s">
        <v>717</v>
      </c>
      <c r="K10751" s="19" t="s">
        <v>718</v>
      </c>
      <c r="L10751" s="4" t="s">
        <v>47</v>
      </c>
    </row>
    <row r="10752" customFormat="false" ht="17.15" hidden="false" customHeight="false" outlineLevel="0" collapsed="false">
      <c r="A10752" s="1" t="s">
        <v>938</v>
      </c>
      <c r="B10752" s="1" t="s">
        <v>213</v>
      </c>
      <c r="F10752" s="34" t="n">
        <f aca="false">1-0.5</f>
        <v>0.5</v>
      </c>
      <c r="G10752" s="34" t="n">
        <f aca="false">2-0.5</f>
        <v>1.5</v>
      </c>
      <c r="H10752" s="34" t="n">
        <f aca="false">3-0.5</f>
        <v>2.5</v>
      </c>
      <c r="I10752" s="34" t="n">
        <f aca="false">4-0.5</f>
        <v>3.5</v>
      </c>
      <c r="J10752" s="34" t="n">
        <f aca="false">5-0.5</f>
        <v>4.5</v>
      </c>
      <c r="K10752" s="34" t="n">
        <f aca="false">6-0.5</f>
        <v>5.5</v>
      </c>
    </row>
    <row r="10753" customFormat="false" ht="15" hidden="false" customHeight="false" outlineLevel="0" collapsed="false">
      <c r="A10753" s="1" t="s">
        <v>939</v>
      </c>
      <c r="B10753" s="0" t="s">
        <v>182</v>
      </c>
      <c r="F10753" s="18" t="n">
        <f aca="false">1/(1+wacc)^Sens!F10752</f>
        <v>0.949601579913219</v>
      </c>
      <c r="G10753" s="18" t="n">
        <f aca="false">1/(1+wacc)^Sens!G10752</f>
        <v>0.856296729956707</v>
      </c>
      <c r="H10753" s="18" t="n">
        <f aca="false">1/(1+wacc)^Sens!H10752</f>
        <v>0.772159719660069</v>
      </c>
      <c r="I10753" s="18" t="n">
        <f aca="false">1/(1+wacc)^Sens!I10752</f>
        <v>0.696289746073958</v>
      </c>
      <c r="J10753" s="18" t="n">
        <f aca="false">1/(1+wacc)^Sens!J10752</f>
        <v>0.627874516299776</v>
      </c>
      <c r="K10753" s="18" t="n">
        <f aca="false">1/(1+wacc)^Sens!K10752</f>
        <v>0.566181550771831</v>
      </c>
    </row>
    <row r="10754" customFormat="false" ht="15" hidden="false" customHeight="false" outlineLevel="0" collapsed="false">
      <c r="A10754" s="1" t="s">
        <v>940</v>
      </c>
      <c r="B10754" s="0" t="s">
        <v>95</v>
      </c>
      <c r="F10754" s="6" t="n">
        <f aca="false">CF!F27*Sens!F10753</f>
        <v>4.78244341517868</v>
      </c>
      <c r="G10754" s="6" t="n">
        <f aca="false">CF!G27*Sens!G10753</f>
        <v>37.2678177028369</v>
      </c>
      <c r="H10754" s="6" t="n">
        <f aca="false">CF!H27*Sens!H10753</f>
        <v>72.9878911803064</v>
      </c>
      <c r="I10754" s="6" t="n">
        <f aca="false">CF!I27*Sens!I10753</f>
        <v>79.2928055259562</v>
      </c>
      <c r="J10754" s="6" t="n">
        <f aca="false">CF!J27*Sens!J10753</f>
        <v>92.2861122369862</v>
      </c>
      <c r="K10754" s="6" t="n">
        <f aca="false">CF!K27*Sens!K10753</f>
        <v>84.8150303666</v>
      </c>
    </row>
    <row r="10755" customFormat="false" ht="17.15" hidden="false" customHeight="false" outlineLevel="0" collapsed="false">
      <c r="A10755" s="1" t="s">
        <v>941</v>
      </c>
      <c r="B10755" s="0" t="s">
        <v>95</v>
      </c>
      <c r="C10755" s="6" t="n">
        <f aca="false">SUM(Sens!F10754:K10754)</f>
        <v>371.432100427865</v>
      </c>
    </row>
    <row r="10756" customFormat="false" ht="17.15" hidden="false" customHeight="false" outlineLevel="0" collapsed="false">
      <c r="A10756" s="1" t="s">
        <v>942</v>
      </c>
      <c r="B10756" s="0" t="s">
        <v>95</v>
      </c>
      <c r="C10756" s="6" t="n">
        <f aca="false">PL!K35*(1+g_tv_lo)*(1-tax_f)</f>
        <v>258.535763015431</v>
      </c>
    </row>
    <row r="10757" customFormat="false" ht="17.15" hidden="false" customHeight="false" outlineLevel="0" collapsed="false">
      <c r="A10757" s="1" t="s">
        <v>943</v>
      </c>
      <c r="B10757" s="0" t="s">
        <v>95</v>
      </c>
      <c r="C10757" s="6" t="n">
        <f aca="false">Sens!$C$10756*(1-g_tv_lo/(wacc+ronic_prem))</f>
        <v>211.081996453422</v>
      </c>
    </row>
    <row r="10758" customFormat="false" ht="17.15" hidden="false" customHeight="false" outlineLevel="0" collapsed="false">
      <c r="A10758" s="1" t="s">
        <v>944</v>
      </c>
      <c r="B10758" s="0" t="s">
        <v>95</v>
      </c>
      <c r="C10758" s="6" t="n">
        <f aca="false">Sens!$C$10757/(wacc-g_tv_lo)</f>
        <v>2372.6883281004</v>
      </c>
    </row>
    <row r="10759" customFormat="false" ht="15" hidden="false" customHeight="false" outlineLevel="0" collapsed="false">
      <c r="A10759" s="1" t="s">
        <v>945</v>
      </c>
      <c r="B10759" s="0" t="s">
        <v>95</v>
      </c>
      <c r="C10759" s="6" t="n">
        <f aca="false">Sens!$C$10758/(1+wacc)^6</f>
        <v>1275.66851271591</v>
      </c>
    </row>
    <row r="10760" customFormat="false" ht="17.15" hidden="false" customHeight="false" outlineLevel="0" collapsed="false">
      <c r="A10760" s="0" t="s">
        <v>877</v>
      </c>
      <c r="B10760" s="0" t="s">
        <v>95</v>
      </c>
      <c r="C10760" s="6" t="n">
        <f aca="false">Sens!$C$10755+Sens!$C$10759</f>
        <v>1647.10061314377</v>
      </c>
    </row>
    <row r="10761" customFormat="false" ht="15" hidden="false" customHeight="false" outlineLevel="0" collapsed="false">
      <c r="A10761" s="1" t="s">
        <v>878</v>
      </c>
      <c r="B10761" s="0" t="s">
        <v>126</v>
      </c>
      <c r="C10761" s="7" t="n">
        <f aca="false">Sens!$C$10759/Sens!$C$10760</f>
        <v>0.774493374925699</v>
      </c>
    </row>
    <row r="10762" customFormat="false" ht="17.15" hidden="false" customHeight="false" outlineLevel="0" collapsed="false">
      <c r="A10762" s="1" t="s">
        <v>946</v>
      </c>
      <c r="B10762" s="0" t="s">
        <v>95</v>
      </c>
      <c r="C10762" s="6" t="n">
        <f aca="false">Sens!$C$10760+CF!E36+oai_v</f>
        <v>1848.20761314377</v>
      </c>
    </row>
    <row r="10763" customFormat="false" ht="17.15" hidden="false" customHeight="false" outlineLevel="0" collapsed="false">
      <c r="A10763" s="0" t="s">
        <v>883</v>
      </c>
      <c r="B10763" s="0" t="s">
        <v>73</v>
      </c>
      <c r="C10763" s="5" t="n">
        <f aca="false">Sens!$C$10762/sh_dil26</f>
        <v>247.981700408396</v>
      </c>
    </row>
    <row r="10764" customFormat="false" ht="17.15" hidden="false" customHeight="false" outlineLevel="0" collapsed="false">
      <c r="A10764" s="0" t="s">
        <v>947</v>
      </c>
      <c r="B10764" s="0" t="s">
        <v>73</v>
      </c>
      <c r="C10764" s="5" t="n">
        <f aca="false">Sens!$C$10763*(1+wacc)^t_roll</f>
        <v>284.43366401663</v>
      </c>
    </row>
    <row r="10765" customFormat="false" ht="17.15" hidden="false" customHeight="false" outlineLevel="0" collapsed="false">
      <c r="A10765" s="1" t="s">
        <v>948</v>
      </c>
      <c r="B10765" s="0" t="s">
        <v>126</v>
      </c>
      <c r="F10765" s="7" t="n">
        <f aca="false">CF!F17/(Seg!F29-Thesis!F20)</f>
        <v>0.0681773598226415</v>
      </c>
      <c r="G10765" s="7" t="n">
        <f aca="false">CF!G17/(Seg!G29-Thesis!G20)</f>
        <v>0.0650385409375172</v>
      </c>
      <c r="H10765" s="7" t="n">
        <f aca="false">CF!H17/(Seg!H29-Thesis!H20)</f>
        <v>0.063382542471986</v>
      </c>
      <c r="I10765" s="7" t="n">
        <f aca="false">CF!I17/(Seg!I29-Thesis!I20)</f>
        <v>0.0630998138876076</v>
      </c>
      <c r="J10765" s="7" t="n">
        <f aca="false">CF!J17/(Seg!J29-Thesis!J20)</f>
        <v>0.0638399980286975</v>
      </c>
      <c r="K10765" s="7" t="n">
        <f aca="false">CF!K17/(Seg!K29-Thesis!K20)</f>
        <v>0.0651531082402687</v>
      </c>
    </row>
    <row r="10766" customFormat="false" ht="17.15" hidden="false" customHeight="false" outlineLevel="0" collapsed="false">
      <c r="A10766" s="0" t="s">
        <v>949</v>
      </c>
      <c r="B10766" s="0" t="s">
        <v>95</v>
      </c>
      <c r="F10766" s="6" t="n">
        <f aca="false">Seg!F14*(al_m365+Sens!F10765)</f>
        <v>80.4434678008041</v>
      </c>
      <c r="G10766" s="6" t="n">
        <f aca="false">Seg!G14*(al_m365+Sens!G10765)</f>
        <v>94.1323272633269</v>
      </c>
      <c r="H10766" s="6" t="n">
        <f aca="false">Seg!H14*(al_m365+Sens!H10765)</f>
        <v>107.983658528206</v>
      </c>
      <c r="I10766" s="6" t="n">
        <f aca="false">Seg!I14*(al_m365+Sens!I10765)</f>
        <v>120.408335219477</v>
      </c>
      <c r="J10766" s="6" t="n">
        <f aca="false">Seg!J14*(al_m365+Sens!J10765)</f>
        <v>131.229685027411</v>
      </c>
      <c r="K10766" s="6" t="n">
        <f aca="false">Seg!K14*(al_m365+Sens!K10765)</f>
        <v>141.696231007978</v>
      </c>
    </row>
    <row r="10767" customFormat="false" ht="17.15" hidden="false" customHeight="false" outlineLevel="0" collapsed="false">
      <c r="A10767" s="0" t="s">
        <v>950</v>
      </c>
      <c r="B10767" s="0" t="s">
        <v>95</v>
      </c>
      <c r="F10767" s="6" t="n">
        <f aca="false">Seg!F15*(al_lic+Sens!F10765)</f>
        <v>31.9678940661213</v>
      </c>
      <c r="G10767" s="6" t="n">
        <f aca="false">Seg!G15*(al_lic+Sens!G10765)</f>
        <v>33.1937184472398</v>
      </c>
      <c r="H10767" s="6" t="n">
        <f aca="false">Seg!H15*(al_lic+Sens!H10765)</f>
        <v>34.3439380840055</v>
      </c>
      <c r="I10767" s="6" t="n">
        <f aca="false">Seg!I15*(al_lic+Sens!I10765)</f>
        <v>35.4022023072784</v>
      </c>
      <c r="J10767" s="6" t="n">
        <f aca="false">Seg!J15*(al_lic+Sens!J10765)</f>
        <v>36.3410576398918</v>
      </c>
      <c r="K10767" s="6" t="n">
        <f aca="false">Seg!K15*(al_lic+Sens!K10765)</f>
        <v>37.1276868757058</v>
      </c>
    </row>
    <row r="10768" customFormat="false" ht="17.15" hidden="false" customHeight="false" outlineLevel="0" collapsed="false">
      <c r="A10768" s="0" t="s">
        <v>951</v>
      </c>
      <c r="B10768" s="0" t="s">
        <v>95</v>
      </c>
      <c r="F10768" s="6" t="n">
        <f aca="false">Seg!F17*(al_ind+Sens!F10765)</f>
        <v>8.23142235288747</v>
      </c>
      <c r="G10768" s="6" t="n">
        <f aca="false">Seg!G17*(al_ind+Sens!G10765)</f>
        <v>8.92125445211874</v>
      </c>
      <c r="H10768" s="6" t="n">
        <f aca="false">Seg!H17*(al_ind+Sens!H10765)</f>
        <v>9.65645689966252</v>
      </c>
      <c r="I10768" s="6" t="n">
        <f aca="false">Seg!I17*(al_ind+Sens!I10765)</f>
        <v>10.4359305133559</v>
      </c>
      <c r="J10768" s="6" t="n">
        <f aca="false">Seg!J17*(al_ind+Sens!J10765)</f>
        <v>11.2496615107155</v>
      </c>
      <c r="K10768" s="6" t="n">
        <f aca="false">Seg!K17*(al_ind+Sens!K10765)</f>
        <v>12.0805802325565</v>
      </c>
    </row>
    <row r="10769" customFormat="false" ht="17.15" hidden="false" customHeight="false" outlineLevel="0" collapsed="false">
      <c r="A10769" s="0" t="s">
        <v>952</v>
      </c>
      <c r="B10769" s="0" t="s">
        <v>95</v>
      </c>
      <c r="F10769" s="6" t="n">
        <f aca="false">Seg!F19*(al_fro+Sens!F10765)</f>
        <v>3.23991673698178</v>
      </c>
      <c r="G10769" s="6" t="n">
        <f aca="false">Seg!G19*(al_fro+Sens!G10765)</f>
        <v>3.42523427012141</v>
      </c>
      <c r="H10769" s="6" t="n">
        <f aca="false">Seg!H19*(al_fro+Sens!H10765)</f>
        <v>3.63888347669114</v>
      </c>
      <c r="I10769" s="6" t="n">
        <f aca="false">Seg!I19*(al_fro+Sens!I10765)</f>
        <v>3.88382859986432</v>
      </c>
      <c r="J10769" s="6" t="n">
        <f aca="false">Seg!J19*(al_fro+Sens!J10765)</f>
        <v>4.16055715035227</v>
      </c>
      <c r="K10769" s="6" t="n">
        <f aca="false">Seg!K19*(al_fro+Sens!K10765)</f>
        <v>4.46786282583631</v>
      </c>
    </row>
    <row r="10770" customFormat="false" ht="17.15" hidden="false" customHeight="false" outlineLevel="0" collapsed="false">
      <c r="A10770" s="0" t="s">
        <v>953</v>
      </c>
      <c r="B10770" s="0" t="s">
        <v>95</v>
      </c>
      <c r="F10770" s="6" t="n">
        <f aca="false">Seg!F22*(al_srch+Sens!F10765)</f>
        <v>10.1659255338338</v>
      </c>
      <c r="G10770" s="6" t="n">
        <f aca="false">Seg!G22*(al_srch+Sens!G10765)</f>
        <v>11.1218361064416</v>
      </c>
      <c r="H10770" s="6" t="n">
        <f aca="false">Seg!H22*(al_srch+Sens!H10765)</f>
        <v>12.1240320316325</v>
      </c>
      <c r="I10770" s="6" t="n">
        <f aca="false">Seg!I22*(al_srch+Sens!I10765)</f>
        <v>13.1651647223307</v>
      </c>
      <c r="J10770" s="6" t="n">
        <f aca="false">Seg!J22*(al_srch+Sens!J10765)</f>
        <v>14.2257207024961</v>
      </c>
      <c r="K10770" s="6" t="n">
        <f aca="false">Seg!K22*(al_srch+Sens!K10765)</f>
        <v>15.2764561092572</v>
      </c>
    </row>
    <row r="10771" customFormat="false" ht="17.15" hidden="false" customHeight="false" outlineLevel="0" collapsed="false">
      <c r="A10771" s="0" t="s">
        <v>954</v>
      </c>
      <c r="B10771" s="0" t="s">
        <v>95</v>
      </c>
      <c r="F10771" s="6" t="n">
        <f aca="false">Thesis!F26</f>
        <v>43.1278534047371</v>
      </c>
      <c r="G10771" s="6" t="n">
        <f aca="false">Thesis!G26</f>
        <v>78.4713023799053</v>
      </c>
      <c r="H10771" s="6" t="n">
        <f aca="false">Thesis!H26</f>
        <v>120.169624261219</v>
      </c>
      <c r="I10771" s="6" t="n">
        <f aca="false">Thesis!I26</f>
        <v>156.086713969963</v>
      </c>
      <c r="J10771" s="6" t="n">
        <f aca="false">Thesis!J26</f>
        <v>192.09687492465</v>
      </c>
      <c r="K10771" s="6" t="n">
        <f aca="false">Thesis!K26</f>
        <v>228.161785217179</v>
      </c>
    </row>
    <row r="10772" customFormat="false" ht="17.15" hidden="false" customHeight="false" outlineLevel="0" collapsed="false">
      <c r="A10772" s="0" t="s">
        <v>955</v>
      </c>
      <c r="B10772" s="0" t="s">
        <v>95</v>
      </c>
      <c r="F10772" s="6" t="n">
        <f aca="false">PL!F32+Thesis!F37+Sens!F10765*(Seg!F21-Thesis!F20)</f>
        <v>216.001008704281</v>
      </c>
      <c r="G10772" s="6" t="n">
        <f aca="false">PL!G32+Thesis!G37+Sens!G10765*(Seg!G21-Thesis!G20)</f>
        <v>273.190669749878</v>
      </c>
      <c r="H10772" s="6" t="n">
        <f aca="false">PL!H32+Thesis!H37+Sens!H10765*(Seg!H21-Thesis!H20)</f>
        <v>336.986209145837</v>
      </c>
      <c r="I10772" s="6" t="n">
        <f aca="false">PL!I32+Thesis!I37+Sens!I10765*(Seg!I21-Thesis!I20)</f>
        <v>393.439203291672</v>
      </c>
      <c r="J10772" s="6" t="n">
        <f aca="false">PL!J32+Thesis!J37+Sens!J10765*(Seg!J21-Thesis!J20)</f>
        <v>447.606137303559</v>
      </c>
      <c r="K10772" s="6" t="n">
        <f aca="false">PL!K32+Thesis!K37+Sens!K10765*(Seg!K21-Thesis!K20)</f>
        <v>499.903344093081</v>
      </c>
    </row>
    <row r="10773" customFormat="false" ht="17.15" hidden="false" customHeight="false" outlineLevel="0" collapsed="false">
      <c r="A10773" s="0" t="s">
        <v>956</v>
      </c>
      <c r="B10773" s="0" t="s">
        <v>95</v>
      </c>
      <c r="F10773" s="6" t="n">
        <f aca="false">Sens!F10772-Sens!F10766-Sens!F10767-Sens!F10768-Sens!F10769-Sens!F10771</f>
        <v>48.9904543427497</v>
      </c>
      <c r="G10773" s="6" t="n">
        <f aca="false">Sens!G10772-Sens!G10766-Sens!G10767-Sens!G10768-Sens!G10769-Sens!G10771</f>
        <v>55.0468329371655</v>
      </c>
      <c r="H10773" s="6" t="n">
        <f aca="false">Sens!H10772-Sens!H10766-Sens!H10767-Sens!H10768-Sens!H10769-Sens!H10771</f>
        <v>61.1936478960528</v>
      </c>
      <c r="I10773" s="6" t="n">
        <f aca="false">Sens!I10772-Sens!I10766-Sens!I10767-Sens!I10768-Sens!I10769-Sens!I10771</f>
        <v>67.2221926817336</v>
      </c>
      <c r="J10773" s="6" t="n">
        <f aca="false">Sens!J10772-Sens!J10766-Sens!J10767-Sens!J10768-Sens!J10769-Sens!J10771</f>
        <v>72.5283010505383</v>
      </c>
      <c r="K10773" s="6" t="n">
        <f aca="false">Sens!K10772-Sens!K10766-Sens!K10767-Sens!K10768-Sens!K10769-Sens!K10771</f>
        <v>76.3691979338254</v>
      </c>
    </row>
    <row r="10774" customFormat="false" ht="17.15" hidden="false" customHeight="false" outlineLevel="0" collapsed="false">
      <c r="A10774" s="0" t="s">
        <v>957</v>
      </c>
      <c r="B10774" s="0" t="s">
        <v>95</v>
      </c>
      <c r="F10774" s="6" t="n">
        <f aca="false">PL!F34+Sens!F10765*Seg!F28</f>
        <v>23.7366325885412</v>
      </c>
      <c r="G10774" s="6" t="n">
        <f aca="false">PL!G34+Sens!G10765*Seg!G28</f>
        <v>24.2488001831921</v>
      </c>
      <c r="H10774" s="6" t="n">
        <f aca="false">PL!H34+Sens!H10765*Seg!H28</f>
        <v>25.0191565857232</v>
      </c>
      <c r="I10774" s="6" t="n">
        <f aca="false">PL!I34+Sens!I10765*Seg!I28</f>
        <v>26.0222596996374</v>
      </c>
      <c r="J10774" s="6" t="n">
        <f aca="false">PL!J34+Sens!J10765*Seg!J28</f>
        <v>27.2212114824986</v>
      </c>
      <c r="K10774" s="6" t="n">
        <f aca="false">PL!K34+Sens!K10765*Seg!K28</f>
        <v>28.5733379970501</v>
      </c>
    </row>
    <row r="10775" customFormat="false" ht="17.15" hidden="false" customHeight="false" outlineLevel="0" collapsed="false">
      <c r="A10775" s="0" t="s">
        <v>958</v>
      </c>
      <c r="B10775" s="0" t="s">
        <v>95</v>
      </c>
      <c r="F10775" s="6" t="n">
        <f aca="false">(Sens!F10774-Sens!F10770)*Seg!F24/(Seg!F24+Seg!F26)</f>
        <v>7.43932943061911</v>
      </c>
      <c r="G10775" s="6" t="n">
        <f aca="false">(Sens!G10774-Sens!G10770)*Seg!G24/(Seg!G24+Seg!G26)</f>
        <v>7.06776830757547</v>
      </c>
      <c r="H10775" s="6" t="n">
        <f aca="false">(Sens!H10774-Sens!H10770)*Seg!H24/(Seg!H24+Seg!H26)</f>
        <v>6.84915463876495</v>
      </c>
      <c r="I10775" s="6" t="n">
        <f aca="false">(Sens!I10774-Sens!I10770)*Seg!I24/(Seg!I24+Seg!I26)</f>
        <v>6.76716702045722</v>
      </c>
      <c r="J10775" s="6" t="n">
        <f aca="false">(Sens!J10774-Sens!J10770)*Seg!J24/(Seg!J24+Seg!J26)</f>
        <v>6.80907960368748</v>
      </c>
      <c r="K10775" s="6" t="n">
        <f aca="false">(Sens!K10774-Sens!K10770)*Seg!K24/(Seg!K24+Seg!K26)</f>
        <v>6.96699561313494</v>
      </c>
    </row>
    <row r="10776" customFormat="false" ht="17.15" hidden="false" customHeight="false" outlineLevel="0" collapsed="false">
      <c r="A10776" s="0" t="s">
        <v>959</v>
      </c>
      <c r="B10776" s="0" t="s">
        <v>95</v>
      </c>
      <c r="F10776" s="6" t="n">
        <f aca="false">Sens!F10774-Sens!F10770-Sens!F10775</f>
        <v>6.13137762408826</v>
      </c>
      <c r="G10776" s="6" t="n">
        <f aca="false">Sens!G10774-Sens!G10770-Sens!G10775</f>
        <v>6.05919576917506</v>
      </c>
      <c r="H10776" s="6" t="n">
        <f aca="false">Sens!H10774-Sens!H10770-Sens!H10775</f>
        <v>6.04596991532572</v>
      </c>
      <c r="I10776" s="6" t="n">
        <f aca="false">Sens!I10774-Sens!I10770-Sens!I10775</f>
        <v>6.08992795684943</v>
      </c>
      <c r="J10776" s="6" t="n">
        <f aca="false">Sens!J10774-Sens!J10770-Sens!J10775</f>
        <v>6.18641117631496</v>
      </c>
      <c r="K10776" s="6" t="n">
        <f aca="false">Sens!K10774-Sens!K10770-Sens!K10775</f>
        <v>6.32988627465802</v>
      </c>
    </row>
    <row r="10777" customFormat="false" ht="17.15" hidden="false" customHeight="false" outlineLevel="0" collapsed="false">
      <c r="A10777" s="1" t="s">
        <v>960</v>
      </c>
      <c r="B10777" s="0" t="s">
        <v>95</v>
      </c>
      <c r="C10777" s="6" t="n">
        <f aca="false">(w_ntm28*Sens!G10771+(1-w_ntm28)*Sens!H10771)*m_ai*1</f>
        <v>551.711134531404</v>
      </c>
    </row>
    <row r="10778" customFormat="false" ht="17.15" hidden="false" customHeight="false" outlineLevel="0" collapsed="false">
      <c r="A10778" s="1" t="s">
        <v>961</v>
      </c>
      <c r="B10778" s="0" t="s">
        <v>95</v>
      </c>
      <c r="C10778" s="6" t="n">
        <f aca="false">(w_ntm28*Sens!G10773+(1-w_ntm28)*Sens!H10773)*m_cloud*1</f>
        <v>788.2101899926</v>
      </c>
    </row>
    <row r="10779" customFormat="false" ht="17.15" hidden="false" customHeight="false" outlineLevel="0" collapsed="false">
      <c r="A10779" s="1" t="s">
        <v>962</v>
      </c>
      <c r="B10779" s="0" t="s">
        <v>95</v>
      </c>
      <c r="C10779" s="6" t="n">
        <f aca="false">(w_ntm28*Sens!G10766+(1-w_ntm28)*Sens!H10766)*m_sw*1</f>
        <v>1064.99115242739</v>
      </c>
    </row>
    <row r="10780" customFormat="false" ht="17.15" hidden="false" customHeight="false" outlineLevel="0" collapsed="false">
      <c r="A10780" s="1" t="s">
        <v>963</v>
      </c>
      <c r="B10780" s="0" t="s">
        <v>95</v>
      </c>
      <c r="C10780" s="6" t="n">
        <f aca="false">(w_ntm28*Sens!G10767+(1-w_ntm28)*Sens!H10767)*m_sw*1</f>
        <v>362.508158970174</v>
      </c>
    </row>
    <row r="10781" customFormat="false" ht="17.15" hidden="false" customHeight="false" outlineLevel="0" collapsed="false">
      <c r="A10781" s="1" t="s">
        <v>964</v>
      </c>
      <c r="B10781" s="0" t="s">
        <v>95</v>
      </c>
      <c r="C10781" s="6" t="n">
        <f aca="false">(w_ntm28*Sens!G10768+(1-w_ntm28)*Sens!H10768)*m_sw*1</f>
        <v>98.9165124641147</v>
      </c>
    </row>
    <row r="10782" customFormat="false" ht="17.15" hidden="false" customHeight="false" outlineLevel="0" collapsed="false">
      <c r="A10782" s="1" t="s">
        <v>965</v>
      </c>
      <c r="B10782" s="0" t="s">
        <v>95</v>
      </c>
      <c r="C10782" s="6" t="n">
        <f aca="false">(w_ntm28*Sens!G10769+(1-w_ntm28)*Sens!H10769)*m_sw*1</f>
        <v>37.7384877854002</v>
      </c>
    </row>
    <row r="10783" customFormat="false" ht="17.15" hidden="false" customHeight="false" outlineLevel="0" collapsed="false">
      <c r="A10783" s="1" t="s">
        <v>966</v>
      </c>
      <c r="B10783" s="0" t="s">
        <v>95</v>
      </c>
      <c r="C10783" s="6" t="n">
        <f aca="false">(w_ntm28*Sens!G10770+(1-w_ntm28)*Sens!H10770)*m_ads*1</f>
        <v>104.271544945195</v>
      </c>
    </row>
    <row r="10784" customFormat="false" ht="17.15" hidden="false" customHeight="false" outlineLevel="0" collapsed="false">
      <c r="A10784" s="1" t="s">
        <v>967</v>
      </c>
      <c r="B10784" s="0" t="s">
        <v>95</v>
      </c>
      <c r="C10784" s="6" t="n">
        <f aca="false">(w_ntm28*Sens!G10775+(1-w_ntm28)*Sens!H10775)*m_game*1</f>
        <v>88.3732871625547</v>
      </c>
    </row>
    <row r="10785" customFormat="false" ht="17.15" hidden="false" customHeight="false" outlineLevel="0" collapsed="false">
      <c r="A10785" s="1" t="s">
        <v>968</v>
      </c>
      <c r="B10785" s="0" t="s">
        <v>95</v>
      </c>
      <c r="C10785" s="6" t="n">
        <f aca="false">(w_ntm28*Sens!G10776+(1-w_ntm28)*Sens!H10776)*m_pc*1</f>
        <v>87.614692598008</v>
      </c>
    </row>
    <row r="10786" customFormat="false" ht="17.15" hidden="false" customHeight="false" outlineLevel="0" collapsed="false">
      <c r="A10786" s="1" t="s">
        <v>969</v>
      </c>
      <c r="B10786" s="0" t="s">
        <v>95</v>
      </c>
      <c r="C10786" s="6" t="n">
        <f aca="false">Sens!$C$10777+Sens!$C$10778+Sens!$C$10779+Sens!$C$10780+Sens!$C$10781+Sens!$C$10782+Sens!$C$10783+Sens!$C$10784+Sens!$C$10785</f>
        <v>3184.33516087684</v>
      </c>
    </row>
    <row r="10787" customFormat="false" ht="17.15" hidden="false" customHeight="false" outlineLevel="0" collapsed="false">
      <c r="A10787" s="1" t="s">
        <v>903</v>
      </c>
      <c r="B10787" s="0" t="s">
        <v>95</v>
      </c>
      <c r="C10787" s="6" t="n">
        <f aca="false">CF!F36+oai_v-CF!F25</f>
        <v>115.079583119545</v>
      </c>
      <c r="L10787" s="1" t="s">
        <v>970</v>
      </c>
    </row>
    <row r="10788" customFormat="false" ht="15" hidden="false" customHeight="false" outlineLevel="0" collapsed="false">
      <c r="A10788" s="1" t="s">
        <v>904</v>
      </c>
      <c r="B10788" s="0" t="s">
        <v>73</v>
      </c>
      <c r="C10788" s="5" t="n">
        <f aca="false">(Sens!$C$10786+Sens!$C$10787)/CF!F38</f>
        <v>441.570495716861</v>
      </c>
    </row>
    <row r="10789" customFormat="false" ht="17.15" hidden="false" customHeight="false" outlineLevel="0" collapsed="false">
      <c r="A10789" s="1" t="s">
        <v>971</v>
      </c>
      <c r="B10789" s="0" t="s">
        <v>73</v>
      </c>
      <c r="C10789" s="5" t="n">
        <f aca="false">w_dcf*Sens!$C$10764+(1-w_dcf)*Sens!$C$10788</f>
        <v>363.002079866745</v>
      </c>
    </row>
    <row r="10790" customFormat="false" ht="17.15" hidden="false" customHeight="false" outlineLevel="0" collapsed="false">
      <c r="A10790" s="3" t="s">
        <v>1421</v>
      </c>
    </row>
    <row r="10791" customFormat="false" ht="15" hidden="false" customHeight="false" outlineLevel="0" collapsed="false">
      <c r="A10791" s="4" t="s">
        <v>43</v>
      </c>
      <c r="B10791" s="4" t="s">
        <v>63</v>
      </c>
      <c r="C10791" s="19" t="s">
        <v>710</v>
      </c>
      <c r="D10791" s="19" t="s">
        <v>711</v>
      </c>
      <c r="E10791" s="19" t="s">
        <v>712</v>
      </c>
      <c r="F10791" s="19" t="s">
        <v>713</v>
      </c>
      <c r="G10791" s="19" t="s">
        <v>714</v>
      </c>
      <c r="H10791" s="19" t="s">
        <v>715</v>
      </c>
      <c r="I10791" s="19" t="s">
        <v>716</v>
      </c>
      <c r="J10791" s="19" t="s">
        <v>717</v>
      </c>
      <c r="K10791" s="19" t="s">
        <v>718</v>
      </c>
      <c r="L10791" s="4" t="s">
        <v>47</v>
      </c>
    </row>
    <row r="10792" customFormat="false" ht="17.15" hidden="false" customHeight="false" outlineLevel="0" collapsed="false">
      <c r="A10792" s="1" t="s">
        <v>938</v>
      </c>
      <c r="B10792" s="1" t="s">
        <v>213</v>
      </c>
      <c r="F10792" s="34" t="n">
        <f aca="false">1-0.5</f>
        <v>0.5</v>
      </c>
      <c r="G10792" s="34" t="n">
        <f aca="false">2-0.5</f>
        <v>1.5</v>
      </c>
      <c r="H10792" s="34" t="n">
        <f aca="false">3-0.5</f>
        <v>2.5</v>
      </c>
      <c r="I10792" s="34" t="n">
        <f aca="false">4-0.5</f>
        <v>3.5</v>
      </c>
      <c r="J10792" s="34" t="n">
        <f aca="false">5-0.5</f>
        <v>4.5</v>
      </c>
      <c r="K10792" s="34" t="n">
        <f aca="false">6-0.5</f>
        <v>5.5</v>
      </c>
    </row>
    <row r="10793" customFormat="false" ht="15" hidden="false" customHeight="false" outlineLevel="0" collapsed="false">
      <c r="A10793" s="1" t="s">
        <v>939</v>
      </c>
      <c r="B10793" s="0" t="s">
        <v>182</v>
      </c>
      <c r="F10793" s="18" t="n">
        <f aca="false">1/(1+wacc)^Sens!F10792</f>
        <v>0.949601579913219</v>
      </c>
      <c r="G10793" s="18" t="n">
        <f aca="false">1/(1+wacc)^Sens!G10792</f>
        <v>0.856296729956707</v>
      </c>
      <c r="H10793" s="18" t="n">
        <f aca="false">1/(1+wacc)^Sens!H10792</f>
        <v>0.772159719660069</v>
      </c>
      <c r="I10793" s="18" t="n">
        <f aca="false">1/(1+wacc)^Sens!I10792</f>
        <v>0.696289746073958</v>
      </c>
      <c r="J10793" s="18" t="n">
        <f aca="false">1/(1+wacc)^Sens!J10792</f>
        <v>0.627874516299776</v>
      </c>
      <c r="K10793" s="18" t="n">
        <f aca="false">1/(1+wacc)^Sens!K10792</f>
        <v>0.566181550771831</v>
      </c>
    </row>
    <row r="10794" customFormat="false" ht="15" hidden="false" customHeight="false" outlineLevel="0" collapsed="false">
      <c r="A10794" s="1" t="s">
        <v>940</v>
      </c>
      <c r="B10794" s="0" t="s">
        <v>95</v>
      </c>
      <c r="F10794" s="6" t="n">
        <f aca="false">CF!F55*Sens!F10793</f>
        <v>1.14965940819235</v>
      </c>
      <c r="G10794" s="6" t="n">
        <f aca="false">CF!G55*Sens!G10793</f>
        <v>27.1570491091597</v>
      </c>
      <c r="H10794" s="6" t="n">
        <f aca="false">CF!H55*Sens!H10793</f>
        <v>54.4781094985992</v>
      </c>
      <c r="I10794" s="6" t="n">
        <f aca="false">CF!I55*Sens!I10793</f>
        <v>57.7826568404409</v>
      </c>
      <c r="J10794" s="6" t="n">
        <f aca="false">CF!J55*Sens!J10793</f>
        <v>68.7164221032162</v>
      </c>
      <c r="K10794" s="6" t="n">
        <f aca="false">CF!K55*Sens!K10793</f>
        <v>59.7900961252081</v>
      </c>
    </row>
    <row r="10795" customFormat="false" ht="17.15" hidden="false" customHeight="false" outlineLevel="0" collapsed="false">
      <c r="A10795" s="1" t="s">
        <v>941</v>
      </c>
      <c r="B10795" s="0" t="s">
        <v>95</v>
      </c>
      <c r="C10795" s="6" t="n">
        <f aca="false">SUM(Sens!F10794:K10794)</f>
        <v>269.073993084816</v>
      </c>
    </row>
    <row r="10796" customFormat="false" ht="17.15" hidden="false" customHeight="false" outlineLevel="0" collapsed="false">
      <c r="A10796" s="1" t="s">
        <v>942</v>
      </c>
      <c r="B10796" s="0" t="s">
        <v>95</v>
      </c>
      <c r="C10796" s="6" t="n">
        <f aca="false">PL!K70*(1+g_tv_lo)*(1-tax_f)</f>
        <v>214.787015494975</v>
      </c>
    </row>
    <row r="10797" customFormat="false" ht="17.15" hidden="false" customHeight="false" outlineLevel="0" collapsed="false">
      <c r="A10797" s="1" t="s">
        <v>943</v>
      </c>
      <c r="B10797" s="0" t="s">
        <v>95</v>
      </c>
      <c r="C10797" s="6" t="n">
        <f aca="false">Sens!$C$10796*(1-g_tv_lo/(wacc+ronic_prem))</f>
        <v>175.363251544605</v>
      </c>
    </row>
    <row r="10798" customFormat="false" ht="17.15" hidden="false" customHeight="false" outlineLevel="0" collapsed="false">
      <c r="A10798" s="1" t="s">
        <v>944</v>
      </c>
      <c r="B10798" s="0" t="s">
        <v>95</v>
      </c>
      <c r="C10798" s="6" t="n">
        <f aca="false">Sens!$C$10797/(wacc-g_tv_lo)</f>
        <v>1971.18819751846</v>
      </c>
    </row>
    <row r="10799" customFormat="false" ht="15" hidden="false" customHeight="false" outlineLevel="0" collapsed="false">
      <c r="A10799" s="1" t="s">
        <v>945</v>
      </c>
      <c r="B10799" s="0" t="s">
        <v>95</v>
      </c>
      <c r="C10799" s="6" t="n">
        <f aca="false">Sens!$C$10798/(1+wacc)^6</f>
        <v>1059.80321411398</v>
      </c>
    </row>
    <row r="10800" customFormat="false" ht="17.15" hidden="false" customHeight="false" outlineLevel="0" collapsed="false">
      <c r="A10800" s="0" t="s">
        <v>877</v>
      </c>
      <c r="B10800" s="0" t="s">
        <v>95</v>
      </c>
      <c r="C10800" s="6" t="n">
        <f aca="false">Sens!$C$10795+Sens!$C$10799</f>
        <v>1328.87720719879</v>
      </c>
    </row>
    <row r="10801" customFormat="false" ht="15" hidden="false" customHeight="false" outlineLevel="0" collapsed="false">
      <c r="A10801" s="1" t="s">
        <v>878</v>
      </c>
      <c r="B10801" s="0" t="s">
        <v>126</v>
      </c>
      <c r="C10801" s="7" t="n">
        <f aca="false">Sens!$C$10799/Sens!$C$10800</f>
        <v>0.797517790487196</v>
      </c>
    </row>
    <row r="10802" customFormat="false" ht="17.15" hidden="false" customHeight="false" outlineLevel="0" collapsed="false">
      <c r="A10802" s="1" t="s">
        <v>946</v>
      </c>
      <c r="B10802" s="0" t="s">
        <v>95</v>
      </c>
      <c r="C10802" s="6" t="n">
        <f aca="false">Sens!$C$10800+CF!E64+oai_v</f>
        <v>1529.98420719879</v>
      </c>
    </row>
    <row r="10803" customFormat="false" ht="17.15" hidden="false" customHeight="false" outlineLevel="0" collapsed="false">
      <c r="A10803" s="0" t="s">
        <v>883</v>
      </c>
      <c r="B10803" s="0" t="s">
        <v>73</v>
      </c>
      <c r="C10803" s="5" t="n">
        <f aca="false">Sens!$C$10802/sh_dil26</f>
        <v>205.284342841647</v>
      </c>
    </row>
    <row r="10804" customFormat="false" ht="17.15" hidden="false" customHeight="false" outlineLevel="0" collapsed="false">
      <c r="A10804" s="0" t="s">
        <v>947</v>
      </c>
      <c r="B10804" s="0" t="s">
        <v>73</v>
      </c>
      <c r="C10804" s="5" t="n">
        <f aca="false">Sens!$C$10803*(1+wacc)^t_roll</f>
        <v>235.460026701707</v>
      </c>
    </row>
    <row r="10805" customFormat="false" ht="17.15" hidden="false" customHeight="false" outlineLevel="0" collapsed="false">
      <c r="A10805" s="1" t="s">
        <v>948</v>
      </c>
      <c r="B10805" s="0" t="s">
        <v>126</v>
      </c>
      <c r="F10805" s="7" t="n">
        <f aca="false">CF!F45/(Seg!F56-Thesis!F64)</f>
        <v>0.0684307874075333</v>
      </c>
      <c r="G10805" s="7" t="n">
        <f aca="false">CF!G45/(Seg!G56-Thesis!G64)</f>
        <v>0.0656456058503526</v>
      </c>
      <c r="H10805" s="7" t="n">
        <f aca="false">CF!H45/(Seg!H56-Thesis!H64)</f>
        <v>0.0641950889132003</v>
      </c>
      <c r="I10805" s="7" t="n">
        <f aca="false">CF!I45/(Seg!I56-Thesis!I64)</f>
        <v>0.063960269667854</v>
      </c>
      <c r="J10805" s="7" t="n">
        <f aca="false">CF!J45/(Seg!J56-Thesis!J64)</f>
        <v>0.0646607917002597</v>
      </c>
      <c r="K10805" s="7" t="n">
        <f aca="false">CF!K45/(Seg!K56-Thesis!K64)</f>
        <v>0.0659511546529383</v>
      </c>
    </row>
    <row r="10806" customFormat="false" ht="17.15" hidden="false" customHeight="false" outlineLevel="0" collapsed="false">
      <c r="A10806" s="0" t="s">
        <v>949</v>
      </c>
      <c r="B10806" s="0" t="s">
        <v>95</v>
      </c>
      <c r="F10806" s="6" t="n">
        <f aca="false">Seg!F41*(al_m365+Sens!F10805)</f>
        <v>79.4713323717639</v>
      </c>
      <c r="G10806" s="6" t="n">
        <f aca="false">Seg!G41*(al_m365+Sens!G10805)</f>
        <v>91.222848535282</v>
      </c>
      <c r="H10806" s="6" t="n">
        <f aca="false">Seg!H41*(al_m365+Sens!H10805)</f>
        <v>103.134459525438</v>
      </c>
      <c r="I10806" s="6" t="n">
        <f aca="false">Seg!I41*(al_m365+Sens!I10805)</f>
        <v>114.09096761677</v>
      </c>
      <c r="J10806" s="6" t="n">
        <f aca="false">Seg!J41*(al_m365+Sens!J10805)</f>
        <v>123.914507832207</v>
      </c>
      <c r="K10806" s="6" t="n">
        <f aca="false">Seg!K41*(al_m365+Sens!K10805)</f>
        <v>133.375360010951</v>
      </c>
    </row>
    <row r="10807" customFormat="false" ht="17.15" hidden="false" customHeight="false" outlineLevel="0" collapsed="false">
      <c r="A10807" s="0" t="s">
        <v>950</v>
      </c>
      <c r="B10807" s="0" t="s">
        <v>95</v>
      </c>
      <c r="F10807" s="6" t="n">
        <f aca="false">Seg!F42*(al_lic+Sens!F10805)</f>
        <v>31.9777960098625</v>
      </c>
      <c r="G10807" s="6" t="n">
        <f aca="false">Seg!G42*(al_lic+Sens!G10805)</f>
        <v>33.2184421146294</v>
      </c>
      <c r="H10807" s="6" t="n">
        <f aca="false">Seg!H42*(al_lic+Sens!H10805)</f>
        <v>34.3782467188855</v>
      </c>
      <c r="I10807" s="6" t="n">
        <f aca="false">Seg!I42*(al_lic+Sens!I10805)</f>
        <v>35.4396663788333</v>
      </c>
      <c r="J10807" s="6" t="n">
        <f aca="false">Seg!J42*(al_lic+Sens!J10805)</f>
        <v>36.377709205557</v>
      </c>
      <c r="K10807" s="6" t="n">
        <f aca="false">Seg!K42*(al_lic+Sens!K10805)</f>
        <v>37.1640354058437</v>
      </c>
    </row>
    <row r="10808" customFormat="false" ht="17.15" hidden="false" customHeight="false" outlineLevel="0" collapsed="false">
      <c r="A10808" s="0" t="s">
        <v>951</v>
      </c>
      <c r="B10808" s="0" t="s">
        <v>95</v>
      </c>
      <c r="F10808" s="6" t="n">
        <f aca="false">Seg!F44*(al_ind+Sens!F10805)</f>
        <v>8.23708828923978</v>
      </c>
      <c r="G10808" s="6" t="n">
        <f aca="false">Seg!G44*(al_ind+Sens!G10805)</f>
        <v>8.93609064049065</v>
      </c>
      <c r="H10808" s="6" t="n">
        <f aca="false">Seg!H44*(al_ind+Sens!H10805)</f>
        <v>9.67804935051386</v>
      </c>
      <c r="I10808" s="6" t="n">
        <f aca="false">Seg!I44*(al_ind+Sens!I10805)</f>
        <v>10.4606610595832</v>
      </c>
      <c r="J10808" s="6" t="n">
        <f aca="false">Seg!J44*(al_ind+Sens!J10805)</f>
        <v>11.275039839171</v>
      </c>
      <c r="K10808" s="6" t="n">
        <f aca="false">Seg!K44*(al_ind+Sens!K10805)</f>
        <v>12.106982482736</v>
      </c>
    </row>
    <row r="10809" customFormat="false" ht="17.15" hidden="false" customHeight="false" outlineLevel="0" collapsed="false">
      <c r="A10809" s="0" t="s">
        <v>952</v>
      </c>
      <c r="B10809" s="0" t="s">
        <v>95</v>
      </c>
      <c r="F10809" s="6" t="n">
        <f aca="false">Seg!F46*(al_fro+Sens!F10805)</f>
        <v>3.24214686942203</v>
      </c>
      <c r="G10809" s="6" t="n">
        <f aca="false">Seg!G46*(al_fro+Sens!G10805)</f>
        <v>3.43093048931594</v>
      </c>
      <c r="H10809" s="6" t="n">
        <f aca="false">Seg!H46*(al_fro+Sens!H10805)</f>
        <v>3.6470202512287</v>
      </c>
      <c r="I10809" s="6" t="n">
        <f aca="false">Seg!I46*(al_fro+Sens!I10805)</f>
        <v>3.89303230264912</v>
      </c>
      <c r="J10809" s="6" t="n">
        <f aca="false">Seg!J46*(al_fro+Sens!J10805)</f>
        <v>4.16994303150246</v>
      </c>
      <c r="K10809" s="6" t="n">
        <f aca="false">Seg!K46*(al_fro+Sens!K10805)</f>
        <v>4.47762739258926</v>
      </c>
    </row>
    <row r="10810" customFormat="false" ht="17.15" hidden="false" customHeight="false" outlineLevel="0" collapsed="false">
      <c r="A10810" s="0" t="s">
        <v>953</v>
      </c>
      <c r="B10810" s="0" t="s">
        <v>95</v>
      </c>
      <c r="F10810" s="6" t="n">
        <f aca="false">Seg!F49*(al_srch+Sens!F10805)</f>
        <v>10.1729230470907</v>
      </c>
      <c r="G10810" s="6" t="n">
        <f aca="false">Seg!G49*(al_srch+Sens!G10805)</f>
        <v>11.1403318971852</v>
      </c>
      <c r="H10810" s="6" t="n">
        <f aca="false">Seg!H49*(al_srch+Sens!H10805)</f>
        <v>12.1511421371799</v>
      </c>
      <c r="I10810" s="6" t="n">
        <f aca="false">Seg!I49*(al_srch+Sens!I10805)</f>
        <v>13.1963628712968</v>
      </c>
      <c r="J10810" s="6" t="n">
        <f aca="false">Seg!J49*(al_srch+Sens!J10805)</f>
        <v>14.2578127803031</v>
      </c>
      <c r="K10810" s="6" t="n">
        <f aca="false">Seg!K49*(al_srch+Sens!K10805)</f>
        <v>15.3098429837522</v>
      </c>
    </row>
    <row r="10811" customFormat="false" ht="17.15" hidden="false" customHeight="false" outlineLevel="0" collapsed="false">
      <c r="A10811" s="0" t="s">
        <v>954</v>
      </c>
      <c r="B10811" s="0" t="s">
        <v>95</v>
      </c>
      <c r="F10811" s="6" t="n">
        <f aca="false">Thesis!F70</f>
        <v>39.4594407491938</v>
      </c>
      <c r="G10811" s="6" t="n">
        <f aca="false">Thesis!G70</f>
        <v>66.5527545578061</v>
      </c>
      <c r="H10811" s="6" t="n">
        <f aca="false">Thesis!H70</f>
        <v>95.219644983859</v>
      </c>
      <c r="I10811" s="6" t="n">
        <f aca="false">Thesis!I70</f>
        <v>124.031840462493</v>
      </c>
      <c r="J10811" s="6" t="n">
        <f aca="false">Thesis!J70</f>
        <v>152.919994097909</v>
      </c>
      <c r="K10811" s="6" t="n">
        <f aca="false">Thesis!K70</f>
        <v>181.852830263848</v>
      </c>
    </row>
    <row r="10812" customFormat="false" ht="17.15" hidden="false" customHeight="false" outlineLevel="0" collapsed="false">
      <c r="A10812" s="0" t="s">
        <v>955</v>
      </c>
      <c r="B10812" s="0" t="s">
        <v>95</v>
      </c>
      <c r="F10812" s="6" t="n">
        <f aca="false">PL!F67+Thesis!F81+Sens!F10805*(Seg!F48-Thesis!F64)</f>
        <v>211.444651350023</v>
      </c>
      <c r="G10812" s="6" t="n">
        <f aca="false">PL!G67+Thesis!G81+Sens!G10805*(Seg!G48-Thesis!G64)</f>
        <v>258.603564397354</v>
      </c>
      <c r="H10812" s="6" t="n">
        <f aca="false">PL!H67+Thesis!H81+Sens!H10805*(Seg!H48-Thesis!H64)</f>
        <v>307.569865351584</v>
      </c>
      <c r="I10812" s="6" t="n">
        <f aca="false">PL!I67+Thesis!I81+Sens!I10805*(Seg!I48-Thesis!I64)</f>
        <v>355.542793549845</v>
      </c>
      <c r="J10812" s="6" t="n">
        <f aca="false">PL!J67+Thesis!J81+Sens!J10805*(Seg!J48-Thesis!J64)</f>
        <v>401.64028415844</v>
      </c>
      <c r="K10812" s="6" t="n">
        <f aca="false">PL!K67+Thesis!K81+Sens!K10805*(Seg!K48-Thesis!K64)</f>
        <v>445.850798387254</v>
      </c>
    </row>
    <row r="10813" customFormat="false" ht="17.15" hidden="false" customHeight="false" outlineLevel="0" collapsed="false">
      <c r="A10813" s="0" t="s">
        <v>956</v>
      </c>
      <c r="B10813" s="0" t="s">
        <v>95</v>
      </c>
      <c r="F10813" s="6" t="n">
        <f aca="false">Sens!F10812-Sens!F10806-Sens!F10807-Sens!F10808-Sens!F10809-Sens!F10811</f>
        <v>49.0568470605414</v>
      </c>
      <c r="G10813" s="6" t="n">
        <f aca="false">Sens!G10812-Sens!G10806-Sens!G10807-Sens!G10808-Sens!G10809-Sens!G10811</f>
        <v>55.2424980598302</v>
      </c>
      <c r="H10813" s="6" t="n">
        <f aca="false">Sens!H10812-Sens!H10806-Sens!H10807-Sens!H10808-Sens!H10809-Sens!H10811</f>
        <v>61.5124445216581</v>
      </c>
      <c r="I10813" s="6" t="n">
        <f aca="false">Sens!I10812-Sens!I10806-Sens!I10807-Sens!I10808-Sens!I10809-Sens!I10811</f>
        <v>67.6266257295162</v>
      </c>
      <c r="J10813" s="6" t="n">
        <f aca="false">Sens!J10812-Sens!J10806-Sens!J10807-Sens!J10808-Sens!J10809-Sens!J10811</f>
        <v>72.9830901520934</v>
      </c>
      <c r="K10813" s="6" t="n">
        <f aca="false">Sens!K10812-Sens!K10806-Sens!K10807-Sens!K10808-Sens!K10809-Sens!K10811</f>
        <v>76.8739628312856</v>
      </c>
    </row>
    <row r="10814" customFormat="false" ht="17.15" hidden="false" customHeight="false" outlineLevel="0" collapsed="false">
      <c r="A10814" s="0" t="s">
        <v>957</v>
      </c>
      <c r="B10814" s="0" t="s">
        <v>95</v>
      </c>
      <c r="F10814" s="6" t="n">
        <f aca="false">PL!F69+Sens!F10805*Seg!F55</f>
        <v>23.7531412609386</v>
      </c>
      <c r="G10814" s="6" t="n">
        <f aca="false">PL!G69+Sens!G10805*Seg!G55</f>
        <v>24.289549634664</v>
      </c>
      <c r="H10814" s="6" t="n">
        <f aca="false">PL!H69+Sens!H10805*Seg!H55</f>
        <v>25.0756909710291</v>
      </c>
      <c r="I10814" s="6" t="n">
        <f aca="false">PL!I69+Sens!I10805*Seg!I55</f>
        <v>26.084576762931</v>
      </c>
      <c r="J10814" s="6" t="n">
        <f aca="false">PL!J69+Sens!J10805*Seg!J55</f>
        <v>27.2832671034962</v>
      </c>
      <c r="K10814" s="6" t="n">
        <f aca="false">PL!K69+Sens!K10805*Seg!K55</f>
        <v>28.6364406758481</v>
      </c>
    </row>
    <row r="10815" customFormat="false" ht="17.15" hidden="false" customHeight="false" outlineLevel="0" collapsed="false">
      <c r="A10815" s="0" t="s">
        <v>958</v>
      </c>
      <c r="B10815" s="0" t="s">
        <v>95</v>
      </c>
      <c r="F10815" s="6" t="n">
        <f aca="false">(Sens!F10814-Sens!F10810)*Seg!F51/(Seg!F51+Seg!F53)</f>
        <v>7.4445433554226</v>
      </c>
      <c r="G10815" s="6" t="n">
        <f aca="false">(Sens!G10814-Sens!G10810)*Seg!G51/(Seg!G51+Seg!G53)</f>
        <v>7.07975003595558</v>
      </c>
      <c r="H10815" s="6" t="n">
        <f aca="false">(Sens!H10814-Sens!H10810)*Seg!H51/(Seg!H51+Seg!H53)</f>
        <v>6.86478313784268</v>
      </c>
      <c r="I10815" s="6" t="n">
        <f aca="false">(Sens!I10814-Sens!I10810)*Seg!I51/(Seg!I51+Seg!I53)</f>
        <v>6.78354606184423</v>
      </c>
      <c r="J10815" s="6" t="n">
        <f aca="false">(Sens!J10814-Sens!J10810)*Seg!J51/(Seg!J51+Seg!J53)</f>
        <v>6.82477921474853</v>
      </c>
      <c r="K10815" s="6" t="n">
        <f aca="false">(Sens!K10814-Sens!K10810)*Seg!K51/(Seg!K51+Seg!K53)</f>
        <v>6.98256541964795</v>
      </c>
    </row>
    <row r="10816" customFormat="false" ht="17.15" hidden="false" customHeight="false" outlineLevel="0" collapsed="false">
      <c r="A10816" s="0" t="s">
        <v>959</v>
      </c>
      <c r="B10816" s="0" t="s">
        <v>95</v>
      </c>
      <c r="F10816" s="6" t="n">
        <f aca="false">Sens!F10814-Sens!F10810-Sens!F10815</f>
        <v>6.1356748584253</v>
      </c>
      <c r="G10816" s="6" t="n">
        <f aca="false">Sens!G10814-Sens!G10810-Sens!G10815</f>
        <v>6.06946770152326</v>
      </c>
      <c r="H10816" s="6" t="n">
        <f aca="false">Sens!H10814-Sens!H10810-Sens!H10815</f>
        <v>6.05976569600657</v>
      </c>
      <c r="I10816" s="6" t="n">
        <f aca="false">Sens!I10814-Sens!I10810-Sens!I10815</f>
        <v>6.10466782979</v>
      </c>
      <c r="J10816" s="6" t="n">
        <f aca="false">Sens!J10814-Sens!J10810-Sens!J10815</f>
        <v>6.20067510844453</v>
      </c>
      <c r="K10816" s="6" t="n">
        <f aca="false">Sens!K10814-Sens!K10810-Sens!K10815</f>
        <v>6.34403227244794</v>
      </c>
    </row>
    <row r="10817" customFormat="false" ht="17.15" hidden="false" customHeight="false" outlineLevel="0" collapsed="false">
      <c r="A10817" s="1" t="s">
        <v>960</v>
      </c>
      <c r="B10817" s="0" t="s">
        <v>95</v>
      </c>
      <c r="C10817" s="6" t="n">
        <f aca="false">(w_ntm28*Sens!G10811+(1-w_ntm28)*Sens!H10811)*m_ai*1</f>
        <v>454.922440830797</v>
      </c>
    </row>
    <row r="10818" customFormat="false" ht="17.15" hidden="false" customHeight="false" outlineLevel="0" collapsed="false">
      <c r="A10818" s="1" t="s">
        <v>961</v>
      </c>
      <c r="B10818" s="0" t="s">
        <v>95</v>
      </c>
      <c r="C10818" s="6" t="n">
        <f aca="false">(w_ntm28*Sens!G10813+(1-w_ntm28)*Sens!H10813)*m_cloud*1</f>
        <v>791.46441330217</v>
      </c>
    </row>
    <row r="10819" customFormat="false" ht="17.15" hidden="false" customHeight="false" outlineLevel="0" collapsed="false">
      <c r="A10819" s="1" t="s">
        <v>962</v>
      </c>
      <c r="B10819" s="0" t="s">
        <v>95</v>
      </c>
      <c r="C10819" s="6" t="n">
        <f aca="false">(w_ntm28*Sens!G10806+(1-w_ntm28)*Sens!H10806)*m_sw*1</f>
        <v>1026.79623553955</v>
      </c>
    </row>
    <row r="10820" customFormat="false" ht="17.15" hidden="false" customHeight="false" outlineLevel="0" collapsed="false">
      <c r="A10820" s="1" t="s">
        <v>963</v>
      </c>
      <c r="B10820" s="0" t="s">
        <v>95</v>
      </c>
      <c r="C10820" s="6" t="n">
        <f aca="false">(w_ntm28*Sens!G10807+(1-w_ntm28)*Sens!H10807)*m_sw*1</f>
        <v>362.808640557625</v>
      </c>
    </row>
    <row r="10821" customFormat="false" ht="17.15" hidden="false" customHeight="false" outlineLevel="0" collapsed="false">
      <c r="A10821" s="1" t="s">
        <v>964</v>
      </c>
      <c r="B10821" s="0" t="s">
        <v>95</v>
      </c>
      <c r="C10821" s="6" t="n">
        <f aca="false">(w_ntm28*Sens!G10808+(1-w_ntm28)*Sens!H10808)*m_sw*1</f>
        <v>99.1003328352541</v>
      </c>
    </row>
    <row r="10822" customFormat="false" ht="17.15" hidden="false" customHeight="false" outlineLevel="0" collapsed="false">
      <c r="A10822" s="1" t="s">
        <v>965</v>
      </c>
      <c r="B10822" s="0" t="s">
        <v>95</v>
      </c>
      <c r="C10822" s="6" t="n">
        <f aca="false">(w_ntm28*Sens!G10809+(1-w_ntm28)*Sens!H10809)*m_sw*1</f>
        <v>37.8085281683974</v>
      </c>
    </row>
    <row r="10823" customFormat="false" ht="17.15" hidden="false" customHeight="false" outlineLevel="0" collapsed="false">
      <c r="A10823" s="1" t="s">
        <v>966</v>
      </c>
      <c r="B10823" s="0" t="s">
        <v>95</v>
      </c>
      <c r="C10823" s="6" t="n">
        <f aca="false">(w_ntm28*Sens!G10810+(1-w_ntm28)*Sens!H10810)*m_ads*1</f>
        <v>104.465412054013</v>
      </c>
    </row>
    <row r="10824" customFormat="false" ht="17.15" hidden="false" customHeight="false" outlineLevel="0" collapsed="false">
      <c r="A10824" s="1" t="s">
        <v>967</v>
      </c>
      <c r="B10824" s="0" t="s">
        <v>95</v>
      </c>
      <c r="C10824" s="6" t="n">
        <f aca="false">(w_ntm28*Sens!G10815+(1-w_ntm28)*Sens!H10815)*m_game*1</f>
        <v>88.5395066063557</v>
      </c>
    </row>
    <row r="10825" customFormat="false" ht="17.15" hidden="false" customHeight="false" outlineLevel="0" collapsed="false">
      <c r="A10825" s="1" t="s">
        <v>968</v>
      </c>
      <c r="B10825" s="0" t="s">
        <v>95</v>
      </c>
      <c r="C10825" s="6" t="n">
        <f aca="false">(w_ntm28*Sens!G10816+(1-w_ntm28)*Sens!H10816)*m_pc*1</f>
        <v>87.7798119250428</v>
      </c>
    </row>
    <row r="10826" customFormat="false" ht="17.15" hidden="false" customHeight="false" outlineLevel="0" collapsed="false">
      <c r="A10826" s="1" t="s">
        <v>969</v>
      </c>
      <c r="B10826" s="0" t="s">
        <v>95</v>
      </c>
      <c r="C10826" s="6" t="n">
        <f aca="false">Sens!$C$10817+Sens!$C$10818+Sens!$C$10819+Sens!$C$10820+Sens!$C$10821+Sens!$C$10822+Sens!$C$10823+Sens!$C$10824+Sens!$C$10825</f>
        <v>3053.68532181921</v>
      </c>
    </row>
    <row r="10827" customFormat="false" ht="17.15" hidden="false" customHeight="false" outlineLevel="0" collapsed="false">
      <c r="A10827" s="1" t="s">
        <v>903</v>
      </c>
      <c r="B10827" s="0" t="s">
        <v>95</v>
      </c>
      <c r="C10827" s="6" t="n">
        <f aca="false">CF!F64+oai_v-CF!F53</f>
        <v>111.253995542787</v>
      </c>
      <c r="L10827" s="1" t="s">
        <v>970</v>
      </c>
    </row>
    <row r="10828" customFormat="false" ht="15" hidden="false" customHeight="false" outlineLevel="0" collapsed="false">
      <c r="A10828" s="1" t="s">
        <v>904</v>
      </c>
      <c r="B10828" s="0" t="s">
        <v>73</v>
      </c>
      <c r="C10828" s="5" t="n">
        <f aca="false">(Sens!$C$10826+Sens!$C$10827)/CF!F66</f>
        <v>423.573249111616</v>
      </c>
    </row>
    <row r="10829" customFormat="false" ht="17.15" hidden="false" customHeight="false" outlineLevel="0" collapsed="false">
      <c r="A10829" s="1" t="s">
        <v>971</v>
      </c>
      <c r="B10829" s="0" t="s">
        <v>73</v>
      </c>
      <c r="C10829" s="5" t="n">
        <f aca="false">w_dcf*Sens!$C$10804+(1-w_dcf)*Sens!$C$10828</f>
        <v>329.516637906662</v>
      </c>
    </row>
    <row r="10830" customFormat="false" ht="17.15" hidden="false" customHeight="false" outlineLevel="0" collapsed="false">
      <c r="A10830" s="3" t="s">
        <v>1422</v>
      </c>
    </row>
    <row r="10831" customFormat="false" ht="15" hidden="false" customHeight="false" outlineLevel="0" collapsed="false">
      <c r="A10831" s="4" t="s">
        <v>43</v>
      </c>
      <c r="B10831" s="4" t="s">
        <v>63</v>
      </c>
      <c r="C10831" s="19" t="s">
        <v>710</v>
      </c>
      <c r="D10831" s="19" t="s">
        <v>711</v>
      </c>
      <c r="E10831" s="19" t="s">
        <v>712</v>
      </c>
      <c r="F10831" s="19" t="s">
        <v>713</v>
      </c>
      <c r="G10831" s="19" t="s">
        <v>714</v>
      </c>
      <c r="H10831" s="19" t="s">
        <v>715</v>
      </c>
      <c r="I10831" s="19" t="s">
        <v>716</v>
      </c>
      <c r="J10831" s="19" t="s">
        <v>717</v>
      </c>
      <c r="K10831" s="19" t="s">
        <v>718</v>
      </c>
      <c r="L10831" s="4" t="s">
        <v>47</v>
      </c>
    </row>
    <row r="10832" customFormat="false" ht="17.15" hidden="false" customHeight="false" outlineLevel="0" collapsed="false">
      <c r="A10832" s="1" t="s">
        <v>938</v>
      </c>
      <c r="B10832" s="1" t="s">
        <v>213</v>
      </c>
      <c r="F10832" s="34" t="n">
        <f aca="false">1-0.5</f>
        <v>0.5</v>
      </c>
      <c r="G10832" s="34" t="n">
        <f aca="false">2-0.5</f>
        <v>1.5</v>
      </c>
      <c r="H10832" s="34" t="n">
        <f aca="false">3-0.5</f>
        <v>2.5</v>
      </c>
      <c r="I10832" s="34" t="n">
        <f aca="false">4-0.5</f>
        <v>3.5</v>
      </c>
      <c r="J10832" s="34" t="n">
        <f aca="false">5-0.5</f>
        <v>4.5</v>
      </c>
      <c r="K10832" s="34" t="n">
        <f aca="false">6-0.5</f>
        <v>5.5</v>
      </c>
    </row>
    <row r="10833" customFormat="false" ht="15" hidden="false" customHeight="false" outlineLevel="0" collapsed="false">
      <c r="A10833" s="1" t="s">
        <v>939</v>
      </c>
      <c r="B10833" s="0" t="s">
        <v>182</v>
      </c>
      <c r="F10833" s="18" t="n">
        <f aca="false">1/(1+wacc)^Sens!F10832</f>
        <v>0.949601579913219</v>
      </c>
      <c r="G10833" s="18" t="n">
        <f aca="false">1/(1+wacc)^Sens!G10832</f>
        <v>0.856296729956707</v>
      </c>
      <c r="H10833" s="18" t="n">
        <f aca="false">1/(1+wacc)^Sens!H10832</f>
        <v>0.772159719660069</v>
      </c>
      <c r="I10833" s="18" t="n">
        <f aca="false">1/(1+wacc)^Sens!I10832</f>
        <v>0.696289746073958</v>
      </c>
      <c r="J10833" s="18" t="n">
        <f aca="false">1/(1+wacc)^Sens!J10832</f>
        <v>0.627874516299776</v>
      </c>
      <c r="K10833" s="18" t="n">
        <f aca="false">1/(1+wacc)^Sens!K10832</f>
        <v>0.566181550771831</v>
      </c>
    </row>
    <row r="10834" customFormat="false" ht="15" hidden="false" customHeight="false" outlineLevel="0" collapsed="false">
      <c r="A10834" s="1" t="s">
        <v>940</v>
      </c>
      <c r="B10834" s="0" t="s">
        <v>95</v>
      </c>
      <c r="F10834" s="6" t="n">
        <f aca="false">CF!F83*Sens!F10833</f>
        <v>-3.06653414679568</v>
      </c>
      <c r="G10834" s="6" t="n">
        <f aca="false">CF!G83*Sens!G10833</f>
        <v>15.3370464106998</v>
      </c>
      <c r="H10834" s="6" t="n">
        <f aca="false">CF!H83*Sens!H10833</f>
        <v>32.741830912959</v>
      </c>
      <c r="I10834" s="6" t="n">
        <f aca="false">CF!I83*Sens!I10833</f>
        <v>32.5345194226033</v>
      </c>
      <c r="J10834" s="6" t="n">
        <f aca="false">CF!J83*Sens!J10833</f>
        <v>41.02711694846</v>
      </c>
      <c r="K10834" s="6" t="n">
        <f aca="false">CF!K83*Sens!K10833</f>
        <v>30.3740488668364</v>
      </c>
    </row>
    <row r="10835" customFormat="false" ht="17.15" hidden="false" customHeight="false" outlineLevel="0" collapsed="false">
      <c r="A10835" s="1" t="s">
        <v>941</v>
      </c>
      <c r="B10835" s="0" t="s">
        <v>95</v>
      </c>
      <c r="C10835" s="6" t="n">
        <f aca="false">SUM(Sens!F10834:K10834)</f>
        <v>148.948028414763</v>
      </c>
    </row>
    <row r="10836" customFormat="false" ht="17.15" hidden="false" customHeight="false" outlineLevel="0" collapsed="false">
      <c r="A10836" s="1" t="s">
        <v>942</v>
      </c>
      <c r="B10836" s="0" t="s">
        <v>95</v>
      </c>
      <c r="C10836" s="6" t="n">
        <f aca="false">PL!K105*(1+g_tv_lo)*(1-tax_f)</f>
        <v>163.480646526135</v>
      </c>
    </row>
    <row r="10837" customFormat="false" ht="17.15" hidden="false" customHeight="false" outlineLevel="0" collapsed="false">
      <c r="A10837" s="1" t="s">
        <v>943</v>
      </c>
      <c r="B10837" s="0" t="s">
        <v>95</v>
      </c>
      <c r="C10837" s="6" t="n">
        <f aca="false">Sens!$C$10836*(1-g_tv_lo/(wacc+ronic_prem))</f>
        <v>133.474072784945</v>
      </c>
    </row>
    <row r="10838" customFormat="false" ht="17.15" hidden="false" customHeight="false" outlineLevel="0" collapsed="false">
      <c r="A10838" s="1" t="s">
        <v>944</v>
      </c>
      <c r="B10838" s="0" t="s">
        <v>95</v>
      </c>
      <c r="C10838" s="6" t="n">
        <f aca="false">Sens!$C$10837/(wacc-g_tv_lo)</f>
        <v>1500.32868705951</v>
      </c>
    </row>
    <row r="10839" customFormat="false" ht="15" hidden="false" customHeight="false" outlineLevel="0" collapsed="false">
      <c r="A10839" s="1" t="s">
        <v>945</v>
      </c>
      <c r="B10839" s="0" t="s">
        <v>95</v>
      </c>
      <c r="C10839" s="6" t="n">
        <f aca="false">Sens!$C$10838/(1+wacc)^6</f>
        <v>806.647060272984</v>
      </c>
    </row>
    <row r="10840" customFormat="false" ht="17.15" hidden="false" customHeight="false" outlineLevel="0" collapsed="false">
      <c r="A10840" s="0" t="s">
        <v>877</v>
      </c>
      <c r="B10840" s="0" t="s">
        <v>95</v>
      </c>
      <c r="C10840" s="6" t="n">
        <f aca="false">Sens!$C$10835+Sens!$C$10839</f>
        <v>955.595088687747</v>
      </c>
    </row>
    <row r="10841" customFormat="false" ht="15" hidden="false" customHeight="false" outlineLevel="0" collapsed="false">
      <c r="A10841" s="1" t="s">
        <v>878</v>
      </c>
      <c r="B10841" s="0" t="s">
        <v>126</v>
      </c>
      <c r="C10841" s="7" t="n">
        <f aca="false">Sens!$C$10839/Sens!$C$10840</f>
        <v>0.844130604920435</v>
      </c>
    </row>
    <row r="10842" customFormat="false" ht="17.15" hidden="false" customHeight="false" outlineLevel="0" collapsed="false">
      <c r="A10842" s="1" t="s">
        <v>946</v>
      </c>
      <c r="B10842" s="0" t="s">
        <v>95</v>
      </c>
      <c r="C10842" s="6" t="n">
        <f aca="false">Sens!$C$10840+CF!E92+oai_v</f>
        <v>1156.70208868775</v>
      </c>
    </row>
    <row r="10843" customFormat="false" ht="17.15" hidden="false" customHeight="false" outlineLevel="0" collapsed="false">
      <c r="A10843" s="0" t="s">
        <v>883</v>
      </c>
      <c r="B10843" s="0" t="s">
        <v>73</v>
      </c>
      <c r="C10843" s="5" t="n">
        <f aca="false">Sens!$C$10842/sh_dil26</f>
        <v>155.199528872635</v>
      </c>
    </row>
    <row r="10844" customFormat="false" ht="17.15" hidden="false" customHeight="false" outlineLevel="0" collapsed="false">
      <c r="A10844" s="0" t="s">
        <v>947</v>
      </c>
      <c r="B10844" s="0" t="s">
        <v>73</v>
      </c>
      <c r="C10844" s="5" t="n">
        <f aca="false">Sens!$C$10843*(1+wacc)^t_roll</f>
        <v>178.013017001652</v>
      </c>
    </row>
    <row r="10845" customFormat="false" ht="17.15" hidden="false" customHeight="false" outlineLevel="0" collapsed="false">
      <c r="A10845" s="1" t="s">
        <v>948</v>
      </c>
      <c r="B10845" s="0" t="s">
        <v>126</v>
      </c>
      <c r="F10845" s="7" t="n">
        <f aca="false">CF!F73/(Seg!F83-Thesis!F108)</f>
        <v>0.0686864325746334</v>
      </c>
      <c r="G10845" s="7" t="n">
        <f aca="false">CF!G73/(Seg!G83-Thesis!G108)</f>
        <v>0.066267001590801</v>
      </c>
      <c r="H10845" s="7" t="n">
        <f aca="false">CF!H73/(Seg!H83-Thesis!H108)</f>
        <v>0.0650366246750144</v>
      </c>
      <c r="I10845" s="7" t="n">
        <f aca="false">CF!I73/(Seg!I83-Thesis!I108)</f>
        <v>0.0648573271390164</v>
      </c>
      <c r="J10845" s="7" t="n">
        <f aca="false">CF!J73/(Seg!J83-Thesis!J108)</f>
        <v>0.0655189837669657</v>
      </c>
      <c r="K10845" s="7" t="n">
        <f aca="false">CF!K73/(Seg!K83-Thesis!K108)</f>
        <v>0.0667878921367872</v>
      </c>
    </row>
    <row r="10846" customFormat="false" ht="17.15" hidden="false" customHeight="false" outlineLevel="0" collapsed="false">
      <c r="A10846" s="0" t="s">
        <v>949</v>
      </c>
      <c r="B10846" s="0" t="s">
        <v>95</v>
      </c>
      <c r="F10846" s="6" t="n">
        <f aca="false">Seg!F68*(al_m365+Sens!F10845)</f>
        <v>78.4986969872395</v>
      </c>
      <c r="G10846" s="6" t="n">
        <f aca="false">Seg!G68*(al_m365+Sens!G10845)</f>
        <v>88.3098056906507</v>
      </c>
      <c r="H10846" s="6" t="n">
        <f aca="false">Seg!H68*(al_m365+Sens!H10845)</f>
        <v>98.2773562913015</v>
      </c>
      <c r="I10846" s="6" t="n">
        <f aca="false">Seg!I68*(al_m365+Sens!I10845)</f>
        <v>107.762753675846</v>
      </c>
      <c r="J10846" s="6" t="n">
        <f aca="false">Seg!J68*(al_m365+Sens!J10845)</f>
        <v>116.587414331333</v>
      </c>
      <c r="K10846" s="6" t="n">
        <f aca="false">Seg!K68*(al_m365+Sens!K10845)</f>
        <v>125.041394489287</v>
      </c>
    </row>
    <row r="10847" customFormat="false" ht="17.15" hidden="false" customHeight="false" outlineLevel="0" collapsed="false">
      <c r="A10847" s="0" t="s">
        <v>950</v>
      </c>
      <c r="B10847" s="0" t="s">
        <v>95</v>
      </c>
      <c r="F10847" s="6" t="n">
        <f aca="false">Seg!F69*(al_lic+Sens!F10845)</f>
        <v>31.9877845991607</v>
      </c>
      <c r="G10847" s="6" t="n">
        <f aca="false">Seg!G69*(al_lic+Sens!G10845)</f>
        <v>33.243749427372</v>
      </c>
      <c r="H10847" s="6" t="n">
        <f aca="false">Seg!H69*(al_lic+Sens!H10845)</f>
        <v>34.4137793872059</v>
      </c>
      <c r="I10847" s="6" t="n">
        <f aca="false">Seg!I69*(al_lic+Sens!I10845)</f>
        <v>35.4787240806467</v>
      </c>
      <c r="J10847" s="6" t="n">
        <f aca="false">Seg!J69*(al_lic+Sens!J10845)</f>
        <v>36.4160307520991</v>
      </c>
      <c r="K10847" s="6" t="n">
        <f aca="false">Seg!K69*(al_lic+Sens!K10845)</f>
        <v>37.2021461938459</v>
      </c>
    </row>
    <row r="10848" customFormat="false" ht="17.15" hidden="false" customHeight="false" outlineLevel="0" collapsed="false">
      <c r="A10848" s="0" t="s">
        <v>951</v>
      </c>
      <c r="B10848" s="0" t="s">
        <v>95</v>
      </c>
      <c r="F10848" s="6" t="n">
        <f aca="false">Seg!F71*(al_ind+Sens!F10845)</f>
        <v>8.24280380456612</v>
      </c>
      <c r="G10848" s="6" t="n">
        <f aca="false">Seg!G71*(al_ind+Sens!G10845)</f>
        <v>8.9512770630031</v>
      </c>
      <c r="H10848" s="6" t="n">
        <f aca="false">Seg!H71*(al_ind+Sens!H10845)</f>
        <v>9.70041215792393</v>
      </c>
      <c r="I10848" s="6" t="n">
        <f aca="false">Seg!I71*(al_ind+Sens!I10845)</f>
        <v>10.4864435829487</v>
      </c>
      <c r="J10848" s="6" t="n">
        <f aca="false">Seg!J71*(al_ind+Sens!J10845)</f>
        <v>11.3015744981253</v>
      </c>
      <c r="K10848" s="6" t="n">
        <f aca="false">Seg!K71*(al_ind+Sens!K10845)</f>
        <v>12.1346647729291</v>
      </c>
    </row>
    <row r="10849" customFormat="false" ht="17.15" hidden="false" customHeight="false" outlineLevel="0" collapsed="false">
      <c r="A10849" s="0" t="s">
        <v>952</v>
      </c>
      <c r="B10849" s="0" t="s">
        <v>95</v>
      </c>
      <c r="F10849" s="6" t="n">
        <f aca="false">Seg!F73*(al_fro+Sens!F10845)</f>
        <v>3.24439651632051</v>
      </c>
      <c r="G10849" s="6" t="n">
        <f aca="false">Seg!G73*(al_fro+Sens!G10845)</f>
        <v>3.43676117771401</v>
      </c>
      <c r="H10849" s="6" t="n">
        <f aca="false">Seg!H73*(al_fro+Sens!H10845)</f>
        <v>3.65544732248501</v>
      </c>
      <c r="I10849" s="6" t="n">
        <f aca="false">Seg!I73*(al_fro+Sens!I10845)</f>
        <v>3.90262750850979</v>
      </c>
      <c r="J10849" s="6" t="n">
        <f aca="false">Seg!J73*(al_fro+Sens!J10845)</f>
        <v>4.17975656810881</v>
      </c>
      <c r="K10849" s="6" t="n">
        <f aca="false">Seg!K73*(al_fro+Sens!K10845)</f>
        <v>4.48786536733111</v>
      </c>
    </row>
    <row r="10850" customFormat="false" ht="17.15" hidden="false" customHeight="false" outlineLevel="0" collapsed="false">
      <c r="A10850" s="0" t="s">
        <v>953</v>
      </c>
      <c r="B10850" s="0" t="s">
        <v>95</v>
      </c>
      <c r="F10850" s="6" t="n">
        <f aca="false">Seg!F76*(al_srch+Sens!F10845)</f>
        <v>10.1799817910968</v>
      </c>
      <c r="G10850" s="6" t="n">
        <f aca="false">Seg!G76*(al_srch+Sens!G10845)</f>
        <v>11.1592643133754</v>
      </c>
      <c r="H10850" s="6" t="n">
        <f aca="false">Seg!H76*(al_srch+Sens!H10845)</f>
        <v>12.1792194533398</v>
      </c>
      <c r="I10850" s="6" t="n">
        <f aca="false">Seg!I76*(al_srch+Sens!I10845)</f>
        <v>13.2288881134521</v>
      </c>
      <c r="J10850" s="6" t="n">
        <f aca="false">Seg!J76*(al_srch+Sens!J10845)</f>
        <v>14.2913670918582</v>
      </c>
      <c r="K10850" s="6" t="n">
        <f aca="false">Seg!K76*(al_srch+Sens!K10845)</f>
        <v>15.3448485284362</v>
      </c>
    </row>
    <row r="10851" customFormat="false" ht="17.15" hidden="false" customHeight="false" outlineLevel="0" collapsed="false">
      <c r="A10851" s="0" t="s">
        <v>954</v>
      </c>
      <c r="B10851" s="0" t="s">
        <v>95</v>
      </c>
      <c r="F10851" s="6" t="n">
        <f aca="false">Thesis!F114</f>
        <v>35.0573455625419</v>
      </c>
      <c r="G10851" s="6" t="n">
        <f aca="false">Thesis!G114</f>
        <v>52.2504971712871</v>
      </c>
      <c r="H10851" s="6" t="n">
        <f aca="false">Thesis!H114</f>
        <v>65.2796698510271</v>
      </c>
      <c r="I10851" s="6" t="n">
        <f aca="false">Thesis!I114</f>
        <v>85.5659922535278</v>
      </c>
      <c r="J10851" s="6" t="n">
        <f aca="false">Thesis!J114</f>
        <v>105.90773710582</v>
      </c>
      <c r="K10851" s="6" t="n">
        <f aca="false">Thesis!K114</f>
        <v>126.282084319851</v>
      </c>
    </row>
    <row r="10852" customFormat="false" ht="17.15" hidden="false" customHeight="false" outlineLevel="0" collapsed="false">
      <c r="A10852" s="0" t="s">
        <v>955</v>
      </c>
      <c r="B10852" s="0" t="s">
        <v>95</v>
      </c>
      <c r="F10852" s="6" t="n">
        <f aca="false">PL!F102+Thesis!F125+Sens!F10845*(Seg!F75-Thesis!F108)</f>
        <v>206.154467007856</v>
      </c>
      <c r="G10852" s="6" t="n">
        <f aca="false">PL!G102+Thesis!G125+Sens!G10845*(Seg!G75-Thesis!G108)</f>
        <v>241.631787518433</v>
      </c>
      <c r="H10852" s="6" t="n">
        <f aca="false">PL!H102+Thesis!H125+Sens!H10845*(Seg!H75-Thesis!H108)</f>
        <v>273.161508717552</v>
      </c>
      <c r="I10852" s="6" t="n">
        <f aca="false">PL!I102+Thesis!I125+Sens!I10845*(Seg!I75-Thesis!I108)</f>
        <v>311.232758290592</v>
      </c>
      <c r="J10852" s="6" t="n">
        <f aca="false">PL!J102+Thesis!J125+Sens!J10845*(Seg!J75-Thesis!J108)</f>
        <v>347.836227364385</v>
      </c>
      <c r="K10852" s="6" t="n">
        <f aca="false">PL!K102+Thesis!K125+Sens!K10845*(Seg!K75-Thesis!K108)</f>
        <v>382.533402332059</v>
      </c>
    </row>
    <row r="10853" customFormat="false" ht="17.15" hidden="false" customHeight="false" outlineLevel="0" collapsed="false">
      <c r="A10853" s="0" t="s">
        <v>956</v>
      </c>
      <c r="B10853" s="0" t="s">
        <v>95</v>
      </c>
      <c r="F10853" s="6" t="n">
        <f aca="false">Sens!F10852-Sens!F10846-Sens!F10847-Sens!F10848-Sens!F10849-Sens!F10851</f>
        <v>49.123439538027</v>
      </c>
      <c r="G10853" s="6" t="n">
        <f aca="false">Sens!G10852-Sens!G10846-Sens!G10847-Sens!G10848-Sens!G10849-Sens!G10851</f>
        <v>55.4396969884061</v>
      </c>
      <c r="H10853" s="6" t="n">
        <f aca="false">Sens!H10852-Sens!H10846-Sens!H10847-Sens!H10848-Sens!H10849-Sens!H10851</f>
        <v>61.8348437076084</v>
      </c>
      <c r="I10853" s="6" t="n">
        <f aca="false">Sens!I10852-Sens!I10846-Sens!I10847-Sens!I10848-Sens!I10849-Sens!I10851</f>
        <v>68.0362171891129</v>
      </c>
      <c r="J10853" s="6" t="n">
        <f aca="false">Sens!J10852-Sens!J10846-Sens!J10847-Sens!J10848-Sens!J10849-Sens!J10851</f>
        <v>73.4437141088982</v>
      </c>
      <c r="K10853" s="6" t="n">
        <f aca="false">Sens!K10852-Sens!K10846-Sens!K10847-Sens!K10848-Sens!K10849-Sens!K10851</f>
        <v>77.3852471888144</v>
      </c>
    </row>
    <row r="10854" customFormat="false" ht="17.15" hidden="false" customHeight="false" outlineLevel="0" collapsed="false">
      <c r="A10854" s="0" t="s">
        <v>957</v>
      </c>
      <c r="B10854" s="0" t="s">
        <v>95</v>
      </c>
      <c r="F10854" s="6" t="n">
        <f aca="false">PL!F104+Sens!F10845*Seg!F82</f>
        <v>23.7697943901369</v>
      </c>
      <c r="G10854" s="6" t="n">
        <f aca="false">PL!G104+Sens!G10845*Seg!G82</f>
        <v>24.331261048114</v>
      </c>
      <c r="H10854" s="6" t="n">
        <f aca="false">PL!H104+Sens!H10845*Seg!H82</f>
        <v>25.1342423406419</v>
      </c>
      <c r="I10854" s="6" t="n">
        <f aca="false">PL!I104+Sens!I10845*Seg!I82</f>
        <v>26.1495446421549</v>
      </c>
      <c r="J10854" s="6" t="n">
        <f aca="false">PL!J104+Sens!J10845*Seg!J82</f>
        <v>27.3481502080811</v>
      </c>
      <c r="K10854" s="6" t="n">
        <f aca="false">PL!K104+Sens!K10845*Seg!K82</f>
        <v>28.7026027133478</v>
      </c>
    </row>
    <row r="10855" customFormat="false" ht="17.15" hidden="false" customHeight="false" outlineLevel="0" collapsed="false">
      <c r="A10855" s="0" t="s">
        <v>958</v>
      </c>
      <c r="B10855" s="0" t="s">
        <v>95</v>
      </c>
      <c r="F10855" s="6" t="n">
        <f aca="false">(Sens!F10854-Sens!F10850)*Seg!F78/(Seg!F78+Seg!F80)</f>
        <v>7.44980290393703</v>
      </c>
      <c r="G10855" s="6" t="n">
        <f aca="false">(Sens!G10854-Sens!G10850)*Seg!G78/(Seg!G78+Seg!G80)</f>
        <v>7.09201461396229</v>
      </c>
      <c r="H10855" s="6" t="n">
        <f aca="false">(Sens!H10854-Sens!H10850)*Seg!H78/(Seg!H78+Seg!H80)</f>
        <v>6.8809692168288</v>
      </c>
      <c r="I10855" s="6" t="n">
        <f aca="false">(Sens!I10854-Sens!I10850)*Seg!I78/(Seg!I78+Seg!I80)</f>
        <v>6.80062182771623</v>
      </c>
      <c r="J10855" s="6" t="n">
        <f aca="false">(Sens!J10854-Sens!J10850)*Seg!J78/(Seg!J78+Seg!J80)</f>
        <v>6.84119415814997</v>
      </c>
      <c r="K10855" s="6" t="n">
        <f aca="false">(Sens!K10854-Sens!K10850)*Seg!K78/(Seg!K78+Seg!K80)</f>
        <v>6.99889008512966</v>
      </c>
    </row>
    <row r="10856" customFormat="false" ht="17.15" hidden="false" customHeight="false" outlineLevel="0" collapsed="false">
      <c r="A10856" s="0" t="s">
        <v>959</v>
      </c>
      <c r="B10856" s="0" t="s">
        <v>95</v>
      </c>
      <c r="F10856" s="6" t="n">
        <f aca="false">Sens!F10854-Sens!F10850-Sens!F10855</f>
        <v>6.14000969510312</v>
      </c>
      <c r="G10856" s="6" t="n">
        <f aca="false">Sens!G10854-Sens!G10850-Sens!G10855</f>
        <v>6.07998212077627</v>
      </c>
      <c r="H10856" s="6" t="n">
        <f aca="false">Sens!H10854-Sens!H10850-Sens!H10855</f>
        <v>6.07405367047327</v>
      </c>
      <c r="I10856" s="6" t="n">
        <f aca="false">Sens!I10854-Sens!I10850-Sens!I10855</f>
        <v>6.12003470098649</v>
      </c>
      <c r="J10856" s="6" t="n">
        <f aca="false">Sens!J10854-Sens!J10850-Sens!J10855</f>
        <v>6.21558895807294</v>
      </c>
      <c r="K10856" s="6" t="n">
        <f aca="false">Sens!K10854-Sens!K10850-Sens!K10855</f>
        <v>6.35886409978198</v>
      </c>
    </row>
    <row r="10857" customFormat="false" ht="17.15" hidden="false" customHeight="false" outlineLevel="0" collapsed="false">
      <c r="A10857" s="1" t="s">
        <v>960</v>
      </c>
      <c r="B10857" s="0" t="s">
        <v>95</v>
      </c>
      <c r="C10857" s="6" t="n">
        <f aca="false">(w_ntm28*Sens!G10851+(1-w_ntm28)*Sens!H10851)*m_ai*1</f>
        <v>338.776008390068</v>
      </c>
    </row>
    <row r="10858" customFormat="false" ht="17.15" hidden="false" customHeight="false" outlineLevel="0" collapsed="false">
      <c r="A10858" s="1" t="s">
        <v>961</v>
      </c>
      <c r="B10858" s="0" t="s">
        <v>95</v>
      </c>
      <c r="C10858" s="6" t="n">
        <f aca="false">(w_ntm28*Sens!G10853+(1-w_ntm28)*Sens!H10853)*m_cloud*1</f>
        <v>794.749076664173</v>
      </c>
    </row>
    <row r="10859" customFormat="false" ht="17.15" hidden="false" customHeight="false" outlineLevel="0" collapsed="false">
      <c r="A10859" s="1" t="s">
        <v>962</v>
      </c>
      <c r="B10859" s="0" t="s">
        <v>95</v>
      </c>
      <c r="C10859" s="6" t="n">
        <f aca="false">(w_ntm28*Sens!G10846+(1-w_ntm28)*Sens!H10846)*m_sw*1</f>
        <v>988.547672652094</v>
      </c>
    </row>
    <row r="10860" customFormat="false" ht="17.15" hidden="false" customHeight="false" outlineLevel="0" collapsed="false">
      <c r="A10860" s="1" t="s">
        <v>963</v>
      </c>
      <c r="B10860" s="0" t="s">
        <v>95</v>
      </c>
      <c r="C10860" s="6" t="n">
        <f aca="false">(w_ntm28*Sens!G10847+(1-w_ntm28)*Sens!H10847)*m_sw*1</f>
        <v>363.117661434282</v>
      </c>
    </row>
    <row r="10861" customFormat="false" ht="17.15" hidden="false" customHeight="false" outlineLevel="0" collapsed="false">
      <c r="A10861" s="1" t="s">
        <v>964</v>
      </c>
      <c r="B10861" s="0" t="s">
        <v>95</v>
      </c>
      <c r="C10861" s="6" t="n">
        <f aca="false">(w_ntm28*Sens!G10848+(1-w_ntm28)*Sens!H10848)*m_sw*1</f>
        <v>99.2894025954118</v>
      </c>
    </row>
    <row r="10862" customFormat="false" ht="17.15" hidden="false" customHeight="false" outlineLevel="0" collapsed="false">
      <c r="A10862" s="1" t="s">
        <v>965</v>
      </c>
      <c r="B10862" s="0" t="s">
        <v>95</v>
      </c>
      <c r="C10862" s="6" t="n">
        <f aca="false">(w_ntm28*Sens!G10849+(1-w_ntm28)*Sens!H10849)*m_sw*1</f>
        <v>37.8805648916295</v>
      </c>
    </row>
    <row r="10863" customFormat="false" ht="17.15" hidden="false" customHeight="false" outlineLevel="0" collapsed="false">
      <c r="A10863" s="1" t="s">
        <v>966</v>
      </c>
      <c r="B10863" s="0" t="s">
        <v>95</v>
      </c>
      <c r="C10863" s="6" t="n">
        <f aca="false">(w_ntm28*Sens!G10850+(1-w_ntm28)*Sens!H10850)*m_ads*1</f>
        <v>104.664819473916</v>
      </c>
    </row>
    <row r="10864" customFormat="false" ht="17.15" hidden="false" customHeight="false" outlineLevel="0" collapsed="false">
      <c r="A10864" s="1" t="s">
        <v>967</v>
      </c>
      <c r="B10864" s="0" t="s">
        <v>95</v>
      </c>
      <c r="C10864" s="6" t="n">
        <f aca="false">(w_ntm28*Sens!G10855+(1-w_ntm28)*Sens!H10855)*m_game*1</f>
        <v>88.7104201985522</v>
      </c>
    </row>
    <row r="10865" customFormat="false" ht="17.15" hidden="false" customHeight="false" outlineLevel="0" collapsed="false">
      <c r="A10865" s="1" t="s">
        <v>968</v>
      </c>
      <c r="B10865" s="0" t="s">
        <v>95</v>
      </c>
      <c r="C10865" s="6" t="n">
        <f aca="false">(w_ntm28*Sens!G10856+(1-w_ntm28)*Sens!H10856)*m_pc*1</f>
        <v>87.9496081595385</v>
      </c>
    </row>
    <row r="10866" customFormat="false" ht="17.15" hidden="false" customHeight="false" outlineLevel="0" collapsed="false">
      <c r="A10866" s="1" t="s">
        <v>969</v>
      </c>
      <c r="B10866" s="0" t="s">
        <v>95</v>
      </c>
      <c r="C10866" s="6" t="n">
        <f aca="false">Sens!$C$10857+Sens!$C$10858+Sens!$C$10859+Sens!$C$10860+Sens!$C$10861+Sens!$C$10862+Sens!$C$10863+Sens!$C$10864+Sens!$C$10865</f>
        <v>2903.68523445966</v>
      </c>
    </row>
    <row r="10867" customFormat="false" ht="17.15" hidden="false" customHeight="false" outlineLevel="0" collapsed="false">
      <c r="A10867" s="1" t="s">
        <v>903</v>
      </c>
      <c r="B10867" s="0" t="s">
        <v>95</v>
      </c>
      <c r="C10867" s="6" t="n">
        <f aca="false">CF!F92+oai_v-CF!F81</f>
        <v>106.814034990727</v>
      </c>
      <c r="L10867" s="1" t="s">
        <v>970</v>
      </c>
    </row>
    <row r="10868" customFormat="false" ht="15" hidden="false" customHeight="false" outlineLevel="0" collapsed="false">
      <c r="A10868" s="1" t="s">
        <v>904</v>
      </c>
      <c r="B10868" s="0" t="s">
        <v>73</v>
      </c>
      <c r="C10868" s="5" t="n">
        <f aca="false">(Sens!$C$10866+Sens!$C$10867)/CF!F94</f>
        <v>402.904077817237</v>
      </c>
    </row>
    <row r="10869" customFormat="false" ht="17.15" hidden="false" customHeight="false" outlineLevel="0" collapsed="false">
      <c r="A10869" s="1" t="s">
        <v>971</v>
      </c>
      <c r="B10869" s="0" t="s">
        <v>73</v>
      </c>
      <c r="C10869" s="5" t="n">
        <f aca="false">w_dcf*Sens!$C$10844+(1-w_dcf)*Sens!$C$10868</f>
        <v>290.458547409444</v>
      </c>
    </row>
    <row r="10870" customFormat="false" ht="17.15" hidden="false" customHeight="false" outlineLevel="0" collapsed="false">
      <c r="A10870" s="3" t="s">
        <v>1423</v>
      </c>
    </row>
    <row r="10871" customFormat="false" ht="15" hidden="false" customHeight="false" outlineLevel="0" collapsed="false">
      <c r="A10871" s="4" t="s">
        <v>43</v>
      </c>
      <c r="B10871" s="4" t="s">
        <v>63</v>
      </c>
      <c r="C10871" s="19" t="s">
        <v>710</v>
      </c>
      <c r="D10871" s="19" t="s">
        <v>711</v>
      </c>
      <c r="E10871" s="19" t="s">
        <v>712</v>
      </c>
      <c r="F10871" s="19" t="s">
        <v>713</v>
      </c>
      <c r="G10871" s="19" t="s">
        <v>714</v>
      </c>
      <c r="H10871" s="19" t="s">
        <v>715</v>
      </c>
      <c r="I10871" s="19" t="s">
        <v>716</v>
      </c>
      <c r="J10871" s="19" t="s">
        <v>717</v>
      </c>
      <c r="K10871" s="19" t="s">
        <v>718</v>
      </c>
      <c r="L10871" s="4" t="s">
        <v>47</v>
      </c>
    </row>
    <row r="10872" customFormat="false" ht="17.15" hidden="false" customHeight="false" outlineLevel="0" collapsed="false">
      <c r="A10872" s="1" t="s">
        <v>938</v>
      </c>
      <c r="B10872" s="1" t="s">
        <v>213</v>
      </c>
      <c r="F10872" s="34" t="n">
        <f aca="false">1-0.5</f>
        <v>0.5</v>
      </c>
      <c r="G10872" s="34" t="n">
        <f aca="false">2-0.5</f>
        <v>1.5</v>
      </c>
      <c r="H10872" s="34" t="n">
        <f aca="false">3-0.5</f>
        <v>2.5</v>
      </c>
      <c r="I10872" s="34" t="n">
        <f aca="false">4-0.5</f>
        <v>3.5</v>
      </c>
      <c r="J10872" s="34" t="n">
        <f aca="false">5-0.5</f>
        <v>4.5</v>
      </c>
      <c r="K10872" s="34" t="n">
        <f aca="false">6-0.5</f>
        <v>5.5</v>
      </c>
    </row>
    <row r="10873" customFormat="false" ht="15" hidden="false" customHeight="false" outlineLevel="0" collapsed="false">
      <c r="A10873" s="1" t="s">
        <v>939</v>
      </c>
      <c r="B10873" s="0" t="s">
        <v>182</v>
      </c>
      <c r="F10873" s="18" t="n">
        <f aca="false">1/(1+wacc)^Sens!F10872</f>
        <v>0.949601579913219</v>
      </c>
      <c r="G10873" s="18" t="n">
        <f aca="false">1/(1+wacc)^Sens!G10872</f>
        <v>0.856296729956707</v>
      </c>
      <c r="H10873" s="18" t="n">
        <f aca="false">1/(1+wacc)^Sens!H10872</f>
        <v>0.772159719660069</v>
      </c>
      <c r="I10873" s="18" t="n">
        <f aca="false">1/(1+wacc)^Sens!I10872</f>
        <v>0.696289746073958</v>
      </c>
      <c r="J10873" s="18" t="n">
        <f aca="false">1/(1+wacc)^Sens!J10872</f>
        <v>0.627874516299776</v>
      </c>
      <c r="K10873" s="18" t="n">
        <f aca="false">1/(1+wacc)^Sens!K10872</f>
        <v>0.566181550771831</v>
      </c>
    </row>
    <row r="10874" customFormat="false" ht="15" hidden="false" customHeight="false" outlineLevel="0" collapsed="false">
      <c r="A10874" s="1" t="s">
        <v>940</v>
      </c>
      <c r="B10874" s="0" t="s">
        <v>95</v>
      </c>
      <c r="F10874" s="6" t="n">
        <f aca="false">CF!F27*Sens!F10873</f>
        <v>4.78244341517868</v>
      </c>
      <c r="G10874" s="6" t="n">
        <f aca="false">CF!G27*Sens!G10873</f>
        <v>37.2678177028369</v>
      </c>
      <c r="H10874" s="6" t="n">
        <f aca="false">CF!H27*Sens!H10873</f>
        <v>72.9878911803064</v>
      </c>
      <c r="I10874" s="6" t="n">
        <f aca="false">CF!I27*Sens!I10873</f>
        <v>79.2928055259562</v>
      </c>
      <c r="J10874" s="6" t="n">
        <f aca="false">CF!J27*Sens!J10873</f>
        <v>92.2861122369862</v>
      </c>
      <c r="K10874" s="6" t="n">
        <f aca="false">CF!K27*Sens!K10873</f>
        <v>84.8150303666</v>
      </c>
    </row>
    <row r="10875" customFormat="false" ht="17.15" hidden="false" customHeight="false" outlineLevel="0" collapsed="false">
      <c r="A10875" s="1" t="s">
        <v>941</v>
      </c>
      <c r="B10875" s="0" t="s">
        <v>95</v>
      </c>
      <c r="C10875" s="6" t="n">
        <f aca="false">SUM(Sens!F10874:K10874)</f>
        <v>371.432100427865</v>
      </c>
    </row>
    <row r="10876" customFormat="false" ht="17.15" hidden="false" customHeight="false" outlineLevel="0" collapsed="false">
      <c r="A10876" s="1" t="s">
        <v>942</v>
      </c>
      <c r="B10876" s="0" t="s">
        <v>95</v>
      </c>
      <c r="C10876" s="6" t="n">
        <f aca="false">PL!K35*(1+g_tv_hi)*(1-tax_f)</f>
        <v>263.605091702008</v>
      </c>
    </row>
    <row r="10877" customFormat="false" ht="17.15" hidden="false" customHeight="false" outlineLevel="0" collapsed="false">
      <c r="A10877" s="1" t="s">
        <v>943</v>
      </c>
      <c r="B10877" s="0" t="s">
        <v>95</v>
      </c>
      <c r="C10877" s="6" t="n">
        <f aca="false">Sens!$C$10876*(1-g_tv_hi/(wacc+ronic_prem))</f>
        <v>166.836626555952</v>
      </c>
    </row>
    <row r="10878" customFormat="false" ht="17.15" hidden="false" customHeight="false" outlineLevel="0" collapsed="false">
      <c r="A10878" s="1" t="s">
        <v>944</v>
      </c>
      <c r="B10878" s="0" t="s">
        <v>95</v>
      </c>
      <c r="C10878" s="6" t="n">
        <f aca="false">Sens!$C$10877/(wacc-g_tv_hi)</f>
        <v>2419.21162865139</v>
      </c>
    </row>
    <row r="10879" customFormat="false" ht="15" hidden="false" customHeight="false" outlineLevel="0" collapsed="false">
      <c r="A10879" s="1" t="s">
        <v>945</v>
      </c>
      <c r="B10879" s="0" t="s">
        <v>95</v>
      </c>
      <c r="C10879" s="6" t="n">
        <f aca="false">Sens!$C$10878/(1+wacc)^6</f>
        <v>1300.68162080838</v>
      </c>
    </row>
    <row r="10880" customFormat="false" ht="17.15" hidden="false" customHeight="false" outlineLevel="0" collapsed="false">
      <c r="A10880" s="0" t="s">
        <v>877</v>
      </c>
      <c r="B10880" s="0" t="s">
        <v>95</v>
      </c>
      <c r="C10880" s="6" t="n">
        <f aca="false">Sens!$C$10875+Sens!$C$10879</f>
        <v>1672.11372123624</v>
      </c>
    </row>
    <row r="10881" customFormat="false" ht="15" hidden="false" customHeight="false" outlineLevel="0" collapsed="false">
      <c r="A10881" s="1" t="s">
        <v>878</v>
      </c>
      <c r="B10881" s="0" t="s">
        <v>126</v>
      </c>
      <c r="C10881" s="7" t="n">
        <f aca="false">Sens!$C$10879/Sens!$C$10880</f>
        <v>0.777866722992229</v>
      </c>
    </row>
    <row r="10882" customFormat="false" ht="17.15" hidden="false" customHeight="false" outlineLevel="0" collapsed="false">
      <c r="A10882" s="1" t="s">
        <v>946</v>
      </c>
      <c r="B10882" s="0" t="s">
        <v>95</v>
      </c>
      <c r="C10882" s="6" t="n">
        <f aca="false">Sens!$C$10880+CF!E36+oai_v</f>
        <v>1873.22072123624</v>
      </c>
    </row>
    <row r="10883" customFormat="false" ht="17.15" hidden="false" customHeight="false" outlineLevel="0" collapsed="false">
      <c r="A10883" s="0" t="s">
        <v>883</v>
      </c>
      <c r="B10883" s="0" t="s">
        <v>73</v>
      </c>
      <c r="C10883" s="5" t="n">
        <f aca="false">Sens!$C$10882/sh_dil26</f>
        <v>251.337813127095</v>
      </c>
    </row>
    <row r="10884" customFormat="false" ht="17.15" hidden="false" customHeight="false" outlineLevel="0" collapsed="false">
      <c r="A10884" s="0" t="s">
        <v>947</v>
      </c>
      <c r="B10884" s="0" t="s">
        <v>73</v>
      </c>
      <c r="C10884" s="5" t="n">
        <f aca="false">Sens!$C$10883*(1+wacc)^t_roll</f>
        <v>288.283107083842</v>
      </c>
    </row>
    <row r="10885" customFormat="false" ht="17.15" hidden="false" customHeight="false" outlineLevel="0" collapsed="false">
      <c r="A10885" s="1" t="s">
        <v>948</v>
      </c>
      <c r="B10885" s="0" t="s">
        <v>126</v>
      </c>
      <c r="F10885" s="7" t="n">
        <f aca="false">CF!F17/(Seg!F29-Thesis!F20)</f>
        <v>0.0681773598226415</v>
      </c>
      <c r="G10885" s="7" t="n">
        <f aca="false">CF!G17/(Seg!G29-Thesis!G20)</f>
        <v>0.0650385409375172</v>
      </c>
      <c r="H10885" s="7" t="n">
        <f aca="false">CF!H17/(Seg!H29-Thesis!H20)</f>
        <v>0.063382542471986</v>
      </c>
      <c r="I10885" s="7" t="n">
        <f aca="false">CF!I17/(Seg!I29-Thesis!I20)</f>
        <v>0.0630998138876076</v>
      </c>
      <c r="J10885" s="7" t="n">
        <f aca="false">CF!J17/(Seg!J29-Thesis!J20)</f>
        <v>0.0638399980286975</v>
      </c>
      <c r="K10885" s="7" t="n">
        <f aca="false">CF!K17/(Seg!K29-Thesis!K20)</f>
        <v>0.0651531082402687</v>
      </c>
    </row>
    <row r="10886" customFormat="false" ht="17.15" hidden="false" customHeight="false" outlineLevel="0" collapsed="false">
      <c r="A10886" s="0" t="s">
        <v>949</v>
      </c>
      <c r="B10886" s="0" t="s">
        <v>95</v>
      </c>
      <c r="F10886" s="6" t="n">
        <f aca="false">Seg!F14*(al_m365+Sens!F10885)</f>
        <v>80.4434678008041</v>
      </c>
      <c r="G10886" s="6" t="n">
        <f aca="false">Seg!G14*(al_m365+Sens!G10885)</f>
        <v>94.1323272633269</v>
      </c>
      <c r="H10886" s="6" t="n">
        <f aca="false">Seg!H14*(al_m365+Sens!H10885)</f>
        <v>107.983658528206</v>
      </c>
      <c r="I10886" s="6" t="n">
        <f aca="false">Seg!I14*(al_m365+Sens!I10885)</f>
        <v>120.408335219477</v>
      </c>
      <c r="J10886" s="6" t="n">
        <f aca="false">Seg!J14*(al_m365+Sens!J10885)</f>
        <v>131.229685027411</v>
      </c>
      <c r="K10886" s="6" t="n">
        <f aca="false">Seg!K14*(al_m365+Sens!K10885)</f>
        <v>141.696231007978</v>
      </c>
    </row>
    <row r="10887" customFormat="false" ht="17.15" hidden="false" customHeight="false" outlineLevel="0" collapsed="false">
      <c r="A10887" s="0" t="s">
        <v>950</v>
      </c>
      <c r="B10887" s="0" t="s">
        <v>95</v>
      </c>
      <c r="F10887" s="6" t="n">
        <f aca="false">Seg!F15*(al_lic+Sens!F10885)</f>
        <v>31.9678940661213</v>
      </c>
      <c r="G10887" s="6" t="n">
        <f aca="false">Seg!G15*(al_lic+Sens!G10885)</f>
        <v>33.1937184472398</v>
      </c>
      <c r="H10887" s="6" t="n">
        <f aca="false">Seg!H15*(al_lic+Sens!H10885)</f>
        <v>34.3439380840055</v>
      </c>
      <c r="I10887" s="6" t="n">
        <f aca="false">Seg!I15*(al_lic+Sens!I10885)</f>
        <v>35.4022023072784</v>
      </c>
      <c r="J10887" s="6" t="n">
        <f aca="false">Seg!J15*(al_lic+Sens!J10885)</f>
        <v>36.3410576398918</v>
      </c>
      <c r="K10887" s="6" t="n">
        <f aca="false">Seg!K15*(al_lic+Sens!K10885)</f>
        <v>37.1276868757058</v>
      </c>
    </row>
    <row r="10888" customFormat="false" ht="17.15" hidden="false" customHeight="false" outlineLevel="0" collapsed="false">
      <c r="A10888" s="0" t="s">
        <v>951</v>
      </c>
      <c r="B10888" s="0" t="s">
        <v>95</v>
      </c>
      <c r="F10888" s="6" t="n">
        <f aca="false">Seg!F17*(al_ind+Sens!F10885)</f>
        <v>8.23142235288747</v>
      </c>
      <c r="G10888" s="6" t="n">
        <f aca="false">Seg!G17*(al_ind+Sens!G10885)</f>
        <v>8.92125445211874</v>
      </c>
      <c r="H10888" s="6" t="n">
        <f aca="false">Seg!H17*(al_ind+Sens!H10885)</f>
        <v>9.65645689966252</v>
      </c>
      <c r="I10888" s="6" t="n">
        <f aca="false">Seg!I17*(al_ind+Sens!I10885)</f>
        <v>10.4359305133559</v>
      </c>
      <c r="J10888" s="6" t="n">
        <f aca="false">Seg!J17*(al_ind+Sens!J10885)</f>
        <v>11.2496615107155</v>
      </c>
      <c r="K10888" s="6" t="n">
        <f aca="false">Seg!K17*(al_ind+Sens!K10885)</f>
        <v>12.0805802325565</v>
      </c>
    </row>
    <row r="10889" customFormat="false" ht="17.15" hidden="false" customHeight="false" outlineLevel="0" collapsed="false">
      <c r="A10889" s="0" t="s">
        <v>952</v>
      </c>
      <c r="B10889" s="0" t="s">
        <v>95</v>
      </c>
      <c r="F10889" s="6" t="n">
        <f aca="false">Seg!F19*(al_fro+Sens!F10885)</f>
        <v>3.23991673698178</v>
      </c>
      <c r="G10889" s="6" t="n">
        <f aca="false">Seg!G19*(al_fro+Sens!G10885)</f>
        <v>3.42523427012141</v>
      </c>
      <c r="H10889" s="6" t="n">
        <f aca="false">Seg!H19*(al_fro+Sens!H10885)</f>
        <v>3.63888347669114</v>
      </c>
      <c r="I10889" s="6" t="n">
        <f aca="false">Seg!I19*(al_fro+Sens!I10885)</f>
        <v>3.88382859986432</v>
      </c>
      <c r="J10889" s="6" t="n">
        <f aca="false">Seg!J19*(al_fro+Sens!J10885)</f>
        <v>4.16055715035227</v>
      </c>
      <c r="K10889" s="6" t="n">
        <f aca="false">Seg!K19*(al_fro+Sens!K10885)</f>
        <v>4.46786282583631</v>
      </c>
    </row>
    <row r="10890" customFormat="false" ht="17.15" hidden="false" customHeight="false" outlineLevel="0" collapsed="false">
      <c r="A10890" s="0" t="s">
        <v>953</v>
      </c>
      <c r="B10890" s="0" t="s">
        <v>95</v>
      </c>
      <c r="F10890" s="6" t="n">
        <f aca="false">Seg!F22*(al_srch+Sens!F10885)</f>
        <v>10.1659255338338</v>
      </c>
      <c r="G10890" s="6" t="n">
        <f aca="false">Seg!G22*(al_srch+Sens!G10885)</f>
        <v>11.1218361064416</v>
      </c>
      <c r="H10890" s="6" t="n">
        <f aca="false">Seg!H22*(al_srch+Sens!H10885)</f>
        <v>12.1240320316325</v>
      </c>
      <c r="I10890" s="6" t="n">
        <f aca="false">Seg!I22*(al_srch+Sens!I10885)</f>
        <v>13.1651647223307</v>
      </c>
      <c r="J10890" s="6" t="n">
        <f aca="false">Seg!J22*(al_srch+Sens!J10885)</f>
        <v>14.2257207024961</v>
      </c>
      <c r="K10890" s="6" t="n">
        <f aca="false">Seg!K22*(al_srch+Sens!K10885)</f>
        <v>15.2764561092572</v>
      </c>
    </row>
    <row r="10891" customFormat="false" ht="17.15" hidden="false" customHeight="false" outlineLevel="0" collapsed="false">
      <c r="A10891" s="0" t="s">
        <v>954</v>
      </c>
      <c r="B10891" s="0" t="s">
        <v>95</v>
      </c>
      <c r="F10891" s="6" t="n">
        <f aca="false">Thesis!F26</f>
        <v>43.1278534047371</v>
      </c>
      <c r="G10891" s="6" t="n">
        <f aca="false">Thesis!G26</f>
        <v>78.4713023799053</v>
      </c>
      <c r="H10891" s="6" t="n">
        <f aca="false">Thesis!H26</f>
        <v>120.169624261219</v>
      </c>
      <c r="I10891" s="6" t="n">
        <f aca="false">Thesis!I26</f>
        <v>156.086713969963</v>
      </c>
      <c r="J10891" s="6" t="n">
        <f aca="false">Thesis!J26</f>
        <v>192.09687492465</v>
      </c>
      <c r="K10891" s="6" t="n">
        <f aca="false">Thesis!K26</f>
        <v>228.161785217179</v>
      </c>
    </row>
    <row r="10892" customFormat="false" ht="17.15" hidden="false" customHeight="false" outlineLevel="0" collapsed="false">
      <c r="A10892" s="0" t="s">
        <v>955</v>
      </c>
      <c r="B10892" s="0" t="s">
        <v>95</v>
      </c>
      <c r="F10892" s="6" t="n">
        <f aca="false">PL!F32+Thesis!F37+Sens!F10885*(Seg!F21-Thesis!F20)</f>
        <v>216.001008704281</v>
      </c>
      <c r="G10892" s="6" t="n">
        <f aca="false">PL!G32+Thesis!G37+Sens!G10885*(Seg!G21-Thesis!G20)</f>
        <v>273.190669749878</v>
      </c>
      <c r="H10892" s="6" t="n">
        <f aca="false">PL!H32+Thesis!H37+Sens!H10885*(Seg!H21-Thesis!H20)</f>
        <v>336.986209145837</v>
      </c>
      <c r="I10892" s="6" t="n">
        <f aca="false">PL!I32+Thesis!I37+Sens!I10885*(Seg!I21-Thesis!I20)</f>
        <v>393.439203291672</v>
      </c>
      <c r="J10892" s="6" t="n">
        <f aca="false">PL!J32+Thesis!J37+Sens!J10885*(Seg!J21-Thesis!J20)</f>
        <v>447.606137303559</v>
      </c>
      <c r="K10892" s="6" t="n">
        <f aca="false">PL!K32+Thesis!K37+Sens!K10885*(Seg!K21-Thesis!K20)</f>
        <v>499.903344093081</v>
      </c>
    </row>
    <row r="10893" customFormat="false" ht="17.15" hidden="false" customHeight="false" outlineLevel="0" collapsed="false">
      <c r="A10893" s="0" t="s">
        <v>956</v>
      </c>
      <c r="B10893" s="0" t="s">
        <v>95</v>
      </c>
      <c r="F10893" s="6" t="n">
        <f aca="false">Sens!F10892-Sens!F10886-Sens!F10887-Sens!F10888-Sens!F10889-Sens!F10891</f>
        <v>48.9904543427497</v>
      </c>
      <c r="G10893" s="6" t="n">
        <f aca="false">Sens!G10892-Sens!G10886-Sens!G10887-Sens!G10888-Sens!G10889-Sens!G10891</f>
        <v>55.0468329371655</v>
      </c>
      <c r="H10893" s="6" t="n">
        <f aca="false">Sens!H10892-Sens!H10886-Sens!H10887-Sens!H10888-Sens!H10889-Sens!H10891</f>
        <v>61.1936478960528</v>
      </c>
      <c r="I10893" s="6" t="n">
        <f aca="false">Sens!I10892-Sens!I10886-Sens!I10887-Sens!I10888-Sens!I10889-Sens!I10891</f>
        <v>67.2221926817336</v>
      </c>
      <c r="J10893" s="6" t="n">
        <f aca="false">Sens!J10892-Sens!J10886-Sens!J10887-Sens!J10888-Sens!J10889-Sens!J10891</f>
        <v>72.5283010505383</v>
      </c>
      <c r="K10893" s="6" t="n">
        <f aca="false">Sens!K10892-Sens!K10886-Sens!K10887-Sens!K10888-Sens!K10889-Sens!K10891</f>
        <v>76.3691979338254</v>
      </c>
    </row>
    <row r="10894" customFormat="false" ht="17.15" hidden="false" customHeight="false" outlineLevel="0" collapsed="false">
      <c r="A10894" s="0" t="s">
        <v>957</v>
      </c>
      <c r="B10894" s="0" t="s">
        <v>95</v>
      </c>
      <c r="F10894" s="6" t="n">
        <f aca="false">PL!F34+Sens!F10885*Seg!F28</f>
        <v>23.7366325885412</v>
      </c>
      <c r="G10894" s="6" t="n">
        <f aca="false">PL!G34+Sens!G10885*Seg!G28</f>
        <v>24.2488001831921</v>
      </c>
      <c r="H10894" s="6" t="n">
        <f aca="false">PL!H34+Sens!H10885*Seg!H28</f>
        <v>25.0191565857232</v>
      </c>
      <c r="I10894" s="6" t="n">
        <f aca="false">PL!I34+Sens!I10885*Seg!I28</f>
        <v>26.0222596996374</v>
      </c>
      <c r="J10894" s="6" t="n">
        <f aca="false">PL!J34+Sens!J10885*Seg!J28</f>
        <v>27.2212114824986</v>
      </c>
      <c r="K10894" s="6" t="n">
        <f aca="false">PL!K34+Sens!K10885*Seg!K28</f>
        <v>28.5733379970501</v>
      </c>
    </row>
    <row r="10895" customFormat="false" ht="17.15" hidden="false" customHeight="false" outlineLevel="0" collapsed="false">
      <c r="A10895" s="0" t="s">
        <v>958</v>
      </c>
      <c r="B10895" s="0" t="s">
        <v>95</v>
      </c>
      <c r="F10895" s="6" t="n">
        <f aca="false">(Sens!F10894-Sens!F10890)*Seg!F24/(Seg!F24+Seg!F26)</f>
        <v>7.43932943061911</v>
      </c>
      <c r="G10895" s="6" t="n">
        <f aca="false">(Sens!G10894-Sens!G10890)*Seg!G24/(Seg!G24+Seg!G26)</f>
        <v>7.06776830757547</v>
      </c>
      <c r="H10895" s="6" t="n">
        <f aca="false">(Sens!H10894-Sens!H10890)*Seg!H24/(Seg!H24+Seg!H26)</f>
        <v>6.84915463876495</v>
      </c>
      <c r="I10895" s="6" t="n">
        <f aca="false">(Sens!I10894-Sens!I10890)*Seg!I24/(Seg!I24+Seg!I26)</f>
        <v>6.76716702045722</v>
      </c>
      <c r="J10895" s="6" t="n">
        <f aca="false">(Sens!J10894-Sens!J10890)*Seg!J24/(Seg!J24+Seg!J26)</f>
        <v>6.80907960368748</v>
      </c>
      <c r="K10895" s="6" t="n">
        <f aca="false">(Sens!K10894-Sens!K10890)*Seg!K24/(Seg!K24+Seg!K26)</f>
        <v>6.96699561313494</v>
      </c>
    </row>
    <row r="10896" customFormat="false" ht="17.15" hidden="false" customHeight="false" outlineLevel="0" collapsed="false">
      <c r="A10896" s="0" t="s">
        <v>959</v>
      </c>
      <c r="B10896" s="0" t="s">
        <v>95</v>
      </c>
      <c r="F10896" s="6" t="n">
        <f aca="false">Sens!F10894-Sens!F10890-Sens!F10895</f>
        <v>6.13137762408826</v>
      </c>
      <c r="G10896" s="6" t="n">
        <f aca="false">Sens!G10894-Sens!G10890-Sens!G10895</f>
        <v>6.05919576917506</v>
      </c>
      <c r="H10896" s="6" t="n">
        <f aca="false">Sens!H10894-Sens!H10890-Sens!H10895</f>
        <v>6.04596991532572</v>
      </c>
      <c r="I10896" s="6" t="n">
        <f aca="false">Sens!I10894-Sens!I10890-Sens!I10895</f>
        <v>6.08992795684943</v>
      </c>
      <c r="J10896" s="6" t="n">
        <f aca="false">Sens!J10894-Sens!J10890-Sens!J10895</f>
        <v>6.18641117631496</v>
      </c>
      <c r="K10896" s="6" t="n">
        <f aca="false">Sens!K10894-Sens!K10890-Sens!K10895</f>
        <v>6.32988627465802</v>
      </c>
    </row>
    <row r="10897" customFormat="false" ht="17.15" hidden="false" customHeight="false" outlineLevel="0" collapsed="false">
      <c r="A10897" s="1" t="s">
        <v>960</v>
      </c>
      <c r="B10897" s="0" t="s">
        <v>95</v>
      </c>
      <c r="C10897" s="6" t="n">
        <f aca="false">(w_ntm28*Sens!G10891+(1-w_ntm28)*Sens!H10891)*m_ai*1</f>
        <v>551.711134531404</v>
      </c>
    </row>
    <row r="10898" customFormat="false" ht="17.15" hidden="false" customHeight="false" outlineLevel="0" collapsed="false">
      <c r="A10898" s="1" t="s">
        <v>961</v>
      </c>
      <c r="B10898" s="0" t="s">
        <v>95</v>
      </c>
      <c r="C10898" s="6" t="n">
        <f aca="false">(w_ntm28*Sens!G10893+(1-w_ntm28)*Sens!H10893)*m_cloud*1</f>
        <v>788.2101899926</v>
      </c>
    </row>
    <row r="10899" customFormat="false" ht="17.15" hidden="false" customHeight="false" outlineLevel="0" collapsed="false">
      <c r="A10899" s="1" t="s">
        <v>962</v>
      </c>
      <c r="B10899" s="0" t="s">
        <v>95</v>
      </c>
      <c r="C10899" s="6" t="n">
        <f aca="false">(w_ntm28*Sens!G10886+(1-w_ntm28)*Sens!H10886)*m_sw*1</f>
        <v>1064.99115242739</v>
      </c>
    </row>
    <row r="10900" customFormat="false" ht="17.15" hidden="false" customHeight="false" outlineLevel="0" collapsed="false">
      <c r="A10900" s="1" t="s">
        <v>963</v>
      </c>
      <c r="B10900" s="0" t="s">
        <v>95</v>
      </c>
      <c r="C10900" s="6" t="n">
        <f aca="false">(w_ntm28*Sens!G10887+(1-w_ntm28)*Sens!H10887)*m_sw*1</f>
        <v>362.508158970174</v>
      </c>
    </row>
    <row r="10901" customFormat="false" ht="17.15" hidden="false" customHeight="false" outlineLevel="0" collapsed="false">
      <c r="A10901" s="1" t="s">
        <v>964</v>
      </c>
      <c r="B10901" s="0" t="s">
        <v>95</v>
      </c>
      <c r="C10901" s="6" t="n">
        <f aca="false">(w_ntm28*Sens!G10888+(1-w_ntm28)*Sens!H10888)*m_sw*1</f>
        <v>98.9165124641147</v>
      </c>
    </row>
    <row r="10902" customFormat="false" ht="17.15" hidden="false" customHeight="false" outlineLevel="0" collapsed="false">
      <c r="A10902" s="1" t="s">
        <v>965</v>
      </c>
      <c r="B10902" s="0" t="s">
        <v>95</v>
      </c>
      <c r="C10902" s="6" t="n">
        <f aca="false">(w_ntm28*Sens!G10889+(1-w_ntm28)*Sens!H10889)*m_sw*1</f>
        <v>37.7384877854002</v>
      </c>
    </row>
    <row r="10903" customFormat="false" ht="17.15" hidden="false" customHeight="false" outlineLevel="0" collapsed="false">
      <c r="A10903" s="1" t="s">
        <v>966</v>
      </c>
      <c r="B10903" s="0" t="s">
        <v>95</v>
      </c>
      <c r="C10903" s="6" t="n">
        <f aca="false">(w_ntm28*Sens!G10890+(1-w_ntm28)*Sens!H10890)*m_ads*1</f>
        <v>104.271544945195</v>
      </c>
    </row>
    <row r="10904" customFormat="false" ht="17.15" hidden="false" customHeight="false" outlineLevel="0" collapsed="false">
      <c r="A10904" s="1" t="s">
        <v>967</v>
      </c>
      <c r="B10904" s="0" t="s">
        <v>95</v>
      </c>
      <c r="C10904" s="6" t="n">
        <f aca="false">(w_ntm28*Sens!G10895+(1-w_ntm28)*Sens!H10895)*m_game*1</f>
        <v>88.3732871625547</v>
      </c>
    </row>
    <row r="10905" customFormat="false" ht="17.15" hidden="false" customHeight="false" outlineLevel="0" collapsed="false">
      <c r="A10905" s="1" t="s">
        <v>968</v>
      </c>
      <c r="B10905" s="0" t="s">
        <v>95</v>
      </c>
      <c r="C10905" s="6" t="n">
        <f aca="false">(w_ntm28*Sens!G10896+(1-w_ntm28)*Sens!H10896)*m_pc*1</f>
        <v>87.614692598008</v>
      </c>
    </row>
    <row r="10906" customFormat="false" ht="17.15" hidden="false" customHeight="false" outlineLevel="0" collapsed="false">
      <c r="A10906" s="1" t="s">
        <v>969</v>
      </c>
      <c r="B10906" s="0" t="s">
        <v>95</v>
      </c>
      <c r="C10906" s="6" t="n">
        <f aca="false">Sens!$C$10897+Sens!$C$10898+Sens!$C$10899+Sens!$C$10900+Sens!$C$10901+Sens!$C$10902+Sens!$C$10903+Sens!$C$10904+Sens!$C$10905</f>
        <v>3184.33516087684</v>
      </c>
    </row>
    <row r="10907" customFormat="false" ht="17.15" hidden="false" customHeight="false" outlineLevel="0" collapsed="false">
      <c r="A10907" s="1" t="s">
        <v>903</v>
      </c>
      <c r="B10907" s="0" t="s">
        <v>95</v>
      </c>
      <c r="C10907" s="6" t="n">
        <f aca="false">CF!F36+oai_v-CF!F25</f>
        <v>115.079583119545</v>
      </c>
      <c r="L10907" s="1" t="s">
        <v>970</v>
      </c>
    </row>
    <row r="10908" customFormat="false" ht="15" hidden="false" customHeight="false" outlineLevel="0" collapsed="false">
      <c r="A10908" s="1" t="s">
        <v>904</v>
      </c>
      <c r="B10908" s="0" t="s">
        <v>73</v>
      </c>
      <c r="C10908" s="5" t="n">
        <f aca="false">(Sens!$C$10906+Sens!$C$10907)/CF!F38</f>
        <v>441.570495716861</v>
      </c>
    </row>
    <row r="10909" customFormat="false" ht="17.15" hidden="false" customHeight="false" outlineLevel="0" collapsed="false">
      <c r="A10909" s="1" t="s">
        <v>971</v>
      </c>
      <c r="B10909" s="0" t="s">
        <v>73</v>
      </c>
      <c r="C10909" s="5" t="n">
        <f aca="false">w_dcf*Sens!$C$10884+(1-w_dcf)*Sens!$C$10908</f>
        <v>364.926801400351</v>
      </c>
    </row>
    <row r="10910" customFormat="false" ht="17.15" hidden="false" customHeight="false" outlineLevel="0" collapsed="false">
      <c r="A10910" s="3" t="s">
        <v>1424</v>
      </c>
    </row>
    <row r="10911" customFormat="false" ht="15" hidden="false" customHeight="false" outlineLevel="0" collapsed="false">
      <c r="A10911" s="4" t="s">
        <v>43</v>
      </c>
      <c r="B10911" s="4" t="s">
        <v>63</v>
      </c>
      <c r="C10911" s="19" t="s">
        <v>710</v>
      </c>
      <c r="D10911" s="19" t="s">
        <v>711</v>
      </c>
      <c r="E10911" s="19" t="s">
        <v>712</v>
      </c>
      <c r="F10911" s="19" t="s">
        <v>713</v>
      </c>
      <c r="G10911" s="19" t="s">
        <v>714</v>
      </c>
      <c r="H10911" s="19" t="s">
        <v>715</v>
      </c>
      <c r="I10911" s="19" t="s">
        <v>716</v>
      </c>
      <c r="J10911" s="19" t="s">
        <v>717</v>
      </c>
      <c r="K10911" s="19" t="s">
        <v>718</v>
      </c>
      <c r="L10911" s="4" t="s">
        <v>47</v>
      </c>
    </row>
    <row r="10912" customFormat="false" ht="17.15" hidden="false" customHeight="false" outlineLevel="0" collapsed="false">
      <c r="A10912" s="1" t="s">
        <v>938</v>
      </c>
      <c r="B10912" s="1" t="s">
        <v>213</v>
      </c>
      <c r="F10912" s="34" t="n">
        <f aca="false">1-0.5</f>
        <v>0.5</v>
      </c>
      <c r="G10912" s="34" t="n">
        <f aca="false">2-0.5</f>
        <v>1.5</v>
      </c>
      <c r="H10912" s="34" t="n">
        <f aca="false">3-0.5</f>
        <v>2.5</v>
      </c>
      <c r="I10912" s="34" t="n">
        <f aca="false">4-0.5</f>
        <v>3.5</v>
      </c>
      <c r="J10912" s="34" t="n">
        <f aca="false">5-0.5</f>
        <v>4.5</v>
      </c>
      <c r="K10912" s="34" t="n">
        <f aca="false">6-0.5</f>
        <v>5.5</v>
      </c>
    </row>
    <row r="10913" customFormat="false" ht="15" hidden="false" customHeight="false" outlineLevel="0" collapsed="false">
      <c r="A10913" s="1" t="s">
        <v>939</v>
      </c>
      <c r="B10913" s="0" t="s">
        <v>182</v>
      </c>
      <c r="F10913" s="18" t="n">
        <f aca="false">1/(1+wacc)^Sens!F10912</f>
        <v>0.949601579913219</v>
      </c>
      <c r="G10913" s="18" t="n">
        <f aca="false">1/(1+wacc)^Sens!G10912</f>
        <v>0.856296729956707</v>
      </c>
      <c r="H10913" s="18" t="n">
        <f aca="false">1/(1+wacc)^Sens!H10912</f>
        <v>0.772159719660069</v>
      </c>
      <c r="I10913" s="18" t="n">
        <f aca="false">1/(1+wacc)^Sens!I10912</f>
        <v>0.696289746073958</v>
      </c>
      <c r="J10913" s="18" t="n">
        <f aca="false">1/(1+wacc)^Sens!J10912</f>
        <v>0.627874516299776</v>
      </c>
      <c r="K10913" s="18" t="n">
        <f aca="false">1/(1+wacc)^Sens!K10912</f>
        <v>0.566181550771831</v>
      </c>
    </row>
    <row r="10914" customFormat="false" ht="15" hidden="false" customHeight="false" outlineLevel="0" collapsed="false">
      <c r="A10914" s="1" t="s">
        <v>940</v>
      </c>
      <c r="B10914" s="0" t="s">
        <v>95</v>
      </c>
      <c r="F10914" s="6" t="n">
        <f aca="false">CF!F55*Sens!F10913</f>
        <v>1.14965940819235</v>
      </c>
      <c r="G10914" s="6" t="n">
        <f aca="false">CF!G55*Sens!G10913</f>
        <v>27.1570491091597</v>
      </c>
      <c r="H10914" s="6" t="n">
        <f aca="false">CF!H55*Sens!H10913</f>
        <v>54.4781094985992</v>
      </c>
      <c r="I10914" s="6" t="n">
        <f aca="false">CF!I55*Sens!I10913</f>
        <v>57.7826568404409</v>
      </c>
      <c r="J10914" s="6" t="n">
        <f aca="false">CF!J55*Sens!J10913</f>
        <v>68.7164221032162</v>
      </c>
      <c r="K10914" s="6" t="n">
        <f aca="false">CF!K55*Sens!K10913</f>
        <v>59.7900961252081</v>
      </c>
    </row>
    <row r="10915" customFormat="false" ht="17.15" hidden="false" customHeight="false" outlineLevel="0" collapsed="false">
      <c r="A10915" s="1" t="s">
        <v>941</v>
      </c>
      <c r="B10915" s="0" t="s">
        <v>95</v>
      </c>
      <c r="C10915" s="6" t="n">
        <f aca="false">SUM(Sens!F10914:K10914)</f>
        <v>269.073993084816</v>
      </c>
    </row>
    <row r="10916" customFormat="false" ht="17.15" hidden="false" customHeight="false" outlineLevel="0" collapsed="false">
      <c r="A10916" s="1" t="s">
        <v>942</v>
      </c>
      <c r="B10916" s="0" t="s">
        <v>95</v>
      </c>
      <c r="C10916" s="6" t="n">
        <f aca="false">PL!K70*(1+g_tv_hi)*(1-tax_f)</f>
        <v>218.998525602719</v>
      </c>
    </row>
    <row r="10917" customFormat="false" ht="17.15" hidden="false" customHeight="false" outlineLevel="0" collapsed="false">
      <c r="A10917" s="1" t="s">
        <v>943</v>
      </c>
      <c r="B10917" s="0" t="s">
        <v>95</v>
      </c>
      <c r="C10917" s="6" t="n">
        <f aca="false">Sens!$C$10916*(1-g_tv_hi/(wacc+ronic_prem))</f>
        <v>138.604967743143</v>
      </c>
    </row>
    <row r="10918" customFormat="false" ht="17.15" hidden="false" customHeight="false" outlineLevel="0" collapsed="false">
      <c r="A10918" s="1" t="s">
        <v>944</v>
      </c>
      <c r="B10918" s="0" t="s">
        <v>95</v>
      </c>
      <c r="C10918" s="6" t="n">
        <f aca="false">Sens!$C$10917/(wacc-g_tv_hi)</f>
        <v>2009.83894648941</v>
      </c>
    </row>
    <row r="10919" customFormat="false" ht="15" hidden="false" customHeight="false" outlineLevel="0" collapsed="false">
      <c r="A10919" s="1" t="s">
        <v>945</v>
      </c>
      <c r="B10919" s="0" t="s">
        <v>95</v>
      </c>
      <c r="C10919" s="6" t="n">
        <f aca="false">Sens!$C$10918/(1+wacc)^6</f>
        <v>1080.58366929268</v>
      </c>
    </row>
    <row r="10920" customFormat="false" ht="17.15" hidden="false" customHeight="false" outlineLevel="0" collapsed="false">
      <c r="A10920" s="0" t="s">
        <v>877</v>
      </c>
      <c r="B10920" s="0" t="s">
        <v>95</v>
      </c>
      <c r="C10920" s="6" t="n">
        <f aca="false">Sens!$C$10915+Sens!$C$10919</f>
        <v>1349.6576623775</v>
      </c>
    </row>
    <row r="10921" customFormat="false" ht="15" hidden="false" customHeight="false" outlineLevel="0" collapsed="false">
      <c r="A10921" s="1" t="s">
        <v>878</v>
      </c>
      <c r="B10921" s="0" t="s">
        <v>126</v>
      </c>
      <c r="C10921" s="7" t="n">
        <f aca="false">Sens!$C$10919/Sens!$C$10920</f>
        <v>0.80063537548416</v>
      </c>
    </row>
    <row r="10922" customFormat="false" ht="17.15" hidden="false" customHeight="false" outlineLevel="0" collapsed="false">
      <c r="A10922" s="1" t="s">
        <v>946</v>
      </c>
      <c r="B10922" s="0" t="s">
        <v>95</v>
      </c>
      <c r="C10922" s="6" t="n">
        <f aca="false">Sens!$C$10920+CF!E64+oai_v</f>
        <v>1550.7646623775</v>
      </c>
    </row>
    <row r="10923" customFormat="false" ht="17.15" hidden="false" customHeight="false" outlineLevel="0" collapsed="false">
      <c r="A10923" s="0" t="s">
        <v>883</v>
      </c>
      <c r="B10923" s="0" t="s">
        <v>73</v>
      </c>
      <c r="C10923" s="5" t="n">
        <f aca="false">Sens!$C$10922/sh_dil26</f>
        <v>208.072542919294</v>
      </c>
    </row>
    <row r="10924" customFormat="false" ht="17.15" hidden="false" customHeight="false" outlineLevel="0" collapsed="false">
      <c r="A10924" s="0" t="s">
        <v>947</v>
      </c>
      <c r="B10924" s="0" t="s">
        <v>73</v>
      </c>
      <c r="C10924" s="5" t="n">
        <f aca="false">Sens!$C$10923*(1+wacc)^t_roll</f>
        <v>238.658077052966</v>
      </c>
    </row>
    <row r="10925" customFormat="false" ht="17.15" hidden="false" customHeight="false" outlineLevel="0" collapsed="false">
      <c r="A10925" s="1" t="s">
        <v>948</v>
      </c>
      <c r="B10925" s="0" t="s">
        <v>126</v>
      </c>
      <c r="F10925" s="7" t="n">
        <f aca="false">CF!F45/(Seg!F56-Thesis!F64)</f>
        <v>0.0684307874075333</v>
      </c>
      <c r="G10925" s="7" t="n">
        <f aca="false">CF!G45/(Seg!G56-Thesis!G64)</f>
        <v>0.0656456058503526</v>
      </c>
      <c r="H10925" s="7" t="n">
        <f aca="false">CF!H45/(Seg!H56-Thesis!H64)</f>
        <v>0.0641950889132003</v>
      </c>
      <c r="I10925" s="7" t="n">
        <f aca="false">CF!I45/(Seg!I56-Thesis!I64)</f>
        <v>0.063960269667854</v>
      </c>
      <c r="J10925" s="7" t="n">
        <f aca="false">CF!J45/(Seg!J56-Thesis!J64)</f>
        <v>0.0646607917002597</v>
      </c>
      <c r="K10925" s="7" t="n">
        <f aca="false">CF!K45/(Seg!K56-Thesis!K64)</f>
        <v>0.0659511546529383</v>
      </c>
    </row>
    <row r="10926" customFormat="false" ht="17.15" hidden="false" customHeight="false" outlineLevel="0" collapsed="false">
      <c r="A10926" s="0" t="s">
        <v>949</v>
      </c>
      <c r="B10926" s="0" t="s">
        <v>95</v>
      </c>
      <c r="F10926" s="6" t="n">
        <f aca="false">Seg!F41*(al_m365+Sens!F10925)</f>
        <v>79.4713323717639</v>
      </c>
      <c r="G10926" s="6" t="n">
        <f aca="false">Seg!G41*(al_m365+Sens!G10925)</f>
        <v>91.222848535282</v>
      </c>
      <c r="H10926" s="6" t="n">
        <f aca="false">Seg!H41*(al_m365+Sens!H10925)</f>
        <v>103.134459525438</v>
      </c>
      <c r="I10926" s="6" t="n">
        <f aca="false">Seg!I41*(al_m365+Sens!I10925)</f>
        <v>114.09096761677</v>
      </c>
      <c r="J10926" s="6" t="n">
        <f aca="false">Seg!J41*(al_m365+Sens!J10925)</f>
        <v>123.914507832207</v>
      </c>
      <c r="K10926" s="6" t="n">
        <f aca="false">Seg!K41*(al_m365+Sens!K10925)</f>
        <v>133.375360010951</v>
      </c>
    </row>
    <row r="10927" customFormat="false" ht="17.15" hidden="false" customHeight="false" outlineLevel="0" collapsed="false">
      <c r="A10927" s="0" t="s">
        <v>950</v>
      </c>
      <c r="B10927" s="0" t="s">
        <v>95</v>
      </c>
      <c r="F10927" s="6" t="n">
        <f aca="false">Seg!F42*(al_lic+Sens!F10925)</f>
        <v>31.9777960098625</v>
      </c>
      <c r="G10927" s="6" t="n">
        <f aca="false">Seg!G42*(al_lic+Sens!G10925)</f>
        <v>33.2184421146294</v>
      </c>
      <c r="H10927" s="6" t="n">
        <f aca="false">Seg!H42*(al_lic+Sens!H10925)</f>
        <v>34.3782467188855</v>
      </c>
      <c r="I10927" s="6" t="n">
        <f aca="false">Seg!I42*(al_lic+Sens!I10925)</f>
        <v>35.4396663788333</v>
      </c>
      <c r="J10927" s="6" t="n">
        <f aca="false">Seg!J42*(al_lic+Sens!J10925)</f>
        <v>36.377709205557</v>
      </c>
      <c r="K10927" s="6" t="n">
        <f aca="false">Seg!K42*(al_lic+Sens!K10925)</f>
        <v>37.1640354058437</v>
      </c>
    </row>
    <row r="10928" customFormat="false" ht="17.15" hidden="false" customHeight="false" outlineLevel="0" collapsed="false">
      <c r="A10928" s="0" t="s">
        <v>951</v>
      </c>
      <c r="B10928" s="0" t="s">
        <v>95</v>
      </c>
      <c r="F10928" s="6" t="n">
        <f aca="false">Seg!F44*(al_ind+Sens!F10925)</f>
        <v>8.23708828923978</v>
      </c>
      <c r="G10928" s="6" t="n">
        <f aca="false">Seg!G44*(al_ind+Sens!G10925)</f>
        <v>8.93609064049065</v>
      </c>
      <c r="H10928" s="6" t="n">
        <f aca="false">Seg!H44*(al_ind+Sens!H10925)</f>
        <v>9.67804935051386</v>
      </c>
      <c r="I10928" s="6" t="n">
        <f aca="false">Seg!I44*(al_ind+Sens!I10925)</f>
        <v>10.4606610595832</v>
      </c>
      <c r="J10928" s="6" t="n">
        <f aca="false">Seg!J44*(al_ind+Sens!J10925)</f>
        <v>11.275039839171</v>
      </c>
      <c r="K10928" s="6" t="n">
        <f aca="false">Seg!K44*(al_ind+Sens!K10925)</f>
        <v>12.106982482736</v>
      </c>
    </row>
    <row r="10929" customFormat="false" ht="17.15" hidden="false" customHeight="false" outlineLevel="0" collapsed="false">
      <c r="A10929" s="0" t="s">
        <v>952</v>
      </c>
      <c r="B10929" s="0" t="s">
        <v>95</v>
      </c>
      <c r="F10929" s="6" t="n">
        <f aca="false">Seg!F46*(al_fro+Sens!F10925)</f>
        <v>3.24214686942203</v>
      </c>
      <c r="G10929" s="6" t="n">
        <f aca="false">Seg!G46*(al_fro+Sens!G10925)</f>
        <v>3.43093048931594</v>
      </c>
      <c r="H10929" s="6" t="n">
        <f aca="false">Seg!H46*(al_fro+Sens!H10925)</f>
        <v>3.6470202512287</v>
      </c>
      <c r="I10929" s="6" t="n">
        <f aca="false">Seg!I46*(al_fro+Sens!I10925)</f>
        <v>3.89303230264912</v>
      </c>
      <c r="J10929" s="6" t="n">
        <f aca="false">Seg!J46*(al_fro+Sens!J10925)</f>
        <v>4.16994303150246</v>
      </c>
      <c r="K10929" s="6" t="n">
        <f aca="false">Seg!K46*(al_fro+Sens!K10925)</f>
        <v>4.47762739258926</v>
      </c>
    </row>
    <row r="10930" customFormat="false" ht="17.15" hidden="false" customHeight="false" outlineLevel="0" collapsed="false">
      <c r="A10930" s="0" t="s">
        <v>953</v>
      </c>
      <c r="B10930" s="0" t="s">
        <v>95</v>
      </c>
      <c r="F10930" s="6" t="n">
        <f aca="false">Seg!F49*(al_srch+Sens!F10925)</f>
        <v>10.1729230470907</v>
      </c>
      <c r="G10930" s="6" t="n">
        <f aca="false">Seg!G49*(al_srch+Sens!G10925)</f>
        <v>11.1403318971852</v>
      </c>
      <c r="H10930" s="6" t="n">
        <f aca="false">Seg!H49*(al_srch+Sens!H10925)</f>
        <v>12.1511421371799</v>
      </c>
      <c r="I10930" s="6" t="n">
        <f aca="false">Seg!I49*(al_srch+Sens!I10925)</f>
        <v>13.1963628712968</v>
      </c>
      <c r="J10930" s="6" t="n">
        <f aca="false">Seg!J49*(al_srch+Sens!J10925)</f>
        <v>14.2578127803031</v>
      </c>
      <c r="K10930" s="6" t="n">
        <f aca="false">Seg!K49*(al_srch+Sens!K10925)</f>
        <v>15.3098429837522</v>
      </c>
    </row>
    <row r="10931" customFormat="false" ht="17.15" hidden="false" customHeight="false" outlineLevel="0" collapsed="false">
      <c r="A10931" s="0" t="s">
        <v>954</v>
      </c>
      <c r="B10931" s="0" t="s">
        <v>95</v>
      </c>
      <c r="F10931" s="6" t="n">
        <f aca="false">Thesis!F70</f>
        <v>39.4594407491938</v>
      </c>
      <c r="G10931" s="6" t="n">
        <f aca="false">Thesis!G70</f>
        <v>66.5527545578061</v>
      </c>
      <c r="H10931" s="6" t="n">
        <f aca="false">Thesis!H70</f>
        <v>95.219644983859</v>
      </c>
      <c r="I10931" s="6" t="n">
        <f aca="false">Thesis!I70</f>
        <v>124.031840462493</v>
      </c>
      <c r="J10931" s="6" t="n">
        <f aca="false">Thesis!J70</f>
        <v>152.919994097909</v>
      </c>
      <c r="K10931" s="6" t="n">
        <f aca="false">Thesis!K70</f>
        <v>181.852830263848</v>
      </c>
    </row>
    <row r="10932" customFormat="false" ht="17.15" hidden="false" customHeight="false" outlineLevel="0" collapsed="false">
      <c r="A10932" s="0" t="s">
        <v>955</v>
      </c>
      <c r="B10932" s="0" t="s">
        <v>95</v>
      </c>
      <c r="F10932" s="6" t="n">
        <f aca="false">PL!F67+Thesis!F81+Sens!F10925*(Seg!F48-Thesis!F64)</f>
        <v>211.444651350023</v>
      </c>
      <c r="G10932" s="6" t="n">
        <f aca="false">PL!G67+Thesis!G81+Sens!G10925*(Seg!G48-Thesis!G64)</f>
        <v>258.603564397354</v>
      </c>
      <c r="H10932" s="6" t="n">
        <f aca="false">PL!H67+Thesis!H81+Sens!H10925*(Seg!H48-Thesis!H64)</f>
        <v>307.569865351584</v>
      </c>
      <c r="I10932" s="6" t="n">
        <f aca="false">PL!I67+Thesis!I81+Sens!I10925*(Seg!I48-Thesis!I64)</f>
        <v>355.542793549845</v>
      </c>
      <c r="J10932" s="6" t="n">
        <f aca="false">PL!J67+Thesis!J81+Sens!J10925*(Seg!J48-Thesis!J64)</f>
        <v>401.64028415844</v>
      </c>
      <c r="K10932" s="6" t="n">
        <f aca="false">PL!K67+Thesis!K81+Sens!K10925*(Seg!K48-Thesis!K64)</f>
        <v>445.850798387254</v>
      </c>
    </row>
    <row r="10933" customFormat="false" ht="17.15" hidden="false" customHeight="false" outlineLevel="0" collapsed="false">
      <c r="A10933" s="0" t="s">
        <v>956</v>
      </c>
      <c r="B10933" s="0" t="s">
        <v>95</v>
      </c>
      <c r="F10933" s="6" t="n">
        <f aca="false">Sens!F10932-Sens!F10926-Sens!F10927-Sens!F10928-Sens!F10929-Sens!F10931</f>
        <v>49.0568470605414</v>
      </c>
      <c r="G10933" s="6" t="n">
        <f aca="false">Sens!G10932-Sens!G10926-Sens!G10927-Sens!G10928-Sens!G10929-Sens!G10931</f>
        <v>55.2424980598302</v>
      </c>
      <c r="H10933" s="6" t="n">
        <f aca="false">Sens!H10932-Sens!H10926-Sens!H10927-Sens!H10928-Sens!H10929-Sens!H10931</f>
        <v>61.5124445216581</v>
      </c>
      <c r="I10933" s="6" t="n">
        <f aca="false">Sens!I10932-Sens!I10926-Sens!I10927-Sens!I10928-Sens!I10929-Sens!I10931</f>
        <v>67.6266257295162</v>
      </c>
      <c r="J10933" s="6" t="n">
        <f aca="false">Sens!J10932-Sens!J10926-Sens!J10927-Sens!J10928-Sens!J10929-Sens!J10931</f>
        <v>72.9830901520934</v>
      </c>
      <c r="K10933" s="6" t="n">
        <f aca="false">Sens!K10932-Sens!K10926-Sens!K10927-Sens!K10928-Sens!K10929-Sens!K10931</f>
        <v>76.8739628312856</v>
      </c>
    </row>
    <row r="10934" customFormat="false" ht="17.15" hidden="false" customHeight="false" outlineLevel="0" collapsed="false">
      <c r="A10934" s="0" t="s">
        <v>957</v>
      </c>
      <c r="B10934" s="0" t="s">
        <v>95</v>
      </c>
      <c r="F10934" s="6" t="n">
        <f aca="false">PL!F69+Sens!F10925*Seg!F55</f>
        <v>23.7531412609386</v>
      </c>
      <c r="G10934" s="6" t="n">
        <f aca="false">PL!G69+Sens!G10925*Seg!G55</f>
        <v>24.289549634664</v>
      </c>
      <c r="H10934" s="6" t="n">
        <f aca="false">PL!H69+Sens!H10925*Seg!H55</f>
        <v>25.0756909710291</v>
      </c>
      <c r="I10934" s="6" t="n">
        <f aca="false">PL!I69+Sens!I10925*Seg!I55</f>
        <v>26.084576762931</v>
      </c>
      <c r="J10934" s="6" t="n">
        <f aca="false">PL!J69+Sens!J10925*Seg!J55</f>
        <v>27.2832671034962</v>
      </c>
      <c r="K10934" s="6" t="n">
        <f aca="false">PL!K69+Sens!K10925*Seg!K55</f>
        <v>28.6364406758481</v>
      </c>
    </row>
    <row r="10935" customFormat="false" ht="17.15" hidden="false" customHeight="false" outlineLevel="0" collapsed="false">
      <c r="A10935" s="0" t="s">
        <v>958</v>
      </c>
      <c r="B10935" s="0" t="s">
        <v>95</v>
      </c>
      <c r="F10935" s="6" t="n">
        <f aca="false">(Sens!F10934-Sens!F10930)*Seg!F51/(Seg!F51+Seg!F53)</f>
        <v>7.4445433554226</v>
      </c>
      <c r="G10935" s="6" t="n">
        <f aca="false">(Sens!G10934-Sens!G10930)*Seg!G51/(Seg!G51+Seg!G53)</f>
        <v>7.07975003595558</v>
      </c>
      <c r="H10935" s="6" t="n">
        <f aca="false">(Sens!H10934-Sens!H10930)*Seg!H51/(Seg!H51+Seg!H53)</f>
        <v>6.86478313784268</v>
      </c>
      <c r="I10935" s="6" t="n">
        <f aca="false">(Sens!I10934-Sens!I10930)*Seg!I51/(Seg!I51+Seg!I53)</f>
        <v>6.78354606184423</v>
      </c>
      <c r="J10935" s="6" t="n">
        <f aca="false">(Sens!J10934-Sens!J10930)*Seg!J51/(Seg!J51+Seg!J53)</f>
        <v>6.82477921474853</v>
      </c>
      <c r="K10935" s="6" t="n">
        <f aca="false">(Sens!K10934-Sens!K10930)*Seg!K51/(Seg!K51+Seg!K53)</f>
        <v>6.98256541964795</v>
      </c>
    </row>
    <row r="10936" customFormat="false" ht="17.15" hidden="false" customHeight="false" outlineLevel="0" collapsed="false">
      <c r="A10936" s="0" t="s">
        <v>959</v>
      </c>
      <c r="B10936" s="0" t="s">
        <v>95</v>
      </c>
      <c r="F10936" s="6" t="n">
        <f aca="false">Sens!F10934-Sens!F10930-Sens!F10935</f>
        <v>6.1356748584253</v>
      </c>
      <c r="G10936" s="6" t="n">
        <f aca="false">Sens!G10934-Sens!G10930-Sens!G10935</f>
        <v>6.06946770152326</v>
      </c>
      <c r="H10936" s="6" t="n">
        <f aca="false">Sens!H10934-Sens!H10930-Sens!H10935</f>
        <v>6.05976569600657</v>
      </c>
      <c r="I10936" s="6" t="n">
        <f aca="false">Sens!I10934-Sens!I10930-Sens!I10935</f>
        <v>6.10466782979</v>
      </c>
      <c r="J10936" s="6" t="n">
        <f aca="false">Sens!J10934-Sens!J10930-Sens!J10935</f>
        <v>6.20067510844453</v>
      </c>
      <c r="K10936" s="6" t="n">
        <f aca="false">Sens!K10934-Sens!K10930-Sens!K10935</f>
        <v>6.34403227244794</v>
      </c>
    </row>
    <row r="10937" customFormat="false" ht="17.15" hidden="false" customHeight="false" outlineLevel="0" collapsed="false">
      <c r="A10937" s="1" t="s">
        <v>960</v>
      </c>
      <c r="B10937" s="0" t="s">
        <v>95</v>
      </c>
      <c r="C10937" s="6" t="n">
        <f aca="false">(w_ntm28*Sens!G10931+(1-w_ntm28)*Sens!H10931)*m_ai*1</f>
        <v>454.922440830797</v>
      </c>
    </row>
    <row r="10938" customFormat="false" ht="17.15" hidden="false" customHeight="false" outlineLevel="0" collapsed="false">
      <c r="A10938" s="1" t="s">
        <v>961</v>
      </c>
      <c r="B10938" s="0" t="s">
        <v>95</v>
      </c>
      <c r="C10938" s="6" t="n">
        <f aca="false">(w_ntm28*Sens!G10933+(1-w_ntm28)*Sens!H10933)*m_cloud*1</f>
        <v>791.46441330217</v>
      </c>
    </row>
    <row r="10939" customFormat="false" ht="17.15" hidden="false" customHeight="false" outlineLevel="0" collapsed="false">
      <c r="A10939" s="1" t="s">
        <v>962</v>
      </c>
      <c r="B10939" s="0" t="s">
        <v>95</v>
      </c>
      <c r="C10939" s="6" t="n">
        <f aca="false">(w_ntm28*Sens!G10926+(1-w_ntm28)*Sens!H10926)*m_sw*1</f>
        <v>1026.79623553955</v>
      </c>
    </row>
    <row r="10940" customFormat="false" ht="17.15" hidden="false" customHeight="false" outlineLevel="0" collapsed="false">
      <c r="A10940" s="1" t="s">
        <v>963</v>
      </c>
      <c r="B10940" s="0" t="s">
        <v>95</v>
      </c>
      <c r="C10940" s="6" t="n">
        <f aca="false">(w_ntm28*Sens!G10927+(1-w_ntm28)*Sens!H10927)*m_sw*1</f>
        <v>362.808640557625</v>
      </c>
    </row>
    <row r="10941" customFormat="false" ht="17.15" hidden="false" customHeight="false" outlineLevel="0" collapsed="false">
      <c r="A10941" s="1" t="s">
        <v>964</v>
      </c>
      <c r="B10941" s="0" t="s">
        <v>95</v>
      </c>
      <c r="C10941" s="6" t="n">
        <f aca="false">(w_ntm28*Sens!G10928+(1-w_ntm28)*Sens!H10928)*m_sw*1</f>
        <v>99.1003328352541</v>
      </c>
    </row>
    <row r="10942" customFormat="false" ht="17.15" hidden="false" customHeight="false" outlineLevel="0" collapsed="false">
      <c r="A10942" s="1" t="s">
        <v>965</v>
      </c>
      <c r="B10942" s="0" t="s">
        <v>95</v>
      </c>
      <c r="C10942" s="6" t="n">
        <f aca="false">(w_ntm28*Sens!G10929+(1-w_ntm28)*Sens!H10929)*m_sw*1</f>
        <v>37.8085281683974</v>
      </c>
    </row>
    <row r="10943" customFormat="false" ht="17.15" hidden="false" customHeight="false" outlineLevel="0" collapsed="false">
      <c r="A10943" s="1" t="s">
        <v>966</v>
      </c>
      <c r="B10943" s="0" t="s">
        <v>95</v>
      </c>
      <c r="C10943" s="6" t="n">
        <f aca="false">(w_ntm28*Sens!G10930+(1-w_ntm28)*Sens!H10930)*m_ads*1</f>
        <v>104.465412054013</v>
      </c>
    </row>
    <row r="10944" customFormat="false" ht="17.15" hidden="false" customHeight="false" outlineLevel="0" collapsed="false">
      <c r="A10944" s="1" t="s">
        <v>967</v>
      </c>
      <c r="B10944" s="0" t="s">
        <v>95</v>
      </c>
      <c r="C10944" s="6" t="n">
        <f aca="false">(w_ntm28*Sens!G10935+(1-w_ntm28)*Sens!H10935)*m_game*1</f>
        <v>88.5395066063557</v>
      </c>
    </row>
    <row r="10945" customFormat="false" ht="17.15" hidden="false" customHeight="false" outlineLevel="0" collapsed="false">
      <c r="A10945" s="1" t="s">
        <v>968</v>
      </c>
      <c r="B10945" s="0" t="s">
        <v>95</v>
      </c>
      <c r="C10945" s="6" t="n">
        <f aca="false">(w_ntm28*Sens!G10936+(1-w_ntm28)*Sens!H10936)*m_pc*1</f>
        <v>87.7798119250428</v>
      </c>
    </row>
    <row r="10946" customFormat="false" ht="17.15" hidden="false" customHeight="false" outlineLevel="0" collapsed="false">
      <c r="A10946" s="1" t="s">
        <v>969</v>
      </c>
      <c r="B10946" s="0" t="s">
        <v>95</v>
      </c>
      <c r="C10946" s="6" t="n">
        <f aca="false">Sens!$C$10937+Sens!$C$10938+Sens!$C$10939+Sens!$C$10940+Sens!$C$10941+Sens!$C$10942+Sens!$C$10943+Sens!$C$10944+Sens!$C$10945</f>
        <v>3053.68532181921</v>
      </c>
    </row>
    <row r="10947" customFormat="false" ht="17.15" hidden="false" customHeight="false" outlineLevel="0" collapsed="false">
      <c r="A10947" s="1" t="s">
        <v>903</v>
      </c>
      <c r="B10947" s="0" t="s">
        <v>95</v>
      </c>
      <c r="C10947" s="6" t="n">
        <f aca="false">CF!F64+oai_v-CF!F53</f>
        <v>111.253995542787</v>
      </c>
      <c r="L10947" s="1" t="s">
        <v>970</v>
      </c>
    </row>
    <row r="10948" customFormat="false" ht="15" hidden="false" customHeight="false" outlineLevel="0" collapsed="false">
      <c r="A10948" s="1" t="s">
        <v>904</v>
      </c>
      <c r="B10948" s="0" t="s">
        <v>73</v>
      </c>
      <c r="C10948" s="5" t="n">
        <f aca="false">(Sens!$C$10946+Sens!$C$10947)/CF!F66</f>
        <v>423.573249111616</v>
      </c>
    </row>
    <row r="10949" customFormat="false" ht="17.15" hidden="false" customHeight="false" outlineLevel="0" collapsed="false">
      <c r="A10949" s="1" t="s">
        <v>971</v>
      </c>
      <c r="B10949" s="0" t="s">
        <v>73</v>
      </c>
      <c r="C10949" s="5" t="n">
        <f aca="false">w_dcf*Sens!$C$10924+(1-w_dcf)*Sens!$C$10948</f>
        <v>331.115663082291</v>
      </c>
    </row>
    <row r="10950" customFormat="false" ht="17.15" hidden="false" customHeight="false" outlineLevel="0" collapsed="false">
      <c r="A10950" s="3" t="s">
        <v>1425</v>
      </c>
    </row>
    <row r="10951" customFormat="false" ht="15" hidden="false" customHeight="false" outlineLevel="0" collapsed="false">
      <c r="A10951" s="4" t="s">
        <v>43</v>
      </c>
      <c r="B10951" s="4" t="s">
        <v>63</v>
      </c>
      <c r="C10951" s="19" t="s">
        <v>710</v>
      </c>
      <c r="D10951" s="19" t="s">
        <v>711</v>
      </c>
      <c r="E10951" s="19" t="s">
        <v>712</v>
      </c>
      <c r="F10951" s="19" t="s">
        <v>713</v>
      </c>
      <c r="G10951" s="19" t="s">
        <v>714</v>
      </c>
      <c r="H10951" s="19" t="s">
        <v>715</v>
      </c>
      <c r="I10951" s="19" t="s">
        <v>716</v>
      </c>
      <c r="J10951" s="19" t="s">
        <v>717</v>
      </c>
      <c r="K10951" s="19" t="s">
        <v>718</v>
      </c>
      <c r="L10951" s="4" t="s">
        <v>47</v>
      </c>
    </row>
    <row r="10952" customFormat="false" ht="17.15" hidden="false" customHeight="false" outlineLevel="0" collapsed="false">
      <c r="A10952" s="1" t="s">
        <v>938</v>
      </c>
      <c r="B10952" s="1" t="s">
        <v>213</v>
      </c>
      <c r="F10952" s="34" t="n">
        <f aca="false">1-0.5</f>
        <v>0.5</v>
      </c>
      <c r="G10952" s="34" t="n">
        <f aca="false">2-0.5</f>
        <v>1.5</v>
      </c>
      <c r="H10952" s="34" t="n">
        <f aca="false">3-0.5</f>
        <v>2.5</v>
      </c>
      <c r="I10952" s="34" t="n">
        <f aca="false">4-0.5</f>
        <v>3.5</v>
      </c>
      <c r="J10952" s="34" t="n">
        <f aca="false">5-0.5</f>
        <v>4.5</v>
      </c>
      <c r="K10952" s="34" t="n">
        <f aca="false">6-0.5</f>
        <v>5.5</v>
      </c>
    </row>
    <row r="10953" customFormat="false" ht="15" hidden="false" customHeight="false" outlineLevel="0" collapsed="false">
      <c r="A10953" s="1" t="s">
        <v>939</v>
      </c>
      <c r="B10953" s="0" t="s">
        <v>182</v>
      </c>
      <c r="F10953" s="18" t="n">
        <f aca="false">1/(1+wacc)^Sens!F10952</f>
        <v>0.949601579913219</v>
      </c>
      <c r="G10953" s="18" t="n">
        <f aca="false">1/(1+wacc)^Sens!G10952</f>
        <v>0.856296729956707</v>
      </c>
      <c r="H10953" s="18" t="n">
        <f aca="false">1/(1+wacc)^Sens!H10952</f>
        <v>0.772159719660069</v>
      </c>
      <c r="I10953" s="18" t="n">
        <f aca="false">1/(1+wacc)^Sens!I10952</f>
        <v>0.696289746073958</v>
      </c>
      <c r="J10953" s="18" t="n">
        <f aca="false">1/(1+wacc)^Sens!J10952</f>
        <v>0.627874516299776</v>
      </c>
      <c r="K10953" s="18" t="n">
        <f aca="false">1/(1+wacc)^Sens!K10952</f>
        <v>0.566181550771831</v>
      </c>
    </row>
    <row r="10954" customFormat="false" ht="15" hidden="false" customHeight="false" outlineLevel="0" collapsed="false">
      <c r="A10954" s="1" t="s">
        <v>940</v>
      </c>
      <c r="B10954" s="0" t="s">
        <v>95</v>
      </c>
      <c r="F10954" s="6" t="n">
        <f aca="false">CF!F83*Sens!F10953</f>
        <v>-3.06653414679568</v>
      </c>
      <c r="G10954" s="6" t="n">
        <f aca="false">CF!G83*Sens!G10953</f>
        <v>15.3370464106998</v>
      </c>
      <c r="H10954" s="6" t="n">
        <f aca="false">CF!H83*Sens!H10953</f>
        <v>32.741830912959</v>
      </c>
      <c r="I10954" s="6" t="n">
        <f aca="false">CF!I83*Sens!I10953</f>
        <v>32.5345194226033</v>
      </c>
      <c r="J10954" s="6" t="n">
        <f aca="false">CF!J83*Sens!J10953</f>
        <v>41.02711694846</v>
      </c>
      <c r="K10954" s="6" t="n">
        <f aca="false">CF!K83*Sens!K10953</f>
        <v>30.3740488668364</v>
      </c>
    </row>
    <row r="10955" customFormat="false" ht="17.15" hidden="false" customHeight="false" outlineLevel="0" collapsed="false">
      <c r="A10955" s="1" t="s">
        <v>941</v>
      </c>
      <c r="B10955" s="0" t="s">
        <v>95</v>
      </c>
      <c r="C10955" s="6" t="n">
        <f aca="false">SUM(Sens!F10954:K10954)</f>
        <v>148.948028414763</v>
      </c>
    </row>
    <row r="10956" customFormat="false" ht="17.15" hidden="false" customHeight="false" outlineLevel="0" collapsed="false">
      <c r="A10956" s="1" t="s">
        <v>942</v>
      </c>
      <c r="B10956" s="0" t="s">
        <v>95</v>
      </c>
      <c r="C10956" s="6" t="n">
        <f aca="false">PL!K105*(1+g_tv_hi)*(1-tax_f)</f>
        <v>166.686149399197</v>
      </c>
    </row>
    <row r="10957" customFormat="false" ht="17.15" hidden="false" customHeight="false" outlineLevel="0" collapsed="false">
      <c r="A10957" s="1" t="s">
        <v>943</v>
      </c>
      <c r="B10957" s="0" t="s">
        <v>95</v>
      </c>
      <c r="C10957" s="6" t="n">
        <f aca="false">Sens!$C$10956*(1-g_tv_hi/(wacc+ronic_prem))</f>
        <v>105.496273534809</v>
      </c>
    </row>
    <row r="10958" customFormat="false" ht="17.15" hidden="false" customHeight="false" outlineLevel="0" collapsed="false">
      <c r="A10958" s="1" t="s">
        <v>944</v>
      </c>
      <c r="B10958" s="0" t="s">
        <v>95</v>
      </c>
      <c r="C10958" s="6" t="n">
        <f aca="false">Sens!$C$10957/(wacc-g_tv_hi)</f>
        <v>1529.74689660969</v>
      </c>
    </row>
    <row r="10959" customFormat="false" ht="15" hidden="false" customHeight="false" outlineLevel="0" collapsed="false">
      <c r="A10959" s="1" t="s">
        <v>945</v>
      </c>
      <c r="B10959" s="0" t="s">
        <v>95</v>
      </c>
      <c r="C10959" s="6" t="n">
        <f aca="false">Sens!$C$10958/(1+wacc)^6</f>
        <v>822.463669297945</v>
      </c>
    </row>
    <row r="10960" customFormat="false" ht="17.15" hidden="false" customHeight="false" outlineLevel="0" collapsed="false">
      <c r="A10960" s="0" t="s">
        <v>877</v>
      </c>
      <c r="B10960" s="0" t="s">
        <v>95</v>
      </c>
      <c r="C10960" s="6" t="n">
        <f aca="false">Sens!$C$10955+Sens!$C$10959</f>
        <v>971.411697712708</v>
      </c>
    </row>
    <row r="10961" customFormat="false" ht="15" hidden="false" customHeight="false" outlineLevel="0" collapsed="false">
      <c r="A10961" s="1" t="s">
        <v>878</v>
      </c>
      <c r="B10961" s="0" t="s">
        <v>126</v>
      </c>
      <c r="C10961" s="7" t="n">
        <f aca="false">Sens!$C$10959/Sens!$C$10960</f>
        <v>0.846668483851412</v>
      </c>
    </row>
    <row r="10962" customFormat="false" ht="17.15" hidden="false" customHeight="false" outlineLevel="0" collapsed="false">
      <c r="A10962" s="1" t="s">
        <v>946</v>
      </c>
      <c r="B10962" s="0" t="s">
        <v>95</v>
      </c>
      <c r="C10962" s="6" t="n">
        <f aca="false">Sens!$C$10960+CF!E92+oai_v</f>
        <v>1172.51869771271</v>
      </c>
    </row>
    <row r="10963" customFormat="false" ht="17.15" hidden="false" customHeight="false" outlineLevel="0" collapsed="false">
      <c r="A10963" s="0" t="s">
        <v>883</v>
      </c>
      <c r="B10963" s="0" t="s">
        <v>73</v>
      </c>
      <c r="C10963" s="5" t="n">
        <f aca="false">Sens!$C$10962/sh_dil26</f>
        <v>157.321709071878</v>
      </c>
    </row>
    <row r="10964" customFormat="false" ht="17.15" hidden="false" customHeight="false" outlineLevel="0" collapsed="false">
      <c r="A10964" s="0" t="s">
        <v>947</v>
      </c>
      <c r="B10964" s="0" t="s">
        <v>73</v>
      </c>
      <c r="C10964" s="5" t="n">
        <f aca="false">Sens!$C$10963*(1+wacc)^t_roll</f>
        <v>180.447146168361</v>
      </c>
    </row>
    <row r="10965" customFormat="false" ht="17.15" hidden="false" customHeight="false" outlineLevel="0" collapsed="false">
      <c r="A10965" s="1" t="s">
        <v>948</v>
      </c>
      <c r="B10965" s="0" t="s">
        <v>126</v>
      </c>
      <c r="F10965" s="7" t="n">
        <f aca="false">CF!F73/(Seg!F83-Thesis!F108)</f>
        <v>0.0686864325746334</v>
      </c>
      <c r="G10965" s="7" t="n">
        <f aca="false">CF!G73/(Seg!G83-Thesis!G108)</f>
        <v>0.066267001590801</v>
      </c>
      <c r="H10965" s="7" t="n">
        <f aca="false">CF!H73/(Seg!H83-Thesis!H108)</f>
        <v>0.0650366246750144</v>
      </c>
      <c r="I10965" s="7" t="n">
        <f aca="false">CF!I73/(Seg!I83-Thesis!I108)</f>
        <v>0.0648573271390164</v>
      </c>
      <c r="J10965" s="7" t="n">
        <f aca="false">CF!J73/(Seg!J83-Thesis!J108)</f>
        <v>0.0655189837669657</v>
      </c>
      <c r="K10965" s="7" t="n">
        <f aca="false">CF!K73/(Seg!K83-Thesis!K108)</f>
        <v>0.0667878921367872</v>
      </c>
    </row>
    <row r="10966" customFormat="false" ht="17.15" hidden="false" customHeight="false" outlineLevel="0" collapsed="false">
      <c r="A10966" s="0" t="s">
        <v>949</v>
      </c>
      <c r="B10966" s="0" t="s">
        <v>95</v>
      </c>
      <c r="F10966" s="6" t="n">
        <f aca="false">Seg!F68*(al_m365+Sens!F10965)</f>
        <v>78.4986969872395</v>
      </c>
      <c r="G10966" s="6" t="n">
        <f aca="false">Seg!G68*(al_m365+Sens!G10965)</f>
        <v>88.3098056906507</v>
      </c>
      <c r="H10966" s="6" t="n">
        <f aca="false">Seg!H68*(al_m365+Sens!H10965)</f>
        <v>98.2773562913015</v>
      </c>
      <c r="I10966" s="6" t="n">
        <f aca="false">Seg!I68*(al_m365+Sens!I10965)</f>
        <v>107.762753675846</v>
      </c>
      <c r="J10966" s="6" t="n">
        <f aca="false">Seg!J68*(al_m365+Sens!J10965)</f>
        <v>116.587414331333</v>
      </c>
      <c r="K10966" s="6" t="n">
        <f aca="false">Seg!K68*(al_m365+Sens!K10965)</f>
        <v>125.041394489287</v>
      </c>
    </row>
    <row r="10967" customFormat="false" ht="17.15" hidden="false" customHeight="false" outlineLevel="0" collapsed="false">
      <c r="A10967" s="0" t="s">
        <v>950</v>
      </c>
      <c r="B10967" s="0" t="s">
        <v>95</v>
      </c>
      <c r="F10967" s="6" t="n">
        <f aca="false">Seg!F69*(al_lic+Sens!F10965)</f>
        <v>31.9877845991607</v>
      </c>
      <c r="G10967" s="6" t="n">
        <f aca="false">Seg!G69*(al_lic+Sens!G10965)</f>
        <v>33.243749427372</v>
      </c>
      <c r="H10967" s="6" t="n">
        <f aca="false">Seg!H69*(al_lic+Sens!H10965)</f>
        <v>34.4137793872059</v>
      </c>
      <c r="I10967" s="6" t="n">
        <f aca="false">Seg!I69*(al_lic+Sens!I10965)</f>
        <v>35.4787240806467</v>
      </c>
      <c r="J10967" s="6" t="n">
        <f aca="false">Seg!J69*(al_lic+Sens!J10965)</f>
        <v>36.4160307520991</v>
      </c>
      <c r="K10967" s="6" t="n">
        <f aca="false">Seg!K69*(al_lic+Sens!K10965)</f>
        <v>37.2021461938459</v>
      </c>
    </row>
    <row r="10968" customFormat="false" ht="17.15" hidden="false" customHeight="false" outlineLevel="0" collapsed="false">
      <c r="A10968" s="0" t="s">
        <v>951</v>
      </c>
      <c r="B10968" s="0" t="s">
        <v>95</v>
      </c>
      <c r="F10968" s="6" t="n">
        <f aca="false">Seg!F71*(al_ind+Sens!F10965)</f>
        <v>8.24280380456612</v>
      </c>
      <c r="G10968" s="6" t="n">
        <f aca="false">Seg!G71*(al_ind+Sens!G10965)</f>
        <v>8.9512770630031</v>
      </c>
      <c r="H10968" s="6" t="n">
        <f aca="false">Seg!H71*(al_ind+Sens!H10965)</f>
        <v>9.70041215792393</v>
      </c>
      <c r="I10968" s="6" t="n">
        <f aca="false">Seg!I71*(al_ind+Sens!I10965)</f>
        <v>10.4864435829487</v>
      </c>
      <c r="J10968" s="6" t="n">
        <f aca="false">Seg!J71*(al_ind+Sens!J10965)</f>
        <v>11.3015744981253</v>
      </c>
      <c r="K10968" s="6" t="n">
        <f aca="false">Seg!K71*(al_ind+Sens!K10965)</f>
        <v>12.1346647729291</v>
      </c>
    </row>
    <row r="10969" customFormat="false" ht="17.15" hidden="false" customHeight="false" outlineLevel="0" collapsed="false">
      <c r="A10969" s="0" t="s">
        <v>952</v>
      </c>
      <c r="B10969" s="0" t="s">
        <v>95</v>
      </c>
      <c r="F10969" s="6" t="n">
        <f aca="false">Seg!F73*(al_fro+Sens!F10965)</f>
        <v>3.24439651632051</v>
      </c>
      <c r="G10969" s="6" t="n">
        <f aca="false">Seg!G73*(al_fro+Sens!G10965)</f>
        <v>3.43676117771401</v>
      </c>
      <c r="H10969" s="6" t="n">
        <f aca="false">Seg!H73*(al_fro+Sens!H10965)</f>
        <v>3.65544732248501</v>
      </c>
      <c r="I10969" s="6" t="n">
        <f aca="false">Seg!I73*(al_fro+Sens!I10965)</f>
        <v>3.90262750850979</v>
      </c>
      <c r="J10969" s="6" t="n">
        <f aca="false">Seg!J73*(al_fro+Sens!J10965)</f>
        <v>4.17975656810881</v>
      </c>
      <c r="K10969" s="6" t="n">
        <f aca="false">Seg!K73*(al_fro+Sens!K10965)</f>
        <v>4.48786536733111</v>
      </c>
    </row>
    <row r="10970" customFormat="false" ht="17.15" hidden="false" customHeight="false" outlineLevel="0" collapsed="false">
      <c r="A10970" s="0" t="s">
        <v>953</v>
      </c>
      <c r="B10970" s="0" t="s">
        <v>95</v>
      </c>
      <c r="F10970" s="6" t="n">
        <f aca="false">Seg!F76*(al_srch+Sens!F10965)</f>
        <v>10.1799817910968</v>
      </c>
      <c r="G10970" s="6" t="n">
        <f aca="false">Seg!G76*(al_srch+Sens!G10965)</f>
        <v>11.1592643133754</v>
      </c>
      <c r="H10970" s="6" t="n">
        <f aca="false">Seg!H76*(al_srch+Sens!H10965)</f>
        <v>12.1792194533398</v>
      </c>
      <c r="I10970" s="6" t="n">
        <f aca="false">Seg!I76*(al_srch+Sens!I10965)</f>
        <v>13.2288881134521</v>
      </c>
      <c r="J10970" s="6" t="n">
        <f aca="false">Seg!J76*(al_srch+Sens!J10965)</f>
        <v>14.2913670918582</v>
      </c>
      <c r="K10970" s="6" t="n">
        <f aca="false">Seg!K76*(al_srch+Sens!K10965)</f>
        <v>15.3448485284362</v>
      </c>
    </row>
    <row r="10971" customFormat="false" ht="17.15" hidden="false" customHeight="false" outlineLevel="0" collapsed="false">
      <c r="A10971" s="0" t="s">
        <v>954</v>
      </c>
      <c r="B10971" s="0" t="s">
        <v>95</v>
      </c>
      <c r="F10971" s="6" t="n">
        <f aca="false">Thesis!F114</f>
        <v>35.0573455625419</v>
      </c>
      <c r="G10971" s="6" t="n">
        <f aca="false">Thesis!G114</f>
        <v>52.2504971712871</v>
      </c>
      <c r="H10971" s="6" t="n">
        <f aca="false">Thesis!H114</f>
        <v>65.2796698510271</v>
      </c>
      <c r="I10971" s="6" t="n">
        <f aca="false">Thesis!I114</f>
        <v>85.5659922535278</v>
      </c>
      <c r="J10971" s="6" t="n">
        <f aca="false">Thesis!J114</f>
        <v>105.90773710582</v>
      </c>
      <c r="K10971" s="6" t="n">
        <f aca="false">Thesis!K114</f>
        <v>126.282084319851</v>
      </c>
    </row>
    <row r="10972" customFormat="false" ht="17.15" hidden="false" customHeight="false" outlineLevel="0" collapsed="false">
      <c r="A10972" s="0" t="s">
        <v>955</v>
      </c>
      <c r="B10972" s="0" t="s">
        <v>95</v>
      </c>
      <c r="F10972" s="6" t="n">
        <f aca="false">PL!F102+Thesis!F125+Sens!F10965*(Seg!F75-Thesis!F108)</f>
        <v>206.154467007856</v>
      </c>
      <c r="G10972" s="6" t="n">
        <f aca="false">PL!G102+Thesis!G125+Sens!G10965*(Seg!G75-Thesis!G108)</f>
        <v>241.631787518433</v>
      </c>
      <c r="H10972" s="6" t="n">
        <f aca="false">PL!H102+Thesis!H125+Sens!H10965*(Seg!H75-Thesis!H108)</f>
        <v>273.161508717552</v>
      </c>
      <c r="I10972" s="6" t="n">
        <f aca="false">PL!I102+Thesis!I125+Sens!I10965*(Seg!I75-Thesis!I108)</f>
        <v>311.232758290592</v>
      </c>
      <c r="J10972" s="6" t="n">
        <f aca="false">PL!J102+Thesis!J125+Sens!J10965*(Seg!J75-Thesis!J108)</f>
        <v>347.836227364385</v>
      </c>
      <c r="K10972" s="6" t="n">
        <f aca="false">PL!K102+Thesis!K125+Sens!K10965*(Seg!K75-Thesis!K108)</f>
        <v>382.533402332059</v>
      </c>
    </row>
    <row r="10973" customFormat="false" ht="17.15" hidden="false" customHeight="false" outlineLevel="0" collapsed="false">
      <c r="A10973" s="0" t="s">
        <v>956</v>
      </c>
      <c r="B10973" s="0" t="s">
        <v>95</v>
      </c>
      <c r="F10973" s="6" t="n">
        <f aca="false">Sens!F10972-Sens!F10966-Sens!F10967-Sens!F10968-Sens!F10969-Sens!F10971</f>
        <v>49.123439538027</v>
      </c>
      <c r="G10973" s="6" t="n">
        <f aca="false">Sens!G10972-Sens!G10966-Sens!G10967-Sens!G10968-Sens!G10969-Sens!G10971</f>
        <v>55.4396969884061</v>
      </c>
      <c r="H10973" s="6" t="n">
        <f aca="false">Sens!H10972-Sens!H10966-Sens!H10967-Sens!H10968-Sens!H10969-Sens!H10971</f>
        <v>61.8348437076084</v>
      </c>
      <c r="I10973" s="6" t="n">
        <f aca="false">Sens!I10972-Sens!I10966-Sens!I10967-Sens!I10968-Sens!I10969-Sens!I10971</f>
        <v>68.0362171891129</v>
      </c>
      <c r="J10973" s="6" t="n">
        <f aca="false">Sens!J10972-Sens!J10966-Sens!J10967-Sens!J10968-Sens!J10969-Sens!J10971</f>
        <v>73.4437141088982</v>
      </c>
      <c r="K10973" s="6" t="n">
        <f aca="false">Sens!K10972-Sens!K10966-Sens!K10967-Sens!K10968-Sens!K10969-Sens!K10971</f>
        <v>77.3852471888144</v>
      </c>
    </row>
    <row r="10974" customFormat="false" ht="17.15" hidden="false" customHeight="false" outlineLevel="0" collapsed="false">
      <c r="A10974" s="0" t="s">
        <v>957</v>
      </c>
      <c r="B10974" s="0" t="s">
        <v>95</v>
      </c>
      <c r="F10974" s="6" t="n">
        <f aca="false">PL!F104+Sens!F10965*Seg!F82</f>
        <v>23.7697943901369</v>
      </c>
      <c r="G10974" s="6" t="n">
        <f aca="false">PL!G104+Sens!G10965*Seg!G82</f>
        <v>24.331261048114</v>
      </c>
      <c r="H10974" s="6" t="n">
        <f aca="false">PL!H104+Sens!H10965*Seg!H82</f>
        <v>25.1342423406419</v>
      </c>
      <c r="I10974" s="6" t="n">
        <f aca="false">PL!I104+Sens!I10965*Seg!I82</f>
        <v>26.1495446421549</v>
      </c>
      <c r="J10974" s="6" t="n">
        <f aca="false">PL!J104+Sens!J10965*Seg!J82</f>
        <v>27.3481502080811</v>
      </c>
      <c r="K10974" s="6" t="n">
        <f aca="false">PL!K104+Sens!K10965*Seg!K82</f>
        <v>28.7026027133478</v>
      </c>
    </row>
    <row r="10975" customFormat="false" ht="17.15" hidden="false" customHeight="false" outlineLevel="0" collapsed="false">
      <c r="A10975" s="0" t="s">
        <v>958</v>
      </c>
      <c r="B10975" s="0" t="s">
        <v>95</v>
      </c>
      <c r="F10975" s="6" t="n">
        <f aca="false">(Sens!F10974-Sens!F10970)*Seg!F78/(Seg!F78+Seg!F80)</f>
        <v>7.44980290393703</v>
      </c>
      <c r="G10975" s="6" t="n">
        <f aca="false">(Sens!G10974-Sens!G10970)*Seg!G78/(Seg!G78+Seg!G80)</f>
        <v>7.09201461396229</v>
      </c>
      <c r="H10975" s="6" t="n">
        <f aca="false">(Sens!H10974-Sens!H10970)*Seg!H78/(Seg!H78+Seg!H80)</f>
        <v>6.8809692168288</v>
      </c>
      <c r="I10975" s="6" t="n">
        <f aca="false">(Sens!I10974-Sens!I10970)*Seg!I78/(Seg!I78+Seg!I80)</f>
        <v>6.80062182771623</v>
      </c>
      <c r="J10975" s="6" t="n">
        <f aca="false">(Sens!J10974-Sens!J10970)*Seg!J78/(Seg!J78+Seg!J80)</f>
        <v>6.84119415814997</v>
      </c>
      <c r="K10975" s="6" t="n">
        <f aca="false">(Sens!K10974-Sens!K10970)*Seg!K78/(Seg!K78+Seg!K80)</f>
        <v>6.99889008512966</v>
      </c>
    </row>
    <row r="10976" customFormat="false" ht="17.15" hidden="false" customHeight="false" outlineLevel="0" collapsed="false">
      <c r="A10976" s="0" t="s">
        <v>959</v>
      </c>
      <c r="B10976" s="0" t="s">
        <v>95</v>
      </c>
      <c r="F10976" s="6" t="n">
        <f aca="false">Sens!F10974-Sens!F10970-Sens!F10975</f>
        <v>6.14000969510312</v>
      </c>
      <c r="G10976" s="6" t="n">
        <f aca="false">Sens!G10974-Sens!G10970-Sens!G10975</f>
        <v>6.07998212077627</v>
      </c>
      <c r="H10976" s="6" t="n">
        <f aca="false">Sens!H10974-Sens!H10970-Sens!H10975</f>
        <v>6.07405367047327</v>
      </c>
      <c r="I10976" s="6" t="n">
        <f aca="false">Sens!I10974-Sens!I10970-Sens!I10975</f>
        <v>6.12003470098649</v>
      </c>
      <c r="J10976" s="6" t="n">
        <f aca="false">Sens!J10974-Sens!J10970-Sens!J10975</f>
        <v>6.21558895807294</v>
      </c>
      <c r="K10976" s="6" t="n">
        <f aca="false">Sens!K10974-Sens!K10970-Sens!K10975</f>
        <v>6.35886409978198</v>
      </c>
    </row>
    <row r="10977" customFormat="false" ht="17.15" hidden="false" customHeight="false" outlineLevel="0" collapsed="false">
      <c r="A10977" s="1" t="s">
        <v>960</v>
      </c>
      <c r="B10977" s="0" t="s">
        <v>95</v>
      </c>
      <c r="C10977" s="6" t="n">
        <f aca="false">(w_ntm28*Sens!G10971+(1-w_ntm28)*Sens!H10971)*m_ai*1</f>
        <v>338.776008390068</v>
      </c>
    </row>
    <row r="10978" customFormat="false" ht="17.15" hidden="false" customHeight="false" outlineLevel="0" collapsed="false">
      <c r="A10978" s="1" t="s">
        <v>961</v>
      </c>
      <c r="B10978" s="0" t="s">
        <v>95</v>
      </c>
      <c r="C10978" s="6" t="n">
        <f aca="false">(w_ntm28*Sens!G10973+(1-w_ntm28)*Sens!H10973)*m_cloud*1</f>
        <v>794.749076664173</v>
      </c>
    </row>
    <row r="10979" customFormat="false" ht="17.15" hidden="false" customHeight="false" outlineLevel="0" collapsed="false">
      <c r="A10979" s="1" t="s">
        <v>962</v>
      </c>
      <c r="B10979" s="0" t="s">
        <v>95</v>
      </c>
      <c r="C10979" s="6" t="n">
        <f aca="false">(w_ntm28*Sens!G10966+(1-w_ntm28)*Sens!H10966)*m_sw*1</f>
        <v>988.547672652094</v>
      </c>
    </row>
    <row r="10980" customFormat="false" ht="17.15" hidden="false" customHeight="false" outlineLevel="0" collapsed="false">
      <c r="A10980" s="1" t="s">
        <v>963</v>
      </c>
      <c r="B10980" s="0" t="s">
        <v>95</v>
      </c>
      <c r="C10980" s="6" t="n">
        <f aca="false">(w_ntm28*Sens!G10967+(1-w_ntm28)*Sens!H10967)*m_sw*1</f>
        <v>363.117661434282</v>
      </c>
    </row>
    <row r="10981" customFormat="false" ht="17.15" hidden="false" customHeight="false" outlineLevel="0" collapsed="false">
      <c r="A10981" s="1" t="s">
        <v>964</v>
      </c>
      <c r="B10981" s="0" t="s">
        <v>95</v>
      </c>
      <c r="C10981" s="6" t="n">
        <f aca="false">(w_ntm28*Sens!G10968+(1-w_ntm28)*Sens!H10968)*m_sw*1</f>
        <v>99.2894025954118</v>
      </c>
    </row>
    <row r="10982" customFormat="false" ht="17.15" hidden="false" customHeight="false" outlineLevel="0" collapsed="false">
      <c r="A10982" s="1" t="s">
        <v>965</v>
      </c>
      <c r="B10982" s="0" t="s">
        <v>95</v>
      </c>
      <c r="C10982" s="6" t="n">
        <f aca="false">(w_ntm28*Sens!G10969+(1-w_ntm28)*Sens!H10969)*m_sw*1</f>
        <v>37.8805648916295</v>
      </c>
    </row>
    <row r="10983" customFormat="false" ht="17.15" hidden="false" customHeight="false" outlineLevel="0" collapsed="false">
      <c r="A10983" s="1" t="s">
        <v>966</v>
      </c>
      <c r="B10983" s="0" t="s">
        <v>95</v>
      </c>
      <c r="C10983" s="6" t="n">
        <f aca="false">(w_ntm28*Sens!G10970+(1-w_ntm28)*Sens!H10970)*m_ads*1</f>
        <v>104.664819473916</v>
      </c>
    </row>
    <row r="10984" customFormat="false" ht="17.15" hidden="false" customHeight="false" outlineLevel="0" collapsed="false">
      <c r="A10984" s="1" t="s">
        <v>967</v>
      </c>
      <c r="B10984" s="0" t="s">
        <v>95</v>
      </c>
      <c r="C10984" s="6" t="n">
        <f aca="false">(w_ntm28*Sens!G10975+(1-w_ntm28)*Sens!H10975)*m_game*1</f>
        <v>88.7104201985522</v>
      </c>
    </row>
    <row r="10985" customFormat="false" ht="17.15" hidden="false" customHeight="false" outlineLevel="0" collapsed="false">
      <c r="A10985" s="1" t="s">
        <v>968</v>
      </c>
      <c r="B10985" s="0" t="s">
        <v>95</v>
      </c>
      <c r="C10985" s="6" t="n">
        <f aca="false">(w_ntm28*Sens!G10976+(1-w_ntm28)*Sens!H10976)*m_pc*1</f>
        <v>87.9496081595385</v>
      </c>
    </row>
    <row r="10986" customFormat="false" ht="17.15" hidden="false" customHeight="false" outlineLevel="0" collapsed="false">
      <c r="A10986" s="1" t="s">
        <v>969</v>
      </c>
      <c r="B10986" s="0" t="s">
        <v>95</v>
      </c>
      <c r="C10986" s="6" t="n">
        <f aca="false">Sens!$C$10977+Sens!$C$10978+Sens!$C$10979+Sens!$C$10980+Sens!$C$10981+Sens!$C$10982+Sens!$C$10983+Sens!$C$10984+Sens!$C$10985</f>
        <v>2903.68523445966</v>
      </c>
    </row>
    <row r="10987" customFormat="false" ht="17.15" hidden="false" customHeight="false" outlineLevel="0" collapsed="false">
      <c r="A10987" s="1" t="s">
        <v>903</v>
      </c>
      <c r="B10987" s="0" t="s">
        <v>95</v>
      </c>
      <c r="C10987" s="6" t="n">
        <f aca="false">CF!F92+oai_v-CF!F81</f>
        <v>106.814034990727</v>
      </c>
      <c r="L10987" s="1" t="s">
        <v>970</v>
      </c>
    </row>
    <row r="10988" customFormat="false" ht="15" hidden="false" customHeight="false" outlineLevel="0" collapsed="false">
      <c r="A10988" s="1" t="s">
        <v>904</v>
      </c>
      <c r="B10988" s="0" t="s">
        <v>73</v>
      </c>
      <c r="C10988" s="5" t="n">
        <f aca="false">(Sens!$C$10986+Sens!$C$10987)/CF!F94</f>
        <v>402.904077817237</v>
      </c>
    </row>
    <row r="10989" customFormat="false" ht="17.15" hidden="false" customHeight="false" outlineLevel="0" collapsed="false">
      <c r="A10989" s="1" t="s">
        <v>971</v>
      </c>
      <c r="B10989" s="0" t="s">
        <v>73</v>
      </c>
      <c r="C10989" s="5" t="n">
        <f aca="false">w_dcf*Sens!$C$10964+(1-w_dcf)*Sens!$C$10988</f>
        <v>291.675611992799</v>
      </c>
    </row>
    <row r="10990" customFormat="false" ht="17.15" hidden="false" customHeight="false" outlineLevel="0" collapsed="false">
      <c r="A10990" s="3" t="s">
        <v>1426</v>
      </c>
    </row>
    <row r="10991" customFormat="false" ht="15" hidden="false" customHeight="false" outlineLevel="0" collapsed="false">
      <c r="A10991" s="4" t="s">
        <v>43</v>
      </c>
      <c r="B10991" s="4" t="s">
        <v>63</v>
      </c>
      <c r="C10991" s="19" t="s">
        <v>710</v>
      </c>
      <c r="D10991" s="19" t="s">
        <v>711</v>
      </c>
      <c r="E10991" s="19" t="s">
        <v>712</v>
      </c>
      <c r="F10991" s="19" t="s">
        <v>713</v>
      </c>
      <c r="G10991" s="19" t="s">
        <v>714</v>
      </c>
      <c r="H10991" s="19" t="s">
        <v>715</v>
      </c>
      <c r="I10991" s="19" t="s">
        <v>716</v>
      </c>
      <c r="J10991" s="19" t="s">
        <v>717</v>
      </c>
      <c r="K10991" s="19" t="s">
        <v>718</v>
      </c>
      <c r="L10991" s="4" t="s">
        <v>47</v>
      </c>
    </row>
    <row r="10992" customFormat="false" ht="17.15" hidden="false" customHeight="false" outlineLevel="0" collapsed="false">
      <c r="A10992" s="1" t="s">
        <v>938</v>
      </c>
      <c r="B10992" s="1" t="s">
        <v>213</v>
      </c>
      <c r="F10992" s="34" t="n">
        <f aca="false">1-0.5</f>
        <v>0.5</v>
      </c>
      <c r="G10992" s="34" t="n">
        <f aca="false">2-0.5</f>
        <v>1.5</v>
      </c>
      <c r="H10992" s="34" t="n">
        <f aca="false">3-0.5</f>
        <v>2.5</v>
      </c>
      <c r="I10992" s="34" t="n">
        <f aca="false">4-0.5</f>
        <v>3.5</v>
      </c>
      <c r="J10992" s="34" t="n">
        <f aca="false">5-0.5</f>
        <v>4.5</v>
      </c>
      <c r="K10992" s="34" t="n">
        <f aca="false">6-0.5</f>
        <v>5.5</v>
      </c>
    </row>
    <row r="10993" customFormat="false" ht="15" hidden="false" customHeight="false" outlineLevel="0" collapsed="false">
      <c r="A10993" s="1" t="s">
        <v>939</v>
      </c>
      <c r="B10993" s="0" t="s">
        <v>182</v>
      </c>
      <c r="F10993" s="18" t="n">
        <f aca="false">1/(1+wacc)^Sens!F10992</f>
        <v>0.949601579913219</v>
      </c>
      <c r="G10993" s="18" t="n">
        <f aca="false">1/(1+wacc)^Sens!G10992</f>
        <v>0.856296729956707</v>
      </c>
      <c r="H10993" s="18" t="n">
        <f aca="false">1/(1+wacc)^Sens!H10992</f>
        <v>0.772159719660069</v>
      </c>
      <c r="I10993" s="18" t="n">
        <f aca="false">1/(1+wacc)^Sens!I10992</f>
        <v>0.696289746073958</v>
      </c>
      <c r="J10993" s="18" t="n">
        <f aca="false">1/(1+wacc)^Sens!J10992</f>
        <v>0.627874516299776</v>
      </c>
      <c r="K10993" s="18" t="n">
        <f aca="false">1/(1+wacc)^Sens!K10992</f>
        <v>0.566181550771831</v>
      </c>
    </row>
    <row r="10994" customFormat="false" ht="15" hidden="false" customHeight="false" outlineLevel="0" collapsed="false">
      <c r="A10994" s="1" t="s">
        <v>940</v>
      </c>
      <c r="B10994" s="0" t="s">
        <v>95</v>
      </c>
      <c r="F10994" s="6" t="n">
        <f aca="false">CF!F27*Sens!F10993</f>
        <v>4.78244341517868</v>
      </c>
      <c r="G10994" s="6" t="n">
        <f aca="false">CF!G27*Sens!G10993</f>
        <v>37.2678177028369</v>
      </c>
      <c r="H10994" s="6" t="n">
        <f aca="false">CF!H27*Sens!H10993</f>
        <v>72.9878911803064</v>
      </c>
      <c r="I10994" s="6" t="n">
        <f aca="false">CF!I27*Sens!I10993</f>
        <v>79.2928055259562</v>
      </c>
      <c r="J10994" s="6" t="n">
        <f aca="false">CF!J27*Sens!J10993</f>
        <v>92.2861122369862</v>
      </c>
      <c r="K10994" s="6" t="n">
        <f aca="false">CF!K27*Sens!K10993</f>
        <v>84.8150303666</v>
      </c>
    </row>
    <row r="10995" customFormat="false" ht="17.15" hidden="false" customHeight="false" outlineLevel="0" collapsed="false">
      <c r="A10995" s="1" t="s">
        <v>941</v>
      </c>
      <c r="B10995" s="0" t="s">
        <v>95</v>
      </c>
      <c r="C10995" s="6" t="n">
        <f aca="false">SUM(Sens!F10994:K10994)</f>
        <v>371.432100427865</v>
      </c>
    </row>
    <row r="10996" customFormat="false" ht="17.15" hidden="false" customHeight="false" outlineLevel="0" collapsed="false">
      <c r="A10996" s="1" t="s">
        <v>942</v>
      </c>
      <c r="B10996" s="0" t="s">
        <v>95</v>
      </c>
      <c r="C10996" s="6" t="n">
        <f aca="false">PL!K35*(1+g_tv)*(1-tax_f)</f>
        <v>261.070427358719</v>
      </c>
    </row>
    <row r="10997" customFormat="false" ht="17.15" hidden="false" customHeight="false" outlineLevel="0" collapsed="false">
      <c r="A10997" s="1" t="s">
        <v>943</v>
      </c>
      <c r="B10997" s="0" t="s">
        <v>95</v>
      </c>
      <c r="C10997" s="6" t="n">
        <f aca="false">Sens!$C$10996*(1-g_tv/(wacc+ronic_prem))</f>
        <v>189.191928007442</v>
      </c>
    </row>
    <row r="10998" customFormat="false" ht="17.15" hidden="false" customHeight="false" outlineLevel="0" collapsed="false">
      <c r="A10998" s="1" t="s">
        <v>944</v>
      </c>
      <c r="B10998" s="0" t="s">
        <v>95</v>
      </c>
      <c r="C10998" s="6" t="n">
        <f aca="false">Sens!$C$10997/(wacc-g_tv)</f>
        <v>2395.9499783759</v>
      </c>
    </row>
    <row r="10999" customFormat="false" ht="15" hidden="false" customHeight="false" outlineLevel="0" collapsed="false">
      <c r="A10999" s="1" t="s">
        <v>945</v>
      </c>
      <c r="B10999" s="0" t="s">
        <v>95</v>
      </c>
      <c r="C10999" s="6" t="n">
        <f aca="false">Sens!$C$10998/(1+wacc)^6</f>
        <v>1288.17506676214</v>
      </c>
    </row>
    <row r="11000" customFormat="false" ht="17.15" hidden="false" customHeight="false" outlineLevel="0" collapsed="false">
      <c r="A11000" s="0" t="s">
        <v>877</v>
      </c>
      <c r="B11000" s="0" t="s">
        <v>95</v>
      </c>
      <c r="C11000" s="6" t="n">
        <f aca="false">Sens!$C$10995+Sens!$C$10999</f>
        <v>1659.60716719001</v>
      </c>
    </row>
    <row r="11001" customFormat="false" ht="15" hidden="false" customHeight="false" outlineLevel="0" collapsed="false">
      <c r="A11001" s="1" t="s">
        <v>878</v>
      </c>
      <c r="B11001" s="0" t="s">
        <v>126</v>
      </c>
      <c r="C11001" s="7" t="n">
        <f aca="false">Sens!$C$10999/Sens!$C$11000</f>
        <v>0.776192759484908</v>
      </c>
    </row>
    <row r="11002" customFormat="false" ht="17.15" hidden="false" customHeight="false" outlineLevel="0" collapsed="false">
      <c r="A11002" s="1" t="s">
        <v>946</v>
      </c>
      <c r="B11002" s="0" t="s">
        <v>95</v>
      </c>
      <c r="C11002" s="6" t="n">
        <f aca="false">Sens!$C$11000+CF!E36+oai_v</f>
        <v>1860.71416719001</v>
      </c>
    </row>
    <row r="11003" customFormat="false" ht="17.15" hidden="false" customHeight="false" outlineLevel="0" collapsed="false">
      <c r="A11003" s="0" t="s">
        <v>883</v>
      </c>
      <c r="B11003" s="0" t="s">
        <v>73</v>
      </c>
      <c r="C11003" s="5" t="n">
        <f aca="false">Sens!$C$11002/sh_dil26</f>
        <v>249.659756767745</v>
      </c>
    </row>
    <row r="11004" customFormat="false" ht="17.15" hidden="false" customHeight="false" outlineLevel="0" collapsed="false">
      <c r="A11004" s="0" t="s">
        <v>947</v>
      </c>
      <c r="B11004" s="0" t="s">
        <v>73</v>
      </c>
      <c r="C11004" s="5" t="n">
        <f aca="false">Sens!$C$11003*(1+wacc)^t_roll</f>
        <v>286.358385550236</v>
      </c>
    </row>
    <row r="11005" customFormat="false" ht="17.15" hidden="false" customHeight="false" outlineLevel="0" collapsed="false">
      <c r="A11005" s="1" t="s">
        <v>948</v>
      </c>
      <c r="B11005" s="0" t="s">
        <v>126</v>
      </c>
      <c r="F11005" s="7" t="n">
        <f aca="false">CF!F17/(Seg!F29-Thesis!F20)</f>
        <v>0.0681773598226415</v>
      </c>
      <c r="G11005" s="7" t="n">
        <f aca="false">CF!G17/(Seg!G29-Thesis!G20)</f>
        <v>0.0650385409375172</v>
      </c>
      <c r="H11005" s="7" t="n">
        <f aca="false">CF!H17/(Seg!H29-Thesis!H20)</f>
        <v>0.063382542471986</v>
      </c>
      <c r="I11005" s="7" t="n">
        <f aca="false">CF!I17/(Seg!I29-Thesis!I20)</f>
        <v>0.0630998138876076</v>
      </c>
      <c r="J11005" s="7" t="n">
        <f aca="false">CF!J17/(Seg!J29-Thesis!J20)</f>
        <v>0.0638399980286975</v>
      </c>
      <c r="K11005" s="7" t="n">
        <f aca="false">CF!K17/(Seg!K29-Thesis!K20)</f>
        <v>0.0651531082402687</v>
      </c>
    </row>
    <row r="11006" customFormat="false" ht="17.15" hidden="false" customHeight="false" outlineLevel="0" collapsed="false">
      <c r="A11006" s="0" t="s">
        <v>949</v>
      </c>
      <c r="B11006" s="0" t="s">
        <v>95</v>
      </c>
      <c r="F11006" s="6" t="n">
        <f aca="false">Seg!F14*(al_m365+Sens!F11005)</f>
        <v>80.4434678008041</v>
      </c>
      <c r="G11006" s="6" t="n">
        <f aca="false">Seg!G14*(al_m365+Sens!G11005)</f>
        <v>94.1323272633269</v>
      </c>
      <c r="H11006" s="6" t="n">
        <f aca="false">Seg!H14*(al_m365+Sens!H11005)</f>
        <v>107.983658528206</v>
      </c>
      <c r="I11006" s="6" t="n">
        <f aca="false">Seg!I14*(al_m365+Sens!I11005)</f>
        <v>120.408335219477</v>
      </c>
      <c r="J11006" s="6" t="n">
        <f aca="false">Seg!J14*(al_m365+Sens!J11005)</f>
        <v>131.229685027411</v>
      </c>
      <c r="K11006" s="6" t="n">
        <f aca="false">Seg!K14*(al_m365+Sens!K11005)</f>
        <v>141.696231007978</v>
      </c>
    </row>
    <row r="11007" customFormat="false" ht="17.15" hidden="false" customHeight="false" outlineLevel="0" collapsed="false">
      <c r="A11007" s="0" t="s">
        <v>950</v>
      </c>
      <c r="B11007" s="0" t="s">
        <v>95</v>
      </c>
      <c r="F11007" s="6" t="n">
        <f aca="false">Seg!F15*(al_lic+Sens!F11005)</f>
        <v>31.9678940661213</v>
      </c>
      <c r="G11007" s="6" t="n">
        <f aca="false">Seg!G15*(al_lic+Sens!G11005)</f>
        <v>33.1937184472398</v>
      </c>
      <c r="H11007" s="6" t="n">
        <f aca="false">Seg!H15*(al_lic+Sens!H11005)</f>
        <v>34.3439380840055</v>
      </c>
      <c r="I11007" s="6" t="n">
        <f aca="false">Seg!I15*(al_lic+Sens!I11005)</f>
        <v>35.4022023072784</v>
      </c>
      <c r="J11007" s="6" t="n">
        <f aca="false">Seg!J15*(al_lic+Sens!J11005)</f>
        <v>36.3410576398918</v>
      </c>
      <c r="K11007" s="6" t="n">
        <f aca="false">Seg!K15*(al_lic+Sens!K11005)</f>
        <v>37.1276868757058</v>
      </c>
    </row>
    <row r="11008" customFormat="false" ht="17.15" hidden="false" customHeight="false" outlineLevel="0" collapsed="false">
      <c r="A11008" s="0" t="s">
        <v>951</v>
      </c>
      <c r="B11008" s="0" t="s">
        <v>95</v>
      </c>
      <c r="F11008" s="6" t="n">
        <f aca="false">Seg!F17*(al_ind+Sens!F11005)</f>
        <v>8.23142235288747</v>
      </c>
      <c r="G11008" s="6" t="n">
        <f aca="false">Seg!G17*(al_ind+Sens!G11005)</f>
        <v>8.92125445211874</v>
      </c>
      <c r="H11008" s="6" t="n">
        <f aca="false">Seg!H17*(al_ind+Sens!H11005)</f>
        <v>9.65645689966252</v>
      </c>
      <c r="I11008" s="6" t="n">
        <f aca="false">Seg!I17*(al_ind+Sens!I11005)</f>
        <v>10.4359305133559</v>
      </c>
      <c r="J11008" s="6" t="n">
        <f aca="false">Seg!J17*(al_ind+Sens!J11005)</f>
        <v>11.2496615107155</v>
      </c>
      <c r="K11008" s="6" t="n">
        <f aca="false">Seg!K17*(al_ind+Sens!K11005)</f>
        <v>12.0805802325565</v>
      </c>
    </row>
    <row r="11009" customFormat="false" ht="17.15" hidden="false" customHeight="false" outlineLevel="0" collapsed="false">
      <c r="A11009" s="0" t="s">
        <v>952</v>
      </c>
      <c r="B11009" s="0" t="s">
        <v>95</v>
      </c>
      <c r="F11009" s="6" t="n">
        <f aca="false">Seg!F19*(al_fro+Sens!F11005)</f>
        <v>3.23991673698178</v>
      </c>
      <c r="G11009" s="6" t="n">
        <f aca="false">Seg!G19*(al_fro+Sens!G11005)</f>
        <v>3.42523427012141</v>
      </c>
      <c r="H11009" s="6" t="n">
        <f aca="false">Seg!H19*(al_fro+Sens!H11005)</f>
        <v>3.63888347669114</v>
      </c>
      <c r="I11009" s="6" t="n">
        <f aca="false">Seg!I19*(al_fro+Sens!I11005)</f>
        <v>3.88382859986432</v>
      </c>
      <c r="J11009" s="6" t="n">
        <f aca="false">Seg!J19*(al_fro+Sens!J11005)</f>
        <v>4.16055715035227</v>
      </c>
      <c r="K11009" s="6" t="n">
        <f aca="false">Seg!K19*(al_fro+Sens!K11005)</f>
        <v>4.46786282583631</v>
      </c>
    </row>
    <row r="11010" customFormat="false" ht="17.15" hidden="false" customHeight="false" outlineLevel="0" collapsed="false">
      <c r="A11010" s="0" t="s">
        <v>953</v>
      </c>
      <c r="B11010" s="0" t="s">
        <v>95</v>
      </c>
      <c r="F11010" s="6" t="n">
        <f aca="false">Seg!F22*(al_srch+Sens!F11005)</f>
        <v>10.1659255338338</v>
      </c>
      <c r="G11010" s="6" t="n">
        <f aca="false">Seg!G22*(al_srch+Sens!G11005)</f>
        <v>11.1218361064416</v>
      </c>
      <c r="H11010" s="6" t="n">
        <f aca="false">Seg!H22*(al_srch+Sens!H11005)</f>
        <v>12.1240320316325</v>
      </c>
      <c r="I11010" s="6" t="n">
        <f aca="false">Seg!I22*(al_srch+Sens!I11005)</f>
        <v>13.1651647223307</v>
      </c>
      <c r="J11010" s="6" t="n">
        <f aca="false">Seg!J22*(al_srch+Sens!J11005)</f>
        <v>14.2257207024961</v>
      </c>
      <c r="K11010" s="6" t="n">
        <f aca="false">Seg!K22*(al_srch+Sens!K11005)</f>
        <v>15.2764561092572</v>
      </c>
    </row>
    <row r="11011" customFormat="false" ht="17.15" hidden="false" customHeight="false" outlineLevel="0" collapsed="false">
      <c r="A11011" s="0" t="s">
        <v>954</v>
      </c>
      <c r="B11011" s="0" t="s">
        <v>95</v>
      </c>
      <c r="F11011" s="6" t="n">
        <f aca="false">Thesis!F26</f>
        <v>43.1278534047371</v>
      </c>
      <c r="G11011" s="6" t="n">
        <f aca="false">Thesis!G26</f>
        <v>78.4713023799053</v>
      </c>
      <c r="H11011" s="6" t="n">
        <f aca="false">Thesis!H26</f>
        <v>120.169624261219</v>
      </c>
      <c r="I11011" s="6" t="n">
        <f aca="false">Thesis!I26</f>
        <v>156.086713969963</v>
      </c>
      <c r="J11011" s="6" t="n">
        <f aca="false">Thesis!J26</f>
        <v>192.09687492465</v>
      </c>
      <c r="K11011" s="6" t="n">
        <f aca="false">Thesis!K26</f>
        <v>228.161785217179</v>
      </c>
    </row>
    <row r="11012" customFormat="false" ht="17.15" hidden="false" customHeight="false" outlineLevel="0" collapsed="false">
      <c r="A11012" s="0" t="s">
        <v>955</v>
      </c>
      <c r="B11012" s="0" t="s">
        <v>95</v>
      </c>
      <c r="F11012" s="6" t="n">
        <f aca="false">PL!F32+Thesis!F37+Sens!F11005*(Seg!F21-Thesis!F20)</f>
        <v>216.001008704281</v>
      </c>
      <c r="G11012" s="6" t="n">
        <f aca="false">PL!G32+Thesis!G37+Sens!G11005*(Seg!G21-Thesis!G20)</f>
        <v>273.190669749878</v>
      </c>
      <c r="H11012" s="6" t="n">
        <f aca="false">PL!H32+Thesis!H37+Sens!H11005*(Seg!H21-Thesis!H20)</f>
        <v>336.986209145837</v>
      </c>
      <c r="I11012" s="6" t="n">
        <f aca="false">PL!I32+Thesis!I37+Sens!I11005*(Seg!I21-Thesis!I20)</f>
        <v>393.439203291672</v>
      </c>
      <c r="J11012" s="6" t="n">
        <f aca="false">PL!J32+Thesis!J37+Sens!J11005*(Seg!J21-Thesis!J20)</f>
        <v>447.606137303559</v>
      </c>
      <c r="K11012" s="6" t="n">
        <f aca="false">PL!K32+Thesis!K37+Sens!K11005*(Seg!K21-Thesis!K20)</f>
        <v>499.903344093081</v>
      </c>
    </row>
    <row r="11013" customFormat="false" ht="17.15" hidden="false" customHeight="false" outlineLevel="0" collapsed="false">
      <c r="A11013" s="0" t="s">
        <v>956</v>
      </c>
      <c r="B11013" s="0" t="s">
        <v>95</v>
      </c>
      <c r="F11013" s="6" t="n">
        <f aca="false">Sens!F11012-Sens!F11006-Sens!F11007-Sens!F11008-Sens!F11009-Sens!F11011</f>
        <v>48.9904543427497</v>
      </c>
      <c r="G11013" s="6" t="n">
        <f aca="false">Sens!G11012-Sens!G11006-Sens!G11007-Sens!G11008-Sens!G11009-Sens!G11011</f>
        <v>55.0468329371655</v>
      </c>
      <c r="H11013" s="6" t="n">
        <f aca="false">Sens!H11012-Sens!H11006-Sens!H11007-Sens!H11008-Sens!H11009-Sens!H11011</f>
        <v>61.1936478960528</v>
      </c>
      <c r="I11013" s="6" t="n">
        <f aca="false">Sens!I11012-Sens!I11006-Sens!I11007-Sens!I11008-Sens!I11009-Sens!I11011</f>
        <v>67.2221926817336</v>
      </c>
      <c r="J11013" s="6" t="n">
        <f aca="false">Sens!J11012-Sens!J11006-Sens!J11007-Sens!J11008-Sens!J11009-Sens!J11011</f>
        <v>72.5283010505383</v>
      </c>
      <c r="K11013" s="6" t="n">
        <f aca="false">Sens!K11012-Sens!K11006-Sens!K11007-Sens!K11008-Sens!K11009-Sens!K11011</f>
        <v>76.3691979338254</v>
      </c>
    </row>
    <row r="11014" customFormat="false" ht="17.15" hidden="false" customHeight="false" outlineLevel="0" collapsed="false">
      <c r="A11014" s="0" t="s">
        <v>957</v>
      </c>
      <c r="B11014" s="0" t="s">
        <v>95</v>
      </c>
      <c r="F11014" s="6" t="n">
        <f aca="false">PL!F34+Sens!F11005*Seg!F28</f>
        <v>23.7366325885412</v>
      </c>
      <c r="G11014" s="6" t="n">
        <f aca="false">PL!G34+Sens!G11005*Seg!G28</f>
        <v>24.2488001831921</v>
      </c>
      <c r="H11014" s="6" t="n">
        <f aca="false">PL!H34+Sens!H11005*Seg!H28</f>
        <v>25.0191565857232</v>
      </c>
      <c r="I11014" s="6" t="n">
        <f aca="false">PL!I34+Sens!I11005*Seg!I28</f>
        <v>26.0222596996374</v>
      </c>
      <c r="J11014" s="6" t="n">
        <f aca="false">PL!J34+Sens!J11005*Seg!J28</f>
        <v>27.2212114824986</v>
      </c>
      <c r="K11014" s="6" t="n">
        <f aca="false">PL!K34+Sens!K11005*Seg!K28</f>
        <v>28.5733379970501</v>
      </c>
    </row>
    <row r="11015" customFormat="false" ht="17.15" hidden="false" customHeight="false" outlineLevel="0" collapsed="false">
      <c r="A11015" s="0" t="s">
        <v>958</v>
      </c>
      <c r="B11015" s="0" t="s">
        <v>95</v>
      </c>
      <c r="F11015" s="6" t="n">
        <f aca="false">(Sens!F11014-Sens!F11010)*Seg!F24/(Seg!F24+Seg!F26)</f>
        <v>7.43932943061911</v>
      </c>
      <c r="G11015" s="6" t="n">
        <f aca="false">(Sens!G11014-Sens!G11010)*Seg!G24/(Seg!G24+Seg!G26)</f>
        <v>7.06776830757547</v>
      </c>
      <c r="H11015" s="6" t="n">
        <f aca="false">(Sens!H11014-Sens!H11010)*Seg!H24/(Seg!H24+Seg!H26)</f>
        <v>6.84915463876495</v>
      </c>
      <c r="I11015" s="6" t="n">
        <f aca="false">(Sens!I11014-Sens!I11010)*Seg!I24/(Seg!I24+Seg!I26)</f>
        <v>6.76716702045722</v>
      </c>
      <c r="J11015" s="6" t="n">
        <f aca="false">(Sens!J11014-Sens!J11010)*Seg!J24/(Seg!J24+Seg!J26)</f>
        <v>6.80907960368748</v>
      </c>
      <c r="K11015" s="6" t="n">
        <f aca="false">(Sens!K11014-Sens!K11010)*Seg!K24/(Seg!K24+Seg!K26)</f>
        <v>6.96699561313494</v>
      </c>
    </row>
    <row r="11016" customFormat="false" ht="17.15" hidden="false" customHeight="false" outlineLevel="0" collapsed="false">
      <c r="A11016" s="0" t="s">
        <v>959</v>
      </c>
      <c r="B11016" s="0" t="s">
        <v>95</v>
      </c>
      <c r="F11016" s="6" t="n">
        <f aca="false">Sens!F11014-Sens!F11010-Sens!F11015</f>
        <v>6.13137762408826</v>
      </c>
      <c r="G11016" s="6" t="n">
        <f aca="false">Sens!G11014-Sens!G11010-Sens!G11015</f>
        <v>6.05919576917506</v>
      </c>
      <c r="H11016" s="6" t="n">
        <f aca="false">Sens!H11014-Sens!H11010-Sens!H11015</f>
        <v>6.04596991532572</v>
      </c>
      <c r="I11016" s="6" t="n">
        <f aca="false">Sens!I11014-Sens!I11010-Sens!I11015</f>
        <v>6.08992795684943</v>
      </c>
      <c r="J11016" s="6" t="n">
        <f aca="false">Sens!J11014-Sens!J11010-Sens!J11015</f>
        <v>6.18641117631496</v>
      </c>
      <c r="K11016" s="6" t="n">
        <f aca="false">Sens!K11014-Sens!K11010-Sens!K11015</f>
        <v>6.32988627465802</v>
      </c>
    </row>
    <row r="11017" customFormat="false" ht="17.15" hidden="false" customHeight="false" outlineLevel="0" collapsed="false">
      <c r="A11017" s="1" t="s">
        <v>960</v>
      </c>
      <c r="B11017" s="0" t="s">
        <v>95</v>
      </c>
      <c r="C11017" s="6" t="n">
        <f aca="false">(w_ntm28*Sens!G11011+(1-w_ntm28)*Sens!H11011)*m_ai*0.8</f>
        <v>441.368907625123</v>
      </c>
    </row>
    <row r="11018" customFormat="false" ht="17.15" hidden="false" customHeight="false" outlineLevel="0" collapsed="false">
      <c r="A11018" s="1" t="s">
        <v>961</v>
      </c>
      <c r="B11018" s="0" t="s">
        <v>95</v>
      </c>
      <c r="C11018" s="6" t="n">
        <f aca="false">(w_ntm28*Sens!G11013+(1-w_ntm28)*Sens!H11013)*m_cloud*0.8</f>
        <v>630.56815199408</v>
      </c>
    </row>
    <row r="11019" customFormat="false" ht="17.15" hidden="false" customHeight="false" outlineLevel="0" collapsed="false">
      <c r="A11019" s="1" t="s">
        <v>962</v>
      </c>
      <c r="B11019" s="0" t="s">
        <v>95</v>
      </c>
      <c r="C11019" s="6" t="n">
        <f aca="false">(w_ntm28*Sens!G11006+(1-w_ntm28)*Sens!H11006)*m_sw*0.8</f>
        <v>851.99292194191</v>
      </c>
    </row>
    <row r="11020" customFormat="false" ht="17.15" hidden="false" customHeight="false" outlineLevel="0" collapsed="false">
      <c r="A11020" s="1" t="s">
        <v>963</v>
      </c>
      <c r="B11020" s="0" t="s">
        <v>95</v>
      </c>
      <c r="C11020" s="6" t="n">
        <f aca="false">(w_ntm28*Sens!G11007+(1-w_ntm28)*Sens!H11007)*m_sw*0.8</f>
        <v>290.006527176139</v>
      </c>
    </row>
    <row r="11021" customFormat="false" ht="17.15" hidden="false" customHeight="false" outlineLevel="0" collapsed="false">
      <c r="A11021" s="1" t="s">
        <v>964</v>
      </c>
      <c r="B11021" s="0" t="s">
        <v>95</v>
      </c>
      <c r="C11021" s="6" t="n">
        <f aca="false">(w_ntm28*Sens!G11008+(1-w_ntm28)*Sens!H11008)*m_sw*0.8</f>
        <v>79.1332099712918</v>
      </c>
    </row>
    <row r="11022" customFormat="false" ht="17.15" hidden="false" customHeight="false" outlineLevel="0" collapsed="false">
      <c r="A11022" s="1" t="s">
        <v>965</v>
      </c>
      <c r="B11022" s="0" t="s">
        <v>95</v>
      </c>
      <c r="C11022" s="6" t="n">
        <f aca="false">(w_ntm28*Sens!G11009+(1-w_ntm28)*Sens!H11009)*m_sw*0.8</f>
        <v>30.1907902283201</v>
      </c>
    </row>
    <row r="11023" customFormat="false" ht="17.15" hidden="false" customHeight="false" outlineLevel="0" collapsed="false">
      <c r="A11023" s="1" t="s">
        <v>966</v>
      </c>
      <c r="B11023" s="0" t="s">
        <v>95</v>
      </c>
      <c r="C11023" s="6" t="n">
        <f aca="false">(w_ntm28*Sens!G11010+(1-w_ntm28)*Sens!H11010)*m_ads*0.8</f>
        <v>83.4172359561557</v>
      </c>
    </row>
    <row r="11024" customFormat="false" ht="17.15" hidden="false" customHeight="false" outlineLevel="0" collapsed="false">
      <c r="A11024" s="1" t="s">
        <v>967</v>
      </c>
      <c r="B11024" s="0" t="s">
        <v>95</v>
      </c>
      <c r="C11024" s="6" t="n">
        <f aca="false">(w_ntm28*Sens!G11015+(1-w_ntm28)*Sens!H11015)*m_game*0.8</f>
        <v>70.6986297300438</v>
      </c>
    </row>
    <row r="11025" customFormat="false" ht="17.15" hidden="false" customHeight="false" outlineLevel="0" collapsed="false">
      <c r="A11025" s="1" t="s">
        <v>968</v>
      </c>
      <c r="B11025" s="0" t="s">
        <v>95</v>
      </c>
      <c r="C11025" s="6" t="n">
        <f aca="false">(w_ntm28*Sens!G11016+(1-w_ntm28)*Sens!H11016)*m_pc*0.8</f>
        <v>70.0917540784064</v>
      </c>
    </row>
    <row r="11026" customFormat="false" ht="17.15" hidden="false" customHeight="false" outlineLevel="0" collapsed="false">
      <c r="A11026" s="1" t="s">
        <v>969</v>
      </c>
      <c r="B11026" s="0" t="s">
        <v>95</v>
      </c>
      <c r="C11026" s="6" t="n">
        <f aca="false">Sens!$C$11017+Sens!$C$11018+Sens!$C$11019+Sens!$C$11020+Sens!$C$11021+Sens!$C$11022+Sens!$C$11023+Sens!$C$11024+Sens!$C$11025</f>
        <v>2547.46812870147</v>
      </c>
    </row>
    <row r="11027" customFormat="false" ht="17.15" hidden="false" customHeight="false" outlineLevel="0" collapsed="false">
      <c r="A11027" s="1" t="s">
        <v>903</v>
      </c>
      <c r="B11027" s="0" t="s">
        <v>95</v>
      </c>
      <c r="C11027" s="6" t="n">
        <f aca="false">CF!F36+oai_v-CF!F25</f>
        <v>115.079583119545</v>
      </c>
      <c r="L11027" s="1" t="s">
        <v>970</v>
      </c>
    </row>
    <row r="11028" customFormat="false" ht="15" hidden="false" customHeight="false" outlineLevel="0" collapsed="false">
      <c r="A11028" s="1" t="s">
        <v>904</v>
      </c>
      <c r="B11028" s="0" t="s">
        <v>73</v>
      </c>
      <c r="C11028" s="5" t="n">
        <f aca="false">(Sens!$C$11026+Sens!$C$11027)/CF!F38</f>
        <v>356.336685200885</v>
      </c>
    </row>
    <row r="11029" customFormat="false" ht="17.15" hidden="false" customHeight="false" outlineLevel="0" collapsed="false">
      <c r="A11029" s="1" t="s">
        <v>971</v>
      </c>
      <c r="B11029" s="0" t="s">
        <v>73</v>
      </c>
      <c r="C11029" s="5" t="n">
        <f aca="false">w_dcf*Sens!$C$11004+(1-w_dcf)*Sens!$C$11028</f>
        <v>321.347535375561</v>
      </c>
    </row>
    <row r="11030" customFormat="false" ht="17.15" hidden="false" customHeight="false" outlineLevel="0" collapsed="false">
      <c r="A11030" s="3" t="s">
        <v>1427</v>
      </c>
    </row>
    <row r="11031" customFormat="false" ht="15" hidden="false" customHeight="false" outlineLevel="0" collapsed="false">
      <c r="A11031" s="4" t="s">
        <v>43</v>
      </c>
      <c r="B11031" s="4" t="s">
        <v>63</v>
      </c>
      <c r="C11031" s="19" t="s">
        <v>710</v>
      </c>
      <c r="D11031" s="19" t="s">
        <v>711</v>
      </c>
      <c r="E11031" s="19" t="s">
        <v>712</v>
      </c>
      <c r="F11031" s="19" t="s">
        <v>713</v>
      </c>
      <c r="G11031" s="19" t="s">
        <v>714</v>
      </c>
      <c r="H11031" s="19" t="s">
        <v>715</v>
      </c>
      <c r="I11031" s="19" t="s">
        <v>716</v>
      </c>
      <c r="J11031" s="19" t="s">
        <v>717</v>
      </c>
      <c r="K11031" s="19" t="s">
        <v>718</v>
      </c>
      <c r="L11031" s="4" t="s">
        <v>47</v>
      </c>
    </row>
    <row r="11032" customFormat="false" ht="17.15" hidden="false" customHeight="false" outlineLevel="0" collapsed="false">
      <c r="A11032" s="1" t="s">
        <v>938</v>
      </c>
      <c r="B11032" s="1" t="s">
        <v>213</v>
      </c>
      <c r="F11032" s="34" t="n">
        <f aca="false">1-0.5</f>
        <v>0.5</v>
      </c>
      <c r="G11032" s="34" t="n">
        <f aca="false">2-0.5</f>
        <v>1.5</v>
      </c>
      <c r="H11032" s="34" t="n">
        <f aca="false">3-0.5</f>
        <v>2.5</v>
      </c>
      <c r="I11032" s="34" t="n">
        <f aca="false">4-0.5</f>
        <v>3.5</v>
      </c>
      <c r="J11032" s="34" t="n">
        <f aca="false">5-0.5</f>
        <v>4.5</v>
      </c>
      <c r="K11032" s="34" t="n">
        <f aca="false">6-0.5</f>
        <v>5.5</v>
      </c>
    </row>
    <row r="11033" customFormat="false" ht="15" hidden="false" customHeight="false" outlineLevel="0" collapsed="false">
      <c r="A11033" s="1" t="s">
        <v>939</v>
      </c>
      <c r="B11033" s="0" t="s">
        <v>182</v>
      </c>
      <c r="F11033" s="18" t="n">
        <f aca="false">1/(1+wacc)^Sens!F11032</f>
        <v>0.949601579913219</v>
      </c>
      <c r="G11033" s="18" t="n">
        <f aca="false">1/(1+wacc)^Sens!G11032</f>
        <v>0.856296729956707</v>
      </c>
      <c r="H11033" s="18" t="n">
        <f aca="false">1/(1+wacc)^Sens!H11032</f>
        <v>0.772159719660069</v>
      </c>
      <c r="I11033" s="18" t="n">
        <f aca="false">1/(1+wacc)^Sens!I11032</f>
        <v>0.696289746073958</v>
      </c>
      <c r="J11033" s="18" t="n">
        <f aca="false">1/(1+wacc)^Sens!J11032</f>
        <v>0.627874516299776</v>
      </c>
      <c r="K11033" s="18" t="n">
        <f aca="false">1/(1+wacc)^Sens!K11032</f>
        <v>0.566181550771831</v>
      </c>
    </row>
    <row r="11034" customFormat="false" ht="15" hidden="false" customHeight="false" outlineLevel="0" collapsed="false">
      <c r="A11034" s="1" t="s">
        <v>940</v>
      </c>
      <c r="B11034" s="0" t="s">
        <v>95</v>
      </c>
      <c r="F11034" s="6" t="n">
        <f aca="false">CF!F55*Sens!F11033</f>
        <v>1.14965940819235</v>
      </c>
      <c r="G11034" s="6" t="n">
        <f aca="false">CF!G55*Sens!G11033</f>
        <v>27.1570491091597</v>
      </c>
      <c r="H11034" s="6" t="n">
        <f aca="false">CF!H55*Sens!H11033</f>
        <v>54.4781094985992</v>
      </c>
      <c r="I11034" s="6" t="n">
        <f aca="false">CF!I55*Sens!I11033</f>
        <v>57.7826568404409</v>
      </c>
      <c r="J11034" s="6" t="n">
        <f aca="false">CF!J55*Sens!J11033</f>
        <v>68.7164221032162</v>
      </c>
      <c r="K11034" s="6" t="n">
        <f aca="false">CF!K55*Sens!K11033</f>
        <v>59.7900961252081</v>
      </c>
    </row>
    <row r="11035" customFormat="false" ht="17.15" hidden="false" customHeight="false" outlineLevel="0" collapsed="false">
      <c r="A11035" s="1" t="s">
        <v>941</v>
      </c>
      <c r="B11035" s="0" t="s">
        <v>95</v>
      </c>
      <c r="C11035" s="6" t="n">
        <f aca="false">SUM(Sens!F11034:K11034)</f>
        <v>269.073993084816</v>
      </c>
    </row>
    <row r="11036" customFormat="false" ht="17.15" hidden="false" customHeight="false" outlineLevel="0" collapsed="false">
      <c r="A11036" s="1" t="s">
        <v>942</v>
      </c>
      <c r="B11036" s="0" t="s">
        <v>95</v>
      </c>
      <c r="C11036" s="6" t="n">
        <f aca="false">PL!K70*(1+g_tv)*(1-tax_f)</f>
        <v>216.892770548847</v>
      </c>
    </row>
    <row r="11037" customFormat="false" ht="17.15" hidden="false" customHeight="false" outlineLevel="0" collapsed="false">
      <c r="A11037" s="1" t="s">
        <v>943</v>
      </c>
      <c r="B11037" s="0" t="s">
        <v>95</v>
      </c>
      <c r="C11037" s="6" t="n">
        <f aca="false">Sens!$C$11036*(1-g_tv/(wacc+ronic_prem))</f>
        <v>157.177363388729</v>
      </c>
    </row>
    <row r="11038" customFormat="false" ht="17.15" hidden="false" customHeight="false" outlineLevel="0" collapsed="false">
      <c r="A11038" s="1" t="s">
        <v>944</v>
      </c>
      <c r="B11038" s="0" t="s">
        <v>95</v>
      </c>
      <c r="C11038" s="6" t="n">
        <f aca="false">Sens!$C$11037/(wacc-g_tv)</f>
        <v>1990.51357200394</v>
      </c>
    </row>
    <row r="11039" customFormat="false" ht="15" hidden="false" customHeight="false" outlineLevel="0" collapsed="false">
      <c r="A11039" s="1" t="s">
        <v>945</v>
      </c>
      <c r="B11039" s="0" t="s">
        <v>95</v>
      </c>
      <c r="C11039" s="6" t="n">
        <f aca="false">Sens!$C$11038/(1+wacc)^6</f>
        <v>1070.19344170333</v>
      </c>
    </row>
    <row r="11040" customFormat="false" ht="17.15" hidden="false" customHeight="false" outlineLevel="0" collapsed="false">
      <c r="A11040" s="0" t="s">
        <v>877</v>
      </c>
      <c r="B11040" s="0" t="s">
        <v>95</v>
      </c>
      <c r="C11040" s="6" t="n">
        <f aca="false">Sens!$C$11035+Sens!$C$11039</f>
        <v>1339.26743478815</v>
      </c>
    </row>
    <row r="11041" customFormat="false" ht="15" hidden="false" customHeight="false" outlineLevel="0" collapsed="false">
      <c r="A11041" s="1" t="s">
        <v>878</v>
      </c>
      <c r="B11041" s="0" t="s">
        <v>126</v>
      </c>
      <c r="C11041" s="7" t="n">
        <f aca="false">Sens!$C$11039/Sens!$C$11040</f>
        <v>0.799088676319991</v>
      </c>
    </row>
    <row r="11042" customFormat="false" ht="17.15" hidden="false" customHeight="false" outlineLevel="0" collapsed="false">
      <c r="A11042" s="1" t="s">
        <v>946</v>
      </c>
      <c r="B11042" s="0" t="s">
        <v>95</v>
      </c>
      <c r="C11042" s="6" t="n">
        <f aca="false">Sens!$C$11040+CF!E64+oai_v</f>
        <v>1540.37443478815</v>
      </c>
    </row>
    <row r="11043" customFormat="false" ht="17.15" hidden="false" customHeight="false" outlineLevel="0" collapsed="false">
      <c r="A11043" s="0" t="s">
        <v>883</v>
      </c>
      <c r="B11043" s="0" t="s">
        <v>73</v>
      </c>
      <c r="C11043" s="5" t="n">
        <f aca="false">Sens!$C$11042/sh_dil26</f>
        <v>206.678442880471</v>
      </c>
    </row>
    <row r="11044" customFormat="false" ht="17.15" hidden="false" customHeight="false" outlineLevel="0" collapsed="false">
      <c r="A11044" s="0" t="s">
        <v>947</v>
      </c>
      <c r="B11044" s="0" t="s">
        <v>73</v>
      </c>
      <c r="C11044" s="5" t="n">
        <f aca="false">Sens!$C$11043*(1+wacc)^t_roll</f>
        <v>237.059051877336</v>
      </c>
    </row>
    <row r="11045" customFormat="false" ht="17.15" hidden="false" customHeight="false" outlineLevel="0" collapsed="false">
      <c r="A11045" s="1" t="s">
        <v>948</v>
      </c>
      <c r="B11045" s="0" t="s">
        <v>126</v>
      </c>
      <c r="F11045" s="7" t="n">
        <f aca="false">CF!F45/(Seg!F56-Thesis!F64)</f>
        <v>0.0684307874075333</v>
      </c>
      <c r="G11045" s="7" t="n">
        <f aca="false">CF!G45/(Seg!G56-Thesis!G64)</f>
        <v>0.0656456058503526</v>
      </c>
      <c r="H11045" s="7" t="n">
        <f aca="false">CF!H45/(Seg!H56-Thesis!H64)</f>
        <v>0.0641950889132003</v>
      </c>
      <c r="I11045" s="7" t="n">
        <f aca="false">CF!I45/(Seg!I56-Thesis!I64)</f>
        <v>0.063960269667854</v>
      </c>
      <c r="J11045" s="7" t="n">
        <f aca="false">CF!J45/(Seg!J56-Thesis!J64)</f>
        <v>0.0646607917002597</v>
      </c>
      <c r="K11045" s="7" t="n">
        <f aca="false">CF!K45/(Seg!K56-Thesis!K64)</f>
        <v>0.0659511546529383</v>
      </c>
    </row>
    <row r="11046" customFormat="false" ht="17.15" hidden="false" customHeight="false" outlineLevel="0" collapsed="false">
      <c r="A11046" s="0" t="s">
        <v>949</v>
      </c>
      <c r="B11046" s="0" t="s">
        <v>95</v>
      </c>
      <c r="F11046" s="6" t="n">
        <f aca="false">Seg!F41*(al_m365+Sens!F11045)</f>
        <v>79.4713323717639</v>
      </c>
      <c r="G11046" s="6" t="n">
        <f aca="false">Seg!G41*(al_m365+Sens!G11045)</f>
        <v>91.222848535282</v>
      </c>
      <c r="H11046" s="6" t="n">
        <f aca="false">Seg!H41*(al_m365+Sens!H11045)</f>
        <v>103.134459525438</v>
      </c>
      <c r="I11046" s="6" t="n">
        <f aca="false">Seg!I41*(al_m365+Sens!I11045)</f>
        <v>114.09096761677</v>
      </c>
      <c r="J11046" s="6" t="n">
        <f aca="false">Seg!J41*(al_m365+Sens!J11045)</f>
        <v>123.914507832207</v>
      </c>
      <c r="K11046" s="6" t="n">
        <f aca="false">Seg!K41*(al_m365+Sens!K11045)</f>
        <v>133.375360010951</v>
      </c>
    </row>
    <row r="11047" customFormat="false" ht="17.15" hidden="false" customHeight="false" outlineLevel="0" collapsed="false">
      <c r="A11047" s="0" t="s">
        <v>950</v>
      </c>
      <c r="B11047" s="0" t="s">
        <v>95</v>
      </c>
      <c r="F11047" s="6" t="n">
        <f aca="false">Seg!F42*(al_lic+Sens!F11045)</f>
        <v>31.9777960098625</v>
      </c>
      <c r="G11047" s="6" t="n">
        <f aca="false">Seg!G42*(al_lic+Sens!G11045)</f>
        <v>33.2184421146294</v>
      </c>
      <c r="H11047" s="6" t="n">
        <f aca="false">Seg!H42*(al_lic+Sens!H11045)</f>
        <v>34.3782467188855</v>
      </c>
      <c r="I11047" s="6" t="n">
        <f aca="false">Seg!I42*(al_lic+Sens!I11045)</f>
        <v>35.4396663788333</v>
      </c>
      <c r="J11047" s="6" t="n">
        <f aca="false">Seg!J42*(al_lic+Sens!J11045)</f>
        <v>36.377709205557</v>
      </c>
      <c r="K11047" s="6" t="n">
        <f aca="false">Seg!K42*(al_lic+Sens!K11045)</f>
        <v>37.1640354058437</v>
      </c>
    </row>
    <row r="11048" customFormat="false" ht="17.15" hidden="false" customHeight="false" outlineLevel="0" collapsed="false">
      <c r="A11048" s="0" t="s">
        <v>951</v>
      </c>
      <c r="B11048" s="0" t="s">
        <v>95</v>
      </c>
      <c r="F11048" s="6" t="n">
        <f aca="false">Seg!F44*(al_ind+Sens!F11045)</f>
        <v>8.23708828923978</v>
      </c>
      <c r="G11048" s="6" t="n">
        <f aca="false">Seg!G44*(al_ind+Sens!G11045)</f>
        <v>8.93609064049065</v>
      </c>
      <c r="H11048" s="6" t="n">
        <f aca="false">Seg!H44*(al_ind+Sens!H11045)</f>
        <v>9.67804935051386</v>
      </c>
      <c r="I11048" s="6" t="n">
        <f aca="false">Seg!I44*(al_ind+Sens!I11045)</f>
        <v>10.4606610595832</v>
      </c>
      <c r="J11048" s="6" t="n">
        <f aca="false">Seg!J44*(al_ind+Sens!J11045)</f>
        <v>11.275039839171</v>
      </c>
      <c r="K11048" s="6" t="n">
        <f aca="false">Seg!K44*(al_ind+Sens!K11045)</f>
        <v>12.106982482736</v>
      </c>
    </row>
    <row r="11049" customFormat="false" ht="17.15" hidden="false" customHeight="false" outlineLevel="0" collapsed="false">
      <c r="A11049" s="0" t="s">
        <v>952</v>
      </c>
      <c r="B11049" s="0" t="s">
        <v>95</v>
      </c>
      <c r="F11049" s="6" t="n">
        <f aca="false">Seg!F46*(al_fro+Sens!F11045)</f>
        <v>3.24214686942203</v>
      </c>
      <c r="G11049" s="6" t="n">
        <f aca="false">Seg!G46*(al_fro+Sens!G11045)</f>
        <v>3.43093048931594</v>
      </c>
      <c r="H11049" s="6" t="n">
        <f aca="false">Seg!H46*(al_fro+Sens!H11045)</f>
        <v>3.6470202512287</v>
      </c>
      <c r="I11049" s="6" t="n">
        <f aca="false">Seg!I46*(al_fro+Sens!I11045)</f>
        <v>3.89303230264912</v>
      </c>
      <c r="J11049" s="6" t="n">
        <f aca="false">Seg!J46*(al_fro+Sens!J11045)</f>
        <v>4.16994303150246</v>
      </c>
      <c r="K11049" s="6" t="n">
        <f aca="false">Seg!K46*(al_fro+Sens!K11045)</f>
        <v>4.47762739258926</v>
      </c>
    </row>
    <row r="11050" customFormat="false" ht="17.15" hidden="false" customHeight="false" outlineLevel="0" collapsed="false">
      <c r="A11050" s="0" t="s">
        <v>953</v>
      </c>
      <c r="B11050" s="0" t="s">
        <v>95</v>
      </c>
      <c r="F11050" s="6" t="n">
        <f aca="false">Seg!F49*(al_srch+Sens!F11045)</f>
        <v>10.1729230470907</v>
      </c>
      <c r="G11050" s="6" t="n">
        <f aca="false">Seg!G49*(al_srch+Sens!G11045)</f>
        <v>11.1403318971852</v>
      </c>
      <c r="H11050" s="6" t="n">
        <f aca="false">Seg!H49*(al_srch+Sens!H11045)</f>
        <v>12.1511421371799</v>
      </c>
      <c r="I11050" s="6" t="n">
        <f aca="false">Seg!I49*(al_srch+Sens!I11045)</f>
        <v>13.1963628712968</v>
      </c>
      <c r="J11050" s="6" t="n">
        <f aca="false">Seg!J49*(al_srch+Sens!J11045)</f>
        <v>14.2578127803031</v>
      </c>
      <c r="K11050" s="6" t="n">
        <f aca="false">Seg!K49*(al_srch+Sens!K11045)</f>
        <v>15.3098429837522</v>
      </c>
    </row>
    <row r="11051" customFormat="false" ht="17.15" hidden="false" customHeight="false" outlineLevel="0" collapsed="false">
      <c r="A11051" s="0" t="s">
        <v>954</v>
      </c>
      <c r="B11051" s="0" t="s">
        <v>95</v>
      </c>
      <c r="F11051" s="6" t="n">
        <f aca="false">Thesis!F70</f>
        <v>39.4594407491938</v>
      </c>
      <c r="G11051" s="6" t="n">
        <f aca="false">Thesis!G70</f>
        <v>66.5527545578061</v>
      </c>
      <c r="H11051" s="6" t="n">
        <f aca="false">Thesis!H70</f>
        <v>95.219644983859</v>
      </c>
      <c r="I11051" s="6" t="n">
        <f aca="false">Thesis!I70</f>
        <v>124.031840462493</v>
      </c>
      <c r="J11051" s="6" t="n">
        <f aca="false">Thesis!J70</f>
        <v>152.919994097909</v>
      </c>
      <c r="K11051" s="6" t="n">
        <f aca="false">Thesis!K70</f>
        <v>181.852830263848</v>
      </c>
    </row>
    <row r="11052" customFormat="false" ht="17.15" hidden="false" customHeight="false" outlineLevel="0" collapsed="false">
      <c r="A11052" s="0" t="s">
        <v>955</v>
      </c>
      <c r="B11052" s="0" t="s">
        <v>95</v>
      </c>
      <c r="F11052" s="6" t="n">
        <f aca="false">PL!F67+Thesis!F81+Sens!F11045*(Seg!F48-Thesis!F64)</f>
        <v>211.444651350023</v>
      </c>
      <c r="G11052" s="6" t="n">
        <f aca="false">PL!G67+Thesis!G81+Sens!G11045*(Seg!G48-Thesis!G64)</f>
        <v>258.603564397354</v>
      </c>
      <c r="H11052" s="6" t="n">
        <f aca="false">PL!H67+Thesis!H81+Sens!H11045*(Seg!H48-Thesis!H64)</f>
        <v>307.569865351584</v>
      </c>
      <c r="I11052" s="6" t="n">
        <f aca="false">PL!I67+Thesis!I81+Sens!I11045*(Seg!I48-Thesis!I64)</f>
        <v>355.542793549845</v>
      </c>
      <c r="J11052" s="6" t="n">
        <f aca="false">PL!J67+Thesis!J81+Sens!J11045*(Seg!J48-Thesis!J64)</f>
        <v>401.64028415844</v>
      </c>
      <c r="K11052" s="6" t="n">
        <f aca="false">PL!K67+Thesis!K81+Sens!K11045*(Seg!K48-Thesis!K64)</f>
        <v>445.850798387254</v>
      </c>
    </row>
    <row r="11053" customFormat="false" ht="17.15" hidden="false" customHeight="false" outlineLevel="0" collapsed="false">
      <c r="A11053" s="0" t="s">
        <v>956</v>
      </c>
      <c r="B11053" s="0" t="s">
        <v>95</v>
      </c>
      <c r="F11053" s="6" t="n">
        <f aca="false">Sens!F11052-Sens!F11046-Sens!F11047-Sens!F11048-Sens!F11049-Sens!F11051</f>
        <v>49.0568470605414</v>
      </c>
      <c r="G11053" s="6" t="n">
        <f aca="false">Sens!G11052-Sens!G11046-Sens!G11047-Sens!G11048-Sens!G11049-Sens!G11051</f>
        <v>55.2424980598302</v>
      </c>
      <c r="H11053" s="6" t="n">
        <f aca="false">Sens!H11052-Sens!H11046-Sens!H11047-Sens!H11048-Sens!H11049-Sens!H11051</f>
        <v>61.5124445216581</v>
      </c>
      <c r="I11053" s="6" t="n">
        <f aca="false">Sens!I11052-Sens!I11046-Sens!I11047-Sens!I11048-Sens!I11049-Sens!I11051</f>
        <v>67.6266257295162</v>
      </c>
      <c r="J11053" s="6" t="n">
        <f aca="false">Sens!J11052-Sens!J11046-Sens!J11047-Sens!J11048-Sens!J11049-Sens!J11051</f>
        <v>72.9830901520934</v>
      </c>
      <c r="K11053" s="6" t="n">
        <f aca="false">Sens!K11052-Sens!K11046-Sens!K11047-Sens!K11048-Sens!K11049-Sens!K11051</f>
        <v>76.8739628312856</v>
      </c>
    </row>
    <row r="11054" customFormat="false" ht="17.15" hidden="false" customHeight="false" outlineLevel="0" collapsed="false">
      <c r="A11054" s="0" t="s">
        <v>957</v>
      </c>
      <c r="B11054" s="0" t="s">
        <v>95</v>
      </c>
      <c r="F11054" s="6" t="n">
        <f aca="false">PL!F69+Sens!F11045*Seg!F55</f>
        <v>23.7531412609386</v>
      </c>
      <c r="G11054" s="6" t="n">
        <f aca="false">PL!G69+Sens!G11045*Seg!G55</f>
        <v>24.289549634664</v>
      </c>
      <c r="H11054" s="6" t="n">
        <f aca="false">PL!H69+Sens!H11045*Seg!H55</f>
        <v>25.0756909710291</v>
      </c>
      <c r="I11054" s="6" t="n">
        <f aca="false">PL!I69+Sens!I11045*Seg!I55</f>
        <v>26.084576762931</v>
      </c>
      <c r="J11054" s="6" t="n">
        <f aca="false">PL!J69+Sens!J11045*Seg!J55</f>
        <v>27.2832671034962</v>
      </c>
      <c r="K11054" s="6" t="n">
        <f aca="false">PL!K69+Sens!K11045*Seg!K55</f>
        <v>28.6364406758481</v>
      </c>
    </row>
    <row r="11055" customFormat="false" ht="17.15" hidden="false" customHeight="false" outlineLevel="0" collapsed="false">
      <c r="A11055" s="0" t="s">
        <v>958</v>
      </c>
      <c r="B11055" s="0" t="s">
        <v>95</v>
      </c>
      <c r="F11055" s="6" t="n">
        <f aca="false">(Sens!F11054-Sens!F11050)*Seg!F51/(Seg!F51+Seg!F53)</f>
        <v>7.4445433554226</v>
      </c>
      <c r="G11055" s="6" t="n">
        <f aca="false">(Sens!G11054-Sens!G11050)*Seg!G51/(Seg!G51+Seg!G53)</f>
        <v>7.07975003595558</v>
      </c>
      <c r="H11055" s="6" t="n">
        <f aca="false">(Sens!H11054-Sens!H11050)*Seg!H51/(Seg!H51+Seg!H53)</f>
        <v>6.86478313784268</v>
      </c>
      <c r="I11055" s="6" t="n">
        <f aca="false">(Sens!I11054-Sens!I11050)*Seg!I51/(Seg!I51+Seg!I53)</f>
        <v>6.78354606184423</v>
      </c>
      <c r="J11055" s="6" t="n">
        <f aca="false">(Sens!J11054-Sens!J11050)*Seg!J51/(Seg!J51+Seg!J53)</f>
        <v>6.82477921474853</v>
      </c>
      <c r="K11055" s="6" t="n">
        <f aca="false">(Sens!K11054-Sens!K11050)*Seg!K51/(Seg!K51+Seg!K53)</f>
        <v>6.98256541964795</v>
      </c>
    </row>
    <row r="11056" customFormat="false" ht="17.15" hidden="false" customHeight="false" outlineLevel="0" collapsed="false">
      <c r="A11056" s="0" t="s">
        <v>959</v>
      </c>
      <c r="B11056" s="0" t="s">
        <v>95</v>
      </c>
      <c r="F11056" s="6" t="n">
        <f aca="false">Sens!F11054-Sens!F11050-Sens!F11055</f>
        <v>6.1356748584253</v>
      </c>
      <c r="G11056" s="6" t="n">
        <f aca="false">Sens!G11054-Sens!G11050-Sens!G11055</f>
        <v>6.06946770152326</v>
      </c>
      <c r="H11056" s="6" t="n">
        <f aca="false">Sens!H11054-Sens!H11050-Sens!H11055</f>
        <v>6.05976569600657</v>
      </c>
      <c r="I11056" s="6" t="n">
        <f aca="false">Sens!I11054-Sens!I11050-Sens!I11055</f>
        <v>6.10466782979</v>
      </c>
      <c r="J11056" s="6" t="n">
        <f aca="false">Sens!J11054-Sens!J11050-Sens!J11055</f>
        <v>6.20067510844453</v>
      </c>
      <c r="K11056" s="6" t="n">
        <f aca="false">Sens!K11054-Sens!K11050-Sens!K11055</f>
        <v>6.34403227244794</v>
      </c>
    </row>
    <row r="11057" customFormat="false" ht="17.15" hidden="false" customHeight="false" outlineLevel="0" collapsed="false">
      <c r="A11057" s="1" t="s">
        <v>960</v>
      </c>
      <c r="B11057" s="0" t="s">
        <v>95</v>
      </c>
      <c r="C11057" s="6" t="n">
        <f aca="false">(w_ntm28*Sens!G11051+(1-w_ntm28)*Sens!H11051)*m_ai*0.8</f>
        <v>363.937952664637</v>
      </c>
    </row>
    <row r="11058" customFormat="false" ht="17.15" hidden="false" customHeight="false" outlineLevel="0" collapsed="false">
      <c r="A11058" s="1" t="s">
        <v>961</v>
      </c>
      <c r="B11058" s="0" t="s">
        <v>95</v>
      </c>
      <c r="C11058" s="6" t="n">
        <f aca="false">(w_ntm28*Sens!G11053+(1-w_ntm28)*Sens!H11053)*m_cloud*0.8</f>
        <v>633.171530641736</v>
      </c>
    </row>
    <row r="11059" customFormat="false" ht="17.15" hidden="false" customHeight="false" outlineLevel="0" collapsed="false">
      <c r="A11059" s="1" t="s">
        <v>962</v>
      </c>
      <c r="B11059" s="0" t="s">
        <v>95</v>
      </c>
      <c r="C11059" s="6" t="n">
        <f aca="false">(w_ntm28*Sens!G11046+(1-w_ntm28)*Sens!H11046)*m_sw*0.8</f>
        <v>821.436988431643</v>
      </c>
    </row>
    <row r="11060" customFormat="false" ht="17.15" hidden="false" customHeight="false" outlineLevel="0" collapsed="false">
      <c r="A11060" s="1" t="s">
        <v>963</v>
      </c>
      <c r="B11060" s="0" t="s">
        <v>95</v>
      </c>
      <c r="C11060" s="6" t="n">
        <f aca="false">(w_ntm28*Sens!G11047+(1-w_ntm28)*Sens!H11047)*m_sw*0.8</f>
        <v>290.2469124461</v>
      </c>
    </row>
    <row r="11061" customFormat="false" ht="17.15" hidden="false" customHeight="false" outlineLevel="0" collapsed="false">
      <c r="A11061" s="1" t="s">
        <v>964</v>
      </c>
      <c r="B11061" s="0" t="s">
        <v>95</v>
      </c>
      <c r="C11061" s="6" t="n">
        <f aca="false">(w_ntm28*Sens!G11048+(1-w_ntm28)*Sens!H11048)*m_sw*0.8</f>
        <v>79.2802662682033</v>
      </c>
    </row>
    <row r="11062" customFormat="false" ht="17.15" hidden="false" customHeight="false" outlineLevel="0" collapsed="false">
      <c r="A11062" s="1" t="s">
        <v>965</v>
      </c>
      <c r="B11062" s="0" t="s">
        <v>95</v>
      </c>
      <c r="C11062" s="6" t="n">
        <f aca="false">(w_ntm28*Sens!G11049+(1-w_ntm28)*Sens!H11049)*m_sw*0.8</f>
        <v>30.2468225347179</v>
      </c>
    </row>
    <row r="11063" customFormat="false" ht="17.15" hidden="false" customHeight="false" outlineLevel="0" collapsed="false">
      <c r="A11063" s="1" t="s">
        <v>966</v>
      </c>
      <c r="B11063" s="0" t="s">
        <v>95</v>
      </c>
      <c r="C11063" s="6" t="n">
        <f aca="false">(w_ntm28*Sens!G11050+(1-w_ntm28)*Sens!H11050)*m_ads*0.8</f>
        <v>83.5723296432105</v>
      </c>
    </row>
    <row r="11064" customFormat="false" ht="17.15" hidden="false" customHeight="false" outlineLevel="0" collapsed="false">
      <c r="A11064" s="1" t="s">
        <v>967</v>
      </c>
      <c r="B11064" s="0" t="s">
        <v>95</v>
      </c>
      <c r="C11064" s="6" t="n">
        <f aca="false">(w_ntm28*Sens!G11055+(1-w_ntm28)*Sens!H11055)*m_game*0.8</f>
        <v>70.8316052850846</v>
      </c>
    </row>
    <row r="11065" customFormat="false" ht="17.15" hidden="false" customHeight="false" outlineLevel="0" collapsed="false">
      <c r="A11065" s="1" t="s">
        <v>968</v>
      </c>
      <c r="B11065" s="0" t="s">
        <v>95</v>
      </c>
      <c r="C11065" s="6" t="n">
        <f aca="false">(w_ntm28*Sens!G11056+(1-w_ntm28)*Sens!H11056)*m_pc*0.8</f>
        <v>70.2238495400343</v>
      </c>
    </row>
    <row r="11066" customFormat="false" ht="17.15" hidden="false" customHeight="false" outlineLevel="0" collapsed="false">
      <c r="A11066" s="1" t="s">
        <v>969</v>
      </c>
      <c r="B11066" s="0" t="s">
        <v>95</v>
      </c>
      <c r="C11066" s="6" t="n">
        <f aca="false">Sens!$C$11057+Sens!$C$11058+Sens!$C$11059+Sens!$C$11060+Sens!$C$11061+Sens!$C$11062+Sens!$C$11063+Sens!$C$11064+Sens!$C$11065</f>
        <v>2442.94825745537</v>
      </c>
    </row>
    <row r="11067" customFormat="false" ht="17.15" hidden="false" customHeight="false" outlineLevel="0" collapsed="false">
      <c r="A11067" s="1" t="s">
        <v>903</v>
      </c>
      <c r="B11067" s="0" t="s">
        <v>95</v>
      </c>
      <c r="C11067" s="6" t="n">
        <f aca="false">CF!F64+oai_v-CF!F53</f>
        <v>111.253995542787</v>
      </c>
      <c r="L11067" s="1" t="s">
        <v>970</v>
      </c>
    </row>
    <row r="11068" customFormat="false" ht="15" hidden="false" customHeight="false" outlineLevel="0" collapsed="false">
      <c r="A11068" s="1" t="s">
        <v>904</v>
      </c>
      <c r="B11068" s="0" t="s">
        <v>73</v>
      </c>
      <c r="C11068" s="5" t="n">
        <f aca="false">(Sens!$C$11066+Sens!$C$11067)/CF!F66</f>
        <v>341.83648996228</v>
      </c>
    </row>
    <row r="11069" customFormat="false" ht="17.15" hidden="false" customHeight="false" outlineLevel="0" collapsed="false">
      <c r="A11069" s="1" t="s">
        <v>971</v>
      </c>
      <c r="B11069" s="0" t="s">
        <v>73</v>
      </c>
      <c r="C11069" s="5" t="n">
        <f aca="false">w_dcf*Sens!$C$11044+(1-w_dcf)*Sens!$C$11068</f>
        <v>289.447770919808</v>
      </c>
    </row>
    <row r="11070" customFormat="false" ht="17.15" hidden="false" customHeight="false" outlineLevel="0" collapsed="false">
      <c r="A11070" s="3" t="s">
        <v>1428</v>
      </c>
    </row>
    <row r="11071" customFormat="false" ht="15" hidden="false" customHeight="false" outlineLevel="0" collapsed="false">
      <c r="A11071" s="4" t="s">
        <v>43</v>
      </c>
      <c r="B11071" s="4" t="s">
        <v>63</v>
      </c>
      <c r="C11071" s="19" t="s">
        <v>710</v>
      </c>
      <c r="D11071" s="19" t="s">
        <v>711</v>
      </c>
      <c r="E11071" s="19" t="s">
        <v>712</v>
      </c>
      <c r="F11071" s="19" t="s">
        <v>713</v>
      </c>
      <c r="G11071" s="19" t="s">
        <v>714</v>
      </c>
      <c r="H11071" s="19" t="s">
        <v>715</v>
      </c>
      <c r="I11071" s="19" t="s">
        <v>716</v>
      </c>
      <c r="J11071" s="19" t="s">
        <v>717</v>
      </c>
      <c r="K11071" s="19" t="s">
        <v>718</v>
      </c>
      <c r="L11071" s="4" t="s">
        <v>47</v>
      </c>
    </row>
    <row r="11072" customFormat="false" ht="17.15" hidden="false" customHeight="false" outlineLevel="0" collapsed="false">
      <c r="A11072" s="1" t="s">
        <v>938</v>
      </c>
      <c r="B11072" s="1" t="s">
        <v>213</v>
      </c>
      <c r="F11072" s="34" t="n">
        <f aca="false">1-0.5</f>
        <v>0.5</v>
      </c>
      <c r="G11072" s="34" t="n">
        <f aca="false">2-0.5</f>
        <v>1.5</v>
      </c>
      <c r="H11072" s="34" t="n">
        <f aca="false">3-0.5</f>
        <v>2.5</v>
      </c>
      <c r="I11072" s="34" t="n">
        <f aca="false">4-0.5</f>
        <v>3.5</v>
      </c>
      <c r="J11072" s="34" t="n">
        <f aca="false">5-0.5</f>
        <v>4.5</v>
      </c>
      <c r="K11072" s="34" t="n">
        <f aca="false">6-0.5</f>
        <v>5.5</v>
      </c>
    </row>
    <row r="11073" customFormat="false" ht="15" hidden="false" customHeight="false" outlineLevel="0" collapsed="false">
      <c r="A11073" s="1" t="s">
        <v>939</v>
      </c>
      <c r="B11073" s="0" t="s">
        <v>182</v>
      </c>
      <c r="F11073" s="18" t="n">
        <f aca="false">1/(1+wacc)^Sens!F11072</f>
        <v>0.949601579913219</v>
      </c>
      <c r="G11073" s="18" t="n">
        <f aca="false">1/(1+wacc)^Sens!G11072</f>
        <v>0.856296729956707</v>
      </c>
      <c r="H11073" s="18" t="n">
        <f aca="false">1/(1+wacc)^Sens!H11072</f>
        <v>0.772159719660069</v>
      </c>
      <c r="I11073" s="18" t="n">
        <f aca="false">1/(1+wacc)^Sens!I11072</f>
        <v>0.696289746073958</v>
      </c>
      <c r="J11073" s="18" t="n">
        <f aca="false">1/(1+wacc)^Sens!J11072</f>
        <v>0.627874516299776</v>
      </c>
      <c r="K11073" s="18" t="n">
        <f aca="false">1/(1+wacc)^Sens!K11072</f>
        <v>0.566181550771831</v>
      </c>
    </row>
    <row r="11074" customFormat="false" ht="15" hidden="false" customHeight="false" outlineLevel="0" collapsed="false">
      <c r="A11074" s="1" t="s">
        <v>940</v>
      </c>
      <c r="B11074" s="0" t="s">
        <v>95</v>
      </c>
      <c r="F11074" s="6" t="n">
        <f aca="false">CF!F83*Sens!F11073</f>
        <v>-3.06653414679568</v>
      </c>
      <c r="G11074" s="6" t="n">
        <f aca="false">CF!G83*Sens!G11073</f>
        <v>15.3370464106998</v>
      </c>
      <c r="H11074" s="6" t="n">
        <f aca="false">CF!H83*Sens!H11073</f>
        <v>32.741830912959</v>
      </c>
      <c r="I11074" s="6" t="n">
        <f aca="false">CF!I83*Sens!I11073</f>
        <v>32.5345194226033</v>
      </c>
      <c r="J11074" s="6" t="n">
        <f aca="false">CF!J83*Sens!J11073</f>
        <v>41.02711694846</v>
      </c>
      <c r="K11074" s="6" t="n">
        <f aca="false">CF!K83*Sens!K11073</f>
        <v>30.3740488668364</v>
      </c>
    </row>
    <row r="11075" customFormat="false" ht="17.15" hidden="false" customHeight="false" outlineLevel="0" collapsed="false">
      <c r="A11075" s="1" t="s">
        <v>941</v>
      </c>
      <c r="B11075" s="0" t="s">
        <v>95</v>
      </c>
      <c r="C11075" s="6" t="n">
        <f aca="false">SUM(Sens!F11074:K11074)</f>
        <v>148.948028414763</v>
      </c>
    </row>
    <row r="11076" customFormat="false" ht="17.15" hidden="false" customHeight="false" outlineLevel="0" collapsed="false">
      <c r="A11076" s="1" t="s">
        <v>942</v>
      </c>
      <c r="B11076" s="0" t="s">
        <v>95</v>
      </c>
      <c r="C11076" s="6" t="n">
        <f aca="false">PL!K105*(1+g_tv)*(1-tax_f)</f>
        <v>165.083397962666</v>
      </c>
    </row>
    <row r="11077" customFormat="false" ht="17.15" hidden="false" customHeight="false" outlineLevel="0" collapsed="false">
      <c r="A11077" s="1" t="s">
        <v>943</v>
      </c>
      <c r="B11077" s="0" t="s">
        <v>95</v>
      </c>
      <c r="C11077" s="6" t="n">
        <f aca="false">Sens!$C$11076*(1-g_tv/(wacc+ronic_prem))</f>
        <v>119.632264207628</v>
      </c>
    </row>
    <row r="11078" customFormat="false" ht="17.15" hidden="false" customHeight="false" outlineLevel="0" collapsed="false">
      <c r="A11078" s="1" t="s">
        <v>944</v>
      </c>
      <c r="B11078" s="0" t="s">
        <v>95</v>
      </c>
      <c r="C11078" s="6" t="n">
        <f aca="false">Sens!$C$11077/(wacc-g_tv)</f>
        <v>1515.0377918346</v>
      </c>
    </row>
    <row r="11079" customFormat="false" ht="15" hidden="false" customHeight="false" outlineLevel="0" collapsed="false">
      <c r="A11079" s="1" t="s">
        <v>945</v>
      </c>
      <c r="B11079" s="0" t="s">
        <v>95</v>
      </c>
      <c r="C11079" s="6" t="n">
        <f aca="false">Sens!$C$11078/(1+wacc)^6</f>
        <v>814.555364785464</v>
      </c>
    </row>
    <row r="11080" customFormat="false" ht="17.15" hidden="false" customHeight="false" outlineLevel="0" collapsed="false">
      <c r="A11080" s="0" t="s">
        <v>877</v>
      </c>
      <c r="B11080" s="0" t="s">
        <v>95</v>
      </c>
      <c r="C11080" s="6" t="n">
        <f aca="false">Sens!$C$11075+Sens!$C$11079</f>
        <v>963.503393200227</v>
      </c>
    </row>
    <row r="11081" customFormat="false" ht="15" hidden="false" customHeight="false" outlineLevel="0" collapsed="false">
      <c r="A11081" s="1" t="s">
        <v>878</v>
      </c>
      <c r="B11081" s="0" t="s">
        <v>126</v>
      </c>
      <c r="C11081" s="7" t="n">
        <f aca="false">Sens!$C$11079/Sens!$C$11080</f>
        <v>0.845409959668082</v>
      </c>
    </row>
    <row r="11082" customFormat="false" ht="17.15" hidden="false" customHeight="false" outlineLevel="0" collapsed="false">
      <c r="A11082" s="1" t="s">
        <v>946</v>
      </c>
      <c r="B11082" s="0" t="s">
        <v>95</v>
      </c>
      <c r="C11082" s="6" t="n">
        <f aca="false">Sens!$C$11080+CF!E92+oai_v</f>
        <v>1164.61039320023</v>
      </c>
    </row>
    <row r="11083" customFormat="false" ht="17.15" hidden="false" customHeight="false" outlineLevel="0" collapsed="false">
      <c r="A11083" s="0" t="s">
        <v>883</v>
      </c>
      <c r="B11083" s="0" t="s">
        <v>73</v>
      </c>
      <c r="C11083" s="5" t="n">
        <f aca="false">Sens!$C$11082/sh_dil26</f>
        <v>156.260618972256</v>
      </c>
    </row>
    <row r="11084" customFormat="false" ht="17.15" hidden="false" customHeight="false" outlineLevel="0" collapsed="false">
      <c r="A11084" s="0" t="s">
        <v>947</v>
      </c>
      <c r="B11084" s="0" t="s">
        <v>73</v>
      </c>
      <c r="C11084" s="5" t="n">
        <f aca="false">Sens!$C$11083*(1+wacc)^t_roll</f>
        <v>179.230081585006</v>
      </c>
    </row>
    <row r="11085" customFormat="false" ht="17.15" hidden="false" customHeight="false" outlineLevel="0" collapsed="false">
      <c r="A11085" s="1" t="s">
        <v>948</v>
      </c>
      <c r="B11085" s="0" t="s">
        <v>126</v>
      </c>
      <c r="F11085" s="7" t="n">
        <f aca="false">CF!F73/(Seg!F83-Thesis!F108)</f>
        <v>0.0686864325746334</v>
      </c>
      <c r="G11085" s="7" t="n">
        <f aca="false">CF!G73/(Seg!G83-Thesis!G108)</f>
        <v>0.066267001590801</v>
      </c>
      <c r="H11085" s="7" t="n">
        <f aca="false">CF!H73/(Seg!H83-Thesis!H108)</f>
        <v>0.0650366246750144</v>
      </c>
      <c r="I11085" s="7" t="n">
        <f aca="false">CF!I73/(Seg!I83-Thesis!I108)</f>
        <v>0.0648573271390164</v>
      </c>
      <c r="J11085" s="7" t="n">
        <f aca="false">CF!J73/(Seg!J83-Thesis!J108)</f>
        <v>0.0655189837669657</v>
      </c>
      <c r="K11085" s="7" t="n">
        <f aca="false">CF!K73/(Seg!K83-Thesis!K108)</f>
        <v>0.0667878921367872</v>
      </c>
    </row>
    <row r="11086" customFormat="false" ht="17.15" hidden="false" customHeight="false" outlineLevel="0" collapsed="false">
      <c r="A11086" s="0" t="s">
        <v>949</v>
      </c>
      <c r="B11086" s="0" t="s">
        <v>95</v>
      </c>
      <c r="F11086" s="6" t="n">
        <f aca="false">Seg!F68*(al_m365+Sens!F11085)</f>
        <v>78.4986969872395</v>
      </c>
      <c r="G11086" s="6" t="n">
        <f aca="false">Seg!G68*(al_m365+Sens!G11085)</f>
        <v>88.3098056906507</v>
      </c>
      <c r="H11086" s="6" t="n">
        <f aca="false">Seg!H68*(al_m365+Sens!H11085)</f>
        <v>98.2773562913015</v>
      </c>
      <c r="I11086" s="6" t="n">
        <f aca="false">Seg!I68*(al_m365+Sens!I11085)</f>
        <v>107.762753675846</v>
      </c>
      <c r="J11086" s="6" t="n">
        <f aca="false">Seg!J68*(al_m365+Sens!J11085)</f>
        <v>116.587414331333</v>
      </c>
      <c r="K11086" s="6" t="n">
        <f aca="false">Seg!K68*(al_m365+Sens!K11085)</f>
        <v>125.041394489287</v>
      </c>
    </row>
    <row r="11087" customFormat="false" ht="17.15" hidden="false" customHeight="false" outlineLevel="0" collapsed="false">
      <c r="A11087" s="0" t="s">
        <v>950</v>
      </c>
      <c r="B11087" s="0" t="s">
        <v>95</v>
      </c>
      <c r="F11087" s="6" t="n">
        <f aca="false">Seg!F69*(al_lic+Sens!F11085)</f>
        <v>31.9877845991607</v>
      </c>
      <c r="G11087" s="6" t="n">
        <f aca="false">Seg!G69*(al_lic+Sens!G11085)</f>
        <v>33.243749427372</v>
      </c>
      <c r="H11087" s="6" t="n">
        <f aca="false">Seg!H69*(al_lic+Sens!H11085)</f>
        <v>34.4137793872059</v>
      </c>
      <c r="I11087" s="6" t="n">
        <f aca="false">Seg!I69*(al_lic+Sens!I11085)</f>
        <v>35.4787240806467</v>
      </c>
      <c r="J11087" s="6" t="n">
        <f aca="false">Seg!J69*(al_lic+Sens!J11085)</f>
        <v>36.4160307520991</v>
      </c>
      <c r="K11087" s="6" t="n">
        <f aca="false">Seg!K69*(al_lic+Sens!K11085)</f>
        <v>37.2021461938459</v>
      </c>
    </row>
    <row r="11088" customFormat="false" ht="17.15" hidden="false" customHeight="false" outlineLevel="0" collapsed="false">
      <c r="A11088" s="0" t="s">
        <v>951</v>
      </c>
      <c r="B11088" s="0" t="s">
        <v>95</v>
      </c>
      <c r="F11088" s="6" t="n">
        <f aca="false">Seg!F71*(al_ind+Sens!F11085)</f>
        <v>8.24280380456612</v>
      </c>
      <c r="G11088" s="6" t="n">
        <f aca="false">Seg!G71*(al_ind+Sens!G11085)</f>
        <v>8.9512770630031</v>
      </c>
      <c r="H11088" s="6" t="n">
        <f aca="false">Seg!H71*(al_ind+Sens!H11085)</f>
        <v>9.70041215792393</v>
      </c>
      <c r="I11088" s="6" t="n">
        <f aca="false">Seg!I71*(al_ind+Sens!I11085)</f>
        <v>10.4864435829487</v>
      </c>
      <c r="J11088" s="6" t="n">
        <f aca="false">Seg!J71*(al_ind+Sens!J11085)</f>
        <v>11.3015744981253</v>
      </c>
      <c r="K11088" s="6" t="n">
        <f aca="false">Seg!K71*(al_ind+Sens!K11085)</f>
        <v>12.1346647729291</v>
      </c>
    </row>
    <row r="11089" customFormat="false" ht="17.15" hidden="false" customHeight="false" outlineLevel="0" collapsed="false">
      <c r="A11089" s="0" t="s">
        <v>952</v>
      </c>
      <c r="B11089" s="0" t="s">
        <v>95</v>
      </c>
      <c r="F11089" s="6" t="n">
        <f aca="false">Seg!F73*(al_fro+Sens!F11085)</f>
        <v>3.24439651632051</v>
      </c>
      <c r="G11089" s="6" t="n">
        <f aca="false">Seg!G73*(al_fro+Sens!G11085)</f>
        <v>3.43676117771401</v>
      </c>
      <c r="H11089" s="6" t="n">
        <f aca="false">Seg!H73*(al_fro+Sens!H11085)</f>
        <v>3.65544732248501</v>
      </c>
      <c r="I11089" s="6" t="n">
        <f aca="false">Seg!I73*(al_fro+Sens!I11085)</f>
        <v>3.90262750850979</v>
      </c>
      <c r="J11089" s="6" t="n">
        <f aca="false">Seg!J73*(al_fro+Sens!J11085)</f>
        <v>4.17975656810881</v>
      </c>
      <c r="K11089" s="6" t="n">
        <f aca="false">Seg!K73*(al_fro+Sens!K11085)</f>
        <v>4.48786536733111</v>
      </c>
    </row>
    <row r="11090" customFormat="false" ht="17.15" hidden="false" customHeight="false" outlineLevel="0" collapsed="false">
      <c r="A11090" s="0" t="s">
        <v>953</v>
      </c>
      <c r="B11090" s="0" t="s">
        <v>95</v>
      </c>
      <c r="F11090" s="6" t="n">
        <f aca="false">Seg!F76*(al_srch+Sens!F11085)</f>
        <v>10.1799817910968</v>
      </c>
      <c r="G11090" s="6" t="n">
        <f aca="false">Seg!G76*(al_srch+Sens!G11085)</f>
        <v>11.1592643133754</v>
      </c>
      <c r="H11090" s="6" t="n">
        <f aca="false">Seg!H76*(al_srch+Sens!H11085)</f>
        <v>12.1792194533398</v>
      </c>
      <c r="I11090" s="6" t="n">
        <f aca="false">Seg!I76*(al_srch+Sens!I11085)</f>
        <v>13.2288881134521</v>
      </c>
      <c r="J11090" s="6" t="n">
        <f aca="false">Seg!J76*(al_srch+Sens!J11085)</f>
        <v>14.2913670918582</v>
      </c>
      <c r="K11090" s="6" t="n">
        <f aca="false">Seg!K76*(al_srch+Sens!K11085)</f>
        <v>15.3448485284362</v>
      </c>
    </row>
    <row r="11091" customFormat="false" ht="17.15" hidden="false" customHeight="false" outlineLevel="0" collapsed="false">
      <c r="A11091" s="0" t="s">
        <v>954</v>
      </c>
      <c r="B11091" s="0" t="s">
        <v>95</v>
      </c>
      <c r="F11091" s="6" t="n">
        <f aca="false">Thesis!F114</f>
        <v>35.0573455625419</v>
      </c>
      <c r="G11091" s="6" t="n">
        <f aca="false">Thesis!G114</f>
        <v>52.2504971712871</v>
      </c>
      <c r="H11091" s="6" t="n">
        <f aca="false">Thesis!H114</f>
        <v>65.2796698510271</v>
      </c>
      <c r="I11091" s="6" t="n">
        <f aca="false">Thesis!I114</f>
        <v>85.5659922535278</v>
      </c>
      <c r="J11091" s="6" t="n">
        <f aca="false">Thesis!J114</f>
        <v>105.90773710582</v>
      </c>
      <c r="K11091" s="6" t="n">
        <f aca="false">Thesis!K114</f>
        <v>126.282084319851</v>
      </c>
    </row>
    <row r="11092" customFormat="false" ht="17.15" hidden="false" customHeight="false" outlineLevel="0" collapsed="false">
      <c r="A11092" s="0" t="s">
        <v>955</v>
      </c>
      <c r="B11092" s="0" t="s">
        <v>95</v>
      </c>
      <c r="F11092" s="6" t="n">
        <f aca="false">PL!F102+Thesis!F125+Sens!F11085*(Seg!F75-Thesis!F108)</f>
        <v>206.154467007856</v>
      </c>
      <c r="G11092" s="6" t="n">
        <f aca="false">PL!G102+Thesis!G125+Sens!G11085*(Seg!G75-Thesis!G108)</f>
        <v>241.631787518433</v>
      </c>
      <c r="H11092" s="6" t="n">
        <f aca="false">PL!H102+Thesis!H125+Sens!H11085*(Seg!H75-Thesis!H108)</f>
        <v>273.161508717552</v>
      </c>
      <c r="I11092" s="6" t="n">
        <f aca="false">PL!I102+Thesis!I125+Sens!I11085*(Seg!I75-Thesis!I108)</f>
        <v>311.232758290592</v>
      </c>
      <c r="J11092" s="6" t="n">
        <f aca="false">PL!J102+Thesis!J125+Sens!J11085*(Seg!J75-Thesis!J108)</f>
        <v>347.836227364385</v>
      </c>
      <c r="K11092" s="6" t="n">
        <f aca="false">PL!K102+Thesis!K125+Sens!K11085*(Seg!K75-Thesis!K108)</f>
        <v>382.533402332059</v>
      </c>
    </row>
    <row r="11093" customFormat="false" ht="17.15" hidden="false" customHeight="false" outlineLevel="0" collapsed="false">
      <c r="A11093" s="0" t="s">
        <v>956</v>
      </c>
      <c r="B11093" s="0" t="s">
        <v>95</v>
      </c>
      <c r="F11093" s="6" t="n">
        <f aca="false">Sens!F11092-Sens!F11086-Sens!F11087-Sens!F11088-Sens!F11089-Sens!F11091</f>
        <v>49.123439538027</v>
      </c>
      <c r="G11093" s="6" t="n">
        <f aca="false">Sens!G11092-Sens!G11086-Sens!G11087-Sens!G11088-Sens!G11089-Sens!G11091</f>
        <v>55.4396969884061</v>
      </c>
      <c r="H11093" s="6" t="n">
        <f aca="false">Sens!H11092-Sens!H11086-Sens!H11087-Sens!H11088-Sens!H11089-Sens!H11091</f>
        <v>61.8348437076084</v>
      </c>
      <c r="I11093" s="6" t="n">
        <f aca="false">Sens!I11092-Sens!I11086-Sens!I11087-Sens!I11088-Sens!I11089-Sens!I11091</f>
        <v>68.0362171891129</v>
      </c>
      <c r="J11093" s="6" t="n">
        <f aca="false">Sens!J11092-Sens!J11086-Sens!J11087-Sens!J11088-Sens!J11089-Sens!J11091</f>
        <v>73.4437141088982</v>
      </c>
      <c r="K11093" s="6" t="n">
        <f aca="false">Sens!K11092-Sens!K11086-Sens!K11087-Sens!K11088-Sens!K11089-Sens!K11091</f>
        <v>77.3852471888144</v>
      </c>
    </row>
    <row r="11094" customFormat="false" ht="17.15" hidden="false" customHeight="false" outlineLevel="0" collapsed="false">
      <c r="A11094" s="0" t="s">
        <v>957</v>
      </c>
      <c r="B11094" s="0" t="s">
        <v>95</v>
      </c>
      <c r="F11094" s="6" t="n">
        <f aca="false">PL!F104+Sens!F11085*Seg!F82</f>
        <v>23.7697943901369</v>
      </c>
      <c r="G11094" s="6" t="n">
        <f aca="false">PL!G104+Sens!G11085*Seg!G82</f>
        <v>24.331261048114</v>
      </c>
      <c r="H11094" s="6" t="n">
        <f aca="false">PL!H104+Sens!H11085*Seg!H82</f>
        <v>25.1342423406419</v>
      </c>
      <c r="I11094" s="6" t="n">
        <f aca="false">PL!I104+Sens!I11085*Seg!I82</f>
        <v>26.1495446421549</v>
      </c>
      <c r="J11094" s="6" t="n">
        <f aca="false">PL!J104+Sens!J11085*Seg!J82</f>
        <v>27.3481502080811</v>
      </c>
      <c r="K11094" s="6" t="n">
        <f aca="false">PL!K104+Sens!K11085*Seg!K82</f>
        <v>28.7026027133478</v>
      </c>
    </row>
    <row r="11095" customFormat="false" ht="17.15" hidden="false" customHeight="false" outlineLevel="0" collapsed="false">
      <c r="A11095" s="0" t="s">
        <v>958</v>
      </c>
      <c r="B11095" s="0" t="s">
        <v>95</v>
      </c>
      <c r="F11095" s="6" t="n">
        <f aca="false">(Sens!F11094-Sens!F11090)*Seg!F78/(Seg!F78+Seg!F80)</f>
        <v>7.44980290393703</v>
      </c>
      <c r="G11095" s="6" t="n">
        <f aca="false">(Sens!G11094-Sens!G11090)*Seg!G78/(Seg!G78+Seg!G80)</f>
        <v>7.09201461396229</v>
      </c>
      <c r="H11095" s="6" t="n">
        <f aca="false">(Sens!H11094-Sens!H11090)*Seg!H78/(Seg!H78+Seg!H80)</f>
        <v>6.8809692168288</v>
      </c>
      <c r="I11095" s="6" t="n">
        <f aca="false">(Sens!I11094-Sens!I11090)*Seg!I78/(Seg!I78+Seg!I80)</f>
        <v>6.80062182771623</v>
      </c>
      <c r="J11095" s="6" t="n">
        <f aca="false">(Sens!J11094-Sens!J11090)*Seg!J78/(Seg!J78+Seg!J80)</f>
        <v>6.84119415814997</v>
      </c>
      <c r="K11095" s="6" t="n">
        <f aca="false">(Sens!K11094-Sens!K11090)*Seg!K78/(Seg!K78+Seg!K80)</f>
        <v>6.99889008512966</v>
      </c>
    </row>
    <row r="11096" customFormat="false" ht="17.15" hidden="false" customHeight="false" outlineLevel="0" collapsed="false">
      <c r="A11096" s="0" t="s">
        <v>959</v>
      </c>
      <c r="B11096" s="0" t="s">
        <v>95</v>
      </c>
      <c r="F11096" s="6" t="n">
        <f aca="false">Sens!F11094-Sens!F11090-Sens!F11095</f>
        <v>6.14000969510312</v>
      </c>
      <c r="G11096" s="6" t="n">
        <f aca="false">Sens!G11094-Sens!G11090-Sens!G11095</f>
        <v>6.07998212077627</v>
      </c>
      <c r="H11096" s="6" t="n">
        <f aca="false">Sens!H11094-Sens!H11090-Sens!H11095</f>
        <v>6.07405367047327</v>
      </c>
      <c r="I11096" s="6" t="n">
        <f aca="false">Sens!I11094-Sens!I11090-Sens!I11095</f>
        <v>6.12003470098649</v>
      </c>
      <c r="J11096" s="6" t="n">
        <f aca="false">Sens!J11094-Sens!J11090-Sens!J11095</f>
        <v>6.21558895807294</v>
      </c>
      <c r="K11096" s="6" t="n">
        <f aca="false">Sens!K11094-Sens!K11090-Sens!K11095</f>
        <v>6.35886409978198</v>
      </c>
    </row>
    <row r="11097" customFormat="false" ht="17.15" hidden="false" customHeight="false" outlineLevel="0" collapsed="false">
      <c r="A11097" s="1" t="s">
        <v>960</v>
      </c>
      <c r="B11097" s="0" t="s">
        <v>95</v>
      </c>
      <c r="C11097" s="6" t="n">
        <f aca="false">(w_ntm28*Sens!G11091+(1-w_ntm28)*Sens!H11091)*m_ai*0.8</f>
        <v>271.020806712054</v>
      </c>
    </row>
    <row r="11098" customFormat="false" ht="17.15" hidden="false" customHeight="false" outlineLevel="0" collapsed="false">
      <c r="A11098" s="1" t="s">
        <v>961</v>
      </c>
      <c r="B11098" s="0" t="s">
        <v>95</v>
      </c>
      <c r="C11098" s="6" t="n">
        <f aca="false">(w_ntm28*Sens!G11093+(1-w_ntm28)*Sens!H11093)*m_cloud*0.8</f>
        <v>635.799261331339</v>
      </c>
    </row>
    <row r="11099" customFormat="false" ht="17.15" hidden="false" customHeight="false" outlineLevel="0" collapsed="false">
      <c r="A11099" s="1" t="s">
        <v>962</v>
      </c>
      <c r="B11099" s="0" t="s">
        <v>95</v>
      </c>
      <c r="C11099" s="6" t="n">
        <f aca="false">(w_ntm28*Sens!G11086+(1-w_ntm28)*Sens!H11086)*m_sw*0.8</f>
        <v>790.838138121676</v>
      </c>
    </row>
    <row r="11100" customFormat="false" ht="17.15" hidden="false" customHeight="false" outlineLevel="0" collapsed="false">
      <c r="A11100" s="1" t="s">
        <v>963</v>
      </c>
      <c r="B11100" s="0" t="s">
        <v>95</v>
      </c>
      <c r="C11100" s="6" t="n">
        <f aca="false">(w_ntm28*Sens!G11087+(1-w_ntm28)*Sens!H11087)*m_sw*0.8</f>
        <v>290.494129147425</v>
      </c>
    </row>
    <row r="11101" customFormat="false" ht="17.15" hidden="false" customHeight="false" outlineLevel="0" collapsed="false">
      <c r="A11101" s="1" t="s">
        <v>964</v>
      </c>
      <c r="B11101" s="0" t="s">
        <v>95</v>
      </c>
      <c r="C11101" s="6" t="n">
        <f aca="false">(w_ntm28*Sens!G11088+(1-w_ntm28)*Sens!H11088)*m_sw*0.8</f>
        <v>79.4315220763295</v>
      </c>
    </row>
    <row r="11102" customFormat="false" ht="17.15" hidden="false" customHeight="false" outlineLevel="0" collapsed="false">
      <c r="A11102" s="1" t="s">
        <v>965</v>
      </c>
      <c r="B11102" s="0" t="s">
        <v>95</v>
      </c>
      <c r="C11102" s="6" t="n">
        <f aca="false">(w_ntm28*Sens!G11089+(1-w_ntm28)*Sens!H11089)*m_sw*0.8</f>
        <v>30.3044519133036</v>
      </c>
    </row>
    <row r="11103" customFormat="false" ht="17.15" hidden="false" customHeight="false" outlineLevel="0" collapsed="false">
      <c r="A11103" s="1" t="s">
        <v>966</v>
      </c>
      <c r="B11103" s="0" t="s">
        <v>95</v>
      </c>
      <c r="C11103" s="6" t="n">
        <f aca="false">(w_ntm28*Sens!G11090+(1-w_ntm28)*Sens!H11090)*m_ads*0.8</f>
        <v>83.7318555791326</v>
      </c>
    </row>
    <row r="11104" customFormat="false" ht="17.15" hidden="false" customHeight="false" outlineLevel="0" collapsed="false">
      <c r="A11104" s="1" t="s">
        <v>967</v>
      </c>
      <c r="B11104" s="0" t="s">
        <v>95</v>
      </c>
      <c r="C11104" s="6" t="n">
        <f aca="false">(w_ntm28*Sens!G11095+(1-w_ntm28)*Sens!H11095)*m_game*0.8</f>
        <v>70.9683361588417</v>
      </c>
    </row>
    <row r="11105" customFormat="false" ht="17.15" hidden="false" customHeight="false" outlineLevel="0" collapsed="false">
      <c r="A11105" s="1" t="s">
        <v>968</v>
      </c>
      <c r="B11105" s="0" t="s">
        <v>95</v>
      </c>
      <c r="C11105" s="6" t="n">
        <f aca="false">(w_ntm28*Sens!G11096+(1-w_ntm28)*Sens!H11096)*m_pc*0.8</f>
        <v>70.3596865276308</v>
      </c>
    </row>
    <row r="11106" customFormat="false" ht="17.15" hidden="false" customHeight="false" outlineLevel="0" collapsed="false">
      <c r="A11106" s="1" t="s">
        <v>969</v>
      </c>
      <c r="B11106" s="0" t="s">
        <v>95</v>
      </c>
      <c r="C11106" s="6" t="n">
        <f aca="false">Sens!$C$11097+Sens!$C$11098+Sens!$C$11099+Sens!$C$11100+Sens!$C$11101+Sens!$C$11102+Sens!$C$11103+Sens!$C$11104+Sens!$C$11105</f>
        <v>2322.94818756773</v>
      </c>
    </row>
    <row r="11107" customFormat="false" ht="17.15" hidden="false" customHeight="false" outlineLevel="0" collapsed="false">
      <c r="A11107" s="1" t="s">
        <v>903</v>
      </c>
      <c r="B11107" s="0" t="s">
        <v>95</v>
      </c>
      <c r="C11107" s="6" t="n">
        <f aca="false">CF!F92+oai_v-CF!F81</f>
        <v>106.814034990727</v>
      </c>
      <c r="L11107" s="1" t="s">
        <v>970</v>
      </c>
    </row>
    <row r="11108" customFormat="false" ht="15" hidden="false" customHeight="false" outlineLevel="0" collapsed="false">
      <c r="A11108" s="1" t="s">
        <v>904</v>
      </c>
      <c r="B11108" s="0" t="s">
        <v>73</v>
      </c>
      <c r="C11108" s="5" t="n">
        <f aca="false">(Sens!$C$11106+Sens!$C$11107)/CF!F94</f>
        <v>325.18231029958</v>
      </c>
    </row>
    <row r="11109" customFormat="false" ht="17.15" hidden="false" customHeight="false" outlineLevel="0" collapsed="false">
      <c r="A11109" s="1" t="s">
        <v>971</v>
      </c>
      <c r="B11109" s="0" t="s">
        <v>73</v>
      </c>
      <c r="C11109" s="5" t="n">
        <f aca="false">w_dcf*Sens!$C$11084+(1-w_dcf)*Sens!$C$11108</f>
        <v>252.206195942293</v>
      </c>
    </row>
    <row r="11110" customFormat="false" ht="17.15" hidden="false" customHeight="false" outlineLevel="0" collapsed="false">
      <c r="A11110" s="3" t="s">
        <v>1429</v>
      </c>
    </row>
    <row r="11111" customFormat="false" ht="15" hidden="false" customHeight="false" outlineLevel="0" collapsed="false">
      <c r="A11111" s="4" t="s">
        <v>43</v>
      </c>
      <c r="B11111" s="4" t="s">
        <v>63</v>
      </c>
      <c r="C11111" s="19" t="s">
        <v>710</v>
      </c>
      <c r="D11111" s="19" t="s">
        <v>711</v>
      </c>
      <c r="E11111" s="19" t="s">
        <v>712</v>
      </c>
      <c r="F11111" s="19" t="s">
        <v>713</v>
      </c>
      <c r="G11111" s="19" t="s">
        <v>714</v>
      </c>
      <c r="H11111" s="19" t="s">
        <v>715</v>
      </c>
      <c r="I11111" s="19" t="s">
        <v>716</v>
      </c>
      <c r="J11111" s="19" t="s">
        <v>717</v>
      </c>
      <c r="K11111" s="19" t="s">
        <v>718</v>
      </c>
      <c r="L11111" s="4" t="s">
        <v>47</v>
      </c>
    </row>
    <row r="11112" customFormat="false" ht="17.15" hidden="false" customHeight="false" outlineLevel="0" collapsed="false">
      <c r="A11112" s="1" t="s">
        <v>938</v>
      </c>
      <c r="B11112" s="1" t="s">
        <v>213</v>
      </c>
      <c r="F11112" s="34" t="n">
        <f aca="false">1-0.5</f>
        <v>0.5</v>
      </c>
      <c r="G11112" s="34" t="n">
        <f aca="false">2-0.5</f>
        <v>1.5</v>
      </c>
      <c r="H11112" s="34" t="n">
        <f aca="false">3-0.5</f>
        <v>2.5</v>
      </c>
      <c r="I11112" s="34" t="n">
        <f aca="false">4-0.5</f>
        <v>3.5</v>
      </c>
      <c r="J11112" s="34" t="n">
        <f aca="false">5-0.5</f>
        <v>4.5</v>
      </c>
      <c r="K11112" s="34" t="n">
        <f aca="false">6-0.5</f>
        <v>5.5</v>
      </c>
    </row>
    <row r="11113" customFormat="false" ht="15" hidden="false" customHeight="false" outlineLevel="0" collapsed="false">
      <c r="A11113" s="1" t="s">
        <v>939</v>
      </c>
      <c r="B11113" s="0" t="s">
        <v>182</v>
      </c>
      <c r="F11113" s="18" t="n">
        <f aca="false">1/(1+wacc)^Sens!F11112</f>
        <v>0.949601579913219</v>
      </c>
      <c r="G11113" s="18" t="n">
        <f aca="false">1/(1+wacc)^Sens!G11112</f>
        <v>0.856296729956707</v>
      </c>
      <c r="H11113" s="18" t="n">
        <f aca="false">1/(1+wacc)^Sens!H11112</f>
        <v>0.772159719660069</v>
      </c>
      <c r="I11113" s="18" t="n">
        <f aca="false">1/(1+wacc)^Sens!I11112</f>
        <v>0.696289746073958</v>
      </c>
      <c r="J11113" s="18" t="n">
        <f aca="false">1/(1+wacc)^Sens!J11112</f>
        <v>0.627874516299776</v>
      </c>
      <c r="K11113" s="18" t="n">
        <f aca="false">1/(1+wacc)^Sens!K11112</f>
        <v>0.566181550771831</v>
      </c>
    </row>
    <row r="11114" customFormat="false" ht="15" hidden="false" customHeight="false" outlineLevel="0" collapsed="false">
      <c r="A11114" s="1" t="s">
        <v>940</v>
      </c>
      <c r="B11114" s="0" t="s">
        <v>95</v>
      </c>
      <c r="F11114" s="6" t="n">
        <f aca="false">CF!F27*Sens!F11113</f>
        <v>4.78244341517868</v>
      </c>
      <c r="G11114" s="6" t="n">
        <f aca="false">CF!G27*Sens!G11113</f>
        <v>37.2678177028369</v>
      </c>
      <c r="H11114" s="6" t="n">
        <f aca="false">CF!H27*Sens!H11113</f>
        <v>72.9878911803064</v>
      </c>
      <c r="I11114" s="6" t="n">
        <f aca="false">CF!I27*Sens!I11113</f>
        <v>79.2928055259562</v>
      </c>
      <c r="J11114" s="6" t="n">
        <f aca="false">CF!J27*Sens!J11113</f>
        <v>92.2861122369862</v>
      </c>
      <c r="K11114" s="6" t="n">
        <f aca="false">CF!K27*Sens!K11113</f>
        <v>84.8150303666</v>
      </c>
    </row>
    <row r="11115" customFormat="false" ht="17.15" hidden="false" customHeight="false" outlineLevel="0" collapsed="false">
      <c r="A11115" s="1" t="s">
        <v>941</v>
      </c>
      <c r="B11115" s="0" t="s">
        <v>95</v>
      </c>
      <c r="C11115" s="6" t="n">
        <f aca="false">SUM(Sens!F11114:K11114)</f>
        <v>371.432100427865</v>
      </c>
    </row>
    <row r="11116" customFormat="false" ht="17.15" hidden="false" customHeight="false" outlineLevel="0" collapsed="false">
      <c r="A11116" s="1" t="s">
        <v>942</v>
      </c>
      <c r="B11116" s="0" t="s">
        <v>95</v>
      </c>
      <c r="C11116" s="6" t="n">
        <f aca="false">PL!K35*(1+g_tv)*(1-tax_f)</f>
        <v>261.070427358719</v>
      </c>
    </row>
    <row r="11117" customFormat="false" ht="17.15" hidden="false" customHeight="false" outlineLevel="0" collapsed="false">
      <c r="A11117" s="1" t="s">
        <v>943</v>
      </c>
      <c r="B11117" s="0" t="s">
        <v>95</v>
      </c>
      <c r="C11117" s="6" t="n">
        <f aca="false">Sens!$C$11116*(1-g_tv/(wacc+ronic_prem))</f>
        <v>189.191928007442</v>
      </c>
    </row>
    <row r="11118" customFormat="false" ht="17.15" hidden="false" customHeight="false" outlineLevel="0" collapsed="false">
      <c r="A11118" s="1" t="s">
        <v>944</v>
      </c>
      <c r="B11118" s="0" t="s">
        <v>95</v>
      </c>
      <c r="C11118" s="6" t="n">
        <f aca="false">Sens!$C$11117/(wacc-g_tv)</f>
        <v>2395.9499783759</v>
      </c>
    </row>
    <row r="11119" customFormat="false" ht="15" hidden="false" customHeight="false" outlineLevel="0" collapsed="false">
      <c r="A11119" s="1" t="s">
        <v>945</v>
      </c>
      <c r="B11119" s="0" t="s">
        <v>95</v>
      </c>
      <c r="C11119" s="6" t="n">
        <f aca="false">Sens!$C$11118/(1+wacc)^6</f>
        <v>1288.17506676214</v>
      </c>
    </row>
    <row r="11120" customFormat="false" ht="17.15" hidden="false" customHeight="false" outlineLevel="0" collapsed="false">
      <c r="A11120" s="0" t="s">
        <v>877</v>
      </c>
      <c r="B11120" s="0" t="s">
        <v>95</v>
      </c>
      <c r="C11120" s="6" t="n">
        <f aca="false">Sens!$C$11115+Sens!$C$11119</f>
        <v>1659.60716719001</v>
      </c>
    </row>
    <row r="11121" customFormat="false" ht="15" hidden="false" customHeight="false" outlineLevel="0" collapsed="false">
      <c r="A11121" s="1" t="s">
        <v>878</v>
      </c>
      <c r="B11121" s="0" t="s">
        <v>126</v>
      </c>
      <c r="C11121" s="7" t="n">
        <f aca="false">Sens!$C$11119/Sens!$C$11120</f>
        <v>0.776192759484908</v>
      </c>
    </row>
    <row r="11122" customFormat="false" ht="17.15" hidden="false" customHeight="false" outlineLevel="0" collapsed="false">
      <c r="A11122" s="1" t="s">
        <v>946</v>
      </c>
      <c r="B11122" s="0" t="s">
        <v>95</v>
      </c>
      <c r="C11122" s="6" t="n">
        <f aca="false">Sens!$C$11120+CF!E36+oai_v</f>
        <v>1860.71416719001</v>
      </c>
    </row>
    <row r="11123" customFormat="false" ht="17.15" hidden="false" customHeight="false" outlineLevel="0" collapsed="false">
      <c r="A11123" s="0" t="s">
        <v>883</v>
      </c>
      <c r="B11123" s="0" t="s">
        <v>73</v>
      </c>
      <c r="C11123" s="5" t="n">
        <f aca="false">Sens!$C$11122/sh_dil26</f>
        <v>249.659756767745</v>
      </c>
    </row>
    <row r="11124" customFormat="false" ht="17.15" hidden="false" customHeight="false" outlineLevel="0" collapsed="false">
      <c r="A11124" s="0" t="s">
        <v>947</v>
      </c>
      <c r="B11124" s="0" t="s">
        <v>73</v>
      </c>
      <c r="C11124" s="5" t="n">
        <f aca="false">Sens!$C$11123*(1+wacc)^t_roll</f>
        <v>286.358385550236</v>
      </c>
    </row>
    <row r="11125" customFormat="false" ht="17.15" hidden="false" customHeight="false" outlineLevel="0" collapsed="false">
      <c r="A11125" s="1" t="s">
        <v>948</v>
      </c>
      <c r="B11125" s="0" t="s">
        <v>126</v>
      </c>
      <c r="F11125" s="7" t="n">
        <f aca="false">CF!F17/(Seg!F29-Thesis!F20)</f>
        <v>0.0681773598226415</v>
      </c>
      <c r="G11125" s="7" t="n">
        <f aca="false">CF!G17/(Seg!G29-Thesis!G20)</f>
        <v>0.0650385409375172</v>
      </c>
      <c r="H11125" s="7" t="n">
        <f aca="false">CF!H17/(Seg!H29-Thesis!H20)</f>
        <v>0.063382542471986</v>
      </c>
      <c r="I11125" s="7" t="n">
        <f aca="false">CF!I17/(Seg!I29-Thesis!I20)</f>
        <v>0.0630998138876076</v>
      </c>
      <c r="J11125" s="7" t="n">
        <f aca="false">CF!J17/(Seg!J29-Thesis!J20)</f>
        <v>0.0638399980286975</v>
      </c>
      <c r="K11125" s="7" t="n">
        <f aca="false">CF!K17/(Seg!K29-Thesis!K20)</f>
        <v>0.0651531082402687</v>
      </c>
    </row>
    <row r="11126" customFormat="false" ht="17.15" hidden="false" customHeight="false" outlineLevel="0" collapsed="false">
      <c r="A11126" s="0" t="s">
        <v>949</v>
      </c>
      <c r="B11126" s="0" t="s">
        <v>95</v>
      </c>
      <c r="F11126" s="6" t="n">
        <f aca="false">Seg!F14*(al_m365+Sens!F11125)</f>
        <v>80.4434678008041</v>
      </c>
      <c r="G11126" s="6" t="n">
        <f aca="false">Seg!G14*(al_m365+Sens!G11125)</f>
        <v>94.1323272633269</v>
      </c>
      <c r="H11126" s="6" t="n">
        <f aca="false">Seg!H14*(al_m365+Sens!H11125)</f>
        <v>107.983658528206</v>
      </c>
      <c r="I11126" s="6" t="n">
        <f aca="false">Seg!I14*(al_m365+Sens!I11125)</f>
        <v>120.408335219477</v>
      </c>
      <c r="J11126" s="6" t="n">
        <f aca="false">Seg!J14*(al_m365+Sens!J11125)</f>
        <v>131.229685027411</v>
      </c>
      <c r="K11126" s="6" t="n">
        <f aca="false">Seg!K14*(al_m365+Sens!K11125)</f>
        <v>141.696231007978</v>
      </c>
    </row>
    <row r="11127" customFormat="false" ht="17.15" hidden="false" customHeight="false" outlineLevel="0" collapsed="false">
      <c r="A11127" s="0" t="s">
        <v>950</v>
      </c>
      <c r="B11127" s="0" t="s">
        <v>95</v>
      </c>
      <c r="F11127" s="6" t="n">
        <f aca="false">Seg!F15*(al_lic+Sens!F11125)</f>
        <v>31.9678940661213</v>
      </c>
      <c r="G11127" s="6" t="n">
        <f aca="false">Seg!G15*(al_lic+Sens!G11125)</f>
        <v>33.1937184472398</v>
      </c>
      <c r="H11127" s="6" t="n">
        <f aca="false">Seg!H15*(al_lic+Sens!H11125)</f>
        <v>34.3439380840055</v>
      </c>
      <c r="I11127" s="6" t="n">
        <f aca="false">Seg!I15*(al_lic+Sens!I11125)</f>
        <v>35.4022023072784</v>
      </c>
      <c r="J11127" s="6" t="n">
        <f aca="false">Seg!J15*(al_lic+Sens!J11125)</f>
        <v>36.3410576398918</v>
      </c>
      <c r="K11127" s="6" t="n">
        <f aca="false">Seg!K15*(al_lic+Sens!K11125)</f>
        <v>37.1276868757058</v>
      </c>
    </row>
    <row r="11128" customFormat="false" ht="17.15" hidden="false" customHeight="false" outlineLevel="0" collapsed="false">
      <c r="A11128" s="0" t="s">
        <v>951</v>
      </c>
      <c r="B11128" s="0" t="s">
        <v>95</v>
      </c>
      <c r="F11128" s="6" t="n">
        <f aca="false">Seg!F17*(al_ind+Sens!F11125)</f>
        <v>8.23142235288747</v>
      </c>
      <c r="G11128" s="6" t="n">
        <f aca="false">Seg!G17*(al_ind+Sens!G11125)</f>
        <v>8.92125445211874</v>
      </c>
      <c r="H11128" s="6" t="n">
        <f aca="false">Seg!H17*(al_ind+Sens!H11125)</f>
        <v>9.65645689966252</v>
      </c>
      <c r="I11128" s="6" t="n">
        <f aca="false">Seg!I17*(al_ind+Sens!I11125)</f>
        <v>10.4359305133559</v>
      </c>
      <c r="J11128" s="6" t="n">
        <f aca="false">Seg!J17*(al_ind+Sens!J11125)</f>
        <v>11.2496615107155</v>
      </c>
      <c r="K11128" s="6" t="n">
        <f aca="false">Seg!K17*(al_ind+Sens!K11125)</f>
        <v>12.0805802325565</v>
      </c>
    </row>
    <row r="11129" customFormat="false" ht="17.15" hidden="false" customHeight="false" outlineLevel="0" collapsed="false">
      <c r="A11129" s="0" t="s">
        <v>952</v>
      </c>
      <c r="B11129" s="0" t="s">
        <v>95</v>
      </c>
      <c r="F11129" s="6" t="n">
        <f aca="false">Seg!F19*(al_fro+Sens!F11125)</f>
        <v>3.23991673698178</v>
      </c>
      <c r="G11129" s="6" t="n">
        <f aca="false">Seg!G19*(al_fro+Sens!G11125)</f>
        <v>3.42523427012141</v>
      </c>
      <c r="H11129" s="6" t="n">
        <f aca="false">Seg!H19*(al_fro+Sens!H11125)</f>
        <v>3.63888347669114</v>
      </c>
      <c r="I11129" s="6" t="n">
        <f aca="false">Seg!I19*(al_fro+Sens!I11125)</f>
        <v>3.88382859986432</v>
      </c>
      <c r="J11129" s="6" t="n">
        <f aca="false">Seg!J19*(al_fro+Sens!J11125)</f>
        <v>4.16055715035227</v>
      </c>
      <c r="K11129" s="6" t="n">
        <f aca="false">Seg!K19*(al_fro+Sens!K11125)</f>
        <v>4.46786282583631</v>
      </c>
    </row>
    <row r="11130" customFormat="false" ht="17.15" hidden="false" customHeight="false" outlineLevel="0" collapsed="false">
      <c r="A11130" s="0" t="s">
        <v>953</v>
      </c>
      <c r="B11130" s="0" t="s">
        <v>95</v>
      </c>
      <c r="F11130" s="6" t="n">
        <f aca="false">Seg!F22*(al_srch+Sens!F11125)</f>
        <v>10.1659255338338</v>
      </c>
      <c r="G11130" s="6" t="n">
        <f aca="false">Seg!G22*(al_srch+Sens!G11125)</f>
        <v>11.1218361064416</v>
      </c>
      <c r="H11130" s="6" t="n">
        <f aca="false">Seg!H22*(al_srch+Sens!H11125)</f>
        <v>12.1240320316325</v>
      </c>
      <c r="I11130" s="6" t="n">
        <f aca="false">Seg!I22*(al_srch+Sens!I11125)</f>
        <v>13.1651647223307</v>
      </c>
      <c r="J11130" s="6" t="n">
        <f aca="false">Seg!J22*(al_srch+Sens!J11125)</f>
        <v>14.2257207024961</v>
      </c>
      <c r="K11130" s="6" t="n">
        <f aca="false">Seg!K22*(al_srch+Sens!K11125)</f>
        <v>15.2764561092572</v>
      </c>
    </row>
    <row r="11131" customFormat="false" ht="17.15" hidden="false" customHeight="false" outlineLevel="0" collapsed="false">
      <c r="A11131" s="0" t="s">
        <v>954</v>
      </c>
      <c r="B11131" s="0" t="s">
        <v>95</v>
      </c>
      <c r="F11131" s="6" t="n">
        <f aca="false">Thesis!F26</f>
        <v>43.1278534047371</v>
      </c>
      <c r="G11131" s="6" t="n">
        <f aca="false">Thesis!G26</f>
        <v>78.4713023799053</v>
      </c>
      <c r="H11131" s="6" t="n">
        <f aca="false">Thesis!H26</f>
        <v>120.169624261219</v>
      </c>
      <c r="I11131" s="6" t="n">
        <f aca="false">Thesis!I26</f>
        <v>156.086713969963</v>
      </c>
      <c r="J11131" s="6" t="n">
        <f aca="false">Thesis!J26</f>
        <v>192.09687492465</v>
      </c>
      <c r="K11131" s="6" t="n">
        <f aca="false">Thesis!K26</f>
        <v>228.161785217179</v>
      </c>
    </row>
    <row r="11132" customFormat="false" ht="17.15" hidden="false" customHeight="false" outlineLevel="0" collapsed="false">
      <c r="A11132" s="0" t="s">
        <v>955</v>
      </c>
      <c r="B11132" s="0" t="s">
        <v>95</v>
      </c>
      <c r="F11132" s="6" t="n">
        <f aca="false">PL!F32+Thesis!F37+Sens!F11125*(Seg!F21-Thesis!F20)</f>
        <v>216.001008704281</v>
      </c>
      <c r="G11132" s="6" t="n">
        <f aca="false">PL!G32+Thesis!G37+Sens!G11125*(Seg!G21-Thesis!G20)</f>
        <v>273.190669749878</v>
      </c>
      <c r="H11132" s="6" t="n">
        <f aca="false">PL!H32+Thesis!H37+Sens!H11125*(Seg!H21-Thesis!H20)</f>
        <v>336.986209145837</v>
      </c>
      <c r="I11132" s="6" t="n">
        <f aca="false">PL!I32+Thesis!I37+Sens!I11125*(Seg!I21-Thesis!I20)</f>
        <v>393.439203291672</v>
      </c>
      <c r="J11132" s="6" t="n">
        <f aca="false">PL!J32+Thesis!J37+Sens!J11125*(Seg!J21-Thesis!J20)</f>
        <v>447.606137303559</v>
      </c>
      <c r="K11132" s="6" t="n">
        <f aca="false">PL!K32+Thesis!K37+Sens!K11125*(Seg!K21-Thesis!K20)</f>
        <v>499.903344093081</v>
      </c>
    </row>
    <row r="11133" customFormat="false" ht="17.15" hidden="false" customHeight="false" outlineLevel="0" collapsed="false">
      <c r="A11133" s="0" t="s">
        <v>956</v>
      </c>
      <c r="B11133" s="0" t="s">
        <v>95</v>
      </c>
      <c r="F11133" s="6" t="n">
        <f aca="false">Sens!F11132-Sens!F11126-Sens!F11127-Sens!F11128-Sens!F11129-Sens!F11131</f>
        <v>48.9904543427497</v>
      </c>
      <c r="G11133" s="6" t="n">
        <f aca="false">Sens!G11132-Sens!G11126-Sens!G11127-Sens!G11128-Sens!G11129-Sens!G11131</f>
        <v>55.0468329371655</v>
      </c>
      <c r="H11133" s="6" t="n">
        <f aca="false">Sens!H11132-Sens!H11126-Sens!H11127-Sens!H11128-Sens!H11129-Sens!H11131</f>
        <v>61.1936478960528</v>
      </c>
      <c r="I11133" s="6" t="n">
        <f aca="false">Sens!I11132-Sens!I11126-Sens!I11127-Sens!I11128-Sens!I11129-Sens!I11131</f>
        <v>67.2221926817336</v>
      </c>
      <c r="J11133" s="6" t="n">
        <f aca="false">Sens!J11132-Sens!J11126-Sens!J11127-Sens!J11128-Sens!J11129-Sens!J11131</f>
        <v>72.5283010505383</v>
      </c>
      <c r="K11133" s="6" t="n">
        <f aca="false">Sens!K11132-Sens!K11126-Sens!K11127-Sens!K11128-Sens!K11129-Sens!K11131</f>
        <v>76.3691979338254</v>
      </c>
    </row>
    <row r="11134" customFormat="false" ht="17.15" hidden="false" customHeight="false" outlineLevel="0" collapsed="false">
      <c r="A11134" s="0" t="s">
        <v>957</v>
      </c>
      <c r="B11134" s="0" t="s">
        <v>95</v>
      </c>
      <c r="F11134" s="6" t="n">
        <f aca="false">PL!F34+Sens!F11125*Seg!F28</f>
        <v>23.7366325885412</v>
      </c>
      <c r="G11134" s="6" t="n">
        <f aca="false">PL!G34+Sens!G11125*Seg!G28</f>
        <v>24.2488001831921</v>
      </c>
      <c r="H11134" s="6" t="n">
        <f aca="false">PL!H34+Sens!H11125*Seg!H28</f>
        <v>25.0191565857232</v>
      </c>
      <c r="I11134" s="6" t="n">
        <f aca="false">PL!I34+Sens!I11125*Seg!I28</f>
        <v>26.0222596996374</v>
      </c>
      <c r="J11134" s="6" t="n">
        <f aca="false">PL!J34+Sens!J11125*Seg!J28</f>
        <v>27.2212114824986</v>
      </c>
      <c r="K11134" s="6" t="n">
        <f aca="false">PL!K34+Sens!K11125*Seg!K28</f>
        <v>28.5733379970501</v>
      </c>
    </row>
    <row r="11135" customFormat="false" ht="17.15" hidden="false" customHeight="false" outlineLevel="0" collapsed="false">
      <c r="A11135" s="0" t="s">
        <v>958</v>
      </c>
      <c r="B11135" s="0" t="s">
        <v>95</v>
      </c>
      <c r="F11135" s="6" t="n">
        <f aca="false">(Sens!F11134-Sens!F11130)*Seg!F24/(Seg!F24+Seg!F26)</f>
        <v>7.43932943061911</v>
      </c>
      <c r="G11135" s="6" t="n">
        <f aca="false">(Sens!G11134-Sens!G11130)*Seg!G24/(Seg!G24+Seg!G26)</f>
        <v>7.06776830757547</v>
      </c>
      <c r="H11135" s="6" t="n">
        <f aca="false">(Sens!H11134-Sens!H11130)*Seg!H24/(Seg!H24+Seg!H26)</f>
        <v>6.84915463876495</v>
      </c>
      <c r="I11135" s="6" t="n">
        <f aca="false">(Sens!I11134-Sens!I11130)*Seg!I24/(Seg!I24+Seg!I26)</f>
        <v>6.76716702045722</v>
      </c>
      <c r="J11135" s="6" t="n">
        <f aca="false">(Sens!J11134-Sens!J11130)*Seg!J24/(Seg!J24+Seg!J26)</f>
        <v>6.80907960368748</v>
      </c>
      <c r="K11135" s="6" t="n">
        <f aca="false">(Sens!K11134-Sens!K11130)*Seg!K24/(Seg!K24+Seg!K26)</f>
        <v>6.96699561313494</v>
      </c>
    </row>
    <row r="11136" customFormat="false" ht="17.15" hidden="false" customHeight="false" outlineLevel="0" collapsed="false">
      <c r="A11136" s="0" t="s">
        <v>959</v>
      </c>
      <c r="B11136" s="0" t="s">
        <v>95</v>
      </c>
      <c r="F11136" s="6" t="n">
        <f aca="false">Sens!F11134-Sens!F11130-Sens!F11135</f>
        <v>6.13137762408826</v>
      </c>
      <c r="G11136" s="6" t="n">
        <f aca="false">Sens!G11134-Sens!G11130-Sens!G11135</f>
        <v>6.05919576917506</v>
      </c>
      <c r="H11136" s="6" t="n">
        <f aca="false">Sens!H11134-Sens!H11130-Sens!H11135</f>
        <v>6.04596991532572</v>
      </c>
      <c r="I11136" s="6" t="n">
        <f aca="false">Sens!I11134-Sens!I11130-Sens!I11135</f>
        <v>6.08992795684943</v>
      </c>
      <c r="J11136" s="6" t="n">
        <f aca="false">Sens!J11134-Sens!J11130-Sens!J11135</f>
        <v>6.18641117631496</v>
      </c>
      <c r="K11136" s="6" t="n">
        <f aca="false">Sens!K11134-Sens!K11130-Sens!K11135</f>
        <v>6.32988627465802</v>
      </c>
    </row>
    <row r="11137" customFormat="false" ht="17.15" hidden="false" customHeight="false" outlineLevel="0" collapsed="false">
      <c r="A11137" s="1" t="s">
        <v>960</v>
      </c>
      <c r="B11137" s="0" t="s">
        <v>95</v>
      </c>
      <c r="C11137" s="6" t="n">
        <f aca="false">(w_ntm28*Sens!G11131+(1-w_ntm28)*Sens!H11131)*m_ai*1.2</f>
        <v>662.053361437685</v>
      </c>
    </row>
    <row r="11138" customFormat="false" ht="17.15" hidden="false" customHeight="false" outlineLevel="0" collapsed="false">
      <c r="A11138" s="1" t="s">
        <v>961</v>
      </c>
      <c r="B11138" s="0" t="s">
        <v>95</v>
      </c>
      <c r="C11138" s="6" t="n">
        <f aca="false">(w_ntm28*Sens!G11133+(1-w_ntm28)*Sens!H11133)*m_cloud*1.2</f>
        <v>945.85222799112</v>
      </c>
    </row>
    <row r="11139" customFormat="false" ht="17.15" hidden="false" customHeight="false" outlineLevel="0" collapsed="false">
      <c r="A11139" s="1" t="s">
        <v>962</v>
      </c>
      <c r="B11139" s="0" t="s">
        <v>95</v>
      </c>
      <c r="C11139" s="6" t="n">
        <f aca="false">(w_ntm28*Sens!G11126+(1-w_ntm28)*Sens!H11126)*m_sw*1.2</f>
        <v>1277.98938291287</v>
      </c>
    </row>
    <row r="11140" customFormat="false" ht="17.15" hidden="false" customHeight="false" outlineLevel="0" collapsed="false">
      <c r="A11140" s="1" t="s">
        <v>963</v>
      </c>
      <c r="B11140" s="0" t="s">
        <v>95</v>
      </c>
      <c r="C11140" s="6" t="n">
        <f aca="false">(w_ntm28*Sens!G11127+(1-w_ntm28)*Sens!H11127)*m_sw*1.2</f>
        <v>435.009790764209</v>
      </c>
    </row>
    <row r="11141" customFormat="false" ht="17.15" hidden="false" customHeight="false" outlineLevel="0" collapsed="false">
      <c r="A11141" s="1" t="s">
        <v>964</v>
      </c>
      <c r="B11141" s="0" t="s">
        <v>95</v>
      </c>
      <c r="C11141" s="6" t="n">
        <f aca="false">(w_ntm28*Sens!G11128+(1-w_ntm28)*Sens!H11128)*m_sw*1.2</f>
        <v>118.699814956938</v>
      </c>
    </row>
    <row r="11142" customFormat="false" ht="17.15" hidden="false" customHeight="false" outlineLevel="0" collapsed="false">
      <c r="A11142" s="1" t="s">
        <v>965</v>
      </c>
      <c r="B11142" s="0" t="s">
        <v>95</v>
      </c>
      <c r="C11142" s="6" t="n">
        <f aca="false">(w_ntm28*Sens!G11129+(1-w_ntm28)*Sens!H11129)*m_sw*1.2</f>
        <v>45.2861853424802</v>
      </c>
    </row>
    <row r="11143" customFormat="false" ht="17.15" hidden="false" customHeight="false" outlineLevel="0" collapsed="false">
      <c r="A11143" s="1" t="s">
        <v>966</v>
      </c>
      <c r="B11143" s="0" t="s">
        <v>95</v>
      </c>
      <c r="C11143" s="6" t="n">
        <f aca="false">(w_ntm28*Sens!G11130+(1-w_ntm28)*Sens!H11130)*m_ads*1.2</f>
        <v>125.125853934233</v>
      </c>
    </row>
    <row r="11144" customFormat="false" ht="17.15" hidden="false" customHeight="false" outlineLevel="0" collapsed="false">
      <c r="A11144" s="1" t="s">
        <v>967</v>
      </c>
      <c r="B11144" s="0" t="s">
        <v>95</v>
      </c>
      <c r="C11144" s="6" t="n">
        <f aca="false">(w_ntm28*Sens!G11135+(1-w_ntm28)*Sens!H11135)*m_game*1.2</f>
        <v>106.047944595066</v>
      </c>
    </row>
    <row r="11145" customFormat="false" ht="17.15" hidden="false" customHeight="false" outlineLevel="0" collapsed="false">
      <c r="A11145" s="1" t="s">
        <v>968</v>
      </c>
      <c r="B11145" s="0" t="s">
        <v>95</v>
      </c>
      <c r="C11145" s="6" t="n">
        <f aca="false">(w_ntm28*Sens!G11136+(1-w_ntm28)*Sens!H11136)*m_pc*1.2</f>
        <v>105.13763111761</v>
      </c>
    </row>
    <row r="11146" customFormat="false" ht="17.15" hidden="false" customHeight="false" outlineLevel="0" collapsed="false">
      <c r="A11146" s="1" t="s">
        <v>969</v>
      </c>
      <c r="B11146" s="0" t="s">
        <v>95</v>
      </c>
      <c r="C11146" s="6" t="n">
        <f aca="false">Sens!$C$11137+Sens!$C$11138+Sens!$C$11139+Sens!$C$11140+Sens!$C$11141+Sens!$C$11142+Sens!$C$11143+Sens!$C$11144+Sens!$C$11145</f>
        <v>3821.20219305221</v>
      </c>
    </row>
    <row r="11147" customFormat="false" ht="17.15" hidden="false" customHeight="false" outlineLevel="0" collapsed="false">
      <c r="A11147" s="1" t="s">
        <v>903</v>
      </c>
      <c r="B11147" s="0" t="s">
        <v>95</v>
      </c>
      <c r="C11147" s="6" t="n">
        <f aca="false">CF!F36+oai_v-CF!F25</f>
        <v>115.079583119545</v>
      </c>
      <c r="L11147" s="1" t="s">
        <v>970</v>
      </c>
    </row>
    <row r="11148" customFormat="false" ht="15" hidden="false" customHeight="false" outlineLevel="0" collapsed="false">
      <c r="A11148" s="1" t="s">
        <v>904</v>
      </c>
      <c r="B11148" s="0" t="s">
        <v>73</v>
      </c>
      <c r="C11148" s="5" t="n">
        <f aca="false">(Sens!$C$11146+Sens!$C$11147)/CF!F38</f>
        <v>526.804306232836</v>
      </c>
    </row>
    <row r="11149" customFormat="false" ht="17.15" hidden="false" customHeight="false" outlineLevel="0" collapsed="false">
      <c r="A11149" s="1" t="s">
        <v>971</v>
      </c>
      <c r="B11149" s="0" t="s">
        <v>73</v>
      </c>
      <c r="C11149" s="5" t="n">
        <f aca="false">w_dcf*Sens!$C$11124+(1-w_dcf)*Sens!$C$11148</f>
        <v>406.581345891536</v>
      </c>
    </row>
    <row r="11150" customFormat="false" ht="17.15" hidden="false" customHeight="false" outlineLevel="0" collapsed="false">
      <c r="A11150" s="3" t="s">
        <v>1430</v>
      </c>
    </row>
    <row r="11151" customFormat="false" ht="15" hidden="false" customHeight="false" outlineLevel="0" collapsed="false">
      <c r="A11151" s="4" t="s">
        <v>43</v>
      </c>
      <c r="B11151" s="4" t="s">
        <v>63</v>
      </c>
      <c r="C11151" s="19" t="s">
        <v>710</v>
      </c>
      <c r="D11151" s="19" t="s">
        <v>711</v>
      </c>
      <c r="E11151" s="19" t="s">
        <v>712</v>
      </c>
      <c r="F11151" s="19" t="s">
        <v>713</v>
      </c>
      <c r="G11151" s="19" t="s">
        <v>714</v>
      </c>
      <c r="H11151" s="19" t="s">
        <v>715</v>
      </c>
      <c r="I11151" s="19" t="s">
        <v>716</v>
      </c>
      <c r="J11151" s="19" t="s">
        <v>717</v>
      </c>
      <c r="K11151" s="19" t="s">
        <v>718</v>
      </c>
      <c r="L11151" s="4" t="s">
        <v>47</v>
      </c>
    </row>
    <row r="11152" customFormat="false" ht="17.15" hidden="false" customHeight="false" outlineLevel="0" collapsed="false">
      <c r="A11152" s="1" t="s">
        <v>938</v>
      </c>
      <c r="B11152" s="1" t="s">
        <v>213</v>
      </c>
      <c r="F11152" s="34" t="n">
        <f aca="false">1-0.5</f>
        <v>0.5</v>
      </c>
      <c r="G11152" s="34" t="n">
        <f aca="false">2-0.5</f>
        <v>1.5</v>
      </c>
      <c r="H11152" s="34" t="n">
        <f aca="false">3-0.5</f>
        <v>2.5</v>
      </c>
      <c r="I11152" s="34" t="n">
        <f aca="false">4-0.5</f>
        <v>3.5</v>
      </c>
      <c r="J11152" s="34" t="n">
        <f aca="false">5-0.5</f>
        <v>4.5</v>
      </c>
      <c r="K11152" s="34" t="n">
        <f aca="false">6-0.5</f>
        <v>5.5</v>
      </c>
    </row>
    <row r="11153" customFormat="false" ht="15" hidden="false" customHeight="false" outlineLevel="0" collapsed="false">
      <c r="A11153" s="1" t="s">
        <v>939</v>
      </c>
      <c r="B11153" s="0" t="s">
        <v>182</v>
      </c>
      <c r="F11153" s="18" t="n">
        <f aca="false">1/(1+wacc)^Sens!F11152</f>
        <v>0.949601579913219</v>
      </c>
      <c r="G11153" s="18" t="n">
        <f aca="false">1/(1+wacc)^Sens!G11152</f>
        <v>0.856296729956707</v>
      </c>
      <c r="H11153" s="18" t="n">
        <f aca="false">1/(1+wacc)^Sens!H11152</f>
        <v>0.772159719660069</v>
      </c>
      <c r="I11153" s="18" t="n">
        <f aca="false">1/(1+wacc)^Sens!I11152</f>
        <v>0.696289746073958</v>
      </c>
      <c r="J11153" s="18" t="n">
        <f aca="false">1/(1+wacc)^Sens!J11152</f>
        <v>0.627874516299776</v>
      </c>
      <c r="K11153" s="18" t="n">
        <f aca="false">1/(1+wacc)^Sens!K11152</f>
        <v>0.566181550771831</v>
      </c>
    </row>
    <row r="11154" customFormat="false" ht="15" hidden="false" customHeight="false" outlineLevel="0" collapsed="false">
      <c r="A11154" s="1" t="s">
        <v>940</v>
      </c>
      <c r="B11154" s="0" t="s">
        <v>95</v>
      </c>
      <c r="F11154" s="6" t="n">
        <f aca="false">CF!F55*Sens!F11153</f>
        <v>1.14965940819235</v>
      </c>
      <c r="G11154" s="6" t="n">
        <f aca="false">CF!G55*Sens!G11153</f>
        <v>27.1570491091597</v>
      </c>
      <c r="H11154" s="6" t="n">
        <f aca="false">CF!H55*Sens!H11153</f>
        <v>54.4781094985992</v>
      </c>
      <c r="I11154" s="6" t="n">
        <f aca="false">CF!I55*Sens!I11153</f>
        <v>57.7826568404409</v>
      </c>
      <c r="J11154" s="6" t="n">
        <f aca="false">CF!J55*Sens!J11153</f>
        <v>68.7164221032162</v>
      </c>
      <c r="K11154" s="6" t="n">
        <f aca="false">CF!K55*Sens!K11153</f>
        <v>59.7900961252081</v>
      </c>
    </row>
    <row r="11155" customFormat="false" ht="17.15" hidden="false" customHeight="false" outlineLevel="0" collapsed="false">
      <c r="A11155" s="1" t="s">
        <v>941</v>
      </c>
      <c r="B11155" s="0" t="s">
        <v>95</v>
      </c>
      <c r="C11155" s="6" t="n">
        <f aca="false">SUM(Sens!F11154:K11154)</f>
        <v>269.073993084816</v>
      </c>
    </row>
    <row r="11156" customFormat="false" ht="17.15" hidden="false" customHeight="false" outlineLevel="0" collapsed="false">
      <c r="A11156" s="1" t="s">
        <v>942</v>
      </c>
      <c r="B11156" s="0" t="s">
        <v>95</v>
      </c>
      <c r="C11156" s="6" t="n">
        <f aca="false">PL!K70*(1+g_tv)*(1-tax_f)</f>
        <v>216.892770548847</v>
      </c>
    </row>
    <row r="11157" customFormat="false" ht="17.15" hidden="false" customHeight="false" outlineLevel="0" collapsed="false">
      <c r="A11157" s="1" t="s">
        <v>943</v>
      </c>
      <c r="B11157" s="0" t="s">
        <v>95</v>
      </c>
      <c r="C11157" s="6" t="n">
        <f aca="false">Sens!$C$11156*(1-g_tv/(wacc+ronic_prem))</f>
        <v>157.177363388729</v>
      </c>
    </row>
    <row r="11158" customFormat="false" ht="17.15" hidden="false" customHeight="false" outlineLevel="0" collapsed="false">
      <c r="A11158" s="1" t="s">
        <v>944</v>
      </c>
      <c r="B11158" s="0" t="s">
        <v>95</v>
      </c>
      <c r="C11158" s="6" t="n">
        <f aca="false">Sens!$C$11157/(wacc-g_tv)</f>
        <v>1990.51357200394</v>
      </c>
    </row>
    <row r="11159" customFormat="false" ht="15" hidden="false" customHeight="false" outlineLevel="0" collapsed="false">
      <c r="A11159" s="1" t="s">
        <v>945</v>
      </c>
      <c r="B11159" s="0" t="s">
        <v>95</v>
      </c>
      <c r="C11159" s="6" t="n">
        <f aca="false">Sens!$C$11158/(1+wacc)^6</f>
        <v>1070.19344170333</v>
      </c>
    </row>
    <row r="11160" customFormat="false" ht="17.15" hidden="false" customHeight="false" outlineLevel="0" collapsed="false">
      <c r="A11160" s="0" t="s">
        <v>877</v>
      </c>
      <c r="B11160" s="0" t="s">
        <v>95</v>
      </c>
      <c r="C11160" s="6" t="n">
        <f aca="false">Sens!$C$11155+Sens!$C$11159</f>
        <v>1339.26743478815</v>
      </c>
    </row>
    <row r="11161" customFormat="false" ht="15" hidden="false" customHeight="false" outlineLevel="0" collapsed="false">
      <c r="A11161" s="1" t="s">
        <v>878</v>
      </c>
      <c r="B11161" s="0" t="s">
        <v>126</v>
      </c>
      <c r="C11161" s="7" t="n">
        <f aca="false">Sens!$C$11159/Sens!$C$11160</f>
        <v>0.799088676319991</v>
      </c>
    </row>
    <row r="11162" customFormat="false" ht="17.15" hidden="false" customHeight="false" outlineLevel="0" collapsed="false">
      <c r="A11162" s="1" t="s">
        <v>946</v>
      </c>
      <c r="B11162" s="0" t="s">
        <v>95</v>
      </c>
      <c r="C11162" s="6" t="n">
        <f aca="false">Sens!$C$11160+CF!E64+oai_v</f>
        <v>1540.37443478815</v>
      </c>
    </row>
    <row r="11163" customFormat="false" ht="17.15" hidden="false" customHeight="false" outlineLevel="0" collapsed="false">
      <c r="A11163" s="0" t="s">
        <v>883</v>
      </c>
      <c r="B11163" s="0" t="s">
        <v>73</v>
      </c>
      <c r="C11163" s="5" t="n">
        <f aca="false">Sens!$C$11162/sh_dil26</f>
        <v>206.678442880471</v>
      </c>
    </row>
    <row r="11164" customFormat="false" ht="17.15" hidden="false" customHeight="false" outlineLevel="0" collapsed="false">
      <c r="A11164" s="0" t="s">
        <v>947</v>
      </c>
      <c r="B11164" s="0" t="s">
        <v>73</v>
      </c>
      <c r="C11164" s="5" t="n">
        <f aca="false">Sens!$C$11163*(1+wacc)^t_roll</f>
        <v>237.059051877336</v>
      </c>
    </row>
    <row r="11165" customFormat="false" ht="17.15" hidden="false" customHeight="false" outlineLevel="0" collapsed="false">
      <c r="A11165" s="1" t="s">
        <v>948</v>
      </c>
      <c r="B11165" s="0" t="s">
        <v>126</v>
      </c>
      <c r="F11165" s="7" t="n">
        <f aca="false">CF!F45/(Seg!F56-Thesis!F64)</f>
        <v>0.0684307874075333</v>
      </c>
      <c r="G11165" s="7" t="n">
        <f aca="false">CF!G45/(Seg!G56-Thesis!G64)</f>
        <v>0.0656456058503526</v>
      </c>
      <c r="H11165" s="7" t="n">
        <f aca="false">CF!H45/(Seg!H56-Thesis!H64)</f>
        <v>0.0641950889132003</v>
      </c>
      <c r="I11165" s="7" t="n">
        <f aca="false">CF!I45/(Seg!I56-Thesis!I64)</f>
        <v>0.063960269667854</v>
      </c>
      <c r="J11165" s="7" t="n">
        <f aca="false">CF!J45/(Seg!J56-Thesis!J64)</f>
        <v>0.0646607917002597</v>
      </c>
      <c r="K11165" s="7" t="n">
        <f aca="false">CF!K45/(Seg!K56-Thesis!K64)</f>
        <v>0.0659511546529383</v>
      </c>
    </row>
    <row r="11166" customFormat="false" ht="17.15" hidden="false" customHeight="false" outlineLevel="0" collapsed="false">
      <c r="A11166" s="0" t="s">
        <v>949</v>
      </c>
      <c r="B11166" s="0" t="s">
        <v>95</v>
      </c>
      <c r="F11166" s="6" t="n">
        <f aca="false">Seg!F41*(al_m365+Sens!F11165)</f>
        <v>79.4713323717639</v>
      </c>
      <c r="G11166" s="6" t="n">
        <f aca="false">Seg!G41*(al_m365+Sens!G11165)</f>
        <v>91.222848535282</v>
      </c>
      <c r="H11166" s="6" t="n">
        <f aca="false">Seg!H41*(al_m365+Sens!H11165)</f>
        <v>103.134459525438</v>
      </c>
      <c r="I11166" s="6" t="n">
        <f aca="false">Seg!I41*(al_m365+Sens!I11165)</f>
        <v>114.09096761677</v>
      </c>
      <c r="J11166" s="6" t="n">
        <f aca="false">Seg!J41*(al_m365+Sens!J11165)</f>
        <v>123.914507832207</v>
      </c>
      <c r="K11166" s="6" t="n">
        <f aca="false">Seg!K41*(al_m365+Sens!K11165)</f>
        <v>133.375360010951</v>
      </c>
    </row>
    <row r="11167" customFormat="false" ht="17.15" hidden="false" customHeight="false" outlineLevel="0" collapsed="false">
      <c r="A11167" s="0" t="s">
        <v>950</v>
      </c>
      <c r="B11167" s="0" t="s">
        <v>95</v>
      </c>
      <c r="F11167" s="6" t="n">
        <f aca="false">Seg!F42*(al_lic+Sens!F11165)</f>
        <v>31.9777960098625</v>
      </c>
      <c r="G11167" s="6" t="n">
        <f aca="false">Seg!G42*(al_lic+Sens!G11165)</f>
        <v>33.2184421146294</v>
      </c>
      <c r="H11167" s="6" t="n">
        <f aca="false">Seg!H42*(al_lic+Sens!H11165)</f>
        <v>34.3782467188855</v>
      </c>
      <c r="I11167" s="6" t="n">
        <f aca="false">Seg!I42*(al_lic+Sens!I11165)</f>
        <v>35.4396663788333</v>
      </c>
      <c r="J11167" s="6" t="n">
        <f aca="false">Seg!J42*(al_lic+Sens!J11165)</f>
        <v>36.377709205557</v>
      </c>
      <c r="K11167" s="6" t="n">
        <f aca="false">Seg!K42*(al_lic+Sens!K11165)</f>
        <v>37.1640354058437</v>
      </c>
    </row>
    <row r="11168" customFormat="false" ht="17.15" hidden="false" customHeight="false" outlineLevel="0" collapsed="false">
      <c r="A11168" s="0" t="s">
        <v>951</v>
      </c>
      <c r="B11168" s="0" t="s">
        <v>95</v>
      </c>
      <c r="F11168" s="6" t="n">
        <f aca="false">Seg!F44*(al_ind+Sens!F11165)</f>
        <v>8.23708828923978</v>
      </c>
      <c r="G11168" s="6" t="n">
        <f aca="false">Seg!G44*(al_ind+Sens!G11165)</f>
        <v>8.93609064049065</v>
      </c>
      <c r="H11168" s="6" t="n">
        <f aca="false">Seg!H44*(al_ind+Sens!H11165)</f>
        <v>9.67804935051386</v>
      </c>
      <c r="I11168" s="6" t="n">
        <f aca="false">Seg!I44*(al_ind+Sens!I11165)</f>
        <v>10.4606610595832</v>
      </c>
      <c r="J11168" s="6" t="n">
        <f aca="false">Seg!J44*(al_ind+Sens!J11165)</f>
        <v>11.275039839171</v>
      </c>
      <c r="K11168" s="6" t="n">
        <f aca="false">Seg!K44*(al_ind+Sens!K11165)</f>
        <v>12.106982482736</v>
      </c>
    </row>
    <row r="11169" customFormat="false" ht="17.15" hidden="false" customHeight="false" outlineLevel="0" collapsed="false">
      <c r="A11169" s="0" t="s">
        <v>952</v>
      </c>
      <c r="B11169" s="0" t="s">
        <v>95</v>
      </c>
      <c r="F11169" s="6" t="n">
        <f aca="false">Seg!F46*(al_fro+Sens!F11165)</f>
        <v>3.24214686942203</v>
      </c>
      <c r="G11169" s="6" t="n">
        <f aca="false">Seg!G46*(al_fro+Sens!G11165)</f>
        <v>3.43093048931594</v>
      </c>
      <c r="H11169" s="6" t="n">
        <f aca="false">Seg!H46*(al_fro+Sens!H11165)</f>
        <v>3.6470202512287</v>
      </c>
      <c r="I11169" s="6" t="n">
        <f aca="false">Seg!I46*(al_fro+Sens!I11165)</f>
        <v>3.89303230264912</v>
      </c>
      <c r="J11169" s="6" t="n">
        <f aca="false">Seg!J46*(al_fro+Sens!J11165)</f>
        <v>4.16994303150246</v>
      </c>
      <c r="K11169" s="6" t="n">
        <f aca="false">Seg!K46*(al_fro+Sens!K11165)</f>
        <v>4.47762739258926</v>
      </c>
    </row>
    <row r="11170" customFormat="false" ht="17.15" hidden="false" customHeight="false" outlineLevel="0" collapsed="false">
      <c r="A11170" s="0" t="s">
        <v>953</v>
      </c>
      <c r="B11170" s="0" t="s">
        <v>95</v>
      </c>
      <c r="F11170" s="6" t="n">
        <f aca="false">Seg!F49*(al_srch+Sens!F11165)</f>
        <v>10.1729230470907</v>
      </c>
      <c r="G11170" s="6" t="n">
        <f aca="false">Seg!G49*(al_srch+Sens!G11165)</f>
        <v>11.1403318971852</v>
      </c>
      <c r="H11170" s="6" t="n">
        <f aca="false">Seg!H49*(al_srch+Sens!H11165)</f>
        <v>12.1511421371799</v>
      </c>
      <c r="I11170" s="6" t="n">
        <f aca="false">Seg!I49*(al_srch+Sens!I11165)</f>
        <v>13.1963628712968</v>
      </c>
      <c r="J11170" s="6" t="n">
        <f aca="false">Seg!J49*(al_srch+Sens!J11165)</f>
        <v>14.2578127803031</v>
      </c>
      <c r="K11170" s="6" t="n">
        <f aca="false">Seg!K49*(al_srch+Sens!K11165)</f>
        <v>15.3098429837522</v>
      </c>
    </row>
    <row r="11171" customFormat="false" ht="17.15" hidden="false" customHeight="false" outlineLevel="0" collapsed="false">
      <c r="A11171" s="0" t="s">
        <v>954</v>
      </c>
      <c r="B11171" s="0" t="s">
        <v>95</v>
      </c>
      <c r="F11171" s="6" t="n">
        <f aca="false">Thesis!F70</f>
        <v>39.4594407491938</v>
      </c>
      <c r="G11171" s="6" t="n">
        <f aca="false">Thesis!G70</f>
        <v>66.5527545578061</v>
      </c>
      <c r="H11171" s="6" t="n">
        <f aca="false">Thesis!H70</f>
        <v>95.219644983859</v>
      </c>
      <c r="I11171" s="6" t="n">
        <f aca="false">Thesis!I70</f>
        <v>124.031840462493</v>
      </c>
      <c r="J11171" s="6" t="n">
        <f aca="false">Thesis!J70</f>
        <v>152.919994097909</v>
      </c>
      <c r="K11171" s="6" t="n">
        <f aca="false">Thesis!K70</f>
        <v>181.852830263848</v>
      </c>
    </row>
    <row r="11172" customFormat="false" ht="17.15" hidden="false" customHeight="false" outlineLevel="0" collapsed="false">
      <c r="A11172" s="0" t="s">
        <v>955</v>
      </c>
      <c r="B11172" s="0" t="s">
        <v>95</v>
      </c>
      <c r="F11172" s="6" t="n">
        <f aca="false">PL!F67+Thesis!F81+Sens!F11165*(Seg!F48-Thesis!F64)</f>
        <v>211.444651350023</v>
      </c>
      <c r="G11172" s="6" t="n">
        <f aca="false">PL!G67+Thesis!G81+Sens!G11165*(Seg!G48-Thesis!G64)</f>
        <v>258.603564397354</v>
      </c>
      <c r="H11172" s="6" t="n">
        <f aca="false">PL!H67+Thesis!H81+Sens!H11165*(Seg!H48-Thesis!H64)</f>
        <v>307.569865351584</v>
      </c>
      <c r="I11172" s="6" t="n">
        <f aca="false">PL!I67+Thesis!I81+Sens!I11165*(Seg!I48-Thesis!I64)</f>
        <v>355.542793549845</v>
      </c>
      <c r="J11172" s="6" t="n">
        <f aca="false">PL!J67+Thesis!J81+Sens!J11165*(Seg!J48-Thesis!J64)</f>
        <v>401.64028415844</v>
      </c>
      <c r="K11172" s="6" t="n">
        <f aca="false">PL!K67+Thesis!K81+Sens!K11165*(Seg!K48-Thesis!K64)</f>
        <v>445.850798387254</v>
      </c>
    </row>
    <row r="11173" customFormat="false" ht="17.15" hidden="false" customHeight="false" outlineLevel="0" collapsed="false">
      <c r="A11173" s="0" t="s">
        <v>956</v>
      </c>
      <c r="B11173" s="0" t="s">
        <v>95</v>
      </c>
      <c r="F11173" s="6" t="n">
        <f aca="false">Sens!F11172-Sens!F11166-Sens!F11167-Sens!F11168-Sens!F11169-Sens!F11171</f>
        <v>49.0568470605414</v>
      </c>
      <c r="G11173" s="6" t="n">
        <f aca="false">Sens!G11172-Sens!G11166-Sens!G11167-Sens!G11168-Sens!G11169-Sens!G11171</f>
        <v>55.2424980598302</v>
      </c>
      <c r="H11173" s="6" t="n">
        <f aca="false">Sens!H11172-Sens!H11166-Sens!H11167-Sens!H11168-Sens!H11169-Sens!H11171</f>
        <v>61.5124445216581</v>
      </c>
      <c r="I11173" s="6" t="n">
        <f aca="false">Sens!I11172-Sens!I11166-Sens!I11167-Sens!I11168-Sens!I11169-Sens!I11171</f>
        <v>67.6266257295162</v>
      </c>
      <c r="J11173" s="6" t="n">
        <f aca="false">Sens!J11172-Sens!J11166-Sens!J11167-Sens!J11168-Sens!J11169-Sens!J11171</f>
        <v>72.9830901520934</v>
      </c>
      <c r="K11173" s="6" t="n">
        <f aca="false">Sens!K11172-Sens!K11166-Sens!K11167-Sens!K11168-Sens!K11169-Sens!K11171</f>
        <v>76.8739628312856</v>
      </c>
    </row>
    <row r="11174" customFormat="false" ht="17.15" hidden="false" customHeight="false" outlineLevel="0" collapsed="false">
      <c r="A11174" s="0" t="s">
        <v>957</v>
      </c>
      <c r="B11174" s="0" t="s">
        <v>95</v>
      </c>
      <c r="F11174" s="6" t="n">
        <f aca="false">PL!F69+Sens!F11165*Seg!F55</f>
        <v>23.7531412609386</v>
      </c>
      <c r="G11174" s="6" t="n">
        <f aca="false">PL!G69+Sens!G11165*Seg!G55</f>
        <v>24.289549634664</v>
      </c>
      <c r="H11174" s="6" t="n">
        <f aca="false">PL!H69+Sens!H11165*Seg!H55</f>
        <v>25.0756909710291</v>
      </c>
      <c r="I11174" s="6" t="n">
        <f aca="false">PL!I69+Sens!I11165*Seg!I55</f>
        <v>26.084576762931</v>
      </c>
      <c r="J11174" s="6" t="n">
        <f aca="false">PL!J69+Sens!J11165*Seg!J55</f>
        <v>27.2832671034962</v>
      </c>
      <c r="K11174" s="6" t="n">
        <f aca="false">PL!K69+Sens!K11165*Seg!K55</f>
        <v>28.6364406758481</v>
      </c>
    </row>
    <row r="11175" customFormat="false" ht="17.15" hidden="false" customHeight="false" outlineLevel="0" collapsed="false">
      <c r="A11175" s="0" t="s">
        <v>958</v>
      </c>
      <c r="B11175" s="0" t="s">
        <v>95</v>
      </c>
      <c r="F11175" s="6" t="n">
        <f aca="false">(Sens!F11174-Sens!F11170)*Seg!F51/(Seg!F51+Seg!F53)</f>
        <v>7.4445433554226</v>
      </c>
      <c r="G11175" s="6" t="n">
        <f aca="false">(Sens!G11174-Sens!G11170)*Seg!G51/(Seg!G51+Seg!G53)</f>
        <v>7.07975003595558</v>
      </c>
      <c r="H11175" s="6" t="n">
        <f aca="false">(Sens!H11174-Sens!H11170)*Seg!H51/(Seg!H51+Seg!H53)</f>
        <v>6.86478313784268</v>
      </c>
      <c r="I11175" s="6" t="n">
        <f aca="false">(Sens!I11174-Sens!I11170)*Seg!I51/(Seg!I51+Seg!I53)</f>
        <v>6.78354606184423</v>
      </c>
      <c r="J11175" s="6" t="n">
        <f aca="false">(Sens!J11174-Sens!J11170)*Seg!J51/(Seg!J51+Seg!J53)</f>
        <v>6.82477921474853</v>
      </c>
      <c r="K11175" s="6" t="n">
        <f aca="false">(Sens!K11174-Sens!K11170)*Seg!K51/(Seg!K51+Seg!K53)</f>
        <v>6.98256541964795</v>
      </c>
    </row>
    <row r="11176" customFormat="false" ht="17.15" hidden="false" customHeight="false" outlineLevel="0" collapsed="false">
      <c r="A11176" s="0" t="s">
        <v>959</v>
      </c>
      <c r="B11176" s="0" t="s">
        <v>95</v>
      </c>
      <c r="F11176" s="6" t="n">
        <f aca="false">Sens!F11174-Sens!F11170-Sens!F11175</f>
        <v>6.1356748584253</v>
      </c>
      <c r="G11176" s="6" t="n">
        <f aca="false">Sens!G11174-Sens!G11170-Sens!G11175</f>
        <v>6.06946770152326</v>
      </c>
      <c r="H11176" s="6" t="n">
        <f aca="false">Sens!H11174-Sens!H11170-Sens!H11175</f>
        <v>6.05976569600657</v>
      </c>
      <c r="I11176" s="6" t="n">
        <f aca="false">Sens!I11174-Sens!I11170-Sens!I11175</f>
        <v>6.10466782979</v>
      </c>
      <c r="J11176" s="6" t="n">
        <f aca="false">Sens!J11174-Sens!J11170-Sens!J11175</f>
        <v>6.20067510844453</v>
      </c>
      <c r="K11176" s="6" t="n">
        <f aca="false">Sens!K11174-Sens!K11170-Sens!K11175</f>
        <v>6.34403227244794</v>
      </c>
    </row>
    <row r="11177" customFormat="false" ht="17.15" hidden="false" customHeight="false" outlineLevel="0" collapsed="false">
      <c r="A11177" s="1" t="s">
        <v>960</v>
      </c>
      <c r="B11177" s="0" t="s">
        <v>95</v>
      </c>
      <c r="C11177" s="6" t="n">
        <f aca="false">(w_ntm28*Sens!G11171+(1-w_ntm28)*Sens!H11171)*m_ai*1.2</f>
        <v>545.906928996956</v>
      </c>
    </row>
    <row r="11178" customFormat="false" ht="17.15" hidden="false" customHeight="false" outlineLevel="0" collapsed="false">
      <c r="A11178" s="1" t="s">
        <v>961</v>
      </c>
      <c r="B11178" s="0" t="s">
        <v>95</v>
      </c>
      <c r="C11178" s="6" t="n">
        <f aca="false">(w_ntm28*Sens!G11173+(1-w_ntm28)*Sens!H11173)*m_cloud*1.2</f>
        <v>949.757295962604</v>
      </c>
    </row>
    <row r="11179" customFormat="false" ht="17.15" hidden="false" customHeight="false" outlineLevel="0" collapsed="false">
      <c r="A11179" s="1" t="s">
        <v>962</v>
      </c>
      <c r="B11179" s="0" t="s">
        <v>95</v>
      </c>
      <c r="C11179" s="6" t="n">
        <f aca="false">(w_ntm28*Sens!G11166+(1-w_ntm28)*Sens!H11166)*m_sw*1.2</f>
        <v>1232.15548264746</v>
      </c>
    </row>
    <row r="11180" customFormat="false" ht="17.15" hidden="false" customHeight="false" outlineLevel="0" collapsed="false">
      <c r="A11180" s="1" t="s">
        <v>963</v>
      </c>
      <c r="B11180" s="0" t="s">
        <v>95</v>
      </c>
      <c r="C11180" s="6" t="n">
        <f aca="false">(w_ntm28*Sens!G11167+(1-w_ntm28)*Sens!H11167)*m_sw*1.2</f>
        <v>435.37036866915</v>
      </c>
    </row>
    <row r="11181" customFormat="false" ht="17.15" hidden="false" customHeight="false" outlineLevel="0" collapsed="false">
      <c r="A11181" s="1" t="s">
        <v>964</v>
      </c>
      <c r="B11181" s="0" t="s">
        <v>95</v>
      </c>
      <c r="C11181" s="6" t="n">
        <f aca="false">(w_ntm28*Sens!G11168+(1-w_ntm28)*Sens!H11168)*m_sw*1.2</f>
        <v>118.920399402305</v>
      </c>
    </row>
    <row r="11182" customFormat="false" ht="17.15" hidden="false" customHeight="false" outlineLevel="0" collapsed="false">
      <c r="A11182" s="1" t="s">
        <v>965</v>
      </c>
      <c r="B11182" s="0" t="s">
        <v>95</v>
      </c>
      <c r="C11182" s="6" t="n">
        <f aca="false">(w_ntm28*Sens!G11169+(1-w_ntm28)*Sens!H11169)*m_sw*1.2</f>
        <v>45.3702338020769</v>
      </c>
    </row>
    <row r="11183" customFormat="false" ht="17.15" hidden="false" customHeight="false" outlineLevel="0" collapsed="false">
      <c r="A11183" s="1" t="s">
        <v>966</v>
      </c>
      <c r="B11183" s="0" t="s">
        <v>95</v>
      </c>
      <c r="C11183" s="6" t="n">
        <f aca="false">(w_ntm28*Sens!G11170+(1-w_ntm28)*Sens!H11170)*m_ads*1.2</f>
        <v>125.358494464816</v>
      </c>
    </row>
    <row r="11184" customFormat="false" ht="17.15" hidden="false" customHeight="false" outlineLevel="0" collapsed="false">
      <c r="A11184" s="1" t="s">
        <v>967</v>
      </c>
      <c r="B11184" s="0" t="s">
        <v>95</v>
      </c>
      <c r="C11184" s="6" t="n">
        <f aca="false">(w_ntm28*Sens!G11175+(1-w_ntm28)*Sens!H11175)*m_game*1.2</f>
        <v>106.247407927627</v>
      </c>
    </row>
    <row r="11185" customFormat="false" ht="17.15" hidden="false" customHeight="false" outlineLevel="0" collapsed="false">
      <c r="A11185" s="1" t="s">
        <v>968</v>
      </c>
      <c r="B11185" s="0" t="s">
        <v>95</v>
      </c>
      <c r="C11185" s="6" t="n">
        <f aca="false">(w_ntm28*Sens!G11176+(1-w_ntm28)*Sens!H11176)*m_pc*1.2</f>
        <v>105.335774310051</v>
      </c>
    </row>
    <row r="11186" customFormat="false" ht="17.15" hidden="false" customHeight="false" outlineLevel="0" collapsed="false">
      <c r="A11186" s="1" t="s">
        <v>969</v>
      </c>
      <c r="B11186" s="0" t="s">
        <v>95</v>
      </c>
      <c r="C11186" s="6" t="n">
        <f aca="false">Sens!$C$11177+Sens!$C$11178+Sens!$C$11179+Sens!$C$11180+Sens!$C$11181+Sens!$C$11182+Sens!$C$11183+Sens!$C$11184+Sens!$C$11185</f>
        <v>3664.42238618305</v>
      </c>
    </row>
    <row r="11187" customFormat="false" ht="17.15" hidden="false" customHeight="false" outlineLevel="0" collapsed="false">
      <c r="A11187" s="1" t="s">
        <v>903</v>
      </c>
      <c r="B11187" s="0" t="s">
        <v>95</v>
      </c>
      <c r="C11187" s="6" t="n">
        <f aca="false">CF!F64+oai_v-CF!F53</f>
        <v>111.253995542787</v>
      </c>
      <c r="L11187" s="1" t="s">
        <v>970</v>
      </c>
    </row>
    <row r="11188" customFormat="false" ht="15" hidden="false" customHeight="false" outlineLevel="0" collapsed="false">
      <c r="A11188" s="1" t="s">
        <v>904</v>
      </c>
      <c r="B11188" s="0" t="s">
        <v>73</v>
      </c>
      <c r="C11188" s="5" t="n">
        <f aca="false">(Sens!$C$11186+Sens!$C$11187)/CF!F66</f>
        <v>505.310008260952</v>
      </c>
    </row>
    <row r="11189" customFormat="false" ht="17.15" hidden="false" customHeight="false" outlineLevel="0" collapsed="false">
      <c r="A11189" s="1" t="s">
        <v>971</v>
      </c>
      <c r="B11189" s="0" t="s">
        <v>73</v>
      </c>
      <c r="C11189" s="5" t="n">
        <f aca="false">w_dcf*Sens!$C$11164+(1-w_dcf)*Sens!$C$11188</f>
        <v>371.184530069144</v>
      </c>
    </row>
    <row r="11190" customFormat="false" ht="17.15" hidden="false" customHeight="false" outlineLevel="0" collapsed="false">
      <c r="A11190" s="3" t="s">
        <v>1431</v>
      </c>
    </row>
    <row r="11191" customFormat="false" ht="15" hidden="false" customHeight="false" outlineLevel="0" collapsed="false">
      <c r="A11191" s="4" t="s">
        <v>43</v>
      </c>
      <c r="B11191" s="4" t="s">
        <v>63</v>
      </c>
      <c r="C11191" s="19" t="s">
        <v>710</v>
      </c>
      <c r="D11191" s="19" t="s">
        <v>711</v>
      </c>
      <c r="E11191" s="19" t="s">
        <v>712</v>
      </c>
      <c r="F11191" s="19" t="s">
        <v>713</v>
      </c>
      <c r="G11191" s="19" t="s">
        <v>714</v>
      </c>
      <c r="H11191" s="19" t="s">
        <v>715</v>
      </c>
      <c r="I11191" s="19" t="s">
        <v>716</v>
      </c>
      <c r="J11191" s="19" t="s">
        <v>717</v>
      </c>
      <c r="K11191" s="19" t="s">
        <v>718</v>
      </c>
      <c r="L11191" s="4" t="s">
        <v>47</v>
      </c>
    </row>
    <row r="11192" customFormat="false" ht="17.15" hidden="false" customHeight="false" outlineLevel="0" collapsed="false">
      <c r="A11192" s="1" t="s">
        <v>938</v>
      </c>
      <c r="B11192" s="1" t="s">
        <v>213</v>
      </c>
      <c r="F11192" s="34" t="n">
        <f aca="false">1-0.5</f>
        <v>0.5</v>
      </c>
      <c r="G11192" s="34" t="n">
        <f aca="false">2-0.5</f>
        <v>1.5</v>
      </c>
      <c r="H11192" s="34" t="n">
        <f aca="false">3-0.5</f>
        <v>2.5</v>
      </c>
      <c r="I11192" s="34" t="n">
        <f aca="false">4-0.5</f>
        <v>3.5</v>
      </c>
      <c r="J11192" s="34" t="n">
        <f aca="false">5-0.5</f>
        <v>4.5</v>
      </c>
      <c r="K11192" s="34" t="n">
        <f aca="false">6-0.5</f>
        <v>5.5</v>
      </c>
    </row>
    <row r="11193" customFormat="false" ht="15" hidden="false" customHeight="false" outlineLevel="0" collapsed="false">
      <c r="A11193" s="1" t="s">
        <v>939</v>
      </c>
      <c r="B11193" s="0" t="s">
        <v>182</v>
      </c>
      <c r="F11193" s="18" t="n">
        <f aca="false">1/(1+wacc)^Sens!F11192</f>
        <v>0.949601579913219</v>
      </c>
      <c r="G11193" s="18" t="n">
        <f aca="false">1/(1+wacc)^Sens!G11192</f>
        <v>0.856296729956707</v>
      </c>
      <c r="H11193" s="18" t="n">
        <f aca="false">1/(1+wacc)^Sens!H11192</f>
        <v>0.772159719660069</v>
      </c>
      <c r="I11193" s="18" t="n">
        <f aca="false">1/(1+wacc)^Sens!I11192</f>
        <v>0.696289746073958</v>
      </c>
      <c r="J11193" s="18" t="n">
        <f aca="false">1/(1+wacc)^Sens!J11192</f>
        <v>0.627874516299776</v>
      </c>
      <c r="K11193" s="18" t="n">
        <f aca="false">1/(1+wacc)^Sens!K11192</f>
        <v>0.566181550771831</v>
      </c>
    </row>
    <row r="11194" customFormat="false" ht="15" hidden="false" customHeight="false" outlineLevel="0" collapsed="false">
      <c r="A11194" s="1" t="s">
        <v>940</v>
      </c>
      <c r="B11194" s="0" t="s">
        <v>95</v>
      </c>
      <c r="F11194" s="6" t="n">
        <f aca="false">CF!F83*Sens!F11193</f>
        <v>-3.06653414679568</v>
      </c>
      <c r="G11194" s="6" t="n">
        <f aca="false">CF!G83*Sens!G11193</f>
        <v>15.3370464106998</v>
      </c>
      <c r="H11194" s="6" t="n">
        <f aca="false">CF!H83*Sens!H11193</f>
        <v>32.741830912959</v>
      </c>
      <c r="I11194" s="6" t="n">
        <f aca="false">CF!I83*Sens!I11193</f>
        <v>32.5345194226033</v>
      </c>
      <c r="J11194" s="6" t="n">
        <f aca="false">CF!J83*Sens!J11193</f>
        <v>41.02711694846</v>
      </c>
      <c r="K11194" s="6" t="n">
        <f aca="false">CF!K83*Sens!K11193</f>
        <v>30.3740488668364</v>
      </c>
    </row>
    <row r="11195" customFormat="false" ht="17.15" hidden="false" customHeight="false" outlineLevel="0" collapsed="false">
      <c r="A11195" s="1" t="s">
        <v>941</v>
      </c>
      <c r="B11195" s="0" t="s">
        <v>95</v>
      </c>
      <c r="C11195" s="6" t="n">
        <f aca="false">SUM(Sens!F11194:K11194)</f>
        <v>148.948028414763</v>
      </c>
    </row>
    <row r="11196" customFormat="false" ht="17.15" hidden="false" customHeight="false" outlineLevel="0" collapsed="false">
      <c r="A11196" s="1" t="s">
        <v>942</v>
      </c>
      <c r="B11196" s="0" t="s">
        <v>95</v>
      </c>
      <c r="C11196" s="6" t="n">
        <f aca="false">PL!K105*(1+g_tv)*(1-tax_f)</f>
        <v>165.083397962666</v>
      </c>
    </row>
    <row r="11197" customFormat="false" ht="17.15" hidden="false" customHeight="false" outlineLevel="0" collapsed="false">
      <c r="A11197" s="1" t="s">
        <v>943</v>
      </c>
      <c r="B11197" s="0" t="s">
        <v>95</v>
      </c>
      <c r="C11197" s="6" t="n">
        <f aca="false">Sens!$C$11196*(1-g_tv/(wacc+ronic_prem))</f>
        <v>119.632264207628</v>
      </c>
    </row>
    <row r="11198" customFormat="false" ht="17.15" hidden="false" customHeight="false" outlineLevel="0" collapsed="false">
      <c r="A11198" s="1" t="s">
        <v>944</v>
      </c>
      <c r="B11198" s="0" t="s">
        <v>95</v>
      </c>
      <c r="C11198" s="6" t="n">
        <f aca="false">Sens!$C$11197/(wacc-g_tv)</f>
        <v>1515.0377918346</v>
      </c>
    </row>
    <row r="11199" customFormat="false" ht="15" hidden="false" customHeight="false" outlineLevel="0" collapsed="false">
      <c r="A11199" s="1" t="s">
        <v>945</v>
      </c>
      <c r="B11199" s="0" t="s">
        <v>95</v>
      </c>
      <c r="C11199" s="6" t="n">
        <f aca="false">Sens!$C$11198/(1+wacc)^6</f>
        <v>814.555364785464</v>
      </c>
    </row>
    <row r="11200" customFormat="false" ht="17.15" hidden="false" customHeight="false" outlineLevel="0" collapsed="false">
      <c r="A11200" s="0" t="s">
        <v>877</v>
      </c>
      <c r="B11200" s="0" t="s">
        <v>95</v>
      </c>
      <c r="C11200" s="6" t="n">
        <f aca="false">Sens!$C$11195+Sens!$C$11199</f>
        <v>963.503393200227</v>
      </c>
    </row>
    <row r="11201" customFormat="false" ht="15" hidden="false" customHeight="false" outlineLevel="0" collapsed="false">
      <c r="A11201" s="1" t="s">
        <v>878</v>
      </c>
      <c r="B11201" s="0" t="s">
        <v>126</v>
      </c>
      <c r="C11201" s="7" t="n">
        <f aca="false">Sens!$C$11199/Sens!$C$11200</f>
        <v>0.845409959668082</v>
      </c>
    </row>
    <row r="11202" customFormat="false" ht="17.15" hidden="false" customHeight="false" outlineLevel="0" collapsed="false">
      <c r="A11202" s="1" t="s">
        <v>946</v>
      </c>
      <c r="B11202" s="0" t="s">
        <v>95</v>
      </c>
      <c r="C11202" s="6" t="n">
        <f aca="false">Sens!$C$11200+CF!E92+oai_v</f>
        <v>1164.61039320023</v>
      </c>
    </row>
    <row r="11203" customFormat="false" ht="17.15" hidden="false" customHeight="false" outlineLevel="0" collapsed="false">
      <c r="A11203" s="0" t="s">
        <v>883</v>
      </c>
      <c r="B11203" s="0" t="s">
        <v>73</v>
      </c>
      <c r="C11203" s="5" t="n">
        <f aca="false">Sens!$C$11202/sh_dil26</f>
        <v>156.260618972256</v>
      </c>
    </row>
    <row r="11204" customFormat="false" ht="17.15" hidden="false" customHeight="false" outlineLevel="0" collapsed="false">
      <c r="A11204" s="0" t="s">
        <v>947</v>
      </c>
      <c r="B11204" s="0" t="s">
        <v>73</v>
      </c>
      <c r="C11204" s="5" t="n">
        <f aca="false">Sens!$C$11203*(1+wacc)^t_roll</f>
        <v>179.230081585006</v>
      </c>
    </row>
    <row r="11205" customFormat="false" ht="17.15" hidden="false" customHeight="false" outlineLevel="0" collapsed="false">
      <c r="A11205" s="1" t="s">
        <v>948</v>
      </c>
      <c r="B11205" s="0" t="s">
        <v>126</v>
      </c>
      <c r="F11205" s="7" t="n">
        <f aca="false">CF!F73/(Seg!F83-Thesis!F108)</f>
        <v>0.0686864325746334</v>
      </c>
      <c r="G11205" s="7" t="n">
        <f aca="false">CF!G73/(Seg!G83-Thesis!G108)</f>
        <v>0.066267001590801</v>
      </c>
      <c r="H11205" s="7" t="n">
        <f aca="false">CF!H73/(Seg!H83-Thesis!H108)</f>
        <v>0.0650366246750144</v>
      </c>
      <c r="I11205" s="7" t="n">
        <f aca="false">CF!I73/(Seg!I83-Thesis!I108)</f>
        <v>0.0648573271390164</v>
      </c>
      <c r="J11205" s="7" t="n">
        <f aca="false">CF!J73/(Seg!J83-Thesis!J108)</f>
        <v>0.0655189837669657</v>
      </c>
      <c r="K11205" s="7" t="n">
        <f aca="false">CF!K73/(Seg!K83-Thesis!K108)</f>
        <v>0.0667878921367872</v>
      </c>
    </row>
    <row r="11206" customFormat="false" ht="17.15" hidden="false" customHeight="false" outlineLevel="0" collapsed="false">
      <c r="A11206" s="0" t="s">
        <v>949</v>
      </c>
      <c r="B11206" s="0" t="s">
        <v>95</v>
      </c>
      <c r="F11206" s="6" t="n">
        <f aca="false">Seg!F68*(al_m365+Sens!F11205)</f>
        <v>78.4986969872395</v>
      </c>
      <c r="G11206" s="6" t="n">
        <f aca="false">Seg!G68*(al_m365+Sens!G11205)</f>
        <v>88.3098056906507</v>
      </c>
      <c r="H11206" s="6" t="n">
        <f aca="false">Seg!H68*(al_m365+Sens!H11205)</f>
        <v>98.2773562913015</v>
      </c>
      <c r="I11206" s="6" t="n">
        <f aca="false">Seg!I68*(al_m365+Sens!I11205)</f>
        <v>107.762753675846</v>
      </c>
      <c r="J11206" s="6" t="n">
        <f aca="false">Seg!J68*(al_m365+Sens!J11205)</f>
        <v>116.587414331333</v>
      </c>
      <c r="K11206" s="6" t="n">
        <f aca="false">Seg!K68*(al_m365+Sens!K11205)</f>
        <v>125.041394489287</v>
      </c>
    </row>
    <row r="11207" customFormat="false" ht="17.15" hidden="false" customHeight="false" outlineLevel="0" collapsed="false">
      <c r="A11207" s="0" t="s">
        <v>950</v>
      </c>
      <c r="B11207" s="0" t="s">
        <v>95</v>
      </c>
      <c r="F11207" s="6" t="n">
        <f aca="false">Seg!F69*(al_lic+Sens!F11205)</f>
        <v>31.9877845991607</v>
      </c>
      <c r="G11207" s="6" t="n">
        <f aca="false">Seg!G69*(al_lic+Sens!G11205)</f>
        <v>33.243749427372</v>
      </c>
      <c r="H11207" s="6" t="n">
        <f aca="false">Seg!H69*(al_lic+Sens!H11205)</f>
        <v>34.4137793872059</v>
      </c>
      <c r="I11207" s="6" t="n">
        <f aca="false">Seg!I69*(al_lic+Sens!I11205)</f>
        <v>35.4787240806467</v>
      </c>
      <c r="J11207" s="6" t="n">
        <f aca="false">Seg!J69*(al_lic+Sens!J11205)</f>
        <v>36.4160307520991</v>
      </c>
      <c r="K11207" s="6" t="n">
        <f aca="false">Seg!K69*(al_lic+Sens!K11205)</f>
        <v>37.2021461938459</v>
      </c>
    </row>
    <row r="11208" customFormat="false" ht="17.15" hidden="false" customHeight="false" outlineLevel="0" collapsed="false">
      <c r="A11208" s="0" t="s">
        <v>951</v>
      </c>
      <c r="B11208" s="0" t="s">
        <v>95</v>
      </c>
      <c r="F11208" s="6" t="n">
        <f aca="false">Seg!F71*(al_ind+Sens!F11205)</f>
        <v>8.24280380456612</v>
      </c>
      <c r="G11208" s="6" t="n">
        <f aca="false">Seg!G71*(al_ind+Sens!G11205)</f>
        <v>8.9512770630031</v>
      </c>
      <c r="H11208" s="6" t="n">
        <f aca="false">Seg!H71*(al_ind+Sens!H11205)</f>
        <v>9.70041215792393</v>
      </c>
      <c r="I11208" s="6" t="n">
        <f aca="false">Seg!I71*(al_ind+Sens!I11205)</f>
        <v>10.4864435829487</v>
      </c>
      <c r="J11208" s="6" t="n">
        <f aca="false">Seg!J71*(al_ind+Sens!J11205)</f>
        <v>11.3015744981253</v>
      </c>
      <c r="K11208" s="6" t="n">
        <f aca="false">Seg!K71*(al_ind+Sens!K11205)</f>
        <v>12.1346647729291</v>
      </c>
    </row>
    <row r="11209" customFormat="false" ht="17.15" hidden="false" customHeight="false" outlineLevel="0" collapsed="false">
      <c r="A11209" s="0" t="s">
        <v>952</v>
      </c>
      <c r="B11209" s="0" t="s">
        <v>95</v>
      </c>
      <c r="F11209" s="6" t="n">
        <f aca="false">Seg!F73*(al_fro+Sens!F11205)</f>
        <v>3.24439651632051</v>
      </c>
      <c r="G11209" s="6" t="n">
        <f aca="false">Seg!G73*(al_fro+Sens!G11205)</f>
        <v>3.43676117771401</v>
      </c>
      <c r="H11209" s="6" t="n">
        <f aca="false">Seg!H73*(al_fro+Sens!H11205)</f>
        <v>3.65544732248501</v>
      </c>
      <c r="I11209" s="6" t="n">
        <f aca="false">Seg!I73*(al_fro+Sens!I11205)</f>
        <v>3.90262750850979</v>
      </c>
      <c r="J11209" s="6" t="n">
        <f aca="false">Seg!J73*(al_fro+Sens!J11205)</f>
        <v>4.17975656810881</v>
      </c>
      <c r="K11209" s="6" t="n">
        <f aca="false">Seg!K73*(al_fro+Sens!K11205)</f>
        <v>4.48786536733111</v>
      </c>
    </row>
    <row r="11210" customFormat="false" ht="17.15" hidden="false" customHeight="false" outlineLevel="0" collapsed="false">
      <c r="A11210" s="0" t="s">
        <v>953</v>
      </c>
      <c r="B11210" s="0" t="s">
        <v>95</v>
      </c>
      <c r="F11210" s="6" t="n">
        <f aca="false">Seg!F76*(al_srch+Sens!F11205)</f>
        <v>10.1799817910968</v>
      </c>
      <c r="G11210" s="6" t="n">
        <f aca="false">Seg!G76*(al_srch+Sens!G11205)</f>
        <v>11.1592643133754</v>
      </c>
      <c r="H11210" s="6" t="n">
        <f aca="false">Seg!H76*(al_srch+Sens!H11205)</f>
        <v>12.1792194533398</v>
      </c>
      <c r="I11210" s="6" t="n">
        <f aca="false">Seg!I76*(al_srch+Sens!I11205)</f>
        <v>13.2288881134521</v>
      </c>
      <c r="J11210" s="6" t="n">
        <f aca="false">Seg!J76*(al_srch+Sens!J11205)</f>
        <v>14.2913670918582</v>
      </c>
      <c r="K11210" s="6" t="n">
        <f aca="false">Seg!K76*(al_srch+Sens!K11205)</f>
        <v>15.3448485284362</v>
      </c>
    </row>
    <row r="11211" customFormat="false" ht="17.15" hidden="false" customHeight="false" outlineLevel="0" collapsed="false">
      <c r="A11211" s="0" t="s">
        <v>954</v>
      </c>
      <c r="B11211" s="0" t="s">
        <v>95</v>
      </c>
      <c r="F11211" s="6" t="n">
        <f aca="false">Thesis!F114</f>
        <v>35.0573455625419</v>
      </c>
      <c r="G11211" s="6" t="n">
        <f aca="false">Thesis!G114</f>
        <v>52.2504971712871</v>
      </c>
      <c r="H11211" s="6" t="n">
        <f aca="false">Thesis!H114</f>
        <v>65.2796698510271</v>
      </c>
      <c r="I11211" s="6" t="n">
        <f aca="false">Thesis!I114</f>
        <v>85.5659922535278</v>
      </c>
      <c r="J11211" s="6" t="n">
        <f aca="false">Thesis!J114</f>
        <v>105.90773710582</v>
      </c>
      <c r="K11211" s="6" t="n">
        <f aca="false">Thesis!K114</f>
        <v>126.282084319851</v>
      </c>
    </row>
    <row r="11212" customFormat="false" ht="17.15" hidden="false" customHeight="false" outlineLevel="0" collapsed="false">
      <c r="A11212" s="0" t="s">
        <v>955</v>
      </c>
      <c r="B11212" s="0" t="s">
        <v>95</v>
      </c>
      <c r="F11212" s="6" t="n">
        <f aca="false">PL!F102+Thesis!F125+Sens!F11205*(Seg!F75-Thesis!F108)</f>
        <v>206.154467007856</v>
      </c>
      <c r="G11212" s="6" t="n">
        <f aca="false">PL!G102+Thesis!G125+Sens!G11205*(Seg!G75-Thesis!G108)</f>
        <v>241.631787518433</v>
      </c>
      <c r="H11212" s="6" t="n">
        <f aca="false">PL!H102+Thesis!H125+Sens!H11205*(Seg!H75-Thesis!H108)</f>
        <v>273.161508717552</v>
      </c>
      <c r="I11212" s="6" t="n">
        <f aca="false">PL!I102+Thesis!I125+Sens!I11205*(Seg!I75-Thesis!I108)</f>
        <v>311.232758290592</v>
      </c>
      <c r="J11212" s="6" t="n">
        <f aca="false">PL!J102+Thesis!J125+Sens!J11205*(Seg!J75-Thesis!J108)</f>
        <v>347.836227364385</v>
      </c>
      <c r="K11212" s="6" t="n">
        <f aca="false">PL!K102+Thesis!K125+Sens!K11205*(Seg!K75-Thesis!K108)</f>
        <v>382.533402332059</v>
      </c>
    </row>
    <row r="11213" customFormat="false" ht="17.15" hidden="false" customHeight="false" outlineLevel="0" collapsed="false">
      <c r="A11213" s="0" t="s">
        <v>956</v>
      </c>
      <c r="B11213" s="0" t="s">
        <v>95</v>
      </c>
      <c r="F11213" s="6" t="n">
        <f aca="false">Sens!F11212-Sens!F11206-Sens!F11207-Sens!F11208-Sens!F11209-Sens!F11211</f>
        <v>49.123439538027</v>
      </c>
      <c r="G11213" s="6" t="n">
        <f aca="false">Sens!G11212-Sens!G11206-Sens!G11207-Sens!G11208-Sens!G11209-Sens!G11211</f>
        <v>55.4396969884061</v>
      </c>
      <c r="H11213" s="6" t="n">
        <f aca="false">Sens!H11212-Sens!H11206-Sens!H11207-Sens!H11208-Sens!H11209-Sens!H11211</f>
        <v>61.8348437076084</v>
      </c>
      <c r="I11213" s="6" t="n">
        <f aca="false">Sens!I11212-Sens!I11206-Sens!I11207-Sens!I11208-Sens!I11209-Sens!I11211</f>
        <v>68.0362171891129</v>
      </c>
      <c r="J11213" s="6" t="n">
        <f aca="false">Sens!J11212-Sens!J11206-Sens!J11207-Sens!J11208-Sens!J11209-Sens!J11211</f>
        <v>73.4437141088982</v>
      </c>
      <c r="K11213" s="6" t="n">
        <f aca="false">Sens!K11212-Sens!K11206-Sens!K11207-Sens!K11208-Sens!K11209-Sens!K11211</f>
        <v>77.3852471888144</v>
      </c>
    </row>
    <row r="11214" customFormat="false" ht="17.15" hidden="false" customHeight="false" outlineLevel="0" collapsed="false">
      <c r="A11214" s="0" t="s">
        <v>957</v>
      </c>
      <c r="B11214" s="0" t="s">
        <v>95</v>
      </c>
      <c r="F11214" s="6" t="n">
        <f aca="false">PL!F104+Sens!F11205*Seg!F82</f>
        <v>23.7697943901369</v>
      </c>
      <c r="G11214" s="6" t="n">
        <f aca="false">PL!G104+Sens!G11205*Seg!G82</f>
        <v>24.331261048114</v>
      </c>
      <c r="H11214" s="6" t="n">
        <f aca="false">PL!H104+Sens!H11205*Seg!H82</f>
        <v>25.1342423406419</v>
      </c>
      <c r="I11214" s="6" t="n">
        <f aca="false">PL!I104+Sens!I11205*Seg!I82</f>
        <v>26.1495446421549</v>
      </c>
      <c r="J11214" s="6" t="n">
        <f aca="false">PL!J104+Sens!J11205*Seg!J82</f>
        <v>27.3481502080811</v>
      </c>
      <c r="K11214" s="6" t="n">
        <f aca="false">PL!K104+Sens!K11205*Seg!K82</f>
        <v>28.7026027133478</v>
      </c>
    </row>
    <row r="11215" customFormat="false" ht="17.15" hidden="false" customHeight="false" outlineLevel="0" collapsed="false">
      <c r="A11215" s="0" t="s">
        <v>958</v>
      </c>
      <c r="B11215" s="0" t="s">
        <v>95</v>
      </c>
      <c r="F11215" s="6" t="n">
        <f aca="false">(Sens!F11214-Sens!F11210)*Seg!F78/(Seg!F78+Seg!F80)</f>
        <v>7.44980290393703</v>
      </c>
      <c r="G11215" s="6" t="n">
        <f aca="false">(Sens!G11214-Sens!G11210)*Seg!G78/(Seg!G78+Seg!G80)</f>
        <v>7.09201461396229</v>
      </c>
      <c r="H11215" s="6" t="n">
        <f aca="false">(Sens!H11214-Sens!H11210)*Seg!H78/(Seg!H78+Seg!H80)</f>
        <v>6.8809692168288</v>
      </c>
      <c r="I11215" s="6" t="n">
        <f aca="false">(Sens!I11214-Sens!I11210)*Seg!I78/(Seg!I78+Seg!I80)</f>
        <v>6.80062182771623</v>
      </c>
      <c r="J11215" s="6" t="n">
        <f aca="false">(Sens!J11214-Sens!J11210)*Seg!J78/(Seg!J78+Seg!J80)</f>
        <v>6.84119415814997</v>
      </c>
      <c r="K11215" s="6" t="n">
        <f aca="false">(Sens!K11214-Sens!K11210)*Seg!K78/(Seg!K78+Seg!K80)</f>
        <v>6.99889008512966</v>
      </c>
    </row>
    <row r="11216" customFormat="false" ht="17.15" hidden="false" customHeight="false" outlineLevel="0" collapsed="false">
      <c r="A11216" s="0" t="s">
        <v>959</v>
      </c>
      <c r="B11216" s="0" t="s">
        <v>95</v>
      </c>
      <c r="F11216" s="6" t="n">
        <f aca="false">Sens!F11214-Sens!F11210-Sens!F11215</f>
        <v>6.14000969510312</v>
      </c>
      <c r="G11216" s="6" t="n">
        <f aca="false">Sens!G11214-Sens!G11210-Sens!G11215</f>
        <v>6.07998212077627</v>
      </c>
      <c r="H11216" s="6" t="n">
        <f aca="false">Sens!H11214-Sens!H11210-Sens!H11215</f>
        <v>6.07405367047327</v>
      </c>
      <c r="I11216" s="6" t="n">
        <f aca="false">Sens!I11214-Sens!I11210-Sens!I11215</f>
        <v>6.12003470098649</v>
      </c>
      <c r="J11216" s="6" t="n">
        <f aca="false">Sens!J11214-Sens!J11210-Sens!J11215</f>
        <v>6.21558895807294</v>
      </c>
      <c r="K11216" s="6" t="n">
        <f aca="false">Sens!K11214-Sens!K11210-Sens!K11215</f>
        <v>6.35886409978198</v>
      </c>
    </row>
    <row r="11217" customFormat="false" ht="17.15" hidden="false" customHeight="false" outlineLevel="0" collapsed="false">
      <c r="A11217" s="1" t="s">
        <v>960</v>
      </c>
      <c r="B11217" s="0" t="s">
        <v>95</v>
      </c>
      <c r="C11217" s="6" t="n">
        <f aca="false">(w_ntm28*Sens!G11211+(1-w_ntm28)*Sens!H11211)*m_ai*1.2</f>
        <v>406.531210068081</v>
      </c>
    </row>
    <row r="11218" customFormat="false" ht="17.15" hidden="false" customHeight="false" outlineLevel="0" collapsed="false">
      <c r="A11218" s="1" t="s">
        <v>961</v>
      </c>
      <c r="B11218" s="0" t="s">
        <v>95</v>
      </c>
      <c r="C11218" s="6" t="n">
        <f aca="false">(w_ntm28*Sens!G11213+(1-w_ntm28)*Sens!H11213)*m_cloud*1.2</f>
        <v>953.698891997008</v>
      </c>
    </row>
    <row r="11219" customFormat="false" ht="17.15" hidden="false" customHeight="false" outlineLevel="0" collapsed="false">
      <c r="A11219" s="1" t="s">
        <v>962</v>
      </c>
      <c r="B11219" s="0" t="s">
        <v>95</v>
      </c>
      <c r="C11219" s="6" t="n">
        <f aca="false">(w_ntm28*Sens!G11206+(1-w_ntm28)*Sens!H11206)*m_sw*1.2</f>
        <v>1186.25720718251</v>
      </c>
    </row>
    <row r="11220" customFormat="false" ht="17.15" hidden="false" customHeight="false" outlineLevel="0" collapsed="false">
      <c r="A11220" s="1" t="s">
        <v>963</v>
      </c>
      <c r="B11220" s="0" t="s">
        <v>95</v>
      </c>
      <c r="C11220" s="6" t="n">
        <f aca="false">(w_ntm28*Sens!G11207+(1-w_ntm28)*Sens!H11207)*m_sw*1.2</f>
        <v>435.741193721138</v>
      </c>
    </row>
    <row r="11221" customFormat="false" ht="17.15" hidden="false" customHeight="false" outlineLevel="0" collapsed="false">
      <c r="A11221" s="1" t="s">
        <v>964</v>
      </c>
      <c r="B11221" s="0" t="s">
        <v>95</v>
      </c>
      <c r="C11221" s="6" t="n">
        <f aca="false">(w_ntm28*Sens!G11208+(1-w_ntm28)*Sens!H11208)*m_sw*1.2</f>
        <v>119.147283114494</v>
      </c>
    </row>
    <row r="11222" customFormat="false" ht="17.15" hidden="false" customHeight="false" outlineLevel="0" collapsed="false">
      <c r="A11222" s="1" t="s">
        <v>965</v>
      </c>
      <c r="B11222" s="0" t="s">
        <v>95</v>
      </c>
      <c r="C11222" s="6" t="n">
        <f aca="false">(w_ntm28*Sens!G11209+(1-w_ntm28)*Sens!H11209)*m_sw*1.2</f>
        <v>45.4566778699554</v>
      </c>
    </row>
    <row r="11223" customFormat="false" ht="17.15" hidden="false" customHeight="false" outlineLevel="0" collapsed="false">
      <c r="A11223" s="1" t="s">
        <v>966</v>
      </c>
      <c r="B11223" s="0" t="s">
        <v>95</v>
      </c>
      <c r="C11223" s="6" t="n">
        <f aca="false">(w_ntm28*Sens!G11210+(1-w_ntm28)*Sens!H11210)*m_ads*1.2</f>
        <v>125.597783368699</v>
      </c>
    </row>
    <row r="11224" customFormat="false" ht="17.15" hidden="false" customHeight="false" outlineLevel="0" collapsed="false">
      <c r="A11224" s="1" t="s">
        <v>967</v>
      </c>
      <c r="B11224" s="0" t="s">
        <v>95</v>
      </c>
      <c r="C11224" s="6" t="n">
        <f aca="false">(w_ntm28*Sens!G11215+(1-w_ntm28)*Sens!H11215)*m_game*1.2</f>
        <v>106.452504238263</v>
      </c>
    </row>
    <row r="11225" customFormat="false" ht="17.15" hidden="false" customHeight="false" outlineLevel="0" collapsed="false">
      <c r="A11225" s="1" t="s">
        <v>968</v>
      </c>
      <c r="B11225" s="0" t="s">
        <v>95</v>
      </c>
      <c r="C11225" s="6" t="n">
        <f aca="false">(w_ntm28*Sens!G11216+(1-w_ntm28)*Sens!H11216)*m_pc*1.2</f>
        <v>105.539529791446</v>
      </c>
    </row>
    <row r="11226" customFormat="false" ht="17.15" hidden="false" customHeight="false" outlineLevel="0" collapsed="false">
      <c r="A11226" s="1" t="s">
        <v>969</v>
      </c>
      <c r="B11226" s="0" t="s">
        <v>95</v>
      </c>
      <c r="C11226" s="6" t="n">
        <f aca="false">Sens!$C$11217+Sens!$C$11218+Sens!$C$11219+Sens!$C$11220+Sens!$C$11221+Sens!$C$11222+Sens!$C$11223+Sens!$C$11224+Sens!$C$11225</f>
        <v>3484.4222813516</v>
      </c>
    </row>
    <row r="11227" customFormat="false" ht="17.15" hidden="false" customHeight="false" outlineLevel="0" collapsed="false">
      <c r="A11227" s="1" t="s">
        <v>903</v>
      </c>
      <c r="B11227" s="0" t="s">
        <v>95</v>
      </c>
      <c r="C11227" s="6" t="n">
        <f aca="false">CF!F92+oai_v-CF!F81</f>
        <v>106.814034990727</v>
      </c>
      <c r="L11227" s="1" t="s">
        <v>970</v>
      </c>
    </row>
    <row r="11228" customFormat="false" ht="15" hidden="false" customHeight="false" outlineLevel="0" collapsed="false">
      <c r="A11228" s="1" t="s">
        <v>904</v>
      </c>
      <c r="B11228" s="0" t="s">
        <v>73</v>
      </c>
      <c r="C11228" s="5" t="n">
        <f aca="false">(Sens!$C$11226+Sens!$C$11227)/CF!F94</f>
        <v>480.625845334894</v>
      </c>
    </row>
    <row r="11229" customFormat="false" ht="17.15" hidden="false" customHeight="false" outlineLevel="0" collapsed="false">
      <c r="A11229" s="1" t="s">
        <v>971</v>
      </c>
      <c r="B11229" s="0" t="s">
        <v>73</v>
      </c>
      <c r="C11229" s="5" t="n">
        <f aca="false">w_dcf*Sens!$C$11204+(1-w_dcf)*Sens!$C$11228</f>
        <v>329.92796345995</v>
      </c>
    </row>
    <row r="11230" customFormat="false" ht="17.15" hidden="false" customHeight="false" outlineLevel="0" collapsed="false">
      <c r="A11230" s="3" t="s">
        <v>1432</v>
      </c>
    </row>
    <row r="11231" customFormat="false" ht="15" hidden="false" customHeight="false" outlineLevel="0" collapsed="false">
      <c r="A11231" s="4" t="s">
        <v>43</v>
      </c>
      <c r="B11231" s="4" t="s">
        <v>63</v>
      </c>
      <c r="C11231" s="19" t="s">
        <v>710</v>
      </c>
      <c r="D11231" s="19" t="s">
        <v>711</v>
      </c>
      <c r="E11231" s="19" t="s">
        <v>712</v>
      </c>
      <c r="F11231" s="19" t="s">
        <v>713</v>
      </c>
      <c r="G11231" s="19" t="s">
        <v>714</v>
      </c>
      <c r="H11231" s="19" t="s">
        <v>715</v>
      </c>
      <c r="I11231" s="19" t="s">
        <v>716</v>
      </c>
      <c r="J11231" s="19" t="s">
        <v>717</v>
      </c>
      <c r="K11231" s="19" t="s">
        <v>718</v>
      </c>
      <c r="L11231" s="4" t="s">
        <v>47</v>
      </c>
    </row>
    <row r="11232" customFormat="false" ht="17.15" hidden="false" customHeight="false" outlineLevel="0" collapsed="false">
      <c r="A11232" s="1" t="s">
        <v>719</v>
      </c>
      <c r="B11232" s="0" t="s">
        <v>340</v>
      </c>
      <c r="C11232" s="27" t="n">
        <f aca="false">mw_ext_24</f>
        <v>640</v>
      </c>
      <c r="D11232" s="27" t="n">
        <f aca="false">mw_ext_25</f>
        <v>1630</v>
      </c>
      <c r="E11232" s="27" t="n">
        <f aca="false">mw_ext_26</f>
        <v>3250</v>
      </c>
      <c r="F11232" s="27" t="n">
        <f aca="false">MIN(cap_epoch,Sens!E11232+pace_epoch)</f>
        <v>3900</v>
      </c>
      <c r="G11232" s="27" t="n">
        <f aca="false">MIN(cap_epoch,Sens!F11232+pace_epoch)</f>
        <v>4386</v>
      </c>
      <c r="H11232" s="27" t="n">
        <f aca="false">MIN(cap_epoch,Sens!G11232+pace_epoch)</f>
        <v>4386</v>
      </c>
      <c r="I11232" s="27" t="n">
        <f aca="false">MIN(cap_epoch,Sens!H11232+pace_epoch)</f>
        <v>4386</v>
      </c>
      <c r="J11232" s="27" t="n">
        <f aca="false">MIN(cap_epoch,Sens!I11232+pace_epoch)</f>
        <v>4386</v>
      </c>
      <c r="K11232" s="27" t="n">
        <f aca="false">MIN(cap_epoch,Sens!J11232+pace_epoch)</f>
        <v>4386</v>
      </c>
      <c r="L11232" s="11" t="s">
        <v>720</v>
      </c>
    </row>
    <row r="11233" customFormat="false" ht="17.15" hidden="false" customHeight="false" outlineLevel="0" collapsed="false">
      <c r="A11233" s="1" t="s">
        <v>721</v>
      </c>
      <c r="B11233" s="0" t="s">
        <v>340</v>
      </c>
      <c r="C11233" s="27" t="n">
        <f aca="false">rent_ext_24</f>
        <v>150</v>
      </c>
      <c r="D11233" s="27" t="n">
        <f aca="false">rent_ext_25</f>
        <v>400</v>
      </c>
      <c r="E11233" s="27" t="n">
        <f aca="false">rent_ext_26</f>
        <v>550</v>
      </c>
      <c r="F11233" s="27" t="n">
        <f aca="false">rent_ext_f</f>
        <v>756</v>
      </c>
      <c r="G11233" s="27" t="n">
        <f aca="false">rent_ext_f</f>
        <v>756</v>
      </c>
      <c r="H11233" s="27" t="n">
        <f aca="false">rent_ext_f</f>
        <v>756</v>
      </c>
      <c r="I11233" s="27" t="n">
        <f aca="false">rent_ext_f</f>
        <v>756</v>
      </c>
      <c r="J11233" s="27" t="n">
        <f aca="false">rent_ext_f</f>
        <v>756</v>
      </c>
      <c r="K11233" s="27" t="n">
        <f aca="false">rent_ext_f</f>
        <v>756</v>
      </c>
      <c r="L11233" s="1" t="s">
        <v>722</v>
      </c>
    </row>
    <row r="11234" customFormat="false" ht="17.15" hidden="false" customHeight="false" outlineLevel="0" collapsed="false">
      <c r="A11234" s="1" t="s">
        <v>723</v>
      </c>
      <c r="B11234" s="0" t="s">
        <v>340</v>
      </c>
      <c r="C11234" s="27" t="n">
        <f aca="false">Sens!C11232-Sens!C11233</f>
        <v>490</v>
      </c>
      <c r="D11234" s="27" t="n">
        <f aca="false">Sens!D11232-Sens!D11233</f>
        <v>1230</v>
      </c>
      <c r="E11234" s="27" t="n">
        <f aca="false">Sens!E11232-Sens!E11233</f>
        <v>2700</v>
      </c>
      <c r="F11234" s="27" t="n">
        <f aca="false">Sens!F11232-Sens!F11233</f>
        <v>3144</v>
      </c>
      <c r="G11234" s="27" t="n">
        <f aca="false">Sens!G11232-Sens!G11233</f>
        <v>3630</v>
      </c>
      <c r="H11234" s="27" t="n">
        <f aca="false">Sens!H11232-Sens!H11233</f>
        <v>3630</v>
      </c>
      <c r="I11234" s="27" t="n">
        <f aca="false">Sens!I11232-Sens!I11233</f>
        <v>3630</v>
      </c>
      <c r="J11234" s="27" t="n">
        <f aca="false">Sens!J11232-Sens!J11233</f>
        <v>3630</v>
      </c>
      <c r="K11234" s="27" t="n">
        <f aca="false">Sens!K11232-Sens!K11233</f>
        <v>3630</v>
      </c>
    </row>
    <row r="11235" customFormat="false" ht="17.15" hidden="false" customHeight="false" outlineLevel="0" collapsed="false">
      <c r="A11235" s="1" t="s">
        <v>724</v>
      </c>
      <c r="B11235" s="0" t="s">
        <v>340</v>
      </c>
      <c r="C11235" s="27" t="n">
        <f aca="false">Sens!C11234/ext_sh</f>
        <v>816.666666666667</v>
      </c>
      <c r="D11235" s="27" t="n">
        <f aca="false">Sens!D11234/ext_sh</f>
        <v>2050</v>
      </c>
      <c r="E11235" s="27" t="n">
        <f aca="false">Sens!E11234/ext_sh</f>
        <v>4500</v>
      </c>
      <c r="F11235" s="27" t="n">
        <f aca="false">Sens!F11234/ext_sh</f>
        <v>5240</v>
      </c>
      <c r="G11235" s="27" t="n">
        <f aca="false">Sens!G11234/ext_sh</f>
        <v>6050</v>
      </c>
      <c r="H11235" s="27" t="n">
        <f aca="false">Sens!H11234/ext_sh</f>
        <v>6050</v>
      </c>
      <c r="I11235" s="27" t="n">
        <f aca="false">Sens!I11234/ext_sh</f>
        <v>6050</v>
      </c>
      <c r="J11235" s="27" t="n">
        <f aca="false">Sens!J11234/ext_sh</f>
        <v>6050</v>
      </c>
      <c r="K11235" s="27" t="n">
        <f aca="false">Sens!K11234/ext_sh</f>
        <v>6050</v>
      </c>
      <c r="L11235" s="1" t="s">
        <v>725</v>
      </c>
    </row>
    <row r="11236" customFormat="false" ht="17.15" hidden="false" customHeight="false" outlineLevel="0" collapsed="false">
      <c r="A11236" s="1" t="s">
        <v>726</v>
      </c>
      <c r="B11236" s="0" t="s">
        <v>340</v>
      </c>
      <c r="C11236" s="27" t="n">
        <f aca="false">Sens!C11235-Sens!C11234</f>
        <v>326.666666666667</v>
      </c>
      <c r="D11236" s="27" t="n">
        <f aca="false">Sens!D11235-Sens!D11234</f>
        <v>820</v>
      </c>
      <c r="E11236" s="27" t="n">
        <f aca="false">Sens!E11235-Sens!E11234</f>
        <v>1800</v>
      </c>
      <c r="F11236" s="27" t="n">
        <f aca="false">Sens!F11235-Sens!F11234</f>
        <v>2096</v>
      </c>
      <c r="G11236" s="27" t="n">
        <f aca="false">Sens!G11235-Sens!G11234</f>
        <v>2420</v>
      </c>
      <c r="H11236" s="27" t="n">
        <f aca="false">Sens!H11235-Sens!H11234</f>
        <v>2420</v>
      </c>
      <c r="I11236" s="27" t="n">
        <f aca="false">Sens!I11235-Sens!I11234</f>
        <v>2420</v>
      </c>
      <c r="J11236" s="27" t="n">
        <f aca="false">Sens!J11235-Sens!J11234</f>
        <v>2420</v>
      </c>
      <c r="K11236" s="27" t="n">
        <f aca="false">Sens!K11235-Sens!K11234</f>
        <v>2420</v>
      </c>
    </row>
    <row r="11237" customFormat="false" ht="17.15" hidden="false" customHeight="false" outlineLevel="0" collapsed="false">
      <c r="A11237" s="1" t="s">
        <v>727</v>
      </c>
      <c r="B11237" s="0" t="s">
        <v>340</v>
      </c>
      <c r="C11237" s="27" t="n">
        <f aca="false">Sens!C11235</f>
        <v>816.666666666667</v>
      </c>
      <c r="D11237" s="27" t="n">
        <f aca="false">Sens!D11235-Sens!C11235</f>
        <v>1233.33333333333</v>
      </c>
      <c r="E11237" s="27" t="n">
        <f aca="false">Sens!E11235-Sens!D11235</f>
        <v>2450</v>
      </c>
      <c r="F11237" s="27" t="n">
        <f aca="false">Sens!F11235-Sens!E11235</f>
        <v>740</v>
      </c>
      <c r="G11237" s="27" t="n">
        <f aca="false">Sens!G11235-Sens!F11235</f>
        <v>810</v>
      </c>
      <c r="H11237" s="27" t="n">
        <f aca="false">Sens!H11235-Sens!G11235</f>
        <v>0</v>
      </c>
      <c r="I11237" s="27" t="n">
        <f aca="false">Sens!I11235-Sens!H11235</f>
        <v>0</v>
      </c>
      <c r="J11237" s="27" t="n">
        <f aca="false">Sens!J11235-Sens!I11235</f>
        <v>0</v>
      </c>
      <c r="K11237" s="27" t="n">
        <f aca="false">Sens!K11235-Sens!J11235</f>
        <v>0</v>
      </c>
    </row>
    <row r="11238" customFormat="false" ht="17.15" hidden="false" customHeight="false" outlineLevel="0" collapsed="false">
      <c r="A11238" s="1" t="s">
        <v>728</v>
      </c>
      <c r="B11238" s="0" t="s">
        <v>340</v>
      </c>
      <c r="D11238" s="27" t="n">
        <f aca="false">Sens!D11232-Sens!C11232</f>
        <v>990</v>
      </c>
      <c r="E11238" s="27" t="n">
        <f aca="false">Sens!E11232-Sens!D11232</f>
        <v>1620</v>
      </c>
      <c r="F11238" s="27" t="n">
        <f aca="false">Sens!F11232-Sens!E11232</f>
        <v>650</v>
      </c>
      <c r="G11238" s="27" t="n">
        <f aca="false">Sens!G11232-Sens!F11232</f>
        <v>486</v>
      </c>
      <c r="H11238" s="27" t="n">
        <f aca="false">Sens!H11232-Sens!G11232</f>
        <v>0</v>
      </c>
      <c r="I11238" s="27" t="n">
        <f aca="false">Sens!I11232-Sens!H11232</f>
        <v>0</v>
      </c>
      <c r="J11238" s="27" t="n">
        <f aca="false">Sens!J11232-Sens!I11232</f>
        <v>0</v>
      </c>
      <c r="K11238" s="27" t="n">
        <f aca="false">Sens!K11232-Sens!J11232</f>
        <v>0</v>
      </c>
    </row>
    <row r="11239" customFormat="false" ht="17.15" hidden="false" customHeight="false" outlineLevel="0" collapsed="false">
      <c r="A11239" s="1" t="s">
        <v>729</v>
      </c>
      <c r="B11239" s="0" t="s">
        <v>340</v>
      </c>
      <c r="C11239" s="27" t="n">
        <f aca="false">mix_h*Sens!C11232</f>
        <v>128</v>
      </c>
      <c r="D11239" s="27" t="n">
        <f aca="false">mix_h*Sens!D11232</f>
        <v>326</v>
      </c>
      <c r="E11239" s="27" t="n">
        <f aca="false">mix_h*Sens!E11232</f>
        <v>650</v>
      </c>
      <c r="F11239" s="27" t="n">
        <f aca="false">Sens!E11239</f>
        <v>650</v>
      </c>
      <c r="G11239" s="27" t="n">
        <f aca="false">Sens!F11239</f>
        <v>650</v>
      </c>
      <c r="H11239" s="27" t="n">
        <f aca="false">Sens!G11239</f>
        <v>650</v>
      </c>
      <c r="I11239" s="27" t="n">
        <f aca="false">Sens!H11239</f>
        <v>650</v>
      </c>
      <c r="J11239" s="27" t="n">
        <f aca="false">Sens!I11239</f>
        <v>650</v>
      </c>
      <c r="K11239" s="27" t="n">
        <f aca="false">Sens!J11239</f>
        <v>650</v>
      </c>
    </row>
    <row r="11240" customFormat="false" ht="17.15" hidden="false" customHeight="false" outlineLevel="0" collapsed="false">
      <c r="A11240" s="1" t="s">
        <v>730</v>
      </c>
      <c r="B11240" s="0" t="s">
        <v>340</v>
      </c>
      <c r="C11240" s="27" t="n">
        <f aca="false">mix_g2*Sens!C11232</f>
        <v>288</v>
      </c>
      <c r="D11240" s="27" t="n">
        <f aca="false">mix_g2*Sens!D11232</f>
        <v>733.5</v>
      </c>
      <c r="E11240" s="27" t="n">
        <f aca="false">mix_g2*Sens!E11232</f>
        <v>1462.5</v>
      </c>
      <c r="F11240" s="27" t="n">
        <f aca="false">Sens!E11240</f>
        <v>1462.5</v>
      </c>
      <c r="G11240" s="27" t="n">
        <f aca="false">Sens!F11240</f>
        <v>1462.5</v>
      </c>
      <c r="H11240" s="27" t="n">
        <f aca="false">Sens!G11240</f>
        <v>1462.5</v>
      </c>
      <c r="I11240" s="27" t="n">
        <f aca="false">Sens!H11240</f>
        <v>1462.5</v>
      </c>
      <c r="J11240" s="27" t="n">
        <f aca="false">Sens!I11240</f>
        <v>1462.5</v>
      </c>
      <c r="K11240" s="27" t="n">
        <f aca="false">Sens!J11240</f>
        <v>1462.5</v>
      </c>
    </row>
    <row r="11241" customFormat="false" ht="17.15" hidden="false" customHeight="false" outlineLevel="0" collapsed="false">
      <c r="A11241" s="1" t="s">
        <v>731</v>
      </c>
      <c r="B11241" s="0" t="s">
        <v>340</v>
      </c>
      <c r="C11241" s="27" t="n">
        <f aca="false">mix_g3*Sens!C11232</f>
        <v>224</v>
      </c>
      <c r="D11241" s="27" t="n">
        <f aca="false">mix_g3*Sens!D11232</f>
        <v>570.5</v>
      </c>
      <c r="E11241" s="27" t="n">
        <f aca="false">mix_g3*Sens!E11232</f>
        <v>1137.5</v>
      </c>
      <c r="F11241" s="27" t="n">
        <f aca="false">Sens!E11241+Sens!F11238*a_g3_27</f>
        <v>1592.5</v>
      </c>
      <c r="G11241" s="27" t="n">
        <f aca="false">Sens!F11241+Sens!G11238*a_g3_28</f>
        <v>1738.3</v>
      </c>
      <c r="H11241" s="27" t="n">
        <f aca="false">Sens!G11241+Sens!H11238*a_g3_29</f>
        <v>1738.3</v>
      </c>
      <c r="I11241" s="27" t="n">
        <f aca="false">Sens!H11241+Sens!I11238*a_g3_29</f>
        <v>1738.3</v>
      </c>
      <c r="J11241" s="27" t="n">
        <f aca="false">Sens!I11241+Sens!J11238*a_g3_29</f>
        <v>1738.3</v>
      </c>
      <c r="K11241" s="27" t="n">
        <f aca="false">Sens!J11241+Sens!K11238*a_g3_29</f>
        <v>1738.3</v>
      </c>
    </row>
    <row r="11242" customFormat="false" ht="17.15" hidden="false" customHeight="false" outlineLevel="0" collapsed="false">
      <c r="A11242" s="1" t="s">
        <v>732</v>
      </c>
      <c r="B11242" s="0" t="s">
        <v>340</v>
      </c>
      <c r="C11242" s="27" t="n">
        <f aca="false">0</f>
        <v>0</v>
      </c>
      <c r="D11242" s="27" t="n">
        <f aca="false">0</f>
        <v>0</v>
      </c>
      <c r="E11242" s="27" t="n">
        <f aca="false">0</f>
        <v>0</v>
      </c>
      <c r="F11242" s="27" t="n">
        <f aca="false">Sens!E11242+Sens!F11238*(1-a_g3_27)</f>
        <v>195</v>
      </c>
      <c r="G11242" s="27" t="n">
        <f aca="false">Sens!F11242+Sens!G11238*(1-a_g3_28)</f>
        <v>535.2</v>
      </c>
      <c r="H11242" s="27" t="n">
        <f aca="false">Sens!G11242+Sens!H11238*(1-a_g3_29)</f>
        <v>535.2</v>
      </c>
      <c r="I11242" s="27" t="n">
        <f aca="false">Sens!H11242+Sens!I11238*(1-a_g3_29)</f>
        <v>535.2</v>
      </c>
      <c r="J11242" s="27" t="n">
        <f aca="false">Sens!I11242+Sens!J11238*(1-a_g3_29)</f>
        <v>535.2</v>
      </c>
      <c r="K11242" s="27" t="n">
        <f aca="false">Sens!J11242+Sens!K11238*(1-a_g3_29)</f>
        <v>535.2</v>
      </c>
    </row>
    <row r="11243" customFormat="false" ht="17.15" hidden="false" customHeight="false" outlineLevel="0" collapsed="false">
      <c r="A11243" s="1" t="s">
        <v>733</v>
      </c>
      <c r="B11243" s="0" t="s">
        <v>291</v>
      </c>
      <c r="C11243" s="18" t="n">
        <f aca="false">(Sens!C11239*tk_hold_h100+Sens!C11240*tk_hold_gb200+Sens!C11241*tk_hold_gb300+Sens!C11242*tk_hold_vr200)/Sens!C11232</f>
        <v>9.7235358126469</v>
      </c>
      <c r="D11243" s="18" t="n">
        <f aca="false">(Sens!D11239*tk_hold_h100+Sens!D11240*tk_hold_gb200+Sens!D11241*tk_hold_gb300+Sens!D11242*tk_hold_vr200)/Sens!D11232</f>
        <v>9.7235358126469</v>
      </c>
      <c r="E11243" s="18" t="n">
        <f aca="false">(Sens!E11239*tk_hold_h100+Sens!E11240*tk_hold_gb200+Sens!E11241*tk_hold_gb300+Sens!E11242*tk_hold_vr200)/Sens!E11232</f>
        <v>9.7235358126469</v>
      </c>
      <c r="F11243" s="18" t="n">
        <f aca="false">(Sens!F11239*tk_hold_h100+Sens!F11240*tk_hold_gb200+Sens!F11241*tk_hold_gb300+Sens!F11242*tk_hold_vr200)/Sens!F11232</f>
        <v>9.9843013443478</v>
      </c>
      <c r="G11243" s="18" t="n">
        <f aca="false">(Sens!G11239*tk_hold_h100+Sens!G11240*tk_hold_gb200+Sens!G11241*tk_hold_gb300+Sens!G11242*tk_hold_vr200)/Sens!G11232</f>
        <v>10.1881256732384</v>
      </c>
      <c r="H11243" s="18" t="n">
        <f aca="false">(Sens!H11239*tk_hold_h100+Sens!H11240*tk_hold_gb200+Sens!H11241*tk_hold_gb300+Sens!H11242*tk_hold_vr200)/Sens!H11232</f>
        <v>10.1881256732384</v>
      </c>
      <c r="I11243" s="18" t="n">
        <f aca="false">(Sens!I11239*tk_hold_h100+Sens!I11240*tk_hold_gb200+Sens!I11241*tk_hold_gb300+Sens!I11242*tk_hold_vr200)/Sens!I11232</f>
        <v>10.1881256732384</v>
      </c>
      <c r="J11243" s="18" t="n">
        <f aca="false">(Sens!J11239*tk_hold_h100+Sens!J11240*tk_hold_gb200+Sens!J11241*tk_hold_gb300+Sens!J11242*tk_hold_vr200)/Sens!J11232</f>
        <v>10.1881256732384</v>
      </c>
      <c r="K11243" s="18" t="n">
        <f aca="false">(Sens!K11239*tk_hold_h100+Sens!K11240*tk_hold_gb200+Sens!K11241*tk_hold_gb300+Sens!K11242*tk_hold_vr200)/Sens!K11232</f>
        <v>10.1881256732384</v>
      </c>
    </row>
    <row r="11244" customFormat="false" ht="17.15" hidden="false" customHeight="false" outlineLevel="0" collapsed="false">
      <c r="A11244" s="0" t="s">
        <v>734</v>
      </c>
      <c r="B11244" s="0" t="s">
        <v>182</v>
      </c>
      <c r="C11244" s="18" t="n">
        <f aca="false">k_B</f>
        <v>1.17213932619116</v>
      </c>
      <c r="D11244" s="18" t="n">
        <f aca="false">k_B</f>
        <v>1.17213932619116</v>
      </c>
      <c r="E11244" s="18" t="n">
        <f aca="false">k_B</f>
        <v>1.17213932619116</v>
      </c>
      <c r="F11244" s="18" t="n">
        <f aca="false">(k_B+((ls_C*k_long+(1-ls_C)*k_spot)-k_B)*MIN(1,1/3))*1</f>
        <v>1.07843258004497</v>
      </c>
      <c r="G11244" s="18" t="n">
        <f aca="false">(k_B+((ls_C*k_long+(1-ls_C)*k_spot)-k_B)*MIN(1,2/3))*1</f>
        <v>0.984725833898784</v>
      </c>
      <c r="H11244" s="18" t="n">
        <f aca="false">(k_B+((ls_C*k_long+(1-ls_C)*k_spot)-k_B)*MIN(1,3/3))*1</f>
        <v>0.891019087752599</v>
      </c>
      <c r="I11244" s="18" t="n">
        <f aca="false">(k_B+((ls_C*k_long+(1-ls_C)*k_spot)-k_B)*MIN(1,4/3))*1</f>
        <v>0.891019087752599</v>
      </c>
      <c r="J11244" s="18" t="n">
        <f aca="false">(k_B+((ls_C*k_long+(1-ls_C)*k_spot)-k_B)*MIN(1,5/3))*1</f>
        <v>0.891019087752599</v>
      </c>
      <c r="K11244" s="18" t="n">
        <f aca="false">(k_B+((ls_C*k_long+(1-ls_C)*k_spot)-k_B)*MIN(1,6/3))*1</f>
        <v>0.891019087752599</v>
      </c>
      <c r="L11244" s="1" t="s">
        <v>735</v>
      </c>
    </row>
    <row r="11245" customFormat="false" ht="17.15" hidden="false" customHeight="false" outlineLevel="0" collapsed="false">
      <c r="A11245" s="1" t="s">
        <v>736</v>
      </c>
      <c r="B11245" s="0" t="s">
        <v>291</v>
      </c>
      <c r="C11245" s="18" t="n">
        <f aca="false">Sens!C11243*Sens!C11244*chip_f</f>
        <v>11.3973387156315</v>
      </c>
      <c r="D11245" s="18" t="n">
        <f aca="false">Sens!D11243*Sens!D11244*chip_f</f>
        <v>11.3973387156315</v>
      </c>
      <c r="E11245" s="18" t="n">
        <f aca="false">Sens!E11243*Sens!E11244*chip_f</f>
        <v>11.3973387156315</v>
      </c>
      <c r="F11245" s="18" t="n">
        <f aca="false">Sens!F11243*Sens!F11244*chip_f</f>
        <v>10.7673958587315</v>
      </c>
      <c r="G11245" s="18" t="n">
        <f aca="false">Sens!G11243*Sens!G11244*chip_f</f>
        <v>10.0325105494453</v>
      </c>
      <c r="H11245" s="18" t="n">
        <f aca="false">Sens!H11243*Sens!H11244*chip_f</f>
        <v>9.0778144432777</v>
      </c>
      <c r="I11245" s="18" t="n">
        <f aca="false">Sens!I11243*Sens!I11244*chip_f</f>
        <v>9.0778144432777</v>
      </c>
      <c r="J11245" s="18" t="n">
        <f aca="false">Sens!J11243*Sens!J11244*chip_f</f>
        <v>9.0778144432777</v>
      </c>
      <c r="K11245" s="18" t="n">
        <f aca="false">Sens!K11243*Sens!K11244*chip_f</f>
        <v>9.0778144432777</v>
      </c>
      <c r="L11245" s="1" t="s">
        <v>737</v>
      </c>
    </row>
    <row r="11246" customFormat="false" ht="17.15" hidden="false" customHeight="false" outlineLevel="0" collapsed="false">
      <c r="A11246" s="0" t="s">
        <v>738</v>
      </c>
      <c r="B11246" s="0" t="s">
        <v>95</v>
      </c>
      <c r="D11246" s="6" t="n">
        <f aca="false">(Sens!C11232+Sens!D11232)/2*Sens!D11245/1000</f>
        <v>12.9359794422418</v>
      </c>
      <c r="E11246" s="6" t="n">
        <f aca="false">(Sens!D11232+Sens!E11232)/2*Sens!E11245/1000</f>
        <v>27.8095064661409</v>
      </c>
      <c r="F11246" s="6" t="n">
        <f aca="false">(Sens!E11232+Sens!F11232)/2*Sens!F11245/1000</f>
        <v>38.493440194965</v>
      </c>
      <c r="G11246" s="6" t="n">
        <f aca="false">(Sens!F11232+Sens!G11232)/2*Sens!G11245/1000</f>
        <v>41.5646912063518</v>
      </c>
      <c r="H11246" s="6" t="n">
        <f aca="false">(Sens!G11232+Sens!H11232)/2*Sens!H11245/1000</f>
        <v>39.815294148216</v>
      </c>
      <c r="I11246" s="6" t="n">
        <f aca="false">(Sens!H11232+Sens!I11232)/2*Sens!I11245/1000</f>
        <v>39.815294148216</v>
      </c>
      <c r="J11246" s="6" t="n">
        <f aca="false">(Sens!I11232+Sens!J11232)/2*Sens!J11245/1000</f>
        <v>39.815294148216</v>
      </c>
      <c r="K11246" s="6" t="n">
        <f aca="false">(Sens!J11232+Sens!K11232)/2*Sens!K11245/1000</f>
        <v>39.815294148216</v>
      </c>
      <c r="L11246" s="11" t="s">
        <v>739</v>
      </c>
    </row>
    <row r="11247" customFormat="false" ht="17.15" hidden="false" customHeight="false" outlineLevel="0" collapsed="false">
      <c r="A11247" s="1" t="s">
        <v>740</v>
      </c>
      <c r="B11247" s="0" t="s">
        <v>291</v>
      </c>
      <c r="C11247" s="18" t="n">
        <f aca="false">(Sens!C11239*tk_opex_h100+Sens!C11240*tk_opex_gb200+Sens!C11241*tk_opex_gb300+Sens!C11242*tk_opex_vr200)/Sens!C11232</f>
        <v>1.88636041306092</v>
      </c>
      <c r="D11247" s="18" t="n">
        <f aca="false">(Sens!D11239*tk_opex_h100+Sens!D11240*tk_opex_gb200+Sens!D11241*tk_opex_gb300+Sens!D11242*tk_opex_vr200)/Sens!D11232</f>
        <v>1.88636041306092</v>
      </c>
      <c r="E11247" s="18" t="n">
        <f aca="false">(Sens!E11239*tk_opex_h100+Sens!E11240*tk_opex_gb200+Sens!E11241*tk_opex_gb300+Sens!E11242*tk_opex_vr200)/Sens!E11232</f>
        <v>1.88636041306092</v>
      </c>
      <c r="F11247" s="18" t="n">
        <f aca="false">(Sens!F11239*tk_opex_h100+Sens!F11240*tk_opex_gb200+Sens!F11241*tk_opex_gb300+Sens!F11242*tk_opex_vr200)/Sens!F11232</f>
        <v>1.90794918316667</v>
      </c>
      <c r="G11247" s="18" t="n">
        <f aca="false">(Sens!G11239*tk_opex_h100+Sens!G11240*tk_opex_gb200+Sens!G11241*tk_opex_gb300+Sens!G11242*tk_opex_vr200)/Sens!G11232</f>
        <v>1.92482379289624</v>
      </c>
      <c r="H11247" s="18" t="n">
        <f aca="false">(Sens!H11239*tk_opex_h100+Sens!H11240*tk_opex_gb200+Sens!H11241*tk_opex_gb300+Sens!H11242*tk_opex_vr200)/Sens!H11232</f>
        <v>1.92482379289624</v>
      </c>
      <c r="I11247" s="18" t="n">
        <f aca="false">(Sens!I11239*tk_opex_h100+Sens!I11240*tk_opex_gb200+Sens!I11241*tk_opex_gb300+Sens!I11242*tk_opex_vr200)/Sens!I11232</f>
        <v>1.92482379289624</v>
      </c>
      <c r="J11247" s="18" t="n">
        <f aca="false">(Sens!J11239*tk_opex_h100+Sens!J11240*tk_opex_gb200+Sens!J11241*tk_opex_gb300+Sens!J11242*tk_opex_vr200)/Sens!J11232</f>
        <v>1.92482379289624</v>
      </c>
      <c r="K11247" s="18" t="n">
        <f aca="false">(Sens!K11239*tk_opex_h100+Sens!K11240*tk_opex_gb200+Sens!K11241*tk_opex_gb300+Sens!K11242*tk_opex_vr200)/Sens!K11232</f>
        <v>1.92482379289624</v>
      </c>
    </row>
    <row r="11248" customFormat="false" ht="17.15" hidden="false" customHeight="false" outlineLevel="0" collapsed="false">
      <c r="A11248" s="0" t="s">
        <v>741</v>
      </c>
      <c r="B11248" s="0" t="s">
        <v>95</v>
      </c>
      <c r="D11248" s="6" t="n">
        <f aca="false">(Sens!C11235+Sens!D11235)/2*Sens!D11247/1000</f>
        <v>2.70378325872065</v>
      </c>
      <c r="E11248" s="6" t="n">
        <f aca="false">(Sens!D11235+Sens!E11235)/2*Sens!E11247/1000</f>
        <v>6.17783035277451</v>
      </c>
      <c r="F11248" s="6" t="n">
        <f aca="false">(Sens!E11235+Sens!F11235)/2*Sens!F11247/1000</f>
        <v>9.29171252202166</v>
      </c>
      <c r="G11248" s="6" t="n">
        <f aca="false">(Sens!F11235+Sens!G11235)/2*Sens!G11247/1000</f>
        <v>10.8656303108993</v>
      </c>
      <c r="H11248" s="6" t="n">
        <f aca="false">(Sens!G11235+Sens!H11235)/2*Sens!H11247/1000</f>
        <v>11.6451839470223</v>
      </c>
      <c r="I11248" s="6" t="n">
        <f aca="false">(Sens!H11235+Sens!I11235)/2*Sens!I11247/1000</f>
        <v>11.6451839470223</v>
      </c>
      <c r="J11248" s="6" t="n">
        <f aca="false">(Sens!I11235+Sens!J11235)/2*Sens!J11247/1000</f>
        <v>11.6451839470223</v>
      </c>
      <c r="K11248" s="6" t="n">
        <f aca="false">(Sens!J11235+Sens!K11235)/2*Sens!K11247/1000</f>
        <v>11.6451839470223</v>
      </c>
    </row>
    <row r="11249" customFormat="false" ht="17.15" hidden="false" customHeight="false" outlineLevel="0" collapsed="false">
      <c r="A11249" s="0" t="s">
        <v>742</v>
      </c>
      <c r="B11249" s="0" t="s">
        <v>95</v>
      </c>
      <c r="D11249" s="6" t="n">
        <f aca="false">(Sens!C11233+Sens!D11233)/2*rent_mw/1000</f>
        <v>2.44475</v>
      </c>
      <c r="E11249" s="6" t="n">
        <f aca="false">(Sens!D11233+Sens!E11233)/2*rent_mw/1000</f>
        <v>4.22275</v>
      </c>
      <c r="F11249" s="6" t="n">
        <f aca="false">(Sens!E11233+Sens!F11233)/2*rent_mw/1000</f>
        <v>5.80517</v>
      </c>
      <c r="G11249" s="6" t="n">
        <f aca="false">(Sens!F11233+Sens!G11233)/2*rent_mw/1000</f>
        <v>6.72084</v>
      </c>
      <c r="H11249" s="6" t="n">
        <f aca="false">(Sens!G11233+Sens!H11233)/2*rent_mw/1000</f>
        <v>6.72084</v>
      </c>
      <c r="I11249" s="6" t="n">
        <f aca="false">(Sens!H11233+Sens!I11233)/2*rent_mw/1000</f>
        <v>6.72084</v>
      </c>
      <c r="J11249" s="6" t="n">
        <f aca="false">(Sens!I11233+Sens!J11233)/2*rent_mw/1000</f>
        <v>6.72084</v>
      </c>
      <c r="K11249" s="6" t="n">
        <f aca="false">(Sens!J11233+Sens!K11233)/2*rent_mw/1000</f>
        <v>6.72084</v>
      </c>
    </row>
    <row r="11250" customFormat="false" ht="17.15" hidden="false" customHeight="false" outlineLevel="0" collapsed="false">
      <c r="A11250" s="0" t="s">
        <v>743</v>
      </c>
      <c r="B11250" s="0" t="s">
        <v>95</v>
      </c>
      <c r="D11250" s="6" t="n">
        <f aca="false">(Sens!C11235+Sens!D11235)/2*(1-self_build)*fac_rent/1000</f>
        <v>0.853242375631075</v>
      </c>
      <c r="E11250" s="6" t="n">
        <f aca="false">(Sens!D11235+Sens!E11235)/2*(1-self_build)*fac_rent/1000</f>
        <v>1.94955961408728</v>
      </c>
      <c r="F11250" s="6" t="n">
        <f aca="false">(Sens!E11235+Sens!F11235)/2*(1-self_build)*fac_rent/1000</f>
        <v>2.89903979255117</v>
      </c>
      <c r="G11250" s="6" t="n">
        <f aca="false">(Sens!F11235+Sens!G11235)/2*(1-self_build)*fac_rent/1000</f>
        <v>3.36038596077029</v>
      </c>
      <c r="H11250" s="6" t="n">
        <f aca="false">(Sens!G11235+Sens!H11235)/2*(1-self_build)*fac_rent/1000</f>
        <v>3.60147653900094</v>
      </c>
      <c r="I11250" s="6" t="n">
        <f aca="false">(Sens!H11235+Sens!I11235)/2*(1-self_build)*fac_rent/1000</f>
        <v>3.60147653900094</v>
      </c>
      <c r="J11250" s="6" t="n">
        <f aca="false">(Sens!I11235+Sens!J11235)/2*(1-self_build)*fac_rent/1000</f>
        <v>3.60147653900094</v>
      </c>
      <c r="K11250" s="6" t="n">
        <f aca="false">(Sens!J11235+Sens!K11235)/2*(1-self_build)*fac_rent/1000</f>
        <v>3.60147653900094</v>
      </c>
      <c r="L11250" s="11" t="s">
        <v>744</v>
      </c>
    </row>
    <row r="11251" customFormat="false" ht="17.15" hidden="false" customHeight="false" outlineLevel="0" collapsed="false">
      <c r="A11251" s="1" t="s">
        <v>745</v>
      </c>
      <c r="B11251" s="0" t="s">
        <v>126</v>
      </c>
      <c r="D11251" s="7" t="n">
        <f aca="false">(Sens!C11234+Sens!D11234)/(Sens!C11235+Sens!D11235)</f>
        <v>0.6</v>
      </c>
      <c r="E11251" s="7" t="n">
        <f aca="false">(Sens!D11234+Sens!E11234)/(Sens!D11235+Sens!E11235)</f>
        <v>0.6</v>
      </c>
      <c r="F11251" s="7" t="n">
        <f aca="false">(Sens!E11234+Sens!F11234)/(Sens!E11235+Sens!F11235)</f>
        <v>0.6</v>
      </c>
      <c r="G11251" s="7" t="n">
        <f aca="false">(Sens!F11234+Sens!G11234)/(Sens!F11235+Sens!G11235)</f>
        <v>0.6</v>
      </c>
      <c r="H11251" s="7" t="n">
        <f aca="false">(Sens!G11234+Sens!H11234)/(Sens!G11235+Sens!H11235)</f>
        <v>0.6</v>
      </c>
      <c r="I11251" s="7" t="n">
        <f aca="false">(Sens!H11234+Sens!I11234)/(Sens!H11235+Sens!I11235)</f>
        <v>0.6</v>
      </c>
      <c r="J11251" s="7" t="n">
        <f aca="false">(Sens!I11234+Sens!J11234)/(Sens!I11235+Sens!J11235)</f>
        <v>0.6</v>
      </c>
      <c r="K11251" s="7" t="n">
        <f aca="false">(Sens!J11234+Sens!K11234)/(Sens!J11235+Sens!K11235)</f>
        <v>0.6</v>
      </c>
    </row>
    <row r="11252" customFormat="false" ht="17.15" hidden="false" customHeight="false" outlineLevel="0" collapsed="false">
      <c r="A11252" s="0" t="s">
        <v>746</v>
      </c>
      <c r="B11252" s="0" t="s">
        <v>95</v>
      </c>
      <c r="D11252" s="6" t="n">
        <f aca="false">Sens!D11246-Sens!D11251*(Sens!D11248+Sens!D11250)-Sens!D11249</f>
        <v>8.35701406163072</v>
      </c>
      <c r="E11252" s="6" t="n">
        <f aca="false">Sens!E11246-Sens!E11251*(Sens!E11248+Sens!E11250)-Sens!E11249</f>
        <v>18.7103224860238</v>
      </c>
      <c r="F11252" s="6" t="n">
        <f aca="false">Sens!F11246-Sens!F11251*(Sens!F11248+Sens!F11250)-Sens!F11249</f>
        <v>25.3738188062213</v>
      </c>
      <c r="G11252" s="6" t="n">
        <f aca="false">Sens!G11246-Sens!G11251*(Sens!G11248+Sens!G11250)-Sens!G11249</f>
        <v>26.3082414433501</v>
      </c>
      <c r="H11252" s="6" t="n">
        <f aca="false">Sens!H11246-Sens!H11251*(Sens!H11248+Sens!H11250)-Sens!H11249</f>
        <v>23.9464578566021</v>
      </c>
      <c r="I11252" s="6" t="n">
        <f aca="false">Sens!I11246-Sens!I11251*(Sens!I11248+Sens!I11250)-Sens!I11249</f>
        <v>23.9464578566021</v>
      </c>
      <c r="J11252" s="6" t="n">
        <f aca="false">Sens!J11246-Sens!J11251*(Sens!J11248+Sens!J11250)-Sens!J11249</f>
        <v>23.9464578566021</v>
      </c>
      <c r="K11252" s="6" t="n">
        <f aca="false">Sens!K11246-Sens!K11251*(Sens!K11248+Sens!K11250)-Sens!K11249</f>
        <v>23.9464578566021</v>
      </c>
    </row>
    <row r="11253" customFormat="false" ht="17.15" hidden="false" customHeight="false" outlineLevel="0" collapsed="false">
      <c r="A11253" s="1" t="s">
        <v>747</v>
      </c>
      <c r="B11253" s="0" t="s">
        <v>95</v>
      </c>
      <c r="D11253" s="6" t="n">
        <f aca="false">(1-Sens!D11251)*(Sens!D11248+Sens!D11250)</f>
        <v>1.42281025374069</v>
      </c>
      <c r="E11253" s="6" t="n">
        <f aca="false">(1-Sens!E11251)*(Sens!E11248+Sens!E11250)</f>
        <v>3.25095598674472</v>
      </c>
      <c r="F11253" s="6" t="n">
        <f aca="false">(1-Sens!F11251)*(Sens!F11248+Sens!F11250)</f>
        <v>4.87630092582913</v>
      </c>
      <c r="G11253" s="6" t="n">
        <f aca="false">(1-Sens!G11251)*(Sens!G11248+Sens!G11250)</f>
        <v>5.69040650866783</v>
      </c>
      <c r="H11253" s="6" t="n">
        <f aca="false">(1-Sens!H11251)*(Sens!H11248+Sens!H11250)</f>
        <v>6.09866419440928</v>
      </c>
      <c r="I11253" s="6" t="n">
        <f aca="false">(1-Sens!I11251)*(Sens!I11248+Sens!I11250)</f>
        <v>6.09866419440928</v>
      </c>
      <c r="J11253" s="6" t="n">
        <f aca="false">(1-Sens!J11251)*(Sens!J11248+Sens!J11250)</f>
        <v>6.09866419440928</v>
      </c>
      <c r="K11253" s="6" t="n">
        <f aca="false">(1-Sens!K11251)*(Sens!K11248+Sens!K11250)</f>
        <v>6.09866419440928</v>
      </c>
    </row>
    <row r="11254" customFormat="false" ht="17.15" hidden="false" customHeight="false" outlineLevel="0" collapsed="false">
      <c r="A11254" s="1" t="s">
        <v>748</v>
      </c>
      <c r="B11254" s="0" t="s">
        <v>302</v>
      </c>
      <c r="C11254" s="8" t="n">
        <f aca="false">cxit_open</f>
        <v>27.5918995</v>
      </c>
      <c r="D11254" s="8" t="n">
        <f aca="false">cxit_open</f>
        <v>27.5918995</v>
      </c>
      <c r="E11254" s="8" t="n">
        <f aca="false">cxit_open</f>
        <v>27.5918995</v>
      </c>
      <c r="F11254" s="8" t="n">
        <f aca="false">(a_g3_27*tk_cxit_gb300+(1-a_g3_27)*tk_cxit_vr200)</f>
        <v>33.8419624</v>
      </c>
      <c r="G11254" s="8" t="n">
        <f aca="false">(a_g3_28*tk_cxit_gb300+(1-a_g3_28)*tk_cxit_vr200)</f>
        <v>35.9816136</v>
      </c>
      <c r="H11254" s="8" t="n">
        <f aca="false">(a_g3_29*tk_cxit_gb300+(1-a_g3_29)*tk_cxit_vr200)</f>
        <v>37.0514392</v>
      </c>
      <c r="I11254" s="8" t="n">
        <f aca="false">(a_g3_29*tk_cxit_gb300+(1-a_g3_29)*tk_cxit_vr200)</f>
        <v>37.0514392</v>
      </c>
      <c r="J11254" s="8" t="n">
        <f aca="false">(a_g3_29*tk_cxit_gb300+(1-a_g3_29)*tk_cxit_vr200)</f>
        <v>37.0514392</v>
      </c>
      <c r="K11254" s="8" t="n">
        <f aca="false">(a_g3_29*tk_cxit_gb300+(1-a_g3_29)*tk_cxit_vr200)</f>
        <v>37.0514392</v>
      </c>
      <c r="L11254" s="11" t="s">
        <v>749</v>
      </c>
    </row>
    <row r="11255" customFormat="false" ht="17.15" hidden="false" customHeight="false" outlineLevel="0" collapsed="false">
      <c r="A11255" s="0" t="s">
        <v>750</v>
      </c>
      <c r="B11255" s="0" t="s">
        <v>340</v>
      </c>
      <c r="F11255" s="27" t="n">
        <f aca="false">Sens!C11237*IF(3=life_it,1,0)+Sens!D11237*IF(2=life_it,1,0)+Sens!E11237*IF(1=life_it,1,0)</f>
        <v>0</v>
      </c>
      <c r="G11255" s="27" t="n">
        <f aca="false">Sens!C11237*IF(4=life_it,1,0)+Sens!D11237*IF(3=life_it,1,0)+Sens!E11237*IF(2=life_it,1,0)+Sens!F11237*IF(1=life_it,1,0)</f>
        <v>0</v>
      </c>
      <c r="H11255" s="27" t="n">
        <f aca="false">Sens!C11237*IF(5=life_it,1,0)+Sens!D11237*IF(4=life_it,1,0)+Sens!E11237*IF(3=life_it,1,0)+Sens!F11237*IF(2=life_it,1,0)+Sens!G11237*IF(1=life_it,1,0)</f>
        <v>0</v>
      </c>
      <c r="I11255" s="27" t="n">
        <f aca="false">Sens!C11237*IF(6=life_it,1,0)+Sens!D11237*IF(5=life_it,1,0)+Sens!E11237*IF(4=life_it,1,0)+Sens!F11237*IF(3=life_it,1,0)+Sens!G11237*IF(2=life_it,1,0)+Sens!H11237*IF(1=life_it,1,0)</f>
        <v>816.666666666667</v>
      </c>
      <c r="J11255" s="27" t="n">
        <f aca="false">Sens!C11237*IF(7=life_it,1,0)+Sens!D11237*IF(6=life_it,1,0)+Sens!E11237*IF(5=life_it,1,0)+Sens!F11237*IF(4=life_it,1,0)+Sens!G11237*IF(3=life_it,1,0)+Sens!H11237*IF(2=life_it,1,0)+Sens!I11237*IF(1=life_it,1,0)</f>
        <v>1233.33333333333</v>
      </c>
      <c r="K11255" s="27" t="n">
        <f aca="false">Sens!C11237*IF(8=life_it,1,0)+Sens!D11237*IF(7=life_it,1,0)+Sens!E11237*IF(6=life_it,1,0)+Sens!F11237*IF(5=life_it,1,0)+Sens!G11237*IF(4=life_it,1,0)+Sens!H11237*IF(3=life_it,1,0)+Sens!I11237*IF(2=life_it,1,0)+Sens!J11237*IF(1=life_it,1,0)</f>
        <v>2450</v>
      </c>
      <c r="L11255" s="1" t="s">
        <v>751</v>
      </c>
    </row>
    <row r="11256" customFormat="false" ht="17.15" hidden="false" customHeight="false" outlineLevel="0" collapsed="false">
      <c r="A11256" s="0" t="s">
        <v>752</v>
      </c>
      <c r="B11256" s="0" t="s">
        <v>95</v>
      </c>
      <c r="C11256" s="6" t="n">
        <f aca="false">Sens!C11237*Sens!C11254/1000</f>
        <v>22.5333845916667</v>
      </c>
      <c r="D11256" s="6" t="n">
        <f aca="false">Sens!D11237*Sens!D11254/1000</f>
        <v>34.0300093833333</v>
      </c>
      <c r="E11256" s="6" t="n">
        <f aca="false">Sens!E11237*Sens!E11254/1000</f>
        <v>67.600153775</v>
      </c>
      <c r="F11256" s="6" t="n">
        <f aca="false">(Sens!F11237+Sens!F11255)*Sens!F11254/1000</f>
        <v>25.043052176</v>
      </c>
      <c r="G11256" s="6" t="n">
        <f aca="false">(Sens!G11237+Sens!G11255)*Sens!G11254/1000</f>
        <v>29.145107016</v>
      </c>
      <c r="H11256" s="6" t="n">
        <f aca="false">(Sens!H11237+Sens!H11255)*Sens!H11254/1000</f>
        <v>0</v>
      </c>
      <c r="I11256" s="6" t="n">
        <f aca="false">(Sens!I11237+Sens!I11255)*Sens!I11254/1000</f>
        <v>30.2586753466667</v>
      </c>
      <c r="J11256" s="6" t="n">
        <f aca="false">(Sens!J11237+Sens!J11255)*Sens!J11254/1000</f>
        <v>45.6967750133333</v>
      </c>
      <c r="K11256" s="6" t="n">
        <f aca="false">(Sens!K11237+Sens!K11255)*Sens!K11254/1000</f>
        <v>90.77602604</v>
      </c>
    </row>
    <row r="11257" customFormat="false" ht="17.15" hidden="false" customHeight="false" outlineLevel="0" collapsed="false">
      <c r="A11257" s="0" t="s">
        <v>753</v>
      </c>
      <c r="B11257" s="0" t="s">
        <v>95</v>
      </c>
      <c r="C11257" s="6" t="n">
        <f aca="false">Sens!C11237*self_build*tk_cxfac/1000</f>
        <v>6.2083</v>
      </c>
      <c r="D11257" s="6" t="n">
        <f aca="false">Sens!D11237*self_build*tk_cxfac/1000</f>
        <v>9.3758</v>
      </c>
      <c r="E11257" s="6" t="n">
        <f aca="false">Sens!E11237*self_build*tk_cxfac/1000</f>
        <v>18.6249</v>
      </c>
      <c r="F11257" s="6" t="n">
        <f aca="false">Sens!F11237*self_build*tk_cxfac/1000</f>
        <v>5.62548</v>
      </c>
      <c r="G11257" s="6" t="n">
        <f aca="false">Sens!G11237*self_build*tk_cxfac/1000</f>
        <v>6.15762</v>
      </c>
      <c r="H11257" s="6" t="n">
        <f aca="false">Sens!H11237*self_build*tk_cxfac/1000</f>
        <v>0</v>
      </c>
      <c r="I11257" s="6" t="n">
        <f aca="false">Sens!I11237*self_build*tk_cxfac/1000</f>
        <v>0</v>
      </c>
      <c r="J11257" s="6" t="n">
        <f aca="false">Sens!J11237*self_build*tk_cxfac/1000</f>
        <v>0</v>
      </c>
      <c r="K11257" s="6" t="n">
        <f aca="false">Sens!K11237*self_build*tk_cxfac/1000</f>
        <v>0</v>
      </c>
    </row>
    <row r="11258" customFormat="false" ht="17.15" hidden="false" customHeight="false" outlineLevel="0" collapsed="false">
      <c r="A11258" s="0" t="s">
        <v>754</v>
      </c>
      <c r="B11258" s="0" t="s">
        <v>95</v>
      </c>
      <c r="F11258" s="6" t="n">
        <f aca="false">MAX(0,capex_floor27-Sens!F11256-Sens!F11257-Sens!F11345)</f>
        <v>138.102120594438</v>
      </c>
      <c r="G11258" s="6" t="n">
        <f aca="false">0</f>
        <v>0</v>
      </c>
      <c r="H11258" s="6" t="n">
        <f aca="false">0</f>
        <v>0</v>
      </c>
      <c r="I11258" s="6" t="n">
        <f aca="false">0</f>
        <v>0</v>
      </c>
      <c r="J11258" s="6" t="n">
        <f aca="false">0</f>
        <v>0</v>
      </c>
      <c r="K11258" s="6" t="n">
        <f aca="false">0</f>
        <v>0</v>
      </c>
      <c r="L11258" s="1" t="s">
        <v>755</v>
      </c>
    </row>
    <row r="11259" customFormat="false" ht="17.15" hidden="false" customHeight="false" outlineLevel="0" collapsed="false">
      <c r="A11259" s="0" t="s">
        <v>756</v>
      </c>
      <c r="B11259" s="0" t="s">
        <v>95</v>
      </c>
      <c r="C11259" s="6" t="n">
        <f aca="false">Sens!C11256</f>
        <v>22.5333845916667</v>
      </c>
      <c r="D11259" s="6" t="n">
        <f aca="false">Sens!D11256</f>
        <v>34.0300093833333</v>
      </c>
      <c r="E11259" s="6" t="n">
        <f aca="false">Sens!E11256</f>
        <v>67.600153775</v>
      </c>
      <c r="F11259" s="6" t="n">
        <f aca="false">Sens!F11256+Sens!F11258</f>
        <v>163.145172770438</v>
      </c>
      <c r="G11259" s="6" t="n">
        <f aca="false">Sens!G11256+Sens!G11258</f>
        <v>29.145107016</v>
      </c>
      <c r="H11259" s="6" t="n">
        <f aca="false">Sens!H11256+Sens!H11258</f>
        <v>0</v>
      </c>
      <c r="I11259" s="6" t="n">
        <f aca="false">Sens!I11256+Sens!I11258</f>
        <v>30.2586753466667</v>
      </c>
      <c r="J11259" s="6" t="n">
        <f aca="false">Sens!J11256+Sens!J11258</f>
        <v>45.6967750133333</v>
      </c>
      <c r="K11259" s="6" t="n">
        <f aca="false">Sens!K11256+Sens!K11258</f>
        <v>90.77602604</v>
      </c>
    </row>
    <row r="11260" customFormat="false" ht="17.15" hidden="false" customHeight="false" outlineLevel="0" collapsed="false">
      <c r="A11260" s="0" t="s">
        <v>757</v>
      </c>
      <c r="B11260" s="0" t="s">
        <v>95</v>
      </c>
      <c r="C11260" s="6" t="n">
        <f aca="false">Sens!C11259+Sens!C11257</f>
        <v>28.7416845916667</v>
      </c>
      <c r="D11260" s="6" t="n">
        <f aca="false">Sens!D11259+Sens!D11257</f>
        <v>43.4058093833333</v>
      </c>
      <c r="E11260" s="6" t="n">
        <f aca="false">Sens!E11259+Sens!E11257</f>
        <v>86.225053775</v>
      </c>
      <c r="F11260" s="6" t="n">
        <f aca="false">Sens!F11259+Sens!F11257</f>
        <v>168.770652770438</v>
      </c>
      <c r="G11260" s="6" t="n">
        <f aca="false">Sens!G11259+Sens!G11257</f>
        <v>35.302727016</v>
      </c>
      <c r="H11260" s="6" t="n">
        <f aca="false">Sens!H11259+Sens!H11257</f>
        <v>0</v>
      </c>
      <c r="I11260" s="6" t="n">
        <f aca="false">Sens!I11259+Sens!I11257</f>
        <v>30.2586753466667</v>
      </c>
      <c r="J11260" s="6" t="n">
        <f aca="false">Sens!J11259+Sens!J11257</f>
        <v>45.6967750133333</v>
      </c>
      <c r="K11260" s="6" t="n">
        <f aca="false">Sens!K11259+Sens!K11257</f>
        <v>90.77602604</v>
      </c>
      <c r="L11260" s="11" t="s">
        <v>758</v>
      </c>
    </row>
    <row r="11261" customFormat="false" ht="17.15" hidden="false" customHeight="false" outlineLevel="0" collapsed="false">
      <c r="A11261" s="0" t="s">
        <v>759</v>
      </c>
      <c r="B11261" s="0" t="s">
        <v>95</v>
      </c>
      <c r="E11261" s="6" t="n">
        <f aca="false">(Sens!C11259*IF(2&lt;life_it,1,IF(2=life_it,0.5,0))+Sens!D11259*IF(1&lt;life_it,1,IF(1=life_it,0.5,0))+Sens!E11259*0.5)/life_it</f>
        <v>15.0605784770833</v>
      </c>
      <c r="F11261" s="6" t="n">
        <f aca="false">(Sens!C11259*IF(3&lt;life_it,1,IF(3=life_it,0.5,0))+Sens!D11259*IF(2&lt;life_it,1,IF(2=life_it,0.5,0))+Sens!E11259*IF(1&lt;life_it,1,IF(1=life_it,0.5,0))+Sens!F11259*0.5)/life_it</f>
        <v>34.2893556892031</v>
      </c>
      <c r="G11261" s="6" t="n">
        <f aca="false">(Sens!C11259*IF(4&lt;life_it,1,IF(4=life_it,0.5,0))+Sens!D11259*IF(3&lt;life_it,1,IF(3=life_it,0.5,0))+Sens!E11259*IF(2&lt;life_it,1,IF(2=life_it,0.5,0))+Sens!F11259*IF(1&lt;life_it,1,IF(1=life_it,0.5,0))+Sens!G11259*0.5)/life_it</f>
        <v>50.3135456714063</v>
      </c>
      <c r="H11261" s="6" t="n">
        <f aca="false">(Sens!C11259*IF(5&lt;life_it,1,IF(5=life_it,0.5,0))+Sens!D11259*IF(4&lt;life_it,1,IF(4=life_it,0.5,0))+Sens!E11259*IF(3&lt;life_it,1,IF(3=life_it,0.5,0))+Sens!F11259*IF(2&lt;life_it,1,IF(2=life_it,0.5,0))+Sens!G11259*IF(1&lt;life_it,1,IF(1=life_it,0.5,0))+Sens!H11259*0.5)/life_it</f>
        <v>52.7423045894063</v>
      </c>
      <c r="I11261" s="6" t="n">
        <f aca="false">(Sens!C11259*IF(6&lt;life_it,1,IF(6=life_it,0.5,0))+Sens!D11259*IF(5&lt;life_it,1,IF(5=life_it,0.5,0))+Sens!E11259*IF(4&lt;life_it,1,IF(4=life_it,0.5,0))+Sens!F11259*IF(3&lt;life_it,1,IF(3=life_it,0.5,0))+Sens!G11259*IF(2&lt;life_it,1,IF(2=life_it,0.5,0))+Sens!H11259*IF(1&lt;life_it,1,IF(1=life_it,0.5,0))+Sens!I11259*0.5)/life_it</f>
        <v>53.3860788189896</v>
      </c>
      <c r="J11261" s="6" t="n">
        <f aca="false">(Sens!C11259*IF(7&lt;life_it,1,IF(7=life_it,0.5,0))+Sens!D11259*IF(6&lt;life_it,1,IF(6=life_it,0.5,0))+Sens!E11259*IF(5&lt;life_it,1,IF(5=life_it,0.5,0))+Sens!F11259*IF(4&lt;life_it,1,IF(4=life_it,0.5,0))+Sens!G11259*IF(3&lt;life_it,1,IF(3=life_it,0.5,0))+Sens!H11259*IF(2&lt;life_it,1,IF(2=life_it,0.5,0))+Sens!I11259*IF(1&lt;life_it,1,IF(1=life_it,0.5,0))+Sens!J11259*0.5)/life_it</f>
        <v>55.0020835177396</v>
      </c>
      <c r="K11261" s="6" t="n">
        <f aca="false">(Sens!C11259*IF(8&lt;life_it,1,IF(8=life_it,0.5,0))+Sens!D11259*IF(7&lt;life_it,1,IF(7=life_it,0.5,0))+Sens!E11259*IF(6&lt;life_it,1,IF(6=life_it,0.5,0))+Sens!F11259*IF(5&lt;life_it,1,IF(5=life_it,0.5,0))+Sens!G11259*IF(4&lt;life_it,1,IF(4=life_it,0.5,0))+Sens!H11259*IF(3&lt;life_it,1,IF(3=life_it,0.5,0))+Sens!I11259*IF(2&lt;life_it,1,IF(2=life_it,0.5,0))+Sens!J11259*IF(1&lt;life_it,1,IF(1=life_it,0.5,0))+Sens!K11259*0.5)/life_it</f>
        <v>57.9056366756563</v>
      </c>
    </row>
    <row r="11262" customFormat="false" ht="17.15" hidden="false" customHeight="false" outlineLevel="0" collapsed="false">
      <c r="A11262" s="0" t="s">
        <v>760</v>
      </c>
      <c r="B11262" s="0" t="s">
        <v>95</v>
      </c>
      <c r="E11262" s="6" t="n">
        <f aca="false">(Sens!C11257*IF(2&lt;life_fac,1,IF(2=life_fac,0.5,0))+Sens!D11257*IF(1&lt;life_fac,1,IF(1=life_fac,0.5,0))+Sens!E11257*0.5)/life_fac</f>
        <v>1.2448275</v>
      </c>
      <c r="F11262" s="6" t="n">
        <f aca="false">(Sens!C11257*IF(3&lt;life_fac,1,IF(3=life_fac,0.5,0))+Sens!D11257*IF(2&lt;life_fac,1,IF(2=life_fac,0.5,0))+Sens!E11257*IF(1&lt;life_fac,1,IF(1=life_fac,0.5,0))+Sens!F11257*0.5)/life_fac</f>
        <v>1.851087</v>
      </c>
      <c r="G11262" s="6" t="n">
        <f aca="false">(Sens!C11257*IF(4&lt;life_fac,1,IF(4=life_fac,0.5,0))+Sens!D11257*IF(3&lt;life_fac,1,IF(3=life_fac,0.5,0))+Sens!E11257*IF(2&lt;life_fac,1,IF(2=life_fac,0.5,0))+Sens!F11257*IF(1&lt;life_fac,1,IF(1=life_fac,0.5,0))+Sens!G11257*0.5)/life_fac</f>
        <v>2.1456645</v>
      </c>
      <c r="H11262" s="6" t="n">
        <f aca="false">(Sens!C11257*IF(5&lt;life_fac,1,IF(5=life_fac,0.5,0))+Sens!D11257*IF(4&lt;life_fac,1,IF(4=life_fac,0.5,0))+Sens!E11257*IF(3&lt;life_fac,1,IF(3=life_fac,0.5,0))+Sens!F11257*IF(2&lt;life_fac,1,IF(2=life_fac,0.5,0))+Sens!G11257*IF(1&lt;life_fac,1,IF(1=life_fac,0.5,0))+Sens!H11257*0.5)/life_fac</f>
        <v>2.299605</v>
      </c>
      <c r="I11262" s="6" t="n">
        <f aca="false">(Sens!C11257*IF(6&lt;life_fac,1,IF(6=life_fac,0.5,0))+Sens!D11257*IF(5&lt;life_fac,1,IF(5=life_fac,0.5,0))+Sens!E11257*IF(4&lt;life_fac,1,IF(4=life_fac,0.5,0))+Sens!F11257*IF(3&lt;life_fac,1,IF(3=life_fac,0.5,0))+Sens!G11257*IF(2&lt;life_fac,1,IF(2=life_fac,0.5,0))+Sens!H11257*IF(1&lt;life_fac,1,IF(1=life_fac,0.5,0))+Sens!I11257*0.5)/life_fac</f>
        <v>2.299605</v>
      </c>
      <c r="J11262" s="6" t="n">
        <f aca="false">(Sens!C11257*IF(7&lt;life_fac,1,IF(7=life_fac,0.5,0))+Sens!D11257*IF(6&lt;life_fac,1,IF(6=life_fac,0.5,0))+Sens!E11257*IF(5&lt;life_fac,1,IF(5=life_fac,0.5,0))+Sens!F11257*IF(4&lt;life_fac,1,IF(4=life_fac,0.5,0))+Sens!G11257*IF(3&lt;life_fac,1,IF(3=life_fac,0.5,0))+Sens!H11257*IF(2&lt;life_fac,1,IF(2=life_fac,0.5,0))+Sens!I11257*IF(1&lt;life_fac,1,IF(1=life_fac,0.5,0))+Sens!J11257*0.5)/life_fac</f>
        <v>2.299605</v>
      </c>
      <c r="K11262" s="6" t="n">
        <f aca="false">(Sens!C11257*IF(8&lt;life_fac,1,IF(8=life_fac,0.5,0))+Sens!D11257*IF(7&lt;life_fac,1,IF(7=life_fac,0.5,0))+Sens!E11257*IF(6&lt;life_fac,1,IF(6=life_fac,0.5,0))+Sens!F11257*IF(5&lt;life_fac,1,IF(5=life_fac,0.5,0))+Sens!G11257*IF(4&lt;life_fac,1,IF(4=life_fac,0.5,0))+Sens!H11257*IF(3&lt;life_fac,1,IF(3=life_fac,0.5,0))+Sens!I11257*IF(2&lt;life_fac,1,IF(2=life_fac,0.5,0))+Sens!J11257*IF(1&lt;life_fac,1,IF(1=life_fac,0.5,0))+Sens!K11257*0.5)/life_fac</f>
        <v>2.299605</v>
      </c>
    </row>
    <row r="11263" customFormat="false" ht="17.15" hidden="false" customHeight="false" outlineLevel="0" collapsed="false">
      <c r="A11263" s="0" t="s">
        <v>761</v>
      </c>
      <c r="B11263" s="0" t="s">
        <v>95</v>
      </c>
      <c r="E11263" s="6" t="n">
        <f aca="false">Sens!E11261+Sens!E11262</f>
        <v>16.3054059770833</v>
      </c>
      <c r="F11263" s="6" t="n">
        <f aca="false">Sens!F11261+Sens!F11262</f>
        <v>36.1404426892031</v>
      </c>
      <c r="G11263" s="6" t="n">
        <f aca="false">Sens!G11261+Sens!G11262</f>
        <v>52.4592101714063</v>
      </c>
      <c r="H11263" s="6" t="n">
        <f aca="false">Sens!H11261+Sens!H11262</f>
        <v>55.0419095894063</v>
      </c>
      <c r="I11263" s="6" t="n">
        <f aca="false">Sens!I11261+Sens!I11262</f>
        <v>55.6856838189896</v>
      </c>
      <c r="J11263" s="6" t="n">
        <f aca="false">Sens!J11261+Sens!J11262</f>
        <v>57.3016885177396</v>
      </c>
      <c r="K11263" s="6" t="n">
        <f aca="false">Sens!K11261+Sens!K11262</f>
        <v>60.2052416756563</v>
      </c>
    </row>
    <row r="11264" customFormat="false" ht="17.15" hidden="false" customHeight="false" outlineLevel="0" collapsed="false">
      <c r="A11264" s="0" t="s">
        <v>762</v>
      </c>
      <c r="B11264" s="0" t="s">
        <v>95</v>
      </c>
      <c r="E11264" s="6" t="n">
        <f aca="false">Sens!E11252-Sens!E11251*Sens!E11263</f>
        <v>8.92707889977379</v>
      </c>
      <c r="F11264" s="6" t="n">
        <f aca="false">Sens!F11252-Sens!F11251*Sens!F11263</f>
        <v>3.68955319269938</v>
      </c>
      <c r="G11264" s="6" t="n">
        <f aca="false">Sens!G11252-Sens!G11251*Sens!G11263</f>
        <v>-5.16728465949367</v>
      </c>
      <c r="H11264" s="6" t="n">
        <f aca="false">Sens!H11252-Sens!H11251*Sens!H11263</f>
        <v>-9.07868789704165</v>
      </c>
      <c r="I11264" s="6" t="n">
        <f aca="false">Sens!I11252-Sens!I11251*Sens!I11263</f>
        <v>-9.46495243479165</v>
      </c>
      <c r="J11264" s="6" t="n">
        <f aca="false">Sens!J11252-Sens!J11251*Sens!J11263</f>
        <v>-10.4345552540416</v>
      </c>
      <c r="K11264" s="6" t="n">
        <f aca="false">Sens!K11252-Sens!K11251*Sens!K11263</f>
        <v>-12.1766871487916</v>
      </c>
    </row>
    <row r="11265" customFormat="false" ht="17.15" hidden="false" customHeight="false" outlineLevel="0" collapsed="false">
      <c r="A11265" s="3" t="s">
        <v>1433</v>
      </c>
    </row>
    <row r="11266" customFormat="false" ht="15" hidden="false" customHeight="false" outlineLevel="0" collapsed="false">
      <c r="A11266" s="4" t="s">
        <v>43</v>
      </c>
      <c r="B11266" s="4" t="s">
        <v>63</v>
      </c>
      <c r="C11266" s="19" t="s">
        <v>710</v>
      </c>
      <c r="D11266" s="19" t="s">
        <v>711</v>
      </c>
      <c r="E11266" s="19" t="s">
        <v>712</v>
      </c>
      <c r="F11266" s="19" t="s">
        <v>713</v>
      </c>
      <c r="G11266" s="19" t="s">
        <v>714</v>
      </c>
      <c r="H11266" s="19" t="s">
        <v>715</v>
      </c>
      <c r="I11266" s="19" t="s">
        <v>716</v>
      </c>
      <c r="J11266" s="19" t="s">
        <v>717</v>
      </c>
      <c r="K11266" s="19" t="s">
        <v>718</v>
      </c>
      <c r="L11266" s="4" t="s">
        <v>47</v>
      </c>
    </row>
    <row r="11267" customFormat="false" ht="17.15" hidden="false" customHeight="false" outlineLevel="0" collapsed="false">
      <c r="A11267" s="0" t="s">
        <v>780</v>
      </c>
      <c r="B11267" s="0" t="s">
        <v>95</v>
      </c>
      <c r="D11267" s="6" t="n">
        <f aca="false">Sens!D11246</f>
        <v>12.9359794422418</v>
      </c>
      <c r="E11267" s="6" t="n">
        <f aca="false">Sens!E11246</f>
        <v>27.8095064661409</v>
      </c>
      <c r="F11267" s="6" t="n">
        <f aca="false">Sens!F11246</f>
        <v>38.493440194965</v>
      </c>
      <c r="G11267" s="6" t="n">
        <f aca="false">Sens!G11246</f>
        <v>41.5646912063518</v>
      </c>
      <c r="H11267" s="6" t="n">
        <f aca="false">Sens!H11246</f>
        <v>39.815294148216</v>
      </c>
      <c r="I11267" s="6" t="n">
        <f aca="false">Sens!I11246</f>
        <v>39.815294148216</v>
      </c>
      <c r="J11267" s="6" t="n">
        <f aca="false">Sens!J11246</f>
        <v>39.815294148216</v>
      </c>
      <c r="K11267" s="6" t="n">
        <f aca="false">Sens!K11246</f>
        <v>39.815294148216</v>
      </c>
    </row>
    <row r="11268" customFormat="false" ht="17.15" hidden="false" customHeight="false" outlineLevel="0" collapsed="false">
      <c r="A11268" s="0" t="s">
        <v>781</v>
      </c>
      <c r="B11268" s="0" t="s">
        <v>95</v>
      </c>
      <c r="D11268" s="6" t="n">
        <f aca="false">Q!L6-Sens!D11267</f>
        <v>59.6740205577583</v>
      </c>
      <c r="E11268" s="6" t="n">
        <f aca="false">Q!M6-Sens!E11267</f>
        <v>74.1284935338591</v>
      </c>
      <c r="F11268" s="6" t="n">
        <f aca="false">Sens!E11268*(1+Sens!F11269)</f>
        <v>90.0799497373663</v>
      </c>
      <c r="G11268" s="6" t="n">
        <f aca="false">Sens!F11268*(1+Sens!G11269)</f>
        <v>107.02842520331</v>
      </c>
      <c r="H11268" s="6" t="n">
        <f aca="false">Sens!G11268*(1+Sens!H11269)</f>
        <v>124.271982585636</v>
      </c>
      <c r="I11268" s="6" t="n">
        <f aca="false">Sens!H11268*(1+Sens!I11269)</f>
        <v>140.933702381855</v>
      </c>
      <c r="J11268" s="6" t="n">
        <f aca="false">Sens!I11268*(1+Sens!J11269)</f>
        <v>156.018867314332</v>
      </c>
      <c r="K11268" s="6" t="n">
        <f aca="false">Sens!J11268*(1+Sens!K11269)</f>
        <v>168.500376699478</v>
      </c>
    </row>
    <row r="11269" customFormat="false" ht="15" hidden="false" customHeight="false" outlineLevel="0" collapsed="false">
      <c r="A11269" s="1" t="s">
        <v>782</v>
      </c>
      <c r="B11269" s="0" t="s">
        <v>126</v>
      </c>
      <c r="E11269" s="7" t="n">
        <f aca="false">Sens!E11268/Sens!D11268-1</f>
        <v>0.242223883039864</v>
      </c>
      <c r="F11269" s="7" t="n">
        <f aca="false">Sens!$E$11269+(glt_azo-Sens!$E$11269)*MIN(1,1/n_conv)</f>
        <v>0.215186569199887</v>
      </c>
      <c r="G11269" s="7" t="n">
        <f aca="false">Sens!$E$11269+(glt_azo-Sens!$E$11269)*MIN(1,2/n_conv)</f>
        <v>0.18814925535991</v>
      </c>
      <c r="H11269" s="7" t="n">
        <f aca="false">Sens!$E$11269+(glt_azo-Sens!$E$11269)*MIN(1,3/n_conv)</f>
        <v>0.161111941519932</v>
      </c>
      <c r="I11269" s="7" t="n">
        <f aca="false">Sens!$E$11269+(glt_azo-Sens!$E$11269)*MIN(1,4/n_conv)</f>
        <v>0.134074627679955</v>
      </c>
      <c r="J11269" s="7" t="n">
        <f aca="false">Sens!$E$11269+(glt_azo-Sens!$E$11269)*MIN(1,5/n_conv)</f>
        <v>0.107037313839977</v>
      </c>
      <c r="K11269" s="7" t="n">
        <f aca="false">Sens!$E$11269+(glt_azo-Sens!$E$11269)*MIN(1,6/n_conv)</f>
        <v>0.08</v>
      </c>
    </row>
    <row r="11270" customFormat="false" ht="15" hidden="false" customHeight="false" outlineLevel="0" collapsed="false">
      <c r="A11270" s="0" t="s">
        <v>783</v>
      </c>
      <c r="B11270" s="0" t="s">
        <v>95</v>
      </c>
      <c r="D11270" s="6" t="n">
        <f aca="false">Sens!D11267+Sens!D11268</f>
        <v>72.61</v>
      </c>
      <c r="E11270" s="6" t="n">
        <f aca="false">Sens!E11267+Sens!E11268</f>
        <v>101.938</v>
      </c>
      <c r="F11270" s="6" t="n">
        <f aca="false">Sens!F11267+Sens!F11268</f>
        <v>128.573389932331</v>
      </c>
      <c r="G11270" s="6" t="n">
        <f aca="false">Sens!G11267+Sens!G11268</f>
        <v>148.593116409662</v>
      </c>
      <c r="H11270" s="6" t="n">
        <f aca="false">Sens!H11267+Sens!H11268</f>
        <v>164.087276733852</v>
      </c>
      <c r="I11270" s="6" t="n">
        <f aca="false">Sens!I11267+Sens!I11268</f>
        <v>180.748996530071</v>
      </c>
      <c r="J11270" s="6" t="n">
        <f aca="false">Sens!J11267+Sens!J11268</f>
        <v>195.834161462548</v>
      </c>
      <c r="K11270" s="6" t="n">
        <f aca="false">Sens!K11267+Sens!K11268</f>
        <v>208.315670847694</v>
      </c>
    </row>
    <row r="11271" customFormat="false" ht="17.15" hidden="false" customHeight="false" outlineLevel="0" collapsed="false">
      <c r="A11271" s="0" t="s">
        <v>784</v>
      </c>
      <c r="B11271" s="1" t="s">
        <v>451</v>
      </c>
      <c r="C11271" s="27" t="n">
        <f aca="false">cop_s24</f>
        <v>1</v>
      </c>
      <c r="D11271" s="27" t="n">
        <f aca="false">cop_s25</f>
        <v>5</v>
      </c>
      <c r="E11271" s="27" t="n">
        <f aca="false">cop_s26</f>
        <v>30</v>
      </c>
      <c r="F11271" s="27" t="n">
        <f aca="false">Sens!E11271+IF(2027&lt;=2029,cop_add_C,cop_add_C*cop_tail)</f>
        <v>40</v>
      </c>
      <c r="G11271" s="27" t="n">
        <f aca="false">Sens!F11271+IF(2028&lt;=2029,cop_add_C,cop_add_C*cop_tail)</f>
        <v>50</v>
      </c>
      <c r="H11271" s="27" t="n">
        <f aca="false">Sens!G11271+IF(2029&lt;=2029,cop_add_C,cop_add_C*cop_tail)</f>
        <v>60</v>
      </c>
      <c r="I11271" s="27" t="n">
        <f aca="false">Sens!H11271+IF(2030&lt;=2029,cop_add_C,cop_add_C*cop_tail)</f>
        <v>65</v>
      </c>
      <c r="J11271" s="27" t="n">
        <f aca="false">Sens!I11271+IF(2031&lt;=2029,cop_add_C,cop_add_C*cop_tail)</f>
        <v>70</v>
      </c>
      <c r="K11271" s="27" t="n">
        <f aca="false">Sens!J11271+IF(2032&lt;=2029,cop_add_C,cop_add_C*cop_tail)</f>
        <v>75</v>
      </c>
    </row>
    <row r="11272" customFormat="false" ht="17.15" hidden="false" customHeight="false" outlineLevel="0" collapsed="false">
      <c r="A11272" s="0" t="s">
        <v>785</v>
      </c>
      <c r="B11272" s="0" t="s">
        <v>95</v>
      </c>
      <c r="D11272" s="6" t="n">
        <f aca="false">(Sens!C11271+Sens!D11271)/2*cop_px*12/1000</f>
        <v>0.9</v>
      </c>
      <c r="E11272" s="6" t="n">
        <f aca="false">(Sens!D11271+Sens!E11271)/2*cop_px*12/1000</f>
        <v>5.25</v>
      </c>
      <c r="F11272" s="6" t="n">
        <f aca="false">(Sens!E11271+Sens!F11271)/2*cop_px*12/1000</f>
        <v>10.5</v>
      </c>
      <c r="G11272" s="6" t="n">
        <f aca="false">(Sens!F11271+Sens!G11271)/2*cop_px*12/1000</f>
        <v>13.5</v>
      </c>
      <c r="H11272" s="6" t="n">
        <f aca="false">(Sens!G11271+Sens!H11271)/2*cop_px*12/1000</f>
        <v>16.5</v>
      </c>
      <c r="I11272" s="6" t="n">
        <f aca="false">(Sens!H11271+Sens!I11271)/2*cop_px*12/1000</f>
        <v>18.75</v>
      </c>
      <c r="J11272" s="6" t="n">
        <f aca="false">(Sens!I11271+Sens!J11271)/2*cop_px*12/1000</f>
        <v>20.25</v>
      </c>
      <c r="K11272" s="6" t="n">
        <f aca="false">(Sens!J11271+Sens!K11271)/2*cop_px*12/1000</f>
        <v>21.75</v>
      </c>
      <c r="L11272" s="1" t="s">
        <v>786</v>
      </c>
    </row>
    <row r="11273" customFormat="false" ht="17.15" hidden="false" customHeight="false" outlineLevel="0" collapsed="false">
      <c r="A11273" s="0" t="s">
        <v>787</v>
      </c>
      <c r="B11273" s="0" t="s">
        <v>95</v>
      </c>
      <c r="D11273" s="6" t="n">
        <f aca="false">Q!L7-Sens!D11272</f>
        <v>83.705</v>
      </c>
      <c r="E11273" s="6" t="n">
        <f aca="false">Q!M7-Sens!E11272</f>
        <v>95.049</v>
      </c>
      <c r="F11273" s="6" t="n">
        <f aca="false">Sens!E11273*(1+Sens!F11274)</f>
        <v>106.89238776686</v>
      </c>
      <c r="G11273" s="6" t="n">
        <f aca="false">Sens!F11273*(1+Sens!G11274)</f>
        <v>119.044168448684</v>
      </c>
      <c r="H11273" s="6" t="n">
        <f aca="false">Sens!G11273*(1+Sens!H11274)</f>
        <v>131.277359388781</v>
      </c>
      <c r="I11273" s="6" t="n">
        <f aca="false">Sens!H11273*(1+Sens!I11274)</f>
        <v>143.334028071957</v>
      </c>
      <c r="J11273" s="6" t="n">
        <f aca="false">Sens!I11273*(1+Sens!J11274)</f>
        <v>154.932702785465</v>
      </c>
      <c r="K11273" s="6" t="n">
        <f aca="false">Sens!J11273*(1+Sens!K11274)</f>
        <v>165.777991980448</v>
      </c>
    </row>
    <row r="11274" customFormat="false" ht="15" hidden="false" customHeight="false" outlineLevel="0" collapsed="false">
      <c r="A11274" s="1" t="s">
        <v>782</v>
      </c>
      <c r="B11274" s="0" t="s">
        <v>126</v>
      </c>
      <c r="E11274" s="7" t="n">
        <f aca="false">Sens!E11273/Sens!D11273-1</f>
        <v>0.135523564900544</v>
      </c>
      <c r="F11274" s="7" t="n">
        <f aca="false">Sens!$E$11274+(glt_m365b-Sens!$E$11274)*MIN(1,1/n_conv)</f>
        <v>0.124602970750453</v>
      </c>
      <c r="G11274" s="7" t="n">
        <f aca="false">Sens!$E$11274+(glt_m365b-Sens!$E$11274)*MIN(1,2/n_conv)</f>
        <v>0.113682376600363</v>
      </c>
      <c r="H11274" s="7" t="n">
        <f aca="false">Sens!$E$11274+(glt_m365b-Sens!$E$11274)*MIN(1,3/n_conv)</f>
        <v>0.102761782450272</v>
      </c>
      <c r="I11274" s="7" t="n">
        <f aca="false">Sens!$E$11274+(glt_m365b-Sens!$E$11274)*MIN(1,4/n_conv)</f>
        <v>0.0918411883001813</v>
      </c>
      <c r="J11274" s="7" t="n">
        <f aca="false">Sens!$E$11274+(glt_m365b-Sens!$E$11274)*MIN(1,5/n_conv)</f>
        <v>0.0809205941500906</v>
      </c>
      <c r="K11274" s="7" t="n">
        <f aca="false">Sens!$E$11274+(glt_m365b-Sens!$E$11274)*MIN(1,6/n_conv)</f>
        <v>0.07</v>
      </c>
    </row>
    <row r="11275" customFormat="false" ht="15" hidden="false" customHeight="false" outlineLevel="0" collapsed="false">
      <c r="A11275" s="0" t="s">
        <v>788</v>
      </c>
      <c r="B11275" s="0" t="s">
        <v>95</v>
      </c>
      <c r="D11275" s="6" t="n">
        <f aca="false">Sens!D11273+Sens!D11272</f>
        <v>84.605</v>
      </c>
      <c r="E11275" s="6" t="n">
        <f aca="false">Sens!E11273+Sens!E11272</f>
        <v>100.299</v>
      </c>
      <c r="F11275" s="6" t="n">
        <f aca="false">Sens!F11273+Sens!F11272</f>
        <v>117.39238776686</v>
      </c>
      <c r="G11275" s="6" t="n">
        <f aca="false">Sens!G11273+Sens!G11272</f>
        <v>132.544168448684</v>
      </c>
      <c r="H11275" s="6" t="n">
        <f aca="false">Sens!H11273+Sens!H11272</f>
        <v>147.777359388781</v>
      </c>
      <c r="I11275" s="6" t="n">
        <f aca="false">Sens!I11273+Sens!I11272</f>
        <v>162.084028071957</v>
      </c>
      <c r="J11275" s="6" t="n">
        <f aca="false">Sens!J11273+Sens!J11272</f>
        <v>175.182702785465</v>
      </c>
      <c r="K11275" s="6" t="n">
        <f aca="false">Sens!K11273+Sens!K11272</f>
        <v>187.527991980448</v>
      </c>
    </row>
    <row r="11276" customFormat="false" ht="15" hidden="false" customHeight="false" outlineLevel="0" collapsed="false">
      <c r="A11276" s="0" t="s">
        <v>789</v>
      </c>
      <c r="B11276" s="0" t="s">
        <v>95</v>
      </c>
      <c r="D11276" s="6" t="n">
        <f aca="false">Q!L8</f>
        <v>35.391</v>
      </c>
      <c r="E11276" s="6" t="n">
        <f aca="false">Q!M8</f>
        <v>37.285</v>
      </c>
      <c r="F11276" s="6" t="n">
        <f aca="false">Sens!E11276*(1+Sens!F11277)</f>
        <v>39.0720834331704</v>
      </c>
      <c r="G11276" s="6" t="n">
        <f aca="false">Sens!F11276*(1+Sens!G11277)</f>
        <v>40.726562953769</v>
      </c>
      <c r="H11276" s="6" t="n">
        <f aca="false">Sens!G11276*(1+Sens!H11277)</f>
        <v>42.2235987259198</v>
      </c>
      <c r="I11276" s="6" t="n">
        <f aca="false">Sens!H11276*(1+Sens!I11277)</f>
        <v>43.5397988077414</v>
      </c>
      <c r="J11276" s="6" t="n">
        <f aca="false">Sens!I11276*(1+Sens!J11277)</f>
        <v>44.653811225693</v>
      </c>
      <c r="K11276" s="6" t="n">
        <f aca="false">Sens!J11276*(1+Sens!K11277)</f>
        <v>45.5468874502068</v>
      </c>
    </row>
    <row r="11277" customFormat="false" ht="15" hidden="false" customHeight="false" outlineLevel="0" collapsed="false">
      <c r="A11277" s="1" t="s">
        <v>782</v>
      </c>
      <c r="B11277" s="0" t="s">
        <v>126</v>
      </c>
      <c r="E11277" s="7" t="n">
        <f aca="false">Sens!E11276/Sens!D11276-1</f>
        <v>0.0535164307309768</v>
      </c>
      <c r="F11277" s="7" t="n">
        <f aca="false">Sens!$E$11277+(glt_lic-Sens!$E$11277)*MIN(1,1/n_conv)</f>
        <v>0.0479303589424807</v>
      </c>
      <c r="G11277" s="7" t="n">
        <f aca="false">Sens!$E$11277+(glt_lic-Sens!$E$11277)*MIN(1,2/n_conv)</f>
        <v>0.0423442871539845</v>
      </c>
      <c r="H11277" s="7" t="n">
        <f aca="false">Sens!$E$11277+(glt_lic-Sens!$E$11277)*MIN(1,3/n_conv)</f>
        <v>0.0367582153654884</v>
      </c>
      <c r="I11277" s="7" t="n">
        <f aca="false">Sens!$E$11277+(glt_lic-Sens!$E$11277)*MIN(1,4/n_conv)</f>
        <v>0.0311721435769923</v>
      </c>
      <c r="J11277" s="7" t="n">
        <f aca="false">Sens!$E$11277+(glt_lic-Sens!$E$11277)*MIN(1,5/n_conv)</f>
        <v>0.0255860717884961</v>
      </c>
      <c r="K11277" s="7" t="n">
        <f aca="false">Sens!$E$11277+(glt_lic-Sens!$E$11277)*MIN(1,6/n_conv)</f>
        <v>0.02</v>
      </c>
    </row>
    <row r="11278" customFormat="false" ht="15" hidden="false" customHeight="false" outlineLevel="0" collapsed="false">
      <c r="A11278" s="0" t="s">
        <v>790</v>
      </c>
      <c r="B11278" s="0" t="s">
        <v>95</v>
      </c>
      <c r="D11278" s="6" t="n">
        <f aca="false">Q!L9</f>
        <v>18.417</v>
      </c>
      <c r="E11278" s="6" t="n">
        <f aca="false">Q!M9</f>
        <v>20.345</v>
      </c>
      <c r="F11278" s="6" t="n">
        <f aca="false">Sens!E11278*(1+Sens!F11279)</f>
        <v>22.3572203267814</v>
      </c>
      <c r="G11278" s="6" t="n">
        <f aca="false">Sens!F11278*(1+Sens!G11279)</f>
        <v>24.4392124437232</v>
      </c>
      <c r="H11278" s="6" t="n">
        <f aca="false">Sens!G11278*(1+Sens!H11279)</f>
        <v>26.5738052080665</v>
      </c>
      <c r="I11278" s="6" t="n">
        <f aca="false">Sens!H11278*(1+Sens!I11279)</f>
        <v>28.7412169166967</v>
      </c>
      <c r="J11278" s="6" t="n">
        <f aca="false">Sens!I11278*(1+Sens!J11279)</f>
        <v>30.9192545395413</v>
      </c>
      <c r="K11278" s="6" t="n">
        <f aca="false">Sens!J11278*(1+Sens!K11279)</f>
        <v>33.0836023573092</v>
      </c>
    </row>
    <row r="11279" customFormat="false" ht="15" hidden="false" customHeight="false" outlineLevel="0" collapsed="false">
      <c r="A11279" s="1" t="s">
        <v>782</v>
      </c>
      <c r="B11279" s="0" t="s">
        <v>126</v>
      </c>
      <c r="E11279" s="7" t="n">
        <f aca="false">Sens!E11278/Sens!D11278-1</f>
        <v>0.104685888038225</v>
      </c>
      <c r="F11279" s="7" t="n">
        <f aca="false">Sens!$E$11279+(glt_ind-Sens!$E$11279)*MIN(1,1/n_conv)</f>
        <v>0.0989049066985211</v>
      </c>
      <c r="G11279" s="7" t="n">
        <f aca="false">Sens!$E$11279+(glt_ind-Sens!$E$11279)*MIN(1,2/n_conv)</f>
        <v>0.0931239253588169</v>
      </c>
      <c r="H11279" s="7" t="n">
        <f aca="false">Sens!$E$11279+(glt_ind-Sens!$E$11279)*MIN(1,3/n_conv)</f>
        <v>0.0873429440191127</v>
      </c>
      <c r="I11279" s="7" t="n">
        <f aca="false">Sens!$E$11279+(glt_ind-Sens!$E$11279)*MIN(1,4/n_conv)</f>
        <v>0.0815619626794085</v>
      </c>
      <c r="J11279" s="7" t="n">
        <f aca="false">Sens!$E$11279+(glt_ind-Sens!$E$11279)*MIN(1,5/n_conv)</f>
        <v>0.0757809813397042</v>
      </c>
      <c r="K11279" s="7" t="n">
        <f aca="false">Sens!$E$11279+(glt_ind-Sens!$E$11279)*MIN(1,6/n_conv)</f>
        <v>0.07</v>
      </c>
    </row>
    <row r="11280" customFormat="false" ht="15" hidden="false" customHeight="false" outlineLevel="0" collapsed="false">
      <c r="A11280" s="0" t="s">
        <v>791</v>
      </c>
      <c r="B11280" s="0" t="s">
        <v>95</v>
      </c>
      <c r="D11280" s="6" t="n">
        <f aca="false">Q!L10</f>
        <v>7.76</v>
      </c>
      <c r="E11280" s="6" t="n">
        <f aca="false">Q!M10</f>
        <v>8.26</v>
      </c>
      <c r="F11280" s="6" t="n">
        <f aca="false">Sens!E11280*(1+Sens!F11281)</f>
        <v>8.79988041237113</v>
      </c>
      <c r="G11280" s="6" t="n">
        <f aca="false">Sens!F11280*(1+Sens!G11281)</f>
        <v>9.38321269125306</v>
      </c>
      <c r="H11280" s="6" t="n">
        <f aca="false">Sens!G11280*(1+Sens!H11281)</f>
        <v>10.0139193587476</v>
      </c>
      <c r="I11280" s="6" t="n">
        <f aca="false">Sens!H11280*(1+Sens!I11281)</f>
        <v>10.6963111830911</v>
      </c>
      <c r="J11280" s="6" t="n">
        <f aca="false">Sens!I11280*(1+Sens!J11281)</f>
        <v>11.4351285534696</v>
      </c>
      <c r="K11280" s="6" t="n">
        <f aca="false">Sens!J11280*(1+Sens!K11281)</f>
        <v>12.2355875522124</v>
      </c>
    </row>
    <row r="11281" customFormat="false" ht="15" hidden="false" customHeight="false" outlineLevel="0" collapsed="false">
      <c r="A11281" s="1" t="s">
        <v>782</v>
      </c>
      <c r="B11281" s="0" t="s">
        <v>126</v>
      </c>
      <c r="E11281" s="7" t="n">
        <f aca="false">Sens!E11280/Sens!D11280-1</f>
        <v>0.0644329896907216</v>
      </c>
      <c r="F11281" s="7" t="n">
        <f aca="false">Sens!$E$11281+(glt_fro-Sens!$E$11281)*MIN(1,1/n_conv)</f>
        <v>0.065360824742268</v>
      </c>
      <c r="G11281" s="7" t="n">
        <f aca="false">Sens!$E$11281+(glt_fro-Sens!$E$11281)*MIN(1,2/n_conv)</f>
        <v>0.0662886597938144</v>
      </c>
      <c r="H11281" s="7" t="n">
        <f aca="false">Sens!$E$11281+(glt_fro-Sens!$E$11281)*MIN(1,3/n_conv)</f>
        <v>0.0672164948453608</v>
      </c>
      <c r="I11281" s="7" t="n">
        <f aca="false">Sens!$E$11281+(glt_fro-Sens!$E$11281)*MIN(1,4/n_conv)</f>
        <v>0.0681443298969072</v>
      </c>
      <c r="J11281" s="7" t="n">
        <f aca="false">Sens!$E$11281+(glt_fro-Sens!$E$11281)*MIN(1,5/n_conv)</f>
        <v>0.0690721649484536</v>
      </c>
      <c r="K11281" s="7" t="n">
        <f aca="false">Sens!$E$11281+(glt_fro-Sens!$E$11281)*MIN(1,6/n_conv)</f>
        <v>0.07</v>
      </c>
    </row>
    <row r="11282" customFormat="false" ht="15" hidden="false" customHeight="false" outlineLevel="0" collapsed="false">
      <c r="A11282" s="0" t="s">
        <v>626</v>
      </c>
      <c r="B11282" s="0" t="s">
        <v>95</v>
      </c>
      <c r="D11282" s="6" t="n">
        <f aca="false">Sens!D11270+Sens!D11275+Sens!D11276+Sens!D11278+Sens!D11280</f>
        <v>218.783</v>
      </c>
      <c r="E11282" s="6" t="n">
        <f aca="false">Sens!E11270+Sens!E11275+Sens!E11276+Sens!E11278+Sens!E11280</f>
        <v>268.127</v>
      </c>
      <c r="F11282" s="6" t="n">
        <f aca="false">Sens!F11270+Sens!F11275+Sens!F11276+Sens!F11278+Sens!F11280</f>
        <v>316.194961871514</v>
      </c>
      <c r="G11282" s="6" t="n">
        <f aca="false">Sens!G11270+Sens!G11275+Sens!G11276+Sens!G11278+Sens!G11280</f>
        <v>355.686272947091</v>
      </c>
      <c r="H11282" s="6" t="n">
        <f aca="false">Sens!H11270+Sens!H11275+Sens!H11276+Sens!H11278+Sens!H11280</f>
        <v>390.675959415367</v>
      </c>
      <c r="I11282" s="6" t="n">
        <f aca="false">Sens!I11270+Sens!I11275+Sens!I11276+Sens!I11278+Sens!I11280</f>
        <v>425.810351509557</v>
      </c>
      <c r="J11282" s="6" t="n">
        <f aca="false">Sens!J11270+Sens!J11275+Sens!J11276+Sens!J11278+Sens!J11280</f>
        <v>458.025058566717</v>
      </c>
      <c r="K11282" s="6" t="n">
        <f aca="false">Sens!K11270+Sens!K11275+Sens!K11276+Sens!K11278+Sens!K11280</f>
        <v>486.70974018787</v>
      </c>
    </row>
    <row r="11283" customFormat="false" ht="15" hidden="false" customHeight="false" outlineLevel="0" collapsed="false">
      <c r="A11283" s="0" t="s">
        <v>792</v>
      </c>
      <c r="B11283" s="0" t="s">
        <v>95</v>
      </c>
      <c r="D11283" s="6" t="n">
        <f aca="false">Q!L13</f>
        <v>22.171</v>
      </c>
      <c r="E11283" s="6" t="n">
        <f aca="false">Q!M13</f>
        <v>24.835</v>
      </c>
      <c r="F11283" s="6" t="n">
        <f aca="false">Sens!E11283*(1+Sens!F11284)</f>
        <v>27.6114901218559</v>
      </c>
      <c r="G11283" s="6" t="n">
        <f aca="false">Sens!F11283*(1+Sens!G11284)</f>
        <v>30.4675667338515</v>
      </c>
      <c r="H11283" s="6" t="n">
        <f aca="false">Sens!G11283*(1+Sens!H11284)</f>
        <v>33.3643766955789</v>
      </c>
      <c r="I11283" s="6" t="n">
        <f aca="false">Sens!H11283*(1+Sens!I11284)</f>
        <v>36.2577016533691</v>
      </c>
      <c r="J11283" s="6" t="n">
        <f aca="false">Sens!I11283*(1+Sens!J11284)</f>
        <v>39.0988367952171</v>
      </c>
      <c r="K11283" s="6" t="n">
        <f aca="false">Sens!J11283*(1+Sens!K11284)</f>
        <v>41.8357553708823</v>
      </c>
    </row>
    <row r="11284" customFormat="false" ht="15" hidden="false" customHeight="false" outlineLevel="0" collapsed="false">
      <c r="A11284" s="1" t="s">
        <v>782</v>
      </c>
      <c r="B11284" s="0" t="s">
        <v>126</v>
      </c>
      <c r="E11284" s="7" t="n">
        <f aca="false">Sens!E11283/Sens!D11283-1</f>
        <v>0.120156961796942</v>
      </c>
      <c r="F11284" s="7" t="n">
        <f aca="false">Sens!$E$11284+(glt_srch-Sens!$E$11284)*MIN(1,1/n_conv)</f>
        <v>0.111797468164118</v>
      </c>
      <c r="G11284" s="7" t="n">
        <f aca="false">Sens!$E$11284+(glt_srch-Sens!$E$11284)*MIN(1,2/n_conv)</f>
        <v>0.103437974531295</v>
      </c>
      <c r="H11284" s="7" t="n">
        <f aca="false">Sens!$E$11284+(glt_srch-Sens!$E$11284)*MIN(1,3/n_conv)</f>
        <v>0.095078480898471</v>
      </c>
      <c r="I11284" s="7" t="n">
        <f aca="false">Sens!$E$11284+(glt_srch-Sens!$E$11284)*MIN(1,4/n_conv)</f>
        <v>0.0867189872656474</v>
      </c>
      <c r="J11284" s="7" t="n">
        <f aca="false">Sens!$E$11284+(glt_srch-Sens!$E$11284)*MIN(1,5/n_conv)</f>
        <v>0.0783594936328237</v>
      </c>
      <c r="K11284" s="7" t="n">
        <f aca="false">Sens!$E$11284+(glt_srch-Sens!$E$11284)*MIN(1,6/n_conv)</f>
        <v>0.07</v>
      </c>
    </row>
    <row r="11285" customFormat="false" ht="15" hidden="false" customHeight="false" outlineLevel="0" collapsed="false">
      <c r="A11285" s="0" t="s">
        <v>793</v>
      </c>
      <c r="B11285" s="0" t="s">
        <v>95</v>
      </c>
      <c r="D11285" s="6" t="n">
        <f aca="false">Q!L14</f>
        <v>23.455</v>
      </c>
      <c r="E11285" s="6" t="n">
        <f aca="false">Q!M14</f>
        <v>21.79</v>
      </c>
      <c r="F11285" s="6" t="n">
        <f aca="false">Sens!E11285*(1+Sens!F11286)</f>
        <v>20.5736277908051</v>
      </c>
      <c r="G11285" s="6" t="n">
        <f aca="false">Sens!F11285*(1+Sens!G11286)</f>
        <v>19.7371452817919</v>
      </c>
      <c r="H11285" s="6" t="n">
        <f aca="false">Sens!G11285*(1+Sens!H11286)</f>
        <v>19.2339764043138</v>
      </c>
      <c r="I11285" s="6" t="n">
        <f aca="false">Sens!H11285*(1+Sens!I11286)</f>
        <v>19.0353086852681</v>
      </c>
      <c r="J11285" s="6" t="n">
        <f aca="false">Sens!I11285*(1+Sens!J11286)</f>
        <v>19.1273539319129</v>
      </c>
      <c r="K11285" s="6" t="n">
        <f aca="false">Sens!J11285*(1+Sens!K11286)</f>
        <v>19.5099010105511</v>
      </c>
    </row>
    <row r="11286" customFormat="false" ht="15" hidden="false" customHeight="false" outlineLevel="0" collapsed="false">
      <c r="A11286" s="1" t="s">
        <v>782</v>
      </c>
      <c r="B11286" s="0" t="s">
        <v>126</v>
      </c>
      <c r="E11286" s="7" t="n">
        <f aca="false">Sens!E11285/Sens!D11285-1</f>
        <v>-0.0709869963760392</v>
      </c>
      <c r="F11286" s="7" t="n">
        <f aca="false">Sens!$E$11286+(glt_xbox-Sens!$E$11286)*MIN(1,1/n_conv)</f>
        <v>-0.0558224969800327</v>
      </c>
      <c r="G11286" s="7" t="n">
        <f aca="false">Sens!$E$11286+(glt_xbox-Sens!$E$11286)*MIN(1,2/n_conv)</f>
        <v>-0.0406579975840262</v>
      </c>
      <c r="H11286" s="7" t="n">
        <f aca="false">Sens!$E$11286+(glt_xbox-Sens!$E$11286)*MIN(1,3/n_conv)</f>
        <v>-0.0254934981880196</v>
      </c>
      <c r="I11286" s="7" t="n">
        <f aca="false">Sens!$E$11286+(glt_xbox-Sens!$E$11286)*MIN(1,4/n_conv)</f>
        <v>-0.0103289987920131</v>
      </c>
      <c r="J11286" s="7" t="n">
        <f aca="false">Sens!$E$11286+(glt_xbox-Sens!$E$11286)*MIN(1,5/n_conv)</f>
        <v>0.00483550060399347</v>
      </c>
      <c r="K11286" s="7" t="n">
        <f aca="false">Sens!$E$11286+(glt_xbox-Sens!$E$11286)*MIN(1,6/n_conv)</f>
        <v>0.02</v>
      </c>
    </row>
    <row r="11287" customFormat="false" ht="15" hidden="false" customHeight="false" outlineLevel="0" collapsed="false">
      <c r="A11287" s="0" t="s">
        <v>794</v>
      </c>
      <c r="B11287" s="0" t="s">
        <v>95</v>
      </c>
      <c r="D11287" s="6" t="n">
        <f aca="false">Q!L15</f>
        <v>17.315</v>
      </c>
      <c r="E11287" s="6" t="n">
        <f aca="false">Q!M15</f>
        <v>17.087</v>
      </c>
      <c r="F11287" s="6" t="n">
        <f aca="false">Sens!E11287*(1+Sens!F11288)</f>
        <v>16.9564585436519</v>
      </c>
      <c r="G11287" s="6" t="n">
        <f aca="false">Sens!F11287*(1+Sens!G11288)</f>
        <v>16.9206490624268</v>
      </c>
      <c r="H11287" s="6" t="n">
        <f aca="false">Sens!G11287*(1+Sens!H11288)</f>
        <v>16.9784519149849</v>
      </c>
      <c r="I11287" s="6" t="n">
        <f aca="false">Sens!H11287*(1+Sens!I11288)</f>
        <v>17.1303084701817</v>
      </c>
      <c r="J11287" s="6" t="n">
        <f aca="false">Sens!I11287*(1+Sens!J11288)</f>
        <v>17.3782189407267</v>
      </c>
      <c r="K11287" s="6" t="n">
        <f aca="false">Sens!J11287*(1+Sens!K11288)</f>
        <v>17.7257833195413</v>
      </c>
    </row>
    <row r="11288" customFormat="false" ht="15" hidden="false" customHeight="false" outlineLevel="0" collapsed="false">
      <c r="A11288" s="1" t="s">
        <v>782</v>
      </c>
      <c r="B11288" s="0" t="s">
        <v>126</v>
      </c>
      <c r="E11288" s="7" t="n">
        <f aca="false">Sens!E11287/Sens!D11287-1</f>
        <v>-0.0131677736066995</v>
      </c>
      <c r="F11288" s="7" t="n">
        <f aca="false">Sens!$E$11288+(glt_win-Sens!$E$11288)*MIN(1,1/n_conv)</f>
        <v>-0.00763981133891627</v>
      </c>
      <c r="G11288" s="7" t="n">
        <f aca="false">Sens!$E$11288+(glt_win-Sens!$E$11288)*MIN(1,2/n_conv)</f>
        <v>-0.00211184907113301</v>
      </c>
      <c r="H11288" s="7" t="n">
        <f aca="false">Sens!$E$11288+(glt_win-Sens!$E$11288)*MIN(1,3/n_conv)</f>
        <v>0.00341611319665024</v>
      </c>
      <c r="I11288" s="7" t="n">
        <f aca="false">Sens!$E$11288+(glt_win-Sens!$E$11288)*MIN(1,4/n_conv)</f>
        <v>0.00894407546443349</v>
      </c>
      <c r="J11288" s="7" t="n">
        <f aca="false">Sens!$E$11288+(glt_win-Sens!$E$11288)*MIN(1,5/n_conv)</f>
        <v>0.0144720377322168</v>
      </c>
      <c r="K11288" s="7" t="n">
        <f aca="false">Sens!$E$11288+(glt_win-Sens!$E$11288)*MIN(1,6/n_conv)</f>
        <v>0.02</v>
      </c>
    </row>
    <row r="11289" customFormat="false" ht="15" hidden="false" customHeight="false" outlineLevel="0" collapsed="false">
      <c r="A11289" s="0" t="s">
        <v>640</v>
      </c>
      <c r="B11289" s="0" t="s">
        <v>95</v>
      </c>
      <c r="D11289" s="6" t="n">
        <f aca="false">Sens!D11283+Sens!D11285+Sens!D11287</f>
        <v>62.941</v>
      </c>
      <c r="E11289" s="6" t="n">
        <f aca="false">Sens!E11283+Sens!E11285+Sens!E11287</f>
        <v>63.712</v>
      </c>
      <c r="F11289" s="6" t="n">
        <f aca="false">Sens!F11283+Sens!F11285+Sens!F11287</f>
        <v>65.1415764563129</v>
      </c>
      <c r="G11289" s="6" t="n">
        <f aca="false">Sens!G11283+Sens!G11285+Sens!G11287</f>
        <v>67.1253610780702</v>
      </c>
      <c r="H11289" s="6" t="n">
        <f aca="false">Sens!H11283+Sens!H11285+Sens!H11287</f>
        <v>69.5768050148776</v>
      </c>
      <c r="I11289" s="6" t="n">
        <f aca="false">Sens!I11283+Sens!I11285+Sens!I11287</f>
        <v>72.4233188088189</v>
      </c>
      <c r="J11289" s="6" t="n">
        <f aca="false">Sens!J11283+Sens!J11285+Sens!J11287</f>
        <v>75.6044096678567</v>
      </c>
      <c r="K11289" s="6" t="n">
        <f aca="false">Sens!K11283+Sens!K11285+Sens!K11287</f>
        <v>79.0714397009747</v>
      </c>
    </row>
    <row r="11290" customFormat="false" ht="15" hidden="false" customHeight="false" outlineLevel="0" collapsed="false">
      <c r="A11290" s="1" t="s">
        <v>795</v>
      </c>
      <c r="B11290" s="0" t="s">
        <v>95</v>
      </c>
      <c r="D11290" s="6" t="n">
        <f aca="false">Sens!D11282+Sens!D11289</f>
        <v>281.724</v>
      </c>
      <c r="E11290" s="6" t="n">
        <f aca="false">Sens!E11282+Sens!E11289</f>
        <v>331.839</v>
      </c>
      <c r="F11290" s="6" t="n">
        <f aca="false">Sens!F11282+Sens!F11289</f>
        <v>381.336538327827</v>
      </c>
      <c r="G11290" s="6" t="n">
        <f aca="false">Sens!G11282+Sens!G11289</f>
        <v>422.811634025161</v>
      </c>
      <c r="H11290" s="6" t="n">
        <f aca="false">Sens!H11282+Sens!H11289</f>
        <v>460.252764430245</v>
      </c>
      <c r="I11290" s="6" t="n">
        <f aca="false">Sens!I11282+Sens!I11289</f>
        <v>498.233670318376</v>
      </c>
      <c r="J11290" s="6" t="n">
        <f aca="false">Sens!J11282+Sens!J11289</f>
        <v>533.629468234573</v>
      </c>
      <c r="K11290" s="6" t="n">
        <f aca="false">Sens!K11282+Sens!K11289</f>
        <v>565.781179888845</v>
      </c>
    </row>
    <row r="11291" customFormat="false" ht="15" hidden="false" customHeight="false" outlineLevel="0" collapsed="false">
      <c r="A11291" s="22" t="s">
        <v>796</v>
      </c>
      <c r="B11291" s="28" t="s">
        <v>95</v>
      </c>
      <c r="C11291" s="28"/>
      <c r="D11291" s="23" t="n">
        <f aca="false">(Sens!D11270+Sens!D11275+Sens!D11276+Sens!D11278+Sens!D11280-Sens!D11282)+(Sens!D11283+Sens!D11285+Sens!D11287-Sens!D11289)+(Sens!D11282-Q!L5)+(Sens!D11289-Q!L12)+(Sens!D11270-Q!L6)+(Sens!D11275-Q!L7)</f>
        <v>0</v>
      </c>
      <c r="E11291" s="23" t="n">
        <f aca="false">(Sens!E11270+Sens!E11275+Sens!E11276+Sens!E11278+Sens!E11280-Sens!E11282)+(Sens!E11283+Sens!E11285+Sens!E11287-Sens!E11289)+(Sens!E11282-Q!M5)+(Sens!E11289-Q!M12)+(Sens!E11270-Q!M6)+(Sens!E11275-Q!M7)</f>
        <v>0</v>
      </c>
      <c r="F11291" s="23" t="n">
        <f aca="false">(Sens!F11270+Sens!F11275+Sens!F11276+Sens!F11278+Sens!F11280-Sens!F11282)+(Sens!F11283+Sens!F11285+Sens!F11287-Sens!F11289)</f>
        <v>0</v>
      </c>
      <c r="G11291" s="23" t="n">
        <f aca="false">(Sens!G11270+Sens!G11275+Sens!G11276+Sens!G11278+Sens!G11280-Sens!G11282)+(Sens!G11283+Sens!G11285+Sens!G11287-Sens!G11289)</f>
        <v>0</v>
      </c>
      <c r="H11291" s="23" t="n">
        <f aca="false">(Sens!H11270+Sens!H11275+Sens!H11276+Sens!H11278+Sens!H11280-Sens!H11282)+(Sens!H11283+Sens!H11285+Sens!H11287-Sens!H11289)</f>
        <v>0</v>
      </c>
      <c r="I11291" s="23" t="n">
        <f aca="false">(Sens!I11270+Sens!I11275+Sens!I11276+Sens!I11278+Sens!I11280-Sens!I11282)+(Sens!I11283+Sens!I11285+Sens!I11287-Sens!I11289)</f>
        <v>0</v>
      </c>
      <c r="J11291" s="23" t="n">
        <f aca="false">(Sens!J11270+Sens!J11275+Sens!J11276+Sens!J11278+Sens!J11280-Sens!J11282)+(Sens!J11283+Sens!J11285+Sens!J11287-Sens!J11289)</f>
        <v>0</v>
      </c>
      <c r="K11291" s="23" t="n">
        <f aca="false">(Sens!K11270+Sens!K11275+Sens!K11276+Sens!K11278+Sens!K11280-Sens!K11282)+(Sens!K11283+Sens!K11285+Sens!K11287-Sens!K11289)</f>
        <v>0</v>
      </c>
    </row>
    <row r="11292" customFormat="false" ht="17.15" hidden="false" customHeight="false" outlineLevel="0" collapsed="false">
      <c r="A11292" s="3" t="s">
        <v>1434</v>
      </c>
    </row>
    <row r="11293" customFormat="false" ht="15" hidden="false" customHeight="false" outlineLevel="0" collapsed="false">
      <c r="A11293" s="4" t="s">
        <v>43</v>
      </c>
      <c r="B11293" s="4" t="s">
        <v>63</v>
      </c>
      <c r="C11293" s="19" t="s">
        <v>710</v>
      </c>
      <c r="D11293" s="19" t="s">
        <v>711</v>
      </c>
      <c r="E11293" s="19" t="s">
        <v>712</v>
      </c>
      <c r="F11293" s="19" t="s">
        <v>713</v>
      </c>
      <c r="G11293" s="19" t="s">
        <v>714</v>
      </c>
      <c r="H11293" s="19" t="s">
        <v>715</v>
      </c>
      <c r="I11293" s="19" t="s">
        <v>716</v>
      </c>
      <c r="J11293" s="19" t="s">
        <v>717</v>
      </c>
      <c r="K11293" s="19" t="s">
        <v>718</v>
      </c>
      <c r="L11293" s="4" t="s">
        <v>47</v>
      </c>
    </row>
    <row r="11294" customFormat="false" ht="15" hidden="false" customHeight="false" outlineLevel="0" collapsed="false">
      <c r="A11294" s="0" t="s">
        <v>783</v>
      </c>
      <c r="B11294" s="0" t="s">
        <v>95</v>
      </c>
      <c r="D11294" s="6" t="n">
        <f aca="false">Sens!D11270</f>
        <v>72.61</v>
      </c>
      <c r="E11294" s="6" t="n">
        <f aca="false">Sens!E11270</f>
        <v>101.938</v>
      </c>
      <c r="F11294" s="6" t="n">
        <f aca="false">Sens!F11270</f>
        <v>128.573389932331</v>
      </c>
      <c r="G11294" s="6" t="n">
        <f aca="false">Sens!G11270</f>
        <v>148.593116409662</v>
      </c>
      <c r="H11294" s="6" t="n">
        <f aca="false">Sens!H11270</f>
        <v>164.087276733852</v>
      </c>
      <c r="I11294" s="6" t="n">
        <f aca="false">Sens!I11270</f>
        <v>180.748996530071</v>
      </c>
      <c r="J11294" s="6" t="n">
        <f aca="false">Sens!J11270</f>
        <v>195.834161462548</v>
      </c>
      <c r="K11294" s="6" t="n">
        <f aca="false">Sens!K11270</f>
        <v>208.315670847694</v>
      </c>
    </row>
    <row r="11295" customFormat="false" ht="17.15" hidden="false" customHeight="false" outlineLevel="0" collapsed="false">
      <c r="A11295" s="0" t="s">
        <v>780</v>
      </c>
      <c r="B11295" s="0" t="s">
        <v>95</v>
      </c>
      <c r="D11295" s="6" t="n">
        <f aca="false">Sens!D11267</f>
        <v>12.9359794422418</v>
      </c>
      <c r="E11295" s="6" t="n">
        <f aca="false">Sens!E11267</f>
        <v>27.8095064661409</v>
      </c>
      <c r="F11295" s="6" t="n">
        <f aca="false">Sens!F11267</f>
        <v>38.493440194965</v>
      </c>
      <c r="G11295" s="6" t="n">
        <f aca="false">Sens!G11267</f>
        <v>41.5646912063518</v>
      </c>
      <c r="H11295" s="6" t="n">
        <f aca="false">Sens!H11267</f>
        <v>39.815294148216</v>
      </c>
      <c r="I11295" s="6" t="n">
        <f aca="false">Sens!I11267</f>
        <v>39.815294148216</v>
      </c>
      <c r="J11295" s="6" t="n">
        <f aca="false">Sens!J11267</f>
        <v>39.815294148216</v>
      </c>
      <c r="K11295" s="6" t="n">
        <f aca="false">Sens!K11267</f>
        <v>39.815294148216</v>
      </c>
    </row>
    <row r="11296" customFormat="false" ht="17.15" hidden="false" customHeight="false" outlineLevel="0" collapsed="false">
      <c r="A11296" s="0" t="s">
        <v>807</v>
      </c>
      <c r="B11296" s="0" t="s">
        <v>95</v>
      </c>
      <c r="D11296" s="6" t="n">
        <f aca="false">Sens!D11268</f>
        <v>59.6740205577583</v>
      </c>
      <c r="E11296" s="6" t="n">
        <f aca="false">Sens!E11268</f>
        <v>74.1284935338591</v>
      </c>
      <c r="F11296" s="6" t="n">
        <f aca="false">Sens!F11268</f>
        <v>90.0799497373663</v>
      </c>
      <c r="G11296" s="6" t="n">
        <f aca="false">Sens!G11268</f>
        <v>107.02842520331</v>
      </c>
      <c r="H11296" s="6" t="n">
        <f aca="false">Sens!H11268</f>
        <v>124.271982585636</v>
      </c>
      <c r="I11296" s="6" t="n">
        <f aca="false">Sens!I11268</f>
        <v>140.933702381855</v>
      </c>
      <c r="J11296" s="6" t="n">
        <f aca="false">Sens!J11268</f>
        <v>156.018867314332</v>
      </c>
      <c r="K11296" s="6" t="n">
        <f aca="false">Sens!K11268</f>
        <v>168.500376699478</v>
      </c>
    </row>
    <row r="11297" customFormat="false" ht="15" hidden="false" customHeight="false" outlineLevel="0" collapsed="false">
      <c r="A11297" s="0" t="s">
        <v>788</v>
      </c>
      <c r="B11297" s="0" t="s">
        <v>95</v>
      </c>
      <c r="D11297" s="6" t="n">
        <f aca="false">Sens!D11275</f>
        <v>84.605</v>
      </c>
      <c r="E11297" s="6" t="n">
        <f aca="false">Sens!E11275</f>
        <v>100.299</v>
      </c>
      <c r="F11297" s="6" t="n">
        <f aca="false">Sens!F11275</f>
        <v>117.39238776686</v>
      </c>
      <c r="G11297" s="6" t="n">
        <f aca="false">Sens!G11275</f>
        <v>132.544168448684</v>
      </c>
      <c r="H11297" s="6" t="n">
        <f aca="false">Sens!H11275</f>
        <v>147.777359388781</v>
      </c>
      <c r="I11297" s="6" t="n">
        <f aca="false">Sens!I11275</f>
        <v>162.084028071957</v>
      </c>
      <c r="J11297" s="6" t="n">
        <f aca="false">Sens!J11275</f>
        <v>175.182702785465</v>
      </c>
      <c r="K11297" s="6" t="n">
        <f aca="false">Sens!K11275</f>
        <v>187.527991980448</v>
      </c>
    </row>
    <row r="11298" customFormat="false" ht="17.15" hidden="false" customHeight="false" outlineLevel="0" collapsed="false">
      <c r="A11298" s="0" t="s">
        <v>808</v>
      </c>
      <c r="B11298" s="0" t="s">
        <v>95</v>
      </c>
      <c r="D11298" s="6" t="n">
        <f aca="false">Sens!D11273</f>
        <v>83.705</v>
      </c>
      <c r="E11298" s="6" t="n">
        <f aca="false">Sens!E11273</f>
        <v>95.049</v>
      </c>
      <c r="F11298" s="6" t="n">
        <f aca="false">Sens!F11273</f>
        <v>106.89238776686</v>
      </c>
      <c r="G11298" s="6" t="n">
        <f aca="false">Sens!G11273</f>
        <v>119.044168448684</v>
      </c>
      <c r="H11298" s="6" t="n">
        <f aca="false">Sens!H11273</f>
        <v>131.277359388781</v>
      </c>
      <c r="I11298" s="6" t="n">
        <f aca="false">Sens!I11273</f>
        <v>143.334028071957</v>
      </c>
      <c r="J11298" s="6" t="n">
        <f aca="false">Sens!J11273</f>
        <v>154.932702785465</v>
      </c>
      <c r="K11298" s="6" t="n">
        <f aca="false">Sens!K11273</f>
        <v>165.777991980448</v>
      </c>
    </row>
    <row r="11299" customFormat="false" ht="17.15" hidden="false" customHeight="false" outlineLevel="0" collapsed="false">
      <c r="A11299" s="0" t="s">
        <v>809</v>
      </c>
      <c r="B11299" s="0" t="s">
        <v>95</v>
      </c>
      <c r="D11299" s="6" t="n">
        <f aca="false">Sens!D11272</f>
        <v>0.9</v>
      </c>
      <c r="E11299" s="6" t="n">
        <f aca="false">Sens!E11272</f>
        <v>5.25</v>
      </c>
      <c r="F11299" s="6" t="n">
        <f aca="false">Sens!F11272</f>
        <v>10.5</v>
      </c>
      <c r="G11299" s="6" t="n">
        <f aca="false">Sens!G11272</f>
        <v>13.5</v>
      </c>
      <c r="H11299" s="6" t="n">
        <f aca="false">Sens!H11272</f>
        <v>16.5</v>
      </c>
      <c r="I11299" s="6" t="n">
        <f aca="false">Sens!I11272</f>
        <v>18.75</v>
      </c>
      <c r="J11299" s="6" t="n">
        <f aca="false">Sens!J11272</f>
        <v>20.25</v>
      </c>
      <c r="K11299" s="6" t="n">
        <f aca="false">Sens!K11272</f>
        <v>21.75</v>
      </c>
    </row>
    <row r="11300" customFormat="false" ht="15" hidden="false" customHeight="false" outlineLevel="0" collapsed="false">
      <c r="A11300" s="0" t="s">
        <v>789</v>
      </c>
      <c r="B11300" s="0" t="s">
        <v>95</v>
      </c>
      <c r="D11300" s="6" t="n">
        <f aca="false">Sens!D11276</f>
        <v>35.391</v>
      </c>
      <c r="E11300" s="6" t="n">
        <f aca="false">Sens!E11276</f>
        <v>37.285</v>
      </c>
      <c r="F11300" s="6" t="n">
        <f aca="false">Sens!F11276</f>
        <v>39.0720834331704</v>
      </c>
      <c r="G11300" s="6" t="n">
        <f aca="false">Sens!G11276</f>
        <v>40.726562953769</v>
      </c>
      <c r="H11300" s="6" t="n">
        <f aca="false">Sens!H11276</f>
        <v>42.2235987259198</v>
      </c>
      <c r="I11300" s="6" t="n">
        <f aca="false">Sens!I11276</f>
        <v>43.5397988077414</v>
      </c>
      <c r="J11300" s="6" t="n">
        <f aca="false">Sens!J11276</f>
        <v>44.653811225693</v>
      </c>
      <c r="K11300" s="6" t="n">
        <f aca="false">Sens!K11276</f>
        <v>45.5468874502068</v>
      </c>
    </row>
    <row r="11301" customFormat="false" ht="15" hidden="false" customHeight="false" outlineLevel="0" collapsed="false">
      <c r="A11301" s="0" t="s">
        <v>790</v>
      </c>
      <c r="B11301" s="0" t="s">
        <v>95</v>
      </c>
      <c r="D11301" s="6" t="n">
        <f aca="false">Sens!D11278</f>
        <v>18.417</v>
      </c>
      <c r="E11301" s="6" t="n">
        <f aca="false">Sens!E11278</f>
        <v>20.345</v>
      </c>
      <c r="F11301" s="6" t="n">
        <f aca="false">Sens!F11278</f>
        <v>22.3572203267814</v>
      </c>
      <c r="G11301" s="6" t="n">
        <f aca="false">Sens!G11278</f>
        <v>24.4392124437232</v>
      </c>
      <c r="H11301" s="6" t="n">
        <f aca="false">Sens!H11278</f>
        <v>26.5738052080665</v>
      </c>
      <c r="I11301" s="6" t="n">
        <f aca="false">Sens!I11278</f>
        <v>28.7412169166967</v>
      </c>
      <c r="J11301" s="6" t="n">
        <f aca="false">Sens!J11278</f>
        <v>30.9192545395413</v>
      </c>
      <c r="K11301" s="6" t="n">
        <f aca="false">Sens!K11278</f>
        <v>33.0836023573092</v>
      </c>
    </row>
    <row r="11302" customFormat="false" ht="15" hidden="false" customHeight="false" outlineLevel="0" collapsed="false">
      <c r="A11302" s="0" t="s">
        <v>791</v>
      </c>
      <c r="B11302" s="0" t="s">
        <v>95</v>
      </c>
      <c r="D11302" s="6" t="n">
        <f aca="false">Sens!D11280</f>
        <v>7.76</v>
      </c>
      <c r="E11302" s="6" t="n">
        <f aca="false">Sens!E11280</f>
        <v>8.26</v>
      </c>
      <c r="F11302" s="6" t="n">
        <f aca="false">Sens!F11280</f>
        <v>8.79988041237113</v>
      </c>
      <c r="G11302" s="6" t="n">
        <f aca="false">Sens!G11280</f>
        <v>9.38321269125306</v>
      </c>
      <c r="H11302" s="6" t="n">
        <f aca="false">Sens!H11280</f>
        <v>10.0139193587476</v>
      </c>
      <c r="I11302" s="6" t="n">
        <f aca="false">Sens!I11280</f>
        <v>10.6963111830911</v>
      </c>
      <c r="J11302" s="6" t="n">
        <f aca="false">Sens!J11280</f>
        <v>11.4351285534696</v>
      </c>
      <c r="K11302" s="6" t="n">
        <f aca="false">Sens!K11280</f>
        <v>12.2355875522124</v>
      </c>
    </row>
    <row r="11303" customFormat="false" ht="15" hidden="false" customHeight="false" outlineLevel="0" collapsed="false">
      <c r="A11303" s="0" t="s">
        <v>626</v>
      </c>
      <c r="B11303" s="0" t="s">
        <v>95</v>
      </c>
      <c r="D11303" s="6" t="n">
        <f aca="false">Sens!D11282</f>
        <v>218.783</v>
      </c>
      <c r="E11303" s="6" t="n">
        <f aca="false">Sens!E11282</f>
        <v>268.127</v>
      </c>
      <c r="F11303" s="6" t="n">
        <f aca="false">Sens!F11282</f>
        <v>316.194961871514</v>
      </c>
      <c r="G11303" s="6" t="n">
        <f aca="false">Sens!G11282</f>
        <v>355.686272947091</v>
      </c>
      <c r="H11303" s="6" t="n">
        <f aca="false">Sens!H11282</f>
        <v>390.675959415367</v>
      </c>
      <c r="I11303" s="6" t="n">
        <f aca="false">Sens!I11282</f>
        <v>425.810351509557</v>
      </c>
      <c r="J11303" s="6" t="n">
        <f aca="false">Sens!J11282</f>
        <v>458.025058566717</v>
      </c>
      <c r="K11303" s="6" t="n">
        <f aca="false">Sens!K11282</f>
        <v>486.70974018787</v>
      </c>
    </row>
    <row r="11304" customFormat="false" ht="15" hidden="false" customHeight="false" outlineLevel="0" collapsed="false">
      <c r="A11304" s="0" t="s">
        <v>792</v>
      </c>
      <c r="B11304" s="0" t="s">
        <v>95</v>
      </c>
      <c r="D11304" s="6" t="n">
        <f aca="false">Sens!D11283</f>
        <v>22.171</v>
      </c>
      <c r="E11304" s="6" t="n">
        <f aca="false">Sens!E11283</f>
        <v>24.835</v>
      </c>
      <c r="F11304" s="6" t="n">
        <f aca="false">Sens!F11283</f>
        <v>27.6114901218559</v>
      </c>
      <c r="G11304" s="6" t="n">
        <f aca="false">Sens!G11283</f>
        <v>30.4675667338515</v>
      </c>
      <c r="H11304" s="6" t="n">
        <f aca="false">Sens!H11283</f>
        <v>33.3643766955789</v>
      </c>
      <c r="I11304" s="6" t="n">
        <f aca="false">Sens!I11283</f>
        <v>36.2577016533691</v>
      </c>
      <c r="J11304" s="6" t="n">
        <f aca="false">Sens!J11283</f>
        <v>39.0988367952171</v>
      </c>
      <c r="K11304" s="6" t="n">
        <f aca="false">Sens!K11283</f>
        <v>41.8357553708823</v>
      </c>
    </row>
    <row r="11305" customFormat="false" ht="15" hidden="false" customHeight="false" outlineLevel="0" collapsed="false">
      <c r="A11305" s="0" t="s">
        <v>793</v>
      </c>
      <c r="B11305" s="0" t="s">
        <v>95</v>
      </c>
      <c r="D11305" s="6" t="n">
        <f aca="false">Sens!D11285</f>
        <v>23.455</v>
      </c>
      <c r="E11305" s="6" t="n">
        <f aca="false">Sens!E11285</f>
        <v>21.79</v>
      </c>
      <c r="F11305" s="6" t="n">
        <f aca="false">Sens!F11285</f>
        <v>20.5736277908051</v>
      </c>
      <c r="G11305" s="6" t="n">
        <f aca="false">Sens!G11285</f>
        <v>19.7371452817919</v>
      </c>
      <c r="H11305" s="6" t="n">
        <f aca="false">Sens!H11285</f>
        <v>19.2339764043138</v>
      </c>
      <c r="I11305" s="6" t="n">
        <f aca="false">Sens!I11285</f>
        <v>19.0353086852681</v>
      </c>
      <c r="J11305" s="6" t="n">
        <f aca="false">Sens!J11285</f>
        <v>19.1273539319129</v>
      </c>
      <c r="K11305" s="6" t="n">
        <f aca="false">Sens!K11285</f>
        <v>19.5099010105511</v>
      </c>
    </row>
    <row r="11306" customFormat="false" ht="15" hidden="false" customHeight="false" outlineLevel="0" collapsed="false">
      <c r="A11306" s="0" t="s">
        <v>794</v>
      </c>
      <c r="B11306" s="0" t="s">
        <v>95</v>
      </c>
      <c r="D11306" s="6" t="n">
        <f aca="false">Sens!D11287</f>
        <v>17.315</v>
      </c>
      <c r="E11306" s="6" t="n">
        <f aca="false">Sens!E11287</f>
        <v>17.087</v>
      </c>
      <c r="F11306" s="6" t="n">
        <f aca="false">Sens!F11287</f>
        <v>16.9564585436519</v>
      </c>
      <c r="G11306" s="6" t="n">
        <f aca="false">Sens!G11287</f>
        <v>16.9206490624268</v>
      </c>
      <c r="H11306" s="6" t="n">
        <f aca="false">Sens!H11287</f>
        <v>16.9784519149849</v>
      </c>
      <c r="I11306" s="6" t="n">
        <f aca="false">Sens!I11287</f>
        <v>17.1303084701817</v>
      </c>
      <c r="J11306" s="6" t="n">
        <f aca="false">Sens!J11287</f>
        <v>17.3782189407267</v>
      </c>
      <c r="K11306" s="6" t="n">
        <f aca="false">Sens!K11287</f>
        <v>17.7257833195413</v>
      </c>
    </row>
    <row r="11307" customFormat="false" ht="15" hidden="false" customHeight="false" outlineLevel="0" collapsed="false">
      <c r="A11307" s="0" t="s">
        <v>640</v>
      </c>
      <c r="B11307" s="0" t="s">
        <v>95</v>
      </c>
      <c r="D11307" s="6" t="n">
        <f aca="false">Sens!D11289</f>
        <v>62.941</v>
      </c>
      <c r="E11307" s="6" t="n">
        <f aca="false">Sens!E11289</f>
        <v>63.712</v>
      </c>
      <c r="F11307" s="6" t="n">
        <f aca="false">Sens!F11289</f>
        <v>65.1415764563129</v>
      </c>
      <c r="G11307" s="6" t="n">
        <f aca="false">Sens!G11289</f>
        <v>67.1253610780702</v>
      </c>
      <c r="H11307" s="6" t="n">
        <f aca="false">Sens!H11289</f>
        <v>69.5768050148776</v>
      </c>
      <c r="I11307" s="6" t="n">
        <f aca="false">Sens!I11289</f>
        <v>72.4233188088189</v>
      </c>
      <c r="J11307" s="6" t="n">
        <f aca="false">Sens!J11289</f>
        <v>75.6044096678567</v>
      </c>
      <c r="K11307" s="6" t="n">
        <f aca="false">Sens!K11289</f>
        <v>79.0714397009747</v>
      </c>
    </row>
    <row r="11308" customFormat="false" ht="15" hidden="false" customHeight="false" outlineLevel="0" collapsed="false">
      <c r="A11308" s="1" t="s">
        <v>810</v>
      </c>
      <c r="B11308" s="0" t="s">
        <v>95</v>
      </c>
      <c r="D11308" s="6" t="n">
        <f aca="false">Sens!D11290</f>
        <v>281.724</v>
      </c>
      <c r="E11308" s="6" t="n">
        <f aca="false">Sens!E11290</f>
        <v>331.839</v>
      </c>
      <c r="F11308" s="6" t="n">
        <f aca="false">Sens!F11290</f>
        <v>381.336538327827</v>
      </c>
      <c r="G11308" s="6" t="n">
        <f aca="false">Sens!G11290</f>
        <v>422.811634025161</v>
      </c>
      <c r="H11308" s="6" t="n">
        <f aca="false">Sens!H11290</f>
        <v>460.252764430245</v>
      </c>
      <c r="I11308" s="6" t="n">
        <f aca="false">Sens!I11290</f>
        <v>498.233670318376</v>
      </c>
      <c r="J11308" s="6" t="n">
        <f aca="false">Sens!J11290</f>
        <v>533.629468234573</v>
      </c>
      <c r="K11308" s="6" t="n">
        <f aca="false">Sens!K11290</f>
        <v>565.781179888845</v>
      </c>
    </row>
    <row r="11309" customFormat="false" ht="15" hidden="false" customHeight="false" outlineLevel="0" collapsed="false">
      <c r="A11309" s="1" t="s">
        <v>811</v>
      </c>
      <c r="B11309" s="0" t="s">
        <v>126</v>
      </c>
      <c r="E11309" s="7" t="n">
        <f aca="false">Sens!E11308/Sens!D11308-1</f>
        <v>0.177886867998467</v>
      </c>
      <c r="F11309" s="7" t="n">
        <f aca="false">Sens!F11308/Sens!E11308-1</f>
        <v>0.149161305114308</v>
      </c>
      <c r="G11309" s="7" t="n">
        <f aca="false">Sens!G11308/Sens!F11308-1</f>
        <v>0.108762448726272</v>
      </c>
      <c r="H11309" s="7" t="n">
        <f aca="false">Sens!H11308/Sens!G11308-1</f>
        <v>0.088552744040282</v>
      </c>
      <c r="I11309" s="7" t="n">
        <f aca="false">Sens!I11308/Sens!H11308-1</f>
        <v>0.0825218419603593</v>
      </c>
      <c r="J11309" s="7" t="n">
        <f aca="false">Sens!J11308/Sens!I11308-1</f>
        <v>0.0710425650148843</v>
      </c>
      <c r="K11309" s="7" t="n">
        <f aca="false">Sens!K11308/Sens!J11308-1</f>
        <v>0.0602510048042144</v>
      </c>
    </row>
    <row r="11310" customFormat="false" ht="17.15" hidden="false" customHeight="false" outlineLevel="0" collapsed="false">
      <c r="A11310" s="22" t="s">
        <v>812</v>
      </c>
      <c r="B11310" s="28" t="s">
        <v>95</v>
      </c>
      <c r="C11310" s="28"/>
      <c r="D11310" s="23" t="n">
        <f aca="false">(Sens!D11303+Sens!D11307-Sens!D11308)+(Sens!D11295+Sens!D11296-Sens!D11294)+(Sens!D11298+Sens!D11299-Sens!D11297)+(Sens!D11308-Q!L18)</f>
        <v>0</v>
      </c>
      <c r="E11310" s="23" t="n">
        <f aca="false">(Sens!E11303+Sens!E11307-Sens!E11308)+(Sens!E11295+Sens!E11296-Sens!E11294)+(Sens!E11298+Sens!E11299-Sens!E11297)+(Sens!E11308-Q!M18)</f>
        <v>0</v>
      </c>
      <c r="F11310" s="23" t="n">
        <f aca="false">(Sens!F11303+Sens!F11307-Sens!F11308)+(Sens!F11295+Sens!F11296-Sens!F11294)+(Sens!F11298+Sens!F11299-Sens!F11297)</f>
        <v>0</v>
      </c>
      <c r="G11310" s="23" t="n">
        <f aca="false">(Sens!G11303+Sens!G11307-Sens!G11308)+(Sens!G11295+Sens!G11296-Sens!G11294)+(Sens!G11298+Sens!G11299-Sens!G11297)</f>
        <v>0</v>
      </c>
      <c r="H11310" s="23" t="n">
        <f aca="false">(Sens!H11303+Sens!H11307-Sens!H11308)+(Sens!H11295+Sens!H11296-Sens!H11294)+(Sens!H11298+Sens!H11299-Sens!H11297)</f>
        <v>0</v>
      </c>
      <c r="I11310" s="23" t="n">
        <f aca="false">(Sens!I11303+Sens!I11307-Sens!I11308)+(Sens!I11295+Sens!I11296-Sens!I11294)+(Sens!I11298+Sens!I11299-Sens!I11297)</f>
        <v>0</v>
      </c>
      <c r="J11310" s="23" t="n">
        <f aca="false">(Sens!J11303+Sens!J11307-Sens!J11308)+(Sens!J11295+Sens!J11296-Sens!J11294)+(Sens!J11298+Sens!J11299-Sens!J11297)</f>
        <v>0</v>
      </c>
      <c r="K11310" s="23" t="n">
        <f aca="false">(Sens!K11303+Sens!K11307-Sens!K11308)+(Sens!K11295+Sens!K11296-Sens!K11294)+(Sens!K11298+Sens!K11299-Sens!K11297)</f>
        <v>0</v>
      </c>
    </row>
    <row r="11311" customFormat="false" ht="17.15" hidden="false" customHeight="false" outlineLevel="0" collapsed="false">
      <c r="A11311" s="0" t="s">
        <v>813</v>
      </c>
      <c r="B11311" s="0" t="s">
        <v>126</v>
      </c>
      <c r="E11311" s="7" t="n">
        <f aca="false">(Q!M21+Sens!E11248+Sens!E11249+Sens!E11250+Sens!E11263-Sens!E11246)/(Q!M5-Sens!E11246)</f>
        <v>0.570957350878296</v>
      </c>
      <c r="F11311" s="7" t="n">
        <f aca="false">Sens!$E$11311+dm_seg</f>
        <v>0.570957350878296</v>
      </c>
      <c r="G11311" s="7" t="n">
        <f aca="false">Sens!$E$11311+dm_seg</f>
        <v>0.570957350878296</v>
      </c>
      <c r="H11311" s="7" t="n">
        <f aca="false">Sens!$E$11311+dm_seg</f>
        <v>0.570957350878296</v>
      </c>
      <c r="I11311" s="7" t="n">
        <f aca="false">Sens!$E$11311+dm_seg</f>
        <v>0.570957350878296</v>
      </c>
      <c r="J11311" s="7" t="n">
        <f aca="false">Sens!$E$11311+dm_seg</f>
        <v>0.570957350878296</v>
      </c>
      <c r="K11311" s="7" t="n">
        <f aca="false">Sens!$E$11311+dm_seg</f>
        <v>0.570957350878296</v>
      </c>
      <c r="L11311" s="11" t="s">
        <v>814</v>
      </c>
    </row>
    <row r="11312" customFormat="false" ht="17.15" hidden="false" customHeight="false" outlineLevel="0" collapsed="false">
      <c r="A11312" s="0" t="s">
        <v>654</v>
      </c>
      <c r="B11312" s="0" t="s">
        <v>95</v>
      </c>
      <c r="D11312" s="6" t="n">
        <f aca="false">Q!L21</f>
        <v>110.814</v>
      </c>
      <c r="E11312" s="6" t="n">
        <f aca="false">Q!M21</f>
        <v>136.365</v>
      </c>
      <c r="F11312" s="6" t="n">
        <f aca="false">Sens!F11311*(Sens!F11282-Sens!F11246)+Sens!F11246-(Sens!F11248+Sens!F11249+Sens!F11250)-Sens!F11263</f>
        <v>142.912800342503</v>
      </c>
      <c r="G11312" s="6" t="n">
        <f aca="false">Sens!G11311*(Sens!G11282-Sens!G11246)+Sens!G11246-(Sens!G11248+Sens!G11249+Sens!G11250)-Sens!G11263</f>
        <v>147.508650927669</v>
      </c>
      <c r="H11312" s="6" t="n">
        <f aca="false">Sens!H11311*(Sens!H11282-Sens!H11246)+Sens!H11246-(Sens!H11248+Sens!H11249+Sens!H11250)-Sens!H11263</f>
        <v>163.132360041116</v>
      </c>
      <c r="I11312" s="6" t="n">
        <f aca="false">Sens!I11311*(Sens!I11282-Sens!I11246)+Sens!I11246-(Sens!I11248+Sens!I11249+Sens!I11250)-Sens!I11263</f>
        <v>182.54882524635</v>
      </c>
      <c r="J11312" s="6" t="n">
        <f aca="false">Sens!J11311*(Sens!J11282-Sens!J11246)+Sens!J11246-(Sens!J11248+Sens!J11249+Sens!J11250)-Sens!J11263</f>
        <v>199.326044348277</v>
      </c>
      <c r="K11312" s="6" t="n">
        <f aca="false">Sens!K11311*(Sens!K11282-Sens!K11246)+Sens!K11246-(Sens!K11248+Sens!K11249+Sens!K11250)-Sens!K11263</f>
        <v>212.800221019561</v>
      </c>
      <c r="L11312" s="1" t="s">
        <v>815</v>
      </c>
    </row>
    <row r="11313" customFormat="false" ht="17.15" hidden="false" customHeight="false" outlineLevel="0" collapsed="false">
      <c r="A11313" s="0" t="s">
        <v>816</v>
      </c>
      <c r="B11313" s="0" t="s">
        <v>126</v>
      </c>
      <c r="E11313" s="7" t="n">
        <f aca="false">Q!M22/Q!M12</f>
        <v>0.296207935710698</v>
      </c>
      <c r="F11313" s="7" t="n">
        <f aca="false">Sens!$E$11313+dm_seg</f>
        <v>0.296207935710698</v>
      </c>
      <c r="G11313" s="7" t="n">
        <f aca="false">Sens!$E$11313+dm_seg</f>
        <v>0.296207935710698</v>
      </c>
      <c r="H11313" s="7" t="n">
        <f aca="false">Sens!$E$11313+dm_seg</f>
        <v>0.296207935710698</v>
      </c>
      <c r="I11313" s="7" t="n">
        <f aca="false">Sens!$E$11313+dm_seg</f>
        <v>0.296207935710698</v>
      </c>
      <c r="J11313" s="7" t="n">
        <f aca="false">Sens!$E$11313+dm_seg</f>
        <v>0.296207935710698</v>
      </c>
      <c r="K11313" s="7" t="n">
        <f aca="false">Sens!$E$11313+dm_seg</f>
        <v>0.296207935710698</v>
      </c>
      <c r="L11313" s="11" t="s">
        <v>817</v>
      </c>
    </row>
    <row r="11314" customFormat="false" ht="17.15" hidden="false" customHeight="false" outlineLevel="0" collapsed="false">
      <c r="A11314" s="0" t="s">
        <v>656</v>
      </c>
      <c r="B11314" s="0" t="s">
        <v>95</v>
      </c>
      <c r="D11314" s="6" t="n">
        <f aca="false">Q!L22</f>
        <v>17.714</v>
      </c>
      <c r="E11314" s="6" t="n">
        <f aca="false">Q!M22</f>
        <v>18.872</v>
      </c>
      <c r="F11314" s="6" t="n">
        <f aca="false">Sens!F11289*Sens!F11313</f>
        <v>19.2954518910651</v>
      </c>
      <c r="G11314" s="6" t="n">
        <f aca="false">Sens!G11289*Sens!G11313</f>
        <v>19.8830646387704</v>
      </c>
      <c r="H11314" s="6" t="n">
        <f aca="false">Sens!H11289*Sens!H11313</f>
        <v>20.6092017868026</v>
      </c>
      <c r="I11314" s="6" t="n">
        <f aca="false">Sens!I11289*Sens!I11313</f>
        <v>21.452361761678</v>
      </c>
      <c r="J11314" s="6" t="n">
        <f aca="false">Sens!J11289*Sens!J11313</f>
        <v>22.3946261183418</v>
      </c>
      <c r="K11314" s="6" t="n">
        <f aca="false">Sens!K11289*Sens!K11313</f>
        <v>23.4215879274986</v>
      </c>
    </row>
    <row r="11315" customFormat="false" ht="15" hidden="false" customHeight="false" outlineLevel="0" collapsed="false">
      <c r="A11315" s="1" t="s">
        <v>818</v>
      </c>
      <c r="B11315" s="0" t="s">
        <v>95</v>
      </c>
      <c r="D11315" s="6" t="n">
        <f aca="false">Sens!D11312+Sens!D11314</f>
        <v>128.528</v>
      </c>
      <c r="E11315" s="6" t="n">
        <f aca="false">Sens!E11312+Sens!E11314</f>
        <v>155.237</v>
      </c>
      <c r="F11315" s="6" t="n">
        <f aca="false">Sens!F11312+Sens!F11314</f>
        <v>162.208252233568</v>
      </c>
      <c r="G11315" s="6" t="n">
        <f aca="false">Sens!G11312+Sens!G11314</f>
        <v>167.391715566439</v>
      </c>
      <c r="H11315" s="6" t="n">
        <f aca="false">Sens!H11312+Sens!H11314</f>
        <v>183.741561827918</v>
      </c>
      <c r="I11315" s="6" t="n">
        <f aca="false">Sens!I11312+Sens!I11314</f>
        <v>204.001187008028</v>
      </c>
      <c r="J11315" s="6" t="n">
        <f aca="false">Sens!J11312+Sens!J11314</f>
        <v>221.720670466618</v>
      </c>
      <c r="K11315" s="6" t="n">
        <f aca="false">Sens!K11312+Sens!K11314</f>
        <v>236.22180894706</v>
      </c>
    </row>
    <row r="11316" customFormat="false" ht="15" hidden="false" customHeight="false" outlineLevel="0" collapsed="false">
      <c r="A11316" s="22" t="s">
        <v>819</v>
      </c>
      <c r="B11316" s="28" t="s">
        <v>95</v>
      </c>
      <c r="C11316" s="28"/>
      <c r="D11316" s="23" t="n">
        <f aca="false">Sens!D11315-Q!L23</f>
        <v>0</v>
      </c>
      <c r="E11316" s="23" t="n">
        <f aca="false">Sens!E11315-Q!M23</f>
        <v>0</v>
      </c>
      <c r="F11316" s="28"/>
      <c r="G11316" s="28"/>
      <c r="H11316" s="28"/>
      <c r="I11316" s="28"/>
      <c r="J11316" s="28"/>
      <c r="K11316" s="28"/>
    </row>
    <row r="11317" customFormat="false" ht="15" hidden="false" customHeight="false" outlineLevel="0" collapsed="false">
      <c r="A11317" s="1" t="s">
        <v>820</v>
      </c>
      <c r="B11317" s="0" t="s">
        <v>126</v>
      </c>
      <c r="D11317" s="7" t="n">
        <f aca="false">Sens!D11315/Sens!D11308</f>
        <v>0.456219562408598</v>
      </c>
      <c r="E11317" s="7" t="n">
        <f aca="false">Sens!E11315/Sens!E11308</f>
        <v>0.467808184089272</v>
      </c>
      <c r="F11317" s="7" t="n">
        <f aca="false">Sens!F11315/Sens!F11308</f>
        <v>0.42536771573177</v>
      </c>
      <c r="G11317" s="7" t="n">
        <f aca="false">Sens!G11315/Sens!G11308</f>
        <v>0.395901394606558</v>
      </c>
      <c r="H11317" s="7" t="n">
        <f aca="false">Sens!H11315/Sens!H11308</f>
        <v>0.399218811983401</v>
      </c>
      <c r="I11317" s="7" t="n">
        <f aca="false">Sens!I11315/Sens!I11308</f>
        <v>0.409448817213959</v>
      </c>
      <c r="J11317" s="7" t="n">
        <f aca="false">Sens!J11315/Sens!J11308</f>
        <v>0.415495551998178</v>
      </c>
      <c r="K11317" s="7" t="n">
        <f aca="false">Sens!K11315/Sens!K11308</f>
        <v>0.417514433748872</v>
      </c>
    </row>
    <row r="11318" customFormat="false" ht="17.15" hidden="false" customHeight="false" outlineLevel="0" collapsed="false">
      <c r="A11318" s="1" t="s">
        <v>821</v>
      </c>
      <c r="B11318" s="0" t="s">
        <v>95</v>
      </c>
      <c r="E11318" s="6" t="n">
        <f aca="false">Sens!E11263</f>
        <v>16.3054059770833</v>
      </c>
      <c r="F11318" s="6" t="n">
        <f aca="false">Sens!F11263</f>
        <v>36.1404426892031</v>
      </c>
      <c r="G11318" s="6" t="n">
        <f aca="false">Sens!G11263</f>
        <v>52.4592101714063</v>
      </c>
      <c r="H11318" s="6" t="n">
        <f aca="false">Sens!H11263</f>
        <v>55.0419095894063</v>
      </c>
      <c r="I11318" s="6" t="n">
        <f aca="false">Sens!I11263</f>
        <v>55.6856838189896</v>
      </c>
      <c r="J11318" s="6" t="n">
        <f aca="false">Sens!J11263</f>
        <v>57.3016885177396</v>
      </c>
      <c r="K11318" s="6" t="n">
        <f aca="false">Sens!K11263</f>
        <v>60.2052416756563</v>
      </c>
    </row>
    <row r="11319" customFormat="false" ht="17.15" hidden="false" customHeight="false" outlineLevel="0" collapsed="false">
      <c r="A11319" s="1" t="s">
        <v>822</v>
      </c>
      <c r="B11319" s="0" t="s">
        <v>95</v>
      </c>
      <c r="E11319" s="6" t="n">
        <f aca="false">Sens!E11339</f>
        <v>22.2285940229167</v>
      </c>
      <c r="F11319" s="6" t="n">
        <f aca="false">Sens!F11339</f>
        <v>23.5486693435813</v>
      </c>
      <c r="G11319" s="6" t="n">
        <f aca="false">Sens!G11339</f>
        <v>25.264091766262</v>
      </c>
      <c r="H11319" s="6" t="n">
        <f aca="false">Sens!H11339</f>
        <v>27.3438339540448</v>
      </c>
      <c r="I11319" s="6" t="n">
        <f aca="false">Sens!I11339</f>
        <v>29.7317905898047</v>
      </c>
      <c r="J11319" s="6" t="n">
        <f aca="false">Sens!J11339</f>
        <v>32.3542028558616</v>
      </c>
      <c r="K11319" s="6" t="n">
        <f aca="false">Sens!K11339</f>
        <v>35.1281528444749</v>
      </c>
    </row>
    <row r="11320" customFormat="false" ht="17.15" hidden="false" customHeight="false" outlineLevel="0" collapsed="false">
      <c r="A11320" s="1" t="s">
        <v>823</v>
      </c>
      <c r="B11320" s="0" t="s">
        <v>95</v>
      </c>
      <c r="D11320" s="6" t="n">
        <f aca="false">Q!L27</f>
        <v>-4.901</v>
      </c>
      <c r="E11320" s="6" t="n">
        <f aca="false">Q!M27</f>
        <v>10.697</v>
      </c>
      <c r="F11320" s="6" t="n">
        <f aca="false">oie_f</f>
        <v>-0.4</v>
      </c>
      <c r="G11320" s="6" t="n">
        <f aca="false">oie_f</f>
        <v>-0.4</v>
      </c>
      <c r="H11320" s="6" t="n">
        <f aca="false">oie_f</f>
        <v>-0.4</v>
      </c>
      <c r="I11320" s="6" t="n">
        <f aca="false">oie_f</f>
        <v>-0.4</v>
      </c>
      <c r="J11320" s="6" t="n">
        <f aca="false">oie_f</f>
        <v>-0.4</v>
      </c>
      <c r="K11320" s="6" t="n">
        <f aca="false">oie_f</f>
        <v>-0.4</v>
      </c>
      <c r="L11320" s="11" t="s">
        <v>824</v>
      </c>
    </row>
    <row r="11321" customFormat="false" ht="15" hidden="false" customHeight="false" outlineLevel="0" collapsed="false">
      <c r="A11321" s="1" t="s">
        <v>666</v>
      </c>
      <c r="B11321" s="0" t="s">
        <v>95</v>
      </c>
      <c r="D11321" s="6" t="n">
        <f aca="false">Sens!D11315+Sens!D11320</f>
        <v>123.627</v>
      </c>
      <c r="E11321" s="6" t="n">
        <f aca="false">Sens!E11315+Sens!E11320</f>
        <v>165.934</v>
      </c>
      <c r="F11321" s="6" t="n">
        <f aca="false">Sens!F11315+Sens!F11320</f>
        <v>161.808252233568</v>
      </c>
      <c r="G11321" s="6" t="n">
        <f aca="false">Sens!G11315+Sens!G11320</f>
        <v>166.991715566439</v>
      </c>
      <c r="H11321" s="6" t="n">
        <f aca="false">Sens!H11315+Sens!H11320</f>
        <v>183.341561827918</v>
      </c>
      <c r="I11321" s="6" t="n">
        <f aca="false">Sens!I11315+Sens!I11320</f>
        <v>203.601187008028</v>
      </c>
      <c r="J11321" s="6" t="n">
        <f aca="false">Sens!J11315+Sens!J11320</f>
        <v>221.320670466618</v>
      </c>
      <c r="K11321" s="6" t="n">
        <f aca="false">Sens!K11315+Sens!K11320</f>
        <v>235.82180894706</v>
      </c>
    </row>
    <row r="11322" customFormat="false" ht="15" hidden="false" customHeight="false" outlineLevel="0" collapsed="false">
      <c r="A11322" s="1" t="s">
        <v>668</v>
      </c>
      <c r="B11322" s="0" t="s">
        <v>95</v>
      </c>
      <c r="D11322" s="6" t="n">
        <f aca="false">Q!L29</f>
        <v>21.795</v>
      </c>
      <c r="E11322" s="6" t="n">
        <f aca="false">Q!M29</f>
        <v>32.185</v>
      </c>
      <c r="F11322" s="6" t="n">
        <f aca="false">Sens!F11321*tax_f</f>
        <v>32.3616504467137</v>
      </c>
      <c r="G11322" s="6" t="n">
        <f aca="false">Sens!G11321*tax_f</f>
        <v>33.3983431132878</v>
      </c>
      <c r="H11322" s="6" t="n">
        <f aca="false">Sens!H11321*tax_f</f>
        <v>36.6683123655837</v>
      </c>
      <c r="I11322" s="6" t="n">
        <f aca="false">Sens!I11321*tax_f</f>
        <v>40.7202374016057</v>
      </c>
      <c r="J11322" s="6" t="n">
        <f aca="false">Sens!J11321*tax_f</f>
        <v>44.2641340933237</v>
      </c>
      <c r="K11322" s="6" t="n">
        <f aca="false">Sens!K11321*tax_f</f>
        <v>47.164361789412</v>
      </c>
    </row>
    <row r="11323" customFormat="false" ht="15" hidden="false" customHeight="false" outlineLevel="0" collapsed="false">
      <c r="A11323" s="1" t="s">
        <v>825</v>
      </c>
      <c r="B11323" s="0" t="s">
        <v>95</v>
      </c>
      <c r="D11323" s="6" t="n">
        <f aca="false">Sens!D11321-Sens!D11322</f>
        <v>101.832</v>
      </c>
      <c r="E11323" s="6" t="n">
        <f aca="false">Sens!E11321-Sens!E11322</f>
        <v>133.749</v>
      </c>
      <c r="F11323" s="6" t="n">
        <f aca="false">Sens!F11321-Sens!F11322</f>
        <v>129.446601786855</v>
      </c>
      <c r="G11323" s="6" t="n">
        <f aca="false">Sens!G11321-Sens!G11322</f>
        <v>133.593372453151</v>
      </c>
      <c r="H11323" s="6" t="n">
        <f aca="false">Sens!H11321-Sens!H11322</f>
        <v>146.673249462335</v>
      </c>
      <c r="I11323" s="6" t="n">
        <f aca="false">Sens!I11321-Sens!I11322</f>
        <v>162.880949606423</v>
      </c>
      <c r="J11323" s="6" t="n">
        <f aca="false">Sens!J11321-Sens!J11322</f>
        <v>177.056536373295</v>
      </c>
      <c r="K11323" s="6" t="n">
        <f aca="false">Sens!K11321-Sens!K11322</f>
        <v>188.657447157648</v>
      </c>
    </row>
    <row r="11324" customFormat="false" ht="17.15" hidden="false" customHeight="false" outlineLevel="0" collapsed="false">
      <c r="A11324" s="1" t="s">
        <v>826</v>
      </c>
      <c r="B11324" s="1" t="s">
        <v>79</v>
      </c>
      <c r="D11324" s="18" t="n">
        <f aca="false">Q!L31</f>
        <v>7.465</v>
      </c>
      <c r="E11324" s="18" t="n">
        <f aca="false">Q!M31</f>
        <v>7.453</v>
      </c>
      <c r="F11324" s="18" t="n">
        <f aca="false">Sens!F11361</f>
        <v>7.4735</v>
      </c>
      <c r="G11324" s="18" t="n">
        <f aca="false">Sens!G11361</f>
        <v>7.49987171271795</v>
      </c>
      <c r="H11324" s="18" t="n">
        <f aca="false">Sens!H11361</f>
        <v>7.50899501128585</v>
      </c>
      <c r="I11324" s="18" t="n">
        <f aca="false">Sens!I11361</f>
        <v>7.52077584329316</v>
      </c>
      <c r="J11324" s="18" t="n">
        <f aca="false">Sens!J11361</f>
        <v>7.53501735441104</v>
      </c>
      <c r="K11324" s="18" t="n">
        <f aca="false">Sens!K11361</f>
        <v>7.55153727211278</v>
      </c>
    </row>
    <row r="11325" customFormat="false" ht="17.15" hidden="false" customHeight="false" outlineLevel="0" collapsed="false">
      <c r="A11325" s="0" t="s">
        <v>827</v>
      </c>
      <c r="B11325" s="0" t="s">
        <v>73</v>
      </c>
      <c r="D11325" s="8" t="n">
        <f aca="false">Sens!D11323/Sens!D11324</f>
        <v>13.641259209645</v>
      </c>
      <c r="E11325" s="8" t="n">
        <f aca="false">Sens!E11323/Sens!E11324</f>
        <v>17.9456594659869</v>
      </c>
      <c r="F11325" s="8" t="n">
        <f aca="false">Sens!F11323/Sens!F11324</f>
        <v>17.3207468772134</v>
      </c>
      <c r="G11325" s="8" t="n">
        <f aca="false">Sens!G11323/Sens!G11324</f>
        <v>17.8127543470656</v>
      </c>
      <c r="H11325" s="8" t="n">
        <f aca="false">Sens!H11323/Sens!H11324</f>
        <v>19.5330066462806</v>
      </c>
      <c r="I11325" s="8" t="n">
        <f aca="false">Sens!I11323/Sens!I11324</f>
        <v>21.6574663306414</v>
      </c>
      <c r="J11325" s="8" t="n">
        <f aca="false">Sens!J11323/Sens!J11324</f>
        <v>23.4978272836551</v>
      </c>
      <c r="K11325" s="8" t="n">
        <f aca="false">Sens!K11323/Sens!K11324</f>
        <v>24.9826545721153</v>
      </c>
      <c r="L11325" s="1" t="s">
        <v>828</v>
      </c>
    </row>
    <row r="11326" customFormat="false" ht="17.15" hidden="false" customHeight="false" outlineLevel="0" collapsed="false">
      <c r="A11326" s="0" t="s">
        <v>829</v>
      </c>
      <c r="B11326" s="0" t="s">
        <v>126</v>
      </c>
      <c r="E11326" s="7" t="n">
        <f aca="false">Sens!E11325/Sens!D11325-1</f>
        <v>0.315542736208578</v>
      </c>
      <c r="F11326" s="7" t="n">
        <f aca="false">Sens!F11325/Sens!E11325-1</f>
        <v>-0.0348224923111821</v>
      </c>
      <c r="G11326" s="7" t="n">
        <f aca="false">Sens!G11325/Sens!F11325-1</f>
        <v>0.0284056728812001</v>
      </c>
      <c r="H11326" s="7" t="n">
        <f aca="false">Sens!H11325/Sens!G11325-1</f>
        <v>0.0965741886794955</v>
      </c>
      <c r="I11326" s="7" t="n">
        <f aca="false">Sens!I11325/Sens!H11325-1</f>
        <v>0.108762553703696</v>
      </c>
      <c r="J11326" s="7" t="n">
        <f aca="false">Sens!J11325/Sens!I11325-1</f>
        <v>0.0849758196511641</v>
      </c>
      <c r="K11326" s="7" t="n">
        <f aca="false">Sens!K11325/Sens!J11325-1</f>
        <v>0.063189982228401</v>
      </c>
    </row>
    <row r="11327" customFormat="false" ht="17.15" hidden="false" customHeight="false" outlineLevel="0" collapsed="false">
      <c r="A11327" s="0" t="s">
        <v>763</v>
      </c>
      <c r="B11327" s="0" t="s">
        <v>95</v>
      </c>
      <c r="E11327" s="6" t="n">
        <f aca="false">Sens!E11272</f>
        <v>5.25</v>
      </c>
      <c r="F11327" s="6" t="n">
        <f aca="false">Sens!F11272</f>
        <v>10.5</v>
      </c>
      <c r="G11327" s="6" t="n">
        <f aca="false">Sens!G11272</f>
        <v>13.5</v>
      </c>
      <c r="H11327" s="6" t="n">
        <f aca="false">Sens!H11272</f>
        <v>16.5</v>
      </c>
      <c r="I11327" s="6" t="n">
        <f aca="false">Sens!I11272</f>
        <v>18.75</v>
      </c>
      <c r="J11327" s="6" t="n">
        <f aca="false">Sens!J11272</f>
        <v>20.25</v>
      </c>
      <c r="K11327" s="6" t="n">
        <f aca="false">Sens!K11272</f>
        <v>21.75</v>
      </c>
    </row>
    <row r="11328" customFormat="false" ht="17.15" hidden="false" customHeight="false" outlineLevel="0" collapsed="false">
      <c r="A11328" s="0" t="s">
        <v>764</v>
      </c>
      <c r="B11328" s="0" t="s">
        <v>95</v>
      </c>
      <c r="E11328" s="6" t="n">
        <f aca="false">Sens!E11252+Sens!E11327*Sens!E11311-Sens!E11253-Sens!E11263</f>
        <v>2.1514866143068</v>
      </c>
      <c r="F11328" s="6" t="n">
        <f aca="false">Sens!F11252+Sens!F11327*Sens!F11311-Sens!F11253-Sens!F11263</f>
        <v>-9.6478726245889</v>
      </c>
      <c r="G11328" s="6" t="n">
        <f aca="false">Sens!G11252+Sens!G11327*Sens!G11311-Sens!G11253-Sens!G11263</f>
        <v>-24.133450999867</v>
      </c>
      <c r="H11328" s="6" t="n">
        <f aca="false">Sens!H11252+Sens!H11327*Sens!H11311-Sens!H11253-Sens!H11263</f>
        <v>-27.7733196377215</v>
      </c>
      <c r="I11328" s="6" t="n">
        <f aca="false">Sens!I11252+Sens!I11327*Sens!I11311-Sens!I11253-Sens!I11263</f>
        <v>-27.1324398278287</v>
      </c>
      <c r="J11328" s="6" t="n">
        <f aca="false">Sens!J11252+Sens!J11327*Sens!J11311-Sens!J11253-Sens!J11263</f>
        <v>-27.8920085002613</v>
      </c>
      <c r="K11328" s="6" t="n">
        <f aca="false">Sens!K11252+Sens!K11327*Sens!K11311-Sens!K11253-Sens!K11263</f>
        <v>-29.9391256318605</v>
      </c>
    </row>
    <row r="11329" customFormat="false" ht="17.15" hidden="false" customHeight="false" outlineLevel="0" collapsed="false">
      <c r="A11329" s="0" t="s">
        <v>765</v>
      </c>
      <c r="B11329" s="0" t="s">
        <v>95</v>
      </c>
      <c r="E11329" s="6" t="n">
        <f aca="false">Sens!E11235*(cxit_open+self_build*tk_cxfac)/1000*ai_net_open</f>
        <v>126.6980382</v>
      </c>
      <c r="F11329" s="6" t="n">
        <f aca="false">Sens!E11329+Sens!F11260-Sens!F11263</f>
        <v>259.328248281234</v>
      </c>
      <c r="G11329" s="6" t="n">
        <f aca="false">Sens!F11329+Sens!G11260-Sens!G11263</f>
        <v>242.171765125828</v>
      </c>
      <c r="H11329" s="6" t="n">
        <f aca="false">Sens!G11329+Sens!H11260-Sens!H11263</f>
        <v>187.129855536422</v>
      </c>
      <c r="I11329" s="6" t="n">
        <f aca="false">Sens!H11329+Sens!I11260-Sens!I11263</f>
        <v>161.702847064099</v>
      </c>
      <c r="J11329" s="6" t="n">
        <f aca="false">Sens!I11329+Sens!J11260-Sens!J11263</f>
        <v>150.097933559693</v>
      </c>
      <c r="K11329" s="6" t="n">
        <f aca="false">Sens!J11329+Sens!K11260-Sens!K11263</f>
        <v>180.668717924036</v>
      </c>
      <c r="L11329" s="1" t="s">
        <v>766</v>
      </c>
    </row>
    <row r="11330" customFormat="false" ht="17.15" hidden="false" customHeight="false" outlineLevel="0" collapsed="false">
      <c r="A11330" s="0" t="s">
        <v>767</v>
      </c>
      <c r="B11330" s="0" t="s">
        <v>126</v>
      </c>
      <c r="F11330" s="7" t="n">
        <f aca="false">Sens!F11328*(1-tax_f)/((Sens!E11329+Sens!F11329)/2)</f>
        <v>-0.0399884586618498</v>
      </c>
      <c r="G11330" s="7" t="n">
        <f aca="false">Sens!G11328*(1-tax_f)/((Sens!F11329+Sens!G11329)/2)</f>
        <v>-0.0769960529760644</v>
      </c>
      <c r="H11330" s="7" t="n">
        <f aca="false">Sens!H11328*(1-tax_f)/((Sens!G11329+Sens!H11329)/2)</f>
        <v>-0.103510700359818</v>
      </c>
      <c r="I11330" s="7" t="n">
        <f aca="false">Sens!I11328*(1-tax_f)/((Sens!H11329+Sens!I11329)/2)</f>
        <v>-0.124449065127477</v>
      </c>
      <c r="J11330" s="7" t="n">
        <f aca="false">Sens!J11328*(1-tax_f)/((Sens!I11329+Sens!J11329)/2)</f>
        <v>-0.143127331211732</v>
      </c>
      <c r="K11330" s="7" t="n">
        <f aca="false">Sens!K11328*(1-tax_f)/((Sens!J11329+Sens!K11329)/2)</f>
        <v>-0.144822946316077</v>
      </c>
    </row>
    <row r="11331" customFormat="false" ht="17.15" hidden="false" customHeight="false" outlineLevel="0" collapsed="false">
      <c r="A11331" s="1" t="s">
        <v>768</v>
      </c>
      <c r="B11331" s="0" t="s">
        <v>126</v>
      </c>
      <c r="F11331" s="7" t="n">
        <f aca="false">Sens!F11264*(1-tax_f)/(Sens!F11251*(Sens!E11329+Sens!F11329)/2)</f>
        <v>0.0254874055431541</v>
      </c>
      <c r="G11331" s="7" t="n">
        <f aca="false">Sens!G11264*(1-tax_f)/(Sens!G11251*(Sens!F11329+Sens!G11329)/2)</f>
        <v>-0.0274764215159954</v>
      </c>
      <c r="H11331" s="7" t="n">
        <f aca="false">Sens!H11264*(1-tax_f)/(Sens!H11251*(Sens!G11329+Sens!H11329)/2)</f>
        <v>-0.0563935313236517</v>
      </c>
      <c r="I11331" s="7" t="n">
        <f aca="false">Sens!I11264*(1-tax_f)/(Sens!I11251*(Sens!H11329+Sens!I11329)/2)</f>
        <v>-0.0723552378297192</v>
      </c>
      <c r="J11331" s="7" t="n">
        <f aca="false">Sens!J11264*(1-tax_f)/(Sens!J11251*(Sens!I11329+Sens!J11329)/2)</f>
        <v>-0.0892412155664795</v>
      </c>
      <c r="K11331" s="7" t="n">
        <f aca="false">Sens!K11264*(1-tax_f)/(Sens!K11251*(Sens!J11329+Sens!K11329)/2)</f>
        <v>-0.0981694060887161</v>
      </c>
    </row>
    <row r="11332" customFormat="false" ht="17.15" hidden="false" customHeight="false" outlineLevel="0" collapsed="false">
      <c r="A11332" s="0" t="s">
        <v>769</v>
      </c>
      <c r="B11332" s="0" t="s">
        <v>208</v>
      </c>
      <c r="F11332" s="7" t="n">
        <f aca="false">Sens!F11330-wacc</f>
        <v>-0.148951679812104</v>
      </c>
      <c r="G11332" s="7" t="n">
        <f aca="false">Sens!G11330-wacc</f>
        <v>-0.185959274126318</v>
      </c>
      <c r="H11332" s="7" t="n">
        <f aca="false">Sens!H11330-wacc</f>
        <v>-0.212473921510072</v>
      </c>
      <c r="I11332" s="7" t="n">
        <f aca="false">Sens!I11330-wacc</f>
        <v>-0.233412286277731</v>
      </c>
      <c r="J11332" s="7" t="n">
        <f aca="false">Sens!J11330-wacc</f>
        <v>-0.252090552361986</v>
      </c>
      <c r="K11332" s="7" t="n">
        <f aca="false">Sens!K11330-wacc</f>
        <v>-0.253786167466331</v>
      </c>
    </row>
    <row r="11333" customFormat="false" ht="17.15" hidden="false" customHeight="false" outlineLevel="0" collapsed="false">
      <c r="A11333" s="0" t="s">
        <v>770</v>
      </c>
      <c r="B11333" s="0" t="s">
        <v>95</v>
      </c>
      <c r="F11333" s="6" t="n">
        <f aca="false">Sens!F11328*(1-tax_f)-wacc*(Sens!E11329+Sens!F11329)/2</f>
        <v>-28.7496319115041</v>
      </c>
      <c r="G11333" s="6" t="n">
        <f aca="false">Sens!G11328*(1-tax_f)-wacc*(Sens!F11329+Sens!G11329)/2</f>
        <v>-46.6292892337582</v>
      </c>
      <c r="H11333" s="6" t="n">
        <f aca="false">Sens!H11328*(1-tax_f)-wacc*(Sens!G11329+Sens!H11329)/2</f>
        <v>-45.6076994263688</v>
      </c>
      <c r="I11333" s="6" t="n">
        <f aca="false">Sens!I11328*(1-tax_f)-wacc*(Sens!H11329+Sens!I11329)/2</f>
        <v>-40.7109193212136</v>
      </c>
      <c r="J11333" s="6" t="n">
        <f aca="false">Sens!J11328*(1-tax_f)-wacc*(Sens!I11329+Sens!J11329)/2</f>
        <v>-39.301015507175</v>
      </c>
      <c r="K11333" s="6" t="n">
        <f aca="false">Sens!K11328*(1-tax_f)-wacc*(Sens!J11329+Sens!K11329)/2</f>
        <v>-41.9720004028637</v>
      </c>
    </row>
    <row r="11334" customFormat="false" ht="17.15" hidden="false" customHeight="false" outlineLevel="0" collapsed="false">
      <c r="A11334" s="1" t="s">
        <v>771</v>
      </c>
      <c r="B11334" s="0" t="s">
        <v>95</v>
      </c>
      <c r="F11334" s="6" t="n">
        <f aca="false">(Sens!E11236+Sens!F11236)/2*Sens!F11243/1000</f>
        <v>19.4494190187895</v>
      </c>
      <c r="G11334" s="6" t="n">
        <f aca="false">(Sens!F11236+Sens!G11236)/2*Sens!G11243/1000</f>
        <v>23.0047877701723</v>
      </c>
      <c r="H11334" s="6" t="n">
        <f aca="false">(Sens!G11236+Sens!H11236)/2*Sens!H11243/1000</f>
        <v>24.6552641292369</v>
      </c>
      <c r="I11334" s="6" t="n">
        <f aca="false">(Sens!H11236+Sens!I11236)/2*Sens!I11243/1000</f>
        <v>24.6552641292369</v>
      </c>
      <c r="J11334" s="6" t="n">
        <f aca="false">(Sens!I11236+Sens!J11236)/2*Sens!J11243/1000</f>
        <v>24.6552641292369</v>
      </c>
      <c r="K11334" s="6" t="n">
        <f aca="false">(Sens!J11236+Sens!K11236)/2*Sens!K11243/1000</f>
        <v>24.6552641292369</v>
      </c>
      <c r="L11334" s="1" t="s">
        <v>772</v>
      </c>
    </row>
    <row r="11335" customFormat="false" ht="17.15" hidden="false" customHeight="false" outlineLevel="0" collapsed="false">
      <c r="A11335" s="1" t="s">
        <v>773</v>
      </c>
      <c r="B11335" s="0" t="s">
        <v>126</v>
      </c>
      <c r="F11335" s="7" t="n">
        <f aca="false">(Sens!F11252+Sens!F11334-Sens!F11253-Sens!F11263)*(1-tax_f)/((Sens!E11329+Sens!F11329)/2)</f>
        <v>0.0157771399235054</v>
      </c>
      <c r="G11335" s="7" t="n">
        <f aca="false">(Sens!G11252+Sens!G11334-Sens!G11253-Sens!G11263)*(1-tax_f)/((Sens!F11329+Sens!G11329)/2)</f>
        <v>-0.0281925016321119</v>
      </c>
      <c r="H11335" s="7" t="n">
        <f aca="false">(Sens!H11252+Sens!H11334-Sens!H11253-Sens!H11263)*(1-tax_f)/((Sens!G11329+Sens!H11329)/2)</f>
        <v>-0.0467320921030163</v>
      </c>
      <c r="I11335" s="7" t="n">
        <f aca="false">(Sens!I11252+Sens!I11334-Sens!I11253-Sens!I11263)*(1-tax_f)/((Sens!H11329+Sens!I11329)/2)</f>
        <v>-0.0604650925410806</v>
      </c>
      <c r="J11335" s="7" t="n">
        <f aca="false">(Sens!J11252+Sens!J11334-Sens!J11253-Sens!J11263)*(1-tax_f)/((Sens!I11329+Sens!J11329)/2)</f>
        <v>-0.0759389027658164</v>
      </c>
      <c r="K11335" s="7" t="n">
        <f aca="false">(Sens!K11252+Sens!K11334-Sens!K11253-Sens!K11263)*(1-tax_f)/((Sens!J11329+Sens!K11329)/2)</f>
        <v>-0.0856298362840115</v>
      </c>
      <c r="L11335" s="1" t="s">
        <v>774</v>
      </c>
    </row>
    <row r="11336" customFormat="false" ht="17.15" hidden="false" customHeight="false" outlineLevel="0" collapsed="false">
      <c r="A11336" s="3" t="s">
        <v>1435</v>
      </c>
    </row>
    <row r="11337" customFormat="false" ht="15" hidden="false" customHeight="false" outlineLevel="0" collapsed="false">
      <c r="A11337" s="4" t="s">
        <v>43</v>
      </c>
      <c r="B11337" s="4" t="s">
        <v>63</v>
      </c>
      <c r="C11337" s="19" t="s">
        <v>710</v>
      </c>
      <c r="D11337" s="19" t="s">
        <v>711</v>
      </c>
      <c r="E11337" s="19" t="s">
        <v>712</v>
      </c>
      <c r="F11337" s="19" t="s">
        <v>713</v>
      </c>
      <c r="G11337" s="19" t="s">
        <v>714</v>
      </c>
      <c r="H11337" s="19" t="s">
        <v>715</v>
      </c>
      <c r="I11337" s="19" t="s">
        <v>716</v>
      </c>
      <c r="J11337" s="19" t="s">
        <v>717</v>
      </c>
      <c r="K11337" s="19" t="s">
        <v>718</v>
      </c>
      <c r="L11337" s="4" t="s">
        <v>47</v>
      </c>
    </row>
    <row r="11338" customFormat="false" ht="15" hidden="false" customHeight="false" outlineLevel="0" collapsed="false">
      <c r="A11338" s="1" t="s">
        <v>825</v>
      </c>
      <c r="B11338" s="0" t="s">
        <v>95</v>
      </c>
      <c r="F11338" s="6" t="n">
        <f aca="false">Sens!F11323</f>
        <v>129.446601786855</v>
      </c>
      <c r="G11338" s="6" t="n">
        <f aca="false">Sens!G11323</f>
        <v>133.593372453151</v>
      </c>
      <c r="H11338" s="6" t="n">
        <f aca="false">Sens!H11323</f>
        <v>146.673249462335</v>
      </c>
      <c r="I11338" s="6" t="n">
        <f aca="false">Sens!I11323</f>
        <v>162.880949606423</v>
      </c>
      <c r="J11338" s="6" t="n">
        <f aca="false">Sens!J11323</f>
        <v>177.056536373295</v>
      </c>
      <c r="K11338" s="6" t="n">
        <f aca="false">Sens!K11323</f>
        <v>188.657447157648</v>
      </c>
    </row>
    <row r="11339" customFormat="false" ht="17.15" hidden="false" customHeight="false" outlineLevel="0" collapsed="false">
      <c r="A11339" s="1" t="s">
        <v>843</v>
      </c>
      <c r="B11339" s="0" t="s">
        <v>95</v>
      </c>
      <c r="E11339" s="6" t="n">
        <f aca="false">Q!M38-Sens!E11263</f>
        <v>22.2285940229167</v>
      </c>
      <c r="F11339" s="6" t="n">
        <f aca="false">Sens!E11339*(1-1/life_nonai)+Sens!F11345/life_nonai</f>
        <v>23.5486693435813</v>
      </c>
      <c r="G11339" s="6" t="n">
        <f aca="false">Sens!F11339*(1-1/life_nonai)+Sens!G11345/life_nonai</f>
        <v>25.264091766262</v>
      </c>
      <c r="H11339" s="6" t="n">
        <f aca="false">Sens!G11339*(1-1/life_nonai)+Sens!H11345/life_nonai</f>
        <v>27.3438339540448</v>
      </c>
      <c r="I11339" s="6" t="n">
        <f aca="false">Sens!H11339*(1-1/life_nonai)+Sens!I11345/life_nonai</f>
        <v>29.7317905898047</v>
      </c>
      <c r="J11339" s="6" t="n">
        <f aca="false">Sens!I11339*(1-1/life_nonai)+Sens!J11345/life_nonai</f>
        <v>32.3542028558616</v>
      </c>
      <c r="K11339" s="6" t="n">
        <f aca="false">Sens!J11339*(1-1/life_nonai)+Sens!K11345/life_nonai</f>
        <v>35.1281528444749</v>
      </c>
      <c r="L11339" s="11" t="s">
        <v>844</v>
      </c>
    </row>
    <row r="11340" customFormat="false" ht="17.15" hidden="false" customHeight="false" outlineLevel="0" collapsed="false">
      <c r="A11340" s="1" t="s">
        <v>845</v>
      </c>
      <c r="B11340" s="0" t="s">
        <v>95</v>
      </c>
      <c r="E11340" s="6" t="n">
        <f aca="false">Sens!E11263+Sens!E11339</f>
        <v>38.534</v>
      </c>
      <c r="F11340" s="6" t="n">
        <f aca="false">Sens!F11263+Sens!F11339</f>
        <v>59.6891120327844</v>
      </c>
      <c r="G11340" s="6" t="n">
        <f aca="false">Sens!G11263+Sens!G11339</f>
        <v>77.7233019376683</v>
      </c>
      <c r="H11340" s="6" t="n">
        <f aca="false">Sens!H11263+Sens!H11339</f>
        <v>82.3857435434511</v>
      </c>
      <c r="I11340" s="6" t="n">
        <f aca="false">Sens!I11263+Sens!I11339</f>
        <v>85.4174744087943</v>
      </c>
      <c r="J11340" s="6" t="n">
        <f aca="false">Sens!J11263+Sens!J11339</f>
        <v>89.6558913736012</v>
      </c>
      <c r="K11340" s="6" t="n">
        <f aca="false">Sens!K11263+Sens!K11339</f>
        <v>95.3333945201311</v>
      </c>
    </row>
    <row r="11341" customFormat="false" ht="15" hidden="false" customHeight="false" outlineLevel="0" collapsed="false">
      <c r="A11341" s="1" t="s">
        <v>685</v>
      </c>
      <c r="B11341" s="0" t="s">
        <v>95</v>
      </c>
      <c r="F11341" s="6" t="n">
        <f aca="false">Sens!F11290*sbc_r</f>
        <v>14.255345989943</v>
      </c>
      <c r="G11341" s="6" t="n">
        <f aca="false">Sens!G11290*sbc_r</f>
        <v>15.8057923272494</v>
      </c>
      <c r="H11341" s="6" t="n">
        <f aca="false">Sens!H11290*sbc_r</f>
        <v>17.2054386095582</v>
      </c>
      <c r="I11341" s="6" t="n">
        <f aca="false">Sens!I11290*sbc_r</f>
        <v>18.6252630953548</v>
      </c>
      <c r="J11341" s="6" t="n">
        <f aca="false">Sens!J11290*sbc_r</f>
        <v>19.9484495597259</v>
      </c>
      <c r="K11341" s="6" t="n">
        <f aca="false">Sens!K11290*sbc_r</f>
        <v>21.1503636899856</v>
      </c>
    </row>
    <row r="11342" customFormat="false" ht="17.15" hidden="false" customHeight="false" outlineLevel="0" collapsed="false">
      <c r="A11342" s="1" t="s">
        <v>846</v>
      </c>
      <c r="B11342" s="0" t="s">
        <v>95</v>
      </c>
      <c r="F11342" s="6" t="n">
        <f aca="false">wc27</f>
        <v>-4.895</v>
      </c>
      <c r="G11342" s="6" t="n">
        <f aca="false">0</f>
        <v>0</v>
      </c>
      <c r="H11342" s="6" t="n">
        <f aca="false">0</f>
        <v>0</v>
      </c>
      <c r="I11342" s="6" t="n">
        <f aca="false">0</f>
        <v>0</v>
      </c>
      <c r="J11342" s="6" t="n">
        <f aca="false">0</f>
        <v>0</v>
      </c>
      <c r="K11342" s="6" t="n">
        <f aca="false">0</f>
        <v>0</v>
      </c>
      <c r="L11342" s="11" t="s">
        <v>847</v>
      </c>
    </row>
    <row r="11343" customFormat="false" ht="15" hidden="false" customHeight="false" outlineLevel="0" collapsed="false">
      <c r="A11343" s="1" t="s">
        <v>678</v>
      </c>
      <c r="B11343" s="0" t="s">
        <v>95</v>
      </c>
      <c r="E11343" s="6" t="n">
        <f aca="false">Q!M35</f>
        <v>182.935</v>
      </c>
      <c r="F11343" s="6" t="n">
        <f aca="false">Sens!F11338+Sens!F11340+Sens!F11341+Sens!F11342</f>
        <v>198.496059809582</v>
      </c>
      <c r="G11343" s="6" t="n">
        <f aca="false">Sens!G11338+Sens!G11340+Sens!G11341+Sens!G11342</f>
        <v>227.122466718069</v>
      </c>
      <c r="H11343" s="6" t="n">
        <f aca="false">Sens!H11338+Sens!H11340+Sens!H11341+Sens!H11342</f>
        <v>246.264431615344</v>
      </c>
      <c r="I11343" s="6" t="n">
        <f aca="false">Sens!I11338+Sens!I11340+Sens!I11341+Sens!I11342</f>
        <v>266.923687110572</v>
      </c>
      <c r="J11343" s="6" t="n">
        <f aca="false">Sens!J11338+Sens!J11340+Sens!J11341+Sens!J11342</f>
        <v>286.660877306622</v>
      </c>
      <c r="K11343" s="6" t="n">
        <f aca="false">Sens!K11338+Sens!K11340+Sens!K11341+Sens!K11342</f>
        <v>305.141205367765</v>
      </c>
    </row>
    <row r="11344" customFormat="false" ht="17.15" hidden="false" customHeight="false" outlineLevel="0" collapsed="false">
      <c r="A11344" s="0" t="s">
        <v>848</v>
      </c>
      <c r="B11344" s="0" t="s">
        <v>95</v>
      </c>
      <c r="F11344" s="6" t="n">
        <f aca="false">Sens!F11260</f>
        <v>168.770652770438</v>
      </c>
      <c r="G11344" s="6" t="n">
        <f aca="false">Sens!G11260</f>
        <v>35.302727016</v>
      </c>
      <c r="H11344" s="6" t="n">
        <f aca="false">Sens!H11260</f>
        <v>0</v>
      </c>
      <c r="I11344" s="6" t="n">
        <f aca="false">Sens!I11260</f>
        <v>30.2586753466667</v>
      </c>
      <c r="J11344" s="6" t="n">
        <f aca="false">Sens!J11260</f>
        <v>45.6967750133333</v>
      </c>
      <c r="K11344" s="6" t="n">
        <f aca="false">Sens!K11260</f>
        <v>90.77602604</v>
      </c>
    </row>
    <row r="11345" customFormat="false" ht="17.15" hidden="false" customHeight="false" outlineLevel="0" collapsed="false">
      <c r="A11345" s="1" t="s">
        <v>849</v>
      </c>
      <c r="B11345" s="0" t="s">
        <v>95</v>
      </c>
      <c r="E11345" s="6" t="n">
        <f aca="false">Sens!E11268*cx_azo+Sens!E11275*cx_m365+Sens!E11276*cx_lic+(Sens!E11278+Sens!E11280)*cx_ind+Sens!E11283*cx_srch+(Sens!E11285+Sens!E11287)*cx_dev</f>
        <v>30.1846587067718</v>
      </c>
      <c r="F11345" s="6" t="n">
        <f aca="false">Sens!F11268*cx_azo+Sens!F11275*cx_m365+Sens!F11276*cx_lic+(Sens!F11278+Sens!F11280)*cx_ind+Sens!F11283*cx_srch+(Sens!F11285+Sens!F11287)*cx_dev</f>
        <v>35.4293472295625</v>
      </c>
      <c r="G11345" s="6" t="n">
        <f aca="false">Sens!G11268*cx_azo+Sens!G11275*cx_m365+Sens!G11276*cx_lic+(Sens!G11278+Sens!G11280)*cx_ind+Sens!G11283*cx_srch+(Sens!G11285+Sens!G11287)*cx_dev</f>
        <v>40.7028935703892</v>
      </c>
      <c r="H11345" s="6" t="n">
        <f aca="false">Sens!H11268*cx_azo+Sens!H11275*cx_m365+Sens!H11276*cx_lic+(Sens!H11278+Sens!H11280)*cx_ind+Sens!H11283*cx_srch+(Sens!H11285+Sens!H11287)*cx_dev</f>
        <v>46.0615136440897</v>
      </c>
      <c r="I11345" s="6" t="n">
        <f aca="false">Sens!I11268*cx_azo+Sens!I11275*cx_m365+Sens!I11276*cx_lic+(Sens!I11278+Sens!I11280)*cx_ind+Sens!I11283*cx_srch+(Sens!I11285+Sens!I11287)*cx_dev</f>
        <v>51.2234003116439</v>
      </c>
      <c r="J11345" s="6" t="n">
        <f aca="false">Sens!J11268*cx_azo+Sens!J11275*cx_m365+Sens!J11276*cx_lic+(Sens!J11278+Sens!J11280)*cx_ind+Sens!J11283*cx_srch+(Sens!J11285+Sens!J11287)*cx_dev</f>
        <v>55.9559132503738</v>
      </c>
      <c r="K11345" s="6" t="n">
        <f aca="false">Sens!K11268*cx_azo+Sens!K11275*cx_m365+Sens!K11276*cx_lic+(Sens!K11278+Sens!K11280)*cx_ind+Sens!K11283*cx_srch+(Sens!K11285+Sens!K11287)*cx_dev</f>
        <v>60.093702741994</v>
      </c>
    </row>
    <row r="11346" customFormat="false" ht="17.15" hidden="false" customHeight="false" outlineLevel="0" collapsed="false">
      <c r="A11346" s="1" t="s">
        <v>850</v>
      </c>
      <c r="B11346" s="0" t="s">
        <v>95</v>
      </c>
      <c r="E11346" s="6" t="n">
        <f aca="false">Q!M42</f>
        <v>145.3</v>
      </c>
      <c r="F11346" s="6" t="n">
        <f aca="false">Sens!F11344+Sens!F11345</f>
        <v>204.2</v>
      </c>
      <c r="G11346" s="6" t="n">
        <f aca="false">Sens!G11344+Sens!G11345</f>
        <v>76.0056205863892</v>
      </c>
      <c r="H11346" s="6" t="n">
        <f aca="false">Sens!H11344+Sens!H11345</f>
        <v>46.0615136440897</v>
      </c>
      <c r="I11346" s="6" t="n">
        <f aca="false">Sens!I11344+Sens!I11345</f>
        <v>81.4820756583106</v>
      </c>
      <c r="J11346" s="6" t="n">
        <f aca="false">Sens!J11344+Sens!J11345</f>
        <v>101.652688263707</v>
      </c>
      <c r="K11346" s="6" t="n">
        <f aca="false">Sens!K11344+Sens!K11345</f>
        <v>150.869728781994</v>
      </c>
      <c r="L11346" s="1" t="s">
        <v>851</v>
      </c>
    </row>
    <row r="11347" customFormat="false" ht="15" hidden="false" customHeight="false" outlineLevel="0" collapsed="false">
      <c r="A11347" s="1" t="s">
        <v>852</v>
      </c>
      <c r="B11347" s="0" t="s">
        <v>95</v>
      </c>
      <c r="E11347" s="6" t="n">
        <f aca="false">fl_liab</f>
        <v>66.594</v>
      </c>
      <c r="F11347" s="6" t="n">
        <f aca="false">Sens!E11347-Sens!F11348</f>
        <v>62.46973</v>
      </c>
      <c r="G11347" s="6" t="n">
        <f aca="false">Sens!F11347-Sens!G11348</f>
        <v>57.98686785</v>
      </c>
      <c r="H11347" s="6" t="n">
        <f aca="false">Sens!G11347-Sens!H11348</f>
        <v>53.92827690325</v>
      </c>
      <c r="I11347" s="6" t="n">
        <f aca="false">Sens!H11347-Sens!I11348</f>
        <v>49.7850493638962</v>
      </c>
      <c r="J11347" s="6" t="n">
        <f aca="false">Sens!I11347-Sens!J11348</f>
        <v>45.4823765852716</v>
      </c>
      <c r="K11347" s="6" t="n">
        <f aca="false">Sens!J11347-Sens!K11348</f>
        <v>40.9860835316088</v>
      </c>
    </row>
    <row r="11348" customFormat="false" ht="15" hidden="false" customHeight="false" outlineLevel="0" collapsed="false">
      <c r="A11348" s="1" t="s">
        <v>853</v>
      </c>
      <c r="B11348" s="0" t="s">
        <v>95</v>
      </c>
      <c r="F11348" s="6" t="n">
        <f aca="false">fl_pay_27-Sens!E11347*fl_rate</f>
        <v>4.12427</v>
      </c>
      <c r="G11348" s="6" t="n">
        <f aca="false">fl_pay_28-Sens!F11347*fl_rate</f>
        <v>4.48286215</v>
      </c>
      <c r="H11348" s="6" t="n">
        <f aca="false">fl_pay_29-Sens!G11347*fl_rate</f>
        <v>4.05859094675</v>
      </c>
      <c r="I11348" s="6" t="n">
        <f aca="false">fl_pay_30-Sens!H11347*fl_rate</f>
        <v>4.14322753935375</v>
      </c>
      <c r="J11348" s="6" t="n">
        <f aca="false">fl_pay_31-Sens!I11347*fl_rate</f>
        <v>4.30267277862467</v>
      </c>
      <c r="K11348" s="6" t="n">
        <f aca="false">fl_pay_32-Sens!J11347*fl_rate</f>
        <v>4.49629305366278</v>
      </c>
    </row>
    <row r="11349" customFormat="false" ht="17.15" hidden="false" customHeight="false" outlineLevel="0" collapsed="false">
      <c r="A11349" s="1" t="s">
        <v>854</v>
      </c>
      <c r="B11349" s="0" t="s">
        <v>95</v>
      </c>
      <c r="E11349" s="6" t="n">
        <f aca="false">Q!M35-Q!M36-Q!M43</f>
        <v>63.886</v>
      </c>
      <c r="F11349" s="6" t="n">
        <f aca="false">Sens!F11343-Sens!F11346-Sens!F11348</f>
        <v>-9.82821019041805</v>
      </c>
      <c r="G11349" s="6" t="n">
        <f aca="false">Sens!G11343-Sens!G11346-Sens!G11348</f>
        <v>146.63398398168</v>
      </c>
      <c r="H11349" s="6" t="n">
        <f aca="false">Sens!H11343-Sens!H11346-Sens!H11348</f>
        <v>196.144327024504</v>
      </c>
      <c r="I11349" s="6" t="n">
        <f aca="false">Sens!I11343-Sens!I11346-Sens!I11348</f>
        <v>181.298383912907</v>
      </c>
      <c r="J11349" s="6" t="n">
        <f aca="false">Sens!J11343-Sens!J11346-Sens!J11348</f>
        <v>180.70551626429</v>
      </c>
      <c r="K11349" s="6" t="n">
        <f aca="false">Sens!K11343-Sens!K11346-Sens!K11348</f>
        <v>149.775183532108</v>
      </c>
      <c r="L11349" s="11" t="s">
        <v>855</v>
      </c>
    </row>
    <row r="11350" customFormat="false" ht="15" hidden="false" customHeight="false" outlineLevel="0" collapsed="false">
      <c r="A11350" s="1" t="s">
        <v>856</v>
      </c>
      <c r="B11350" s="0" t="s">
        <v>73</v>
      </c>
      <c r="F11350" s="8" t="n">
        <f aca="false">dps_27</f>
        <v>3.85</v>
      </c>
      <c r="G11350" s="8" t="n">
        <f aca="false">Sens!F11350*(1+dps_g)</f>
        <v>4.158</v>
      </c>
      <c r="H11350" s="8" t="n">
        <f aca="false">Sens!G11350*(1+dps_g)</f>
        <v>4.49064</v>
      </c>
      <c r="I11350" s="8" t="n">
        <f aca="false">Sens!H11350*(1+dps_g)</f>
        <v>4.8498912</v>
      </c>
      <c r="J11350" s="8" t="n">
        <f aca="false">Sens!I11350*(1+dps_g)</f>
        <v>5.237882496</v>
      </c>
      <c r="K11350" s="8" t="n">
        <f aca="false">Sens!J11350*(1+dps_g)</f>
        <v>5.65691309568</v>
      </c>
    </row>
    <row r="11351" customFormat="false" ht="17.15" hidden="false" customHeight="false" outlineLevel="0" collapsed="false">
      <c r="A11351" s="1" t="s">
        <v>857</v>
      </c>
      <c r="B11351" s="0" t="s">
        <v>95</v>
      </c>
      <c r="E11351" s="6" t="n">
        <f aca="false">Q!M41</f>
        <v>26.445</v>
      </c>
      <c r="F11351" s="6" t="n">
        <f aca="false">Sens!F11350*Sens!E11360</f>
        <v>28.59395</v>
      </c>
      <c r="G11351" s="6" t="n">
        <f aca="false">Sens!G11350*Sens!F11360</f>
        <v>31.068576</v>
      </c>
      <c r="H11351" s="6" t="n">
        <f aca="false">Sens!H11350*Sens!G11360</f>
        <v>33.5888350159995</v>
      </c>
      <c r="I11351" s="6" t="n">
        <f aca="false">Sens!I11350*Sens!H11360</f>
        <v>36.3268810572789</v>
      </c>
      <c r="J11351" s="6" t="n">
        <f aca="false">Sens!J11350*Sens!I11360</f>
        <v>39.3014303901806</v>
      </c>
      <c r="K11351" s="6" t="n">
        <f aca="false">Sens!K11350*Sens!J11360</f>
        <v>42.5328000467001</v>
      </c>
      <c r="L11351" s="1" t="s">
        <v>858</v>
      </c>
    </row>
    <row r="11352" customFormat="false" ht="15" hidden="false" customHeight="false" outlineLevel="0" collapsed="false">
      <c r="A11352" s="1" t="s">
        <v>859</v>
      </c>
      <c r="B11352" s="0" t="s">
        <v>95</v>
      </c>
      <c r="E11352" s="6" t="n">
        <f aca="false">Sens!E11349-Sens!E11351</f>
        <v>37.441</v>
      </c>
      <c r="F11352" s="6" t="n">
        <f aca="false">Sens!F11349-Sens!F11351</f>
        <v>-38.4221601904181</v>
      </c>
      <c r="G11352" s="6" t="n">
        <f aca="false">Sens!G11349-Sens!G11351</f>
        <v>115.56540798168</v>
      </c>
      <c r="H11352" s="6" t="n">
        <f aca="false">Sens!H11349-Sens!H11351</f>
        <v>162.555492008505</v>
      </c>
      <c r="I11352" s="6" t="n">
        <f aca="false">Sens!I11349-Sens!I11351</f>
        <v>144.971502855629</v>
      </c>
      <c r="J11352" s="6" t="n">
        <f aca="false">Sens!J11349-Sens!J11351</f>
        <v>141.404085874109</v>
      </c>
      <c r="K11352" s="6" t="n">
        <f aca="false">Sens!K11349-Sens!K11351</f>
        <v>107.242383485408</v>
      </c>
    </row>
    <row r="11353" customFormat="false" ht="15" hidden="false" customHeight="false" outlineLevel="0" collapsed="false">
      <c r="A11353" s="1" t="s">
        <v>860</v>
      </c>
      <c r="B11353" s="0" t="s">
        <v>95</v>
      </c>
      <c r="F11353" s="6" t="n">
        <f aca="false">debt_mat_27</f>
        <v>9.25</v>
      </c>
      <c r="G11353" s="6" t="n">
        <f aca="false">debt_mat_28</f>
        <v>0</v>
      </c>
      <c r="H11353" s="6" t="n">
        <f aca="false">debt_mat_29</f>
        <v>2.001</v>
      </c>
      <c r="I11353" s="6" t="n">
        <f aca="false">debt_mat_30</f>
        <v>0</v>
      </c>
      <c r="J11353" s="6" t="n">
        <f aca="false">debt_mat_31</f>
        <v>0.5</v>
      </c>
      <c r="K11353" s="6" t="n">
        <f aca="false">debt_mat_32</f>
        <v>0</v>
      </c>
    </row>
    <row r="11354" customFormat="false" ht="15" hidden="false" customHeight="false" outlineLevel="0" collapsed="false">
      <c r="A11354" s="1" t="s">
        <v>861</v>
      </c>
      <c r="B11354" s="0" t="s">
        <v>95</v>
      </c>
      <c r="E11354" s="6" t="n">
        <f aca="false">Q!M40</f>
        <v>22.271</v>
      </c>
      <c r="F11354" s="6" t="n">
        <f aca="false">MAX(0,MIN(bb_target,Sens!E11356+Sens!F11352-Sens!F11353-min_cash))</f>
        <v>0</v>
      </c>
      <c r="G11354" s="6" t="n">
        <f aca="false">MAX(0,MIN(bb_target,Sens!F11356+Sens!G11352-Sens!G11353-min_cash))</f>
        <v>22.271</v>
      </c>
      <c r="H11354" s="6" t="n">
        <f aca="false">MAX(0,MIN(bb_target,Sens!G11356+Sens!H11352-Sens!H11353-min_cash))</f>
        <v>22.271</v>
      </c>
      <c r="I11354" s="6" t="n">
        <f aca="false">MAX(0,MIN(bb_target,Sens!H11356+Sens!I11352-Sens!I11353-min_cash))</f>
        <v>22.271</v>
      </c>
      <c r="J11354" s="6" t="n">
        <f aca="false">MAX(0,MIN(bb_target,Sens!I11356+Sens!J11352-Sens!J11353-min_cash))</f>
        <v>22.271</v>
      </c>
      <c r="K11354" s="6" t="n">
        <f aca="false">MAX(0,MIN(bb_target,Sens!J11356+Sens!K11352-Sens!K11353-min_cash))</f>
        <v>22.271</v>
      </c>
    </row>
    <row r="11355" customFormat="false" ht="15" hidden="false" customHeight="false" outlineLevel="0" collapsed="false">
      <c r="A11355" s="1" t="s">
        <v>862</v>
      </c>
      <c r="B11355" s="0" t="s">
        <v>95</v>
      </c>
      <c r="F11355" s="6" t="n">
        <f aca="false">MAX(0,min_cash-(Sens!E11356+Sens!F11352-Sens!F11353-Sens!F11354))</f>
        <v>20.8291601904181</v>
      </c>
      <c r="G11355" s="6" t="n">
        <f aca="false">MAX(0,min_cash-(Sens!F11356+Sens!G11352-Sens!G11353-Sens!G11354))</f>
        <v>0</v>
      </c>
      <c r="H11355" s="6" t="n">
        <f aca="false">MAX(0,min_cash-(Sens!G11356+Sens!H11352-Sens!H11353-Sens!H11354))</f>
        <v>0</v>
      </c>
      <c r="I11355" s="6" t="n">
        <f aca="false">MAX(0,min_cash-(Sens!H11356+Sens!I11352-Sens!I11353-Sens!I11354))</f>
        <v>0</v>
      </c>
      <c r="J11355" s="6" t="n">
        <f aca="false">MAX(0,min_cash-(Sens!I11356+Sens!J11352-Sens!J11353-Sens!J11354))</f>
        <v>0</v>
      </c>
      <c r="K11355" s="6" t="n">
        <f aca="false">MAX(0,min_cash-(Sens!J11356+Sens!K11352-Sens!K11353-Sens!K11354))</f>
        <v>0</v>
      </c>
    </row>
    <row r="11356" customFormat="false" ht="15" hidden="false" customHeight="false" outlineLevel="0" collapsed="false">
      <c r="A11356" s="1" t="s">
        <v>863</v>
      </c>
      <c r="B11356" s="0" t="s">
        <v>95</v>
      </c>
      <c r="E11356" s="6" t="n">
        <f aca="false">cash_open</f>
        <v>76.843</v>
      </c>
      <c r="F11356" s="6" t="n">
        <f aca="false">Sens!E11356+Sens!F11352-Sens!F11353-Sens!F11354+Sens!F11355</f>
        <v>50</v>
      </c>
      <c r="G11356" s="6" t="n">
        <f aca="false">Sens!F11356+Sens!G11352-Sens!G11353-Sens!G11354+Sens!G11355</f>
        <v>143.29440798168</v>
      </c>
      <c r="H11356" s="6" t="n">
        <f aca="false">Sens!G11356+Sens!H11352-Sens!H11353-Sens!H11354+Sens!H11355</f>
        <v>281.577899990184</v>
      </c>
      <c r="I11356" s="6" t="n">
        <f aca="false">Sens!H11356+Sens!I11352-Sens!I11353-Sens!I11354+Sens!I11355</f>
        <v>404.278402845813</v>
      </c>
      <c r="J11356" s="6" t="n">
        <f aca="false">Sens!I11356+Sens!J11352-Sens!J11353-Sens!J11354+Sens!J11355</f>
        <v>522.911488719922</v>
      </c>
      <c r="K11356" s="6" t="n">
        <f aca="false">Sens!J11356+Sens!K11352-Sens!K11353-Sens!K11354+Sens!K11355</f>
        <v>607.88287220533</v>
      </c>
    </row>
    <row r="11357" customFormat="false" ht="15" hidden="false" customHeight="false" outlineLevel="0" collapsed="false">
      <c r="A11357" s="1" t="s">
        <v>864</v>
      </c>
      <c r="B11357" s="0" t="s">
        <v>95</v>
      </c>
      <c r="E11357" s="6" t="n">
        <f aca="false">debt_face</f>
        <v>46.136</v>
      </c>
      <c r="F11357" s="6" t="n">
        <f aca="false">Sens!E11357-Sens!F11353+Sens!F11355</f>
        <v>57.7151601904181</v>
      </c>
      <c r="G11357" s="6" t="n">
        <f aca="false">Sens!F11357-Sens!G11353+Sens!G11355</f>
        <v>57.7151601904181</v>
      </c>
      <c r="H11357" s="6" t="n">
        <f aca="false">Sens!G11357-Sens!H11353+Sens!H11355</f>
        <v>55.7141601904181</v>
      </c>
      <c r="I11357" s="6" t="n">
        <f aca="false">Sens!H11357-Sens!I11353+Sens!I11355</f>
        <v>55.7141601904181</v>
      </c>
      <c r="J11357" s="6" t="n">
        <f aca="false">Sens!I11357-Sens!J11353+Sens!J11355</f>
        <v>55.2141601904181</v>
      </c>
      <c r="K11357" s="6" t="n">
        <f aca="false">Sens!J11357-Sens!K11353+Sens!K11355</f>
        <v>55.2141601904181</v>
      </c>
    </row>
    <row r="11358" customFormat="false" ht="15" hidden="false" customHeight="false" outlineLevel="0" collapsed="false">
      <c r="A11358" s="1" t="s">
        <v>865</v>
      </c>
      <c r="B11358" s="0" t="s">
        <v>95</v>
      </c>
      <c r="E11358" s="6" t="n">
        <f aca="false">Sens!E11356-Sens!E11357</f>
        <v>30.707</v>
      </c>
      <c r="F11358" s="6" t="n">
        <f aca="false">Sens!F11356-Sens!F11357</f>
        <v>-7.71516019041805</v>
      </c>
      <c r="G11358" s="6" t="n">
        <f aca="false">Sens!G11356-Sens!G11357</f>
        <v>85.5792477912616</v>
      </c>
      <c r="H11358" s="6" t="n">
        <f aca="false">Sens!H11356-Sens!H11357</f>
        <v>225.863739799766</v>
      </c>
      <c r="I11358" s="6" t="n">
        <f aca="false">Sens!I11356-Sens!I11357</f>
        <v>348.564242655395</v>
      </c>
      <c r="J11358" s="6" t="n">
        <f aca="false">Sens!J11356-Sens!J11357</f>
        <v>467.697328529504</v>
      </c>
      <c r="K11358" s="6" t="n">
        <f aca="false">Sens!K11356-Sens!K11357</f>
        <v>552.668712014912</v>
      </c>
    </row>
    <row r="11359" customFormat="false" ht="15" hidden="false" customHeight="false" outlineLevel="0" collapsed="false">
      <c r="A11359" s="1" t="s">
        <v>866</v>
      </c>
      <c r="B11359" s="0" t="s">
        <v>73</v>
      </c>
      <c r="F11359" s="27" t="n">
        <f aca="false">px*(1+bb_g)^(1-0.5)</f>
        <v>553.494156066711</v>
      </c>
      <c r="G11359" s="27" t="n">
        <f aca="false">px*(1+bb_g)^(2-0.5)</f>
        <v>597.773688552047</v>
      </c>
      <c r="H11359" s="27" t="n">
        <f aca="false">px*(1+bb_g)^(3-0.5)</f>
        <v>645.595583636211</v>
      </c>
      <c r="I11359" s="27" t="n">
        <f aca="false">px*(1+bb_g)^(4-0.5)</f>
        <v>697.243230327108</v>
      </c>
      <c r="J11359" s="27" t="n">
        <f aca="false">px*(1+bb_g)^(5-0.5)</f>
        <v>753.022688753277</v>
      </c>
      <c r="K11359" s="27" t="n">
        <f aca="false">px*(1+bb_g)^(6-0.5)</f>
        <v>813.264503853539</v>
      </c>
    </row>
    <row r="11360" customFormat="false" ht="15" hidden="false" customHeight="false" outlineLevel="0" collapsed="false">
      <c r="A11360" s="1" t="s">
        <v>867</v>
      </c>
      <c r="B11360" s="1" t="s">
        <v>79</v>
      </c>
      <c r="E11360" s="18" t="n">
        <f aca="false">sh_out26</f>
        <v>7.427</v>
      </c>
      <c r="F11360" s="18" t="n">
        <f aca="false">Sens!E11360+sh_iss-Sens!F11354/Sens!F11359</f>
        <v>7.472</v>
      </c>
      <c r="G11360" s="18" t="n">
        <f aca="false">Sens!F11360+sh_iss-Sens!G11354/Sens!G11359</f>
        <v>7.47974342543589</v>
      </c>
      <c r="H11360" s="18" t="n">
        <f aca="false">Sens!G11360+sh_iss-Sens!H11354/Sens!H11359</f>
        <v>7.4902465971358</v>
      </c>
      <c r="I11360" s="18" t="n">
        <f aca="false">Sens!H11360+sh_iss-Sens!I11354/Sens!I11359</f>
        <v>7.50330508945052</v>
      </c>
      <c r="J11360" s="18" t="n">
        <f aca="false">Sens!I11360+sh_iss-Sens!J11354/Sens!J11359</f>
        <v>7.51872961937156</v>
      </c>
      <c r="K11360" s="18" t="n">
        <f aca="false">Sens!J11360+sh_iss-Sens!K11354/Sens!K11359</f>
        <v>7.53634492485401</v>
      </c>
    </row>
    <row r="11361" customFormat="false" ht="15" hidden="false" customHeight="false" outlineLevel="0" collapsed="false">
      <c r="A11361" s="1" t="s">
        <v>868</v>
      </c>
      <c r="B11361" s="1" t="s">
        <v>79</v>
      </c>
      <c r="E11361" s="18" t="n">
        <f aca="false">sh_dil26</f>
        <v>7.453</v>
      </c>
      <c r="F11361" s="18" t="n">
        <f aca="false">(Sens!E11360+Sens!F11360)/2+dil_gap</f>
        <v>7.4735</v>
      </c>
      <c r="G11361" s="18" t="n">
        <f aca="false">(Sens!F11360+Sens!G11360)/2+dil_gap</f>
        <v>7.49987171271795</v>
      </c>
      <c r="H11361" s="18" t="n">
        <f aca="false">(Sens!G11360+Sens!H11360)/2+dil_gap</f>
        <v>7.50899501128585</v>
      </c>
      <c r="I11361" s="18" t="n">
        <f aca="false">(Sens!H11360+Sens!I11360)/2+dil_gap</f>
        <v>7.52077584329316</v>
      </c>
      <c r="J11361" s="18" t="n">
        <f aca="false">(Sens!I11360+Sens!J11360)/2+dil_gap</f>
        <v>7.53501735441104</v>
      </c>
      <c r="K11361" s="18" t="n">
        <f aca="false">(Sens!J11360+Sens!K11360)/2+dil_gap</f>
        <v>7.55153727211278</v>
      </c>
    </row>
    <row r="11362" customFormat="false" ht="17.15" hidden="false" customHeight="false" outlineLevel="0" collapsed="false">
      <c r="A11362" s="1" t="s">
        <v>869</v>
      </c>
      <c r="B11362" s="0" t="s">
        <v>95</v>
      </c>
      <c r="C11362" s="6" t="n">
        <f aca="false">SUM(Sens!F11352:J11352)</f>
        <v>526.074328529504</v>
      </c>
    </row>
    <row r="11363" customFormat="false" ht="17.15" hidden="false" customHeight="false" outlineLevel="0" collapsed="false">
      <c r="A11363" s="1" t="s">
        <v>836</v>
      </c>
      <c r="B11363" s="1" t="s">
        <v>870</v>
      </c>
      <c r="C11363" s="30" t="str">
        <f aca="false">IF(SUM(Sens!F11355:J11355)&gt;0.05,"需要舉債 "&amp;TEXT(SUM(Sens!F11355:J11355),"0.0")&amp;" 十億美元","不需舉債")&amp;"；"&amp;IF(SUM(Sens!F11354:J11354)&lt;5*bb_target-0.05,"回購較每年 "&amp;TEXT(bb_target,"0.0")&amp;" 的目標少 "&amp;TEXT(5*bb_target-SUM(Sens!F11354:J11354),"0.0")&amp;" 十億美元（"&amp;TEXT(COUNTIF(Sens!F11354:J11354,"&lt;"&amp;(bb_target-0.05)),"0")&amp;" 年減少）","回購不減")</f>
        <v>需要舉債 20.8 十億美元；回購較每年 22.3 的目標少 22.3 十億美元（1 年減少）</v>
      </c>
    </row>
    <row r="11364" customFormat="false" ht="17.15" hidden="false" customHeight="false" outlineLevel="0" collapsed="false">
      <c r="A11364" s="3" t="s">
        <v>1436</v>
      </c>
    </row>
    <row r="11365" customFormat="false" ht="15" hidden="false" customHeight="false" outlineLevel="0" collapsed="false">
      <c r="A11365" s="4" t="s">
        <v>43</v>
      </c>
      <c r="B11365" s="4" t="s">
        <v>63</v>
      </c>
      <c r="C11365" s="19" t="s">
        <v>710</v>
      </c>
      <c r="D11365" s="19" t="s">
        <v>711</v>
      </c>
      <c r="E11365" s="19" t="s">
        <v>712</v>
      </c>
      <c r="F11365" s="19" t="s">
        <v>713</v>
      </c>
      <c r="G11365" s="19" t="s">
        <v>714</v>
      </c>
      <c r="H11365" s="19" t="s">
        <v>715</v>
      </c>
      <c r="I11365" s="19" t="s">
        <v>716</v>
      </c>
      <c r="J11365" s="19" t="s">
        <v>717</v>
      </c>
      <c r="K11365" s="19" t="s">
        <v>718</v>
      </c>
      <c r="L11365" s="4" t="s">
        <v>47</v>
      </c>
    </row>
    <row r="11366" customFormat="false" ht="17.15" hidden="false" customHeight="false" outlineLevel="0" collapsed="false">
      <c r="A11366" s="1" t="s">
        <v>938</v>
      </c>
      <c r="B11366" s="1" t="s">
        <v>213</v>
      </c>
      <c r="F11366" s="34" t="n">
        <f aca="false">1-0.5</f>
        <v>0.5</v>
      </c>
      <c r="G11366" s="34" t="n">
        <f aca="false">2-0.5</f>
        <v>1.5</v>
      </c>
      <c r="H11366" s="34" t="n">
        <f aca="false">3-0.5</f>
        <v>2.5</v>
      </c>
      <c r="I11366" s="34" t="n">
        <f aca="false">4-0.5</f>
        <v>3.5</v>
      </c>
      <c r="J11366" s="34" t="n">
        <f aca="false">5-0.5</f>
        <v>4.5</v>
      </c>
      <c r="K11366" s="34" t="n">
        <f aca="false">6-0.5</f>
        <v>5.5</v>
      </c>
    </row>
    <row r="11367" customFormat="false" ht="15" hidden="false" customHeight="false" outlineLevel="0" collapsed="false">
      <c r="A11367" s="1" t="s">
        <v>939</v>
      </c>
      <c r="B11367" s="0" t="s">
        <v>182</v>
      </c>
      <c r="F11367" s="18" t="n">
        <f aca="false">1/(1+wacc)^Sens!F11366</f>
        <v>0.949601579913219</v>
      </c>
      <c r="G11367" s="18" t="n">
        <f aca="false">1/(1+wacc)^Sens!G11366</f>
        <v>0.856296729956707</v>
      </c>
      <c r="H11367" s="18" t="n">
        <f aca="false">1/(1+wacc)^Sens!H11366</f>
        <v>0.772159719660069</v>
      </c>
      <c r="I11367" s="18" t="n">
        <f aca="false">1/(1+wacc)^Sens!I11366</f>
        <v>0.696289746073958</v>
      </c>
      <c r="J11367" s="18" t="n">
        <f aca="false">1/(1+wacc)^Sens!J11366</f>
        <v>0.627874516299776</v>
      </c>
      <c r="K11367" s="18" t="n">
        <f aca="false">1/(1+wacc)^Sens!K11366</f>
        <v>0.566181550771831</v>
      </c>
    </row>
    <row r="11368" customFormat="false" ht="15" hidden="false" customHeight="false" outlineLevel="0" collapsed="false">
      <c r="A11368" s="1" t="s">
        <v>940</v>
      </c>
      <c r="B11368" s="0" t="s">
        <v>95</v>
      </c>
      <c r="F11368" s="6" t="n">
        <f aca="false">Sens!F11349*Sens!F11367</f>
        <v>-9.33288392454018</v>
      </c>
      <c r="G11368" s="6" t="n">
        <f aca="false">Sens!G11349*Sens!G11367</f>
        <v>125.562200984036</v>
      </c>
      <c r="H11368" s="6" t="n">
        <f aca="false">Sens!H11349*Sens!H11367</f>
        <v>151.454748568154</v>
      </c>
      <c r="I11368" s="6" t="n">
        <f aca="false">Sens!I11349*Sens!I11367</f>
        <v>126.236205698337</v>
      </c>
      <c r="J11368" s="6" t="n">
        <f aca="false">Sens!J11349*Sens!J11367</f>
        <v>113.460388617142</v>
      </c>
      <c r="K11368" s="6" t="n">
        <f aca="false">Sens!K11349*Sens!K11367</f>
        <v>84.7999456793445</v>
      </c>
    </row>
    <row r="11369" customFormat="false" ht="17.15" hidden="false" customHeight="false" outlineLevel="0" collapsed="false">
      <c r="A11369" s="1" t="s">
        <v>941</v>
      </c>
      <c r="B11369" s="0" t="s">
        <v>95</v>
      </c>
      <c r="C11369" s="6" t="n">
        <f aca="false">SUM(Sens!F11368:K11368)</f>
        <v>592.180605622474</v>
      </c>
    </row>
    <row r="11370" customFormat="false" ht="17.15" hidden="false" customHeight="false" outlineLevel="0" collapsed="false">
      <c r="A11370" s="1" t="s">
        <v>942</v>
      </c>
      <c r="B11370" s="0" t="s">
        <v>95</v>
      </c>
      <c r="C11370" s="6" t="n">
        <f aca="false">Sens!K11315*(1+g_tv)*(1-tax_f)</f>
        <v>194.646770572377</v>
      </c>
    </row>
    <row r="11371" customFormat="false" ht="17.15" hidden="false" customHeight="false" outlineLevel="0" collapsed="false">
      <c r="A11371" s="1" t="s">
        <v>943</v>
      </c>
      <c r="B11371" s="0" t="s">
        <v>95</v>
      </c>
      <c r="C11371" s="6" t="n">
        <f aca="false">Sens!$C$11370*(1-g_tv/(wacc+ronic_prem))</f>
        <v>141.056182339683</v>
      </c>
    </row>
    <row r="11372" customFormat="false" ht="17.15" hidden="false" customHeight="false" outlineLevel="0" collapsed="false">
      <c r="A11372" s="1" t="s">
        <v>944</v>
      </c>
      <c r="B11372" s="0" t="s">
        <v>95</v>
      </c>
      <c r="C11372" s="6" t="n">
        <f aca="false">Sens!$C$11371/(wacc-g_tv)</f>
        <v>1786.35294108983</v>
      </c>
    </row>
    <row r="11373" customFormat="false" ht="15" hidden="false" customHeight="false" outlineLevel="0" collapsed="false">
      <c r="A11373" s="1" t="s">
        <v>945</v>
      </c>
      <c r="B11373" s="0" t="s">
        <v>95</v>
      </c>
      <c r="C11373" s="6" t="n">
        <f aca="false">Sens!$C$11372/(1+wacc)^6</f>
        <v>960.427112384445</v>
      </c>
    </row>
    <row r="11374" customFormat="false" ht="17.15" hidden="false" customHeight="false" outlineLevel="0" collapsed="false">
      <c r="A11374" s="0" t="s">
        <v>877</v>
      </c>
      <c r="B11374" s="0" t="s">
        <v>95</v>
      </c>
      <c r="C11374" s="6" t="n">
        <f aca="false">Sens!$C$11369+Sens!$C$11373</f>
        <v>1552.60771800692</v>
      </c>
    </row>
    <row r="11375" customFormat="false" ht="15" hidden="false" customHeight="false" outlineLevel="0" collapsed="false">
      <c r="A11375" s="1" t="s">
        <v>878</v>
      </c>
      <c r="B11375" s="0" t="s">
        <v>126</v>
      </c>
      <c r="C11375" s="7" t="n">
        <f aca="false">Sens!$C$11373/Sens!$C$11374</f>
        <v>0.61858968060351</v>
      </c>
    </row>
    <row r="11376" customFormat="false" ht="17.15" hidden="false" customHeight="false" outlineLevel="0" collapsed="false">
      <c r="A11376" s="1" t="s">
        <v>946</v>
      </c>
      <c r="B11376" s="0" t="s">
        <v>95</v>
      </c>
      <c r="C11376" s="6" t="n">
        <f aca="false">Sens!$C$11374+Sens!E11358+oai_v</f>
        <v>1753.71471800692</v>
      </c>
    </row>
    <row r="11377" customFormat="false" ht="17.15" hidden="false" customHeight="false" outlineLevel="0" collapsed="false">
      <c r="A11377" s="0" t="s">
        <v>883</v>
      </c>
      <c r="B11377" s="0" t="s">
        <v>73</v>
      </c>
      <c r="C11377" s="5" t="n">
        <f aca="false">Sens!$C$11376/sh_dil26</f>
        <v>235.303195761025</v>
      </c>
    </row>
    <row r="11378" customFormat="false" ht="17.15" hidden="false" customHeight="false" outlineLevel="0" collapsed="false">
      <c r="A11378" s="0" t="s">
        <v>947</v>
      </c>
      <c r="B11378" s="0" t="s">
        <v>73</v>
      </c>
      <c r="C11378" s="5" t="n">
        <f aca="false">Sens!$C$11377*(1+wacc)^t_roll</f>
        <v>269.891488020721</v>
      </c>
    </row>
    <row r="11379" customFormat="false" ht="17.15" hidden="false" customHeight="false" outlineLevel="0" collapsed="false">
      <c r="A11379" s="1" t="s">
        <v>948</v>
      </c>
      <c r="B11379" s="0" t="s">
        <v>126</v>
      </c>
      <c r="F11379" s="7" t="n">
        <f aca="false">Sens!F11339/(Sens!F11290-Sens!F11246)</f>
        <v>0.0686864325746334</v>
      </c>
      <c r="G11379" s="7" t="n">
        <f aca="false">Sens!G11339/(Sens!G11290-Sens!G11246)</f>
        <v>0.066267001590801</v>
      </c>
      <c r="H11379" s="7" t="n">
        <f aca="false">Sens!H11339/(Sens!H11290-Sens!H11246)</f>
        <v>0.0650366246750144</v>
      </c>
      <c r="I11379" s="7" t="n">
        <f aca="false">Sens!I11339/(Sens!I11290-Sens!I11246)</f>
        <v>0.0648573271390164</v>
      </c>
      <c r="J11379" s="7" t="n">
        <f aca="false">Sens!J11339/(Sens!J11290-Sens!J11246)</f>
        <v>0.0655189837669657</v>
      </c>
      <c r="K11379" s="7" t="n">
        <f aca="false">Sens!K11339/(Sens!K11290-Sens!K11246)</f>
        <v>0.0667878921367872</v>
      </c>
    </row>
    <row r="11380" customFormat="false" ht="17.15" hidden="false" customHeight="false" outlineLevel="0" collapsed="false">
      <c r="A11380" s="0" t="s">
        <v>949</v>
      </c>
      <c r="B11380" s="0" t="s">
        <v>95</v>
      </c>
      <c r="F11380" s="6" t="n">
        <f aca="false">Sens!F11275*(al_m365+Sens!F11379)</f>
        <v>78.4986969872395</v>
      </c>
      <c r="G11380" s="6" t="n">
        <f aca="false">Sens!G11275*(al_m365+Sens!G11379)</f>
        <v>88.3098056906507</v>
      </c>
      <c r="H11380" s="6" t="n">
        <f aca="false">Sens!H11275*(al_m365+Sens!H11379)</f>
        <v>98.2773562913015</v>
      </c>
      <c r="I11380" s="6" t="n">
        <f aca="false">Sens!I11275*(al_m365+Sens!I11379)</f>
        <v>107.762753675846</v>
      </c>
      <c r="J11380" s="6" t="n">
        <f aca="false">Sens!J11275*(al_m365+Sens!J11379)</f>
        <v>116.587414331333</v>
      </c>
      <c r="K11380" s="6" t="n">
        <f aca="false">Sens!K11275*(al_m365+Sens!K11379)</f>
        <v>125.041394489287</v>
      </c>
    </row>
    <row r="11381" customFormat="false" ht="17.15" hidden="false" customHeight="false" outlineLevel="0" collapsed="false">
      <c r="A11381" s="0" t="s">
        <v>950</v>
      </c>
      <c r="B11381" s="0" t="s">
        <v>95</v>
      </c>
      <c r="F11381" s="6" t="n">
        <f aca="false">Sens!F11276*(al_lic+Sens!F11379)</f>
        <v>31.9877845991607</v>
      </c>
      <c r="G11381" s="6" t="n">
        <f aca="false">Sens!G11276*(al_lic+Sens!G11379)</f>
        <v>33.243749427372</v>
      </c>
      <c r="H11381" s="6" t="n">
        <f aca="false">Sens!H11276*(al_lic+Sens!H11379)</f>
        <v>34.4137793872059</v>
      </c>
      <c r="I11381" s="6" t="n">
        <f aca="false">Sens!I11276*(al_lic+Sens!I11379)</f>
        <v>35.4787240806467</v>
      </c>
      <c r="J11381" s="6" t="n">
        <f aca="false">Sens!J11276*(al_lic+Sens!J11379)</f>
        <v>36.4160307520991</v>
      </c>
      <c r="K11381" s="6" t="n">
        <f aca="false">Sens!K11276*(al_lic+Sens!K11379)</f>
        <v>37.2021461938459</v>
      </c>
    </row>
    <row r="11382" customFormat="false" ht="17.15" hidden="false" customHeight="false" outlineLevel="0" collapsed="false">
      <c r="A11382" s="0" t="s">
        <v>951</v>
      </c>
      <c r="B11382" s="0" t="s">
        <v>95</v>
      </c>
      <c r="F11382" s="6" t="n">
        <f aca="false">Sens!F11278*(al_ind+Sens!F11379)</f>
        <v>8.24280380456612</v>
      </c>
      <c r="G11382" s="6" t="n">
        <f aca="false">Sens!G11278*(al_ind+Sens!G11379)</f>
        <v>8.9512770630031</v>
      </c>
      <c r="H11382" s="6" t="n">
        <f aca="false">Sens!H11278*(al_ind+Sens!H11379)</f>
        <v>9.70041215792393</v>
      </c>
      <c r="I11382" s="6" t="n">
        <f aca="false">Sens!I11278*(al_ind+Sens!I11379)</f>
        <v>10.4864435829487</v>
      </c>
      <c r="J11382" s="6" t="n">
        <f aca="false">Sens!J11278*(al_ind+Sens!J11379)</f>
        <v>11.3015744981253</v>
      </c>
      <c r="K11382" s="6" t="n">
        <f aca="false">Sens!K11278*(al_ind+Sens!K11379)</f>
        <v>12.1346647729291</v>
      </c>
    </row>
    <row r="11383" customFormat="false" ht="17.15" hidden="false" customHeight="false" outlineLevel="0" collapsed="false">
      <c r="A11383" s="0" t="s">
        <v>952</v>
      </c>
      <c r="B11383" s="0" t="s">
        <v>95</v>
      </c>
      <c r="F11383" s="6" t="n">
        <f aca="false">Sens!F11280*(al_fro+Sens!F11379)</f>
        <v>3.24439651632051</v>
      </c>
      <c r="G11383" s="6" t="n">
        <f aca="false">Sens!G11280*(al_fro+Sens!G11379)</f>
        <v>3.43676117771401</v>
      </c>
      <c r="H11383" s="6" t="n">
        <f aca="false">Sens!H11280*(al_fro+Sens!H11379)</f>
        <v>3.65544732248501</v>
      </c>
      <c r="I11383" s="6" t="n">
        <f aca="false">Sens!I11280*(al_fro+Sens!I11379)</f>
        <v>3.90262750850979</v>
      </c>
      <c r="J11383" s="6" t="n">
        <f aca="false">Sens!J11280*(al_fro+Sens!J11379)</f>
        <v>4.17975656810881</v>
      </c>
      <c r="K11383" s="6" t="n">
        <f aca="false">Sens!K11280*(al_fro+Sens!K11379)</f>
        <v>4.48786536733111</v>
      </c>
    </row>
    <row r="11384" customFormat="false" ht="17.15" hidden="false" customHeight="false" outlineLevel="0" collapsed="false">
      <c r="A11384" s="0" t="s">
        <v>953</v>
      </c>
      <c r="B11384" s="0" t="s">
        <v>95</v>
      </c>
      <c r="F11384" s="6" t="n">
        <f aca="false">Sens!F11283*(al_srch+Sens!F11379)</f>
        <v>10.1799817910968</v>
      </c>
      <c r="G11384" s="6" t="n">
        <f aca="false">Sens!G11283*(al_srch+Sens!G11379)</f>
        <v>11.1592643133754</v>
      </c>
      <c r="H11384" s="6" t="n">
        <f aca="false">Sens!H11283*(al_srch+Sens!H11379)</f>
        <v>12.1792194533398</v>
      </c>
      <c r="I11384" s="6" t="n">
        <f aca="false">Sens!I11283*(al_srch+Sens!I11379)</f>
        <v>13.2288881134521</v>
      </c>
      <c r="J11384" s="6" t="n">
        <f aca="false">Sens!J11283*(al_srch+Sens!J11379)</f>
        <v>14.2913670918582</v>
      </c>
      <c r="K11384" s="6" t="n">
        <f aca="false">Sens!K11283*(al_srch+Sens!K11379)</f>
        <v>15.3448485284362</v>
      </c>
    </row>
    <row r="11385" customFormat="false" ht="17.15" hidden="false" customHeight="false" outlineLevel="0" collapsed="false">
      <c r="A11385" s="0" t="s">
        <v>954</v>
      </c>
      <c r="B11385" s="0" t="s">
        <v>95</v>
      </c>
      <c r="F11385" s="6" t="n">
        <f aca="false">Sens!F11252</f>
        <v>25.3738188062213</v>
      </c>
      <c r="G11385" s="6" t="n">
        <f aca="false">Sens!G11252</f>
        <v>26.3082414433501</v>
      </c>
      <c r="H11385" s="6" t="n">
        <f aca="false">Sens!H11252</f>
        <v>23.9464578566021</v>
      </c>
      <c r="I11385" s="6" t="n">
        <f aca="false">Sens!I11252</f>
        <v>23.9464578566021</v>
      </c>
      <c r="J11385" s="6" t="n">
        <f aca="false">Sens!J11252</f>
        <v>23.9464578566021</v>
      </c>
      <c r="K11385" s="6" t="n">
        <f aca="false">Sens!K11252</f>
        <v>23.9464578566021</v>
      </c>
    </row>
    <row r="11386" customFormat="false" ht="17.15" hidden="false" customHeight="false" outlineLevel="0" collapsed="false">
      <c r="A11386" s="0" t="s">
        <v>955</v>
      </c>
      <c r="B11386" s="0" t="s">
        <v>95</v>
      </c>
      <c r="F11386" s="6" t="n">
        <f aca="false">Sens!F11312+Sens!F11263+Sens!F11379*(Sens!F11282-Sens!F11246)</f>
        <v>198.127569876216</v>
      </c>
      <c r="G11386" s="6" t="n">
        <f aca="false">Sens!G11312+Sens!G11263+Sens!G11379*(Sens!G11282-Sens!G11246)</f>
        <v>220.783756455993</v>
      </c>
      <c r="H11386" s="6" t="n">
        <f aca="false">Sens!H11312+Sens!H11263+Sens!H11379*(Sens!H11282-Sens!H11246)</f>
        <v>240.993063030727</v>
      </c>
      <c r="I11386" s="6" t="n">
        <f aca="false">Sens!I11312+Sens!I11263+Sens!I11379*(Sens!I11282-Sens!I11246)</f>
        <v>263.269116774668</v>
      </c>
      <c r="J11386" s="6" t="n">
        <f aca="false">Sens!J11312+Sens!J11263+Sens!J11379*(Sens!J11282-Sens!J11246)</f>
        <v>284.028411632139</v>
      </c>
      <c r="K11386" s="6" t="n">
        <f aca="false">Sens!K11312+Sens!K11263+Sens!K11379*(Sens!K11282-Sens!K11246)</f>
        <v>302.852600753843</v>
      </c>
    </row>
    <row r="11387" customFormat="false" ht="17.15" hidden="false" customHeight="false" outlineLevel="0" collapsed="false">
      <c r="A11387" s="0" t="s">
        <v>956</v>
      </c>
      <c r="B11387" s="0" t="s">
        <v>95</v>
      </c>
      <c r="F11387" s="6" t="n">
        <f aca="false">Sens!F11386-Sens!F11380-Sens!F11381-Sens!F11382-Sens!F11383-Sens!F11385</f>
        <v>50.7800691627076</v>
      </c>
      <c r="G11387" s="6" t="n">
        <f aca="false">Sens!G11386-Sens!G11380-Sens!G11381-Sens!G11382-Sens!G11383-Sens!G11385</f>
        <v>60.5339216539034</v>
      </c>
      <c r="H11387" s="6" t="n">
        <f aca="false">Sens!H11386-Sens!H11380-Sens!H11381-Sens!H11382-Sens!H11383-Sens!H11385</f>
        <v>70.999610015209</v>
      </c>
      <c r="I11387" s="6" t="n">
        <f aca="false">Sens!I11386-Sens!I11380-Sens!I11381-Sens!I11382-Sens!I11383-Sens!I11385</f>
        <v>81.6921100701141</v>
      </c>
      <c r="J11387" s="6" t="n">
        <f aca="false">Sens!J11386-Sens!J11380-Sens!J11381-Sens!J11382-Sens!J11383-Sens!J11385</f>
        <v>91.59717762587</v>
      </c>
      <c r="K11387" s="6" t="n">
        <f aca="false">Sens!K11386-Sens!K11380-Sens!K11381-Sens!K11382-Sens!K11383-Sens!K11385</f>
        <v>100.040072073848</v>
      </c>
    </row>
    <row r="11388" customFormat="false" ht="17.15" hidden="false" customHeight="false" outlineLevel="0" collapsed="false">
      <c r="A11388" s="0" t="s">
        <v>957</v>
      </c>
      <c r="B11388" s="0" t="s">
        <v>95</v>
      </c>
      <c r="F11388" s="6" t="n">
        <f aca="false">Sens!F11314+Sens!F11379*Sens!F11289</f>
        <v>23.7697943901369</v>
      </c>
      <c r="G11388" s="6" t="n">
        <f aca="false">Sens!G11314+Sens!G11379*Sens!G11289</f>
        <v>24.331261048114</v>
      </c>
      <c r="H11388" s="6" t="n">
        <f aca="false">Sens!H11314+Sens!H11379*Sens!H11289</f>
        <v>25.1342423406419</v>
      </c>
      <c r="I11388" s="6" t="n">
        <f aca="false">Sens!I11314+Sens!I11379*Sens!I11289</f>
        <v>26.1495446421549</v>
      </c>
      <c r="J11388" s="6" t="n">
        <f aca="false">Sens!J11314+Sens!J11379*Sens!J11289</f>
        <v>27.3481502080811</v>
      </c>
      <c r="K11388" s="6" t="n">
        <f aca="false">Sens!K11314+Sens!K11379*Sens!K11289</f>
        <v>28.7026027133478</v>
      </c>
    </row>
    <row r="11389" customFormat="false" ht="17.15" hidden="false" customHeight="false" outlineLevel="0" collapsed="false">
      <c r="A11389" s="0" t="s">
        <v>958</v>
      </c>
      <c r="B11389" s="0" t="s">
        <v>95</v>
      </c>
      <c r="F11389" s="6" t="n">
        <f aca="false">(Sens!F11388-Sens!F11384)*Sens!F11285/(Sens!F11285+Sens!F11287)</f>
        <v>7.44980290393703</v>
      </c>
      <c r="G11389" s="6" t="n">
        <f aca="false">(Sens!G11388-Sens!G11384)*Sens!G11285/(Sens!G11285+Sens!G11287)</f>
        <v>7.09201461396229</v>
      </c>
      <c r="H11389" s="6" t="n">
        <f aca="false">(Sens!H11388-Sens!H11384)*Sens!H11285/(Sens!H11285+Sens!H11287)</f>
        <v>6.8809692168288</v>
      </c>
      <c r="I11389" s="6" t="n">
        <f aca="false">(Sens!I11388-Sens!I11384)*Sens!I11285/(Sens!I11285+Sens!I11287)</f>
        <v>6.80062182771623</v>
      </c>
      <c r="J11389" s="6" t="n">
        <f aca="false">(Sens!J11388-Sens!J11384)*Sens!J11285/(Sens!J11285+Sens!J11287)</f>
        <v>6.84119415814997</v>
      </c>
      <c r="K11389" s="6" t="n">
        <f aca="false">(Sens!K11388-Sens!K11384)*Sens!K11285/(Sens!K11285+Sens!K11287)</f>
        <v>6.99889008512965</v>
      </c>
    </row>
    <row r="11390" customFormat="false" ht="17.15" hidden="false" customHeight="false" outlineLevel="0" collapsed="false">
      <c r="A11390" s="0" t="s">
        <v>959</v>
      </c>
      <c r="B11390" s="0" t="s">
        <v>95</v>
      </c>
      <c r="F11390" s="6" t="n">
        <f aca="false">Sens!F11388-Sens!F11384-Sens!F11389</f>
        <v>6.14000969510312</v>
      </c>
      <c r="G11390" s="6" t="n">
        <f aca="false">Sens!G11388-Sens!G11384-Sens!G11389</f>
        <v>6.07998212077627</v>
      </c>
      <c r="H11390" s="6" t="n">
        <f aca="false">Sens!H11388-Sens!H11384-Sens!H11389</f>
        <v>6.07405367047327</v>
      </c>
      <c r="I11390" s="6" t="n">
        <f aca="false">Sens!I11388-Sens!I11384-Sens!I11389</f>
        <v>6.12003470098649</v>
      </c>
      <c r="J11390" s="6" t="n">
        <f aca="false">Sens!J11388-Sens!J11384-Sens!J11389</f>
        <v>6.21558895807294</v>
      </c>
      <c r="K11390" s="6" t="n">
        <f aca="false">Sens!K11388-Sens!K11384-Sens!K11389</f>
        <v>6.35886409978198</v>
      </c>
    </row>
    <row r="11391" customFormat="false" ht="17.15" hidden="false" customHeight="false" outlineLevel="0" collapsed="false">
      <c r="A11391" s="1" t="s">
        <v>960</v>
      </c>
      <c r="B11391" s="0" t="s">
        <v>95</v>
      </c>
      <c r="C11391" s="6" t="n">
        <f aca="false">(w_ntm28*Sens!G11385+(1-w_ntm28)*Sens!H11385)*m_ai*1</f>
        <v>153.268235565806</v>
      </c>
    </row>
    <row r="11392" customFormat="false" ht="17.15" hidden="false" customHeight="false" outlineLevel="0" collapsed="false">
      <c r="A11392" s="1" t="s">
        <v>961</v>
      </c>
      <c r="B11392" s="0" t="s">
        <v>95</v>
      </c>
      <c r="C11392" s="6" t="n">
        <f aca="false">(w_ntm28*Sens!G11387+(1-w_ntm28)*Sens!H11387)*m_cloud*1</f>
        <v>883.33777246813</v>
      </c>
    </row>
    <row r="11393" customFormat="false" ht="17.15" hidden="false" customHeight="false" outlineLevel="0" collapsed="false">
      <c r="A11393" s="1" t="s">
        <v>962</v>
      </c>
      <c r="B11393" s="0" t="s">
        <v>95</v>
      </c>
      <c r="C11393" s="6" t="n">
        <f aca="false">(w_ntm28*Sens!G11380+(1-w_ntm28)*Sens!H11380)*m_sw*1</f>
        <v>988.547672652094</v>
      </c>
    </row>
    <row r="11394" customFormat="false" ht="17.15" hidden="false" customHeight="false" outlineLevel="0" collapsed="false">
      <c r="A11394" s="1" t="s">
        <v>963</v>
      </c>
      <c r="B11394" s="0" t="s">
        <v>95</v>
      </c>
      <c r="C11394" s="6" t="n">
        <f aca="false">(w_ntm28*Sens!G11381+(1-w_ntm28)*Sens!H11381)*m_sw*1</f>
        <v>363.117661434282</v>
      </c>
    </row>
    <row r="11395" customFormat="false" ht="17.15" hidden="false" customHeight="false" outlineLevel="0" collapsed="false">
      <c r="A11395" s="1" t="s">
        <v>964</v>
      </c>
      <c r="B11395" s="0" t="s">
        <v>95</v>
      </c>
      <c r="C11395" s="6" t="n">
        <f aca="false">(w_ntm28*Sens!G11382+(1-w_ntm28)*Sens!H11382)*m_sw*1</f>
        <v>99.2894025954118</v>
      </c>
    </row>
    <row r="11396" customFormat="false" ht="17.15" hidden="false" customHeight="false" outlineLevel="0" collapsed="false">
      <c r="A11396" s="1" t="s">
        <v>965</v>
      </c>
      <c r="B11396" s="0" t="s">
        <v>95</v>
      </c>
      <c r="C11396" s="6" t="n">
        <f aca="false">(w_ntm28*Sens!G11383+(1-w_ntm28)*Sens!H11383)*m_sw*1</f>
        <v>37.8805648916295</v>
      </c>
    </row>
    <row r="11397" customFormat="false" ht="17.15" hidden="false" customHeight="false" outlineLevel="0" collapsed="false">
      <c r="A11397" s="1" t="s">
        <v>966</v>
      </c>
      <c r="B11397" s="0" t="s">
        <v>95</v>
      </c>
      <c r="C11397" s="6" t="n">
        <f aca="false">(w_ntm28*Sens!G11384+(1-w_ntm28)*Sens!H11384)*m_ads*1</f>
        <v>104.664819473916</v>
      </c>
    </row>
    <row r="11398" customFormat="false" ht="17.15" hidden="false" customHeight="false" outlineLevel="0" collapsed="false">
      <c r="A11398" s="1" t="s">
        <v>967</v>
      </c>
      <c r="B11398" s="0" t="s">
        <v>95</v>
      </c>
      <c r="C11398" s="6" t="n">
        <f aca="false">(w_ntm28*Sens!G11389+(1-w_ntm28)*Sens!H11389)*m_game*1</f>
        <v>88.7104201985522</v>
      </c>
    </row>
    <row r="11399" customFormat="false" ht="17.15" hidden="false" customHeight="false" outlineLevel="0" collapsed="false">
      <c r="A11399" s="1" t="s">
        <v>968</v>
      </c>
      <c r="B11399" s="0" t="s">
        <v>95</v>
      </c>
      <c r="C11399" s="6" t="n">
        <f aca="false">(w_ntm28*Sens!G11390+(1-w_ntm28)*Sens!H11390)*m_pc*1</f>
        <v>87.9496081595385</v>
      </c>
    </row>
    <row r="11400" customFormat="false" ht="17.15" hidden="false" customHeight="false" outlineLevel="0" collapsed="false">
      <c r="A11400" s="1" t="s">
        <v>969</v>
      </c>
      <c r="B11400" s="0" t="s">
        <v>95</v>
      </c>
      <c r="C11400" s="6" t="n">
        <f aca="false">Sens!$C$11391+Sens!$C$11392+Sens!$C$11393+Sens!$C$11394+Sens!$C$11395+Sens!$C$11396+Sens!$C$11397+Sens!$C$11398+Sens!$C$11399</f>
        <v>2806.76615743936</v>
      </c>
    </row>
    <row r="11401" customFormat="false" ht="17.15" hidden="false" customHeight="false" outlineLevel="0" collapsed="false">
      <c r="A11401" s="1" t="s">
        <v>903</v>
      </c>
      <c r="B11401" s="0" t="s">
        <v>95</v>
      </c>
      <c r="C11401" s="6" t="n">
        <f aca="false">Sens!F11358+oai_v-Sens!F11347</f>
        <v>100.215109809582</v>
      </c>
      <c r="L11401" s="1" t="s">
        <v>970</v>
      </c>
    </row>
    <row r="11402" customFormat="false" ht="15" hidden="false" customHeight="false" outlineLevel="0" collapsed="false">
      <c r="A11402" s="1" t="s">
        <v>904</v>
      </c>
      <c r="B11402" s="0" t="s">
        <v>73</v>
      </c>
      <c r="C11402" s="5" t="n">
        <f aca="false">(Sens!$C$11400+Sens!$C$11401)/Sens!F11360</f>
        <v>389.049955466936</v>
      </c>
    </row>
    <row r="11403" customFormat="false" ht="17.15" hidden="false" customHeight="false" outlineLevel="0" collapsed="false">
      <c r="A11403" s="1" t="s">
        <v>971</v>
      </c>
      <c r="B11403" s="0" t="s">
        <v>73</v>
      </c>
      <c r="C11403" s="5" t="n">
        <f aca="false">w_dcf*Sens!$C$11378+(1-w_dcf)*Sens!$C$11402</f>
        <v>329.470721743828</v>
      </c>
    </row>
    <row r="11404" customFormat="false" ht="17.15" hidden="false" customHeight="false" outlineLevel="0" collapsed="false">
      <c r="A11404" s="3" t="s">
        <v>1437</v>
      </c>
    </row>
    <row r="11405" customFormat="false" ht="15" hidden="false" customHeight="false" outlineLevel="0" collapsed="false">
      <c r="A11405" s="4" t="s">
        <v>43</v>
      </c>
      <c r="B11405" s="4" t="s">
        <v>63</v>
      </c>
      <c r="C11405" s="19" t="s">
        <v>710</v>
      </c>
      <c r="D11405" s="19" t="s">
        <v>711</v>
      </c>
      <c r="E11405" s="19" t="s">
        <v>712</v>
      </c>
      <c r="F11405" s="19" t="s">
        <v>713</v>
      </c>
      <c r="G11405" s="19" t="s">
        <v>714</v>
      </c>
      <c r="H11405" s="19" t="s">
        <v>715</v>
      </c>
      <c r="I11405" s="19" t="s">
        <v>716</v>
      </c>
      <c r="J11405" s="19" t="s">
        <v>717</v>
      </c>
      <c r="K11405" s="19" t="s">
        <v>718</v>
      </c>
      <c r="L11405" s="4" t="s">
        <v>47</v>
      </c>
    </row>
    <row r="11406" customFormat="false" ht="17.15" hidden="false" customHeight="false" outlineLevel="0" collapsed="false">
      <c r="A11406" s="1" t="s">
        <v>719</v>
      </c>
      <c r="B11406" s="0" t="s">
        <v>340</v>
      </c>
      <c r="C11406" s="27" t="n">
        <f aca="false">mw_ext_24</f>
        <v>640</v>
      </c>
      <c r="D11406" s="27" t="n">
        <f aca="false">mw_ext_25</f>
        <v>1630</v>
      </c>
      <c r="E11406" s="27" t="n">
        <f aca="false">mw_ext_26</f>
        <v>3250</v>
      </c>
      <c r="F11406" s="27" t="n">
        <f aca="false">MIN(1000000000,Sens!E11406+pace)</f>
        <v>5777.2</v>
      </c>
      <c r="G11406" s="27" t="n">
        <f aca="false">MIN(1000000000,Sens!F11406+pace)</f>
        <v>8304.4</v>
      </c>
      <c r="H11406" s="27" t="n">
        <f aca="false">MIN(1000000000,Sens!G11406+pace)</f>
        <v>10831.6</v>
      </c>
      <c r="I11406" s="27" t="n">
        <f aca="false">MIN(1000000000,Sens!H11406+pace)</f>
        <v>13358.8</v>
      </c>
      <c r="J11406" s="27" t="n">
        <f aca="false">MIN(1000000000,Sens!I11406+pace)</f>
        <v>15886</v>
      </c>
      <c r="K11406" s="27" t="n">
        <f aca="false">MIN(1000000000,Sens!J11406+pace)</f>
        <v>18413.2</v>
      </c>
      <c r="L11406" s="11" t="s">
        <v>720</v>
      </c>
    </row>
    <row r="11407" customFormat="false" ht="17.15" hidden="false" customHeight="false" outlineLevel="0" collapsed="false">
      <c r="A11407" s="1" t="s">
        <v>721</v>
      </c>
      <c r="B11407" s="0" t="s">
        <v>340</v>
      </c>
      <c r="C11407" s="27" t="n">
        <f aca="false">rent_ext_24</f>
        <v>150</v>
      </c>
      <c r="D11407" s="27" t="n">
        <f aca="false">rent_ext_25</f>
        <v>400</v>
      </c>
      <c r="E11407" s="27" t="n">
        <f aca="false">rent_ext_26</f>
        <v>550</v>
      </c>
      <c r="F11407" s="27" t="n">
        <f aca="false">rent_ext_f</f>
        <v>756</v>
      </c>
      <c r="G11407" s="27" t="n">
        <f aca="false">rent_ext_f</f>
        <v>756</v>
      </c>
      <c r="H11407" s="27" t="n">
        <f aca="false">rent_ext_f</f>
        <v>756</v>
      </c>
      <c r="I11407" s="27" t="n">
        <f aca="false">rent_ext_f</f>
        <v>756</v>
      </c>
      <c r="J11407" s="27" t="n">
        <f aca="false">rent_ext_f</f>
        <v>756</v>
      </c>
      <c r="K11407" s="27" t="n">
        <f aca="false">rent_ext_f</f>
        <v>756</v>
      </c>
      <c r="L11407" s="1" t="s">
        <v>722</v>
      </c>
    </row>
    <row r="11408" customFormat="false" ht="17.15" hidden="false" customHeight="false" outlineLevel="0" collapsed="false">
      <c r="A11408" s="1" t="s">
        <v>723</v>
      </c>
      <c r="B11408" s="0" t="s">
        <v>340</v>
      </c>
      <c r="C11408" s="27" t="n">
        <f aca="false">Sens!C11406-Sens!C11407</f>
        <v>490</v>
      </c>
      <c r="D11408" s="27" t="n">
        <f aca="false">Sens!D11406-Sens!D11407</f>
        <v>1230</v>
      </c>
      <c r="E11408" s="27" t="n">
        <f aca="false">Sens!E11406-Sens!E11407</f>
        <v>2700</v>
      </c>
      <c r="F11408" s="27" t="n">
        <f aca="false">Sens!F11406-Sens!F11407</f>
        <v>5021.2</v>
      </c>
      <c r="G11408" s="27" t="n">
        <f aca="false">Sens!G11406-Sens!G11407</f>
        <v>7548.4</v>
      </c>
      <c r="H11408" s="27" t="n">
        <f aca="false">Sens!H11406-Sens!H11407</f>
        <v>10075.6</v>
      </c>
      <c r="I11408" s="27" t="n">
        <f aca="false">Sens!I11406-Sens!I11407</f>
        <v>12602.8</v>
      </c>
      <c r="J11408" s="27" t="n">
        <f aca="false">Sens!J11406-Sens!J11407</f>
        <v>15130</v>
      </c>
      <c r="K11408" s="27" t="n">
        <f aca="false">Sens!K11406-Sens!K11407</f>
        <v>17657.2</v>
      </c>
    </row>
    <row r="11409" customFormat="false" ht="17.15" hidden="false" customHeight="false" outlineLevel="0" collapsed="false">
      <c r="A11409" s="1" t="s">
        <v>724</v>
      </c>
      <c r="B11409" s="0" t="s">
        <v>340</v>
      </c>
      <c r="C11409" s="27" t="n">
        <f aca="false">Sens!C11408/ext_sh</f>
        <v>816.666666666667</v>
      </c>
      <c r="D11409" s="27" t="n">
        <f aca="false">Sens!D11408/ext_sh</f>
        <v>2050</v>
      </c>
      <c r="E11409" s="27" t="n">
        <f aca="false">Sens!E11408/ext_sh</f>
        <v>4500</v>
      </c>
      <c r="F11409" s="27" t="n">
        <f aca="false">Sens!F11408/ext_sh</f>
        <v>8368.66666666667</v>
      </c>
      <c r="G11409" s="27" t="n">
        <f aca="false">Sens!G11408/ext_sh</f>
        <v>12580.6666666667</v>
      </c>
      <c r="H11409" s="27" t="n">
        <f aca="false">Sens!H11408/ext_sh</f>
        <v>16792.6666666667</v>
      </c>
      <c r="I11409" s="27" t="n">
        <f aca="false">Sens!I11408/ext_sh</f>
        <v>21004.6666666667</v>
      </c>
      <c r="J11409" s="27" t="n">
        <f aca="false">Sens!J11408/ext_sh</f>
        <v>25216.6666666667</v>
      </c>
      <c r="K11409" s="27" t="n">
        <f aca="false">Sens!K11408/ext_sh</f>
        <v>29428.6666666667</v>
      </c>
      <c r="L11409" s="1" t="s">
        <v>725</v>
      </c>
    </row>
    <row r="11410" customFormat="false" ht="17.15" hidden="false" customHeight="false" outlineLevel="0" collapsed="false">
      <c r="A11410" s="1" t="s">
        <v>726</v>
      </c>
      <c r="B11410" s="0" t="s">
        <v>340</v>
      </c>
      <c r="C11410" s="27" t="n">
        <f aca="false">Sens!C11409-Sens!C11408</f>
        <v>326.666666666667</v>
      </c>
      <c r="D11410" s="27" t="n">
        <f aca="false">Sens!D11409-Sens!D11408</f>
        <v>820</v>
      </c>
      <c r="E11410" s="27" t="n">
        <f aca="false">Sens!E11409-Sens!E11408</f>
        <v>1800</v>
      </c>
      <c r="F11410" s="27" t="n">
        <f aca="false">Sens!F11409-Sens!F11408</f>
        <v>3347.46666666667</v>
      </c>
      <c r="G11410" s="27" t="n">
        <f aca="false">Sens!G11409-Sens!G11408</f>
        <v>5032.26666666667</v>
      </c>
      <c r="H11410" s="27" t="n">
        <f aca="false">Sens!H11409-Sens!H11408</f>
        <v>6717.06666666667</v>
      </c>
      <c r="I11410" s="27" t="n">
        <f aca="false">Sens!I11409-Sens!I11408</f>
        <v>8401.86666666667</v>
      </c>
      <c r="J11410" s="27" t="n">
        <f aca="false">Sens!J11409-Sens!J11408</f>
        <v>10086.6666666667</v>
      </c>
      <c r="K11410" s="27" t="n">
        <f aca="false">Sens!K11409-Sens!K11408</f>
        <v>11771.4666666667</v>
      </c>
    </row>
    <row r="11411" customFormat="false" ht="17.15" hidden="false" customHeight="false" outlineLevel="0" collapsed="false">
      <c r="A11411" s="1" t="s">
        <v>727</v>
      </c>
      <c r="B11411" s="0" t="s">
        <v>340</v>
      </c>
      <c r="C11411" s="27" t="n">
        <f aca="false">Sens!C11409</f>
        <v>816.666666666667</v>
      </c>
      <c r="D11411" s="27" t="n">
        <f aca="false">Sens!D11409-Sens!C11409</f>
        <v>1233.33333333333</v>
      </c>
      <c r="E11411" s="27" t="n">
        <f aca="false">Sens!E11409-Sens!D11409</f>
        <v>2450</v>
      </c>
      <c r="F11411" s="27" t="n">
        <f aca="false">Sens!F11409-Sens!E11409</f>
        <v>3868.66666666667</v>
      </c>
      <c r="G11411" s="27" t="n">
        <f aca="false">Sens!G11409-Sens!F11409</f>
        <v>4212</v>
      </c>
      <c r="H11411" s="27" t="n">
        <f aca="false">Sens!H11409-Sens!G11409</f>
        <v>4212</v>
      </c>
      <c r="I11411" s="27" t="n">
        <f aca="false">Sens!I11409-Sens!H11409</f>
        <v>4212</v>
      </c>
      <c r="J11411" s="27" t="n">
        <f aca="false">Sens!J11409-Sens!I11409</f>
        <v>4212</v>
      </c>
      <c r="K11411" s="27" t="n">
        <f aca="false">Sens!K11409-Sens!J11409</f>
        <v>4212</v>
      </c>
    </row>
    <row r="11412" customFormat="false" ht="17.15" hidden="false" customHeight="false" outlineLevel="0" collapsed="false">
      <c r="A11412" s="1" t="s">
        <v>728</v>
      </c>
      <c r="B11412" s="0" t="s">
        <v>340</v>
      </c>
      <c r="D11412" s="27" t="n">
        <f aca="false">Sens!D11406-Sens!C11406</f>
        <v>990</v>
      </c>
      <c r="E11412" s="27" t="n">
        <f aca="false">Sens!E11406-Sens!D11406</f>
        <v>1620</v>
      </c>
      <c r="F11412" s="27" t="n">
        <f aca="false">Sens!F11406-Sens!E11406</f>
        <v>2527.2</v>
      </c>
      <c r="G11412" s="27" t="n">
        <f aca="false">Sens!G11406-Sens!F11406</f>
        <v>2527.2</v>
      </c>
      <c r="H11412" s="27" t="n">
        <f aca="false">Sens!H11406-Sens!G11406</f>
        <v>2527.2</v>
      </c>
      <c r="I11412" s="27" t="n">
        <f aca="false">Sens!I11406-Sens!H11406</f>
        <v>2527.2</v>
      </c>
      <c r="J11412" s="27" t="n">
        <f aca="false">Sens!J11406-Sens!I11406</f>
        <v>2527.2</v>
      </c>
      <c r="K11412" s="27" t="n">
        <f aca="false">Sens!K11406-Sens!J11406</f>
        <v>2527.2</v>
      </c>
    </row>
    <row r="11413" customFormat="false" ht="17.15" hidden="false" customHeight="false" outlineLevel="0" collapsed="false">
      <c r="A11413" s="1" t="s">
        <v>729</v>
      </c>
      <c r="B11413" s="0" t="s">
        <v>340</v>
      </c>
      <c r="C11413" s="27" t="n">
        <f aca="false">mix_h*Sens!C11406</f>
        <v>128</v>
      </c>
      <c r="D11413" s="27" t="n">
        <f aca="false">mix_h*Sens!D11406</f>
        <v>326</v>
      </c>
      <c r="E11413" s="27" t="n">
        <f aca="false">mix_h*Sens!E11406</f>
        <v>650</v>
      </c>
      <c r="F11413" s="27" t="n">
        <f aca="false">Sens!E11413</f>
        <v>650</v>
      </c>
      <c r="G11413" s="27" t="n">
        <f aca="false">Sens!F11413</f>
        <v>650</v>
      </c>
      <c r="H11413" s="27" t="n">
        <f aca="false">Sens!G11413</f>
        <v>650</v>
      </c>
      <c r="I11413" s="27" t="n">
        <f aca="false">Sens!H11413</f>
        <v>650</v>
      </c>
      <c r="J11413" s="27" t="n">
        <f aca="false">Sens!I11413</f>
        <v>650</v>
      </c>
      <c r="K11413" s="27" t="n">
        <f aca="false">Sens!J11413</f>
        <v>650</v>
      </c>
    </row>
    <row r="11414" customFormat="false" ht="17.15" hidden="false" customHeight="false" outlineLevel="0" collapsed="false">
      <c r="A11414" s="1" t="s">
        <v>730</v>
      </c>
      <c r="B11414" s="0" t="s">
        <v>340</v>
      </c>
      <c r="C11414" s="27" t="n">
        <f aca="false">mix_g2*Sens!C11406</f>
        <v>288</v>
      </c>
      <c r="D11414" s="27" t="n">
        <f aca="false">mix_g2*Sens!D11406</f>
        <v>733.5</v>
      </c>
      <c r="E11414" s="27" t="n">
        <f aca="false">mix_g2*Sens!E11406</f>
        <v>1462.5</v>
      </c>
      <c r="F11414" s="27" t="n">
        <f aca="false">Sens!E11414</f>
        <v>1462.5</v>
      </c>
      <c r="G11414" s="27" t="n">
        <f aca="false">Sens!F11414</f>
        <v>1462.5</v>
      </c>
      <c r="H11414" s="27" t="n">
        <f aca="false">Sens!G11414</f>
        <v>1462.5</v>
      </c>
      <c r="I11414" s="27" t="n">
        <f aca="false">Sens!H11414</f>
        <v>1462.5</v>
      </c>
      <c r="J11414" s="27" t="n">
        <f aca="false">Sens!I11414</f>
        <v>1462.5</v>
      </c>
      <c r="K11414" s="27" t="n">
        <f aca="false">Sens!J11414</f>
        <v>1462.5</v>
      </c>
    </row>
    <row r="11415" customFormat="false" ht="17.15" hidden="false" customHeight="false" outlineLevel="0" collapsed="false">
      <c r="A11415" s="1" t="s">
        <v>731</v>
      </c>
      <c r="B11415" s="0" t="s">
        <v>340</v>
      </c>
      <c r="C11415" s="27" t="n">
        <f aca="false">mix_g3*Sens!C11406</f>
        <v>224</v>
      </c>
      <c r="D11415" s="27" t="n">
        <f aca="false">mix_g3*Sens!D11406</f>
        <v>570.5</v>
      </c>
      <c r="E11415" s="27" t="n">
        <f aca="false">mix_g3*Sens!E11406</f>
        <v>1137.5</v>
      </c>
      <c r="F11415" s="27" t="n">
        <f aca="false">Sens!E11415+Sens!F11412*a_g3_27</f>
        <v>2906.54</v>
      </c>
      <c r="G11415" s="27" t="n">
        <f aca="false">Sens!F11415+Sens!G11412*a_g3_28</f>
        <v>3664.7</v>
      </c>
      <c r="H11415" s="27" t="n">
        <f aca="false">Sens!G11415+Sens!H11412*a_g3_29</f>
        <v>3917.42</v>
      </c>
      <c r="I11415" s="27" t="n">
        <f aca="false">Sens!H11415+Sens!I11412*a_g3_29</f>
        <v>4170.14</v>
      </c>
      <c r="J11415" s="27" t="n">
        <f aca="false">Sens!I11415+Sens!J11412*a_g3_29</f>
        <v>4422.86</v>
      </c>
      <c r="K11415" s="27" t="n">
        <f aca="false">Sens!J11415+Sens!K11412*a_g3_29</f>
        <v>4675.58</v>
      </c>
    </row>
    <row r="11416" customFormat="false" ht="17.15" hidden="false" customHeight="false" outlineLevel="0" collapsed="false">
      <c r="A11416" s="1" t="s">
        <v>732</v>
      </c>
      <c r="B11416" s="0" t="s">
        <v>340</v>
      </c>
      <c r="C11416" s="27" t="n">
        <f aca="false">0</f>
        <v>0</v>
      </c>
      <c r="D11416" s="27" t="n">
        <f aca="false">0</f>
        <v>0</v>
      </c>
      <c r="E11416" s="27" t="n">
        <f aca="false">0</f>
        <v>0</v>
      </c>
      <c r="F11416" s="27" t="n">
        <f aca="false">Sens!E11416+Sens!F11412*(1-a_g3_27)</f>
        <v>758.16</v>
      </c>
      <c r="G11416" s="27" t="n">
        <f aca="false">Sens!F11416+Sens!G11412*(1-a_g3_28)</f>
        <v>2527.2</v>
      </c>
      <c r="H11416" s="27" t="n">
        <f aca="false">Sens!G11416+Sens!H11412*(1-a_g3_29)</f>
        <v>4801.68</v>
      </c>
      <c r="I11416" s="27" t="n">
        <f aca="false">Sens!H11416+Sens!I11412*(1-a_g3_29)</f>
        <v>7076.16</v>
      </c>
      <c r="J11416" s="27" t="n">
        <f aca="false">Sens!I11416+Sens!J11412*(1-a_g3_29)</f>
        <v>9350.64</v>
      </c>
      <c r="K11416" s="27" t="n">
        <f aca="false">Sens!J11416+Sens!K11412*(1-a_g3_29)</f>
        <v>11625.12</v>
      </c>
    </row>
    <row r="11417" customFormat="false" ht="17.15" hidden="false" customHeight="false" outlineLevel="0" collapsed="false">
      <c r="A11417" s="1" t="s">
        <v>733</v>
      </c>
      <c r="B11417" s="0" t="s">
        <v>291</v>
      </c>
      <c r="C11417" s="18" t="n">
        <f aca="false">(Sens!C11413*tk_hold_h100+Sens!C11414*tk_hold_gb200+Sens!C11415*tk_hold_gb300+Sens!C11416*tk_hold_vr200)/Sens!C11406</f>
        <v>9.7235358126469</v>
      </c>
      <c r="D11417" s="18" t="n">
        <f aca="false">(Sens!D11413*tk_hold_h100+Sens!D11414*tk_hold_gb200+Sens!D11415*tk_hold_gb300+Sens!D11416*tk_hold_vr200)/Sens!D11406</f>
        <v>9.7235358126469</v>
      </c>
      <c r="E11417" s="18" t="n">
        <f aca="false">(Sens!E11413*tk_hold_h100+Sens!E11414*tk_hold_gb200+Sens!E11415*tk_hold_gb300+Sens!E11416*tk_hold_vr200)/Sens!E11406</f>
        <v>9.7235358126469</v>
      </c>
      <c r="F11417" s="18" t="n">
        <f aca="false">(Sens!F11413*tk_hold_h100+Sens!F11414*tk_hold_gb200+Sens!F11415*tk_hold_gb300+Sens!F11416*tk_hold_vr200)/Sens!F11406</f>
        <v>10.4079573161931</v>
      </c>
      <c r="G11417" s="18" t="n">
        <f aca="false">(Sens!G11413*tk_hold_h100+Sens!G11414*tk_hold_gb200+Sens!G11415*tk_hold_gb300+Sens!G11416*tk_hold_vr200)/Sens!G11406</f>
        <v>10.8388131109316</v>
      </c>
      <c r="H11417" s="18" t="n">
        <f aca="false">(Sens!H11413*tk_hold_h100+Sens!H11414*tk_hold_gb200+Sens!H11415*tk_hold_gb300+Sens!H11416*tk_hold_vr200)/Sens!H11406</f>
        <v>11.1311018388216</v>
      </c>
      <c r="I11417" s="18" t="n">
        <f aca="false">(Sens!I11413*tk_hold_h100+Sens!I11414*tk_hold_gb200+Sens!I11415*tk_hold_gb300+Sens!I11416*tk_hold_vr200)/Sens!I11406</f>
        <v>11.3128009818501</v>
      </c>
      <c r="J11417" s="18" t="n">
        <f aca="false">(Sens!J11413*tk_hold_h100+Sens!J11414*tk_hold_gb200+Sens!J11415*tk_hold_gb300+Sens!J11416*tk_hold_vr200)/Sens!J11406</f>
        <v>11.4366894646418</v>
      </c>
      <c r="K11417" s="18" t="n">
        <f aca="false">(Sens!K11413*tk_hold_h100+Sens!K11414*tk_hold_gb200+Sens!K11415*tk_hold_gb300+Sens!K11416*tk_hold_vr200)/Sens!K11406</f>
        <v>11.526570716348</v>
      </c>
    </row>
    <row r="11418" customFormat="false" ht="17.15" hidden="false" customHeight="false" outlineLevel="0" collapsed="false">
      <c r="A11418" s="0" t="s">
        <v>734</v>
      </c>
      <c r="B11418" s="0" t="s">
        <v>182</v>
      </c>
      <c r="C11418" s="18" t="n">
        <f aca="false">k_B</f>
        <v>1.17213932619116</v>
      </c>
      <c r="D11418" s="18" t="n">
        <f aca="false">k_B</f>
        <v>1.17213932619116</v>
      </c>
      <c r="E11418" s="18" t="n">
        <f aca="false">k_B</f>
        <v>1.17213932619116</v>
      </c>
      <c r="F11418" s="18" t="n">
        <f aca="false">(k_B+((ls_C*k_long+(1-ls_C)*k_spot)-k_B)*MIN(1,1/3))*(0.47/k_C)</f>
        <v>0.568857973513887</v>
      </c>
      <c r="G11418" s="18" t="n">
        <f aca="false">(k_B+((ls_C*k_long+(1-ls_C)*k_spot)-k_B)*MIN(1,2/3))*(0.47/k_C)</f>
        <v>0.519428986756944</v>
      </c>
      <c r="H11418" s="18" t="n">
        <f aca="false">(k_B+((ls_C*k_long+(1-ls_C)*k_spot)-k_B)*MIN(1,3/3))*(0.47/k_C)</f>
        <v>0.47</v>
      </c>
      <c r="I11418" s="18" t="n">
        <f aca="false">(k_B+((ls_C*k_long+(1-ls_C)*k_spot)-k_B)*MIN(1,4/3))*(0.47/k_C)</f>
        <v>0.47</v>
      </c>
      <c r="J11418" s="18" t="n">
        <f aca="false">(k_B+((ls_C*k_long+(1-ls_C)*k_spot)-k_B)*MIN(1,5/3))*(0.47/k_C)</f>
        <v>0.47</v>
      </c>
      <c r="K11418" s="18" t="n">
        <f aca="false">(k_B+((ls_C*k_long+(1-ls_C)*k_spot)-k_B)*MIN(1,6/3))*(0.47/k_C)</f>
        <v>0.47</v>
      </c>
      <c r="L11418" s="1" t="s">
        <v>735</v>
      </c>
    </row>
    <row r="11419" customFormat="false" ht="17.15" hidden="false" customHeight="false" outlineLevel="0" collapsed="false">
      <c r="A11419" s="1" t="s">
        <v>736</v>
      </c>
      <c r="B11419" s="0" t="s">
        <v>291</v>
      </c>
      <c r="C11419" s="18" t="n">
        <f aca="false">Sens!C11417*Sens!C11418*chip_f</f>
        <v>11.3973387156315</v>
      </c>
      <c r="D11419" s="18" t="n">
        <f aca="false">Sens!D11417*Sens!D11418*chip_f</f>
        <v>11.3973387156315</v>
      </c>
      <c r="E11419" s="18" t="n">
        <f aca="false">Sens!E11417*Sens!E11418*chip_f</f>
        <v>11.3973387156315</v>
      </c>
      <c r="F11419" s="18" t="n">
        <f aca="false">Sens!F11417*Sens!F11418*chip_f</f>
        <v>5.92064950730864</v>
      </c>
      <c r="G11419" s="18" t="n">
        <f aca="false">Sens!G11417*Sens!G11418*chip_f</f>
        <v>5.62999371185905</v>
      </c>
      <c r="H11419" s="18" t="n">
        <f aca="false">Sens!H11417*Sens!H11418*chip_f</f>
        <v>5.23161786424614</v>
      </c>
      <c r="I11419" s="18" t="n">
        <f aca="false">Sens!I11417*Sens!I11418*chip_f</f>
        <v>5.31701646146956</v>
      </c>
      <c r="J11419" s="18" t="n">
        <f aca="false">Sens!J11417*Sens!J11418*chip_f</f>
        <v>5.37524404838163</v>
      </c>
      <c r="K11419" s="18" t="n">
        <f aca="false">Sens!K11417*Sens!K11418*chip_f</f>
        <v>5.41748823668356</v>
      </c>
      <c r="L11419" s="1" t="s">
        <v>737</v>
      </c>
    </row>
    <row r="11420" customFormat="false" ht="17.15" hidden="false" customHeight="false" outlineLevel="0" collapsed="false">
      <c r="A11420" s="0" t="s">
        <v>738</v>
      </c>
      <c r="B11420" s="0" t="s">
        <v>95</v>
      </c>
      <c r="D11420" s="6" t="n">
        <f aca="false">(Sens!C11406+Sens!D11406)/2*Sens!D11419/1000</f>
        <v>12.9359794422418</v>
      </c>
      <c r="E11420" s="6" t="n">
        <f aca="false">(Sens!D11406+Sens!E11406)/2*Sens!E11419/1000</f>
        <v>27.8095064661409</v>
      </c>
      <c r="F11420" s="6" t="n">
        <f aca="false">(Sens!E11406+Sens!F11406)/2*Sens!F11419/1000</f>
        <v>26.7234436161883</v>
      </c>
      <c r="G11420" s="6" t="n">
        <f aca="false">(Sens!F11406+Sens!G11406)/2*Sens!G11419/1000</f>
        <v>39.6396597264572</v>
      </c>
      <c r="H11420" s="6" t="n">
        <f aca="false">(Sens!G11406+Sens!H11406)/2*Sens!H11419/1000</f>
        <v>50.056119725107</v>
      </c>
      <c r="I11420" s="6" t="n">
        <f aca="false">(Sens!H11406+Sens!I11406)/2*Sens!I11419/1000</f>
        <v>64.3103775047666</v>
      </c>
      <c r="J11420" s="6" t="n">
        <f aca="false">(Sens!I11406+Sens!J11406)/2*Sens!J11419/1000</f>
        <v>78.5989685730556</v>
      </c>
      <c r="K11420" s="6" t="n">
        <f aca="false">(Sens!J11406+Sens!K11406)/2*Sens!K11419/1000</f>
        <v>92.9077562638283</v>
      </c>
      <c r="L11420" s="11" t="s">
        <v>739</v>
      </c>
    </row>
    <row r="11421" customFormat="false" ht="17.15" hidden="false" customHeight="false" outlineLevel="0" collapsed="false">
      <c r="A11421" s="1" t="s">
        <v>740</v>
      </c>
      <c r="B11421" s="0" t="s">
        <v>291</v>
      </c>
      <c r="C11421" s="18" t="n">
        <f aca="false">(Sens!C11413*tk_opex_h100+Sens!C11414*tk_opex_gb200+Sens!C11415*tk_opex_gb300+Sens!C11416*tk_opex_vr200)/Sens!C11406</f>
        <v>1.88636041306092</v>
      </c>
      <c r="D11421" s="18" t="n">
        <f aca="false">(Sens!D11413*tk_opex_h100+Sens!D11414*tk_opex_gb200+Sens!D11415*tk_opex_gb300+Sens!D11416*tk_opex_vr200)/Sens!D11406</f>
        <v>1.88636041306092</v>
      </c>
      <c r="E11421" s="18" t="n">
        <f aca="false">(Sens!E11413*tk_opex_h100+Sens!E11414*tk_opex_gb200+Sens!E11415*tk_opex_gb300+Sens!E11416*tk_opex_vr200)/Sens!E11406</f>
        <v>1.88636041306092</v>
      </c>
      <c r="F11421" s="18" t="n">
        <f aca="false">(Sens!F11413*tk_opex_h100+Sens!F11414*tk_opex_gb200+Sens!F11415*tk_opex_gb300+Sens!F11416*tk_opex_vr200)/Sens!F11406</f>
        <v>1.9430236476499</v>
      </c>
      <c r="G11421" s="18" t="n">
        <f aca="false">(Sens!G11413*tk_opex_h100+Sens!G11414*tk_opex_gb200+Sens!G11415*tk_opex_gb300+Sens!G11416*tk_opex_vr200)/Sens!G11406</f>
        <v>1.9786941852423</v>
      </c>
      <c r="H11421" s="18" t="n">
        <f aca="false">(Sens!H11413*tk_opex_h100+Sens!H11414*tk_opex_gb200+Sens!H11415*tk_opex_gb300+Sens!H11416*tk_opex_vr200)/Sens!H11406</f>
        <v>2.00289275976156</v>
      </c>
      <c r="I11421" s="18" t="n">
        <f aca="false">(Sens!I11413*tk_opex_h100+Sens!I11414*tk_opex_gb200+Sens!I11415*tk_opex_gb300+Sens!I11416*tk_opex_vr200)/Sens!I11406</f>
        <v>2.01793562605478</v>
      </c>
      <c r="J11421" s="18" t="n">
        <f aca="false">(Sens!J11413*tk_opex_h100+Sens!J11414*tk_opex_gb200+Sens!J11415*tk_opex_gb300+Sens!J11416*tk_opex_vr200)/Sens!J11406</f>
        <v>2.02819234961902</v>
      </c>
      <c r="K11421" s="18" t="n">
        <f aca="false">(Sens!K11413*tk_opex_h100+Sens!K11414*tk_opex_gb200+Sens!K11415*tk_opex_gb300+Sens!K11416*tk_opex_vr200)/Sens!K11406</f>
        <v>2.0356336155994</v>
      </c>
    </row>
    <row r="11422" customFormat="false" ht="17.15" hidden="false" customHeight="false" outlineLevel="0" collapsed="false">
      <c r="A11422" s="0" t="s">
        <v>741</v>
      </c>
      <c r="B11422" s="0" t="s">
        <v>95</v>
      </c>
      <c r="D11422" s="6" t="n">
        <f aca="false">(Sens!C11409+Sens!D11409)/2*Sens!D11421/1000</f>
        <v>2.70378325872065</v>
      </c>
      <c r="E11422" s="6" t="n">
        <f aca="false">(Sens!D11409+Sens!E11409)/2*Sens!E11421/1000</f>
        <v>6.17783035277451</v>
      </c>
      <c r="F11422" s="6" t="n">
        <f aca="false">(Sens!E11409+Sens!F11409)/2*Sens!F11421/1000</f>
        <v>12.5020618235287</v>
      </c>
      <c r="G11422" s="6" t="n">
        <f aca="false">(Sens!F11409+Sens!G11409)/2*Sens!G11421/1000</f>
        <v>20.7261620256847</v>
      </c>
      <c r="H11422" s="6" t="n">
        <f aca="false">(Sens!G11409+Sens!H11409)/2*Sens!H11421/1000</f>
        <v>29.4158183316982</v>
      </c>
      <c r="I11422" s="6" t="n">
        <f aca="false">(Sens!H11409+Sens!I11409)/2*Sens!I11421/1000</f>
        <v>38.1362927516005</v>
      </c>
      <c r="J11422" s="6" t="n">
        <f aca="false">(Sens!I11409+Sens!J11409)/2*Sens!J11421/1000</f>
        <v>46.8728773279286</v>
      </c>
      <c r="K11422" s="6" t="n">
        <f aca="false">(Sens!J11409+Sens!K11409)/2*Sens!K11421/1000</f>
        <v>55.618938734484</v>
      </c>
    </row>
    <row r="11423" customFormat="false" ht="17.15" hidden="false" customHeight="false" outlineLevel="0" collapsed="false">
      <c r="A11423" s="0" t="s">
        <v>742</v>
      </c>
      <c r="B11423" s="0" t="s">
        <v>95</v>
      </c>
      <c r="D11423" s="6" t="n">
        <f aca="false">(Sens!C11407+Sens!D11407)/2*rent_mw/1000</f>
        <v>2.44475</v>
      </c>
      <c r="E11423" s="6" t="n">
        <f aca="false">(Sens!D11407+Sens!E11407)/2*rent_mw/1000</f>
        <v>4.22275</v>
      </c>
      <c r="F11423" s="6" t="n">
        <f aca="false">(Sens!E11407+Sens!F11407)/2*rent_mw/1000</f>
        <v>5.80517</v>
      </c>
      <c r="G11423" s="6" t="n">
        <f aca="false">(Sens!F11407+Sens!G11407)/2*rent_mw/1000</f>
        <v>6.72084</v>
      </c>
      <c r="H11423" s="6" t="n">
        <f aca="false">(Sens!G11407+Sens!H11407)/2*rent_mw/1000</f>
        <v>6.72084</v>
      </c>
      <c r="I11423" s="6" t="n">
        <f aca="false">(Sens!H11407+Sens!I11407)/2*rent_mw/1000</f>
        <v>6.72084</v>
      </c>
      <c r="J11423" s="6" t="n">
        <f aca="false">(Sens!I11407+Sens!J11407)/2*rent_mw/1000</f>
        <v>6.72084</v>
      </c>
      <c r="K11423" s="6" t="n">
        <f aca="false">(Sens!J11407+Sens!K11407)/2*rent_mw/1000</f>
        <v>6.72084</v>
      </c>
    </row>
    <row r="11424" customFormat="false" ht="17.15" hidden="false" customHeight="false" outlineLevel="0" collapsed="false">
      <c r="A11424" s="0" t="s">
        <v>743</v>
      </c>
      <c r="B11424" s="0" t="s">
        <v>95</v>
      </c>
      <c r="D11424" s="6" t="n">
        <f aca="false">(Sens!C11409+Sens!D11409)/2*(1-self_build)*fac_rent/1000</f>
        <v>0.853242375631075</v>
      </c>
      <c r="E11424" s="6" t="n">
        <f aca="false">(Sens!D11409+Sens!E11409)/2*(1-self_build)*fac_rent/1000</f>
        <v>1.94955961408728</v>
      </c>
      <c r="F11424" s="6" t="n">
        <f aca="false">(Sens!E11409+Sens!F11409)/2*(1-self_build)*fac_rent/1000</f>
        <v>3.83026455274573</v>
      </c>
      <c r="G11424" s="6" t="n">
        <f aca="false">(Sens!F11409+Sens!G11409)/2*(1-self_build)*fac_rent/1000</f>
        <v>6.23541590972812</v>
      </c>
      <c r="H11424" s="6" t="n">
        <f aca="false">(Sens!G11409+Sens!H11409)/2*(1-self_build)*fac_rent/1000</f>
        <v>8.74275792332679</v>
      </c>
      <c r="I11424" s="6" t="n">
        <f aca="false">(Sens!H11409+Sens!I11409)/2*(1-self_build)*fac_rent/1000</f>
        <v>11.2500999369255</v>
      </c>
      <c r="J11424" s="6" t="n">
        <f aca="false">(Sens!I11409+Sens!J11409)/2*(1-self_build)*fac_rent/1000</f>
        <v>13.7574419505241</v>
      </c>
      <c r="K11424" s="6" t="n">
        <f aca="false">(Sens!J11409+Sens!K11409)/2*(1-self_build)*fac_rent/1000</f>
        <v>16.2647839641228</v>
      </c>
      <c r="L11424" s="11" t="s">
        <v>744</v>
      </c>
    </row>
    <row r="11425" customFormat="false" ht="17.15" hidden="false" customHeight="false" outlineLevel="0" collapsed="false">
      <c r="A11425" s="1" t="s">
        <v>745</v>
      </c>
      <c r="B11425" s="0" t="s">
        <v>126</v>
      </c>
      <c r="D11425" s="7" t="n">
        <f aca="false">(Sens!C11408+Sens!D11408)/(Sens!C11409+Sens!D11409)</f>
        <v>0.6</v>
      </c>
      <c r="E11425" s="7" t="n">
        <f aca="false">(Sens!D11408+Sens!E11408)/(Sens!D11409+Sens!E11409)</f>
        <v>0.6</v>
      </c>
      <c r="F11425" s="7" t="n">
        <f aca="false">(Sens!E11408+Sens!F11408)/(Sens!E11409+Sens!F11409)</f>
        <v>0.6</v>
      </c>
      <c r="G11425" s="7" t="n">
        <f aca="false">(Sens!F11408+Sens!G11408)/(Sens!F11409+Sens!G11409)</f>
        <v>0.6</v>
      </c>
      <c r="H11425" s="7" t="n">
        <f aca="false">(Sens!G11408+Sens!H11408)/(Sens!G11409+Sens!H11409)</f>
        <v>0.6</v>
      </c>
      <c r="I11425" s="7" t="n">
        <f aca="false">(Sens!H11408+Sens!I11408)/(Sens!H11409+Sens!I11409)</f>
        <v>0.6</v>
      </c>
      <c r="J11425" s="7" t="n">
        <f aca="false">(Sens!I11408+Sens!J11408)/(Sens!I11409+Sens!J11409)</f>
        <v>0.6</v>
      </c>
      <c r="K11425" s="7" t="n">
        <f aca="false">(Sens!J11408+Sens!K11408)/(Sens!J11409+Sens!K11409)</f>
        <v>0.6</v>
      </c>
    </row>
    <row r="11426" customFormat="false" ht="17.15" hidden="false" customHeight="false" outlineLevel="0" collapsed="false">
      <c r="A11426" s="0" t="s">
        <v>746</v>
      </c>
      <c r="B11426" s="0" t="s">
        <v>95</v>
      </c>
      <c r="D11426" s="6" t="n">
        <f aca="false">Sens!D11420-Sens!D11425*(Sens!D11422+Sens!D11424)-Sens!D11423</f>
        <v>8.35701406163072</v>
      </c>
      <c r="E11426" s="6" t="n">
        <f aca="false">Sens!E11420-Sens!E11425*(Sens!E11422+Sens!E11424)-Sens!E11423</f>
        <v>18.7103224860238</v>
      </c>
      <c r="F11426" s="6" t="n">
        <f aca="false">Sens!F11420-Sens!F11425*(Sens!F11422+Sens!F11424)-Sens!F11423</f>
        <v>11.1188777904236</v>
      </c>
      <c r="G11426" s="6" t="n">
        <f aca="false">Sens!G11420-Sens!G11425*(Sens!G11422+Sens!G11424)-Sens!G11423</f>
        <v>16.7418729652095</v>
      </c>
      <c r="H11426" s="6" t="n">
        <f aca="false">Sens!H11420-Sens!H11425*(Sens!H11422+Sens!H11424)-Sens!H11423</f>
        <v>20.4401339720921</v>
      </c>
      <c r="I11426" s="6" t="n">
        <f aca="false">Sens!I11420-Sens!I11425*(Sens!I11422+Sens!I11424)-Sens!I11423</f>
        <v>27.957701891651</v>
      </c>
      <c r="J11426" s="6" t="n">
        <f aca="false">Sens!J11420-Sens!J11425*(Sens!J11422+Sens!J11424)-Sens!J11423</f>
        <v>35.499937005984</v>
      </c>
      <c r="K11426" s="6" t="n">
        <f aca="false">Sens!K11420-Sens!K11425*(Sens!K11422+Sens!K11424)-Sens!K11423</f>
        <v>43.0566826446643</v>
      </c>
    </row>
    <row r="11427" customFormat="false" ht="17.15" hidden="false" customHeight="false" outlineLevel="0" collapsed="false">
      <c r="A11427" s="1" t="s">
        <v>747</v>
      </c>
      <c r="B11427" s="0" t="s">
        <v>95</v>
      </c>
      <c r="D11427" s="6" t="n">
        <f aca="false">(1-Sens!D11425)*(Sens!D11422+Sens!D11424)</f>
        <v>1.42281025374069</v>
      </c>
      <c r="E11427" s="6" t="n">
        <f aca="false">(1-Sens!E11425)*(Sens!E11422+Sens!E11424)</f>
        <v>3.25095598674472</v>
      </c>
      <c r="F11427" s="6" t="n">
        <f aca="false">(1-Sens!F11425)*(Sens!F11422+Sens!F11424)</f>
        <v>6.53293055050977</v>
      </c>
      <c r="G11427" s="6" t="n">
        <f aca="false">(1-Sens!G11425)*(Sens!G11422+Sens!G11424)</f>
        <v>10.7846311741651</v>
      </c>
      <c r="H11427" s="6" t="n">
        <f aca="false">(1-Sens!H11425)*(Sens!H11422+Sens!H11424)</f>
        <v>15.26343050201</v>
      </c>
      <c r="I11427" s="6" t="n">
        <f aca="false">(1-Sens!I11425)*(Sens!I11422+Sens!I11424)</f>
        <v>19.7545570754104</v>
      </c>
      <c r="J11427" s="6" t="n">
        <f aca="false">(1-Sens!J11425)*(Sens!J11422+Sens!J11424)</f>
        <v>24.2521277113811</v>
      </c>
      <c r="K11427" s="6" t="n">
        <f aca="false">(1-Sens!K11425)*(Sens!K11422+Sens!K11424)</f>
        <v>28.7534890794427</v>
      </c>
    </row>
    <row r="11428" customFormat="false" ht="17.15" hidden="false" customHeight="false" outlineLevel="0" collapsed="false">
      <c r="A11428" s="1" t="s">
        <v>748</v>
      </c>
      <c r="B11428" s="0" t="s">
        <v>302</v>
      </c>
      <c r="C11428" s="8" t="n">
        <f aca="false">cxit_open</f>
        <v>27.5918995</v>
      </c>
      <c r="D11428" s="8" t="n">
        <f aca="false">cxit_open</f>
        <v>27.5918995</v>
      </c>
      <c r="E11428" s="8" t="n">
        <f aca="false">cxit_open</f>
        <v>27.5918995</v>
      </c>
      <c r="F11428" s="8" t="n">
        <f aca="false">(a_g3_27*tk_cxit_gb300+(1-a_g3_27)*tk_cxit_vr200)</f>
        <v>33.8419624</v>
      </c>
      <c r="G11428" s="8" t="n">
        <f aca="false">(a_g3_28*tk_cxit_gb300+(1-a_g3_28)*tk_cxit_vr200)</f>
        <v>35.9816136</v>
      </c>
      <c r="H11428" s="8" t="n">
        <f aca="false">(a_g3_29*tk_cxit_gb300+(1-a_g3_29)*tk_cxit_vr200)</f>
        <v>37.0514392</v>
      </c>
      <c r="I11428" s="8" t="n">
        <f aca="false">(a_g3_29*tk_cxit_gb300+(1-a_g3_29)*tk_cxit_vr200)</f>
        <v>37.0514392</v>
      </c>
      <c r="J11428" s="8" t="n">
        <f aca="false">(a_g3_29*tk_cxit_gb300+(1-a_g3_29)*tk_cxit_vr200)</f>
        <v>37.0514392</v>
      </c>
      <c r="K11428" s="8" t="n">
        <f aca="false">(a_g3_29*tk_cxit_gb300+(1-a_g3_29)*tk_cxit_vr200)</f>
        <v>37.0514392</v>
      </c>
      <c r="L11428" s="11" t="s">
        <v>749</v>
      </c>
    </row>
    <row r="11429" customFormat="false" ht="17.15" hidden="false" customHeight="false" outlineLevel="0" collapsed="false">
      <c r="A11429" s="0" t="s">
        <v>750</v>
      </c>
      <c r="B11429" s="0" t="s">
        <v>340</v>
      </c>
      <c r="F11429" s="27" t="n">
        <f aca="false">Sens!C11411*IF(3=life_it,1,0)+Sens!D11411*IF(2=life_it,1,0)+Sens!E11411*IF(1=life_it,1,0)</f>
        <v>0</v>
      </c>
      <c r="G11429" s="27" t="n">
        <f aca="false">Sens!C11411*IF(4=life_it,1,0)+Sens!D11411*IF(3=life_it,1,0)+Sens!E11411*IF(2=life_it,1,0)+Sens!F11411*IF(1=life_it,1,0)</f>
        <v>0</v>
      </c>
      <c r="H11429" s="27" t="n">
        <f aca="false">Sens!C11411*IF(5=life_it,1,0)+Sens!D11411*IF(4=life_it,1,0)+Sens!E11411*IF(3=life_it,1,0)+Sens!F11411*IF(2=life_it,1,0)+Sens!G11411*IF(1=life_it,1,0)</f>
        <v>0</v>
      </c>
      <c r="I11429" s="27" t="n">
        <f aca="false">Sens!C11411*IF(6=life_it,1,0)+Sens!D11411*IF(5=life_it,1,0)+Sens!E11411*IF(4=life_it,1,0)+Sens!F11411*IF(3=life_it,1,0)+Sens!G11411*IF(2=life_it,1,0)+Sens!H11411*IF(1=life_it,1,0)</f>
        <v>816.666666666667</v>
      </c>
      <c r="J11429" s="27" t="n">
        <f aca="false">Sens!C11411*IF(7=life_it,1,0)+Sens!D11411*IF(6=life_it,1,0)+Sens!E11411*IF(5=life_it,1,0)+Sens!F11411*IF(4=life_it,1,0)+Sens!G11411*IF(3=life_it,1,0)+Sens!H11411*IF(2=life_it,1,0)+Sens!I11411*IF(1=life_it,1,0)</f>
        <v>1233.33333333333</v>
      </c>
      <c r="K11429" s="27" t="n">
        <f aca="false">Sens!C11411*IF(8=life_it,1,0)+Sens!D11411*IF(7=life_it,1,0)+Sens!E11411*IF(6=life_it,1,0)+Sens!F11411*IF(5=life_it,1,0)+Sens!G11411*IF(4=life_it,1,0)+Sens!H11411*IF(3=life_it,1,0)+Sens!I11411*IF(2=life_it,1,0)+Sens!J11411*IF(1=life_it,1,0)</f>
        <v>2450</v>
      </c>
      <c r="L11429" s="1" t="s">
        <v>751</v>
      </c>
    </row>
    <row r="11430" customFormat="false" ht="17.15" hidden="false" customHeight="false" outlineLevel="0" collapsed="false">
      <c r="A11430" s="0" t="s">
        <v>752</v>
      </c>
      <c r="B11430" s="0" t="s">
        <v>95</v>
      </c>
      <c r="C11430" s="6" t="n">
        <f aca="false">Sens!C11411*Sens!C11428/1000</f>
        <v>22.5333845916667</v>
      </c>
      <c r="D11430" s="6" t="n">
        <f aca="false">Sens!D11411*Sens!D11428/1000</f>
        <v>34.0300093833333</v>
      </c>
      <c r="E11430" s="6" t="n">
        <f aca="false">Sens!E11411*Sens!E11428/1000</f>
        <v>67.600153775</v>
      </c>
      <c r="F11430" s="6" t="n">
        <f aca="false">(Sens!F11411+Sens!F11429)*Sens!F11428/1000</f>
        <v>130.923271871467</v>
      </c>
      <c r="G11430" s="6" t="n">
        <f aca="false">(Sens!G11411+Sens!G11429)*Sens!G11428/1000</f>
        <v>151.5545564832</v>
      </c>
      <c r="H11430" s="6" t="n">
        <f aca="false">(Sens!H11411+Sens!H11429)*Sens!H11428/1000</f>
        <v>156.0606619104</v>
      </c>
      <c r="I11430" s="6" t="n">
        <f aca="false">(Sens!I11411+Sens!I11429)*Sens!I11428/1000</f>
        <v>186.319337257067</v>
      </c>
      <c r="J11430" s="6" t="n">
        <f aca="false">(Sens!J11411+Sens!J11429)*Sens!J11428/1000</f>
        <v>201.757436923733</v>
      </c>
      <c r="K11430" s="6" t="n">
        <f aca="false">(Sens!K11411+Sens!K11429)*Sens!K11428/1000</f>
        <v>246.8366879504</v>
      </c>
    </row>
    <row r="11431" customFormat="false" ht="17.15" hidden="false" customHeight="false" outlineLevel="0" collapsed="false">
      <c r="A11431" s="0" t="s">
        <v>753</v>
      </c>
      <c r="B11431" s="0" t="s">
        <v>95</v>
      </c>
      <c r="C11431" s="6" t="n">
        <f aca="false">Sens!C11411*self_build*tk_cxfac/1000</f>
        <v>6.2083</v>
      </c>
      <c r="D11431" s="6" t="n">
        <f aca="false">Sens!D11411*self_build*tk_cxfac/1000</f>
        <v>9.3758</v>
      </c>
      <c r="E11431" s="6" t="n">
        <f aca="false">Sens!E11411*self_build*tk_cxfac/1000</f>
        <v>18.6249</v>
      </c>
      <c r="F11431" s="6" t="n">
        <f aca="false">Sens!F11411*self_build*tk_cxfac/1000</f>
        <v>29.409604</v>
      </c>
      <c r="G11431" s="6" t="n">
        <f aca="false">Sens!G11411*self_build*tk_cxfac/1000</f>
        <v>32.019624</v>
      </c>
      <c r="H11431" s="6" t="n">
        <f aca="false">Sens!H11411*self_build*tk_cxfac/1000</f>
        <v>32.019624</v>
      </c>
      <c r="I11431" s="6" t="n">
        <f aca="false">Sens!I11411*self_build*tk_cxfac/1000</f>
        <v>32.019624</v>
      </c>
      <c r="J11431" s="6" t="n">
        <f aca="false">Sens!J11411*self_build*tk_cxfac/1000</f>
        <v>32.019624</v>
      </c>
      <c r="K11431" s="6" t="n">
        <f aca="false">Sens!K11411*self_build*tk_cxfac/1000</f>
        <v>32.019624</v>
      </c>
    </row>
    <row r="11432" customFormat="false" ht="17.15" hidden="false" customHeight="false" outlineLevel="0" collapsed="false">
      <c r="A11432" s="0" t="s">
        <v>754</v>
      </c>
      <c r="B11432" s="0" t="s">
        <v>95</v>
      </c>
      <c r="F11432" s="6" t="n">
        <f aca="false">MAX(0,capex_floor27-Sens!F11430-Sens!F11431-Sens!F11519)</f>
        <v>8.43777689897088</v>
      </c>
      <c r="G11432" s="6" t="n">
        <f aca="false">0</f>
        <v>0</v>
      </c>
      <c r="H11432" s="6" t="n">
        <f aca="false">0</f>
        <v>0</v>
      </c>
      <c r="I11432" s="6" t="n">
        <f aca="false">0</f>
        <v>0</v>
      </c>
      <c r="J11432" s="6" t="n">
        <f aca="false">0</f>
        <v>0</v>
      </c>
      <c r="K11432" s="6" t="n">
        <f aca="false">0</f>
        <v>0</v>
      </c>
      <c r="L11432" s="1" t="s">
        <v>755</v>
      </c>
    </row>
    <row r="11433" customFormat="false" ht="17.15" hidden="false" customHeight="false" outlineLevel="0" collapsed="false">
      <c r="A11433" s="0" t="s">
        <v>756</v>
      </c>
      <c r="B11433" s="0" t="s">
        <v>95</v>
      </c>
      <c r="C11433" s="6" t="n">
        <f aca="false">Sens!C11430</f>
        <v>22.5333845916667</v>
      </c>
      <c r="D11433" s="6" t="n">
        <f aca="false">Sens!D11430</f>
        <v>34.0300093833333</v>
      </c>
      <c r="E11433" s="6" t="n">
        <f aca="false">Sens!E11430</f>
        <v>67.600153775</v>
      </c>
      <c r="F11433" s="6" t="n">
        <f aca="false">Sens!F11430+Sens!F11432</f>
        <v>139.361048770438</v>
      </c>
      <c r="G11433" s="6" t="n">
        <f aca="false">Sens!G11430+Sens!G11432</f>
        <v>151.5545564832</v>
      </c>
      <c r="H11433" s="6" t="n">
        <f aca="false">Sens!H11430+Sens!H11432</f>
        <v>156.0606619104</v>
      </c>
      <c r="I11433" s="6" t="n">
        <f aca="false">Sens!I11430+Sens!I11432</f>
        <v>186.319337257067</v>
      </c>
      <c r="J11433" s="6" t="n">
        <f aca="false">Sens!J11430+Sens!J11432</f>
        <v>201.757436923733</v>
      </c>
      <c r="K11433" s="6" t="n">
        <f aca="false">Sens!K11430+Sens!K11432</f>
        <v>246.8366879504</v>
      </c>
    </row>
    <row r="11434" customFormat="false" ht="17.15" hidden="false" customHeight="false" outlineLevel="0" collapsed="false">
      <c r="A11434" s="0" t="s">
        <v>757</v>
      </c>
      <c r="B11434" s="0" t="s">
        <v>95</v>
      </c>
      <c r="C11434" s="6" t="n">
        <f aca="false">Sens!C11433+Sens!C11431</f>
        <v>28.7416845916667</v>
      </c>
      <c r="D11434" s="6" t="n">
        <f aca="false">Sens!D11433+Sens!D11431</f>
        <v>43.4058093833333</v>
      </c>
      <c r="E11434" s="6" t="n">
        <f aca="false">Sens!E11433+Sens!E11431</f>
        <v>86.225053775</v>
      </c>
      <c r="F11434" s="6" t="n">
        <f aca="false">Sens!F11433+Sens!F11431</f>
        <v>168.770652770438</v>
      </c>
      <c r="G11434" s="6" t="n">
        <f aca="false">Sens!G11433+Sens!G11431</f>
        <v>183.5741804832</v>
      </c>
      <c r="H11434" s="6" t="n">
        <f aca="false">Sens!H11433+Sens!H11431</f>
        <v>188.0802859104</v>
      </c>
      <c r="I11434" s="6" t="n">
        <f aca="false">Sens!I11433+Sens!I11431</f>
        <v>218.338961257067</v>
      </c>
      <c r="J11434" s="6" t="n">
        <f aca="false">Sens!J11433+Sens!J11431</f>
        <v>233.777060923733</v>
      </c>
      <c r="K11434" s="6" t="n">
        <f aca="false">Sens!K11433+Sens!K11431</f>
        <v>278.8563119504</v>
      </c>
      <c r="L11434" s="11" t="s">
        <v>758</v>
      </c>
    </row>
    <row r="11435" customFormat="false" ht="17.15" hidden="false" customHeight="false" outlineLevel="0" collapsed="false">
      <c r="A11435" s="0" t="s">
        <v>759</v>
      </c>
      <c r="B11435" s="0" t="s">
        <v>95</v>
      </c>
      <c r="E11435" s="6" t="n">
        <f aca="false">(Sens!C11433*IF(2&lt;life_it,1,IF(2=life_it,0.5,0))+Sens!D11433*IF(1&lt;life_it,1,IF(1=life_it,0.5,0))+Sens!E11433*0.5)/life_it</f>
        <v>15.0605784770833</v>
      </c>
      <c r="F11435" s="6" t="n">
        <f aca="false">(Sens!C11433*IF(3&lt;life_it,1,IF(3=life_it,0.5,0))+Sens!D11433*IF(2&lt;life_it,1,IF(2=life_it,0.5,0))+Sens!E11433*IF(1&lt;life_it,1,IF(1=life_it,0.5,0))+Sens!F11433*0.5)/life_it</f>
        <v>32.3073453558698</v>
      </c>
      <c r="G11435" s="6" t="n">
        <f aca="false">(Sens!C11433*IF(4&lt;life_it,1,IF(4=life_it,0.5,0))+Sens!D11433*IF(3&lt;life_it,1,IF(3=life_it,0.5,0))+Sens!E11433*IF(2&lt;life_it,1,IF(2=life_it,0.5,0))+Sens!F11433*IF(1&lt;life_it,1,IF(1=life_it,0.5,0))+Sens!G11433*0.5)/life_it</f>
        <v>56.5503124603396</v>
      </c>
      <c r="H11435" s="6" t="n">
        <f aca="false">(Sens!C11433*IF(5&lt;life_it,1,IF(5=life_it,0.5,0))+Sens!D11433*IF(4&lt;life_it,1,IF(4=life_it,0.5,0))+Sens!E11433*IF(3&lt;life_it,1,IF(3=life_it,0.5,0))+Sens!F11433*IF(2&lt;life_it,1,IF(2=life_it,0.5,0))+Sens!G11433*IF(1&lt;life_it,1,IF(1=life_it,0.5,0))+Sens!H11433*0.5)/life_it</f>
        <v>82.1849139931396</v>
      </c>
      <c r="I11435" s="6" t="n">
        <f aca="false">(Sens!C11433*IF(6&lt;life_it,1,IF(6=life_it,0.5,0))+Sens!D11433*IF(5&lt;life_it,1,IF(5=life_it,0.5,0))+Sens!E11433*IF(4&lt;life_it,1,IF(4=life_it,0.5,0))+Sens!F11433*IF(3&lt;life_it,1,IF(3=life_it,0.5,0))+Sens!G11433*IF(2&lt;life_it,1,IF(2=life_it,0.5,0))+Sens!H11433*IF(1&lt;life_it,1,IF(1=life_it,0.5,0))+Sens!I11433*0.5)/life_it</f>
        <v>108.838798541123</v>
      </c>
      <c r="J11435" s="6" t="n">
        <f aca="false">(Sens!C11433*IF(7&lt;life_it,1,IF(7=life_it,0.5,0))+Sens!D11433*IF(6&lt;life_it,1,IF(6=life_it,0.5,0))+Sens!E11433*IF(5&lt;life_it,1,IF(5=life_it,0.5,0))+Sens!F11433*IF(4&lt;life_it,1,IF(4=life_it,0.5,0))+Sens!G11433*IF(3&lt;life_it,1,IF(3=life_it,0.5,0))+Sens!H11433*IF(2&lt;life_it,1,IF(2=life_it,0.5,0))+Sens!I11433*IF(1&lt;life_it,1,IF(1=life_it,0.5,0))+Sens!J11433*0.5)/life_it</f>
        <v>136.464913558273</v>
      </c>
      <c r="K11435" s="6" t="n">
        <f aca="false">(Sens!C11433*IF(8&lt;life_it,1,IF(8=life_it,0.5,0))+Sens!D11433*IF(7&lt;life_it,1,IF(7=life_it,0.5,0))+Sens!E11433*IF(6&lt;life_it,1,IF(6=life_it,0.5,0))+Sens!F11433*IF(5&lt;life_it,1,IF(5=life_it,0.5,0))+Sens!G11433*IF(4&lt;life_it,1,IF(4=life_it,0.5,0))+Sens!H11433*IF(3&lt;life_it,1,IF(3=life_it,0.5,0))+Sens!I11433*IF(2&lt;life_it,1,IF(2=life_it,0.5,0))+Sens!J11433*IF(1&lt;life_it,1,IF(1=life_it,0.5,0))+Sens!K11433*0.5)/life_it</f>
        <v>165.37857703459</v>
      </c>
    </row>
    <row r="11436" customFormat="false" ht="17.15" hidden="false" customHeight="false" outlineLevel="0" collapsed="false">
      <c r="A11436" s="0" t="s">
        <v>760</v>
      </c>
      <c r="B11436" s="0" t="s">
        <v>95</v>
      </c>
      <c r="E11436" s="6" t="n">
        <f aca="false">(Sens!C11431*IF(2&lt;life_fac,1,IF(2=life_fac,0.5,0))+Sens!D11431*IF(1&lt;life_fac,1,IF(1=life_fac,0.5,0))+Sens!E11431*0.5)/life_fac</f>
        <v>1.2448275</v>
      </c>
      <c r="F11436" s="6" t="n">
        <f aca="false">(Sens!C11431*IF(3&lt;life_fac,1,IF(3=life_fac,0.5,0))+Sens!D11431*IF(2&lt;life_fac,1,IF(2=life_fac,0.5,0))+Sens!E11431*IF(1&lt;life_fac,1,IF(1=life_fac,0.5,0))+Sens!F11431*0.5)/life_fac</f>
        <v>2.4456901</v>
      </c>
      <c r="G11436" s="6" t="n">
        <f aca="false">(Sens!C11431*IF(4&lt;life_fac,1,IF(4=life_fac,0.5,0))+Sens!D11431*IF(3&lt;life_fac,1,IF(3=life_fac,0.5,0))+Sens!E11431*IF(2&lt;life_fac,1,IF(2=life_fac,0.5,0))+Sens!F11431*IF(1&lt;life_fac,1,IF(1=life_fac,0.5,0))+Sens!G11431*0.5)/life_fac</f>
        <v>3.9814208</v>
      </c>
      <c r="H11436" s="6" t="n">
        <f aca="false">(Sens!C11431*IF(5&lt;life_fac,1,IF(5=life_fac,0.5,0))+Sens!D11431*IF(4&lt;life_fac,1,IF(4=life_fac,0.5,0))+Sens!E11431*IF(3&lt;life_fac,1,IF(3=life_fac,0.5,0))+Sens!F11431*IF(2&lt;life_fac,1,IF(2=life_fac,0.5,0))+Sens!G11431*IF(1&lt;life_fac,1,IF(1=life_fac,0.5,0))+Sens!H11431*0.5)/life_fac</f>
        <v>5.582402</v>
      </c>
      <c r="I11436" s="6" t="n">
        <f aca="false">(Sens!C11431*IF(6&lt;life_fac,1,IF(6=life_fac,0.5,0))+Sens!D11431*IF(5&lt;life_fac,1,IF(5=life_fac,0.5,0))+Sens!E11431*IF(4&lt;life_fac,1,IF(4=life_fac,0.5,0))+Sens!F11431*IF(3&lt;life_fac,1,IF(3=life_fac,0.5,0))+Sens!G11431*IF(2&lt;life_fac,1,IF(2=life_fac,0.5,0))+Sens!H11431*IF(1&lt;life_fac,1,IF(1=life_fac,0.5,0))+Sens!I11431*0.5)/life_fac</f>
        <v>7.1833832</v>
      </c>
      <c r="J11436" s="6" t="n">
        <f aca="false">(Sens!C11431*IF(7&lt;life_fac,1,IF(7=life_fac,0.5,0))+Sens!D11431*IF(6&lt;life_fac,1,IF(6=life_fac,0.5,0))+Sens!E11431*IF(5&lt;life_fac,1,IF(5=life_fac,0.5,0))+Sens!F11431*IF(4&lt;life_fac,1,IF(4=life_fac,0.5,0))+Sens!G11431*IF(3&lt;life_fac,1,IF(3=life_fac,0.5,0))+Sens!H11431*IF(2&lt;life_fac,1,IF(2=life_fac,0.5,0))+Sens!I11431*IF(1&lt;life_fac,1,IF(1=life_fac,0.5,0))+Sens!J11431*0.5)/life_fac</f>
        <v>8.7843644</v>
      </c>
      <c r="K11436" s="6" t="n">
        <f aca="false">(Sens!C11431*IF(8&lt;life_fac,1,IF(8=life_fac,0.5,0))+Sens!D11431*IF(7&lt;life_fac,1,IF(7=life_fac,0.5,0))+Sens!E11431*IF(6&lt;life_fac,1,IF(6=life_fac,0.5,0))+Sens!F11431*IF(5&lt;life_fac,1,IF(5=life_fac,0.5,0))+Sens!G11431*IF(4&lt;life_fac,1,IF(4=life_fac,0.5,0))+Sens!H11431*IF(3&lt;life_fac,1,IF(3=life_fac,0.5,0))+Sens!I11431*IF(2&lt;life_fac,1,IF(2=life_fac,0.5,0))+Sens!J11431*IF(1&lt;life_fac,1,IF(1=life_fac,0.5,0))+Sens!K11431*0.5)/life_fac</f>
        <v>10.3853456</v>
      </c>
    </row>
    <row r="11437" customFormat="false" ht="17.15" hidden="false" customHeight="false" outlineLevel="0" collapsed="false">
      <c r="A11437" s="0" t="s">
        <v>761</v>
      </c>
      <c r="B11437" s="0" t="s">
        <v>95</v>
      </c>
      <c r="E11437" s="6" t="n">
        <f aca="false">Sens!E11435+Sens!E11436</f>
        <v>16.3054059770833</v>
      </c>
      <c r="F11437" s="6" t="n">
        <f aca="false">Sens!F11435+Sens!F11436</f>
        <v>34.7530354558698</v>
      </c>
      <c r="G11437" s="6" t="n">
        <f aca="false">Sens!G11435+Sens!G11436</f>
        <v>60.5317332603396</v>
      </c>
      <c r="H11437" s="6" t="n">
        <f aca="false">Sens!H11435+Sens!H11436</f>
        <v>87.7673159931396</v>
      </c>
      <c r="I11437" s="6" t="n">
        <f aca="false">Sens!I11435+Sens!I11436</f>
        <v>116.022181741123</v>
      </c>
      <c r="J11437" s="6" t="n">
        <f aca="false">Sens!J11435+Sens!J11436</f>
        <v>145.249277958273</v>
      </c>
      <c r="K11437" s="6" t="n">
        <f aca="false">Sens!K11435+Sens!K11436</f>
        <v>175.76392263459</v>
      </c>
    </row>
    <row r="11438" customFormat="false" ht="17.15" hidden="false" customHeight="false" outlineLevel="0" collapsed="false">
      <c r="A11438" s="0" t="s">
        <v>762</v>
      </c>
      <c r="B11438" s="0" t="s">
        <v>95</v>
      </c>
      <c r="E11438" s="6" t="n">
        <f aca="false">Sens!E11426-Sens!E11425*Sens!E11437</f>
        <v>8.92707889977379</v>
      </c>
      <c r="F11438" s="6" t="n">
        <f aca="false">Sens!F11426-Sens!F11425*Sens!F11437</f>
        <v>-9.73294348309825</v>
      </c>
      <c r="G11438" s="6" t="n">
        <f aca="false">Sens!G11426-Sens!G11425*Sens!G11437</f>
        <v>-19.5771669909942</v>
      </c>
      <c r="H11438" s="6" t="n">
        <f aca="false">Sens!H11426-Sens!H11425*Sens!H11437</f>
        <v>-32.2202556237917</v>
      </c>
      <c r="I11438" s="6" t="n">
        <f aca="false">Sens!I11426-Sens!I11425*Sens!I11437</f>
        <v>-41.6556071530228</v>
      </c>
      <c r="J11438" s="6" t="n">
        <f aca="false">Sens!J11426-Sens!J11425*Sens!J11437</f>
        <v>-51.6496297689798</v>
      </c>
      <c r="K11438" s="6" t="n">
        <f aca="false">Sens!K11426-Sens!K11425*Sens!K11437</f>
        <v>-62.4016709360895</v>
      </c>
    </row>
    <row r="11439" customFormat="false" ht="17.15" hidden="false" customHeight="false" outlineLevel="0" collapsed="false">
      <c r="A11439" s="3" t="s">
        <v>1438</v>
      </c>
    </row>
    <row r="11440" customFormat="false" ht="15" hidden="false" customHeight="false" outlineLevel="0" collapsed="false">
      <c r="A11440" s="4" t="s">
        <v>43</v>
      </c>
      <c r="B11440" s="4" t="s">
        <v>63</v>
      </c>
      <c r="C11440" s="19" t="s">
        <v>710</v>
      </c>
      <c r="D11440" s="19" t="s">
        <v>711</v>
      </c>
      <c r="E11440" s="19" t="s">
        <v>712</v>
      </c>
      <c r="F11440" s="19" t="s">
        <v>713</v>
      </c>
      <c r="G11440" s="19" t="s">
        <v>714</v>
      </c>
      <c r="H11440" s="19" t="s">
        <v>715</v>
      </c>
      <c r="I11440" s="19" t="s">
        <v>716</v>
      </c>
      <c r="J11440" s="19" t="s">
        <v>717</v>
      </c>
      <c r="K11440" s="19" t="s">
        <v>718</v>
      </c>
      <c r="L11440" s="4" t="s">
        <v>47</v>
      </c>
    </row>
    <row r="11441" customFormat="false" ht="17.15" hidden="false" customHeight="false" outlineLevel="0" collapsed="false">
      <c r="A11441" s="0" t="s">
        <v>780</v>
      </c>
      <c r="B11441" s="0" t="s">
        <v>95</v>
      </c>
      <c r="D11441" s="6" t="n">
        <f aca="false">Sens!D11420</f>
        <v>12.9359794422418</v>
      </c>
      <c r="E11441" s="6" t="n">
        <f aca="false">Sens!E11420</f>
        <v>27.8095064661409</v>
      </c>
      <c r="F11441" s="6" t="n">
        <f aca="false">Sens!F11420</f>
        <v>26.7234436161883</v>
      </c>
      <c r="G11441" s="6" t="n">
        <f aca="false">Sens!G11420</f>
        <v>39.6396597264572</v>
      </c>
      <c r="H11441" s="6" t="n">
        <f aca="false">Sens!H11420</f>
        <v>50.056119725107</v>
      </c>
      <c r="I11441" s="6" t="n">
        <f aca="false">Sens!I11420</f>
        <v>64.3103775047666</v>
      </c>
      <c r="J11441" s="6" t="n">
        <f aca="false">Sens!J11420</f>
        <v>78.5989685730556</v>
      </c>
      <c r="K11441" s="6" t="n">
        <f aca="false">Sens!K11420</f>
        <v>92.9077562638283</v>
      </c>
    </row>
    <row r="11442" customFormat="false" ht="17.15" hidden="false" customHeight="false" outlineLevel="0" collapsed="false">
      <c r="A11442" s="0" t="s">
        <v>781</v>
      </c>
      <c r="B11442" s="0" t="s">
        <v>95</v>
      </c>
      <c r="D11442" s="6" t="n">
        <f aca="false">Q!L6-Sens!D11441</f>
        <v>59.6740205577583</v>
      </c>
      <c r="E11442" s="6" t="n">
        <f aca="false">Q!M6-Sens!E11441</f>
        <v>74.1284935338591</v>
      </c>
      <c r="F11442" s="6" t="n">
        <f aca="false">Sens!E11442*(1+Sens!F11443)</f>
        <v>90.0799497373663</v>
      </c>
      <c r="G11442" s="6" t="n">
        <f aca="false">Sens!F11442*(1+Sens!G11443)</f>
        <v>107.02842520331</v>
      </c>
      <c r="H11442" s="6" t="n">
        <f aca="false">Sens!G11442*(1+Sens!H11443)</f>
        <v>124.271982585636</v>
      </c>
      <c r="I11442" s="6" t="n">
        <f aca="false">Sens!H11442*(1+Sens!I11443)</f>
        <v>140.933702381855</v>
      </c>
      <c r="J11442" s="6" t="n">
        <f aca="false">Sens!I11442*(1+Sens!J11443)</f>
        <v>156.018867314332</v>
      </c>
      <c r="K11442" s="6" t="n">
        <f aca="false">Sens!J11442*(1+Sens!K11443)</f>
        <v>168.500376699478</v>
      </c>
    </row>
    <row r="11443" customFormat="false" ht="15" hidden="false" customHeight="false" outlineLevel="0" collapsed="false">
      <c r="A11443" s="1" t="s">
        <v>782</v>
      </c>
      <c r="B11443" s="0" t="s">
        <v>126</v>
      </c>
      <c r="E11443" s="7" t="n">
        <f aca="false">Sens!E11442/Sens!D11442-1</f>
        <v>0.242223883039864</v>
      </c>
      <c r="F11443" s="7" t="n">
        <f aca="false">Sens!$E$11443+(glt_azo-Sens!$E$11443)*MIN(1,1/n_conv)</f>
        <v>0.215186569199887</v>
      </c>
      <c r="G11443" s="7" t="n">
        <f aca="false">Sens!$E$11443+(glt_azo-Sens!$E$11443)*MIN(1,2/n_conv)</f>
        <v>0.18814925535991</v>
      </c>
      <c r="H11443" s="7" t="n">
        <f aca="false">Sens!$E$11443+(glt_azo-Sens!$E$11443)*MIN(1,3/n_conv)</f>
        <v>0.161111941519932</v>
      </c>
      <c r="I11443" s="7" t="n">
        <f aca="false">Sens!$E$11443+(glt_azo-Sens!$E$11443)*MIN(1,4/n_conv)</f>
        <v>0.134074627679955</v>
      </c>
      <c r="J11443" s="7" t="n">
        <f aca="false">Sens!$E$11443+(glt_azo-Sens!$E$11443)*MIN(1,5/n_conv)</f>
        <v>0.107037313839977</v>
      </c>
      <c r="K11443" s="7" t="n">
        <f aca="false">Sens!$E$11443+(glt_azo-Sens!$E$11443)*MIN(1,6/n_conv)</f>
        <v>0.08</v>
      </c>
    </row>
    <row r="11444" customFormat="false" ht="15" hidden="false" customHeight="false" outlineLevel="0" collapsed="false">
      <c r="A11444" s="0" t="s">
        <v>783</v>
      </c>
      <c r="B11444" s="0" t="s">
        <v>95</v>
      </c>
      <c r="D11444" s="6" t="n">
        <f aca="false">Sens!D11441+Sens!D11442</f>
        <v>72.61</v>
      </c>
      <c r="E11444" s="6" t="n">
        <f aca="false">Sens!E11441+Sens!E11442</f>
        <v>101.938</v>
      </c>
      <c r="F11444" s="6" t="n">
        <f aca="false">Sens!F11441+Sens!F11442</f>
        <v>116.803393353555</v>
      </c>
      <c r="G11444" s="6" t="n">
        <f aca="false">Sens!G11441+Sens!G11442</f>
        <v>146.668084929767</v>
      </c>
      <c r="H11444" s="6" t="n">
        <f aca="false">Sens!H11441+Sens!H11442</f>
        <v>174.328102310743</v>
      </c>
      <c r="I11444" s="6" t="n">
        <f aca="false">Sens!I11441+Sens!I11442</f>
        <v>205.244079886621</v>
      </c>
      <c r="J11444" s="6" t="n">
        <f aca="false">Sens!J11441+Sens!J11442</f>
        <v>234.617835887387</v>
      </c>
      <c r="K11444" s="6" t="n">
        <f aca="false">Sens!K11441+Sens!K11442</f>
        <v>261.408132963306</v>
      </c>
    </row>
    <row r="11445" customFormat="false" ht="17.15" hidden="false" customHeight="false" outlineLevel="0" collapsed="false">
      <c r="A11445" s="0" t="s">
        <v>784</v>
      </c>
      <c r="B11445" s="1" t="s">
        <v>451</v>
      </c>
      <c r="C11445" s="27" t="n">
        <f aca="false">cop_s24</f>
        <v>1</v>
      </c>
      <c r="D11445" s="27" t="n">
        <f aca="false">cop_s25</f>
        <v>5</v>
      </c>
      <c r="E11445" s="27" t="n">
        <f aca="false">cop_s26</f>
        <v>30</v>
      </c>
      <c r="F11445" s="27" t="n">
        <f aca="false">Sens!E11445+IF(2027&lt;=2029,cop_add_C,cop_add_C*cop_tail)</f>
        <v>40</v>
      </c>
      <c r="G11445" s="27" t="n">
        <f aca="false">Sens!F11445+IF(2028&lt;=2029,cop_add_C,cop_add_C*cop_tail)</f>
        <v>50</v>
      </c>
      <c r="H11445" s="27" t="n">
        <f aca="false">Sens!G11445+IF(2029&lt;=2029,cop_add_C,cop_add_C*cop_tail)</f>
        <v>60</v>
      </c>
      <c r="I11445" s="27" t="n">
        <f aca="false">Sens!H11445+IF(2030&lt;=2029,cop_add_C,cop_add_C*cop_tail)</f>
        <v>65</v>
      </c>
      <c r="J11445" s="27" t="n">
        <f aca="false">Sens!I11445+IF(2031&lt;=2029,cop_add_C,cop_add_C*cop_tail)</f>
        <v>70</v>
      </c>
      <c r="K11445" s="27" t="n">
        <f aca="false">Sens!J11445+IF(2032&lt;=2029,cop_add_C,cop_add_C*cop_tail)</f>
        <v>75</v>
      </c>
    </row>
    <row r="11446" customFormat="false" ht="17.15" hidden="false" customHeight="false" outlineLevel="0" collapsed="false">
      <c r="A11446" s="0" t="s">
        <v>785</v>
      </c>
      <c r="B11446" s="0" t="s">
        <v>95</v>
      </c>
      <c r="D11446" s="6" t="n">
        <f aca="false">(Sens!C11445+Sens!D11445)/2*cop_px*12/1000</f>
        <v>0.9</v>
      </c>
      <c r="E11446" s="6" t="n">
        <f aca="false">(Sens!D11445+Sens!E11445)/2*cop_px*12/1000</f>
        <v>5.25</v>
      </c>
      <c r="F11446" s="6" t="n">
        <f aca="false">(Sens!E11445+Sens!F11445)/2*cop_px*12/1000</f>
        <v>10.5</v>
      </c>
      <c r="G11446" s="6" t="n">
        <f aca="false">(Sens!F11445+Sens!G11445)/2*cop_px*12/1000</f>
        <v>13.5</v>
      </c>
      <c r="H11446" s="6" t="n">
        <f aca="false">(Sens!G11445+Sens!H11445)/2*cop_px*12/1000</f>
        <v>16.5</v>
      </c>
      <c r="I11446" s="6" t="n">
        <f aca="false">(Sens!H11445+Sens!I11445)/2*cop_px*12/1000</f>
        <v>18.75</v>
      </c>
      <c r="J11446" s="6" t="n">
        <f aca="false">(Sens!I11445+Sens!J11445)/2*cop_px*12/1000</f>
        <v>20.25</v>
      </c>
      <c r="K11446" s="6" t="n">
        <f aca="false">(Sens!J11445+Sens!K11445)/2*cop_px*12/1000</f>
        <v>21.75</v>
      </c>
      <c r="L11446" s="1" t="s">
        <v>786</v>
      </c>
    </row>
    <row r="11447" customFormat="false" ht="17.15" hidden="false" customHeight="false" outlineLevel="0" collapsed="false">
      <c r="A11447" s="0" t="s">
        <v>787</v>
      </c>
      <c r="B11447" s="0" t="s">
        <v>95</v>
      </c>
      <c r="D11447" s="6" t="n">
        <f aca="false">Q!L7-Sens!D11446</f>
        <v>83.705</v>
      </c>
      <c r="E11447" s="6" t="n">
        <f aca="false">Q!M7-Sens!E11446</f>
        <v>95.049</v>
      </c>
      <c r="F11447" s="6" t="n">
        <f aca="false">Sens!E11447*(1+Sens!F11448)</f>
        <v>106.89238776686</v>
      </c>
      <c r="G11447" s="6" t="n">
        <f aca="false">Sens!F11447*(1+Sens!G11448)</f>
        <v>119.044168448684</v>
      </c>
      <c r="H11447" s="6" t="n">
        <f aca="false">Sens!G11447*(1+Sens!H11448)</f>
        <v>131.277359388781</v>
      </c>
      <c r="I11447" s="6" t="n">
        <f aca="false">Sens!H11447*(1+Sens!I11448)</f>
        <v>143.334028071957</v>
      </c>
      <c r="J11447" s="6" t="n">
        <f aca="false">Sens!I11447*(1+Sens!J11448)</f>
        <v>154.932702785465</v>
      </c>
      <c r="K11447" s="6" t="n">
        <f aca="false">Sens!J11447*(1+Sens!K11448)</f>
        <v>165.777991980448</v>
      </c>
    </row>
    <row r="11448" customFormat="false" ht="15" hidden="false" customHeight="false" outlineLevel="0" collapsed="false">
      <c r="A11448" s="1" t="s">
        <v>782</v>
      </c>
      <c r="B11448" s="0" t="s">
        <v>126</v>
      </c>
      <c r="E11448" s="7" t="n">
        <f aca="false">Sens!E11447/Sens!D11447-1</f>
        <v>0.135523564900544</v>
      </c>
      <c r="F11448" s="7" t="n">
        <f aca="false">Sens!$E$11448+(glt_m365b-Sens!$E$11448)*MIN(1,1/n_conv)</f>
        <v>0.124602970750453</v>
      </c>
      <c r="G11448" s="7" t="n">
        <f aca="false">Sens!$E$11448+(glt_m365b-Sens!$E$11448)*MIN(1,2/n_conv)</f>
        <v>0.113682376600363</v>
      </c>
      <c r="H11448" s="7" t="n">
        <f aca="false">Sens!$E$11448+(glt_m365b-Sens!$E$11448)*MIN(1,3/n_conv)</f>
        <v>0.102761782450272</v>
      </c>
      <c r="I11448" s="7" t="n">
        <f aca="false">Sens!$E$11448+(glt_m365b-Sens!$E$11448)*MIN(1,4/n_conv)</f>
        <v>0.0918411883001813</v>
      </c>
      <c r="J11448" s="7" t="n">
        <f aca="false">Sens!$E$11448+(glt_m365b-Sens!$E$11448)*MIN(1,5/n_conv)</f>
        <v>0.0809205941500906</v>
      </c>
      <c r="K11448" s="7" t="n">
        <f aca="false">Sens!$E$11448+(glt_m365b-Sens!$E$11448)*MIN(1,6/n_conv)</f>
        <v>0.07</v>
      </c>
    </row>
    <row r="11449" customFormat="false" ht="15" hidden="false" customHeight="false" outlineLevel="0" collapsed="false">
      <c r="A11449" s="0" t="s">
        <v>788</v>
      </c>
      <c r="B11449" s="0" t="s">
        <v>95</v>
      </c>
      <c r="D11449" s="6" t="n">
        <f aca="false">Sens!D11447+Sens!D11446</f>
        <v>84.605</v>
      </c>
      <c r="E11449" s="6" t="n">
        <f aca="false">Sens!E11447+Sens!E11446</f>
        <v>100.299</v>
      </c>
      <c r="F11449" s="6" t="n">
        <f aca="false">Sens!F11447+Sens!F11446</f>
        <v>117.39238776686</v>
      </c>
      <c r="G11449" s="6" t="n">
        <f aca="false">Sens!G11447+Sens!G11446</f>
        <v>132.544168448684</v>
      </c>
      <c r="H11449" s="6" t="n">
        <f aca="false">Sens!H11447+Sens!H11446</f>
        <v>147.777359388781</v>
      </c>
      <c r="I11449" s="6" t="n">
        <f aca="false">Sens!I11447+Sens!I11446</f>
        <v>162.084028071957</v>
      </c>
      <c r="J11449" s="6" t="n">
        <f aca="false">Sens!J11447+Sens!J11446</f>
        <v>175.182702785465</v>
      </c>
      <c r="K11449" s="6" t="n">
        <f aca="false">Sens!K11447+Sens!K11446</f>
        <v>187.527991980448</v>
      </c>
    </row>
    <row r="11450" customFormat="false" ht="15" hidden="false" customHeight="false" outlineLevel="0" collapsed="false">
      <c r="A11450" s="0" t="s">
        <v>789</v>
      </c>
      <c r="B11450" s="0" t="s">
        <v>95</v>
      </c>
      <c r="D11450" s="6" t="n">
        <f aca="false">Q!L8</f>
        <v>35.391</v>
      </c>
      <c r="E11450" s="6" t="n">
        <f aca="false">Q!M8</f>
        <v>37.285</v>
      </c>
      <c r="F11450" s="6" t="n">
        <f aca="false">Sens!E11450*(1+Sens!F11451)</f>
        <v>39.0720834331704</v>
      </c>
      <c r="G11450" s="6" t="n">
        <f aca="false">Sens!F11450*(1+Sens!G11451)</f>
        <v>40.726562953769</v>
      </c>
      <c r="H11450" s="6" t="n">
        <f aca="false">Sens!G11450*(1+Sens!H11451)</f>
        <v>42.2235987259198</v>
      </c>
      <c r="I11450" s="6" t="n">
        <f aca="false">Sens!H11450*(1+Sens!I11451)</f>
        <v>43.5397988077414</v>
      </c>
      <c r="J11450" s="6" t="n">
        <f aca="false">Sens!I11450*(1+Sens!J11451)</f>
        <v>44.653811225693</v>
      </c>
      <c r="K11450" s="6" t="n">
        <f aca="false">Sens!J11450*(1+Sens!K11451)</f>
        <v>45.5468874502068</v>
      </c>
    </row>
    <row r="11451" customFormat="false" ht="15" hidden="false" customHeight="false" outlineLevel="0" collapsed="false">
      <c r="A11451" s="1" t="s">
        <v>782</v>
      </c>
      <c r="B11451" s="0" t="s">
        <v>126</v>
      </c>
      <c r="E11451" s="7" t="n">
        <f aca="false">Sens!E11450/Sens!D11450-1</f>
        <v>0.0535164307309768</v>
      </c>
      <c r="F11451" s="7" t="n">
        <f aca="false">Sens!$E$11451+(glt_lic-Sens!$E$11451)*MIN(1,1/n_conv)</f>
        <v>0.0479303589424807</v>
      </c>
      <c r="G11451" s="7" t="n">
        <f aca="false">Sens!$E$11451+(glt_lic-Sens!$E$11451)*MIN(1,2/n_conv)</f>
        <v>0.0423442871539845</v>
      </c>
      <c r="H11451" s="7" t="n">
        <f aca="false">Sens!$E$11451+(glt_lic-Sens!$E$11451)*MIN(1,3/n_conv)</f>
        <v>0.0367582153654884</v>
      </c>
      <c r="I11451" s="7" t="n">
        <f aca="false">Sens!$E$11451+(glt_lic-Sens!$E$11451)*MIN(1,4/n_conv)</f>
        <v>0.0311721435769923</v>
      </c>
      <c r="J11451" s="7" t="n">
        <f aca="false">Sens!$E$11451+(glt_lic-Sens!$E$11451)*MIN(1,5/n_conv)</f>
        <v>0.0255860717884961</v>
      </c>
      <c r="K11451" s="7" t="n">
        <f aca="false">Sens!$E$11451+(glt_lic-Sens!$E$11451)*MIN(1,6/n_conv)</f>
        <v>0.02</v>
      </c>
    </row>
    <row r="11452" customFormat="false" ht="15" hidden="false" customHeight="false" outlineLevel="0" collapsed="false">
      <c r="A11452" s="0" t="s">
        <v>790</v>
      </c>
      <c r="B11452" s="0" t="s">
        <v>95</v>
      </c>
      <c r="D11452" s="6" t="n">
        <f aca="false">Q!L9</f>
        <v>18.417</v>
      </c>
      <c r="E11452" s="6" t="n">
        <f aca="false">Q!M9</f>
        <v>20.345</v>
      </c>
      <c r="F11452" s="6" t="n">
        <f aca="false">Sens!E11452*(1+Sens!F11453)</f>
        <v>22.3572203267814</v>
      </c>
      <c r="G11452" s="6" t="n">
        <f aca="false">Sens!F11452*(1+Sens!G11453)</f>
        <v>24.4392124437232</v>
      </c>
      <c r="H11452" s="6" t="n">
        <f aca="false">Sens!G11452*(1+Sens!H11453)</f>
        <v>26.5738052080665</v>
      </c>
      <c r="I11452" s="6" t="n">
        <f aca="false">Sens!H11452*(1+Sens!I11453)</f>
        <v>28.7412169166967</v>
      </c>
      <c r="J11452" s="6" t="n">
        <f aca="false">Sens!I11452*(1+Sens!J11453)</f>
        <v>30.9192545395413</v>
      </c>
      <c r="K11452" s="6" t="n">
        <f aca="false">Sens!J11452*(1+Sens!K11453)</f>
        <v>33.0836023573092</v>
      </c>
    </row>
    <row r="11453" customFormat="false" ht="15" hidden="false" customHeight="false" outlineLevel="0" collapsed="false">
      <c r="A11453" s="1" t="s">
        <v>782</v>
      </c>
      <c r="B11453" s="0" t="s">
        <v>126</v>
      </c>
      <c r="E11453" s="7" t="n">
        <f aca="false">Sens!E11452/Sens!D11452-1</f>
        <v>0.104685888038225</v>
      </c>
      <c r="F11453" s="7" t="n">
        <f aca="false">Sens!$E$11453+(glt_ind-Sens!$E$11453)*MIN(1,1/n_conv)</f>
        <v>0.0989049066985211</v>
      </c>
      <c r="G11453" s="7" t="n">
        <f aca="false">Sens!$E$11453+(glt_ind-Sens!$E$11453)*MIN(1,2/n_conv)</f>
        <v>0.0931239253588169</v>
      </c>
      <c r="H11453" s="7" t="n">
        <f aca="false">Sens!$E$11453+(glt_ind-Sens!$E$11453)*MIN(1,3/n_conv)</f>
        <v>0.0873429440191127</v>
      </c>
      <c r="I11453" s="7" t="n">
        <f aca="false">Sens!$E$11453+(glt_ind-Sens!$E$11453)*MIN(1,4/n_conv)</f>
        <v>0.0815619626794085</v>
      </c>
      <c r="J11453" s="7" t="n">
        <f aca="false">Sens!$E$11453+(glt_ind-Sens!$E$11453)*MIN(1,5/n_conv)</f>
        <v>0.0757809813397042</v>
      </c>
      <c r="K11453" s="7" t="n">
        <f aca="false">Sens!$E$11453+(glt_ind-Sens!$E$11453)*MIN(1,6/n_conv)</f>
        <v>0.07</v>
      </c>
    </row>
    <row r="11454" customFormat="false" ht="15" hidden="false" customHeight="false" outlineLevel="0" collapsed="false">
      <c r="A11454" s="0" t="s">
        <v>791</v>
      </c>
      <c r="B11454" s="0" t="s">
        <v>95</v>
      </c>
      <c r="D11454" s="6" t="n">
        <f aca="false">Q!L10</f>
        <v>7.76</v>
      </c>
      <c r="E11454" s="6" t="n">
        <f aca="false">Q!M10</f>
        <v>8.26</v>
      </c>
      <c r="F11454" s="6" t="n">
        <f aca="false">Sens!E11454*(1+Sens!F11455)</f>
        <v>8.79988041237113</v>
      </c>
      <c r="G11454" s="6" t="n">
        <f aca="false">Sens!F11454*(1+Sens!G11455)</f>
        <v>9.38321269125306</v>
      </c>
      <c r="H11454" s="6" t="n">
        <f aca="false">Sens!G11454*(1+Sens!H11455)</f>
        <v>10.0139193587476</v>
      </c>
      <c r="I11454" s="6" t="n">
        <f aca="false">Sens!H11454*(1+Sens!I11455)</f>
        <v>10.6963111830911</v>
      </c>
      <c r="J11454" s="6" t="n">
        <f aca="false">Sens!I11454*(1+Sens!J11455)</f>
        <v>11.4351285534696</v>
      </c>
      <c r="K11454" s="6" t="n">
        <f aca="false">Sens!J11454*(1+Sens!K11455)</f>
        <v>12.2355875522124</v>
      </c>
    </row>
    <row r="11455" customFormat="false" ht="15" hidden="false" customHeight="false" outlineLevel="0" collapsed="false">
      <c r="A11455" s="1" t="s">
        <v>782</v>
      </c>
      <c r="B11455" s="0" t="s">
        <v>126</v>
      </c>
      <c r="E11455" s="7" t="n">
        <f aca="false">Sens!E11454/Sens!D11454-1</f>
        <v>0.0644329896907216</v>
      </c>
      <c r="F11455" s="7" t="n">
        <f aca="false">Sens!$E$11455+(glt_fro-Sens!$E$11455)*MIN(1,1/n_conv)</f>
        <v>0.065360824742268</v>
      </c>
      <c r="G11455" s="7" t="n">
        <f aca="false">Sens!$E$11455+(glt_fro-Sens!$E$11455)*MIN(1,2/n_conv)</f>
        <v>0.0662886597938144</v>
      </c>
      <c r="H11455" s="7" t="n">
        <f aca="false">Sens!$E$11455+(glt_fro-Sens!$E$11455)*MIN(1,3/n_conv)</f>
        <v>0.0672164948453608</v>
      </c>
      <c r="I11455" s="7" t="n">
        <f aca="false">Sens!$E$11455+(glt_fro-Sens!$E$11455)*MIN(1,4/n_conv)</f>
        <v>0.0681443298969072</v>
      </c>
      <c r="J11455" s="7" t="n">
        <f aca="false">Sens!$E$11455+(glt_fro-Sens!$E$11455)*MIN(1,5/n_conv)</f>
        <v>0.0690721649484536</v>
      </c>
      <c r="K11455" s="7" t="n">
        <f aca="false">Sens!$E$11455+(glt_fro-Sens!$E$11455)*MIN(1,6/n_conv)</f>
        <v>0.07</v>
      </c>
    </row>
    <row r="11456" customFormat="false" ht="15" hidden="false" customHeight="false" outlineLevel="0" collapsed="false">
      <c r="A11456" s="0" t="s">
        <v>626</v>
      </c>
      <c r="B11456" s="0" t="s">
        <v>95</v>
      </c>
      <c r="D11456" s="6" t="n">
        <f aca="false">Sens!D11444+Sens!D11449+Sens!D11450+Sens!D11452+Sens!D11454</f>
        <v>218.783</v>
      </c>
      <c r="E11456" s="6" t="n">
        <f aca="false">Sens!E11444+Sens!E11449+Sens!E11450+Sens!E11452+Sens!E11454</f>
        <v>268.127</v>
      </c>
      <c r="F11456" s="6" t="n">
        <f aca="false">Sens!F11444+Sens!F11449+Sens!F11450+Sens!F11452+Sens!F11454</f>
        <v>304.424965292737</v>
      </c>
      <c r="G11456" s="6" t="n">
        <f aca="false">Sens!G11444+Sens!G11449+Sens!G11450+Sens!G11452+Sens!G11454</f>
        <v>353.761241467196</v>
      </c>
      <c r="H11456" s="6" t="n">
        <f aca="false">Sens!H11444+Sens!H11449+Sens!H11450+Sens!H11452+Sens!H11454</f>
        <v>400.916784992258</v>
      </c>
      <c r="I11456" s="6" t="n">
        <f aca="false">Sens!I11444+Sens!I11449+Sens!I11450+Sens!I11452+Sens!I11454</f>
        <v>450.305434866108</v>
      </c>
      <c r="J11456" s="6" t="n">
        <f aca="false">Sens!J11444+Sens!J11449+Sens!J11450+Sens!J11452+Sens!J11454</f>
        <v>496.808732991556</v>
      </c>
      <c r="K11456" s="6" t="n">
        <f aca="false">Sens!K11444+Sens!K11449+Sens!K11450+Sens!K11452+Sens!K11454</f>
        <v>539.802202303483</v>
      </c>
    </row>
    <row r="11457" customFormat="false" ht="15" hidden="false" customHeight="false" outlineLevel="0" collapsed="false">
      <c r="A11457" s="0" t="s">
        <v>792</v>
      </c>
      <c r="B11457" s="0" t="s">
        <v>95</v>
      </c>
      <c r="D11457" s="6" t="n">
        <f aca="false">Q!L13</f>
        <v>22.171</v>
      </c>
      <c r="E11457" s="6" t="n">
        <f aca="false">Q!M13</f>
        <v>24.835</v>
      </c>
      <c r="F11457" s="6" t="n">
        <f aca="false">Sens!E11457*(1+Sens!F11458)</f>
        <v>27.6114901218559</v>
      </c>
      <c r="G11457" s="6" t="n">
        <f aca="false">Sens!F11457*(1+Sens!G11458)</f>
        <v>30.4675667338515</v>
      </c>
      <c r="H11457" s="6" t="n">
        <f aca="false">Sens!G11457*(1+Sens!H11458)</f>
        <v>33.3643766955789</v>
      </c>
      <c r="I11457" s="6" t="n">
        <f aca="false">Sens!H11457*(1+Sens!I11458)</f>
        <v>36.2577016533691</v>
      </c>
      <c r="J11457" s="6" t="n">
        <f aca="false">Sens!I11457*(1+Sens!J11458)</f>
        <v>39.0988367952171</v>
      </c>
      <c r="K11457" s="6" t="n">
        <f aca="false">Sens!J11457*(1+Sens!K11458)</f>
        <v>41.8357553708823</v>
      </c>
    </row>
    <row r="11458" customFormat="false" ht="15" hidden="false" customHeight="false" outlineLevel="0" collapsed="false">
      <c r="A11458" s="1" t="s">
        <v>782</v>
      </c>
      <c r="B11458" s="0" t="s">
        <v>126</v>
      </c>
      <c r="E11458" s="7" t="n">
        <f aca="false">Sens!E11457/Sens!D11457-1</f>
        <v>0.120156961796942</v>
      </c>
      <c r="F11458" s="7" t="n">
        <f aca="false">Sens!$E$11458+(glt_srch-Sens!$E$11458)*MIN(1,1/n_conv)</f>
        <v>0.111797468164118</v>
      </c>
      <c r="G11458" s="7" t="n">
        <f aca="false">Sens!$E$11458+(glt_srch-Sens!$E$11458)*MIN(1,2/n_conv)</f>
        <v>0.103437974531295</v>
      </c>
      <c r="H11458" s="7" t="n">
        <f aca="false">Sens!$E$11458+(glt_srch-Sens!$E$11458)*MIN(1,3/n_conv)</f>
        <v>0.095078480898471</v>
      </c>
      <c r="I11458" s="7" t="n">
        <f aca="false">Sens!$E$11458+(glt_srch-Sens!$E$11458)*MIN(1,4/n_conv)</f>
        <v>0.0867189872656474</v>
      </c>
      <c r="J11458" s="7" t="n">
        <f aca="false">Sens!$E$11458+(glt_srch-Sens!$E$11458)*MIN(1,5/n_conv)</f>
        <v>0.0783594936328237</v>
      </c>
      <c r="K11458" s="7" t="n">
        <f aca="false">Sens!$E$11458+(glt_srch-Sens!$E$11458)*MIN(1,6/n_conv)</f>
        <v>0.07</v>
      </c>
    </row>
    <row r="11459" customFormat="false" ht="15" hidden="false" customHeight="false" outlineLevel="0" collapsed="false">
      <c r="A11459" s="0" t="s">
        <v>793</v>
      </c>
      <c r="B11459" s="0" t="s">
        <v>95</v>
      </c>
      <c r="D11459" s="6" t="n">
        <f aca="false">Q!L14</f>
        <v>23.455</v>
      </c>
      <c r="E11459" s="6" t="n">
        <f aca="false">Q!M14</f>
        <v>21.79</v>
      </c>
      <c r="F11459" s="6" t="n">
        <f aca="false">Sens!E11459*(1+Sens!F11460)</f>
        <v>20.5736277908051</v>
      </c>
      <c r="G11459" s="6" t="n">
        <f aca="false">Sens!F11459*(1+Sens!G11460)</f>
        <v>19.7371452817919</v>
      </c>
      <c r="H11459" s="6" t="n">
        <f aca="false">Sens!G11459*(1+Sens!H11460)</f>
        <v>19.2339764043138</v>
      </c>
      <c r="I11459" s="6" t="n">
        <f aca="false">Sens!H11459*(1+Sens!I11460)</f>
        <v>19.0353086852681</v>
      </c>
      <c r="J11459" s="6" t="n">
        <f aca="false">Sens!I11459*(1+Sens!J11460)</f>
        <v>19.1273539319129</v>
      </c>
      <c r="K11459" s="6" t="n">
        <f aca="false">Sens!J11459*(1+Sens!K11460)</f>
        <v>19.5099010105511</v>
      </c>
    </row>
    <row r="11460" customFormat="false" ht="15" hidden="false" customHeight="false" outlineLevel="0" collapsed="false">
      <c r="A11460" s="1" t="s">
        <v>782</v>
      </c>
      <c r="B11460" s="0" t="s">
        <v>126</v>
      </c>
      <c r="E11460" s="7" t="n">
        <f aca="false">Sens!E11459/Sens!D11459-1</f>
        <v>-0.0709869963760392</v>
      </c>
      <c r="F11460" s="7" t="n">
        <f aca="false">Sens!$E$11460+(glt_xbox-Sens!$E$11460)*MIN(1,1/n_conv)</f>
        <v>-0.0558224969800327</v>
      </c>
      <c r="G11460" s="7" t="n">
        <f aca="false">Sens!$E$11460+(glt_xbox-Sens!$E$11460)*MIN(1,2/n_conv)</f>
        <v>-0.0406579975840262</v>
      </c>
      <c r="H11460" s="7" t="n">
        <f aca="false">Sens!$E$11460+(glt_xbox-Sens!$E$11460)*MIN(1,3/n_conv)</f>
        <v>-0.0254934981880196</v>
      </c>
      <c r="I11460" s="7" t="n">
        <f aca="false">Sens!$E$11460+(glt_xbox-Sens!$E$11460)*MIN(1,4/n_conv)</f>
        <v>-0.0103289987920131</v>
      </c>
      <c r="J11460" s="7" t="n">
        <f aca="false">Sens!$E$11460+(glt_xbox-Sens!$E$11460)*MIN(1,5/n_conv)</f>
        <v>0.00483550060399347</v>
      </c>
      <c r="K11460" s="7" t="n">
        <f aca="false">Sens!$E$11460+(glt_xbox-Sens!$E$11460)*MIN(1,6/n_conv)</f>
        <v>0.02</v>
      </c>
    </row>
    <row r="11461" customFormat="false" ht="15" hidden="false" customHeight="false" outlineLevel="0" collapsed="false">
      <c r="A11461" s="0" t="s">
        <v>794</v>
      </c>
      <c r="B11461" s="0" t="s">
        <v>95</v>
      </c>
      <c r="D11461" s="6" t="n">
        <f aca="false">Q!L15</f>
        <v>17.315</v>
      </c>
      <c r="E11461" s="6" t="n">
        <f aca="false">Q!M15</f>
        <v>17.087</v>
      </c>
      <c r="F11461" s="6" t="n">
        <f aca="false">Sens!E11461*(1+Sens!F11462)</f>
        <v>16.9564585436519</v>
      </c>
      <c r="G11461" s="6" t="n">
        <f aca="false">Sens!F11461*(1+Sens!G11462)</f>
        <v>16.9206490624268</v>
      </c>
      <c r="H11461" s="6" t="n">
        <f aca="false">Sens!G11461*(1+Sens!H11462)</f>
        <v>16.9784519149849</v>
      </c>
      <c r="I11461" s="6" t="n">
        <f aca="false">Sens!H11461*(1+Sens!I11462)</f>
        <v>17.1303084701817</v>
      </c>
      <c r="J11461" s="6" t="n">
        <f aca="false">Sens!I11461*(1+Sens!J11462)</f>
        <v>17.3782189407267</v>
      </c>
      <c r="K11461" s="6" t="n">
        <f aca="false">Sens!J11461*(1+Sens!K11462)</f>
        <v>17.7257833195413</v>
      </c>
    </row>
    <row r="11462" customFormat="false" ht="15" hidden="false" customHeight="false" outlineLevel="0" collapsed="false">
      <c r="A11462" s="1" t="s">
        <v>782</v>
      </c>
      <c r="B11462" s="0" t="s">
        <v>126</v>
      </c>
      <c r="E11462" s="7" t="n">
        <f aca="false">Sens!E11461/Sens!D11461-1</f>
        <v>-0.0131677736066995</v>
      </c>
      <c r="F11462" s="7" t="n">
        <f aca="false">Sens!$E$11462+(glt_win-Sens!$E$11462)*MIN(1,1/n_conv)</f>
        <v>-0.00763981133891627</v>
      </c>
      <c r="G11462" s="7" t="n">
        <f aca="false">Sens!$E$11462+(glt_win-Sens!$E$11462)*MIN(1,2/n_conv)</f>
        <v>-0.00211184907113301</v>
      </c>
      <c r="H11462" s="7" t="n">
        <f aca="false">Sens!$E$11462+(glt_win-Sens!$E$11462)*MIN(1,3/n_conv)</f>
        <v>0.00341611319665024</v>
      </c>
      <c r="I11462" s="7" t="n">
        <f aca="false">Sens!$E$11462+(glt_win-Sens!$E$11462)*MIN(1,4/n_conv)</f>
        <v>0.00894407546443349</v>
      </c>
      <c r="J11462" s="7" t="n">
        <f aca="false">Sens!$E$11462+(glt_win-Sens!$E$11462)*MIN(1,5/n_conv)</f>
        <v>0.0144720377322168</v>
      </c>
      <c r="K11462" s="7" t="n">
        <f aca="false">Sens!$E$11462+(glt_win-Sens!$E$11462)*MIN(1,6/n_conv)</f>
        <v>0.02</v>
      </c>
    </row>
    <row r="11463" customFormat="false" ht="15" hidden="false" customHeight="false" outlineLevel="0" collapsed="false">
      <c r="A11463" s="0" t="s">
        <v>640</v>
      </c>
      <c r="B11463" s="0" t="s">
        <v>95</v>
      </c>
      <c r="D11463" s="6" t="n">
        <f aca="false">Sens!D11457+Sens!D11459+Sens!D11461</f>
        <v>62.941</v>
      </c>
      <c r="E11463" s="6" t="n">
        <f aca="false">Sens!E11457+Sens!E11459+Sens!E11461</f>
        <v>63.712</v>
      </c>
      <c r="F11463" s="6" t="n">
        <f aca="false">Sens!F11457+Sens!F11459+Sens!F11461</f>
        <v>65.1415764563129</v>
      </c>
      <c r="G11463" s="6" t="n">
        <f aca="false">Sens!G11457+Sens!G11459+Sens!G11461</f>
        <v>67.1253610780702</v>
      </c>
      <c r="H11463" s="6" t="n">
        <f aca="false">Sens!H11457+Sens!H11459+Sens!H11461</f>
        <v>69.5768050148776</v>
      </c>
      <c r="I11463" s="6" t="n">
        <f aca="false">Sens!I11457+Sens!I11459+Sens!I11461</f>
        <v>72.4233188088189</v>
      </c>
      <c r="J11463" s="6" t="n">
        <f aca="false">Sens!J11457+Sens!J11459+Sens!J11461</f>
        <v>75.6044096678567</v>
      </c>
      <c r="K11463" s="6" t="n">
        <f aca="false">Sens!K11457+Sens!K11459+Sens!K11461</f>
        <v>79.0714397009747</v>
      </c>
    </row>
    <row r="11464" customFormat="false" ht="15" hidden="false" customHeight="false" outlineLevel="0" collapsed="false">
      <c r="A11464" s="1" t="s">
        <v>795</v>
      </c>
      <c r="B11464" s="0" t="s">
        <v>95</v>
      </c>
      <c r="D11464" s="6" t="n">
        <f aca="false">Sens!D11456+Sens!D11463</f>
        <v>281.724</v>
      </c>
      <c r="E11464" s="6" t="n">
        <f aca="false">Sens!E11456+Sens!E11463</f>
        <v>331.839</v>
      </c>
      <c r="F11464" s="6" t="n">
        <f aca="false">Sens!F11456+Sens!F11463</f>
        <v>369.56654174905</v>
      </c>
      <c r="G11464" s="6" t="n">
        <f aca="false">Sens!G11456+Sens!G11463</f>
        <v>420.886602545266</v>
      </c>
      <c r="H11464" s="6" t="n">
        <f aca="false">Sens!H11456+Sens!H11463</f>
        <v>470.493590007136</v>
      </c>
      <c r="I11464" s="6" t="n">
        <f aca="false">Sens!I11456+Sens!I11463</f>
        <v>522.728753674926</v>
      </c>
      <c r="J11464" s="6" t="n">
        <f aca="false">Sens!J11456+Sens!J11463</f>
        <v>572.413142659413</v>
      </c>
      <c r="K11464" s="6" t="n">
        <f aca="false">Sens!K11456+Sens!K11463</f>
        <v>618.873642004457</v>
      </c>
    </row>
    <row r="11465" customFormat="false" ht="15" hidden="false" customHeight="false" outlineLevel="0" collapsed="false">
      <c r="A11465" s="22" t="s">
        <v>796</v>
      </c>
      <c r="B11465" s="28" t="s">
        <v>95</v>
      </c>
      <c r="C11465" s="28"/>
      <c r="D11465" s="23" t="n">
        <f aca="false">(Sens!D11444+Sens!D11449+Sens!D11450+Sens!D11452+Sens!D11454-Sens!D11456)+(Sens!D11457+Sens!D11459+Sens!D11461-Sens!D11463)+(Sens!D11456-Q!L5)+(Sens!D11463-Q!L12)+(Sens!D11444-Q!L6)+(Sens!D11449-Q!L7)</f>
        <v>0</v>
      </c>
      <c r="E11465" s="23" t="n">
        <f aca="false">(Sens!E11444+Sens!E11449+Sens!E11450+Sens!E11452+Sens!E11454-Sens!E11456)+(Sens!E11457+Sens!E11459+Sens!E11461-Sens!E11463)+(Sens!E11456-Q!M5)+(Sens!E11463-Q!M12)+(Sens!E11444-Q!M6)+(Sens!E11449-Q!M7)</f>
        <v>0</v>
      </c>
      <c r="F11465" s="23" t="n">
        <f aca="false">(Sens!F11444+Sens!F11449+Sens!F11450+Sens!F11452+Sens!F11454-Sens!F11456)+(Sens!F11457+Sens!F11459+Sens!F11461-Sens!F11463)</f>
        <v>0</v>
      </c>
      <c r="G11465" s="23" t="n">
        <f aca="false">(Sens!G11444+Sens!G11449+Sens!G11450+Sens!G11452+Sens!G11454-Sens!G11456)+(Sens!G11457+Sens!G11459+Sens!G11461-Sens!G11463)</f>
        <v>0</v>
      </c>
      <c r="H11465" s="23" t="n">
        <f aca="false">(Sens!H11444+Sens!H11449+Sens!H11450+Sens!H11452+Sens!H11454-Sens!H11456)+(Sens!H11457+Sens!H11459+Sens!H11461-Sens!H11463)</f>
        <v>0</v>
      </c>
      <c r="I11465" s="23" t="n">
        <f aca="false">(Sens!I11444+Sens!I11449+Sens!I11450+Sens!I11452+Sens!I11454-Sens!I11456)+(Sens!I11457+Sens!I11459+Sens!I11461-Sens!I11463)</f>
        <v>0</v>
      </c>
      <c r="J11465" s="23" t="n">
        <f aca="false">(Sens!J11444+Sens!J11449+Sens!J11450+Sens!J11452+Sens!J11454-Sens!J11456)+(Sens!J11457+Sens!J11459+Sens!J11461-Sens!J11463)</f>
        <v>0</v>
      </c>
      <c r="K11465" s="23" t="n">
        <f aca="false">(Sens!K11444+Sens!K11449+Sens!K11450+Sens!K11452+Sens!K11454-Sens!K11456)+(Sens!K11457+Sens!K11459+Sens!K11461-Sens!K11463)</f>
        <v>0</v>
      </c>
    </row>
    <row r="11466" customFormat="false" ht="17.15" hidden="false" customHeight="false" outlineLevel="0" collapsed="false">
      <c r="A11466" s="3" t="s">
        <v>1439</v>
      </c>
    </row>
    <row r="11467" customFormat="false" ht="15" hidden="false" customHeight="false" outlineLevel="0" collapsed="false">
      <c r="A11467" s="4" t="s">
        <v>43</v>
      </c>
      <c r="B11467" s="4" t="s">
        <v>63</v>
      </c>
      <c r="C11467" s="19" t="s">
        <v>710</v>
      </c>
      <c r="D11467" s="19" t="s">
        <v>711</v>
      </c>
      <c r="E11467" s="19" t="s">
        <v>712</v>
      </c>
      <c r="F11467" s="19" t="s">
        <v>713</v>
      </c>
      <c r="G11467" s="19" t="s">
        <v>714</v>
      </c>
      <c r="H11467" s="19" t="s">
        <v>715</v>
      </c>
      <c r="I11467" s="19" t="s">
        <v>716</v>
      </c>
      <c r="J11467" s="19" t="s">
        <v>717</v>
      </c>
      <c r="K11467" s="19" t="s">
        <v>718</v>
      </c>
      <c r="L11467" s="4" t="s">
        <v>47</v>
      </c>
    </row>
    <row r="11468" customFormat="false" ht="15" hidden="false" customHeight="false" outlineLevel="0" collapsed="false">
      <c r="A11468" s="0" t="s">
        <v>783</v>
      </c>
      <c r="B11468" s="0" t="s">
        <v>95</v>
      </c>
      <c r="D11468" s="6" t="n">
        <f aca="false">Sens!D11444</f>
        <v>72.61</v>
      </c>
      <c r="E11468" s="6" t="n">
        <f aca="false">Sens!E11444</f>
        <v>101.938</v>
      </c>
      <c r="F11468" s="6" t="n">
        <f aca="false">Sens!F11444</f>
        <v>116.803393353555</v>
      </c>
      <c r="G11468" s="6" t="n">
        <f aca="false">Sens!G11444</f>
        <v>146.668084929767</v>
      </c>
      <c r="H11468" s="6" t="n">
        <f aca="false">Sens!H11444</f>
        <v>174.328102310743</v>
      </c>
      <c r="I11468" s="6" t="n">
        <f aca="false">Sens!I11444</f>
        <v>205.244079886621</v>
      </c>
      <c r="J11468" s="6" t="n">
        <f aca="false">Sens!J11444</f>
        <v>234.617835887387</v>
      </c>
      <c r="K11468" s="6" t="n">
        <f aca="false">Sens!K11444</f>
        <v>261.408132963306</v>
      </c>
    </row>
    <row r="11469" customFormat="false" ht="17.15" hidden="false" customHeight="false" outlineLevel="0" collapsed="false">
      <c r="A11469" s="0" t="s">
        <v>780</v>
      </c>
      <c r="B11469" s="0" t="s">
        <v>95</v>
      </c>
      <c r="D11469" s="6" t="n">
        <f aca="false">Sens!D11441</f>
        <v>12.9359794422418</v>
      </c>
      <c r="E11469" s="6" t="n">
        <f aca="false">Sens!E11441</f>
        <v>27.8095064661409</v>
      </c>
      <c r="F11469" s="6" t="n">
        <f aca="false">Sens!F11441</f>
        <v>26.7234436161883</v>
      </c>
      <c r="G11469" s="6" t="n">
        <f aca="false">Sens!G11441</f>
        <v>39.6396597264572</v>
      </c>
      <c r="H11469" s="6" t="n">
        <f aca="false">Sens!H11441</f>
        <v>50.056119725107</v>
      </c>
      <c r="I11469" s="6" t="n">
        <f aca="false">Sens!I11441</f>
        <v>64.3103775047666</v>
      </c>
      <c r="J11469" s="6" t="n">
        <f aca="false">Sens!J11441</f>
        <v>78.5989685730556</v>
      </c>
      <c r="K11469" s="6" t="n">
        <f aca="false">Sens!K11441</f>
        <v>92.9077562638283</v>
      </c>
    </row>
    <row r="11470" customFormat="false" ht="17.15" hidden="false" customHeight="false" outlineLevel="0" collapsed="false">
      <c r="A11470" s="0" t="s">
        <v>807</v>
      </c>
      <c r="B11470" s="0" t="s">
        <v>95</v>
      </c>
      <c r="D11470" s="6" t="n">
        <f aca="false">Sens!D11442</f>
        <v>59.6740205577583</v>
      </c>
      <c r="E11470" s="6" t="n">
        <f aca="false">Sens!E11442</f>
        <v>74.1284935338591</v>
      </c>
      <c r="F11470" s="6" t="n">
        <f aca="false">Sens!F11442</f>
        <v>90.0799497373663</v>
      </c>
      <c r="G11470" s="6" t="n">
        <f aca="false">Sens!G11442</f>
        <v>107.02842520331</v>
      </c>
      <c r="H11470" s="6" t="n">
        <f aca="false">Sens!H11442</f>
        <v>124.271982585636</v>
      </c>
      <c r="I11470" s="6" t="n">
        <f aca="false">Sens!I11442</f>
        <v>140.933702381855</v>
      </c>
      <c r="J11470" s="6" t="n">
        <f aca="false">Sens!J11442</f>
        <v>156.018867314332</v>
      </c>
      <c r="K11470" s="6" t="n">
        <f aca="false">Sens!K11442</f>
        <v>168.500376699478</v>
      </c>
    </row>
    <row r="11471" customFormat="false" ht="15" hidden="false" customHeight="false" outlineLevel="0" collapsed="false">
      <c r="A11471" s="0" t="s">
        <v>788</v>
      </c>
      <c r="B11471" s="0" t="s">
        <v>95</v>
      </c>
      <c r="D11471" s="6" t="n">
        <f aca="false">Sens!D11449</f>
        <v>84.605</v>
      </c>
      <c r="E11471" s="6" t="n">
        <f aca="false">Sens!E11449</f>
        <v>100.299</v>
      </c>
      <c r="F11471" s="6" t="n">
        <f aca="false">Sens!F11449</f>
        <v>117.39238776686</v>
      </c>
      <c r="G11471" s="6" t="n">
        <f aca="false">Sens!G11449</f>
        <v>132.544168448684</v>
      </c>
      <c r="H11471" s="6" t="n">
        <f aca="false">Sens!H11449</f>
        <v>147.777359388781</v>
      </c>
      <c r="I11471" s="6" t="n">
        <f aca="false">Sens!I11449</f>
        <v>162.084028071957</v>
      </c>
      <c r="J11471" s="6" t="n">
        <f aca="false">Sens!J11449</f>
        <v>175.182702785465</v>
      </c>
      <c r="K11471" s="6" t="n">
        <f aca="false">Sens!K11449</f>
        <v>187.527991980448</v>
      </c>
    </row>
    <row r="11472" customFormat="false" ht="17.15" hidden="false" customHeight="false" outlineLevel="0" collapsed="false">
      <c r="A11472" s="0" t="s">
        <v>808</v>
      </c>
      <c r="B11472" s="0" t="s">
        <v>95</v>
      </c>
      <c r="D11472" s="6" t="n">
        <f aca="false">Sens!D11447</f>
        <v>83.705</v>
      </c>
      <c r="E11472" s="6" t="n">
        <f aca="false">Sens!E11447</f>
        <v>95.049</v>
      </c>
      <c r="F11472" s="6" t="n">
        <f aca="false">Sens!F11447</f>
        <v>106.89238776686</v>
      </c>
      <c r="G11472" s="6" t="n">
        <f aca="false">Sens!G11447</f>
        <v>119.044168448684</v>
      </c>
      <c r="H11472" s="6" t="n">
        <f aca="false">Sens!H11447</f>
        <v>131.277359388781</v>
      </c>
      <c r="I11472" s="6" t="n">
        <f aca="false">Sens!I11447</f>
        <v>143.334028071957</v>
      </c>
      <c r="J11472" s="6" t="n">
        <f aca="false">Sens!J11447</f>
        <v>154.932702785465</v>
      </c>
      <c r="K11472" s="6" t="n">
        <f aca="false">Sens!K11447</f>
        <v>165.777991980448</v>
      </c>
    </row>
    <row r="11473" customFormat="false" ht="17.15" hidden="false" customHeight="false" outlineLevel="0" collapsed="false">
      <c r="A11473" s="0" t="s">
        <v>809</v>
      </c>
      <c r="B11473" s="0" t="s">
        <v>95</v>
      </c>
      <c r="D11473" s="6" t="n">
        <f aca="false">Sens!D11446</f>
        <v>0.9</v>
      </c>
      <c r="E11473" s="6" t="n">
        <f aca="false">Sens!E11446</f>
        <v>5.25</v>
      </c>
      <c r="F11473" s="6" t="n">
        <f aca="false">Sens!F11446</f>
        <v>10.5</v>
      </c>
      <c r="G11473" s="6" t="n">
        <f aca="false">Sens!G11446</f>
        <v>13.5</v>
      </c>
      <c r="H11473" s="6" t="n">
        <f aca="false">Sens!H11446</f>
        <v>16.5</v>
      </c>
      <c r="I11473" s="6" t="n">
        <f aca="false">Sens!I11446</f>
        <v>18.75</v>
      </c>
      <c r="J11473" s="6" t="n">
        <f aca="false">Sens!J11446</f>
        <v>20.25</v>
      </c>
      <c r="K11473" s="6" t="n">
        <f aca="false">Sens!K11446</f>
        <v>21.75</v>
      </c>
    </row>
    <row r="11474" customFormat="false" ht="15" hidden="false" customHeight="false" outlineLevel="0" collapsed="false">
      <c r="A11474" s="0" t="s">
        <v>789</v>
      </c>
      <c r="B11474" s="0" t="s">
        <v>95</v>
      </c>
      <c r="D11474" s="6" t="n">
        <f aca="false">Sens!D11450</f>
        <v>35.391</v>
      </c>
      <c r="E11474" s="6" t="n">
        <f aca="false">Sens!E11450</f>
        <v>37.285</v>
      </c>
      <c r="F11474" s="6" t="n">
        <f aca="false">Sens!F11450</f>
        <v>39.0720834331704</v>
      </c>
      <c r="G11474" s="6" t="n">
        <f aca="false">Sens!G11450</f>
        <v>40.726562953769</v>
      </c>
      <c r="H11474" s="6" t="n">
        <f aca="false">Sens!H11450</f>
        <v>42.2235987259198</v>
      </c>
      <c r="I11474" s="6" t="n">
        <f aca="false">Sens!I11450</f>
        <v>43.5397988077414</v>
      </c>
      <c r="J11474" s="6" t="n">
        <f aca="false">Sens!J11450</f>
        <v>44.653811225693</v>
      </c>
      <c r="K11474" s="6" t="n">
        <f aca="false">Sens!K11450</f>
        <v>45.5468874502068</v>
      </c>
    </row>
    <row r="11475" customFormat="false" ht="15" hidden="false" customHeight="false" outlineLevel="0" collapsed="false">
      <c r="A11475" s="0" t="s">
        <v>790</v>
      </c>
      <c r="B11475" s="0" t="s">
        <v>95</v>
      </c>
      <c r="D11475" s="6" t="n">
        <f aca="false">Sens!D11452</f>
        <v>18.417</v>
      </c>
      <c r="E11475" s="6" t="n">
        <f aca="false">Sens!E11452</f>
        <v>20.345</v>
      </c>
      <c r="F11475" s="6" t="n">
        <f aca="false">Sens!F11452</f>
        <v>22.3572203267814</v>
      </c>
      <c r="G11475" s="6" t="n">
        <f aca="false">Sens!G11452</f>
        <v>24.4392124437232</v>
      </c>
      <c r="H11475" s="6" t="n">
        <f aca="false">Sens!H11452</f>
        <v>26.5738052080665</v>
      </c>
      <c r="I11475" s="6" t="n">
        <f aca="false">Sens!I11452</f>
        <v>28.7412169166967</v>
      </c>
      <c r="J11475" s="6" t="n">
        <f aca="false">Sens!J11452</f>
        <v>30.9192545395413</v>
      </c>
      <c r="K11475" s="6" t="n">
        <f aca="false">Sens!K11452</f>
        <v>33.0836023573092</v>
      </c>
    </row>
    <row r="11476" customFormat="false" ht="15" hidden="false" customHeight="false" outlineLevel="0" collapsed="false">
      <c r="A11476" s="0" t="s">
        <v>791</v>
      </c>
      <c r="B11476" s="0" t="s">
        <v>95</v>
      </c>
      <c r="D11476" s="6" t="n">
        <f aca="false">Sens!D11454</f>
        <v>7.76</v>
      </c>
      <c r="E11476" s="6" t="n">
        <f aca="false">Sens!E11454</f>
        <v>8.26</v>
      </c>
      <c r="F11476" s="6" t="n">
        <f aca="false">Sens!F11454</f>
        <v>8.79988041237113</v>
      </c>
      <c r="G11476" s="6" t="n">
        <f aca="false">Sens!G11454</f>
        <v>9.38321269125306</v>
      </c>
      <c r="H11476" s="6" t="n">
        <f aca="false">Sens!H11454</f>
        <v>10.0139193587476</v>
      </c>
      <c r="I11476" s="6" t="n">
        <f aca="false">Sens!I11454</f>
        <v>10.6963111830911</v>
      </c>
      <c r="J11476" s="6" t="n">
        <f aca="false">Sens!J11454</f>
        <v>11.4351285534696</v>
      </c>
      <c r="K11476" s="6" t="n">
        <f aca="false">Sens!K11454</f>
        <v>12.2355875522124</v>
      </c>
    </row>
    <row r="11477" customFormat="false" ht="15" hidden="false" customHeight="false" outlineLevel="0" collapsed="false">
      <c r="A11477" s="0" t="s">
        <v>626</v>
      </c>
      <c r="B11477" s="0" t="s">
        <v>95</v>
      </c>
      <c r="D11477" s="6" t="n">
        <f aca="false">Sens!D11456</f>
        <v>218.783</v>
      </c>
      <c r="E11477" s="6" t="n">
        <f aca="false">Sens!E11456</f>
        <v>268.127</v>
      </c>
      <c r="F11477" s="6" t="n">
        <f aca="false">Sens!F11456</f>
        <v>304.424965292737</v>
      </c>
      <c r="G11477" s="6" t="n">
        <f aca="false">Sens!G11456</f>
        <v>353.761241467196</v>
      </c>
      <c r="H11477" s="6" t="n">
        <f aca="false">Sens!H11456</f>
        <v>400.916784992258</v>
      </c>
      <c r="I11477" s="6" t="n">
        <f aca="false">Sens!I11456</f>
        <v>450.305434866108</v>
      </c>
      <c r="J11477" s="6" t="n">
        <f aca="false">Sens!J11456</f>
        <v>496.808732991556</v>
      </c>
      <c r="K11477" s="6" t="n">
        <f aca="false">Sens!K11456</f>
        <v>539.802202303483</v>
      </c>
    </row>
    <row r="11478" customFormat="false" ht="15" hidden="false" customHeight="false" outlineLevel="0" collapsed="false">
      <c r="A11478" s="0" t="s">
        <v>792</v>
      </c>
      <c r="B11478" s="0" t="s">
        <v>95</v>
      </c>
      <c r="D11478" s="6" t="n">
        <f aca="false">Sens!D11457</f>
        <v>22.171</v>
      </c>
      <c r="E11478" s="6" t="n">
        <f aca="false">Sens!E11457</f>
        <v>24.835</v>
      </c>
      <c r="F11478" s="6" t="n">
        <f aca="false">Sens!F11457</f>
        <v>27.6114901218559</v>
      </c>
      <c r="G11478" s="6" t="n">
        <f aca="false">Sens!G11457</f>
        <v>30.4675667338515</v>
      </c>
      <c r="H11478" s="6" t="n">
        <f aca="false">Sens!H11457</f>
        <v>33.3643766955789</v>
      </c>
      <c r="I11478" s="6" t="n">
        <f aca="false">Sens!I11457</f>
        <v>36.2577016533691</v>
      </c>
      <c r="J11478" s="6" t="n">
        <f aca="false">Sens!J11457</f>
        <v>39.0988367952171</v>
      </c>
      <c r="K11478" s="6" t="n">
        <f aca="false">Sens!K11457</f>
        <v>41.8357553708823</v>
      </c>
    </row>
    <row r="11479" customFormat="false" ht="15" hidden="false" customHeight="false" outlineLevel="0" collapsed="false">
      <c r="A11479" s="0" t="s">
        <v>793</v>
      </c>
      <c r="B11479" s="0" t="s">
        <v>95</v>
      </c>
      <c r="D11479" s="6" t="n">
        <f aca="false">Sens!D11459</f>
        <v>23.455</v>
      </c>
      <c r="E11479" s="6" t="n">
        <f aca="false">Sens!E11459</f>
        <v>21.79</v>
      </c>
      <c r="F11479" s="6" t="n">
        <f aca="false">Sens!F11459</f>
        <v>20.5736277908051</v>
      </c>
      <c r="G11479" s="6" t="n">
        <f aca="false">Sens!G11459</f>
        <v>19.7371452817919</v>
      </c>
      <c r="H11479" s="6" t="n">
        <f aca="false">Sens!H11459</f>
        <v>19.2339764043138</v>
      </c>
      <c r="I11479" s="6" t="n">
        <f aca="false">Sens!I11459</f>
        <v>19.0353086852681</v>
      </c>
      <c r="J11479" s="6" t="n">
        <f aca="false">Sens!J11459</f>
        <v>19.1273539319129</v>
      </c>
      <c r="K11479" s="6" t="n">
        <f aca="false">Sens!K11459</f>
        <v>19.5099010105511</v>
      </c>
    </row>
    <row r="11480" customFormat="false" ht="15" hidden="false" customHeight="false" outlineLevel="0" collapsed="false">
      <c r="A11480" s="0" t="s">
        <v>794</v>
      </c>
      <c r="B11480" s="0" t="s">
        <v>95</v>
      </c>
      <c r="D11480" s="6" t="n">
        <f aca="false">Sens!D11461</f>
        <v>17.315</v>
      </c>
      <c r="E11480" s="6" t="n">
        <f aca="false">Sens!E11461</f>
        <v>17.087</v>
      </c>
      <c r="F11480" s="6" t="n">
        <f aca="false">Sens!F11461</f>
        <v>16.9564585436519</v>
      </c>
      <c r="G11480" s="6" t="n">
        <f aca="false">Sens!G11461</f>
        <v>16.9206490624268</v>
      </c>
      <c r="H11480" s="6" t="n">
        <f aca="false">Sens!H11461</f>
        <v>16.9784519149849</v>
      </c>
      <c r="I11480" s="6" t="n">
        <f aca="false">Sens!I11461</f>
        <v>17.1303084701817</v>
      </c>
      <c r="J11480" s="6" t="n">
        <f aca="false">Sens!J11461</f>
        <v>17.3782189407267</v>
      </c>
      <c r="K11480" s="6" t="n">
        <f aca="false">Sens!K11461</f>
        <v>17.7257833195413</v>
      </c>
    </row>
    <row r="11481" customFormat="false" ht="15" hidden="false" customHeight="false" outlineLevel="0" collapsed="false">
      <c r="A11481" s="0" t="s">
        <v>640</v>
      </c>
      <c r="B11481" s="0" t="s">
        <v>95</v>
      </c>
      <c r="D11481" s="6" t="n">
        <f aca="false">Sens!D11463</f>
        <v>62.941</v>
      </c>
      <c r="E11481" s="6" t="n">
        <f aca="false">Sens!E11463</f>
        <v>63.712</v>
      </c>
      <c r="F11481" s="6" t="n">
        <f aca="false">Sens!F11463</f>
        <v>65.1415764563129</v>
      </c>
      <c r="G11481" s="6" t="n">
        <f aca="false">Sens!G11463</f>
        <v>67.1253610780702</v>
      </c>
      <c r="H11481" s="6" t="n">
        <f aca="false">Sens!H11463</f>
        <v>69.5768050148776</v>
      </c>
      <c r="I11481" s="6" t="n">
        <f aca="false">Sens!I11463</f>
        <v>72.4233188088189</v>
      </c>
      <c r="J11481" s="6" t="n">
        <f aca="false">Sens!J11463</f>
        <v>75.6044096678567</v>
      </c>
      <c r="K11481" s="6" t="n">
        <f aca="false">Sens!K11463</f>
        <v>79.0714397009747</v>
      </c>
    </row>
    <row r="11482" customFormat="false" ht="15" hidden="false" customHeight="false" outlineLevel="0" collapsed="false">
      <c r="A11482" s="1" t="s">
        <v>810</v>
      </c>
      <c r="B11482" s="0" t="s">
        <v>95</v>
      </c>
      <c r="D11482" s="6" t="n">
        <f aca="false">Sens!D11464</f>
        <v>281.724</v>
      </c>
      <c r="E11482" s="6" t="n">
        <f aca="false">Sens!E11464</f>
        <v>331.839</v>
      </c>
      <c r="F11482" s="6" t="n">
        <f aca="false">Sens!F11464</f>
        <v>369.56654174905</v>
      </c>
      <c r="G11482" s="6" t="n">
        <f aca="false">Sens!G11464</f>
        <v>420.886602545266</v>
      </c>
      <c r="H11482" s="6" t="n">
        <f aca="false">Sens!H11464</f>
        <v>470.493590007136</v>
      </c>
      <c r="I11482" s="6" t="n">
        <f aca="false">Sens!I11464</f>
        <v>522.728753674926</v>
      </c>
      <c r="J11482" s="6" t="n">
        <f aca="false">Sens!J11464</f>
        <v>572.413142659413</v>
      </c>
      <c r="K11482" s="6" t="n">
        <f aca="false">Sens!K11464</f>
        <v>618.873642004457</v>
      </c>
    </row>
    <row r="11483" customFormat="false" ht="15" hidden="false" customHeight="false" outlineLevel="0" collapsed="false">
      <c r="A11483" s="1" t="s">
        <v>811</v>
      </c>
      <c r="B11483" s="0" t="s">
        <v>126</v>
      </c>
      <c r="E11483" s="7" t="n">
        <f aca="false">Sens!E11482/Sens!D11482-1</f>
        <v>0.177886867998467</v>
      </c>
      <c r="F11483" s="7" t="n">
        <f aca="false">Sens!F11482/Sens!E11482-1</f>
        <v>0.113692307863302</v>
      </c>
      <c r="G11483" s="7" t="n">
        <f aca="false">Sens!G11482/Sens!F11482-1</f>
        <v>0.138865549227842</v>
      </c>
      <c r="H11483" s="7" t="n">
        <f aca="false">Sens!H11482/Sens!G11482-1</f>
        <v>0.117863070864875</v>
      </c>
      <c r="I11483" s="7" t="n">
        <f aca="false">Sens!I11482/Sens!H11482-1</f>
        <v>0.111022051686185</v>
      </c>
      <c r="J11483" s="7" t="n">
        <f aca="false">Sens!J11482/Sens!I11482-1</f>
        <v>0.0950481270356598</v>
      </c>
      <c r="K11483" s="7" t="n">
        <f aca="false">Sens!K11482/Sens!J11482-1</f>
        <v>0.0811660248211468</v>
      </c>
    </row>
    <row r="11484" customFormat="false" ht="17.15" hidden="false" customHeight="false" outlineLevel="0" collapsed="false">
      <c r="A11484" s="22" t="s">
        <v>812</v>
      </c>
      <c r="B11484" s="28" t="s">
        <v>95</v>
      </c>
      <c r="C11484" s="28"/>
      <c r="D11484" s="23" t="n">
        <f aca="false">(Sens!D11477+Sens!D11481-Sens!D11482)+(Sens!D11469+Sens!D11470-Sens!D11468)+(Sens!D11472+Sens!D11473-Sens!D11471)+(Sens!D11482-Q!L18)</f>
        <v>0</v>
      </c>
      <c r="E11484" s="23" t="n">
        <f aca="false">(Sens!E11477+Sens!E11481-Sens!E11482)+(Sens!E11469+Sens!E11470-Sens!E11468)+(Sens!E11472+Sens!E11473-Sens!E11471)+(Sens!E11482-Q!M18)</f>
        <v>0</v>
      </c>
      <c r="F11484" s="23" t="n">
        <f aca="false">(Sens!F11477+Sens!F11481-Sens!F11482)+(Sens!F11469+Sens!F11470-Sens!F11468)+(Sens!F11472+Sens!F11473-Sens!F11471)</f>
        <v>0</v>
      </c>
      <c r="G11484" s="23" t="n">
        <f aca="false">(Sens!G11477+Sens!G11481-Sens!G11482)+(Sens!G11469+Sens!G11470-Sens!G11468)+(Sens!G11472+Sens!G11473-Sens!G11471)</f>
        <v>0</v>
      </c>
      <c r="H11484" s="23" t="n">
        <f aca="false">(Sens!H11477+Sens!H11481-Sens!H11482)+(Sens!H11469+Sens!H11470-Sens!H11468)+(Sens!H11472+Sens!H11473-Sens!H11471)</f>
        <v>0</v>
      </c>
      <c r="I11484" s="23" t="n">
        <f aca="false">(Sens!I11477+Sens!I11481-Sens!I11482)+(Sens!I11469+Sens!I11470-Sens!I11468)+(Sens!I11472+Sens!I11473-Sens!I11471)</f>
        <v>0</v>
      </c>
      <c r="J11484" s="23" t="n">
        <f aca="false">(Sens!J11477+Sens!J11481-Sens!J11482)+(Sens!J11469+Sens!J11470-Sens!J11468)+(Sens!J11472+Sens!J11473-Sens!J11471)</f>
        <v>0</v>
      </c>
      <c r="K11484" s="23" t="n">
        <f aca="false">(Sens!K11477+Sens!K11481-Sens!K11482)+(Sens!K11469+Sens!K11470-Sens!K11468)+(Sens!K11472+Sens!K11473-Sens!K11471)</f>
        <v>0</v>
      </c>
    </row>
    <row r="11485" customFormat="false" ht="17.15" hidden="false" customHeight="false" outlineLevel="0" collapsed="false">
      <c r="A11485" s="0" t="s">
        <v>813</v>
      </c>
      <c r="B11485" s="0" t="s">
        <v>126</v>
      </c>
      <c r="E11485" s="7" t="n">
        <f aca="false">(Q!M21+Sens!E11422+Sens!E11423+Sens!E11424+Sens!E11437-Sens!E11420)/(Q!M5-Sens!E11420)</f>
        <v>0.570957350878296</v>
      </c>
      <c r="F11485" s="7" t="n">
        <f aca="false">Sens!$E$11485+dm_seg</f>
        <v>0.570957350878296</v>
      </c>
      <c r="G11485" s="7" t="n">
        <f aca="false">Sens!$E$11485+dm_seg</f>
        <v>0.570957350878296</v>
      </c>
      <c r="H11485" s="7" t="n">
        <f aca="false">Sens!$E$11485+dm_seg</f>
        <v>0.570957350878296</v>
      </c>
      <c r="I11485" s="7" t="n">
        <f aca="false">Sens!$E$11485+dm_seg</f>
        <v>0.570957350878296</v>
      </c>
      <c r="J11485" s="7" t="n">
        <f aca="false">Sens!$E$11485+dm_seg</f>
        <v>0.570957350878296</v>
      </c>
      <c r="K11485" s="7" t="n">
        <f aca="false">Sens!$E$11485+dm_seg</f>
        <v>0.570957350878296</v>
      </c>
      <c r="L11485" s="11" t="s">
        <v>814</v>
      </c>
    </row>
    <row r="11486" customFormat="false" ht="17.15" hidden="false" customHeight="false" outlineLevel="0" collapsed="false">
      <c r="A11486" s="0" t="s">
        <v>654</v>
      </c>
      <c r="B11486" s="0" t="s">
        <v>95</v>
      </c>
      <c r="D11486" s="6" t="n">
        <f aca="false">Q!L21</f>
        <v>110.814</v>
      </c>
      <c r="E11486" s="6" t="n">
        <f aca="false">Q!M21</f>
        <v>136.365</v>
      </c>
      <c r="F11486" s="6" t="n">
        <f aca="false">Sens!F11485*(Sens!F11456-Sens!F11420)+Sens!F11420-(Sens!F11422+Sens!F11423+Sens!F11424)-Sens!F11437</f>
        <v>128.388636935358</v>
      </c>
      <c r="G11486" s="6" t="n">
        <f aca="false">Sens!G11485*(Sens!G11456-Sens!G11420)+Sens!G11420-(Sens!G11422+Sens!G11423+Sens!G11424)-Sens!G11437</f>
        <v>124.775534695097</v>
      </c>
      <c r="H11486" s="6" t="n">
        <f aca="false">Sens!H11485*(Sens!H11456-Sens!H11420)+Sens!H11420-(Sens!H11422+Sens!H11423+Sens!H11424)-Sens!H11437</f>
        <v>117.735863445272</v>
      </c>
      <c r="I11486" s="6" t="n">
        <f aca="false">Sens!I11485*(Sens!I11456-Sens!I11420)+Sens!I11420-(Sens!I11422+Sens!I11423+Sens!I11424)-Sens!I11437</f>
        <v>112.567678478265</v>
      </c>
      <c r="J11486" s="6" t="n">
        <f aca="false">Sens!J11485*(Sens!J11456-Sens!J11420)+Sens!J11420-(Sens!J11422+Sens!J11423+Sens!J11424)-Sens!J11437</f>
        <v>104.778470540153</v>
      </c>
      <c r="K11486" s="6" t="n">
        <f aca="false">Sens!K11485*(Sens!K11456-Sens!K11420)+Sens!K11420-(Sens!K11422+Sens!K11423+Sens!K11424)-Sens!K11437</f>
        <v>93.6969399636566</v>
      </c>
      <c r="L11486" s="1" t="s">
        <v>815</v>
      </c>
    </row>
    <row r="11487" customFormat="false" ht="17.15" hidden="false" customHeight="false" outlineLevel="0" collapsed="false">
      <c r="A11487" s="0" t="s">
        <v>816</v>
      </c>
      <c r="B11487" s="0" t="s">
        <v>126</v>
      </c>
      <c r="E11487" s="7" t="n">
        <f aca="false">Q!M22/Q!M12</f>
        <v>0.296207935710698</v>
      </c>
      <c r="F11487" s="7" t="n">
        <f aca="false">Sens!$E$11487+dm_seg</f>
        <v>0.296207935710698</v>
      </c>
      <c r="G11487" s="7" t="n">
        <f aca="false">Sens!$E$11487+dm_seg</f>
        <v>0.296207935710698</v>
      </c>
      <c r="H11487" s="7" t="n">
        <f aca="false">Sens!$E$11487+dm_seg</f>
        <v>0.296207935710698</v>
      </c>
      <c r="I11487" s="7" t="n">
        <f aca="false">Sens!$E$11487+dm_seg</f>
        <v>0.296207935710698</v>
      </c>
      <c r="J11487" s="7" t="n">
        <f aca="false">Sens!$E$11487+dm_seg</f>
        <v>0.296207935710698</v>
      </c>
      <c r="K11487" s="7" t="n">
        <f aca="false">Sens!$E$11487+dm_seg</f>
        <v>0.296207935710698</v>
      </c>
      <c r="L11487" s="11" t="s">
        <v>817</v>
      </c>
    </row>
    <row r="11488" customFormat="false" ht="17.15" hidden="false" customHeight="false" outlineLevel="0" collapsed="false">
      <c r="A11488" s="0" t="s">
        <v>656</v>
      </c>
      <c r="B11488" s="0" t="s">
        <v>95</v>
      </c>
      <c r="D11488" s="6" t="n">
        <f aca="false">Q!L22</f>
        <v>17.714</v>
      </c>
      <c r="E11488" s="6" t="n">
        <f aca="false">Q!M22</f>
        <v>18.872</v>
      </c>
      <c r="F11488" s="6" t="n">
        <f aca="false">Sens!F11463*Sens!F11487</f>
        <v>19.2954518910651</v>
      </c>
      <c r="G11488" s="6" t="n">
        <f aca="false">Sens!G11463*Sens!G11487</f>
        <v>19.8830646387704</v>
      </c>
      <c r="H11488" s="6" t="n">
        <f aca="false">Sens!H11463*Sens!H11487</f>
        <v>20.6092017868026</v>
      </c>
      <c r="I11488" s="6" t="n">
        <f aca="false">Sens!I11463*Sens!I11487</f>
        <v>21.452361761678</v>
      </c>
      <c r="J11488" s="6" t="n">
        <f aca="false">Sens!J11463*Sens!J11487</f>
        <v>22.3946261183418</v>
      </c>
      <c r="K11488" s="6" t="n">
        <f aca="false">Sens!K11463*Sens!K11487</f>
        <v>23.4215879274986</v>
      </c>
    </row>
    <row r="11489" customFormat="false" ht="15" hidden="false" customHeight="false" outlineLevel="0" collapsed="false">
      <c r="A11489" s="1" t="s">
        <v>818</v>
      </c>
      <c r="B11489" s="0" t="s">
        <v>95</v>
      </c>
      <c r="D11489" s="6" t="n">
        <f aca="false">Sens!D11486+Sens!D11488</f>
        <v>128.528</v>
      </c>
      <c r="E11489" s="6" t="n">
        <f aca="false">Sens!E11486+Sens!E11488</f>
        <v>155.237</v>
      </c>
      <c r="F11489" s="6" t="n">
        <f aca="false">Sens!F11486+Sens!F11488</f>
        <v>147.684088826423</v>
      </c>
      <c r="G11489" s="6" t="n">
        <f aca="false">Sens!G11486+Sens!G11488</f>
        <v>144.658599333868</v>
      </c>
      <c r="H11489" s="6" t="n">
        <f aca="false">Sens!H11486+Sens!H11488</f>
        <v>138.345065232074</v>
      </c>
      <c r="I11489" s="6" t="n">
        <f aca="false">Sens!I11486+Sens!I11488</f>
        <v>134.020040239943</v>
      </c>
      <c r="J11489" s="6" t="n">
        <f aca="false">Sens!J11486+Sens!J11488</f>
        <v>127.173096658495</v>
      </c>
      <c r="K11489" s="6" t="n">
        <f aca="false">Sens!K11486+Sens!K11488</f>
        <v>117.118527891155</v>
      </c>
    </row>
    <row r="11490" customFormat="false" ht="15" hidden="false" customHeight="false" outlineLevel="0" collapsed="false">
      <c r="A11490" s="22" t="s">
        <v>819</v>
      </c>
      <c r="B11490" s="28" t="s">
        <v>95</v>
      </c>
      <c r="C11490" s="28"/>
      <c r="D11490" s="23" t="n">
        <f aca="false">Sens!D11489-Q!L23</f>
        <v>0</v>
      </c>
      <c r="E11490" s="23" t="n">
        <f aca="false">Sens!E11489-Q!M23</f>
        <v>0</v>
      </c>
      <c r="F11490" s="28"/>
      <c r="G11490" s="28"/>
      <c r="H11490" s="28"/>
      <c r="I11490" s="28"/>
      <c r="J11490" s="28"/>
      <c r="K11490" s="28"/>
    </row>
    <row r="11491" customFormat="false" ht="15" hidden="false" customHeight="false" outlineLevel="0" collapsed="false">
      <c r="A11491" s="1" t="s">
        <v>820</v>
      </c>
      <c r="B11491" s="0" t="s">
        <v>126</v>
      </c>
      <c r="D11491" s="7" t="n">
        <f aca="false">Sens!D11489/Sens!D11482</f>
        <v>0.456219562408598</v>
      </c>
      <c r="E11491" s="7" t="n">
        <f aca="false">Sens!E11489/Sens!E11482</f>
        <v>0.467808184089272</v>
      </c>
      <c r="F11491" s="7" t="n">
        <f aca="false">Sens!F11489/Sens!F11482</f>
        <v>0.399614337725157</v>
      </c>
      <c r="G11491" s="7" t="n">
        <f aca="false">Sens!G11489/Sens!G11482</f>
        <v>0.343699700724757</v>
      </c>
      <c r="H11491" s="7" t="n">
        <f aca="false">Sens!H11489/Sens!H11482</f>
        <v>0.2940424017891</v>
      </c>
      <c r="I11491" s="7" t="n">
        <f aca="false">Sens!I11489/Sens!I11482</f>
        <v>0.256385437567276</v>
      </c>
      <c r="J11491" s="7" t="n">
        <f aca="false">Sens!J11489/Sens!J11482</f>
        <v>0.22217012011229</v>
      </c>
      <c r="K11491" s="7" t="n">
        <f aca="false">Sens!K11489/Sens!K11482</f>
        <v>0.189244653418786</v>
      </c>
    </row>
    <row r="11492" customFormat="false" ht="17.15" hidden="false" customHeight="false" outlineLevel="0" collapsed="false">
      <c r="A11492" s="1" t="s">
        <v>821</v>
      </c>
      <c r="B11492" s="0" t="s">
        <v>95</v>
      </c>
      <c r="E11492" s="6" t="n">
        <f aca="false">Sens!E11437</f>
        <v>16.3054059770833</v>
      </c>
      <c r="F11492" s="6" t="n">
        <f aca="false">Sens!F11437</f>
        <v>34.7530354558698</v>
      </c>
      <c r="G11492" s="6" t="n">
        <f aca="false">Sens!G11437</f>
        <v>60.5317332603396</v>
      </c>
      <c r="H11492" s="6" t="n">
        <f aca="false">Sens!H11437</f>
        <v>87.7673159931396</v>
      </c>
      <c r="I11492" s="6" t="n">
        <f aca="false">Sens!I11437</f>
        <v>116.022181741123</v>
      </c>
      <c r="J11492" s="6" t="n">
        <f aca="false">Sens!J11437</f>
        <v>145.249277958273</v>
      </c>
      <c r="K11492" s="6" t="n">
        <f aca="false">Sens!K11437</f>
        <v>175.76392263459</v>
      </c>
    </row>
    <row r="11493" customFormat="false" ht="17.15" hidden="false" customHeight="false" outlineLevel="0" collapsed="false">
      <c r="A11493" s="1" t="s">
        <v>822</v>
      </c>
      <c r="B11493" s="0" t="s">
        <v>95</v>
      </c>
      <c r="E11493" s="6" t="n">
        <f aca="false">Sens!E11513</f>
        <v>22.2285940229167</v>
      </c>
      <c r="F11493" s="6" t="n">
        <f aca="false">Sens!F11513</f>
        <v>23.5486693435813</v>
      </c>
      <c r="G11493" s="6" t="n">
        <f aca="false">Sens!G11513</f>
        <v>25.264091766262</v>
      </c>
      <c r="H11493" s="6" t="n">
        <f aca="false">Sens!H11513</f>
        <v>27.3438339540448</v>
      </c>
      <c r="I11493" s="6" t="n">
        <f aca="false">Sens!I11513</f>
        <v>29.7317905898047</v>
      </c>
      <c r="J11493" s="6" t="n">
        <f aca="false">Sens!J11513</f>
        <v>32.3542028558616</v>
      </c>
      <c r="K11493" s="6" t="n">
        <f aca="false">Sens!K11513</f>
        <v>35.1281528444749</v>
      </c>
    </row>
    <row r="11494" customFormat="false" ht="17.15" hidden="false" customHeight="false" outlineLevel="0" collapsed="false">
      <c r="A11494" s="1" t="s">
        <v>823</v>
      </c>
      <c r="B11494" s="0" t="s">
        <v>95</v>
      </c>
      <c r="D11494" s="6" t="n">
        <f aca="false">Q!L27</f>
        <v>-4.901</v>
      </c>
      <c r="E11494" s="6" t="n">
        <f aca="false">Q!M27</f>
        <v>10.697</v>
      </c>
      <c r="F11494" s="6" t="n">
        <f aca="false">oie_f</f>
        <v>-0.4</v>
      </c>
      <c r="G11494" s="6" t="n">
        <f aca="false">oie_f</f>
        <v>-0.4</v>
      </c>
      <c r="H11494" s="6" t="n">
        <f aca="false">oie_f</f>
        <v>-0.4</v>
      </c>
      <c r="I11494" s="6" t="n">
        <f aca="false">oie_f</f>
        <v>-0.4</v>
      </c>
      <c r="J11494" s="6" t="n">
        <f aca="false">oie_f</f>
        <v>-0.4</v>
      </c>
      <c r="K11494" s="6" t="n">
        <f aca="false">oie_f</f>
        <v>-0.4</v>
      </c>
      <c r="L11494" s="11" t="s">
        <v>824</v>
      </c>
    </row>
    <row r="11495" customFormat="false" ht="15" hidden="false" customHeight="false" outlineLevel="0" collapsed="false">
      <c r="A11495" s="1" t="s">
        <v>666</v>
      </c>
      <c r="B11495" s="0" t="s">
        <v>95</v>
      </c>
      <c r="D11495" s="6" t="n">
        <f aca="false">Sens!D11489+Sens!D11494</f>
        <v>123.627</v>
      </c>
      <c r="E11495" s="6" t="n">
        <f aca="false">Sens!E11489+Sens!E11494</f>
        <v>165.934</v>
      </c>
      <c r="F11495" s="6" t="n">
        <f aca="false">Sens!F11489+Sens!F11494</f>
        <v>147.284088826423</v>
      </c>
      <c r="G11495" s="6" t="n">
        <f aca="false">Sens!G11489+Sens!G11494</f>
        <v>144.258599333868</v>
      </c>
      <c r="H11495" s="6" t="n">
        <f aca="false">Sens!H11489+Sens!H11494</f>
        <v>137.945065232074</v>
      </c>
      <c r="I11495" s="6" t="n">
        <f aca="false">Sens!I11489+Sens!I11494</f>
        <v>133.620040239943</v>
      </c>
      <c r="J11495" s="6" t="n">
        <f aca="false">Sens!J11489+Sens!J11494</f>
        <v>126.773096658495</v>
      </c>
      <c r="K11495" s="6" t="n">
        <f aca="false">Sens!K11489+Sens!K11494</f>
        <v>116.718527891155</v>
      </c>
    </row>
    <row r="11496" customFormat="false" ht="15" hidden="false" customHeight="false" outlineLevel="0" collapsed="false">
      <c r="A11496" s="1" t="s">
        <v>668</v>
      </c>
      <c r="B11496" s="0" t="s">
        <v>95</v>
      </c>
      <c r="D11496" s="6" t="n">
        <f aca="false">Q!L29</f>
        <v>21.795</v>
      </c>
      <c r="E11496" s="6" t="n">
        <f aca="false">Q!M29</f>
        <v>32.185</v>
      </c>
      <c r="F11496" s="6" t="n">
        <f aca="false">Sens!F11495*tax_f</f>
        <v>29.4568177652847</v>
      </c>
      <c r="G11496" s="6" t="n">
        <f aca="false">Sens!G11495*tax_f</f>
        <v>28.8517198667736</v>
      </c>
      <c r="H11496" s="6" t="n">
        <f aca="false">Sens!H11495*tax_f</f>
        <v>27.5890130464149</v>
      </c>
      <c r="I11496" s="6" t="n">
        <f aca="false">Sens!I11495*tax_f</f>
        <v>26.7240080479886</v>
      </c>
      <c r="J11496" s="6" t="n">
        <f aca="false">Sens!J11495*tax_f</f>
        <v>25.354619331699</v>
      </c>
      <c r="K11496" s="6" t="n">
        <f aca="false">Sens!K11495*tax_f</f>
        <v>23.3437055782311</v>
      </c>
    </row>
    <row r="11497" customFormat="false" ht="15" hidden="false" customHeight="false" outlineLevel="0" collapsed="false">
      <c r="A11497" s="1" t="s">
        <v>825</v>
      </c>
      <c r="B11497" s="0" t="s">
        <v>95</v>
      </c>
      <c r="D11497" s="6" t="n">
        <f aca="false">Sens!D11495-Sens!D11496</f>
        <v>101.832</v>
      </c>
      <c r="E11497" s="6" t="n">
        <f aca="false">Sens!E11495-Sens!E11496</f>
        <v>133.749</v>
      </c>
      <c r="F11497" s="6" t="n">
        <f aca="false">Sens!F11495-Sens!F11496</f>
        <v>117.827271061139</v>
      </c>
      <c r="G11497" s="6" t="n">
        <f aca="false">Sens!G11495-Sens!G11496</f>
        <v>115.406879467094</v>
      </c>
      <c r="H11497" s="6" t="n">
        <f aca="false">Sens!H11495-Sens!H11496</f>
        <v>110.356052185659</v>
      </c>
      <c r="I11497" s="6" t="n">
        <f aca="false">Sens!I11495-Sens!I11496</f>
        <v>106.896032191954</v>
      </c>
      <c r="J11497" s="6" t="n">
        <f aca="false">Sens!J11495-Sens!J11496</f>
        <v>101.418477326796</v>
      </c>
      <c r="K11497" s="6" t="n">
        <f aca="false">Sens!K11495-Sens!K11496</f>
        <v>93.3748223129242</v>
      </c>
    </row>
    <row r="11498" customFormat="false" ht="17.15" hidden="false" customHeight="false" outlineLevel="0" collapsed="false">
      <c r="A11498" s="1" t="s">
        <v>826</v>
      </c>
      <c r="B11498" s="1" t="s">
        <v>79</v>
      </c>
      <c r="D11498" s="18" t="n">
        <f aca="false">Q!L31</f>
        <v>7.465</v>
      </c>
      <c r="E11498" s="18" t="n">
        <f aca="false">Q!M31</f>
        <v>7.453</v>
      </c>
      <c r="F11498" s="18" t="n">
        <f aca="false">Sens!F11535</f>
        <v>7.4735</v>
      </c>
      <c r="G11498" s="18" t="n">
        <f aca="false">Sens!G11535</f>
        <v>7.5185</v>
      </c>
      <c r="H11498" s="18" t="n">
        <f aca="false">Sens!H11535</f>
        <v>7.5635</v>
      </c>
      <c r="I11498" s="18" t="n">
        <f aca="false">Sens!I11535</f>
        <v>7.6085</v>
      </c>
      <c r="J11498" s="18" t="n">
        <f aca="false">Sens!J11535</f>
        <v>7.6535</v>
      </c>
      <c r="K11498" s="18" t="n">
        <f aca="false">Sens!K11535</f>
        <v>7.6985</v>
      </c>
    </row>
    <row r="11499" customFormat="false" ht="17.15" hidden="false" customHeight="false" outlineLevel="0" collapsed="false">
      <c r="A11499" s="0" t="s">
        <v>827</v>
      </c>
      <c r="B11499" s="0" t="s">
        <v>73</v>
      </c>
      <c r="D11499" s="8" t="n">
        <f aca="false">Sens!D11497/Sens!D11498</f>
        <v>13.641259209645</v>
      </c>
      <c r="E11499" s="8" t="n">
        <f aca="false">Sens!E11497/Sens!E11498</f>
        <v>17.9456594659869</v>
      </c>
      <c r="F11499" s="8" t="n">
        <f aca="false">Sens!F11497/Sens!F11498</f>
        <v>15.7660093746088</v>
      </c>
      <c r="G11499" s="8" t="n">
        <f aca="false">Sens!G11497/Sens!G11498</f>
        <v>15.3497212831142</v>
      </c>
      <c r="H11499" s="8" t="n">
        <f aca="false">Sens!H11497/Sens!H11498</f>
        <v>14.5906064898075</v>
      </c>
      <c r="I11499" s="8" t="n">
        <f aca="false">Sens!I11497/Sens!I11498</f>
        <v>14.0495540766188</v>
      </c>
      <c r="J11499" s="8" t="n">
        <f aca="false">Sens!J11497/Sens!J11498</f>
        <v>13.2512546321024</v>
      </c>
      <c r="K11499" s="8" t="n">
        <f aca="false">Sens!K11497/Sens!K11498</f>
        <v>12.1289630853964</v>
      </c>
      <c r="L11499" s="1" t="s">
        <v>828</v>
      </c>
    </row>
    <row r="11500" customFormat="false" ht="17.15" hidden="false" customHeight="false" outlineLevel="0" collapsed="false">
      <c r="A11500" s="0" t="s">
        <v>829</v>
      </c>
      <c r="B11500" s="0" t="s">
        <v>126</v>
      </c>
      <c r="E11500" s="7" t="n">
        <f aca="false">Sens!E11499/Sens!D11499-1</f>
        <v>0.315542736208578</v>
      </c>
      <c r="F11500" s="7" t="n">
        <f aca="false">Sens!F11499/Sens!E11499-1</f>
        <v>-0.121458344593536</v>
      </c>
      <c r="G11500" s="7" t="n">
        <f aca="false">Sens!G11499/Sens!F11499-1</f>
        <v>-0.0264041509555988</v>
      </c>
      <c r="H11500" s="7" t="n">
        <f aca="false">Sens!H11499/Sens!G11499-1</f>
        <v>-0.0494546304330453</v>
      </c>
      <c r="I11500" s="7" t="n">
        <f aca="false">Sens!I11499/Sens!H11499-1</f>
        <v>-0.037082242850336</v>
      </c>
      <c r="J11500" s="7" t="n">
        <f aca="false">Sens!J11499/Sens!I11499-1</f>
        <v>-0.056820269181703</v>
      </c>
      <c r="K11500" s="7" t="n">
        <f aca="false">Sens!K11499/Sens!J11499-1</f>
        <v>-0.0846932292725838</v>
      </c>
    </row>
    <row r="11501" customFormat="false" ht="17.15" hidden="false" customHeight="false" outlineLevel="0" collapsed="false">
      <c r="A11501" s="0" t="s">
        <v>763</v>
      </c>
      <c r="B11501" s="0" t="s">
        <v>95</v>
      </c>
      <c r="E11501" s="6" t="n">
        <f aca="false">Sens!E11446</f>
        <v>5.25</v>
      </c>
      <c r="F11501" s="6" t="n">
        <f aca="false">Sens!F11446</f>
        <v>10.5</v>
      </c>
      <c r="G11501" s="6" t="n">
        <f aca="false">Sens!G11446</f>
        <v>13.5</v>
      </c>
      <c r="H11501" s="6" t="n">
        <f aca="false">Sens!H11446</f>
        <v>16.5</v>
      </c>
      <c r="I11501" s="6" t="n">
        <f aca="false">Sens!I11446</f>
        <v>18.75</v>
      </c>
      <c r="J11501" s="6" t="n">
        <f aca="false">Sens!J11446</f>
        <v>20.25</v>
      </c>
      <c r="K11501" s="6" t="n">
        <f aca="false">Sens!K11446</f>
        <v>21.75</v>
      </c>
    </row>
    <row r="11502" customFormat="false" ht="17.15" hidden="false" customHeight="false" outlineLevel="0" collapsed="false">
      <c r="A11502" s="0" t="s">
        <v>764</v>
      </c>
      <c r="B11502" s="0" t="s">
        <v>95</v>
      </c>
      <c r="E11502" s="6" t="n">
        <f aca="false">Sens!E11426+Sens!E11501*Sens!E11485-Sens!E11427-Sens!E11437</f>
        <v>2.1514866143068</v>
      </c>
      <c r="F11502" s="6" t="n">
        <f aca="false">Sens!F11426+Sens!F11501*Sens!F11485-Sens!F11427-Sens!F11437</f>
        <v>-24.1720360317338</v>
      </c>
      <c r="G11502" s="6" t="n">
        <f aca="false">Sens!G11426+Sens!G11501*Sens!G11485-Sens!G11427-Sens!G11437</f>
        <v>-46.8665672324382</v>
      </c>
      <c r="H11502" s="6" t="n">
        <f aca="false">Sens!H11426+Sens!H11501*Sens!H11485-Sens!H11427-Sens!H11437</f>
        <v>-73.1698162335656</v>
      </c>
      <c r="I11502" s="6" t="n">
        <f aca="false">Sens!I11426+Sens!I11501*Sens!I11485-Sens!I11427-Sens!I11437</f>
        <v>-97.1135865959143</v>
      </c>
      <c r="J11502" s="6" t="n">
        <f aca="false">Sens!J11426+Sens!J11501*Sens!J11485-Sens!J11427-Sens!J11437</f>
        <v>-122.439582308385</v>
      </c>
      <c r="K11502" s="6" t="n">
        <f aca="false">Sens!K11426+Sens!K11501*Sens!K11485-Sens!K11427-Sens!K11437</f>
        <v>-149.042406687765</v>
      </c>
    </row>
    <row r="11503" customFormat="false" ht="17.15" hidden="false" customHeight="false" outlineLevel="0" collapsed="false">
      <c r="A11503" s="0" t="s">
        <v>765</v>
      </c>
      <c r="B11503" s="0" t="s">
        <v>95</v>
      </c>
      <c r="E11503" s="6" t="n">
        <f aca="false">Sens!E11409*(cxit_open+self_build*tk_cxfac)/1000*ai_net_open</f>
        <v>126.6980382</v>
      </c>
      <c r="F11503" s="6" t="n">
        <f aca="false">Sens!E11503+Sens!F11434-Sens!F11437</f>
        <v>260.715655514568</v>
      </c>
      <c r="G11503" s="6" t="n">
        <f aca="false">Sens!F11503+Sens!G11434-Sens!G11437</f>
        <v>383.758102737428</v>
      </c>
      <c r="H11503" s="6" t="n">
        <f aca="false">Sens!G11503+Sens!H11434-Sens!H11437</f>
        <v>484.071072654689</v>
      </c>
      <c r="I11503" s="6" t="n">
        <f aca="false">Sens!H11503+Sens!I11434-Sens!I11437</f>
        <v>586.387852170632</v>
      </c>
      <c r="J11503" s="6" t="n">
        <f aca="false">Sens!I11503+Sens!J11434-Sens!J11437</f>
        <v>674.915635136093</v>
      </c>
      <c r="K11503" s="6" t="n">
        <f aca="false">Sens!J11503+Sens!K11434-Sens!K11437</f>
        <v>778.008024451903</v>
      </c>
      <c r="L11503" s="1" t="s">
        <v>766</v>
      </c>
    </row>
    <row r="11504" customFormat="false" ht="17.15" hidden="false" customHeight="false" outlineLevel="0" collapsed="false">
      <c r="A11504" s="0" t="s">
        <v>767</v>
      </c>
      <c r="B11504" s="0" t="s">
        <v>126</v>
      </c>
      <c r="F11504" s="7" t="n">
        <f aca="false">Sens!F11502*(1-tax_f)/((Sens!E11503+Sens!F11503)/2)</f>
        <v>-0.0998293510999863</v>
      </c>
      <c r="G11504" s="7" t="n">
        <f aca="false">Sens!G11502*(1-tax_f)/((Sens!F11503+Sens!G11503)/2)</f>
        <v>-0.11635308127252</v>
      </c>
      <c r="H11504" s="7" t="n">
        <f aca="false">Sens!H11502*(1-tax_f)/((Sens!G11503+Sens!H11503)/2)</f>
        <v>-0.134901786311583</v>
      </c>
      <c r="I11504" s="7" t="n">
        <f aca="false">Sens!I11502*(1-tax_f)/((Sens!H11503+Sens!I11503)/2)</f>
        <v>-0.145154321151387</v>
      </c>
      <c r="J11504" s="7" t="n">
        <f aca="false">Sens!J11502*(1-tax_f)/((Sens!I11503+Sens!J11503)/2)</f>
        <v>-0.155318155911651</v>
      </c>
      <c r="K11504" s="7" t="n">
        <f aca="false">Sens!K11502*(1-tax_f)/((Sens!J11503+Sens!K11503)/2)</f>
        <v>-0.164129649294889</v>
      </c>
    </row>
    <row r="11505" customFormat="false" ht="17.15" hidden="false" customHeight="false" outlineLevel="0" collapsed="false">
      <c r="A11505" s="1" t="s">
        <v>768</v>
      </c>
      <c r="B11505" s="0" t="s">
        <v>126</v>
      </c>
      <c r="F11505" s="7" t="n">
        <f aca="false">Sens!F11438*(1-tax_f)/(Sens!F11425*(Sens!E11503+Sens!F11503)/2)</f>
        <v>-0.0669943173822116</v>
      </c>
      <c r="G11505" s="7" t="n">
        <f aca="false">Sens!G11438*(1-tax_f)/(Sens!G11425*(Sens!F11503+Sens!G11503)/2)</f>
        <v>-0.0810052821766535</v>
      </c>
      <c r="H11505" s="7" t="n">
        <f aca="false">Sens!H11438*(1-tax_f)/(Sens!H11425*(Sens!G11503+Sens!H11503)/2)</f>
        <v>-0.0990064451620014</v>
      </c>
      <c r="I11505" s="7" t="n">
        <f aca="false">Sens!I11438*(1-tax_f)/(Sens!I11425*(Sens!H11503+Sens!I11503)/2)</f>
        <v>-0.103770090097435</v>
      </c>
      <c r="J11505" s="7" t="n">
        <f aca="false">Sens!J11438*(1-tax_f)/(Sens!J11425*(Sens!I11503+Sens!J11503)/2)</f>
        <v>-0.109198418490632</v>
      </c>
      <c r="K11505" s="7" t="n">
        <f aca="false">Sens!K11438*(1-tax_f)/(Sens!K11425*(Sens!J11503+Sens!K11503)/2)</f>
        <v>-0.114530763355288</v>
      </c>
    </row>
    <row r="11506" customFormat="false" ht="17.15" hidden="false" customHeight="false" outlineLevel="0" collapsed="false">
      <c r="A11506" s="0" t="s">
        <v>769</v>
      </c>
      <c r="B11506" s="0" t="s">
        <v>208</v>
      </c>
      <c r="F11506" s="7" t="n">
        <f aca="false">Sens!F11504-wacc</f>
        <v>-0.20879257225024</v>
      </c>
      <c r="G11506" s="7" t="n">
        <f aca="false">Sens!G11504-wacc</f>
        <v>-0.225316302422774</v>
      </c>
      <c r="H11506" s="7" t="n">
        <f aca="false">Sens!H11504-wacc</f>
        <v>-0.243865007461837</v>
      </c>
      <c r="I11506" s="7" t="n">
        <f aca="false">Sens!I11504-wacc</f>
        <v>-0.254117542301641</v>
      </c>
      <c r="J11506" s="7" t="n">
        <f aca="false">Sens!J11504-wacc</f>
        <v>-0.264281377061905</v>
      </c>
      <c r="K11506" s="7" t="n">
        <f aca="false">Sens!K11504-wacc</f>
        <v>-0.273092870445143</v>
      </c>
    </row>
    <row r="11507" customFormat="false" ht="17.15" hidden="false" customHeight="false" outlineLevel="0" collapsed="false">
      <c r="A11507" s="0" t="s">
        <v>770</v>
      </c>
      <c r="B11507" s="0" t="s">
        <v>95</v>
      </c>
      <c r="F11507" s="6" t="n">
        <f aca="false">Sens!F11502*(1-tax_f)-wacc*(Sens!E11503+Sens!F11503)/2</f>
        <v>-40.4445508178157</v>
      </c>
      <c r="G11507" s="6" t="n">
        <f aca="false">Sens!G11502*(1-tax_f)-wacc*(Sens!F11503+Sens!G11503)/2</f>
        <v>-72.6052221089243</v>
      </c>
      <c r="H11507" s="6" t="n">
        <f aca="false">Sens!H11502*(1-tax_f)-wacc*(Sens!G11503+Sens!H11503)/2</f>
        <v>-105.816584166299</v>
      </c>
      <c r="I11507" s="6" t="n">
        <f aca="false">Sens!I11502*(1-tax_f)-wacc*(Sens!H11503+Sens!I11503)/2</f>
        <v>-136.011195555734</v>
      </c>
      <c r="J11507" s="6" t="n">
        <f aca="false">Sens!J11502*(1-tax_f)-wacc*(Sens!I11503+Sens!J11503)/2</f>
        <v>-166.669511259202</v>
      </c>
      <c r="K11507" s="6" t="n">
        <f aca="false">Sens!K11502*(1-tax_f)-wacc*(Sens!J11503+Sens!K11503)/2</f>
        <v>-198.391546367274</v>
      </c>
    </row>
    <row r="11508" customFormat="false" ht="17.15" hidden="false" customHeight="false" outlineLevel="0" collapsed="false">
      <c r="A11508" s="1" t="s">
        <v>771</v>
      </c>
      <c r="B11508" s="0" t="s">
        <v>95</v>
      </c>
      <c r="F11508" s="6" t="n">
        <f aca="false">(Sens!E11410+Sens!F11410)/2*Sens!F11417/1000</f>
        <v>26.7873066765967</v>
      </c>
      <c r="G11508" s="6" t="n">
        <f aca="false">(Sens!F11410+Sens!G11410)/2*Sens!G11417/1000</f>
        <v>45.4131817597218</v>
      </c>
      <c r="H11508" s="6" t="n">
        <f aca="false">(Sens!G11410+Sens!H11410)/2*Sens!H11417/1000</f>
        <v>65.3915129357971</v>
      </c>
      <c r="I11508" s="6" t="n">
        <f aca="false">(Sens!H11410+Sens!I11410)/2*Sens!I11417/1000</f>
        <v>85.5187419289299</v>
      </c>
      <c r="J11508" s="6" t="n">
        <f aca="false">(Sens!I11410+Sens!J11410)/2*Sens!J11417/1000</f>
        <v>105.723807195006</v>
      </c>
      <c r="K11508" s="6" t="n">
        <f aca="false">(Sens!J11410+Sens!K11410)/2*Sens!K11417/1000</f>
        <v>125.974659797015</v>
      </c>
      <c r="L11508" s="1" t="s">
        <v>772</v>
      </c>
    </row>
    <row r="11509" customFormat="false" ht="17.15" hidden="false" customHeight="false" outlineLevel="0" collapsed="false">
      <c r="A11509" s="1" t="s">
        <v>773</v>
      </c>
      <c r="B11509" s="0" t="s">
        <v>126</v>
      </c>
      <c r="F11509" s="7" t="n">
        <f aca="false">(Sens!F11426+Sens!F11508-Sens!F11427-Sens!F11437)*(1-tax_f)/((Sens!E11503+Sens!F11503)/2)</f>
        <v>-0.013958335884118</v>
      </c>
      <c r="G11509" s="7" t="n">
        <f aca="false">(Sens!G11426+Sens!G11508-Sens!G11427-Sens!G11437)*(1-tax_f)/((Sens!F11503+Sens!G11503)/2)</f>
        <v>-0.022744286090212</v>
      </c>
      <c r="H11509" s="7" t="n">
        <f aca="false">(Sens!H11426+Sens!H11508-Sens!H11427-Sens!H11437)*(1-tax_f)/((Sens!G11503+Sens!H11503)/2)</f>
        <v>-0.0317096499172003</v>
      </c>
      <c r="I11509" s="7" t="n">
        <f aca="false">(Sens!I11426+Sens!I11508-Sens!I11427-Sens!I11437)*(1-tax_f)/((Sens!H11503+Sens!I11503)/2)</f>
        <v>-0.0333319393823039</v>
      </c>
      <c r="J11509" s="7" t="n">
        <f aca="false">(Sens!J11426+Sens!J11508-Sens!J11427-Sens!J11437)*(1-tax_f)/((Sens!I11503+Sens!J11503)/2)</f>
        <v>-0.0358710324717118</v>
      </c>
      <c r="K11509" s="7" t="n">
        <f aca="false">(Sens!K11426+Sens!K11508-Sens!K11427-Sens!K11437)*(1-tax_f)/((Sens!J11503+Sens!K11503)/2)</f>
        <v>-0.0390782478219573</v>
      </c>
      <c r="L11509" s="1" t="s">
        <v>774</v>
      </c>
    </row>
    <row r="11510" customFormat="false" ht="17.15" hidden="false" customHeight="false" outlineLevel="0" collapsed="false">
      <c r="A11510" s="3" t="s">
        <v>1440</v>
      </c>
    </row>
    <row r="11511" customFormat="false" ht="15" hidden="false" customHeight="false" outlineLevel="0" collapsed="false">
      <c r="A11511" s="4" t="s">
        <v>43</v>
      </c>
      <c r="B11511" s="4" t="s">
        <v>63</v>
      </c>
      <c r="C11511" s="19" t="s">
        <v>710</v>
      </c>
      <c r="D11511" s="19" t="s">
        <v>711</v>
      </c>
      <c r="E11511" s="19" t="s">
        <v>712</v>
      </c>
      <c r="F11511" s="19" t="s">
        <v>713</v>
      </c>
      <c r="G11511" s="19" t="s">
        <v>714</v>
      </c>
      <c r="H11511" s="19" t="s">
        <v>715</v>
      </c>
      <c r="I11511" s="19" t="s">
        <v>716</v>
      </c>
      <c r="J11511" s="19" t="s">
        <v>717</v>
      </c>
      <c r="K11511" s="19" t="s">
        <v>718</v>
      </c>
      <c r="L11511" s="4" t="s">
        <v>47</v>
      </c>
    </row>
    <row r="11512" customFormat="false" ht="15" hidden="false" customHeight="false" outlineLevel="0" collapsed="false">
      <c r="A11512" s="1" t="s">
        <v>825</v>
      </c>
      <c r="B11512" s="0" t="s">
        <v>95</v>
      </c>
      <c r="F11512" s="6" t="n">
        <f aca="false">Sens!F11497</f>
        <v>117.827271061139</v>
      </c>
      <c r="G11512" s="6" t="n">
        <f aca="false">Sens!G11497</f>
        <v>115.406879467094</v>
      </c>
      <c r="H11512" s="6" t="n">
        <f aca="false">Sens!H11497</f>
        <v>110.356052185659</v>
      </c>
      <c r="I11512" s="6" t="n">
        <f aca="false">Sens!I11497</f>
        <v>106.896032191954</v>
      </c>
      <c r="J11512" s="6" t="n">
        <f aca="false">Sens!J11497</f>
        <v>101.418477326796</v>
      </c>
      <c r="K11512" s="6" t="n">
        <f aca="false">Sens!K11497</f>
        <v>93.3748223129242</v>
      </c>
    </row>
    <row r="11513" customFormat="false" ht="17.15" hidden="false" customHeight="false" outlineLevel="0" collapsed="false">
      <c r="A11513" s="1" t="s">
        <v>843</v>
      </c>
      <c r="B11513" s="0" t="s">
        <v>95</v>
      </c>
      <c r="E11513" s="6" t="n">
        <f aca="false">Q!M38-Sens!E11437</f>
        <v>22.2285940229167</v>
      </c>
      <c r="F11513" s="6" t="n">
        <f aca="false">Sens!E11513*(1-1/life_nonai)+Sens!F11519/life_nonai</f>
        <v>23.5486693435813</v>
      </c>
      <c r="G11513" s="6" t="n">
        <f aca="false">Sens!F11513*(1-1/life_nonai)+Sens!G11519/life_nonai</f>
        <v>25.264091766262</v>
      </c>
      <c r="H11513" s="6" t="n">
        <f aca="false">Sens!G11513*(1-1/life_nonai)+Sens!H11519/life_nonai</f>
        <v>27.3438339540448</v>
      </c>
      <c r="I11513" s="6" t="n">
        <f aca="false">Sens!H11513*(1-1/life_nonai)+Sens!I11519/life_nonai</f>
        <v>29.7317905898047</v>
      </c>
      <c r="J11513" s="6" t="n">
        <f aca="false">Sens!I11513*(1-1/life_nonai)+Sens!J11519/life_nonai</f>
        <v>32.3542028558616</v>
      </c>
      <c r="K11513" s="6" t="n">
        <f aca="false">Sens!J11513*(1-1/life_nonai)+Sens!K11519/life_nonai</f>
        <v>35.1281528444749</v>
      </c>
      <c r="L11513" s="11" t="s">
        <v>844</v>
      </c>
    </row>
    <row r="11514" customFormat="false" ht="17.15" hidden="false" customHeight="false" outlineLevel="0" collapsed="false">
      <c r="A11514" s="1" t="s">
        <v>845</v>
      </c>
      <c r="B11514" s="0" t="s">
        <v>95</v>
      </c>
      <c r="E11514" s="6" t="n">
        <f aca="false">Sens!E11437+Sens!E11513</f>
        <v>38.534</v>
      </c>
      <c r="F11514" s="6" t="n">
        <f aca="false">Sens!F11437+Sens!F11513</f>
        <v>58.301704799451</v>
      </c>
      <c r="G11514" s="6" t="n">
        <f aca="false">Sens!G11437+Sens!G11513</f>
        <v>85.7958250266017</v>
      </c>
      <c r="H11514" s="6" t="n">
        <f aca="false">Sens!H11437+Sens!H11513</f>
        <v>115.111149947184</v>
      </c>
      <c r="I11514" s="6" t="n">
        <f aca="false">Sens!I11437+Sens!I11513</f>
        <v>145.753972330928</v>
      </c>
      <c r="J11514" s="6" t="n">
        <f aca="false">Sens!J11437+Sens!J11513</f>
        <v>177.603480814135</v>
      </c>
      <c r="K11514" s="6" t="n">
        <f aca="false">Sens!K11437+Sens!K11513</f>
        <v>210.892075479064</v>
      </c>
    </row>
    <row r="11515" customFormat="false" ht="15" hidden="false" customHeight="false" outlineLevel="0" collapsed="false">
      <c r="A11515" s="1" t="s">
        <v>685</v>
      </c>
      <c r="B11515" s="0" t="s">
        <v>95</v>
      </c>
      <c r="F11515" s="6" t="n">
        <f aca="false">Sens!F11464*sbc_r</f>
        <v>13.8153530790443</v>
      </c>
      <c r="G11515" s="6" t="n">
        <f aca="false">Sens!G11464*sbc_r</f>
        <v>15.7338296721423</v>
      </c>
      <c r="H11515" s="6" t="n">
        <f aca="false">Sens!H11464*sbc_r</f>
        <v>17.5882671537659</v>
      </c>
      <c r="I11515" s="6" t="n">
        <f aca="false">Sens!I11464*sbc_r</f>
        <v>19.5409526587817</v>
      </c>
      <c r="J11515" s="6" t="n">
        <f aca="false">Sens!J11464*sbc_r</f>
        <v>21.3982836094914</v>
      </c>
      <c r="K11515" s="6" t="n">
        <f aca="false">Sens!K11464*sbc_r</f>
        <v>23.1350972280693</v>
      </c>
    </row>
    <row r="11516" customFormat="false" ht="17.15" hidden="false" customHeight="false" outlineLevel="0" collapsed="false">
      <c r="A11516" s="1" t="s">
        <v>846</v>
      </c>
      <c r="B11516" s="0" t="s">
        <v>95</v>
      </c>
      <c r="F11516" s="6" t="n">
        <f aca="false">wc27</f>
        <v>-4.895</v>
      </c>
      <c r="G11516" s="6" t="n">
        <f aca="false">0</f>
        <v>0</v>
      </c>
      <c r="H11516" s="6" t="n">
        <f aca="false">0</f>
        <v>0</v>
      </c>
      <c r="I11516" s="6" t="n">
        <f aca="false">0</f>
        <v>0</v>
      </c>
      <c r="J11516" s="6" t="n">
        <f aca="false">0</f>
        <v>0</v>
      </c>
      <c r="K11516" s="6" t="n">
        <f aca="false">0</f>
        <v>0</v>
      </c>
      <c r="L11516" s="11" t="s">
        <v>847</v>
      </c>
    </row>
    <row r="11517" customFormat="false" ht="15" hidden="false" customHeight="false" outlineLevel="0" collapsed="false">
      <c r="A11517" s="1" t="s">
        <v>678</v>
      </c>
      <c r="B11517" s="0" t="s">
        <v>95</v>
      </c>
      <c r="E11517" s="6" t="n">
        <f aca="false">Q!M35</f>
        <v>182.935</v>
      </c>
      <c r="F11517" s="6" t="n">
        <f aca="false">Sens!F11512+Sens!F11514+Sens!F11515+Sens!F11516</f>
        <v>185.049328939634</v>
      </c>
      <c r="G11517" s="6" t="n">
        <f aca="false">Sens!G11512+Sens!G11514+Sens!G11515+Sens!G11516</f>
        <v>216.936534165838</v>
      </c>
      <c r="H11517" s="6" t="n">
        <f aca="false">Sens!H11512+Sens!H11514+Sens!H11515+Sens!H11516</f>
        <v>243.05546928661</v>
      </c>
      <c r="I11517" s="6" t="n">
        <f aca="false">Sens!I11512+Sens!I11514+Sens!I11515+Sens!I11516</f>
        <v>272.190957181664</v>
      </c>
      <c r="J11517" s="6" t="n">
        <f aca="false">Sens!J11512+Sens!J11514+Sens!J11515+Sens!J11516</f>
        <v>300.420241750422</v>
      </c>
      <c r="K11517" s="6" t="n">
        <f aca="false">Sens!K11512+Sens!K11514+Sens!K11515+Sens!K11516</f>
        <v>327.401995020058</v>
      </c>
    </row>
    <row r="11518" customFormat="false" ht="17.15" hidden="false" customHeight="false" outlineLevel="0" collapsed="false">
      <c r="A11518" s="0" t="s">
        <v>848</v>
      </c>
      <c r="B11518" s="0" t="s">
        <v>95</v>
      </c>
      <c r="F11518" s="6" t="n">
        <f aca="false">Sens!F11434</f>
        <v>168.770652770438</v>
      </c>
      <c r="G11518" s="6" t="n">
        <f aca="false">Sens!G11434</f>
        <v>183.5741804832</v>
      </c>
      <c r="H11518" s="6" t="n">
        <f aca="false">Sens!H11434</f>
        <v>188.0802859104</v>
      </c>
      <c r="I11518" s="6" t="n">
        <f aca="false">Sens!I11434</f>
        <v>218.338961257067</v>
      </c>
      <c r="J11518" s="6" t="n">
        <f aca="false">Sens!J11434</f>
        <v>233.777060923733</v>
      </c>
      <c r="K11518" s="6" t="n">
        <f aca="false">Sens!K11434</f>
        <v>278.8563119504</v>
      </c>
    </row>
    <row r="11519" customFormat="false" ht="17.15" hidden="false" customHeight="false" outlineLevel="0" collapsed="false">
      <c r="A11519" s="1" t="s">
        <v>849</v>
      </c>
      <c r="B11519" s="0" t="s">
        <v>95</v>
      </c>
      <c r="E11519" s="6" t="n">
        <f aca="false">Sens!E11442*cx_azo+Sens!E11449*cx_m365+Sens!E11450*cx_lic+(Sens!E11452+Sens!E11454)*cx_ind+Sens!E11457*cx_srch+(Sens!E11459+Sens!E11461)*cx_dev</f>
        <v>30.1846587067718</v>
      </c>
      <c r="F11519" s="6" t="n">
        <f aca="false">Sens!F11442*cx_azo+Sens!F11449*cx_m365+Sens!F11450*cx_lic+(Sens!F11452+Sens!F11454)*cx_ind+Sens!F11457*cx_srch+(Sens!F11459+Sens!F11461)*cx_dev</f>
        <v>35.4293472295625</v>
      </c>
      <c r="G11519" s="6" t="n">
        <f aca="false">Sens!G11442*cx_azo+Sens!G11449*cx_m365+Sens!G11450*cx_lic+(Sens!G11452+Sens!G11454)*cx_ind+Sens!G11457*cx_srch+(Sens!G11459+Sens!G11461)*cx_dev</f>
        <v>40.7028935703892</v>
      </c>
      <c r="H11519" s="6" t="n">
        <f aca="false">Sens!H11442*cx_azo+Sens!H11449*cx_m365+Sens!H11450*cx_lic+(Sens!H11452+Sens!H11454)*cx_ind+Sens!H11457*cx_srch+(Sens!H11459+Sens!H11461)*cx_dev</f>
        <v>46.0615136440897</v>
      </c>
      <c r="I11519" s="6" t="n">
        <f aca="false">Sens!I11442*cx_azo+Sens!I11449*cx_m365+Sens!I11450*cx_lic+(Sens!I11452+Sens!I11454)*cx_ind+Sens!I11457*cx_srch+(Sens!I11459+Sens!I11461)*cx_dev</f>
        <v>51.2234003116439</v>
      </c>
      <c r="J11519" s="6" t="n">
        <f aca="false">Sens!J11442*cx_azo+Sens!J11449*cx_m365+Sens!J11450*cx_lic+(Sens!J11452+Sens!J11454)*cx_ind+Sens!J11457*cx_srch+(Sens!J11459+Sens!J11461)*cx_dev</f>
        <v>55.9559132503738</v>
      </c>
      <c r="K11519" s="6" t="n">
        <f aca="false">Sens!K11442*cx_azo+Sens!K11449*cx_m365+Sens!K11450*cx_lic+(Sens!K11452+Sens!K11454)*cx_ind+Sens!K11457*cx_srch+(Sens!K11459+Sens!K11461)*cx_dev</f>
        <v>60.093702741994</v>
      </c>
    </row>
    <row r="11520" customFormat="false" ht="17.15" hidden="false" customHeight="false" outlineLevel="0" collapsed="false">
      <c r="A11520" s="1" t="s">
        <v>850</v>
      </c>
      <c r="B11520" s="0" t="s">
        <v>95</v>
      </c>
      <c r="E11520" s="6" t="n">
        <f aca="false">Q!M42</f>
        <v>145.3</v>
      </c>
      <c r="F11520" s="6" t="n">
        <f aca="false">Sens!F11518+Sens!F11519</f>
        <v>204.2</v>
      </c>
      <c r="G11520" s="6" t="n">
        <f aca="false">Sens!G11518+Sens!G11519</f>
        <v>224.277074053589</v>
      </c>
      <c r="H11520" s="6" t="n">
        <f aca="false">Sens!H11518+Sens!H11519</f>
        <v>234.14179955449</v>
      </c>
      <c r="I11520" s="6" t="n">
        <f aca="false">Sens!I11518+Sens!I11519</f>
        <v>269.562361568711</v>
      </c>
      <c r="J11520" s="6" t="n">
        <f aca="false">Sens!J11518+Sens!J11519</f>
        <v>289.732974174107</v>
      </c>
      <c r="K11520" s="6" t="n">
        <f aca="false">Sens!K11518+Sens!K11519</f>
        <v>338.950014692394</v>
      </c>
      <c r="L11520" s="1" t="s">
        <v>851</v>
      </c>
    </row>
    <row r="11521" customFormat="false" ht="15" hidden="false" customHeight="false" outlineLevel="0" collapsed="false">
      <c r="A11521" s="1" t="s">
        <v>852</v>
      </c>
      <c r="B11521" s="0" t="s">
        <v>95</v>
      </c>
      <c r="E11521" s="6" t="n">
        <f aca="false">fl_liab</f>
        <v>66.594</v>
      </c>
      <c r="F11521" s="6" t="n">
        <f aca="false">Sens!E11521-Sens!F11522</f>
        <v>62.46973</v>
      </c>
      <c r="G11521" s="6" t="n">
        <f aca="false">Sens!F11521-Sens!G11522</f>
        <v>57.98686785</v>
      </c>
      <c r="H11521" s="6" t="n">
        <f aca="false">Sens!G11521-Sens!H11522</f>
        <v>53.92827690325</v>
      </c>
      <c r="I11521" s="6" t="n">
        <f aca="false">Sens!H11521-Sens!I11522</f>
        <v>49.7850493638962</v>
      </c>
      <c r="J11521" s="6" t="n">
        <f aca="false">Sens!I11521-Sens!J11522</f>
        <v>45.4823765852716</v>
      </c>
      <c r="K11521" s="6" t="n">
        <f aca="false">Sens!J11521-Sens!K11522</f>
        <v>40.9860835316088</v>
      </c>
    </row>
    <row r="11522" customFormat="false" ht="15" hidden="false" customHeight="false" outlineLevel="0" collapsed="false">
      <c r="A11522" s="1" t="s">
        <v>853</v>
      </c>
      <c r="B11522" s="0" t="s">
        <v>95</v>
      </c>
      <c r="F11522" s="6" t="n">
        <f aca="false">fl_pay_27-Sens!E11521*fl_rate</f>
        <v>4.12427</v>
      </c>
      <c r="G11522" s="6" t="n">
        <f aca="false">fl_pay_28-Sens!F11521*fl_rate</f>
        <v>4.48286215</v>
      </c>
      <c r="H11522" s="6" t="n">
        <f aca="false">fl_pay_29-Sens!G11521*fl_rate</f>
        <v>4.05859094675</v>
      </c>
      <c r="I11522" s="6" t="n">
        <f aca="false">fl_pay_30-Sens!H11521*fl_rate</f>
        <v>4.14322753935375</v>
      </c>
      <c r="J11522" s="6" t="n">
        <f aca="false">fl_pay_31-Sens!I11521*fl_rate</f>
        <v>4.30267277862467</v>
      </c>
      <c r="K11522" s="6" t="n">
        <f aca="false">fl_pay_32-Sens!J11521*fl_rate</f>
        <v>4.49629305366278</v>
      </c>
    </row>
    <row r="11523" customFormat="false" ht="17.15" hidden="false" customHeight="false" outlineLevel="0" collapsed="false">
      <c r="A11523" s="1" t="s">
        <v>854</v>
      </c>
      <c r="B11523" s="0" t="s">
        <v>95</v>
      </c>
      <c r="E11523" s="6" t="n">
        <f aca="false">Q!M35-Q!M36-Q!M43</f>
        <v>63.886</v>
      </c>
      <c r="F11523" s="6" t="n">
        <f aca="false">Sens!F11517-Sens!F11520-Sens!F11522</f>
        <v>-23.2749410603661</v>
      </c>
      <c r="G11523" s="6" t="n">
        <f aca="false">Sens!G11517-Sens!G11520-Sens!G11522</f>
        <v>-11.8234020377511</v>
      </c>
      <c r="H11523" s="6" t="n">
        <f aca="false">Sens!H11517-Sens!H11520-Sens!H11522</f>
        <v>4.85507878537007</v>
      </c>
      <c r="I11523" s="6" t="n">
        <f aca="false">Sens!I11517-Sens!I11520-Sens!I11522</f>
        <v>-1.51463192640091</v>
      </c>
      <c r="J11523" s="6" t="n">
        <f aca="false">Sens!J11517-Sens!J11520-Sens!J11522</f>
        <v>6.38459479769025</v>
      </c>
      <c r="K11523" s="6" t="n">
        <f aca="false">Sens!K11517-Sens!K11520-Sens!K11522</f>
        <v>-16.0443127259988</v>
      </c>
      <c r="L11523" s="11" t="s">
        <v>855</v>
      </c>
    </row>
    <row r="11524" customFormat="false" ht="15" hidden="false" customHeight="false" outlineLevel="0" collapsed="false">
      <c r="A11524" s="1" t="s">
        <v>856</v>
      </c>
      <c r="B11524" s="0" t="s">
        <v>73</v>
      </c>
      <c r="F11524" s="8" t="n">
        <f aca="false">dps_27</f>
        <v>3.85</v>
      </c>
      <c r="G11524" s="8" t="n">
        <f aca="false">Sens!F11524*(1+dps_g)</f>
        <v>4.158</v>
      </c>
      <c r="H11524" s="8" t="n">
        <f aca="false">Sens!G11524*(1+dps_g)</f>
        <v>4.49064</v>
      </c>
      <c r="I11524" s="8" t="n">
        <f aca="false">Sens!H11524*(1+dps_g)</f>
        <v>4.8498912</v>
      </c>
      <c r="J11524" s="8" t="n">
        <f aca="false">Sens!I11524*(1+dps_g)</f>
        <v>5.237882496</v>
      </c>
      <c r="K11524" s="8" t="n">
        <f aca="false">Sens!J11524*(1+dps_g)</f>
        <v>5.65691309568</v>
      </c>
    </row>
    <row r="11525" customFormat="false" ht="17.15" hidden="false" customHeight="false" outlineLevel="0" collapsed="false">
      <c r="A11525" s="1" t="s">
        <v>857</v>
      </c>
      <c r="B11525" s="0" t="s">
        <v>95</v>
      </c>
      <c r="E11525" s="6" t="n">
        <f aca="false">Q!M41</f>
        <v>26.445</v>
      </c>
      <c r="F11525" s="6" t="n">
        <f aca="false">Sens!F11524*Sens!E11534</f>
        <v>28.59395</v>
      </c>
      <c r="G11525" s="6" t="n">
        <f aca="false">Sens!G11524*Sens!F11534</f>
        <v>31.068576</v>
      </c>
      <c r="H11525" s="6" t="n">
        <f aca="false">Sens!H11524*Sens!G11534</f>
        <v>33.75614088</v>
      </c>
      <c r="I11525" s="6" t="n">
        <f aca="false">Sens!I11524*Sens!H11534</f>
        <v>36.6748772544</v>
      </c>
      <c r="J11525" s="6" t="n">
        <f aca="false">Sens!J11524*Sens!I11534</f>
        <v>39.844572147072</v>
      </c>
      <c r="K11525" s="6" t="n">
        <f aca="false">Sens!K11524*Sens!J11534</f>
        <v>43.2866990081434</v>
      </c>
      <c r="L11525" s="1" t="s">
        <v>858</v>
      </c>
    </row>
    <row r="11526" customFormat="false" ht="15" hidden="false" customHeight="false" outlineLevel="0" collapsed="false">
      <c r="A11526" s="1" t="s">
        <v>859</v>
      </c>
      <c r="B11526" s="0" t="s">
        <v>95</v>
      </c>
      <c r="E11526" s="6" t="n">
        <f aca="false">Sens!E11523-Sens!E11525</f>
        <v>37.441</v>
      </c>
      <c r="F11526" s="6" t="n">
        <f aca="false">Sens!F11523-Sens!F11525</f>
        <v>-51.8688910603661</v>
      </c>
      <c r="G11526" s="6" t="n">
        <f aca="false">Sens!G11523-Sens!G11525</f>
        <v>-42.8919780377511</v>
      </c>
      <c r="H11526" s="6" t="n">
        <f aca="false">Sens!H11523-Sens!H11525</f>
        <v>-28.9010620946299</v>
      </c>
      <c r="I11526" s="6" t="n">
        <f aca="false">Sens!I11523-Sens!I11525</f>
        <v>-38.1895091808009</v>
      </c>
      <c r="J11526" s="6" t="n">
        <f aca="false">Sens!J11523-Sens!J11525</f>
        <v>-33.4599773493818</v>
      </c>
      <c r="K11526" s="6" t="n">
        <f aca="false">Sens!K11523-Sens!K11525</f>
        <v>-59.3310117341422</v>
      </c>
    </row>
    <row r="11527" customFormat="false" ht="15" hidden="false" customHeight="false" outlineLevel="0" collapsed="false">
      <c r="A11527" s="1" t="s">
        <v>860</v>
      </c>
      <c r="B11527" s="0" t="s">
        <v>95</v>
      </c>
      <c r="F11527" s="6" t="n">
        <f aca="false">debt_mat_27</f>
        <v>9.25</v>
      </c>
      <c r="G11527" s="6" t="n">
        <f aca="false">debt_mat_28</f>
        <v>0</v>
      </c>
      <c r="H11527" s="6" t="n">
        <f aca="false">debt_mat_29</f>
        <v>2.001</v>
      </c>
      <c r="I11527" s="6" t="n">
        <f aca="false">debt_mat_30</f>
        <v>0</v>
      </c>
      <c r="J11527" s="6" t="n">
        <f aca="false">debt_mat_31</f>
        <v>0.5</v>
      </c>
      <c r="K11527" s="6" t="n">
        <f aca="false">debt_mat_32</f>
        <v>0</v>
      </c>
    </row>
    <row r="11528" customFormat="false" ht="15" hidden="false" customHeight="false" outlineLevel="0" collapsed="false">
      <c r="A11528" s="1" t="s">
        <v>861</v>
      </c>
      <c r="B11528" s="0" t="s">
        <v>95</v>
      </c>
      <c r="E11528" s="6" t="n">
        <f aca="false">Q!M40</f>
        <v>22.271</v>
      </c>
      <c r="F11528" s="6" t="n">
        <f aca="false">MAX(0,MIN(bb_target,Sens!E11530+Sens!F11526-Sens!F11527-min_cash))</f>
        <v>0</v>
      </c>
      <c r="G11528" s="6" t="n">
        <f aca="false">MAX(0,MIN(bb_target,Sens!F11530+Sens!G11526-Sens!G11527-min_cash))</f>
        <v>0</v>
      </c>
      <c r="H11528" s="6" t="n">
        <f aca="false">MAX(0,MIN(bb_target,Sens!G11530+Sens!H11526-Sens!H11527-min_cash))</f>
        <v>0</v>
      </c>
      <c r="I11528" s="6" t="n">
        <f aca="false">MAX(0,MIN(bb_target,Sens!H11530+Sens!I11526-Sens!I11527-min_cash))</f>
        <v>0</v>
      </c>
      <c r="J11528" s="6" t="n">
        <f aca="false">MAX(0,MIN(bb_target,Sens!I11530+Sens!J11526-Sens!J11527-min_cash))</f>
        <v>0</v>
      </c>
      <c r="K11528" s="6" t="n">
        <f aca="false">MAX(0,MIN(bb_target,Sens!J11530+Sens!K11526-Sens!K11527-min_cash))</f>
        <v>0</v>
      </c>
    </row>
    <row r="11529" customFormat="false" ht="15" hidden="false" customHeight="false" outlineLevel="0" collapsed="false">
      <c r="A11529" s="1" t="s">
        <v>862</v>
      </c>
      <c r="B11529" s="0" t="s">
        <v>95</v>
      </c>
      <c r="F11529" s="6" t="n">
        <f aca="false">MAX(0,min_cash-(Sens!E11530+Sens!F11526-Sens!F11527-Sens!F11528))</f>
        <v>34.2758910603661</v>
      </c>
      <c r="G11529" s="6" t="n">
        <f aca="false">MAX(0,min_cash-(Sens!F11530+Sens!G11526-Sens!G11527-Sens!G11528))</f>
        <v>42.8919780377511</v>
      </c>
      <c r="H11529" s="6" t="n">
        <f aca="false">MAX(0,min_cash-(Sens!G11530+Sens!H11526-Sens!H11527-Sens!H11528))</f>
        <v>30.9020620946299</v>
      </c>
      <c r="I11529" s="6" t="n">
        <f aca="false">MAX(0,min_cash-(Sens!H11530+Sens!I11526-Sens!I11527-Sens!I11528))</f>
        <v>38.1895091808009</v>
      </c>
      <c r="J11529" s="6" t="n">
        <f aca="false">MAX(0,min_cash-(Sens!I11530+Sens!J11526-Sens!J11527-Sens!J11528))</f>
        <v>33.9599773493818</v>
      </c>
      <c r="K11529" s="6" t="n">
        <f aca="false">MAX(0,min_cash-(Sens!J11530+Sens!K11526-Sens!K11527-Sens!K11528))</f>
        <v>59.3310117341422</v>
      </c>
    </row>
    <row r="11530" customFormat="false" ht="15" hidden="false" customHeight="false" outlineLevel="0" collapsed="false">
      <c r="A11530" s="1" t="s">
        <v>863</v>
      </c>
      <c r="B11530" s="0" t="s">
        <v>95</v>
      </c>
      <c r="E11530" s="6" t="n">
        <f aca="false">cash_open</f>
        <v>76.843</v>
      </c>
      <c r="F11530" s="6" t="n">
        <f aca="false">Sens!E11530+Sens!F11526-Sens!F11527-Sens!F11528+Sens!F11529</f>
        <v>50</v>
      </c>
      <c r="G11530" s="6" t="n">
        <f aca="false">Sens!F11530+Sens!G11526-Sens!G11527-Sens!G11528+Sens!G11529</f>
        <v>50</v>
      </c>
      <c r="H11530" s="6" t="n">
        <f aca="false">Sens!G11530+Sens!H11526-Sens!H11527-Sens!H11528+Sens!H11529</f>
        <v>50</v>
      </c>
      <c r="I11530" s="6" t="n">
        <f aca="false">Sens!H11530+Sens!I11526-Sens!I11527-Sens!I11528+Sens!I11529</f>
        <v>50</v>
      </c>
      <c r="J11530" s="6" t="n">
        <f aca="false">Sens!I11530+Sens!J11526-Sens!J11527-Sens!J11528+Sens!J11529</f>
        <v>50</v>
      </c>
      <c r="K11530" s="6" t="n">
        <f aca="false">Sens!J11530+Sens!K11526-Sens!K11527-Sens!K11528+Sens!K11529</f>
        <v>50</v>
      </c>
    </row>
    <row r="11531" customFormat="false" ht="15" hidden="false" customHeight="false" outlineLevel="0" collapsed="false">
      <c r="A11531" s="1" t="s">
        <v>864</v>
      </c>
      <c r="B11531" s="0" t="s">
        <v>95</v>
      </c>
      <c r="E11531" s="6" t="n">
        <f aca="false">debt_face</f>
        <v>46.136</v>
      </c>
      <c r="F11531" s="6" t="n">
        <f aca="false">Sens!E11531-Sens!F11527+Sens!F11529</f>
        <v>71.1618910603661</v>
      </c>
      <c r="G11531" s="6" t="n">
        <f aca="false">Sens!F11531-Sens!G11527+Sens!G11529</f>
        <v>114.053869098117</v>
      </c>
      <c r="H11531" s="6" t="n">
        <f aca="false">Sens!G11531-Sens!H11527+Sens!H11529</f>
        <v>142.954931192747</v>
      </c>
      <c r="I11531" s="6" t="n">
        <f aca="false">Sens!H11531-Sens!I11527+Sens!I11529</f>
        <v>181.144440373548</v>
      </c>
      <c r="J11531" s="6" t="n">
        <f aca="false">Sens!I11531-Sens!J11527+Sens!J11529</f>
        <v>214.60441772293</v>
      </c>
      <c r="K11531" s="6" t="n">
        <f aca="false">Sens!J11531-Sens!K11527+Sens!K11529</f>
        <v>273.935429457072</v>
      </c>
    </row>
    <row r="11532" customFormat="false" ht="15" hidden="false" customHeight="false" outlineLevel="0" collapsed="false">
      <c r="A11532" s="1" t="s">
        <v>865</v>
      </c>
      <c r="B11532" s="0" t="s">
        <v>95</v>
      </c>
      <c r="E11532" s="6" t="n">
        <f aca="false">Sens!E11530-Sens!E11531</f>
        <v>30.707</v>
      </c>
      <c r="F11532" s="6" t="n">
        <f aca="false">Sens!F11530-Sens!F11531</f>
        <v>-21.1618910603661</v>
      </c>
      <c r="G11532" s="6" t="n">
        <f aca="false">Sens!G11530-Sens!G11531</f>
        <v>-64.0538690981172</v>
      </c>
      <c r="H11532" s="6" t="n">
        <f aca="false">Sens!H11530-Sens!H11531</f>
        <v>-92.9549311927472</v>
      </c>
      <c r="I11532" s="6" t="n">
        <f aca="false">Sens!I11530-Sens!I11531</f>
        <v>-131.144440373548</v>
      </c>
      <c r="J11532" s="6" t="n">
        <f aca="false">Sens!J11530-Sens!J11531</f>
        <v>-164.60441772293</v>
      </c>
      <c r="K11532" s="6" t="n">
        <f aca="false">Sens!K11530-Sens!K11531</f>
        <v>-223.935429457072</v>
      </c>
    </row>
    <row r="11533" customFormat="false" ht="15" hidden="false" customHeight="false" outlineLevel="0" collapsed="false">
      <c r="A11533" s="1" t="s">
        <v>866</v>
      </c>
      <c r="B11533" s="0" t="s">
        <v>73</v>
      </c>
      <c r="F11533" s="27" t="n">
        <f aca="false">px*(1+bb_g)^(1-0.5)</f>
        <v>553.494156066711</v>
      </c>
      <c r="G11533" s="27" t="n">
        <f aca="false">px*(1+bb_g)^(2-0.5)</f>
        <v>597.773688552047</v>
      </c>
      <c r="H11533" s="27" t="n">
        <f aca="false">px*(1+bb_g)^(3-0.5)</f>
        <v>645.595583636211</v>
      </c>
      <c r="I11533" s="27" t="n">
        <f aca="false">px*(1+bb_g)^(4-0.5)</f>
        <v>697.243230327108</v>
      </c>
      <c r="J11533" s="27" t="n">
        <f aca="false">px*(1+bb_g)^(5-0.5)</f>
        <v>753.022688753277</v>
      </c>
      <c r="K11533" s="27" t="n">
        <f aca="false">px*(1+bb_g)^(6-0.5)</f>
        <v>813.264503853539</v>
      </c>
    </row>
    <row r="11534" customFormat="false" ht="15" hidden="false" customHeight="false" outlineLevel="0" collapsed="false">
      <c r="A11534" s="1" t="s">
        <v>867</v>
      </c>
      <c r="B11534" s="1" t="s">
        <v>79</v>
      </c>
      <c r="E11534" s="18" t="n">
        <f aca="false">sh_out26</f>
        <v>7.427</v>
      </c>
      <c r="F11534" s="18" t="n">
        <f aca="false">Sens!E11534+sh_iss-Sens!F11528/Sens!F11533</f>
        <v>7.472</v>
      </c>
      <c r="G11534" s="18" t="n">
        <f aca="false">Sens!F11534+sh_iss-Sens!G11528/Sens!G11533</f>
        <v>7.517</v>
      </c>
      <c r="H11534" s="18" t="n">
        <f aca="false">Sens!G11534+sh_iss-Sens!H11528/Sens!H11533</f>
        <v>7.562</v>
      </c>
      <c r="I11534" s="18" t="n">
        <f aca="false">Sens!H11534+sh_iss-Sens!I11528/Sens!I11533</f>
        <v>7.607</v>
      </c>
      <c r="J11534" s="18" t="n">
        <f aca="false">Sens!I11534+sh_iss-Sens!J11528/Sens!J11533</f>
        <v>7.652</v>
      </c>
      <c r="K11534" s="18" t="n">
        <f aca="false">Sens!J11534+sh_iss-Sens!K11528/Sens!K11533</f>
        <v>7.697</v>
      </c>
    </row>
    <row r="11535" customFormat="false" ht="15" hidden="false" customHeight="false" outlineLevel="0" collapsed="false">
      <c r="A11535" s="1" t="s">
        <v>868</v>
      </c>
      <c r="B11535" s="1" t="s">
        <v>79</v>
      </c>
      <c r="E11535" s="18" t="n">
        <f aca="false">sh_dil26</f>
        <v>7.453</v>
      </c>
      <c r="F11535" s="18" t="n">
        <f aca="false">(Sens!E11534+Sens!F11534)/2+dil_gap</f>
        <v>7.4735</v>
      </c>
      <c r="G11535" s="18" t="n">
        <f aca="false">(Sens!F11534+Sens!G11534)/2+dil_gap</f>
        <v>7.5185</v>
      </c>
      <c r="H11535" s="18" t="n">
        <f aca="false">(Sens!G11534+Sens!H11534)/2+dil_gap</f>
        <v>7.5635</v>
      </c>
      <c r="I11535" s="18" t="n">
        <f aca="false">(Sens!H11534+Sens!I11534)/2+dil_gap</f>
        <v>7.6085</v>
      </c>
      <c r="J11535" s="18" t="n">
        <f aca="false">(Sens!I11534+Sens!J11534)/2+dil_gap</f>
        <v>7.6535</v>
      </c>
      <c r="K11535" s="18" t="n">
        <f aca="false">(Sens!J11534+Sens!K11534)/2+dil_gap</f>
        <v>7.6985</v>
      </c>
    </row>
    <row r="11536" customFormat="false" ht="17.15" hidden="false" customHeight="false" outlineLevel="0" collapsed="false">
      <c r="A11536" s="1" t="s">
        <v>869</v>
      </c>
      <c r="B11536" s="0" t="s">
        <v>95</v>
      </c>
      <c r="C11536" s="6" t="n">
        <f aca="false">SUM(Sens!F11526:J11526)</f>
        <v>-195.31141772293</v>
      </c>
    </row>
    <row r="11537" customFormat="false" ht="17.15" hidden="false" customHeight="false" outlineLevel="0" collapsed="false">
      <c r="A11537" s="1" t="s">
        <v>836</v>
      </c>
      <c r="B11537" s="1" t="s">
        <v>870</v>
      </c>
      <c r="C11537" s="30" t="str">
        <f aca="false">IF(SUM(Sens!F11529:J11529)&gt;0.05,"需要舉債 "&amp;TEXT(SUM(Sens!F11529:J11529),"0.0")&amp;" 十億美元","不需舉債")&amp;"；"&amp;IF(SUM(Sens!F11528:J11528)&lt;5*bb_target-0.05,"回購較每年 "&amp;TEXT(bb_target,"0.0")&amp;" 的目標少 "&amp;TEXT(5*bb_target-SUM(Sens!F11528:J11528),"0.0")&amp;" 十億美元（"&amp;TEXT(COUNTIF(Sens!F11528:J11528,"&lt;"&amp;(bb_target-0.05)),"0")&amp;" 年減少）","回購不減")</f>
        <v>需要舉債 180.2 十億美元；回購較每年 22.3 的目標少 111.4 十億美元（5 年減少）</v>
      </c>
    </row>
    <row r="11538" customFormat="false" ht="17.15" hidden="false" customHeight="false" outlineLevel="0" collapsed="false">
      <c r="A11538" s="3" t="s">
        <v>1441</v>
      </c>
    </row>
    <row r="11539" customFormat="false" ht="15" hidden="false" customHeight="false" outlineLevel="0" collapsed="false">
      <c r="A11539" s="4" t="s">
        <v>43</v>
      </c>
      <c r="B11539" s="4" t="s">
        <v>63</v>
      </c>
      <c r="C11539" s="19" t="s">
        <v>710</v>
      </c>
      <c r="D11539" s="19" t="s">
        <v>711</v>
      </c>
      <c r="E11539" s="19" t="s">
        <v>712</v>
      </c>
      <c r="F11539" s="19" t="s">
        <v>713</v>
      </c>
      <c r="G11539" s="19" t="s">
        <v>714</v>
      </c>
      <c r="H11539" s="19" t="s">
        <v>715</v>
      </c>
      <c r="I11539" s="19" t="s">
        <v>716</v>
      </c>
      <c r="J11539" s="19" t="s">
        <v>717</v>
      </c>
      <c r="K11539" s="19" t="s">
        <v>718</v>
      </c>
      <c r="L11539" s="4" t="s">
        <v>47</v>
      </c>
    </row>
    <row r="11540" customFormat="false" ht="17.15" hidden="false" customHeight="false" outlineLevel="0" collapsed="false">
      <c r="A11540" s="1" t="s">
        <v>938</v>
      </c>
      <c r="B11540" s="1" t="s">
        <v>213</v>
      </c>
      <c r="F11540" s="34" t="n">
        <f aca="false">1-0.5</f>
        <v>0.5</v>
      </c>
      <c r="G11540" s="34" t="n">
        <f aca="false">2-0.5</f>
        <v>1.5</v>
      </c>
      <c r="H11540" s="34" t="n">
        <f aca="false">3-0.5</f>
        <v>2.5</v>
      </c>
      <c r="I11540" s="34" t="n">
        <f aca="false">4-0.5</f>
        <v>3.5</v>
      </c>
      <c r="J11540" s="34" t="n">
        <f aca="false">5-0.5</f>
        <v>4.5</v>
      </c>
      <c r="K11540" s="34" t="n">
        <f aca="false">6-0.5</f>
        <v>5.5</v>
      </c>
    </row>
    <row r="11541" customFormat="false" ht="15" hidden="false" customHeight="false" outlineLevel="0" collapsed="false">
      <c r="A11541" s="1" t="s">
        <v>939</v>
      </c>
      <c r="B11541" s="0" t="s">
        <v>182</v>
      </c>
      <c r="F11541" s="18" t="n">
        <f aca="false">1/(1+wacc)^Sens!F11540</f>
        <v>0.949601579913219</v>
      </c>
      <c r="G11541" s="18" t="n">
        <f aca="false">1/(1+wacc)^Sens!G11540</f>
        <v>0.856296729956707</v>
      </c>
      <c r="H11541" s="18" t="n">
        <f aca="false">1/(1+wacc)^Sens!H11540</f>
        <v>0.772159719660069</v>
      </c>
      <c r="I11541" s="18" t="n">
        <f aca="false">1/(1+wacc)^Sens!I11540</f>
        <v>0.696289746073958</v>
      </c>
      <c r="J11541" s="18" t="n">
        <f aca="false">1/(1+wacc)^Sens!J11540</f>
        <v>0.627874516299776</v>
      </c>
      <c r="K11541" s="18" t="n">
        <f aca="false">1/(1+wacc)^Sens!K11540</f>
        <v>0.566181550771831</v>
      </c>
    </row>
    <row r="11542" customFormat="false" ht="15" hidden="false" customHeight="false" outlineLevel="0" collapsed="false">
      <c r="A11542" s="1" t="s">
        <v>940</v>
      </c>
      <c r="B11542" s="0" t="s">
        <v>95</v>
      </c>
      <c r="F11542" s="6" t="n">
        <f aca="false">Sens!F11523*Sens!F11541</f>
        <v>-22.1019208033107</v>
      </c>
      <c r="G11542" s="6" t="n">
        <f aca="false">Sens!G11523*Sens!G11541</f>
        <v>-10.1243405018897</v>
      </c>
      <c r="H11542" s="6" t="n">
        <f aca="false">Sens!H11523*Sens!H11541</f>
        <v>3.7488962738389</v>
      </c>
      <c r="I11542" s="6" t="n">
        <f aca="false">Sens!I11523*Sens!I11541</f>
        <v>-1.0546226794292</v>
      </c>
      <c r="J11542" s="6" t="n">
        <f aca="false">Sens!J11523*Sens!J11541</f>
        <v>4.00872437036984</v>
      </c>
      <c r="K11542" s="6" t="n">
        <f aca="false">Sens!K11523*Sens!K11541</f>
        <v>-9.08399386027426</v>
      </c>
    </row>
    <row r="11543" customFormat="false" ht="17.15" hidden="false" customHeight="false" outlineLevel="0" collapsed="false">
      <c r="A11543" s="1" t="s">
        <v>941</v>
      </c>
      <c r="B11543" s="0" t="s">
        <v>95</v>
      </c>
      <c r="C11543" s="6" t="n">
        <f aca="false">SUM(Sens!F11542:K11542)</f>
        <v>-34.6072572006952</v>
      </c>
    </row>
    <row r="11544" customFormat="false" ht="17.15" hidden="false" customHeight="false" outlineLevel="0" collapsed="false">
      <c r="A11544" s="1" t="s">
        <v>942</v>
      </c>
      <c r="B11544" s="0" t="s">
        <v>95</v>
      </c>
      <c r="C11544" s="6" t="n">
        <f aca="false">Sens!K11489*(1+g_tv)*(1-tax_f)</f>
        <v>96.5056669823119</v>
      </c>
    </row>
    <row r="11545" customFormat="false" ht="17.15" hidden="false" customHeight="false" outlineLevel="0" collapsed="false">
      <c r="A11545" s="1" t="s">
        <v>943</v>
      </c>
      <c r="B11545" s="0" t="s">
        <v>95</v>
      </c>
      <c r="C11545" s="6" t="n">
        <f aca="false">Sens!$C$11544*(1-g_tv/(wacc+ronic_prem))</f>
        <v>69.9355089151501</v>
      </c>
    </row>
    <row r="11546" customFormat="false" ht="17.15" hidden="false" customHeight="false" outlineLevel="0" collapsed="false">
      <c r="A11546" s="1" t="s">
        <v>944</v>
      </c>
      <c r="B11546" s="0" t="s">
        <v>95</v>
      </c>
      <c r="C11546" s="6" t="n">
        <f aca="false">Sens!$C$11545/(wacc-g_tv)</f>
        <v>885.671935572061</v>
      </c>
    </row>
    <row r="11547" customFormat="false" ht="15" hidden="false" customHeight="false" outlineLevel="0" collapsed="false">
      <c r="A11547" s="1" t="s">
        <v>945</v>
      </c>
      <c r="B11547" s="0" t="s">
        <v>95</v>
      </c>
      <c r="C11547" s="6" t="n">
        <f aca="false">Sens!$C$11546/(1+wacc)^6</f>
        <v>476.178766264669</v>
      </c>
    </row>
    <row r="11548" customFormat="false" ht="17.15" hidden="false" customHeight="false" outlineLevel="0" collapsed="false">
      <c r="A11548" s="0" t="s">
        <v>877</v>
      </c>
      <c r="B11548" s="0" t="s">
        <v>95</v>
      </c>
      <c r="C11548" s="6" t="n">
        <f aca="false">Sens!$C$11543+Sens!$C$11547</f>
        <v>441.571509063974</v>
      </c>
    </row>
    <row r="11549" customFormat="false" ht="15" hidden="false" customHeight="false" outlineLevel="0" collapsed="false">
      <c r="A11549" s="1" t="s">
        <v>878</v>
      </c>
      <c r="B11549" s="0" t="s">
        <v>126</v>
      </c>
      <c r="C11549" s="7" t="n">
        <f aca="false">Sens!$C$11547/Sens!$C$11548</f>
        <v>1.0783729395813</v>
      </c>
    </row>
    <row r="11550" customFormat="false" ht="17.15" hidden="false" customHeight="false" outlineLevel="0" collapsed="false">
      <c r="A11550" s="1" t="s">
        <v>946</v>
      </c>
      <c r="B11550" s="0" t="s">
        <v>95</v>
      </c>
      <c r="C11550" s="6" t="n">
        <f aca="false">Sens!$C$11548+Sens!E11532+oai_v</f>
        <v>642.678509063974</v>
      </c>
    </row>
    <row r="11551" customFormat="false" ht="17.15" hidden="false" customHeight="false" outlineLevel="0" collapsed="false">
      <c r="A11551" s="0" t="s">
        <v>883</v>
      </c>
      <c r="B11551" s="0" t="s">
        <v>73</v>
      </c>
      <c r="C11551" s="5" t="n">
        <f aca="false">Sens!$C$11550/sh_dil26</f>
        <v>86.2308478550884</v>
      </c>
    </row>
    <row r="11552" customFormat="false" ht="17.15" hidden="false" customHeight="false" outlineLevel="0" collapsed="false">
      <c r="A11552" s="0" t="s">
        <v>947</v>
      </c>
      <c r="B11552" s="0" t="s">
        <v>73</v>
      </c>
      <c r="C11552" s="5" t="n">
        <f aca="false">Sens!$C$11551*(1+wacc)^t_roll</f>
        <v>98.9063143219456</v>
      </c>
    </row>
    <row r="11553" customFormat="false" ht="17.15" hidden="false" customHeight="false" outlineLevel="0" collapsed="false">
      <c r="A11553" s="1" t="s">
        <v>948</v>
      </c>
      <c r="B11553" s="0" t="s">
        <v>126</v>
      </c>
      <c r="F11553" s="7" t="n">
        <f aca="false">Sens!F11513/(Sens!F11464-Sens!F11420)</f>
        <v>0.0686864325746334</v>
      </c>
      <c r="G11553" s="7" t="n">
        <f aca="false">Sens!G11513/(Sens!G11464-Sens!G11420)</f>
        <v>0.066267001590801</v>
      </c>
      <c r="H11553" s="7" t="n">
        <f aca="false">Sens!H11513/(Sens!H11464-Sens!H11420)</f>
        <v>0.0650366246750144</v>
      </c>
      <c r="I11553" s="7" t="n">
        <f aca="false">Sens!I11513/(Sens!I11464-Sens!I11420)</f>
        <v>0.0648573271390164</v>
      </c>
      <c r="J11553" s="7" t="n">
        <f aca="false">Sens!J11513/(Sens!J11464-Sens!J11420)</f>
        <v>0.0655189837669657</v>
      </c>
      <c r="K11553" s="7" t="n">
        <f aca="false">Sens!K11513/(Sens!K11464-Sens!K11420)</f>
        <v>0.0667878921367872</v>
      </c>
    </row>
    <row r="11554" customFormat="false" ht="17.15" hidden="false" customHeight="false" outlineLevel="0" collapsed="false">
      <c r="A11554" s="0" t="s">
        <v>949</v>
      </c>
      <c r="B11554" s="0" t="s">
        <v>95</v>
      </c>
      <c r="F11554" s="6" t="n">
        <f aca="false">Sens!F11449*(al_m365+Sens!F11553)</f>
        <v>78.4986969872395</v>
      </c>
      <c r="G11554" s="6" t="n">
        <f aca="false">Sens!G11449*(al_m365+Sens!G11553)</f>
        <v>88.3098056906507</v>
      </c>
      <c r="H11554" s="6" t="n">
        <f aca="false">Sens!H11449*(al_m365+Sens!H11553)</f>
        <v>98.2773562913015</v>
      </c>
      <c r="I11554" s="6" t="n">
        <f aca="false">Sens!I11449*(al_m365+Sens!I11553)</f>
        <v>107.762753675846</v>
      </c>
      <c r="J11554" s="6" t="n">
        <f aca="false">Sens!J11449*(al_m365+Sens!J11553)</f>
        <v>116.587414331333</v>
      </c>
      <c r="K11554" s="6" t="n">
        <f aca="false">Sens!K11449*(al_m365+Sens!K11553)</f>
        <v>125.041394489287</v>
      </c>
    </row>
    <row r="11555" customFormat="false" ht="17.15" hidden="false" customHeight="false" outlineLevel="0" collapsed="false">
      <c r="A11555" s="0" t="s">
        <v>950</v>
      </c>
      <c r="B11555" s="0" t="s">
        <v>95</v>
      </c>
      <c r="F11555" s="6" t="n">
        <f aca="false">Sens!F11450*(al_lic+Sens!F11553)</f>
        <v>31.9877845991607</v>
      </c>
      <c r="G11555" s="6" t="n">
        <f aca="false">Sens!G11450*(al_lic+Sens!G11553)</f>
        <v>33.243749427372</v>
      </c>
      <c r="H11555" s="6" t="n">
        <f aca="false">Sens!H11450*(al_lic+Sens!H11553)</f>
        <v>34.4137793872059</v>
      </c>
      <c r="I11555" s="6" t="n">
        <f aca="false">Sens!I11450*(al_lic+Sens!I11553)</f>
        <v>35.4787240806467</v>
      </c>
      <c r="J11555" s="6" t="n">
        <f aca="false">Sens!J11450*(al_lic+Sens!J11553)</f>
        <v>36.4160307520991</v>
      </c>
      <c r="K11555" s="6" t="n">
        <f aca="false">Sens!K11450*(al_lic+Sens!K11553)</f>
        <v>37.2021461938459</v>
      </c>
    </row>
    <row r="11556" customFormat="false" ht="17.15" hidden="false" customHeight="false" outlineLevel="0" collapsed="false">
      <c r="A11556" s="0" t="s">
        <v>951</v>
      </c>
      <c r="B11556" s="0" t="s">
        <v>95</v>
      </c>
      <c r="F11556" s="6" t="n">
        <f aca="false">Sens!F11452*(al_ind+Sens!F11553)</f>
        <v>8.24280380456612</v>
      </c>
      <c r="G11556" s="6" t="n">
        <f aca="false">Sens!G11452*(al_ind+Sens!G11553)</f>
        <v>8.9512770630031</v>
      </c>
      <c r="H11556" s="6" t="n">
        <f aca="false">Sens!H11452*(al_ind+Sens!H11553)</f>
        <v>9.70041215792393</v>
      </c>
      <c r="I11556" s="6" t="n">
        <f aca="false">Sens!I11452*(al_ind+Sens!I11553)</f>
        <v>10.4864435829487</v>
      </c>
      <c r="J11556" s="6" t="n">
        <f aca="false">Sens!J11452*(al_ind+Sens!J11553)</f>
        <v>11.3015744981253</v>
      </c>
      <c r="K11556" s="6" t="n">
        <f aca="false">Sens!K11452*(al_ind+Sens!K11553)</f>
        <v>12.1346647729291</v>
      </c>
    </row>
    <row r="11557" customFormat="false" ht="17.15" hidden="false" customHeight="false" outlineLevel="0" collapsed="false">
      <c r="A11557" s="0" t="s">
        <v>952</v>
      </c>
      <c r="B11557" s="0" t="s">
        <v>95</v>
      </c>
      <c r="F11557" s="6" t="n">
        <f aca="false">Sens!F11454*(al_fro+Sens!F11553)</f>
        <v>3.24439651632051</v>
      </c>
      <c r="G11557" s="6" t="n">
        <f aca="false">Sens!G11454*(al_fro+Sens!G11553)</f>
        <v>3.43676117771401</v>
      </c>
      <c r="H11557" s="6" t="n">
        <f aca="false">Sens!H11454*(al_fro+Sens!H11553)</f>
        <v>3.65544732248501</v>
      </c>
      <c r="I11557" s="6" t="n">
        <f aca="false">Sens!I11454*(al_fro+Sens!I11553)</f>
        <v>3.90262750850979</v>
      </c>
      <c r="J11557" s="6" t="n">
        <f aca="false">Sens!J11454*(al_fro+Sens!J11553)</f>
        <v>4.17975656810881</v>
      </c>
      <c r="K11557" s="6" t="n">
        <f aca="false">Sens!K11454*(al_fro+Sens!K11553)</f>
        <v>4.48786536733111</v>
      </c>
    </row>
    <row r="11558" customFormat="false" ht="17.15" hidden="false" customHeight="false" outlineLevel="0" collapsed="false">
      <c r="A11558" s="0" t="s">
        <v>953</v>
      </c>
      <c r="B11558" s="0" t="s">
        <v>95</v>
      </c>
      <c r="F11558" s="6" t="n">
        <f aca="false">Sens!F11457*(al_srch+Sens!F11553)</f>
        <v>10.1799817910968</v>
      </c>
      <c r="G11558" s="6" t="n">
        <f aca="false">Sens!G11457*(al_srch+Sens!G11553)</f>
        <v>11.1592643133754</v>
      </c>
      <c r="H11558" s="6" t="n">
        <f aca="false">Sens!H11457*(al_srch+Sens!H11553)</f>
        <v>12.1792194533398</v>
      </c>
      <c r="I11558" s="6" t="n">
        <f aca="false">Sens!I11457*(al_srch+Sens!I11553)</f>
        <v>13.2288881134521</v>
      </c>
      <c r="J11558" s="6" t="n">
        <f aca="false">Sens!J11457*(al_srch+Sens!J11553)</f>
        <v>14.2913670918582</v>
      </c>
      <c r="K11558" s="6" t="n">
        <f aca="false">Sens!K11457*(al_srch+Sens!K11553)</f>
        <v>15.3448485284362</v>
      </c>
    </row>
    <row r="11559" customFormat="false" ht="17.15" hidden="false" customHeight="false" outlineLevel="0" collapsed="false">
      <c r="A11559" s="0" t="s">
        <v>954</v>
      </c>
      <c r="B11559" s="0" t="s">
        <v>95</v>
      </c>
      <c r="F11559" s="6" t="n">
        <f aca="false">Sens!F11426</f>
        <v>11.1188777904236</v>
      </c>
      <c r="G11559" s="6" t="n">
        <f aca="false">Sens!G11426</f>
        <v>16.7418729652095</v>
      </c>
      <c r="H11559" s="6" t="n">
        <f aca="false">Sens!H11426</f>
        <v>20.4401339720921</v>
      </c>
      <c r="I11559" s="6" t="n">
        <f aca="false">Sens!I11426</f>
        <v>27.957701891651</v>
      </c>
      <c r="J11559" s="6" t="n">
        <f aca="false">Sens!J11426</f>
        <v>35.499937005984</v>
      </c>
      <c r="K11559" s="6" t="n">
        <f aca="false">Sens!K11426</f>
        <v>43.0566826446643</v>
      </c>
    </row>
    <row r="11560" customFormat="false" ht="17.15" hidden="false" customHeight="false" outlineLevel="0" collapsed="false">
      <c r="A11560" s="0" t="s">
        <v>955</v>
      </c>
      <c r="B11560" s="0" t="s">
        <v>95</v>
      </c>
      <c r="F11560" s="6" t="n">
        <f aca="false">Sens!F11486+Sens!F11437+Sens!F11553*(Sens!F11456-Sens!F11420)</f>
        <v>182.215999235737</v>
      </c>
      <c r="G11560" s="6" t="n">
        <f aca="false">Sens!G11486+Sens!G11437+Sens!G11553*(Sens!G11456-Sens!G11420)</f>
        <v>206.123163312355</v>
      </c>
      <c r="H11560" s="6" t="n">
        <f aca="false">Sens!H11486+Sens!H11437+Sens!H11553*(Sens!H11456-Sens!H11420)</f>
        <v>228.321972838617</v>
      </c>
      <c r="I11560" s="6" t="n">
        <f aca="false">Sens!I11486+Sens!I11437+Sens!I11553*(Sens!I11456-Sens!I11420)</f>
        <v>253.624467928716</v>
      </c>
      <c r="J11560" s="6" t="n">
        <f aca="false">Sens!J11486+Sens!J11437+Sens!J11553*(Sens!J11456-Sens!J11420)</f>
        <v>277.428427264549</v>
      </c>
      <c r="K11560" s="6" t="n">
        <f aca="false">Sens!K11486+Sens!K11437+Sens!K11553*(Sens!K11456-Sens!K11420)</f>
        <v>299.308000656872</v>
      </c>
    </row>
    <row r="11561" customFormat="false" ht="17.15" hidden="false" customHeight="false" outlineLevel="0" collapsed="false">
      <c r="A11561" s="0" t="s">
        <v>956</v>
      </c>
      <c r="B11561" s="0" t="s">
        <v>95</v>
      </c>
      <c r="F11561" s="6" t="n">
        <f aca="false">Sens!F11560-Sens!F11554-Sens!F11555-Sens!F11556-Sens!F11557-Sens!F11559</f>
        <v>49.123439538027</v>
      </c>
      <c r="G11561" s="6" t="n">
        <f aca="false">Sens!G11560-Sens!G11554-Sens!G11555-Sens!G11556-Sens!G11557-Sens!G11559</f>
        <v>55.4396969884061</v>
      </c>
      <c r="H11561" s="6" t="n">
        <f aca="false">Sens!H11560-Sens!H11554-Sens!H11555-Sens!H11556-Sens!H11557-Sens!H11559</f>
        <v>61.8348437076083</v>
      </c>
      <c r="I11561" s="6" t="n">
        <f aca="false">Sens!I11560-Sens!I11554-Sens!I11555-Sens!I11556-Sens!I11557-Sens!I11559</f>
        <v>68.036217189113</v>
      </c>
      <c r="J11561" s="6" t="n">
        <f aca="false">Sens!J11560-Sens!J11554-Sens!J11555-Sens!J11556-Sens!J11557-Sens!J11559</f>
        <v>73.4437141088982</v>
      </c>
      <c r="K11561" s="6" t="n">
        <f aca="false">Sens!K11560-Sens!K11554-Sens!K11555-Sens!K11556-Sens!K11557-Sens!K11559</f>
        <v>77.3852471888144</v>
      </c>
    </row>
    <row r="11562" customFormat="false" ht="17.15" hidden="false" customHeight="false" outlineLevel="0" collapsed="false">
      <c r="A11562" s="0" t="s">
        <v>957</v>
      </c>
      <c r="B11562" s="0" t="s">
        <v>95</v>
      </c>
      <c r="F11562" s="6" t="n">
        <f aca="false">Sens!F11488+Sens!F11553*Sens!F11463</f>
        <v>23.7697943901369</v>
      </c>
      <c r="G11562" s="6" t="n">
        <f aca="false">Sens!G11488+Sens!G11553*Sens!G11463</f>
        <v>24.331261048114</v>
      </c>
      <c r="H11562" s="6" t="n">
        <f aca="false">Sens!H11488+Sens!H11553*Sens!H11463</f>
        <v>25.1342423406419</v>
      </c>
      <c r="I11562" s="6" t="n">
        <f aca="false">Sens!I11488+Sens!I11553*Sens!I11463</f>
        <v>26.1495446421549</v>
      </c>
      <c r="J11562" s="6" t="n">
        <f aca="false">Sens!J11488+Sens!J11553*Sens!J11463</f>
        <v>27.3481502080811</v>
      </c>
      <c r="K11562" s="6" t="n">
        <f aca="false">Sens!K11488+Sens!K11553*Sens!K11463</f>
        <v>28.7026027133478</v>
      </c>
    </row>
    <row r="11563" customFormat="false" ht="17.15" hidden="false" customHeight="false" outlineLevel="0" collapsed="false">
      <c r="A11563" s="0" t="s">
        <v>958</v>
      </c>
      <c r="B11563" s="0" t="s">
        <v>95</v>
      </c>
      <c r="F11563" s="6" t="n">
        <f aca="false">(Sens!F11562-Sens!F11558)*Sens!F11459/(Sens!F11459+Sens!F11461)</f>
        <v>7.44980290393703</v>
      </c>
      <c r="G11563" s="6" t="n">
        <f aca="false">(Sens!G11562-Sens!G11558)*Sens!G11459/(Sens!G11459+Sens!G11461)</f>
        <v>7.09201461396229</v>
      </c>
      <c r="H11563" s="6" t="n">
        <f aca="false">(Sens!H11562-Sens!H11558)*Sens!H11459/(Sens!H11459+Sens!H11461)</f>
        <v>6.8809692168288</v>
      </c>
      <c r="I11563" s="6" t="n">
        <f aca="false">(Sens!I11562-Sens!I11558)*Sens!I11459/(Sens!I11459+Sens!I11461)</f>
        <v>6.80062182771623</v>
      </c>
      <c r="J11563" s="6" t="n">
        <f aca="false">(Sens!J11562-Sens!J11558)*Sens!J11459/(Sens!J11459+Sens!J11461)</f>
        <v>6.84119415814997</v>
      </c>
      <c r="K11563" s="6" t="n">
        <f aca="false">(Sens!K11562-Sens!K11558)*Sens!K11459/(Sens!K11459+Sens!K11461)</f>
        <v>6.99889008512965</v>
      </c>
    </row>
    <row r="11564" customFormat="false" ht="17.15" hidden="false" customHeight="false" outlineLevel="0" collapsed="false">
      <c r="A11564" s="0" t="s">
        <v>959</v>
      </c>
      <c r="B11564" s="0" t="s">
        <v>95</v>
      </c>
      <c r="F11564" s="6" t="n">
        <f aca="false">Sens!F11562-Sens!F11558-Sens!F11563</f>
        <v>6.14000969510312</v>
      </c>
      <c r="G11564" s="6" t="n">
        <f aca="false">Sens!G11562-Sens!G11558-Sens!G11563</f>
        <v>6.07998212077627</v>
      </c>
      <c r="H11564" s="6" t="n">
        <f aca="false">Sens!H11562-Sens!H11558-Sens!H11563</f>
        <v>6.07405367047327</v>
      </c>
      <c r="I11564" s="6" t="n">
        <f aca="false">Sens!I11562-Sens!I11558-Sens!I11563</f>
        <v>6.12003470098649</v>
      </c>
      <c r="J11564" s="6" t="n">
        <f aca="false">Sens!J11562-Sens!J11558-Sens!J11563</f>
        <v>6.21558895807294</v>
      </c>
      <c r="K11564" s="6" t="n">
        <f aca="false">Sens!K11562-Sens!K11558-Sens!K11563</f>
        <v>6.35886409978198</v>
      </c>
    </row>
    <row r="11565" customFormat="false" ht="17.15" hidden="false" customHeight="false" outlineLevel="0" collapsed="false">
      <c r="A11565" s="1" t="s">
        <v>960</v>
      </c>
      <c r="B11565" s="0" t="s">
        <v>95</v>
      </c>
      <c r="C11565" s="6" t="n">
        <f aca="false">(w_ntm28*Sens!G11559+(1-w_ntm28)*Sens!H11559)*m_ai*1</f>
        <v>107.624850922416</v>
      </c>
    </row>
    <row r="11566" customFormat="false" ht="17.15" hidden="false" customHeight="false" outlineLevel="0" collapsed="false">
      <c r="A11566" s="1" t="s">
        <v>961</v>
      </c>
      <c r="B11566" s="0" t="s">
        <v>95</v>
      </c>
      <c r="C11566" s="6" t="n">
        <f aca="false">(w_ntm28*Sens!G11561+(1-w_ntm28)*Sens!H11561)*m_cloud*1</f>
        <v>794.749076664173</v>
      </c>
    </row>
    <row r="11567" customFormat="false" ht="17.15" hidden="false" customHeight="false" outlineLevel="0" collapsed="false">
      <c r="A11567" s="1" t="s">
        <v>962</v>
      </c>
      <c r="B11567" s="0" t="s">
        <v>95</v>
      </c>
      <c r="C11567" s="6" t="n">
        <f aca="false">(w_ntm28*Sens!G11554+(1-w_ntm28)*Sens!H11554)*m_sw*1</f>
        <v>988.547672652094</v>
      </c>
    </row>
    <row r="11568" customFormat="false" ht="17.15" hidden="false" customHeight="false" outlineLevel="0" collapsed="false">
      <c r="A11568" s="1" t="s">
        <v>963</v>
      </c>
      <c r="B11568" s="0" t="s">
        <v>95</v>
      </c>
      <c r="C11568" s="6" t="n">
        <f aca="false">(w_ntm28*Sens!G11555+(1-w_ntm28)*Sens!H11555)*m_sw*1</f>
        <v>363.117661434282</v>
      </c>
    </row>
    <row r="11569" customFormat="false" ht="17.15" hidden="false" customHeight="false" outlineLevel="0" collapsed="false">
      <c r="A11569" s="1" t="s">
        <v>964</v>
      </c>
      <c r="B11569" s="0" t="s">
        <v>95</v>
      </c>
      <c r="C11569" s="6" t="n">
        <f aca="false">(w_ntm28*Sens!G11556+(1-w_ntm28)*Sens!H11556)*m_sw*1</f>
        <v>99.2894025954118</v>
      </c>
    </row>
    <row r="11570" customFormat="false" ht="17.15" hidden="false" customHeight="false" outlineLevel="0" collapsed="false">
      <c r="A11570" s="1" t="s">
        <v>965</v>
      </c>
      <c r="B11570" s="0" t="s">
        <v>95</v>
      </c>
      <c r="C11570" s="6" t="n">
        <f aca="false">(w_ntm28*Sens!G11557+(1-w_ntm28)*Sens!H11557)*m_sw*1</f>
        <v>37.8805648916295</v>
      </c>
    </row>
    <row r="11571" customFormat="false" ht="17.15" hidden="false" customHeight="false" outlineLevel="0" collapsed="false">
      <c r="A11571" s="1" t="s">
        <v>966</v>
      </c>
      <c r="B11571" s="0" t="s">
        <v>95</v>
      </c>
      <c r="C11571" s="6" t="n">
        <f aca="false">(w_ntm28*Sens!G11558+(1-w_ntm28)*Sens!H11558)*m_ads*1</f>
        <v>104.664819473916</v>
      </c>
    </row>
    <row r="11572" customFormat="false" ht="17.15" hidden="false" customHeight="false" outlineLevel="0" collapsed="false">
      <c r="A11572" s="1" t="s">
        <v>967</v>
      </c>
      <c r="B11572" s="0" t="s">
        <v>95</v>
      </c>
      <c r="C11572" s="6" t="n">
        <f aca="false">(w_ntm28*Sens!G11563+(1-w_ntm28)*Sens!H11563)*m_game*1</f>
        <v>88.7104201985522</v>
      </c>
    </row>
    <row r="11573" customFormat="false" ht="17.15" hidden="false" customHeight="false" outlineLevel="0" collapsed="false">
      <c r="A11573" s="1" t="s">
        <v>968</v>
      </c>
      <c r="B11573" s="0" t="s">
        <v>95</v>
      </c>
      <c r="C11573" s="6" t="n">
        <f aca="false">(w_ntm28*Sens!G11564+(1-w_ntm28)*Sens!H11564)*m_pc*1</f>
        <v>87.9496081595385</v>
      </c>
    </row>
    <row r="11574" customFormat="false" ht="17.15" hidden="false" customHeight="false" outlineLevel="0" collapsed="false">
      <c r="A11574" s="1" t="s">
        <v>969</v>
      </c>
      <c r="B11574" s="0" t="s">
        <v>95</v>
      </c>
      <c r="C11574" s="6" t="n">
        <f aca="false">Sens!$C$11565+Sens!$C$11566+Sens!$C$11567+Sens!$C$11568+Sens!$C$11569+Sens!$C$11570+Sens!$C$11571+Sens!$C$11572+Sens!$C$11573</f>
        <v>2672.53407699201</v>
      </c>
    </row>
    <row r="11575" customFormat="false" ht="17.15" hidden="false" customHeight="false" outlineLevel="0" collapsed="false">
      <c r="A11575" s="1" t="s">
        <v>903</v>
      </c>
      <c r="B11575" s="0" t="s">
        <v>95</v>
      </c>
      <c r="C11575" s="6" t="n">
        <f aca="false">Sens!F11532+oai_v-Sens!F11521</f>
        <v>86.7683789396339</v>
      </c>
      <c r="L11575" s="1" t="s">
        <v>970</v>
      </c>
    </row>
    <row r="11576" customFormat="false" ht="15" hidden="false" customHeight="false" outlineLevel="0" collapsed="false">
      <c r="A11576" s="1" t="s">
        <v>904</v>
      </c>
      <c r="B11576" s="0" t="s">
        <v>73</v>
      </c>
      <c r="C11576" s="5" t="n">
        <f aca="false">(Sens!$C$11574+Sens!$C$11575)/Sens!F11534</f>
        <v>369.285660590424</v>
      </c>
    </row>
    <row r="11577" customFormat="false" ht="17.15" hidden="false" customHeight="false" outlineLevel="0" collapsed="false">
      <c r="A11577" s="1" t="s">
        <v>971</v>
      </c>
      <c r="B11577" s="0" t="s">
        <v>73</v>
      </c>
      <c r="C11577" s="5" t="n">
        <f aca="false">w_dcf*Sens!$C$11552+(1-w_dcf)*Sens!$C$11576</f>
        <v>234.095987456185</v>
      </c>
    </row>
    <row r="11578" customFormat="false" ht="17.15" hidden="false" customHeight="false" outlineLevel="0" collapsed="false">
      <c r="A11578" s="3" t="s">
        <v>1442</v>
      </c>
    </row>
    <row r="11579" customFormat="false" ht="15" hidden="false" customHeight="false" outlineLevel="0" collapsed="false">
      <c r="A11579" s="4" t="s">
        <v>43</v>
      </c>
      <c r="B11579" s="4" t="s">
        <v>63</v>
      </c>
      <c r="C11579" s="19" t="s">
        <v>710</v>
      </c>
      <c r="D11579" s="19" t="s">
        <v>711</v>
      </c>
      <c r="E11579" s="19" t="s">
        <v>712</v>
      </c>
      <c r="F11579" s="19" t="s">
        <v>713</v>
      </c>
      <c r="G11579" s="19" t="s">
        <v>714</v>
      </c>
      <c r="H11579" s="19" t="s">
        <v>715</v>
      </c>
      <c r="I11579" s="19" t="s">
        <v>716</v>
      </c>
      <c r="J11579" s="19" t="s">
        <v>717</v>
      </c>
      <c r="K11579" s="19" t="s">
        <v>718</v>
      </c>
      <c r="L11579" s="4" t="s">
        <v>47</v>
      </c>
    </row>
    <row r="11580" customFormat="false" ht="17.15" hidden="false" customHeight="false" outlineLevel="0" collapsed="false">
      <c r="A11580" s="1" t="s">
        <v>938</v>
      </c>
      <c r="B11580" s="1" t="s">
        <v>213</v>
      </c>
      <c r="F11580" s="34" t="n">
        <f aca="false">1-0.5</f>
        <v>0.5</v>
      </c>
      <c r="G11580" s="34" t="n">
        <f aca="false">2-0.5</f>
        <v>1.5</v>
      </c>
      <c r="H11580" s="34" t="n">
        <f aca="false">3-0.5</f>
        <v>2.5</v>
      </c>
      <c r="I11580" s="34" t="n">
        <f aca="false">4-0.5</f>
        <v>3.5</v>
      </c>
      <c r="J11580" s="34" t="n">
        <f aca="false">5-0.5</f>
        <v>4.5</v>
      </c>
      <c r="K11580" s="34" t="n">
        <f aca="false">6-0.5</f>
        <v>5.5</v>
      </c>
    </row>
    <row r="11581" customFormat="false" ht="15" hidden="false" customHeight="false" outlineLevel="0" collapsed="false">
      <c r="A11581" s="1" t="s">
        <v>939</v>
      </c>
      <c r="B11581" s="0" t="s">
        <v>182</v>
      </c>
      <c r="F11581" s="18" t="n">
        <f aca="false">1/(1+wacc)^Sens!F11580</f>
        <v>0.949601579913219</v>
      </c>
      <c r="G11581" s="18" t="n">
        <f aca="false">1/(1+wacc)^Sens!G11580</f>
        <v>0.856296729956707</v>
      </c>
      <c r="H11581" s="18" t="n">
        <f aca="false">1/(1+wacc)^Sens!H11580</f>
        <v>0.772159719660069</v>
      </c>
      <c r="I11581" s="18" t="n">
        <f aca="false">1/(1+wacc)^Sens!I11580</f>
        <v>0.696289746073958</v>
      </c>
      <c r="J11581" s="18" t="n">
        <f aca="false">1/(1+wacc)^Sens!J11580</f>
        <v>0.627874516299776</v>
      </c>
      <c r="K11581" s="18" t="n">
        <f aca="false">1/(1+wacc)^Sens!K11580</f>
        <v>0.566181550771831</v>
      </c>
    </row>
    <row r="11582" customFormat="false" ht="15" hidden="false" customHeight="false" outlineLevel="0" collapsed="false">
      <c r="A11582" s="1" t="s">
        <v>940</v>
      </c>
      <c r="B11582" s="0" t="s">
        <v>95</v>
      </c>
      <c r="F11582" s="6" t="n">
        <f aca="false">CF!F27*Sens!F11581</f>
        <v>4.78244341517868</v>
      </c>
      <c r="G11582" s="6" t="n">
        <f aca="false">CF!G27*Sens!G11581</f>
        <v>37.2678177028369</v>
      </c>
      <c r="H11582" s="6" t="n">
        <f aca="false">CF!H27*Sens!H11581</f>
        <v>72.9878911803064</v>
      </c>
      <c r="I11582" s="6" t="n">
        <f aca="false">CF!I27*Sens!I11581</f>
        <v>79.2928055259562</v>
      </c>
      <c r="J11582" s="6" t="n">
        <f aca="false">CF!J27*Sens!J11581</f>
        <v>92.2861122369862</v>
      </c>
      <c r="K11582" s="6" t="n">
        <f aca="false">CF!K27*Sens!K11581</f>
        <v>84.8150303666</v>
      </c>
    </row>
    <row r="11583" customFormat="false" ht="17.15" hidden="false" customHeight="false" outlineLevel="0" collapsed="false">
      <c r="A11583" s="1" t="s">
        <v>941</v>
      </c>
      <c r="B11583" s="0" t="s">
        <v>95</v>
      </c>
      <c r="C11583" s="6" t="n">
        <f aca="false">SUM(Sens!F11582:K11582)</f>
        <v>371.432100427865</v>
      </c>
    </row>
    <row r="11584" customFormat="false" ht="17.15" hidden="false" customHeight="false" outlineLevel="0" collapsed="false">
      <c r="A11584" s="1" t="s">
        <v>942</v>
      </c>
      <c r="B11584" s="0" t="s">
        <v>95</v>
      </c>
      <c r="C11584" s="6" t="n">
        <f aca="false">PL!K35*(1+g_tv)*(1-tax_f)</f>
        <v>261.070427358719</v>
      </c>
    </row>
    <row r="11585" customFormat="false" ht="17.15" hidden="false" customHeight="false" outlineLevel="0" collapsed="false">
      <c r="A11585" s="1" t="s">
        <v>1443</v>
      </c>
      <c r="B11585" s="0" t="s">
        <v>95</v>
      </c>
      <c r="C11585" s="6" t="n">
        <f aca="false">CF!K27*(1+g_tv)</f>
        <v>154.295881168342</v>
      </c>
    </row>
    <row r="11586" customFormat="false" ht="17.15" hidden="false" customHeight="false" outlineLevel="0" collapsed="false">
      <c r="A11586" s="1" t="s">
        <v>944</v>
      </c>
      <c r="B11586" s="0" t="s">
        <v>95</v>
      </c>
      <c r="C11586" s="6" t="n">
        <f aca="false">Sens!$C$11585/(wacc-g_tv)</f>
        <v>1954.0221247401</v>
      </c>
    </row>
    <row r="11587" customFormat="false" ht="15" hidden="false" customHeight="false" outlineLevel="0" collapsed="false">
      <c r="A11587" s="1" t="s">
        <v>945</v>
      </c>
      <c r="B11587" s="0" t="s">
        <v>95</v>
      </c>
      <c r="C11587" s="6" t="n">
        <f aca="false">Sens!$C$11586/(1+wacc)^6</f>
        <v>1050.57392838311</v>
      </c>
    </row>
    <row r="11588" customFormat="false" ht="17.15" hidden="false" customHeight="false" outlineLevel="0" collapsed="false">
      <c r="A11588" s="0" t="s">
        <v>877</v>
      </c>
      <c r="B11588" s="0" t="s">
        <v>95</v>
      </c>
      <c r="C11588" s="6" t="n">
        <f aca="false">Sens!$C$11583+Sens!$C$11587</f>
        <v>1422.00602881097</v>
      </c>
    </row>
    <row r="11589" customFormat="false" ht="15" hidden="false" customHeight="false" outlineLevel="0" collapsed="false">
      <c r="A11589" s="1" t="s">
        <v>878</v>
      </c>
      <c r="B11589" s="0" t="s">
        <v>126</v>
      </c>
      <c r="C11589" s="7" t="n">
        <f aca="false">Sens!$C$11587/Sens!$C$11588</f>
        <v>0.738797098674439</v>
      </c>
    </row>
    <row r="11590" customFormat="false" ht="17.15" hidden="false" customHeight="false" outlineLevel="0" collapsed="false">
      <c r="A11590" s="1" t="s">
        <v>946</v>
      </c>
      <c r="B11590" s="0" t="s">
        <v>95</v>
      </c>
      <c r="C11590" s="6" t="n">
        <f aca="false">Sens!$C$11588+CF!E36+oai_v</f>
        <v>1623.11302881097</v>
      </c>
    </row>
    <row r="11591" customFormat="false" ht="17.15" hidden="false" customHeight="false" outlineLevel="0" collapsed="false">
      <c r="A11591" s="0" t="s">
        <v>883</v>
      </c>
      <c r="B11591" s="0" t="s">
        <v>73</v>
      </c>
      <c r="C11591" s="5" t="n">
        <f aca="false">Sens!$C$11590/sh_dil26</f>
        <v>217.779824072316</v>
      </c>
    </row>
    <row r="11592" customFormat="false" ht="17.15" hidden="false" customHeight="false" outlineLevel="0" collapsed="false">
      <c r="A11592" s="0" t="s">
        <v>947</v>
      </c>
      <c r="B11592" s="0" t="s">
        <v>73</v>
      </c>
      <c r="C11592" s="5" t="n">
        <f aca="false">Sens!$C$11591*(1+wacc)^t_roll</f>
        <v>249.792275832337</v>
      </c>
    </row>
    <row r="11593" customFormat="false" ht="17.15" hidden="false" customHeight="false" outlineLevel="0" collapsed="false">
      <c r="A11593" s="1" t="s">
        <v>948</v>
      </c>
      <c r="B11593" s="0" t="s">
        <v>126</v>
      </c>
      <c r="F11593" s="7" t="n">
        <f aca="false">CF!F17/(Seg!F29-Thesis!F20)</f>
        <v>0.0681773598226415</v>
      </c>
      <c r="G11593" s="7" t="n">
        <f aca="false">CF!G17/(Seg!G29-Thesis!G20)</f>
        <v>0.0650385409375172</v>
      </c>
      <c r="H11593" s="7" t="n">
        <f aca="false">CF!H17/(Seg!H29-Thesis!H20)</f>
        <v>0.063382542471986</v>
      </c>
      <c r="I11593" s="7" t="n">
        <f aca="false">CF!I17/(Seg!I29-Thesis!I20)</f>
        <v>0.0630998138876076</v>
      </c>
      <c r="J11593" s="7" t="n">
        <f aca="false">CF!J17/(Seg!J29-Thesis!J20)</f>
        <v>0.0638399980286975</v>
      </c>
      <c r="K11593" s="7" t="n">
        <f aca="false">CF!K17/(Seg!K29-Thesis!K20)</f>
        <v>0.0651531082402687</v>
      </c>
    </row>
    <row r="11594" customFormat="false" ht="17.15" hidden="false" customHeight="false" outlineLevel="0" collapsed="false">
      <c r="A11594" s="0" t="s">
        <v>949</v>
      </c>
      <c r="B11594" s="0" t="s">
        <v>95</v>
      </c>
      <c r="F11594" s="6" t="n">
        <f aca="false">Seg!F14*(al_m365+Sens!F11593)</f>
        <v>80.4434678008041</v>
      </c>
      <c r="G11594" s="6" t="n">
        <f aca="false">Seg!G14*(al_m365+Sens!G11593)</f>
        <v>94.1323272633269</v>
      </c>
      <c r="H11594" s="6" t="n">
        <f aca="false">Seg!H14*(al_m365+Sens!H11593)</f>
        <v>107.983658528206</v>
      </c>
      <c r="I11594" s="6" t="n">
        <f aca="false">Seg!I14*(al_m365+Sens!I11593)</f>
        <v>120.408335219477</v>
      </c>
      <c r="J11594" s="6" t="n">
        <f aca="false">Seg!J14*(al_m365+Sens!J11593)</f>
        <v>131.229685027411</v>
      </c>
      <c r="K11594" s="6" t="n">
        <f aca="false">Seg!K14*(al_m365+Sens!K11593)</f>
        <v>141.696231007978</v>
      </c>
    </row>
    <row r="11595" customFormat="false" ht="17.15" hidden="false" customHeight="false" outlineLevel="0" collapsed="false">
      <c r="A11595" s="0" t="s">
        <v>950</v>
      </c>
      <c r="B11595" s="0" t="s">
        <v>95</v>
      </c>
      <c r="F11595" s="6" t="n">
        <f aca="false">Seg!F15*(al_lic+Sens!F11593)</f>
        <v>31.9678940661213</v>
      </c>
      <c r="G11595" s="6" t="n">
        <f aca="false">Seg!G15*(al_lic+Sens!G11593)</f>
        <v>33.1937184472398</v>
      </c>
      <c r="H11595" s="6" t="n">
        <f aca="false">Seg!H15*(al_lic+Sens!H11593)</f>
        <v>34.3439380840055</v>
      </c>
      <c r="I11595" s="6" t="n">
        <f aca="false">Seg!I15*(al_lic+Sens!I11593)</f>
        <v>35.4022023072784</v>
      </c>
      <c r="J11595" s="6" t="n">
        <f aca="false">Seg!J15*(al_lic+Sens!J11593)</f>
        <v>36.3410576398918</v>
      </c>
      <c r="K11595" s="6" t="n">
        <f aca="false">Seg!K15*(al_lic+Sens!K11593)</f>
        <v>37.1276868757058</v>
      </c>
    </row>
    <row r="11596" customFormat="false" ht="17.15" hidden="false" customHeight="false" outlineLevel="0" collapsed="false">
      <c r="A11596" s="0" t="s">
        <v>951</v>
      </c>
      <c r="B11596" s="0" t="s">
        <v>95</v>
      </c>
      <c r="F11596" s="6" t="n">
        <f aca="false">Seg!F17*(al_ind+Sens!F11593)</f>
        <v>8.23142235288747</v>
      </c>
      <c r="G11596" s="6" t="n">
        <f aca="false">Seg!G17*(al_ind+Sens!G11593)</f>
        <v>8.92125445211874</v>
      </c>
      <c r="H11596" s="6" t="n">
        <f aca="false">Seg!H17*(al_ind+Sens!H11593)</f>
        <v>9.65645689966252</v>
      </c>
      <c r="I11596" s="6" t="n">
        <f aca="false">Seg!I17*(al_ind+Sens!I11593)</f>
        <v>10.4359305133559</v>
      </c>
      <c r="J11596" s="6" t="n">
        <f aca="false">Seg!J17*(al_ind+Sens!J11593)</f>
        <v>11.2496615107155</v>
      </c>
      <c r="K11596" s="6" t="n">
        <f aca="false">Seg!K17*(al_ind+Sens!K11593)</f>
        <v>12.0805802325565</v>
      </c>
    </row>
    <row r="11597" customFormat="false" ht="17.15" hidden="false" customHeight="false" outlineLevel="0" collapsed="false">
      <c r="A11597" s="0" t="s">
        <v>952</v>
      </c>
      <c r="B11597" s="0" t="s">
        <v>95</v>
      </c>
      <c r="F11597" s="6" t="n">
        <f aca="false">Seg!F19*(al_fro+Sens!F11593)</f>
        <v>3.23991673698178</v>
      </c>
      <c r="G11597" s="6" t="n">
        <f aca="false">Seg!G19*(al_fro+Sens!G11593)</f>
        <v>3.42523427012141</v>
      </c>
      <c r="H11597" s="6" t="n">
        <f aca="false">Seg!H19*(al_fro+Sens!H11593)</f>
        <v>3.63888347669114</v>
      </c>
      <c r="I11597" s="6" t="n">
        <f aca="false">Seg!I19*(al_fro+Sens!I11593)</f>
        <v>3.88382859986432</v>
      </c>
      <c r="J11597" s="6" t="n">
        <f aca="false">Seg!J19*(al_fro+Sens!J11593)</f>
        <v>4.16055715035227</v>
      </c>
      <c r="K11597" s="6" t="n">
        <f aca="false">Seg!K19*(al_fro+Sens!K11593)</f>
        <v>4.46786282583631</v>
      </c>
    </row>
    <row r="11598" customFormat="false" ht="17.15" hidden="false" customHeight="false" outlineLevel="0" collapsed="false">
      <c r="A11598" s="0" t="s">
        <v>953</v>
      </c>
      <c r="B11598" s="0" t="s">
        <v>95</v>
      </c>
      <c r="F11598" s="6" t="n">
        <f aca="false">Seg!F22*(al_srch+Sens!F11593)</f>
        <v>10.1659255338338</v>
      </c>
      <c r="G11598" s="6" t="n">
        <f aca="false">Seg!G22*(al_srch+Sens!G11593)</f>
        <v>11.1218361064416</v>
      </c>
      <c r="H11598" s="6" t="n">
        <f aca="false">Seg!H22*(al_srch+Sens!H11593)</f>
        <v>12.1240320316325</v>
      </c>
      <c r="I11598" s="6" t="n">
        <f aca="false">Seg!I22*(al_srch+Sens!I11593)</f>
        <v>13.1651647223307</v>
      </c>
      <c r="J11598" s="6" t="n">
        <f aca="false">Seg!J22*(al_srch+Sens!J11593)</f>
        <v>14.2257207024961</v>
      </c>
      <c r="K11598" s="6" t="n">
        <f aca="false">Seg!K22*(al_srch+Sens!K11593)</f>
        <v>15.2764561092572</v>
      </c>
    </row>
    <row r="11599" customFormat="false" ht="17.15" hidden="false" customHeight="false" outlineLevel="0" collapsed="false">
      <c r="A11599" s="0" t="s">
        <v>954</v>
      </c>
      <c r="B11599" s="0" t="s">
        <v>95</v>
      </c>
      <c r="F11599" s="6" t="n">
        <f aca="false">Thesis!F26</f>
        <v>43.1278534047371</v>
      </c>
      <c r="G11599" s="6" t="n">
        <f aca="false">Thesis!G26</f>
        <v>78.4713023799053</v>
      </c>
      <c r="H11599" s="6" t="n">
        <f aca="false">Thesis!H26</f>
        <v>120.169624261219</v>
      </c>
      <c r="I11599" s="6" t="n">
        <f aca="false">Thesis!I26</f>
        <v>156.086713969963</v>
      </c>
      <c r="J11599" s="6" t="n">
        <f aca="false">Thesis!J26</f>
        <v>192.09687492465</v>
      </c>
      <c r="K11599" s="6" t="n">
        <f aca="false">Thesis!K26</f>
        <v>228.161785217179</v>
      </c>
    </row>
    <row r="11600" customFormat="false" ht="17.15" hidden="false" customHeight="false" outlineLevel="0" collapsed="false">
      <c r="A11600" s="0" t="s">
        <v>955</v>
      </c>
      <c r="B11600" s="0" t="s">
        <v>95</v>
      </c>
      <c r="F11600" s="6" t="n">
        <f aca="false">PL!F32+Thesis!F37+Sens!F11593*(Seg!F21-Thesis!F20)</f>
        <v>216.001008704281</v>
      </c>
      <c r="G11600" s="6" t="n">
        <f aca="false">PL!G32+Thesis!G37+Sens!G11593*(Seg!G21-Thesis!G20)</f>
        <v>273.190669749878</v>
      </c>
      <c r="H11600" s="6" t="n">
        <f aca="false">PL!H32+Thesis!H37+Sens!H11593*(Seg!H21-Thesis!H20)</f>
        <v>336.986209145837</v>
      </c>
      <c r="I11600" s="6" t="n">
        <f aca="false">PL!I32+Thesis!I37+Sens!I11593*(Seg!I21-Thesis!I20)</f>
        <v>393.439203291672</v>
      </c>
      <c r="J11600" s="6" t="n">
        <f aca="false">PL!J32+Thesis!J37+Sens!J11593*(Seg!J21-Thesis!J20)</f>
        <v>447.606137303559</v>
      </c>
      <c r="K11600" s="6" t="n">
        <f aca="false">PL!K32+Thesis!K37+Sens!K11593*(Seg!K21-Thesis!K20)</f>
        <v>499.903344093081</v>
      </c>
    </row>
    <row r="11601" customFormat="false" ht="17.15" hidden="false" customHeight="false" outlineLevel="0" collapsed="false">
      <c r="A11601" s="0" t="s">
        <v>956</v>
      </c>
      <c r="B11601" s="0" t="s">
        <v>95</v>
      </c>
      <c r="F11601" s="6" t="n">
        <f aca="false">Sens!F11600-Sens!F11594-Sens!F11595-Sens!F11596-Sens!F11597-Sens!F11599</f>
        <v>48.9904543427497</v>
      </c>
      <c r="G11601" s="6" t="n">
        <f aca="false">Sens!G11600-Sens!G11594-Sens!G11595-Sens!G11596-Sens!G11597-Sens!G11599</f>
        <v>55.0468329371655</v>
      </c>
      <c r="H11601" s="6" t="n">
        <f aca="false">Sens!H11600-Sens!H11594-Sens!H11595-Sens!H11596-Sens!H11597-Sens!H11599</f>
        <v>61.1936478960528</v>
      </c>
      <c r="I11601" s="6" t="n">
        <f aca="false">Sens!I11600-Sens!I11594-Sens!I11595-Sens!I11596-Sens!I11597-Sens!I11599</f>
        <v>67.2221926817336</v>
      </c>
      <c r="J11601" s="6" t="n">
        <f aca="false">Sens!J11600-Sens!J11594-Sens!J11595-Sens!J11596-Sens!J11597-Sens!J11599</f>
        <v>72.5283010505383</v>
      </c>
      <c r="K11601" s="6" t="n">
        <f aca="false">Sens!K11600-Sens!K11594-Sens!K11595-Sens!K11596-Sens!K11597-Sens!K11599</f>
        <v>76.3691979338254</v>
      </c>
    </row>
    <row r="11602" customFormat="false" ht="17.15" hidden="false" customHeight="false" outlineLevel="0" collapsed="false">
      <c r="A11602" s="0" t="s">
        <v>957</v>
      </c>
      <c r="B11602" s="0" t="s">
        <v>95</v>
      </c>
      <c r="F11602" s="6" t="n">
        <f aca="false">PL!F34+Sens!F11593*Seg!F28</f>
        <v>23.7366325885412</v>
      </c>
      <c r="G11602" s="6" t="n">
        <f aca="false">PL!G34+Sens!G11593*Seg!G28</f>
        <v>24.2488001831921</v>
      </c>
      <c r="H11602" s="6" t="n">
        <f aca="false">PL!H34+Sens!H11593*Seg!H28</f>
        <v>25.0191565857232</v>
      </c>
      <c r="I11602" s="6" t="n">
        <f aca="false">PL!I34+Sens!I11593*Seg!I28</f>
        <v>26.0222596996374</v>
      </c>
      <c r="J11602" s="6" t="n">
        <f aca="false">PL!J34+Sens!J11593*Seg!J28</f>
        <v>27.2212114824986</v>
      </c>
      <c r="K11602" s="6" t="n">
        <f aca="false">PL!K34+Sens!K11593*Seg!K28</f>
        <v>28.5733379970501</v>
      </c>
    </row>
    <row r="11603" customFormat="false" ht="17.15" hidden="false" customHeight="false" outlineLevel="0" collapsed="false">
      <c r="A11603" s="0" t="s">
        <v>958</v>
      </c>
      <c r="B11603" s="0" t="s">
        <v>95</v>
      </c>
      <c r="F11603" s="6" t="n">
        <f aca="false">(Sens!F11602-Sens!F11598)*Seg!F24/(Seg!F24+Seg!F26)</f>
        <v>7.43932943061911</v>
      </c>
      <c r="G11603" s="6" t="n">
        <f aca="false">(Sens!G11602-Sens!G11598)*Seg!G24/(Seg!G24+Seg!G26)</f>
        <v>7.06776830757547</v>
      </c>
      <c r="H11603" s="6" t="n">
        <f aca="false">(Sens!H11602-Sens!H11598)*Seg!H24/(Seg!H24+Seg!H26)</f>
        <v>6.84915463876495</v>
      </c>
      <c r="I11603" s="6" t="n">
        <f aca="false">(Sens!I11602-Sens!I11598)*Seg!I24/(Seg!I24+Seg!I26)</f>
        <v>6.76716702045722</v>
      </c>
      <c r="J11603" s="6" t="n">
        <f aca="false">(Sens!J11602-Sens!J11598)*Seg!J24/(Seg!J24+Seg!J26)</f>
        <v>6.80907960368748</v>
      </c>
      <c r="K11603" s="6" t="n">
        <f aca="false">(Sens!K11602-Sens!K11598)*Seg!K24/(Seg!K24+Seg!K26)</f>
        <v>6.96699561313494</v>
      </c>
    </row>
    <row r="11604" customFormat="false" ht="17.15" hidden="false" customHeight="false" outlineLevel="0" collapsed="false">
      <c r="A11604" s="0" t="s">
        <v>959</v>
      </c>
      <c r="B11604" s="0" t="s">
        <v>95</v>
      </c>
      <c r="F11604" s="6" t="n">
        <f aca="false">Sens!F11602-Sens!F11598-Sens!F11603</f>
        <v>6.13137762408826</v>
      </c>
      <c r="G11604" s="6" t="n">
        <f aca="false">Sens!G11602-Sens!G11598-Sens!G11603</f>
        <v>6.05919576917506</v>
      </c>
      <c r="H11604" s="6" t="n">
        <f aca="false">Sens!H11602-Sens!H11598-Sens!H11603</f>
        <v>6.04596991532572</v>
      </c>
      <c r="I11604" s="6" t="n">
        <f aca="false">Sens!I11602-Sens!I11598-Sens!I11603</f>
        <v>6.08992795684943</v>
      </c>
      <c r="J11604" s="6" t="n">
        <f aca="false">Sens!J11602-Sens!J11598-Sens!J11603</f>
        <v>6.18641117631496</v>
      </c>
      <c r="K11604" s="6" t="n">
        <f aca="false">Sens!K11602-Sens!K11598-Sens!K11603</f>
        <v>6.32988627465802</v>
      </c>
    </row>
    <row r="11605" customFormat="false" ht="17.15" hidden="false" customHeight="false" outlineLevel="0" collapsed="false">
      <c r="A11605" s="1" t="s">
        <v>960</v>
      </c>
      <c r="B11605" s="0" t="s">
        <v>95</v>
      </c>
      <c r="C11605" s="6" t="n">
        <f aca="false">(w_ntm28*Sens!G11599+(1-w_ntm28)*Sens!H11599)*m_ai*1</f>
        <v>551.711134531404</v>
      </c>
    </row>
    <row r="11606" customFormat="false" ht="17.15" hidden="false" customHeight="false" outlineLevel="0" collapsed="false">
      <c r="A11606" s="1" t="s">
        <v>961</v>
      </c>
      <c r="B11606" s="0" t="s">
        <v>95</v>
      </c>
      <c r="C11606" s="6" t="n">
        <f aca="false">(w_ntm28*Sens!G11601+(1-w_ntm28)*Sens!H11601)*m_cloud*1</f>
        <v>788.2101899926</v>
      </c>
    </row>
    <row r="11607" customFormat="false" ht="17.15" hidden="false" customHeight="false" outlineLevel="0" collapsed="false">
      <c r="A11607" s="1" t="s">
        <v>962</v>
      </c>
      <c r="B11607" s="0" t="s">
        <v>95</v>
      </c>
      <c r="C11607" s="6" t="n">
        <f aca="false">(w_ntm28*Sens!G11594+(1-w_ntm28)*Sens!H11594)*m_sw*1</f>
        <v>1064.99115242739</v>
      </c>
    </row>
    <row r="11608" customFormat="false" ht="17.15" hidden="false" customHeight="false" outlineLevel="0" collapsed="false">
      <c r="A11608" s="1" t="s">
        <v>963</v>
      </c>
      <c r="B11608" s="0" t="s">
        <v>95</v>
      </c>
      <c r="C11608" s="6" t="n">
        <f aca="false">(w_ntm28*Sens!G11595+(1-w_ntm28)*Sens!H11595)*m_sw*1</f>
        <v>362.508158970174</v>
      </c>
    </row>
    <row r="11609" customFormat="false" ht="17.15" hidden="false" customHeight="false" outlineLevel="0" collapsed="false">
      <c r="A11609" s="1" t="s">
        <v>964</v>
      </c>
      <c r="B11609" s="0" t="s">
        <v>95</v>
      </c>
      <c r="C11609" s="6" t="n">
        <f aca="false">(w_ntm28*Sens!G11596+(1-w_ntm28)*Sens!H11596)*m_sw*1</f>
        <v>98.9165124641147</v>
      </c>
    </row>
    <row r="11610" customFormat="false" ht="17.15" hidden="false" customHeight="false" outlineLevel="0" collapsed="false">
      <c r="A11610" s="1" t="s">
        <v>965</v>
      </c>
      <c r="B11610" s="0" t="s">
        <v>95</v>
      </c>
      <c r="C11610" s="6" t="n">
        <f aca="false">(w_ntm28*Sens!G11597+(1-w_ntm28)*Sens!H11597)*m_sw*1</f>
        <v>37.7384877854002</v>
      </c>
    </row>
    <row r="11611" customFormat="false" ht="17.15" hidden="false" customHeight="false" outlineLevel="0" collapsed="false">
      <c r="A11611" s="1" t="s">
        <v>966</v>
      </c>
      <c r="B11611" s="0" t="s">
        <v>95</v>
      </c>
      <c r="C11611" s="6" t="n">
        <f aca="false">(w_ntm28*Sens!G11598+(1-w_ntm28)*Sens!H11598)*m_ads*1</f>
        <v>104.271544945195</v>
      </c>
    </row>
    <row r="11612" customFormat="false" ht="17.15" hidden="false" customHeight="false" outlineLevel="0" collapsed="false">
      <c r="A11612" s="1" t="s">
        <v>967</v>
      </c>
      <c r="B11612" s="0" t="s">
        <v>95</v>
      </c>
      <c r="C11612" s="6" t="n">
        <f aca="false">(w_ntm28*Sens!G11603+(1-w_ntm28)*Sens!H11603)*m_game*1</f>
        <v>88.3732871625547</v>
      </c>
    </row>
    <row r="11613" customFormat="false" ht="17.15" hidden="false" customHeight="false" outlineLevel="0" collapsed="false">
      <c r="A11613" s="1" t="s">
        <v>968</v>
      </c>
      <c r="B11613" s="0" t="s">
        <v>95</v>
      </c>
      <c r="C11613" s="6" t="n">
        <f aca="false">(w_ntm28*Sens!G11604+(1-w_ntm28)*Sens!H11604)*m_pc*1</f>
        <v>87.614692598008</v>
      </c>
    </row>
    <row r="11614" customFormat="false" ht="17.15" hidden="false" customHeight="false" outlineLevel="0" collapsed="false">
      <c r="A11614" s="1" t="s">
        <v>969</v>
      </c>
      <c r="B11614" s="0" t="s">
        <v>95</v>
      </c>
      <c r="C11614" s="6" t="n">
        <f aca="false">Sens!$C$11605+Sens!$C$11606+Sens!$C$11607+Sens!$C$11608+Sens!$C$11609+Sens!$C$11610+Sens!$C$11611+Sens!$C$11612+Sens!$C$11613</f>
        <v>3184.33516087684</v>
      </c>
    </row>
    <row r="11615" customFormat="false" ht="17.15" hidden="false" customHeight="false" outlineLevel="0" collapsed="false">
      <c r="A11615" s="1" t="s">
        <v>903</v>
      </c>
      <c r="B11615" s="0" t="s">
        <v>95</v>
      </c>
      <c r="C11615" s="6" t="n">
        <f aca="false">CF!F36+oai_v-CF!F25</f>
        <v>115.079583119545</v>
      </c>
      <c r="L11615" s="1" t="s">
        <v>970</v>
      </c>
    </row>
    <row r="11616" customFormat="false" ht="15" hidden="false" customHeight="false" outlineLevel="0" collapsed="false">
      <c r="A11616" s="1" t="s">
        <v>904</v>
      </c>
      <c r="B11616" s="0" t="s">
        <v>73</v>
      </c>
      <c r="C11616" s="5" t="n">
        <f aca="false">(Sens!$C$11614+Sens!$C$11615)/CF!F38</f>
        <v>441.570495716861</v>
      </c>
    </row>
    <row r="11617" customFormat="false" ht="17.15" hidden="false" customHeight="false" outlineLevel="0" collapsed="false">
      <c r="A11617" s="1" t="s">
        <v>971</v>
      </c>
      <c r="B11617" s="0" t="s">
        <v>73</v>
      </c>
      <c r="C11617" s="5" t="n">
        <f aca="false">w_dcf*Sens!$C$11592+(1-w_dcf)*Sens!$C$11616</f>
        <v>345.681385774599</v>
      </c>
    </row>
    <row r="11618" customFormat="false" ht="17.15" hidden="false" customHeight="false" outlineLevel="0" collapsed="false">
      <c r="A11618" s="3" t="s">
        <v>1444</v>
      </c>
    </row>
    <row r="11619" customFormat="false" ht="15" hidden="false" customHeight="false" outlineLevel="0" collapsed="false">
      <c r="A11619" s="4" t="s">
        <v>43</v>
      </c>
      <c r="B11619" s="4" t="s">
        <v>63</v>
      </c>
      <c r="C11619" s="19" t="s">
        <v>710</v>
      </c>
      <c r="D11619" s="19" t="s">
        <v>711</v>
      </c>
      <c r="E11619" s="19" t="s">
        <v>712</v>
      </c>
      <c r="F11619" s="19" t="s">
        <v>713</v>
      </c>
      <c r="G11619" s="19" t="s">
        <v>714</v>
      </c>
      <c r="H11619" s="19" t="s">
        <v>715</v>
      </c>
      <c r="I11619" s="19" t="s">
        <v>716</v>
      </c>
      <c r="J11619" s="19" t="s">
        <v>717</v>
      </c>
      <c r="K11619" s="19" t="s">
        <v>718</v>
      </c>
      <c r="L11619" s="4" t="s">
        <v>47</v>
      </c>
    </row>
    <row r="11620" customFormat="false" ht="17.15" hidden="false" customHeight="false" outlineLevel="0" collapsed="false">
      <c r="A11620" s="1" t="s">
        <v>938</v>
      </c>
      <c r="B11620" s="1" t="s">
        <v>213</v>
      </c>
      <c r="F11620" s="34" t="n">
        <f aca="false">1-0.5</f>
        <v>0.5</v>
      </c>
      <c r="G11620" s="34" t="n">
        <f aca="false">2-0.5</f>
        <v>1.5</v>
      </c>
      <c r="H11620" s="34" t="n">
        <f aca="false">3-0.5</f>
        <v>2.5</v>
      </c>
      <c r="I11620" s="34" t="n">
        <f aca="false">4-0.5</f>
        <v>3.5</v>
      </c>
      <c r="J11620" s="34" t="n">
        <f aca="false">5-0.5</f>
        <v>4.5</v>
      </c>
      <c r="K11620" s="34" t="n">
        <f aca="false">6-0.5</f>
        <v>5.5</v>
      </c>
    </row>
    <row r="11621" customFormat="false" ht="15" hidden="false" customHeight="false" outlineLevel="0" collapsed="false">
      <c r="A11621" s="1" t="s">
        <v>939</v>
      </c>
      <c r="B11621" s="0" t="s">
        <v>182</v>
      </c>
      <c r="F11621" s="18" t="n">
        <f aca="false">1/(1+wacc)^Sens!F11620</f>
        <v>0.949601579913219</v>
      </c>
      <c r="G11621" s="18" t="n">
        <f aca="false">1/(1+wacc)^Sens!G11620</f>
        <v>0.856296729956707</v>
      </c>
      <c r="H11621" s="18" t="n">
        <f aca="false">1/(1+wacc)^Sens!H11620</f>
        <v>0.772159719660069</v>
      </c>
      <c r="I11621" s="18" t="n">
        <f aca="false">1/(1+wacc)^Sens!I11620</f>
        <v>0.696289746073958</v>
      </c>
      <c r="J11621" s="18" t="n">
        <f aca="false">1/(1+wacc)^Sens!J11620</f>
        <v>0.627874516299776</v>
      </c>
      <c r="K11621" s="18" t="n">
        <f aca="false">1/(1+wacc)^Sens!K11620</f>
        <v>0.566181550771831</v>
      </c>
    </row>
    <row r="11622" customFormat="false" ht="15" hidden="false" customHeight="false" outlineLevel="0" collapsed="false">
      <c r="A11622" s="1" t="s">
        <v>940</v>
      </c>
      <c r="B11622" s="0" t="s">
        <v>95</v>
      </c>
      <c r="F11622" s="6" t="n">
        <f aca="false">CF!F55*Sens!F11621</f>
        <v>1.14965940819235</v>
      </c>
      <c r="G11622" s="6" t="n">
        <f aca="false">CF!G55*Sens!G11621</f>
        <v>27.1570491091597</v>
      </c>
      <c r="H11622" s="6" t="n">
        <f aca="false">CF!H55*Sens!H11621</f>
        <v>54.4781094985992</v>
      </c>
      <c r="I11622" s="6" t="n">
        <f aca="false">CF!I55*Sens!I11621</f>
        <v>57.7826568404409</v>
      </c>
      <c r="J11622" s="6" t="n">
        <f aca="false">CF!J55*Sens!J11621</f>
        <v>68.7164221032162</v>
      </c>
      <c r="K11622" s="6" t="n">
        <f aca="false">CF!K55*Sens!K11621</f>
        <v>59.7900961252081</v>
      </c>
    </row>
    <row r="11623" customFormat="false" ht="17.15" hidden="false" customHeight="false" outlineLevel="0" collapsed="false">
      <c r="A11623" s="1" t="s">
        <v>941</v>
      </c>
      <c r="B11623" s="0" t="s">
        <v>95</v>
      </c>
      <c r="C11623" s="6" t="n">
        <f aca="false">SUM(Sens!F11622:K11622)</f>
        <v>269.073993084816</v>
      </c>
    </row>
    <row r="11624" customFormat="false" ht="17.15" hidden="false" customHeight="false" outlineLevel="0" collapsed="false">
      <c r="A11624" s="1" t="s">
        <v>942</v>
      </c>
      <c r="B11624" s="0" t="s">
        <v>95</v>
      </c>
      <c r="C11624" s="6" t="n">
        <f aca="false">PL!K70*(1+g_tv)*(1-tax_f)</f>
        <v>216.892770548847</v>
      </c>
    </row>
    <row r="11625" customFormat="false" ht="17.15" hidden="false" customHeight="false" outlineLevel="0" collapsed="false">
      <c r="A11625" s="1" t="s">
        <v>1443</v>
      </c>
      <c r="B11625" s="0" t="s">
        <v>95</v>
      </c>
      <c r="C11625" s="6" t="n">
        <f aca="false">CF!K55*(1+g_tv)</f>
        <v>108.770409288349</v>
      </c>
    </row>
    <row r="11626" customFormat="false" ht="17.15" hidden="false" customHeight="false" outlineLevel="0" collapsed="false">
      <c r="A11626" s="1" t="s">
        <v>944</v>
      </c>
      <c r="B11626" s="0" t="s">
        <v>95</v>
      </c>
      <c r="C11626" s="6" t="n">
        <f aca="false">Sens!$C$11625/(wacc-g_tv)</f>
        <v>1377.48191758005</v>
      </c>
    </row>
    <row r="11627" customFormat="false" ht="15" hidden="false" customHeight="false" outlineLevel="0" collapsed="false">
      <c r="A11627" s="1" t="s">
        <v>945</v>
      </c>
      <c r="B11627" s="0" t="s">
        <v>95</v>
      </c>
      <c r="C11627" s="6" t="n">
        <f aca="false">Sens!$C$11626/(1+wacc)^6</f>
        <v>740.598876085522</v>
      </c>
    </row>
    <row r="11628" customFormat="false" ht="17.15" hidden="false" customHeight="false" outlineLevel="0" collapsed="false">
      <c r="A11628" s="0" t="s">
        <v>877</v>
      </c>
      <c r="B11628" s="0" t="s">
        <v>95</v>
      </c>
      <c r="C11628" s="6" t="n">
        <f aca="false">Sens!$C$11623+Sens!$C$11627</f>
        <v>1009.67286917034</v>
      </c>
    </row>
    <row r="11629" customFormat="false" ht="15" hidden="false" customHeight="false" outlineLevel="0" collapsed="false">
      <c r="A11629" s="1" t="s">
        <v>878</v>
      </c>
      <c r="B11629" s="0" t="s">
        <v>126</v>
      </c>
      <c r="C11629" s="7" t="n">
        <f aca="false">Sens!$C$11627/Sens!$C$11628</f>
        <v>0.733503789889969</v>
      </c>
    </row>
    <row r="11630" customFormat="false" ht="17.15" hidden="false" customHeight="false" outlineLevel="0" collapsed="false">
      <c r="A11630" s="1" t="s">
        <v>946</v>
      </c>
      <c r="B11630" s="0" t="s">
        <v>95</v>
      </c>
      <c r="C11630" s="6" t="n">
        <f aca="false">Sens!$C$11628+CF!E64+oai_v</f>
        <v>1210.77986917034</v>
      </c>
    </row>
    <row r="11631" customFormat="false" ht="17.15" hidden="false" customHeight="false" outlineLevel="0" collapsed="false">
      <c r="A11631" s="0" t="s">
        <v>883</v>
      </c>
      <c r="B11631" s="0" t="s">
        <v>73</v>
      </c>
      <c r="C11631" s="5" t="n">
        <f aca="false">Sens!$C$11630/sh_dil26</f>
        <v>162.455369538486</v>
      </c>
    </row>
    <row r="11632" customFormat="false" ht="17.15" hidden="false" customHeight="false" outlineLevel="0" collapsed="false">
      <c r="A11632" s="0" t="s">
        <v>947</v>
      </c>
      <c r="B11632" s="0" t="s">
        <v>73</v>
      </c>
      <c r="C11632" s="5" t="n">
        <f aca="false">Sens!$C$11631*(1+wacc)^t_roll</f>
        <v>186.335426851694</v>
      </c>
    </row>
    <row r="11633" customFormat="false" ht="17.15" hidden="false" customHeight="false" outlineLevel="0" collapsed="false">
      <c r="A11633" s="1" t="s">
        <v>948</v>
      </c>
      <c r="B11633" s="0" t="s">
        <v>126</v>
      </c>
      <c r="F11633" s="7" t="n">
        <f aca="false">CF!F45/(Seg!F56-Thesis!F64)</f>
        <v>0.0684307874075333</v>
      </c>
      <c r="G11633" s="7" t="n">
        <f aca="false">CF!G45/(Seg!G56-Thesis!G64)</f>
        <v>0.0656456058503526</v>
      </c>
      <c r="H11633" s="7" t="n">
        <f aca="false">CF!H45/(Seg!H56-Thesis!H64)</f>
        <v>0.0641950889132003</v>
      </c>
      <c r="I11633" s="7" t="n">
        <f aca="false">CF!I45/(Seg!I56-Thesis!I64)</f>
        <v>0.063960269667854</v>
      </c>
      <c r="J11633" s="7" t="n">
        <f aca="false">CF!J45/(Seg!J56-Thesis!J64)</f>
        <v>0.0646607917002597</v>
      </c>
      <c r="K11633" s="7" t="n">
        <f aca="false">CF!K45/(Seg!K56-Thesis!K64)</f>
        <v>0.0659511546529383</v>
      </c>
    </row>
    <row r="11634" customFormat="false" ht="17.15" hidden="false" customHeight="false" outlineLevel="0" collapsed="false">
      <c r="A11634" s="0" t="s">
        <v>949</v>
      </c>
      <c r="B11634" s="0" t="s">
        <v>95</v>
      </c>
      <c r="F11634" s="6" t="n">
        <f aca="false">Seg!F41*(al_m365+Sens!F11633)</f>
        <v>79.4713323717639</v>
      </c>
      <c r="G11634" s="6" t="n">
        <f aca="false">Seg!G41*(al_m365+Sens!G11633)</f>
        <v>91.222848535282</v>
      </c>
      <c r="H11634" s="6" t="n">
        <f aca="false">Seg!H41*(al_m365+Sens!H11633)</f>
        <v>103.134459525438</v>
      </c>
      <c r="I11634" s="6" t="n">
        <f aca="false">Seg!I41*(al_m365+Sens!I11633)</f>
        <v>114.09096761677</v>
      </c>
      <c r="J11634" s="6" t="n">
        <f aca="false">Seg!J41*(al_m365+Sens!J11633)</f>
        <v>123.914507832207</v>
      </c>
      <c r="K11634" s="6" t="n">
        <f aca="false">Seg!K41*(al_m365+Sens!K11633)</f>
        <v>133.375360010951</v>
      </c>
    </row>
    <row r="11635" customFormat="false" ht="17.15" hidden="false" customHeight="false" outlineLevel="0" collapsed="false">
      <c r="A11635" s="0" t="s">
        <v>950</v>
      </c>
      <c r="B11635" s="0" t="s">
        <v>95</v>
      </c>
      <c r="F11635" s="6" t="n">
        <f aca="false">Seg!F42*(al_lic+Sens!F11633)</f>
        <v>31.9777960098625</v>
      </c>
      <c r="G11635" s="6" t="n">
        <f aca="false">Seg!G42*(al_lic+Sens!G11633)</f>
        <v>33.2184421146294</v>
      </c>
      <c r="H11635" s="6" t="n">
        <f aca="false">Seg!H42*(al_lic+Sens!H11633)</f>
        <v>34.3782467188855</v>
      </c>
      <c r="I11635" s="6" t="n">
        <f aca="false">Seg!I42*(al_lic+Sens!I11633)</f>
        <v>35.4396663788333</v>
      </c>
      <c r="J11635" s="6" t="n">
        <f aca="false">Seg!J42*(al_lic+Sens!J11633)</f>
        <v>36.377709205557</v>
      </c>
      <c r="K11635" s="6" t="n">
        <f aca="false">Seg!K42*(al_lic+Sens!K11633)</f>
        <v>37.1640354058437</v>
      </c>
    </row>
    <row r="11636" customFormat="false" ht="17.15" hidden="false" customHeight="false" outlineLevel="0" collapsed="false">
      <c r="A11636" s="0" t="s">
        <v>951</v>
      </c>
      <c r="B11636" s="0" t="s">
        <v>95</v>
      </c>
      <c r="F11636" s="6" t="n">
        <f aca="false">Seg!F44*(al_ind+Sens!F11633)</f>
        <v>8.23708828923978</v>
      </c>
      <c r="G11636" s="6" t="n">
        <f aca="false">Seg!G44*(al_ind+Sens!G11633)</f>
        <v>8.93609064049065</v>
      </c>
      <c r="H11636" s="6" t="n">
        <f aca="false">Seg!H44*(al_ind+Sens!H11633)</f>
        <v>9.67804935051386</v>
      </c>
      <c r="I11636" s="6" t="n">
        <f aca="false">Seg!I44*(al_ind+Sens!I11633)</f>
        <v>10.4606610595832</v>
      </c>
      <c r="J11636" s="6" t="n">
        <f aca="false">Seg!J44*(al_ind+Sens!J11633)</f>
        <v>11.275039839171</v>
      </c>
      <c r="K11636" s="6" t="n">
        <f aca="false">Seg!K44*(al_ind+Sens!K11633)</f>
        <v>12.106982482736</v>
      </c>
    </row>
    <row r="11637" customFormat="false" ht="17.15" hidden="false" customHeight="false" outlineLevel="0" collapsed="false">
      <c r="A11637" s="0" t="s">
        <v>952</v>
      </c>
      <c r="B11637" s="0" t="s">
        <v>95</v>
      </c>
      <c r="F11637" s="6" t="n">
        <f aca="false">Seg!F46*(al_fro+Sens!F11633)</f>
        <v>3.24214686942203</v>
      </c>
      <c r="G11637" s="6" t="n">
        <f aca="false">Seg!G46*(al_fro+Sens!G11633)</f>
        <v>3.43093048931594</v>
      </c>
      <c r="H11637" s="6" t="n">
        <f aca="false">Seg!H46*(al_fro+Sens!H11633)</f>
        <v>3.6470202512287</v>
      </c>
      <c r="I11637" s="6" t="n">
        <f aca="false">Seg!I46*(al_fro+Sens!I11633)</f>
        <v>3.89303230264912</v>
      </c>
      <c r="J11637" s="6" t="n">
        <f aca="false">Seg!J46*(al_fro+Sens!J11633)</f>
        <v>4.16994303150246</v>
      </c>
      <c r="K11637" s="6" t="n">
        <f aca="false">Seg!K46*(al_fro+Sens!K11633)</f>
        <v>4.47762739258926</v>
      </c>
    </row>
    <row r="11638" customFormat="false" ht="17.15" hidden="false" customHeight="false" outlineLevel="0" collapsed="false">
      <c r="A11638" s="0" t="s">
        <v>953</v>
      </c>
      <c r="B11638" s="0" t="s">
        <v>95</v>
      </c>
      <c r="F11638" s="6" t="n">
        <f aca="false">Seg!F49*(al_srch+Sens!F11633)</f>
        <v>10.1729230470907</v>
      </c>
      <c r="G11638" s="6" t="n">
        <f aca="false">Seg!G49*(al_srch+Sens!G11633)</f>
        <v>11.1403318971852</v>
      </c>
      <c r="H11638" s="6" t="n">
        <f aca="false">Seg!H49*(al_srch+Sens!H11633)</f>
        <v>12.1511421371799</v>
      </c>
      <c r="I11638" s="6" t="n">
        <f aca="false">Seg!I49*(al_srch+Sens!I11633)</f>
        <v>13.1963628712968</v>
      </c>
      <c r="J11638" s="6" t="n">
        <f aca="false">Seg!J49*(al_srch+Sens!J11633)</f>
        <v>14.2578127803031</v>
      </c>
      <c r="K11638" s="6" t="n">
        <f aca="false">Seg!K49*(al_srch+Sens!K11633)</f>
        <v>15.3098429837522</v>
      </c>
    </row>
    <row r="11639" customFormat="false" ht="17.15" hidden="false" customHeight="false" outlineLevel="0" collapsed="false">
      <c r="A11639" s="0" t="s">
        <v>954</v>
      </c>
      <c r="B11639" s="0" t="s">
        <v>95</v>
      </c>
      <c r="F11639" s="6" t="n">
        <f aca="false">Thesis!F70</f>
        <v>39.4594407491938</v>
      </c>
      <c r="G11639" s="6" t="n">
        <f aca="false">Thesis!G70</f>
        <v>66.5527545578061</v>
      </c>
      <c r="H11639" s="6" t="n">
        <f aca="false">Thesis!H70</f>
        <v>95.219644983859</v>
      </c>
      <c r="I11639" s="6" t="n">
        <f aca="false">Thesis!I70</f>
        <v>124.031840462493</v>
      </c>
      <c r="J11639" s="6" t="n">
        <f aca="false">Thesis!J70</f>
        <v>152.919994097909</v>
      </c>
      <c r="K11639" s="6" t="n">
        <f aca="false">Thesis!K70</f>
        <v>181.852830263848</v>
      </c>
    </row>
    <row r="11640" customFormat="false" ht="17.15" hidden="false" customHeight="false" outlineLevel="0" collapsed="false">
      <c r="A11640" s="0" t="s">
        <v>955</v>
      </c>
      <c r="B11640" s="0" t="s">
        <v>95</v>
      </c>
      <c r="F11640" s="6" t="n">
        <f aca="false">PL!F67+Thesis!F81+Sens!F11633*(Seg!F48-Thesis!F64)</f>
        <v>211.444651350023</v>
      </c>
      <c r="G11640" s="6" t="n">
        <f aca="false">PL!G67+Thesis!G81+Sens!G11633*(Seg!G48-Thesis!G64)</f>
        <v>258.603564397354</v>
      </c>
      <c r="H11640" s="6" t="n">
        <f aca="false">PL!H67+Thesis!H81+Sens!H11633*(Seg!H48-Thesis!H64)</f>
        <v>307.569865351584</v>
      </c>
      <c r="I11640" s="6" t="n">
        <f aca="false">PL!I67+Thesis!I81+Sens!I11633*(Seg!I48-Thesis!I64)</f>
        <v>355.542793549845</v>
      </c>
      <c r="J11640" s="6" t="n">
        <f aca="false">PL!J67+Thesis!J81+Sens!J11633*(Seg!J48-Thesis!J64)</f>
        <v>401.64028415844</v>
      </c>
      <c r="K11640" s="6" t="n">
        <f aca="false">PL!K67+Thesis!K81+Sens!K11633*(Seg!K48-Thesis!K64)</f>
        <v>445.850798387254</v>
      </c>
    </row>
    <row r="11641" customFormat="false" ht="17.15" hidden="false" customHeight="false" outlineLevel="0" collapsed="false">
      <c r="A11641" s="0" t="s">
        <v>956</v>
      </c>
      <c r="B11641" s="0" t="s">
        <v>95</v>
      </c>
      <c r="F11641" s="6" t="n">
        <f aca="false">Sens!F11640-Sens!F11634-Sens!F11635-Sens!F11636-Sens!F11637-Sens!F11639</f>
        <v>49.0568470605414</v>
      </c>
      <c r="G11641" s="6" t="n">
        <f aca="false">Sens!G11640-Sens!G11634-Sens!G11635-Sens!G11636-Sens!G11637-Sens!G11639</f>
        <v>55.2424980598302</v>
      </c>
      <c r="H11641" s="6" t="n">
        <f aca="false">Sens!H11640-Sens!H11634-Sens!H11635-Sens!H11636-Sens!H11637-Sens!H11639</f>
        <v>61.5124445216581</v>
      </c>
      <c r="I11641" s="6" t="n">
        <f aca="false">Sens!I11640-Sens!I11634-Sens!I11635-Sens!I11636-Sens!I11637-Sens!I11639</f>
        <v>67.6266257295162</v>
      </c>
      <c r="J11641" s="6" t="n">
        <f aca="false">Sens!J11640-Sens!J11634-Sens!J11635-Sens!J11636-Sens!J11637-Sens!J11639</f>
        <v>72.9830901520934</v>
      </c>
      <c r="K11641" s="6" t="n">
        <f aca="false">Sens!K11640-Sens!K11634-Sens!K11635-Sens!K11636-Sens!K11637-Sens!K11639</f>
        <v>76.8739628312856</v>
      </c>
    </row>
    <row r="11642" customFormat="false" ht="17.15" hidden="false" customHeight="false" outlineLevel="0" collapsed="false">
      <c r="A11642" s="0" t="s">
        <v>957</v>
      </c>
      <c r="B11642" s="0" t="s">
        <v>95</v>
      </c>
      <c r="F11642" s="6" t="n">
        <f aca="false">PL!F69+Sens!F11633*Seg!F55</f>
        <v>23.7531412609386</v>
      </c>
      <c r="G11642" s="6" t="n">
        <f aca="false">PL!G69+Sens!G11633*Seg!G55</f>
        <v>24.289549634664</v>
      </c>
      <c r="H11642" s="6" t="n">
        <f aca="false">PL!H69+Sens!H11633*Seg!H55</f>
        <v>25.0756909710291</v>
      </c>
      <c r="I11642" s="6" t="n">
        <f aca="false">PL!I69+Sens!I11633*Seg!I55</f>
        <v>26.084576762931</v>
      </c>
      <c r="J11642" s="6" t="n">
        <f aca="false">PL!J69+Sens!J11633*Seg!J55</f>
        <v>27.2832671034962</v>
      </c>
      <c r="K11642" s="6" t="n">
        <f aca="false">PL!K69+Sens!K11633*Seg!K55</f>
        <v>28.6364406758481</v>
      </c>
    </row>
    <row r="11643" customFormat="false" ht="17.15" hidden="false" customHeight="false" outlineLevel="0" collapsed="false">
      <c r="A11643" s="0" t="s">
        <v>958</v>
      </c>
      <c r="B11643" s="0" t="s">
        <v>95</v>
      </c>
      <c r="F11643" s="6" t="n">
        <f aca="false">(Sens!F11642-Sens!F11638)*Seg!F51/(Seg!F51+Seg!F53)</f>
        <v>7.4445433554226</v>
      </c>
      <c r="G11643" s="6" t="n">
        <f aca="false">(Sens!G11642-Sens!G11638)*Seg!G51/(Seg!G51+Seg!G53)</f>
        <v>7.07975003595558</v>
      </c>
      <c r="H11643" s="6" t="n">
        <f aca="false">(Sens!H11642-Sens!H11638)*Seg!H51/(Seg!H51+Seg!H53)</f>
        <v>6.86478313784268</v>
      </c>
      <c r="I11643" s="6" t="n">
        <f aca="false">(Sens!I11642-Sens!I11638)*Seg!I51/(Seg!I51+Seg!I53)</f>
        <v>6.78354606184423</v>
      </c>
      <c r="J11643" s="6" t="n">
        <f aca="false">(Sens!J11642-Sens!J11638)*Seg!J51/(Seg!J51+Seg!J53)</f>
        <v>6.82477921474853</v>
      </c>
      <c r="K11643" s="6" t="n">
        <f aca="false">(Sens!K11642-Sens!K11638)*Seg!K51/(Seg!K51+Seg!K53)</f>
        <v>6.98256541964795</v>
      </c>
    </row>
    <row r="11644" customFormat="false" ht="17.15" hidden="false" customHeight="false" outlineLevel="0" collapsed="false">
      <c r="A11644" s="0" t="s">
        <v>959</v>
      </c>
      <c r="B11644" s="0" t="s">
        <v>95</v>
      </c>
      <c r="F11644" s="6" t="n">
        <f aca="false">Sens!F11642-Sens!F11638-Sens!F11643</f>
        <v>6.1356748584253</v>
      </c>
      <c r="G11644" s="6" t="n">
        <f aca="false">Sens!G11642-Sens!G11638-Sens!G11643</f>
        <v>6.06946770152326</v>
      </c>
      <c r="H11644" s="6" t="n">
        <f aca="false">Sens!H11642-Sens!H11638-Sens!H11643</f>
        <v>6.05976569600657</v>
      </c>
      <c r="I11644" s="6" t="n">
        <f aca="false">Sens!I11642-Sens!I11638-Sens!I11643</f>
        <v>6.10466782979</v>
      </c>
      <c r="J11644" s="6" t="n">
        <f aca="false">Sens!J11642-Sens!J11638-Sens!J11643</f>
        <v>6.20067510844453</v>
      </c>
      <c r="K11644" s="6" t="n">
        <f aca="false">Sens!K11642-Sens!K11638-Sens!K11643</f>
        <v>6.34403227244794</v>
      </c>
    </row>
    <row r="11645" customFormat="false" ht="17.15" hidden="false" customHeight="false" outlineLevel="0" collapsed="false">
      <c r="A11645" s="1" t="s">
        <v>960</v>
      </c>
      <c r="B11645" s="0" t="s">
        <v>95</v>
      </c>
      <c r="C11645" s="6" t="n">
        <f aca="false">(w_ntm28*Sens!G11639+(1-w_ntm28)*Sens!H11639)*m_ai*1</f>
        <v>454.922440830797</v>
      </c>
    </row>
    <row r="11646" customFormat="false" ht="17.15" hidden="false" customHeight="false" outlineLevel="0" collapsed="false">
      <c r="A11646" s="1" t="s">
        <v>961</v>
      </c>
      <c r="B11646" s="0" t="s">
        <v>95</v>
      </c>
      <c r="C11646" s="6" t="n">
        <f aca="false">(w_ntm28*Sens!G11641+(1-w_ntm28)*Sens!H11641)*m_cloud*1</f>
        <v>791.46441330217</v>
      </c>
    </row>
    <row r="11647" customFormat="false" ht="17.15" hidden="false" customHeight="false" outlineLevel="0" collapsed="false">
      <c r="A11647" s="1" t="s">
        <v>962</v>
      </c>
      <c r="B11647" s="0" t="s">
        <v>95</v>
      </c>
      <c r="C11647" s="6" t="n">
        <f aca="false">(w_ntm28*Sens!G11634+(1-w_ntm28)*Sens!H11634)*m_sw*1</f>
        <v>1026.79623553955</v>
      </c>
    </row>
    <row r="11648" customFormat="false" ht="17.15" hidden="false" customHeight="false" outlineLevel="0" collapsed="false">
      <c r="A11648" s="1" t="s">
        <v>963</v>
      </c>
      <c r="B11648" s="0" t="s">
        <v>95</v>
      </c>
      <c r="C11648" s="6" t="n">
        <f aca="false">(w_ntm28*Sens!G11635+(1-w_ntm28)*Sens!H11635)*m_sw*1</f>
        <v>362.808640557625</v>
      </c>
    </row>
    <row r="11649" customFormat="false" ht="17.15" hidden="false" customHeight="false" outlineLevel="0" collapsed="false">
      <c r="A11649" s="1" t="s">
        <v>964</v>
      </c>
      <c r="B11649" s="0" t="s">
        <v>95</v>
      </c>
      <c r="C11649" s="6" t="n">
        <f aca="false">(w_ntm28*Sens!G11636+(1-w_ntm28)*Sens!H11636)*m_sw*1</f>
        <v>99.1003328352541</v>
      </c>
    </row>
    <row r="11650" customFormat="false" ht="17.15" hidden="false" customHeight="false" outlineLevel="0" collapsed="false">
      <c r="A11650" s="1" t="s">
        <v>965</v>
      </c>
      <c r="B11650" s="0" t="s">
        <v>95</v>
      </c>
      <c r="C11650" s="6" t="n">
        <f aca="false">(w_ntm28*Sens!G11637+(1-w_ntm28)*Sens!H11637)*m_sw*1</f>
        <v>37.8085281683974</v>
      </c>
    </row>
    <row r="11651" customFormat="false" ht="17.15" hidden="false" customHeight="false" outlineLevel="0" collapsed="false">
      <c r="A11651" s="1" t="s">
        <v>966</v>
      </c>
      <c r="B11651" s="0" t="s">
        <v>95</v>
      </c>
      <c r="C11651" s="6" t="n">
        <f aca="false">(w_ntm28*Sens!G11638+(1-w_ntm28)*Sens!H11638)*m_ads*1</f>
        <v>104.465412054013</v>
      </c>
    </row>
    <row r="11652" customFormat="false" ht="17.15" hidden="false" customHeight="false" outlineLevel="0" collapsed="false">
      <c r="A11652" s="1" t="s">
        <v>967</v>
      </c>
      <c r="B11652" s="0" t="s">
        <v>95</v>
      </c>
      <c r="C11652" s="6" t="n">
        <f aca="false">(w_ntm28*Sens!G11643+(1-w_ntm28)*Sens!H11643)*m_game*1</f>
        <v>88.5395066063557</v>
      </c>
    </row>
    <row r="11653" customFormat="false" ht="17.15" hidden="false" customHeight="false" outlineLevel="0" collapsed="false">
      <c r="A11653" s="1" t="s">
        <v>968</v>
      </c>
      <c r="B11653" s="0" t="s">
        <v>95</v>
      </c>
      <c r="C11653" s="6" t="n">
        <f aca="false">(w_ntm28*Sens!G11644+(1-w_ntm28)*Sens!H11644)*m_pc*1</f>
        <v>87.7798119250428</v>
      </c>
    </row>
    <row r="11654" customFormat="false" ht="17.15" hidden="false" customHeight="false" outlineLevel="0" collapsed="false">
      <c r="A11654" s="1" t="s">
        <v>969</v>
      </c>
      <c r="B11654" s="0" t="s">
        <v>95</v>
      </c>
      <c r="C11654" s="6" t="n">
        <f aca="false">Sens!$C$11645+Sens!$C$11646+Sens!$C$11647+Sens!$C$11648+Sens!$C$11649+Sens!$C$11650+Sens!$C$11651+Sens!$C$11652+Sens!$C$11653</f>
        <v>3053.68532181921</v>
      </c>
    </row>
    <row r="11655" customFormat="false" ht="17.15" hidden="false" customHeight="false" outlineLevel="0" collapsed="false">
      <c r="A11655" s="1" t="s">
        <v>903</v>
      </c>
      <c r="B11655" s="0" t="s">
        <v>95</v>
      </c>
      <c r="C11655" s="6" t="n">
        <f aca="false">CF!F64+oai_v-CF!F53</f>
        <v>111.253995542787</v>
      </c>
      <c r="L11655" s="1" t="s">
        <v>970</v>
      </c>
    </row>
    <row r="11656" customFormat="false" ht="15" hidden="false" customHeight="false" outlineLevel="0" collapsed="false">
      <c r="A11656" s="1" t="s">
        <v>904</v>
      </c>
      <c r="B11656" s="0" t="s">
        <v>73</v>
      </c>
      <c r="C11656" s="5" t="n">
        <f aca="false">(Sens!$C$11654+Sens!$C$11655)/CF!F66</f>
        <v>423.573249111616</v>
      </c>
    </row>
    <row r="11657" customFormat="false" ht="17.15" hidden="false" customHeight="false" outlineLevel="0" collapsed="false">
      <c r="A11657" s="1" t="s">
        <v>971</v>
      </c>
      <c r="B11657" s="0" t="s">
        <v>73</v>
      </c>
      <c r="C11657" s="5" t="n">
        <f aca="false">w_dcf*Sens!$C$11632+(1-w_dcf)*Sens!$C$11656</f>
        <v>304.954337981655</v>
      </c>
    </row>
    <row r="11658" customFormat="false" ht="17.15" hidden="false" customHeight="false" outlineLevel="0" collapsed="false">
      <c r="A11658" s="3" t="s">
        <v>1445</v>
      </c>
    </row>
    <row r="11659" customFormat="false" ht="15" hidden="false" customHeight="false" outlineLevel="0" collapsed="false">
      <c r="A11659" s="4" t="s">
        <v>43</v>
      </c>
      <c r="B11659" s="4" t="s">
        <v>63</v>
      </c>
      <c r="C11659" s="19" t="s">
        <v>710</v>
      </c>
      <c r="D11659" s="19" t="s">
        <v>711</v>
      </c>
      <c r="E11659" s="19" t="s">
        <v>712</v>
      </c>
      <c r="F11659" s="19" t="s">
        <v>713</v>
      </c>
      <c r="G11659" s="19" t="s">
        <v>714</v>
      </c>
      <c r="H11659" s="19" t="s">
        <v>715</v>
      </c>
      <c r="I11659" s="19" t="s">
        <v>716</v>
      </c>
      <c r="J11659" s="19" t="s">
        <v>717</v>
      </c>
      <c r="K11659" s="19" t="s">
        <v>718</v>
      </c>
      <c r="L11659" s="4" t="s">
        <v>47</v>
      </c>
    </row>
    <row r="11660" customFormat="false" ht="17.15" hidden="false" customHeight="false" outlineLevel="0" collapsed="false">
      <c r="A11660" s="1" t="s">
        <v>938</v>
      </c>
      <c r="B11660" s="1" t="s">
        <v>213</v>
      </c>
      <c r="F11660" s="34" t="n">
        <f aca="false">1-0.5</f>
        <v>0.5</v>
      </c>
      <c r="G11660" s="34" t="n">
        <f aca="false">2-0.5</f>
        <v>1.5</v>
      </c>
      <c r="H11660" s="34" t="n">
        <f aca="false">3-0.5</f>
        <v>2.5</v>
      </c>
      <c r="I11660" s="34" t="n">
        <f aca="false">4-0.5</f>
        <v>3.5</v>
      </c>
      <c r="J11660" s="34" t="n">
        <f aca="false">5-0.5</f>
        <v>4.5</v>
      </c>
      <c r="K11660" s="34" t="n">
        <f aca="false">6-0.5</f>
        <v>5.5</v>
      </c>
    </row>
    <row r="11661" customFormat="false" ht="15" hidden="false" customHeight="false" outlineLevel="0" collapsed="false">
      <c r="A11661" s="1" t="s">
        <v>939</v>
      </c>
      <c r="B11661" s="0" t="s">
        <v>182</v>
      </c>
      <c r="F11661" s="18" t="n">
        <f aca="false">1/(1+wacc)^Sens!F11660</f>
        <v>0.949601579913219</v>
      </c>
      <c r="G11661" s="18" t="n">
        <f aca="false">1/(1+wacc)^Sens!G11660</f>
        <v>0.856296729956707</v>
      </c>
      <c r="H11661" s="18" t="n">
        <f aca="false">1/(1+wacc)^Sens!H11660</f>
        <v>0.772159719660069</v>
      </c>
      <c r="I11661" s="18" t="n">
        <f aca="false">1/(1+wacc)^Sens!I11660</f>
        <v>0.696289746073958</v>
      </c>
      <c r="J11661" s="18" t="n">
        <f aca="false">1/(1+wacc)^Sens!J11660</f>
        <v>0.627874516299776</v>
      </c>
      <c r="K11661" s="18" t="n">
        <f aca="false">1/(1+wacc)^Sens!K11660</f>
        <v>0.566181550771831</v>
      </c>
    </row>
    <row r="11662" customFormat="false" ht="15" hidden="false" customHeight="false" outlineLevel="0" collapsed="false">
      <c r="A11662" s="1" t="s">
        <v>940</v>
      </c>
      <c r="B11662" s="0" t="s">
        <v>95</v>
      </c>
      <c r="F11662" s="6" t="n">
        <f aca="false">CF!F83*Sens!F11661</f>
        <v>-3.06653414679568</v>
      </c>
      <c r="G11662" s="6" t="n">
        <f aca="false">CF!G83*Sens!G11661</f>
        <v>15.3370464106998</v>
      </c>
      <c r="H11662" s="6" t="n">
        <f aca="false">CF!H83*Sens!H11661</f>
        <v>32.741830912959</v>
      </c>
      <c r="I11662" s="6" t="n">
        <f aca="false">CF!I83*Sens!I11661</f>
        <v>32.5345194226033</v>
      </c>
      <c r="J11662" s="6" t="n">
        <f aca="false">CF!J83*Sens!J11661</f>
        <v>41.02711694846</v>
      </c>
      <c r="K11662" s="6" t="n">
        <f aca="false">CF!K83*Sens!K11661</f>
        <v>30.3740488668364</v>
      </c>
    </row>
    <row r="11663" customFormat="false" ht="17.15" hidden="false" customHeight="false" outlineLevel="0" collapsed="false">
      <c r="A11663" s="1" t="s">
        <v>941</v>
      </c>
      <c r="B11663" s="0" t="s">
        <v>95</v>
      </c>
      <c r="C11663" s="6" t="n">
        <f aca="false">SUM(Sens!F11662:K11662)</f>
        <v>148.948028414763</v>
      </c>
    </row>
    <row r="11664" customFormat="false" ht="17.15" hidden="false" customHeight="false" outlineLevel="0" collapsed="false">
      <c r="A11664" s="1" t="s">
        <v>942</v>
      </c>
      <c r="B11664" s="0" t="s">
        <v>95</v>
      </c>
      <c r="C11664" s="6" t="n">
        <f aca="false">PL!K105*(1+g_tv)*(1-tax_f)</f>
        <v>165.083397962666</v>
      </c>
    </row>
    <row r="11665" customFormat="false" ht="17.15" hidden="false" customHeight="false" outlineLevel="0" collapsed="false">
      <c r="A11665" s="1" t="s">
        <v>1443</v>
      </c>
      <c r="B11665" s="0" t="s">
        <v>95</v>
      </c>
      <c r="C11665" s="6" t="n">
        <f aca="false">CF!K83*(1+g_tv)</f>
        <v>55.2566050416032</v>
      </c>
    </row>
    <row r="11666" customFormat="false" ht="17.15" hidden="false" customHeight="false" outlineLevel="0" collapsed="false">
      <c r="A11666" s="1" t="s">
        <v>944</v>
      </c>
      <c r="B11666" s="0" t="s">
        <v>95</v>
      </c>
      <c r="C11666" s="6" t="n">
        <f aca="false">Sens!$C$11665/(wacc-g_tv)</f>
        <v>699.776481210905</v>
      </c>
    </row>
    <row r="11667" customFormat="false" ht="15" hidden="false" customHeight="false" outlineLevel="0" collapsed="false">
      <c r="A11667" s="1" t="s">
        <v>945</v>
      </c>
      <c r="B11667" s="0" t="s">
        <v>95</v>
      </c>
      <c r="C11667" s="6" t="n">
        <f aca="false">Sens!$C$11666/(1+wacc)^6</f>
        <v>376.232652408493</v>
      </c>
    </row>
    <row r="11668" customFormat="false" ht="17.15" hidden="false" customHeight="false" outlineLevel="0" collapsed="false">
      <c r="A11668" s="0" t="s">
        <v>877</v>
      </c>
      <c r="B11668" s="0" t="s">
        <v>95</v>
      </c>
      <c r="C11668" s="6" t="n">
        <f aca="false">Sens!$C$11663+Sens!$C$11667</f>
        <v>525.180680823255</v>
      </c>
    </row>
    <row r="11669" customFormat="false" ht="15" hidden="false" customHeight="false" outlineLevel="0" collapsed="false">
      <c r="A11669" s="1" t="s">
        <v>878</v>
      </c>
      <c r="B11669" s="0" t="s">
        <v>126</v>
      </c>
      <c r="C11669" s="7" t="n">
        <f aca="false">Sens!$C$11667/Sens!$C$11668</f>
        <v>0.716387076193898</v>
      </c>
    </row>
    <row r="11670" customFormat="false" ht="17.15" hidden="false" customHeight="false" outlineLevel="0" collapsed="false">
      <c r="A11670" s="1" t="s">
        <v>946</v>
      </c>
      <c r="B11670" s="0" t="s">
        <v>95</v>
      </c>
      <c r="C11670" s="6" t="n">
        <f aca="false">Sens!$C$11668+CF!E92+oai_v</f>
        <v>726.287680823255</v>
      </c>
    </row>
    <row r="11671" customFormat="false" ht="17.15" hidden="false" customHeight="false" outlineLevel="0" collapsed="false">
      <c r="A11671" s="0" t="s">
        <v>883</v>
      </c>
      <c r="B11671" s="0" t="s">
        <v>73</v>
      </c>
      <c r="C11671" s="5" t="n">
        <f aca="false">Sens!$C$11670/sh_dil26</f>
        <v>97.4490380817463</v>
      </c>
    </row>
    <row r="11672" customFormat="false" ht="17.15" hidden="false" customHeight="false" outlineLevel="0" collapsed="false">
      <c r="A11672" s="0" t="s">
        <v>947</v>
      </c>
      <c r="B11672" s="0" t="s">
        <v>73</v>
      </c>
      <c r="C11672" s="5" t="n">
        <f aca="false">Sens!$C$11671*(1+wacc)^t_roll</f>
        <v>111.773517605692</v>
      </c>
    </row>
    <row r="11673" customFormat="false" ht="17.15" hidden="false" customHeight="false" outlineLevel="0" collapsed="false">
      <c r="A11673" s="1" t="s">
        <v>948</v>
      </c>
      <c r="B11673" s="0" t="s">
        <v>126</v>
      </c>
      <c r="F11673" s="7" t="n">
        <f aca="false">CF!F73/(Seg!F83-Thesis!F108)</f>
        <v>0.0686864325746334</v>
      </c>
      <c r="G11673" s="7" t="n">
        <f aca="false">CF!G73/(Seg!G83-Thesis!G108)</f>
        <v>0.066267001590801</v>
      </c>
      <c r="H11673" s="7" t="n">
        <f aca="false">CF!H73/(Seg!H83-Thesis!H108)</f>
        <v>0.0650366246750144</v>
      </c>
      <c r="I11673" s="7" t="n">
        <f aca="false">CF!I73/(Seg!I83-Thesis!I108)</f>
        <v>0.0648573271390164</v>
      </c>
      <c r="J11673" s="7" t="n">
        <f aca="false">CF!J73/(Seg!J83-Thesis!J108)</f>
        <v>0.0655189837669657</v>
      </c>
      <c r="K11673" s="7" t="n">
        <f aca="false">CF!K73/(Seg!K83-Thesis!K108)</f>
        <v>0.0667878921367872</v>
      </c>
    </row>
    <row r="11674" customFormat="false" ht="17.15" hidden="false" customHeight="false" outlineLevel="0" collapsed="false">
      <c r="A11674" s="0" t="s">
        <v>949</v>
      </c>
      <c r="B11674" s="0" t="s">
        <v>95</v>
      </c>
      <c r="F11674" s="6" t="n">
        <f aca="false">Seg!F68*(al_m365+Sens!F11673)</f>
        <v>78.4986969872395</v>
      </c>
      <c r="G11674" s="6" t="n">
        <f aca="false">Seg!G68*(al_m365+Sens!G11673)</f>
        <v>88.3098056906507</v>
      </c>
      <c r="H11674" s="6" t="n">
        <f aca="false">Seg!H68*(al_m365+Sens!H11673)</f>
        <v>98.2773562913015</v>
      </c>
      <c r="I11674" s="6" t="n">
        <f aca="false">Seg!I68*(al_m365+Sens!I11673)</f>
        <v>107.762753675846</v>
      </c>
      <c r="J11674" s="6" t="n">
        <f aca="false">Seg!J68*(al_m365+Sens!J11673)</f>
        <v>116.587414331333</v>
      </c>
      <c r="K11674" s="6" t="n">
        <f aca="false">Seg!K68*(al_m365+Sens!K11673)</f>
        <v>125.041394489287</v>
      </c>
    </row>
    <row r="11675" customFormat="false" ht="17.15" hidden="false" customHeight="false" outlineLevel="0" collapsed="false">
      <c r="A11675" s="0" t="s">
        <v>950</v>
      </c>
      <c r="B11675" s="0" t="s">
        <v>95</v>
      </c>
      <c r="F11675" s="6" t="n">
        <f aca="false">Seg!F69*(al_lic+Sens!F11673)</f>
        <v>31.9877845991607</v>
      </c>
      <c r="G11675" s="6" t="n">
        <f aca="false">Seg!G69*(al_lic+Sens!G11673)</f>
        <v>33.243749427372</v>
      </c>
      <c r="H11675" s="6" t="n">
        <f aca="false">Seg!H69*(al_lic+Sens!H11673)</f>
        <v>34.4137793872059</v>
      </c>
      <c r="I11675" s="6" t="n">
        <f aca="false">Seg!I69*(al_lic+Sens!I11673)</f>
        <v>35.4787240806467</v>
      </c>
      <c r="J11675" s="6" t="n">
        <f aca="false">Seg!J69*(al_lic+Sens!J11673)</f>
        <v>36.4160307520991</v>
      </c>
      <c r="K11675" s="6" t="n">
        <f aca="false">Seg!K69*(al_lic+Sens!K11673)</f>
        <v>37.2021461938459</v>
      </c>
    </row>
    <row r="11676" customFormat="false" ht="17.15" hidden="false" customHeight="false" outlineLevel="0" collapsed="false">
      <c r="A11676" s="0" t="s">
        <v>951</v>
      </c>
      <c r="B11676" s="0" t="s">
        <v>95</v>
      </c>
      <c r="F11676" s="6" t="n">
        <f aca="false">Seg!F71*(al_ind+Sens!F11673)</f>
        <v>8.24280380456612</v>
      </c>
      <c r="G11676" s="6" t="n">
        <f aca="false">Seg!G71*(al_ind+Sens!G11673)</f>
        <v>8.9512770630031</v>
      </c>
      <c r="H11676" s="6" t="n">
        <f aca="false">Seg!H71*(al_ind+Sens!H11673)</f>
        <v>9.70041215792393</v>
      </c>
      <c r="I11676" s="6" t="n">
        <f aca="false">Seg!I71*(al_ind+Sens!I11673)</f>
        <v>10.4864435829487</v>
      </c>
      <c r="J11676" s="6" t="n">
        <f aca="false">Seg!J71*(al_ind+Sens!J11673)</f>
        <v>11.3015744981253</v>
      </c>
      <c r="K11676" s="6" t="n">
        <f aca="false">Seg!K71*(al_ind+Sens!K11673)</f>
        <v>12.1346647729291</v>
      </c>
    </row>
    <row r="11677" customFormat="false" ht="17.15" hidden="false" customHeight="false" outlineLevel="0" collapsed="false">
      <c r="A11677" s="0" t="s">
        <v>952</v>
      </c>
      <c r="B11677" s="0" t="s">
        <v>95</v>
      </c>
      <c r="F11677" s="6" t="n">
        <f aca="false">Seg!F73*(al_fro+Sens!F11673)</f>
        <v>3.24439651632051</v>
      </c>
      <c r="G11677" s="6" t="n">
        <f aca="false">Seg!G73*(al_fro+Sens!G11673)</f>
        <v>3.43676117771401</v>
      </c>
      <c r="H11677" s="6" t="n">
        <f aca="false">Seg!H73*(al_fro+Sens!H11673)</f>
        <v>3.65544732248501</v>
      </c>
      <c r="I11677" s="6" t="n">
        <f aca="false">Seg!I73*(al_fro+Sens!I11673)</f>
        <v>3.90262750850979</v>
      </c>
      <c r="J11677" s="6" t="n">
        <f aca="false">Seg!J73*(al_fro+Sens!J11673)</f>
        <v>4.17975656810881</v>
      </c>
      <c r="K11677" s="6" t="n">
        <f aca="false">Seg!K73*(al_fro+Sens!K11673)</f>
        <v>4.48786536733111</v>
      </c>
    </row>
    <row r="11678" customFormat="false" ht="17.15" hidden="false" customHeight="false" outlineLevel="0" collapsed="false">
      <c r="A11678" s="0" t="s">
        <v>953</v>
      </c>
      <c r="B11678" s="0" t="s">
        <v>95</v>
      </c>
      <c r="F11678" s="6" t="n">
        <f aca="false">Seg!F76*(al_srch+Sens!F11673)</f>
        <v>10.1799817910968</v>
      </c>
      <c r="G11678" s="6" t="n">
        <f aca="false">Seg!G76*(al_srch+Sens!G11673)</f>
        <v>11.1592643133754</v>
      </c>
      <c r="H11678" s="6" t="n">
        <f aca="false">Seg!H76*(al_srch+Sens!H11673)</f>
        <v>12.1792194533398</v>
      </c>
      <c r="I11678" s="6" t="n">
        <f aca="false">Seg!I76*(al_srch+Sens!I11673)</f>
        <v>13.2288881134521</v>
      </c>
      <c r="J11678" s="6" t="n">
        <f aca="false">Seg!J76*(al_srch+Sens!J11673)</f>
        <v>14.2913670918582</v>
      </c>
      <c r="K11678" s="6" t="n">
        <f aca="false">Seg!K76*(al_srch+Sens!K11673)</f>
        <v>15.3448485284362</v>
      </c>
    </row>
    <row r="11679" customFormat="false" ht="17.15" hidden="false" customHeight="false" outlineLevel="0" collapsed="false">
      <c r="A11679" s="0" t="s">
        <v>954</v>
      </c>
      <c r="B11679" s="0" t="s">
        <v>95</v>
      </c>
      <c r="F11679" s="6" t="n">
        <f aca="false">Thesis!F114</f>
        <v>35.0573455625419</v>
      </c>
      <c r="G11679" s="6" t="n">
        <f aca="false">Thesis!G114</f>
        <v>52.2504971712871</v>
      </c>
      <c r="H11679" s="6" t="n">
        <f aca="false">Thesis!H114</f>
        <v>65.2796698510271</v>
      </c>
      <c r="I11679" s="6" t="n">
        <f aca="false">Thesis!I114</f>
        <v>85.5659922535278</v>
      </c>
      <c r="J11679" s="6" t="n">
        <f aca="false">Thesis!J114</f>
        <v>105.90773710582</v>
      </c>
      <c r="K11679" s="6" t="n">
        <f aca="false">Thesis!K114</f>
        <v>126.282084319851</v>
      </c>
    </row>
    <row r="11680" customFormat="false" ht="17.15" hidden="false" customHeight="false" outlineLevel="0" collapsed="false">
      <c r="A11680" s="0" t="s">
        <v>955</v>
      </c>
      <c r="B11680" s="0" t="s">
        <v>95</v>
      </c>
      <c r="F11680" s="6" t="n">
        <f aca="false">PL!F102+Thesis!F125+Sens!F11673*(Seg!F75-Thesis!F108)</f>
        <v>206.154467007856</v>
      </c>
      <c r="G11680" s="6" t="n">
        <f aca="false">PL!G102+Thesis!G125+Sens!G11673*(Seg!G75-Thesis!G108)</f>
        <v>241.631787518433</v>
      </c>
      <c r="H11680" s="6" t="n">
        <f aca="false">PL!H102+Thesis!H125+Sens!H11673*(Seg!H75-Thesis!H108)</f>
        <v>273.161508717552</v>
      </c>
      <c r="I11680" s="6" t="n">
        <f aca="false">PL!I102+Thesis!I125+Sens!I11673*(Seg!I75-Thesis!I108)</f>
        <v>311.232758290592</v>
      </c>
      <c r="J11680" s="6" t="n">
        <f aca="false">PL!J102+Thesis!J125+Sens!J11673*(Seg!J75-Thesis!J108)</f>
        <v>347.836227364385</v>
      </c>
      <c r="K11680" s="6" t="n">
        <f aca="false">PL!K102+Thesis!K125+Sens!K11673*(Seg!K75-Thesis!K108)</f>
        <v>382.533402332059</v>
      </c>
    </row>
    <row r="11681" customFormat="false" ht="17.15" hidden="false" customHeight="false" outlineLevel="0" collapsed="false">
      <c r="A11681" s="0" t="s">
        <v>956</v>
      </c>
      <c r="B11681" s="0" t="s">
        <v>95</v>
      </c>
      <c r="F11681" s="6" t="n">
        <f aca="false">Sens!F11680-Sens!F11674-Sens!F11675-Sens!F11676-Sens!F11677-Sens!F11679</f>
        <v>49.123439538027</v>
      </c>
      <c r="G11681" s="6" t="n">
        <f aca="false">Sens!G11680-Sens!G11674-Sens!G11675-Sens!G11676-Sens!G11677-Sens!G11679</f>
        <v>55.4396969884061</v>
      </c>
      <c r="H11681" s="6" t="n">
        <f aca="false">Sens!H11680-Sens!H11674-Sens!H11675-Sens!H11676-Sens!H11677-Sens!H11679</f>
        <v>61.8348437076084</v>
      </c>
      <c r="I11681" s="6" t="n">
        <f aca="false">Sens!I11680-Sens!I11674-Sens!I11675-Sens!I11676-Sens!I11677-Sens!I11679</f>
        <v>68.0362171891129</v>
      </c>
      <c r="J11681" s="6" t="n">
        <f aca="false">Sens!J11680-Sens!J11674-Sens!J11675-Sens!J11676-Sens!J11677-Sens!J11679</f>
        <v>73.4437141088982</v>
      </c>
      <c r="K11681" s="6" t="n">
        <f aca="false">Sens!K11680-Sens!K11674-Sens!K11675-Sens!K11676-Sens!K11677-Sens!K11679</f>
        <v>77.3852471888144</v>
      </c>
    </row>
    <row r="11682" customFormat="false" ht="17.15" hidden="false" customHeight="false" outlineLevel="0" collapsed="false">
      <c r="A11682" s="0" t="s">
        <v>957</v>
      </c>
      <c r="B11682" s="0" t="s">
        <v>95</v>
      </c>
      <c r="F11682" s="6" t="n">
        <f aca="false">PL!F104+Sens!F11673*Seg!F82</f>
        <v>23.7697943901369</v>
      </c>
      <c r="G11682" s="6" t="n">
        <f aca="false">PL!G104+Sens!G11673*Seg!G82</f>
        <v>24.331261048114</v>
      </c>
      <c r="H11682" s="6" t="n">
        <f aca="false">PL!H104+Sens!H11673*Seg!H82</f>
        <v>25.1342423406419</v>
      </c>
      <c r="I11682" s="6" t="n">
        <f aca="false">PL!I104+Sens!I11673*Seg!I82</f>
        <v>26.1495446421549</v>
      </c>
      <c r="J11682" s="6" t="n">
        <f aca="false">PL!J104+Sens!J11673*Seg!J82</f>
        <v>27.3481502080811</v>
      </c>
      <c r="K11682" s="6" t="n">
        <f aca="false">PL!K104+Sens!K11673*Seg!K82</f>
        <v>28.7026027133478</v>
      </c>
    </row>
    <row r="11683" customFormat="false" ht="17.15" hidden="false" customHeight="false" outlineLevel="0" collapsed="false">
      <c r="A11683" s="0" t="s">
        <v>958</v>
      </c>
      <c r="B11683" s="0" t="s">
        <v>95</v>
      </c>
      <c r="F11683" s="6" t="n">
        <f aca="false">(Sens!F11682-Sens!F11678)*Seg!F78/(Seg!F78+Seg!F80)</f>
        <v>7.44980290393703</v>
      </c>
      <c r="G11683" s="6" t="n">
        <f aca="false">(Sens!G11682-Sens!G11678)*Seg!G78/(Seg!G78+Seg!G80)</f>
        <v>7.09201461396229</v>
      </c>
      <c r="H11683" s="6" t="n">
        <f aca="false">(Sens!H11682-Sens!H11678)*Seg!H78/(Seg!H78+Seg!H80)</f>
        <v>6.8809692168288</v>
      </c>
      <c r="I11683" s="6" t="n">
        <f aca="false">(Sens!I11682-Sens!I11678)*Seg!I78/(Seg!I78+Seg!I80)</f>
        <v>6.80062182771623</v>
      </c>
      <c r="J11683" s="6" t="n">
        <f aca="false">(Sens!J11682-Sens!J11678)*Seg!J78/(Seg!J78+Seg!J80)</f>
        <v>6.84119415814997</v>
      </c>
      <c r="K11683" s="6" t="n">
        <f aca="false">(Sens!K11682-Sens!K11678)*Seg!K78/(Seg!K78+Seg!K80)</f>
        <v>6.99889008512966</v>
      </c>
    </row>
    <row r="11684" customFormat="false" ht="17.15" hidden="false" customHeight="false" outlineLevel="0" collapsed="false">
      <c r="A11684" s="0" t="s">
        <v>959</v>
      </c>
      <c r="B11684" s="0" t="s">
        <v>95</v>
      </c>
      <c r="F11684" s="6" t="n">
        <f aca="false">Sens!F11682-Sens!F11678-Sens!F11683</f>
        <v>6.14000969510312</v>
      </c>
      <c r="G11684" s="6" t="n">
        <f aca="false">Sens!G11682-Sens!G11678-Sens!G11683</f>
        <v>6.07998212077627</v>
      </c>
      <c r="H11684" s="6" t="n">
        <f aca="false">Sens!H11682-Sens!H11678-Sens!H11683</f>
        <v>6.07405367047327</v>
      </c>
      <c r="I11684" s="6" t="n">
        <f aca="false">Sens!I11682-Sens!I11678-Sens!I11683</f>
        <v>6.12003470098649</v>
      </c>
      <c r="J11684" s="6" t="n">
        <f aca="false">Sens!J11682-Sens!J11678-Sens!J11683</f>
        <v>6.21558895807294</v>
      </c>
      <c r="K11684" s="6" t="n">
        <f aca="false">Sens!K11682-Sens!K11678-Sens!K11683</f>
        <v>6.35886409978198</v>
      </c>
    </row>
    <row r="11685" customFormat="false" ht="17.15" hidden="false" customHeight="false" outlineLevel="0" collapsed="false">
      <c r="A11685" s="1" t="s">
        <v>960</v>
      </c>
      <c r="B11685" s="0" t="s">
        <v>95</v>
      </c>
      <c r="C11685" s="6" t="n">
        <f aca="false">(w_ntm28*Sens!G11679+(1-w_ntm28)*Sens!H11679)*m_ai*1</f>
        <v>338.776008390068</v>
      </c>
    </row>
    <row r="11686" customFormat="false" ht="17.15" hidden="false" customHeight="false" outlineLevel="0" collapsed="false">
      <c r="A11686" s="1" t="s">
        <v>961</v>
      </c>
      <c r="B11686" s="0" t="s">
        <v>95</v>
      </c>
      <c r="C11686" s="6" t="n">
        <f aca="false">(w_ntm28*Sens!G11681+(1-w_ntm28)*Sens!H11681)*m_cloud*1</f>
        <v>794.749076664173</v>
      </c>
    </row>
    <row r="11687" customFormat="false" ht="17.15" hidden="false" customHeight="false" outlineLevel="0" collapsed="false">
      <c r="A11687" s="1" t="s">
        <v>962</v>
      </c>
      <c r="B11687" s="0" t="s">
        <v>95</v>
      </c>
      <c r="C11687" s="6" t="n">
        <f aca="false">(w_ntm28*Sens!G11674+(1-w_ntm28)*Sens!H11674)*m_sw*1</f>
        <v>988.547672652094</v>
      </c>
    </row>
    <row r="11688" customFormat="false" ht="17.15" hidden="false" customHeight="false" outlineLevel="0" collapsed="false">
      <c r="A11688" s="1" t="s">
        <v>963</v>
      </c>
      <c r="B11688" s="0" t="s">
        <v>95</v>
      </c>
      <c r="C11688" s="6" t="n">
        <f aca="false">(w_ntm28*Sens!G11675+(1-w_ntm28)*Sens!H11675)*m_sw*1</f>
        <v>363.117661434282</v>
      </c>
    </row>
    <row r="11689" customFormat="false" ht="17.15" hidden="false" customHeight="false" outlineLevel="0" collapsed="false">
      <c r="A11689" s="1" t="s">
        <v>964</v>
      </c>
      <c r="B11689" s="0" t="s">
        <v>95</v>
      </c>
      <c r="C11689" s="6" t="n">
        <f aca="false">(w_ntm28*Sens!G11676+(1-w_ntm28)*Sens!H11676)*m_sw*1</f>
        <v>99.2894025954118</v>
      </c>
    </row>
    <row r="11690" customFormat="false" ht="17.15" hidden="false" customHeight="false" outlineLevel="0" collapsed="false">
      <c r="A11690" s="1" t="s">
        <v>965</v>
      </c>
      <c r="B11690" s="0" t="s">
        <v>95</v>
      </c>
      <c r="C11690" s="6" t="n">
        <f aca="false">(w_ntm28*Sens!G11677+(1-w_ntm28)*Sens!H11677)*m_sw*1</f>
        <v>37.8805648916295</v>
      </c>
    </row>
    <row r="11691" customFormat="false" ht="17.15" hidden="false" customHeight="false" outlineLevel="0" collapsed="false">
      <c r="A11691" s="1" t="s">
        <v>966</v>
      </c>
      <c r="B11691" s="0" t="s">
        <v>95</v>
      </c>
      <c r="C11691" s="6" t="n">
        <f aca="false">(w_ntm28*Sens!G11678+(1-w_ntm28)*Sens!H11678)*m_ads*1</f>
        <v>104.664819473916</v>
      </c>
    </row>
    <row r="11692" customFormat="false" ht="17.15" hidden="false" customHeight="false" outlineLevel="0" collapsed="false">
      <c r="A11692" s="1" t="s">
        <v>967</v>
      </c>
      <c r="B11692" s="0" t="s">
        <v>95</v>
      </c>
      <c r="C11692" s="6" t="n">
        <f aca="false">(w_ntm28*Sens!G11683+(1-w_ntm28)*Sens!H11683)*m_game*1</f>
        <v>88.7104201985522</v>
      </c>
    </row>
    <row r="11693" customFormat="false" ht="17.15" hidden="false" customHeight="false" outlineLevel="0" collapsed="false">
      <c r="A11693" s="1" t="s">
        <v>968</v>
      </c>
      <c r="B11693" s="0" t="s">
        <v>95</v>
      </c>
      <c r="C11693" s="6" t="n">
        <f aca="false">(w_ntm28*Sens!G11684+(1-w_ntm28)*Sens!H11684)*m_pc*1</f>
        <v>87.9496081595385</v>
      </c>
    </row>
    <row r="11694" customFormat="false" ht="17.15" hidden="false" customHeight="false" outlineLevel="0" collapsed="false">
      <c r="A11694" s="1" t="s">
        <v>969</v>
      </c>
      <c r="B11694" s="0" t="s">
        <v>95</v>
      </c>
      <c r="C11694" s="6" t="n">
        <f aca="false">Sens!$C$11685+Sens!$C$11686+Sens!$C$11687+Sens!$C$11688+Sens!$C$11689+Sens!$C$11690+Sens!$C$11691+Sens!$C$11692+Sens!$C$11693</f>
        <v>2903.68523445966</v>
      </c>
    </row>
    <row r="11695" customFormat="false" ht="17.15" hidden="false" customHeight="false" outlineLevel="0" collapsed="false">
      <c r="A11695" s="1" t="s">
        <v>903</v>
      </c>
      <c r="B11695" s="0" t="s">
        <v>95</v>
      </c>
      <c r="C11695" s="6" t="n">
        <f aca="false">CF!F92+oai_v-CF!F81</f>
        <v>106.814034990727</v>
      </c>
      <c r="L11695" s="1" t="s">
        <v>970</v>
      </c>
    </row>
    <row r="11696" customFormat="false" ht="15" hidden="false" customHeight="false" outlineLevel="0" collapsed="false">
      <c r="A11696" s="1" t="s">
        <v>904</v>
      </c>
      <c r="B11696" s="0" t="s">
        <v>73</v>
      </c>
      <c r="C11696" s="5" t="n">
        <f aca="false">(Sens!$C$11694+Sens!$C$11695)/CF!F94</f>
        <v>402.904077817237</v>
      </c>
    </row>
    <row r="11697" customFormat="false" ht="17.15" hidden="false" customHeight="false" outlineLevel="0" collapsed="false">
      <c r="A11697" s="1" t="s">
        <v>971</v>
      </c>
      <c r="B11697" s="0" t="s">
        <v>73</v>
      </c>
      <c r="C11697" s="5" t="n">
        <f aca="false">w_dcf*Sens!$C$11672+(1-w_dcf)*Sens!$C$11696</f>
        <v>257.338797711464</v>
      </c>
    </row>
    <row r="11698" customFormat="false" ht="17.15" hidden="false" customHeight="false" outlineLevel="0" collapsed="false">
      <c r="A11698" s="3" t="s">
        <v>1446</v>
      </c>
    </row>
    <row r="11699" customFormat="false" ht="15" hidden="false" customHeight="false" outlineLevel="0" collapsed="false">
      <c r="A11699" s="4" t="s">
        <v>43</v>
      </c>
      <c r="B11699" s="4" t="s">
        <v>63</v>
      </c>
      <c r="C11699" s="19" t="s">
        <v>710</v>
      </c>
      <c r="D11699" s="19" t="s">
        <v>711</v>
      </c>
      <c r="E11699" s="19" t="s">
        <v>712</v>
      </c>
      <c r="F11699" s="19" t="s">
        <v>713</v>
      </c>
      <c r="G11699" s="19" t="s">
        <v>714</v>
      </c>
      <c r="H11699" s="19" t="s">
        <v>715</v>
      </c>
      <c r="I11699" s="19" t="s">
        <v>716</v>
      </c>
      <c r="J11699" s="19" t="s">
        <v>717</v>
      </c>
      <c r="K11699" s="19" t="s">
        <v>718</v>
      </c>
      <c r="L11699" s="4" t="s">
        <v>47</v>
      </c>
    </row>
    <row r="11700" customFormat="false" ht="17.15" hidden="false" customHeight="false" outlineLevel="0" collapsed="false">
      <c r="A11700" s="1" t="s">
        <v>938</v>
      </c>
      <c r="B11700" s="1" t="s">
        <v>213</v>
      </c>
      <c r="F11700" s="34" t="n">
        <f aca="false">1-0.5</f>
        <v>0.5</v>
      </c>
      <c r="G11700" s="34" t="n">
        <f aca="false">2-0.5</f>
        <v>1.5</v>
      </c>
      <c r="H11700" s="34" t="n">
        <f aca="false">3-0.5</f>
        <v>2.5</v>
      </c>
      <c r="I11700" s="34" t="n">
        <f aca="false">4-0.5</f>
        <v>3.5</v>
      </c>
      <c r="J11700" s="34" t="n">
        <f aca="false">5-0.5</f>
        <v>4.5</v>
      </c>
      <c r="K11700" s="34" t="n">
        <f aca="false">6-0.5</f>
        <v>5.5</v>
      </c>
    </row>
    <row r="11701" customFormat="false" ht="15" hidden="false" customHeight="false" outlineLevel="0" collapsed="false">
      <c r="A11701" s="1" t="s">
        <v>939</v>
      </c>
      <c r="B11701" s="0" t="s">
        <v>182</v>
      </c>
      <c r="F11701" s="18" t="n">
        <f aca="false">1/(1+wacc)^Sens!F11700</f>
        <v>0.949601579913219</v>
      </c>
      <c r="G11701" s="18" t="n">
        <f aca="false">1/(1+wacc)^Sens!G11700</f>
        <v>0.856296729956707</v>
      </c>
      <c r="H11701" s="18" t="n">
        <f aca="false">1/(1+wacc)^Sens!H11700</f>
        <v>0.772159719660069</v>
      </c>
      <c r="I11701" s="18" t="n">
        <f aca="false">1/(1+wacc)^Sens!I11700</f>
        <v>0.696289746073958</v>
      </c>
      <c r="J11701" s="18" t="n">
        <f aca="false">1/(1+wacc)^Sens!J11700</f>
        <v>0.627874516299776</v>
      </c>
      <c r="K11701" s="18" t="n">
        <f aca="false">1/(1+wacc)^Sens!K11700</f>
        <v>0.566181550771831</v>
      </c>
    </row>
    <row r="11702" customFormat="false" ht="15" hidden="false" customHeight="false" outlineLevel="0" collapsed="false">
      <c r="A11702" s="1" t="s">
        <v>940</v>
      </c>
      <c r="B11702" s="0" t="s">
        <v>95</v>
      </c>
      <c r="F11702" s="6" t="n">
        <f aca="false">CF!F27*Sens!F11701</f>
        <v>4.78244341517868</v>
      </c>
      <c r="G11702" s="6" t="n">
        <f aca="false">CF!G27*Sens!G11701</f>
        <v>37.2678177028369</v>
      </c>
      <c r="H11702" s="6" t="n">
        <f aca="false">CF!H27*Sens!H11701</f>
        <v>72.9878911803064</v>
      </c>
      <c r="I11702" s="6" t="n">
        <f aca="false">CF!I27*Sens!I11701</f>
        <v>79.2928055259562</v>
      </c>
      <c r="J11702" s="6" t="n">
        <f aca="false">CF!J27*Sens!J11701</f>
        <v>92.2861122369862</v>
      </c>
      <c r="K11702" s="6" t="n">
        <f aca="false">CF!K27*Sens!K11701</f>
        <v>84.8150303666</v>
      </c>
    </row>
    <row r="11703" customFormat="false" ht="17.15" hidden="false" customHeight="false" outlineLevel="0" collapsed="false">
      <c r="A11703" s="1" t="s">
        <v>941</v>
      </c>
      <c r="B11703" s="0" t="s">
        <v>95</v>
      </c>
      <c r="C11703" s="6" t="n">
        <f aca="false">SUM(Sens!F11702:K11702)</f>
        <v>371.432100427865</v>
      </c>
    </row>
    <row r="11704" customFormat="false" ht="17.15" hidden="false" customHeight="false" outlineLevel="0" collapsed="false">
      <c r="A11704" s="1" t="s">
        <v>942</v>
      </c>
      <c r="B11704" s="0" t="s">
        <v>95</v>
      </c>
      <c r="C11704" s="6" t="n">
        <f aca="false">PL!K35*(1+g_tv)*(1-tax_f)</f>
        <v>261.070427358719</v>
      </c>
    </row>
    <row r="11705" customFormat="false" ht="17.15" hidden="false" customHeight="false" outlineLevel="0" collapsed="false">
      <c r="A11705" s="1" t="s">
        <v>943</v>
      </c>
      <c r="B11705" s="0" t="s">
        <v>95</v>
      </c>
      <c r="C11705" s="6" t="n">
        <f aca="false">Sens!$C$11704*(1-g_tv/(wacc+ronic_prem))</f>
        <v>189.191928007442</v>
      </c>
    </row>
    <row r="11706" customFormat="false" ht="17.15" hidden="false" customHeight="false" outlineLevel="0" collapsed="false">
      <c r="A11706" s="1" t="s">
        <v>944</v>
      </c>
      <c r="B11706" s="0" t="s">
        <v>95</v>
      </c>
      <c r="C11706" s="6" t="n">
        <f aca="false">Sens!$C$11705/(wacc-g_tv)</f>
        <v>2395.9499783759</v>
      </c>
    </row>
    <row r="11707" customFormat="false" ht="15" hidden="false" customHeight="false" outlineLevel="0" collapsed="false">
      <c r="A11707" s="1" t="s">
        <v>945</v>
      </c>
      <c r="B11707" s="0" t="s">
        <v>95</v>
      </c>
      <c r="C11707" s="6" t="n">
        <f aca="false">Sens!$C$11706/(1+wacc)^6</f>
        <v>1288.17506676214</v>
      </c>
    </row>
    <row r="11708" customFormat="false" ht="17.15" hidden="false" customHeight="false" outlineLevel="0" collapsed="false">
      <c r="A11708" s="0" t="s">
        <v>877</v>
      </c>
      <c r="B11708" s="0" t="s">
        <v>95</v>
      </c>
      <c r="C11708" s="6" t="n">
        <f aca="false">Sens!$C$11703+Sens!$C$11707</f>
        <v>1659.60716719001</v>
      </c>
    </row>
    <row r="11709" customFormat="false" ht="15" hidden="false" customHeight="false" outlineLevel="0" collapsed="false">
      <c r="A11709" s="1" t="s">
        <v>878</v>
      </c>
      <c r="B11709" s="0" t="s">
        <v>126</v>
      </c>
      <c r="C11709" s="7" t="n">
        <f aca="false">Sens!$C$11707/Sens!$C$11708</f>
        <v>0.776192759484908</v>
      </c>
    </row>
    <row r="11710" customFormat="false" ht="17.15" hidden="false" customHeight="false" outlineLevel="0" collapsed="false">
      <c r="A11710" s="1" t="s">
        <v>946</v>
      </c>
      <c r="B11710" s="0" t="s">
        <v>95</v>
      </c>
      <c r="C11710" s="6" t="n">
        <f aca="false">Sens!$C$11708+CF!E36+oai_v</f>
        <v>1860.71416719001</v>
      </c>
    </row>
    <row r="11711" customFormat="false" ht="17.15" hidden="false" customHeight="false" outlineLevel="0" collapsed="false">
      <c r="A11711" s="0" t="s">
        <v>883</v>
      </c>
      <c r="B11711" s="0" t="s">
        <v>73</v>
      </c>
      <c r="C11711" s="5" t="n">
        <f aca="false">Sens!$C$11710/sh_dil26</f>
        <v>249.659756767745</v>
      </c>
    </row>
    <row r="11712" customFormat="false" ht="17.15" hidden="false" customHeight="false" outlineLevel="0" collapsed="false">
      <c r="A11712" s="0" t="s">
        <v>947</v>
      </c>
      <c r="B11712" s="0" t="s">
        <v>73</v>
      </c>
      <c r="C11712" s="5" t="n">
        <f aca="false">Sens!$C$11711*(1+wacc)^t_roll</f>
        <v>286.358385550236</v>
      </c>
    </row>
    <row r="11713" customFormat="false" ht="17.15" hidden="false" customHeight="false" outlineLevel="0" collapsed="false">
      <c r="A11713" s="1" t="s">
        <v>948</v>
      </c>
      <c r="B11713" s="0" t="s">
        <v>126</v>
      </c>
      <c r="F11713" s="7" t="n">
        <f aca="false">CF!F17/(Seg!F29-Thesis!F20)</f>
        <v>0.0681773598226415</v>
      </c>
      <c r="G11713" s="7" t="n">
        <f aca="false">CF!G17/(Seg!G29-Thesis!G20)</f>
        <v>0.0650385409375172</v>
      </c>
      <c r="H11713" s="7" t="n">
        <f aca="false">CF!H17/(Seg!H29-Thesis!H20)</f>
        <v>0.063382542471986</v>
      </c>
      <c r="I11713" s="7" t="n">
        <f aca="false">CF!I17/(Seg!I29-Thesis!I20)</f>
        <v>0.0630998138876076</v>
      </c>
      <c r="J11713" s="7" t="n">
        <f aca="false">CF!J17/(Seg!J29-Thesis!J20)</f>
        <v>0.0638399980286975</v>
      </c>
      <c r="K11713" s="7" t="n">
        <f aca="false">CF!K17/(Seg!K29-Thesis!K20)</f>
        <v>0.0651531082402687</v>
      </c>
    </row>
    <row r="11714" customFormat="false" ht="17.15" hidden="false" customHeight="false" outlineLevel="0" collapsed="false">
      <c r="A11714" s="0" t="s">
        <v>949</v>
      </c>
      <c r="B11714" s="0" t="s">
        <v>95</v>
      </c>
      <c r="F11714" s="6" t="n">
        <f aca="false">Seg!F14*(al_m365+Sens!F11713)</f>
        <v>80.4434678008041</v>
      </c>
      <c r="G11714" s="6" t="n">
        <f aca="false">Seg!G14*(al_m365+Sens!G11713)</f>
        <v>94.1323272633269</v>
      </c>
      <c r="H11714" s="6" t="n">
        <f aca="false">Seg!H14*(al_m365+Sens!H11713)</f>
        <v>107.983658528206</v>
      </c>
      <c r="I11714" s="6" t="n">
        <f aca="false">Seg!I14*(al_m365+Sens!I11713)</f>
        <v>120.408335219477</v>
      </c>
      <c r="J11714" s="6" t="n">
        <f aca="false">Seg!J14*(al_m365+Sens!J11713)</f>
        <v>131.229685027411</v>
      </c>
      <c r="K11714" s="6" t="n">
        <f aca="false">Seg!K14*(al_m365+Sens!K11713)</f>
        <v>141.696231007978</v>
      </c>
    </row>
    <row r="11715" customFormat="false" ht="17.15" hidden="false" customHeight="false" outlineLevel="0" collapsed="false">
      <c r="A11715" s="0" t="s">
        <v>950</v>
      </c>
      <c r="B11715" s="0" t="s">
        <v>95</v>
      </c>
      <c r="F11715" s="6" t="n">
        <f aca="false">Seg!F15*(al_lic+Sens!F11713)</f>
        <v>31.9678940661213</v>
      </c>
      <c r="G11715" s="6" t="n">
        <f aca="false">Seg!G15*(al_lic+Sens!G11713)</f>
        <v>33.1937184472398</v>
      </c>
      <c r="H11715" s="6" t="n">
        <f aca="false">Seg!H15*(al_lic+Sens!H11713)</f>
        <v>34.3439380840055</v>
      </c>
      <c r="I11715" s="6" t="n">
        <f aca="false">Seg!I15*(al_lic+Sens!I11713)</f>
        <v>35.4022023072784</v>
      </c>
      <c r="J11715" s="6" t="n">
        <f aca="false">Seg!J15*(al_lic+Sens!J11713)</f>
        <v>36.3410576398918</v>
      </c>
      <c r="K11715" s="6" t="n">
        <f aca="false">Seg!K15*(al_lic+Sens!K11713)</f>
        <v>37.1276868757058</v>
      </c>
    </row>
    <row r="11716" customFormat="false" ht="17.15" hidden="false" customHeight="false" outlineLevel="0" collapsed="false">
      <c r="A11716" s="0" t="s">
        <v>951</v>
      </c>
      <c r="B11716" s="0" t="s">
        <v>95</v>
      </c>
      <c r="F11716" s="6" t="n">
        <f aca="false">Seg!F17*(al_ind+Sens!F11713)</f>
        <v>8.23142235288747</v>
      </c>
      <c r="G11716" s="6" t="n">
        <f aca="false">Seg!G17*(al_ind+Sens!G11713)</f>
        <v>8.92125445211874</v>
      </c>
      <c r="H11716" s="6" t="n">
        <f aca="false">Seg!H17*(al_ind+Sens!H11713)</f>
        <v>9.65645689966252</v>
      </c>
      <c r="I11716" s="6" t="n">
        <f aca="false">Seg!I17*(al_ind+Sens!I11713)</f>
        <v>10.4359305133559</v>
      </c>
      <c r="J11716" s="6" t="n">
        <f aca="false">Seg!J17*(al_ind+Sens!J11713)</f>
        <v>11.2496615107155</v>
      </c>
      <c r="K11716" s="6" t="n">
        <f aca="false">Seg!K17*(al_ind+Sens!K11713)</f>
        <v>12.0805802325565</v>
      </c>
    </row>
    <row r="11717" customFormat="false" ht="17.15" hidden="false" customHeight="false" outlineLevel="0" collapsed="false">
      <c r="A11717" s="0" t="s">
        <v>952</v>
      </c>
      <c r="B11717" s="0" t="s">
        <v>95</v>
      </c>
      <c r="F11717" s="6" t="n">
        <f aca="false">Seg!F19*(al_fro+Sens!F11713)</f>
        <v>3.23991673698178</v>
      </c>
      <c r="G11717" s="6" t="n">
        <f aca="false">Seg!G19*(al_fro+Sens!G11713)</f>
        <v>3.42523427012141</v>
      </c>
      <c r="H11717" s="6" t="n">
        <f aca="false">Seg!H19*(al_fro+Sens!H11713)</f>
        <v>3.63888347669114</v>
      </c>
      <c r="I11717" s="6" t="n">
        <f aca="false">Seg!I19*(al_fro+Sens!I11713)</f>
        <v>3.88382859986432</v>
      </c>
      <c r="J11717" s="6" t="n">
        <f aca="false">Seg!J19*(al_fro+Sens!J11713)</f>
        <v>4.16055715035227</v>
      </c>
      <c r="K11717" s="6" t="n">
        <f aca="false">Seg!K19*(al_fro+Sens!K11713)</f>
        <v>4.46786282583631</v>
      </c>
    </row>
    <row r="11718" customFormat="false" ht="17.15" hidden="false" customHeight="false" outlineLevel="0" collapsed="false">
      <c r="A11718" s="0" t="s">
        <v>953</v>
      </c>
      <c r="B11718" s="0" t="s">
        <v>95</v>
      </c>
      <c r="F11718" s="6" t="n">
        <f aca="false">Seg!F22*(al_srch+Sens!F11713)</f>
        <v>10.1659255338338</v>
      </c>
      <c r="G11718" s="6" t="n">
        <f aca="false">Seg!G22*(al_srch+Sens!G11713)</f>
        <v>11.1218361064416</v>
      </c>
      <c r="H11718" s="6" t="n">
        <f aca="false">Seg!H22*(al_srch+Sens!H11713)</f>
        <v>12.1240320316325</v>
      </c>
      <c r="I11718" s="6" t="n">
        <f aca="false">Seg!I22*(al_srch+Sens!I11713)</f>
        <v>13.1651647223307</v>
      </c>
      <c r="J11718" s="6" t="n">
        <f aca="false">Seg!J22*(al_srch+Sens!J11713)</f>
        <v>14.2257207024961</v>
      </c>
      <c r="K11718" s="6" t="n">
        <f aca="false">Seg!K22*(al_srch+Sens!K11713)</f>
        <v>15.2764561092572</v>
      </c>
    </row>
    <row r="11719" customFormat="false" ht="17.15" hidden="false" customHeight="false" outlineLevel="0" collapsed="false">
      <c r="A11719" s="0" t="s">
        <v>954</v>
      </c>
      <c r="B11719" s="0" t="s">
        <v>95</v>
      </c>
      <c r="F11719" s="6" t="n">
        <f aca="false">Thesis!F26</f>
        <v>43.1278534047371</v>
      </c>
      <c r="G11719" s="6" t="n">
        <f aca="false">Thesis!G26</f>
        <v>78.4713023799053</v>
      </c>
      <c r="H11719" s="6" t="n">
        <f aca="false">Thesis!H26</f>
        <v>120.169624261219</v>
      </c>
      <c r="I11719" s="6" t="n">
        <f aca="false">Thesis!I26</f>
        <v>156.086713969963</v>
      </c>
      <c r="J11719" s="6" t="n">
        <f aca="false">Thesis!J26</f>
        <v>192.09687492465</v>
      </c>
      <c r="K11719" s="6" t="n">
        <f aca="false">Thesis!K26</f>
        <v>228.161785217179</v>
      </c>
    </row>
    <row r="11720" customFormat="false" ht="17.15" hidden="false" customHeight="false" outlineLevel="0" collapsed="false">
      <c r="A11720" s="0" t="s">
        <v>955</v>
      </c>
      <c r="B11720" s="0" t="s">
        <v>95</v>
      </c>
      <c r="F11720" s="6" t="n">
        <f aca="false">PL!F32+Thesis!F37+Sens!F11713*(Seg!F21-Thesis!F20)</f>
        <v>216.001008704281</v>
      </c>
      <c r="G11720" s="6" t="n">
        <f aca="false">PL!G32+Thesis!G37+Sens!G11713*(Seg!G21-Thesis!G20)</f>
        <v>273.190669749878</v>
      </c>
      <c r="H11720" s="6" t="n">
        <f aca="false">PL!H32+Thesis!H37+Sens!H11713*(Seg!H21-Thesis!H20)</f>
        <v>336.986209145837</v>
      </c>
      <c r="I11720" s="6" t="n">
        <f aca="false">PL!I32+Thesis!I37+Sens!I11713*(Seg!I21-Thesis!I20)</f>
        <v>393.439203291672</v>
      </c>
      <c r="J11720" s="6" t="n">
        <f aca="false">PL!J32+Thesis!J37+Sens!J11713*(Seg!J21-Thesis!J20)</f>
        <v>447.606137303559</v>
      </c>
      <c r="K11720" s="6" t="n">
        <f aca="false">PL!K32+Thesis!K37+Sens!K11713*(Seg!K21-Thesis!K20)</f>
        <v>499.903344093081</v>
      </c>
    </row>
    <row r="11721" customFormat="false" ht="17.15" hidden="false" customHeight="false" outlineLevel="0" collapsed="false">
      <c r="A11721" s="0" t="s">
        <v>956</v>
      </c>
      <c r="B11721" s="0" t="s">
        <v>95</v>
      </c>
      <c r="F11721" s="6" t="n">
        <f aca="false">Sens!F11720-Sens!F11714-Sens!F11715-Sens!F11716-Sens!F11717-Sens!F11719</f>
        <v>48.9904543427497</v>
      </c>
      <c r="G11721" s="6" t="n">
        <f aca="false">Sens!G11720-Sens!G11714-Sens!G11715-Sens!G11716-Sens!G11717-Sens!G11719</f>
        <v>55.0468329371655</v>
      </c>
      <c r="H11721" s="6" t="n">
        <f aca="false">Sens!H11720-Sens!H11714-Sens!H11715-Sens!H11716-Sens!H11717-Sens!H11719</f>
        <v>61.1936478960528</v>
      </c>
      <c r="I11721" s="6" t="n">
        <f aca="false">Sens!I11720-Sens!I11714-Sens!I11715-Sens!I11716-Sens!I11717-Sens!I11719</f>
        <v>67.2221926817336</v>
      </c>
      <c r="J11721" s="6" t="n">
        <f aca="false">Sens!J11720-Sens!J11714-Sens!J11715-Sens!J11716-Sens!J11717-Sens!J11719</f>
        <v>72.5283010505383</v>
      </c>
      <c r="K11721" s="6" t="n">
        <f aca="false">Sens!K11720-Sens!K11714-Sens!K11715-Sens!K11716-Sens!K11717-Sens!K11719</f>
        <v>76.3691979338254</v>
      </c>
    </row>
    <row r="11722" customFormat="false" ht="17.15" hidden="false" customHeight="false" outlineLevel="0" collapsed="false">
      <c r="A11722" s="0" t="s">
        <v>957</v>
      </c>
      <c r="B11722" s="0" t="s">
        <v>95</v>
      </c>
      <c r="F11722" s="6" t="n">
        <f aca="false">PL!F34+Sens!F11713*Seg!F28</f>
        <v>23.7366325885412</v>
      </c>
      <c r="G11722" s="6" t="n">
        <f aca="false">PL!G34+Sens!G11713*Seg!G28</f>
        <v>24.2488001831921</v>
      </c>
      <c r="H11722" s="6" t="n">
        <f aca="false">PL!H34+Sens!H11713*Seg!H28</f>
        <v>25.0191565857232</v>
      </c>
      <c r="I11722" s="6" t="n">
        <f aca="false">PL!I34+Sens!I11713*Seg!I28</f>
        <v>26.0222596996374</v>
      </c>
      <c r="J11722" s="6" t="n">
        <f aca="false">PL!J34+Sens!J11713*Seg!J28</f>
        <v>27.2212114824986</v>
      </c>
      <c r="K11722" s="6" t="n">
        <f aca="false">PL!K34+Sens!K11713*Seg!K28</f>
        <v>28.5733379970501</v>
      </c>
    </row>
    <row r="11723" customFormat="false" ht="17.15" hidden="false" customHeight="false" outlineLevel="0" collapsed="false">
      <c r="A11723" s="0" t="s">
        <v>958</v>
      </c>
      <c r="B11723" s="0" t="s">
        <v>95</v>
      </c>
      <c r="F11723" s="6" t="n">
        <f aca="false">(Sens!F11722-Sens!F11718)*Seg!F24/(Seg!F24+Seg!F26)</f>
        <v>7.43932943061911</v>
      </c>
      <c r="G11723" s="6" t="n">
        <f aca="false">(Sens!G11722-Sens!G11718)*Seg!G24/(Seg!G24+Seg!G26)</f>
        <v>7.06776830757547</v>
      </c>
      <c r="H11723" s="6" t="n">
        <f aca="false">(Sens!H11722-Sens!H11718)*Seg!H24/(Seg!H24+Seg!H26)</f>
        <v>6.84915463876495</v>
      </c>
      <c r="I11723" s="6" t="n">
        <f aca="false">(Sens!I11722-Sens!I11718)*Seg!I24/(Seg!I24+Seg!I26)</f>
        <v>6.76716702045722</v>
      </c>
      <c r="J11723" s="6" t="n">
        <f aca="false">(Sens!J11722-Sens!J11718)*Seg!J24/(Seg!J24+Seg!J26)</f>
        <v>6.80907960368748</v>
      </c>
      <c r="K11723" s="6" t="n">
        <f aca="false">(Sens!K11722-Sens!K11718)*Seg!K24/(Seg!K24+Seg!K26)</f>
        <v>6.96699561313494</v>
      </c>
    </row>
    <row r="11724" customFormat="false" ht="17.15" hidden="false" customHeight="false" outlineLevel="0" collapsed="false">
      <c r="A11724" s="0" t="s">
        <v>959</v>
      </c>
      <c r="B11724" s="0" t="s">
        <v>95</v>
      </c>
      <c r="F11724" s="6" t="n">
        <f aca="false">Sens!F11722-Sens!F11718-Sens!F11723</f>
        <v>6.13137762408826</v>
      </c>
      <c r="G11724" s="6" t="n">
        <f aca="false">Sens!G11722-Sens!G11718-Sens!G11723</f>
        <v>6.05919576917506</v>
      </c>
      <c r="H11724" s="6" t="n">
        <f aca="false">Sens!H11722-Sens!H11718-Sens!H11723</f>
        <v>6.04596991532572</v>
      </c>
      <c r="I11724" s="6" t="n">
        <f aca="false">Sens!I11722-Sens!I11718-Sens!I11723</f>
        <v>6.08992795684943</v>
      </c>
      <c r="J11724" s="6" t="n">
        <f aca="false">Sens!J11722-Sens!J11718-Sens!J11723</f>
        <v>6.18641117631496</v>
      </c>
      <c r="K11724" s="6" t="n">
        <f aca="false">Sens!K11722-Sens!K11718-Sens!K11723</f>
        <v>6.32988627465802</v>
      </c>
    </row>
    <row r="11725" customFormat="false" ht="17.15" hidden="false" customHeight="false" outlineLevel="0" collapsed="false">
      <c r="A11725" s="1" t="s">
        <v>960</v>
      </c>
      <c r="B11725" s="0" t="s">
        <v>95</v>
      </c>
      <c r="C11725" s="6" t="n">
        <f aca="false">(w_ntm28*Sens!G11719+(1-w_ntm28)*Sens!H11719)*m_ai*1</f>
        <v>551.711134531404</v>
      </c>
    </row>
    <row r="11726" customFormat="false" ht="17.15" hidden="false" customHeight="false" outlineLevel="0" collapsed="false">
      <c r="A11726" s="1" t="s">
        <v>961</v>
      </c>
      <c r="B11726" s="0" t="s">
        <v>95</v>
      </c>
      <c r="C11726" s="6" t="n">
        <f aca="false">(w_ntm28*Sens!G11721+(1-w_ntm28)*Sens!H11721)*m_own*1</f>
        <v>893.723131489438</v>
      </c>
    </row>
    <row r="11727" customFormat="false" ht="17.15" hidden="false" customHeight="false" outlineLevel="0" collapsed="false">
      <c r="A11727" s="1" t="s">
        <v>962</v>
      </c>
      <c r="B11727" s="0" t="s">
        <v>95</v>
      </c>
      <c r="C11727" s="6" t="n">
        <f aca="false">(w_ntm28*Sens!G11714+(1-w_ntm28)*Sens!H11714)*m_own*1</f>
        <v>1545.22327393863</v>
      </c>
    </row>
    <row r="11728" customFormat="false" ht="17.15" hidden="false" customHeight="false" outlineLevel="0" collapsed="false">
      <c r="A11728" s="1" t="s">
        <v>963</v>
      </c>
      <c r="B11728" s="0" t="s">
        <v>95</v>
      </c>
      <c r="C11728" s="6" t="n">
        <f aca="false">(w_ntm28*Sens!G11715+(1-w_ntm28)*Sens!H11715)*m_own*1</f>
        <v>525.972486209503</v>
      </c>
    </row>
    <row r="11729" customFormat="false" ht="17.15" hidden="false" customHeight="false" outlineLevel="0" collapsed="false">
      <c r="A11729" s="1" t="s">
        <v>964</v>
      </c>
      <c r="B11729" s="0" t="s">
        <v>95</v>
      </c>
      <c r="C11729" s="6" t="n">
        <f aca="false">(w_ntm28*Sens!G11716+(1-w_ntm28)*Sens!H11716)*m_own*1</f>
        <v>143.520532436359</v>
      </c>
    </row>
    <row r="11730" customFormat="false" ht="17.15" hidden="false" customHeight="false" outlineLevel="0" collapsed="false">
      <c r="A11730" s="1" t="s">
        <v>965</v>
      </c>
      <c r="B11730" s="0" t="s">
        <v>95</v>
      </c>
      <c r="C11730" s="6" t="n">
        <f aca="false">(w_ntm28*Sens!G11717+(1-w_ntm28)*Sens!H11717)*m_own*1</f>
        <v>54.755750333076</v>
      </c>
    </row>
    <row r="11731" customFormat="false" ht="17.15" hidden="false" customHeight="false" outlineLevel="0" collapsed="false">
      <c r="A11731" s="1" t="s">
        <v>966</v>
      </c>
      <c r="B11731" s="0" t="s">
        <v>95</v>
      </c>
      <c r="C11731" s="6" t="n">
        <f aca="false">(w_ntm28*Sens!G11718+(1-w_ntm28)*Sens!H11718)*m_own*1</f>
        <v>179.356213972689</v>
      </c>
    </row>
    <row r="11732" customFormat="false" ht="17.15" hidden="false" customHeight="false" outlineLevel="0" collapsed="false">
      <c r="A11732" s="1" t="s">
        <v>967</v>
      </c>
      <c r="B11732" s="0" t="s">
        <v>95</v>
      </c>
      <c r="C11732" s="6" t="n">
        <f aca="false">(w_ntm28*Sens!G11723+(1-w_ntm28)*Sens!H11723)*m_own*1</f>
        <v>109.64445050176</v>
      </c>
    </row>
    <row r="11733" customFormat="false" ht="17.15" hidden="false" customHeight="false" outlineLevel="0" collapsed="false">
      <c r="A11733" s="1" t="s">
        <v>968</v>
      </c>
      <c r="B11733" s="0" t="s">
        <v>95</v>
      </c>
      <c r="C11733" s="6" t="n">
        <f aca="false">(w_ntm28*Sens!G11724+(1-w_ntm28)*Sens!H11724)*m_own*1</f>
        <v>94.8805966144289</v>
      </c>
    </row>
    <row r="11734" customFormat="false" ht="17.15" hidden="false" customHeight="false" outlineLevel="0" collapsed="false">
      <c r="A11734" s="1" t="s">
        <v>969</v>
      </c>
      <c r="B11734" s="0" t="s">
        <v>95</v>
      </c>
      <c r="C11734" s="6" t="n">
        <f aca="false">Sens!$C$11725+Sens!$C$11726+Sens!$C$11727+Sens!$C$11728+Sens!$C$11729+Sens!$C$11730+Sens!$C$11731+Sens!$C$11732+Sens!$C$11733</f>
        <v>4098.78757002728</v>
      </c>
    </row>
    <row r="11735" customFormat="false" ht="17.15" hidden="false" customHeight="false" outlineLevel="0" collapsed="false">
      <c r="A11735" s="1" t="s">
        <v>903</v>
      </c>
      <c r="B11735" s="0" t="s">
        <v>95</v>
      </c>
      <c r="C11735" s="6" t="n">
        <f aca="false">CF!F36+oai_v-CF!F25</f>
        <v>115.079583119545</v>
      </c>
      <c r="L11735" s="1" t="s">
        <v>970</v>
      </c>
    </row>
    <row r="11736" customFormat="false" ht="15" hidden="false" customHeight="false" outlineLevel="0" collapsed="false">
      <c r="A11736" s="1" t="s">
        <v>904</v>
      </c>
      <c r="B11736" s="0" t="s">
        <v>73</v>
      </c>
      <c r="C11736" s="5" t="n">
        <f aca="false">(Sens!$C$11734+Sens!$C$11735)/CF!F38</f>
        <v>563.954383451128</v>
      </c>
    </row>
    <row r="11737" customFormat="false" ht="17.15" hidden="false" customHeight="false" outlineLevel="0" collapsed="false">
      <c r="A11737" s="1" t="s">
        <v>971</v>
      </c>
      <c r="B11737" s="0" t="s">
        <v>73</v>
      </c>
      <c r="C11737" s="5" t="n">
        <f aca="false">w_dcf*Sens!$C$11712+(1-w_dcf)*Sens!$C$11736</f>
        <v>425.156384500682</v>
      </c>
    </row>
    <row r="11738" customFormat="false" ht="17.15" hidden="false" customHeight="false" outlineLevel="0" collapsed="false">
      <c r="A11738" s="3" t="s">
        <v>1447</v>
      </c>
    </row>
    <row r="11739" customFormat="false" ht="15" hidden="false" customHeight="false" outlineLevel="0" collapsed="false">
      <c r="A11739" s="4" t="s">
        <v>43</v>
      </c>
      <c r="B11739" s="4" t="s">
        <v>63</v>
      </c>
      <c r="C11739" s="19" t="s">
        <v>710</v>
      </c>
      <c r="D11739" s="19" t="s">
        <v>711</v>
      </c>
      <c r="E11739" s="19" t="s">
        <v>712</v>
      </c>
      <c r="F11739" s="19" t="s">
        <v>713</v>
      </c>
      <c r="G11739" s="19" t="s">
        <v>714</v>
      </c>
      <c r="H11739" s="19" t="s">
        <v>715</v>
      </c>
      <c r="I11739" s="19" t="s">
        <v>716</v>
      </c>
      <c r="J11739" s="19" t="s">
        <v>717</v>
      </c>
      <c r="K11739" s="19" t="s">
        <v>718</v>
      </c>
      <c r="L11739" s="4" t="s">
        <v>47</v>
      </c>
    </row>
    <row r="11740" customFormat="false" ht="17.15" hidden="false" customHeight="false" outlineLevel="0" collapsed="false">
      <c r="A11740" s="1" t="s">
        <v>938</v>
      </c>
      <c r="B11740" s="1" t="s">
        <v>213</v>
      </c>
      <c r="F11740" s="34" t="n">
        <f aca="false">1-0.5</f>
        <v>0.5</v>
      </c>
      <c r="G11740" s="34" t="n">
        <f aca="false">2-0.5</f>
        <v>1.5</v>
      </c>
      <c r="H11740" s="34" t="n">
        <f aca="false">3-0.5</f>
        <v>2.5</v>
      </c>
      <c r="I11740" s="34" t="n">
        <f aca="false">4-0.5</f>
        <v>3.5</v>
      </c>
      <c r="J11740" s="34" t="n">
        <f aca="false">5-0.5</f>
        <v>4.5</v>
      </c>
      <c r="K11740" s="34" t="n">
        <f aca="false">6-0.5</f>
        <v>5.5</v>
      </c>
    </row>
    <row r="11741" customFormat="false" ht="15" hidden="false" customHeight="false" outlineLevel="0" collapsed="false">
      <c r="A11741" s="1" t="s">
        <v>939</v>
      </c>
      <c r="B11741" s="0" t="s">
        <v>182</v>
      </c>
      <c r="F11741" s="18" t="n">
        <f aca="false">1/(1+wacc)^Sens!F11740</f>
        <v>0.949601579913219</v>
      </c>
      <c r="G11741" s="18" t="n">
        <f aca="false">1/(1+wacc)^Sens!G11740</f>
        <v>0.856296729956707</v>
      </c>
      <c r="H11741" s="18" t="n">
        <f aca="false">1/(1+wacc)^Sens!H11740</f>
        <v>0.772159719660069</v>
      </c>
      <c r="I11741" s="18" t="n">
        <f aca="false">1/(1+wacc)^Sens!I11740</f>
        <v>0.696289746073958</v>
      </c>
      <c r="J11741" s="18" t="n">
        <f aca="false">1/(1+wacc)^Sens!J11740</f>
        <v>0.627874516299776</v>
      </c>
      <c r="K11741" s="18" t="n">
        <f aca="false">1/(1+wacc)^Sens!K11740</f>
        <v>0.566181550771831</v>
      </c>
    </row>
    <row r="11742" customFormat="false" ht="15" hidden="false" customHeight="false" outlineLevel="0" collapsed="false">
      <c r="A11742" s="1" t="s">
        <v>940</v>
      </c>
      <c r="B11742" s="0" t="s">
        <v>95</v>
      </c>
      <c r="F11742" s="6" t="n">
        <f aca="false">CF!F55*Sens!F11741</f>
        <v>1.14965940819235</v>
      </c>
      <c r="G11742" s="6" t="n">
        <f aca="false">CF!G55*Sens!G11741</f>
        <v>27.1570491091597</v>
      </c>
      <c r="H11742" s="6" t="n">
        <f aca="false">CF!H55*Sens!H11741</f>
        <v>54.4781094985992</v>
      </c>
      <c r="I11742" s="6" t="n">
        <f aca="false">CF!I55*Sens!I11741</f>
        <v>57.7826568404409</v>
      </c>
      <c r="J11742" s="6" t="n">
        <f aca="false">CF!J55*Sens!J11741</f>
        <v>68.7164221032162</v>
      </c>
      <c r="K11742" s="6" t="n">
        <f aca="false">CF!K55*Sens!K11741</f>
        <v>59.7900961252081</v>
      </c>
    </row>
    <row r="11743" customFormat="false" ht="17.15" hidden="false" customHeight="false" outlineLevel="0" collapsed="false">
      <c r="A11743" s="1" t="s">
        <v>941</v>
      </c>
      <c r="B11743" s="0" t="s">
        <v>95</v>
      </c>
      <c r="C11743" s="6" t="n">
        <f aca="false">SUM(Sens!F11742:K11742)</f>
        <v>269.073993084816</v>
      </c>
    </row>
    <row r="11744" customFormat="false" ht="17.15" hidden="false" customHeight="false" outlineLevel="0" collapsed="false">
      <c r="A11744" s="1" t="s">
        <v>942</v>
      </c>
      <c r="B11744" s="0" t="s">
        <v>95</v>
      </c>
      <c r="C11744" s="6" t="n">
        <f aca="false">PL!K70*(1+g_tv)*(1-tax_f)</f>
        <v>216.892770548847</v>
      </c>
    </row>
    <row r="11745" customFormat="false" ht="17.15" hidden="false" customHeight="false" outlineLevel="0" collapsed="false">
      <c r="A11745" s="1" t="s">
        <v>943</v>
      </c>
      <c r="B11745" s="0" t="s">
        <v>95</v>
      </c>
      <c r="C11745" s="6" t="n">
        <f aca="false">Sens!$C$11744*(1-g_tv/(wacc+ronic_prem))</f>
        <v>157.177363388729</v>
      </c>
    </row>
    <row r="11746" customFormat="false" ht="17.15" hidden="false" customHeight="false" outlineLevel="0" collapsed="false">
      <c r="A11746" s="1" t="s">
        <v>944</v>
      </c>
      <c r="B11746" s="0" t="s">
        <v>95</v>
      </c>
      <c r="C11746" s="6" t="n">
        <f aca="false">Sens!$C$11745/(wacc-g_tv)</f>
        <v>1990.51357200394</v>
      </c>
    </row>
    <row r="11747" customFormat="false" ht="15" hidden="false" customHeight="false" outlineLevel="0" collapsed="false">
      <c r="A11747" s="1" t="s">
        <v>945</v>
      </c>
      <c r="B11747" s="0" t="s">
        <v>95</v>
      </c>
      <c r="C11747" s="6" t="n">
        <f aca="false">Sens!$C$11746/(1+wacc)^6</f>
        <v>1070.19344170333</v>
      </c>
    </row>
    <row r="11748" customFormat="false" ht="17.15" hidden="false" customHeight="false" outlineLevel="0" collapsed="false">
      <c r="A11748" s="0" t="s">
        <v>877</v>
      </c>
      <c r="B11748" s="0" t="s">
        <v>95</v>
      </c>
      <c r="C11748" s="6" t="n">
        <f aca="false">Sens!$C$11743+Sens!$C$11747</f>
        <v>1339.26743478815</v>
      </c>
    </row>
    <row r="11749" customFormat="false" ht="15" hidden="false" customHeight="false" outlineLevel="0" collapsed="false">
      <c r="A11749" s="1" t="s">
        <v>878</v>
      </c>
      <c r="B11749" s="0" t="s">
        <v>126</v>
      </c>
      <c r="C11749" s="7" t="n">
        <f aca="false">Sens!$C$11747/Sens!$C$11748</f>
        <v>0.799088676319991</v>
      </c>
    </row>
    <row r="11750" customFormat="false" ht="17.15" hidden="false" customHeight="false" outlineLevel="0" collapsed="false">
      <c r="A11750" s="1" t="s">
        <v>946</v>
      </c>
      <c r="B11750" s="0" t="s">
        <v>95</v>
      </c>
      <c r="C11750" s="6" t="n">
        <f aca="false">Sens!$C$11748+CF!E64+oai_v</f>
        <v>1540.37443478815</v>
      </c>
    </row>
    <row r="11751" customFormat="false" ht="17.15" hidden="false" customHeight="false" outlineLevel="0" collapsed="false">
      <c r="A11751" s="0" t="s">
        <v>883</v>
      </c>
      <c r="B11751" s="0" t="s">
        <v>73</v>
      </c>
      <c r="C11751" s="5" t="n">
        <f aca="false">Sens!$C$11750/sh_dil26</f>
        <v>206.678442880471</v>
      </c>
    </row>
    <row r="11752" customFormat="false" ht="17.15" hidden="false" customHeight="false" outlineLevel="0" collapsed="false">
      <c r="A11752" s="0" t="s">
        <v>947</v>
      </c>
      <c r="B11752" s="0" t="s">
        <v>73</v>
      </c>
      <c r="C11752" s="5" t="n">
        <f aca="false">Sens!$C$11751*(1+wacc)^t_roll</f>
        <v>237.059051877336</v>
      </c>
    </row>
    <row r="11753" customFormat="false" ht="17.15" hidden="false" customHeight="false" outlineLevel="0" collapsed="false">
      <c r="A11753" s="1" t="s">
        <v>948</v>
      </c>
      <c r="B11753" s="0" t="s">
        <v>126</v>
      </c>
      <c r="F11753" s="7" t="n">
        <f aca="false">CF!F45/(Seg!F56-Thesis!F64)</f>
        <v>0.0684307874075333</v>
      </c>
      <c r="G11753" s="7" t="n">
        <f aca="false">CF!G45/(Seg!G56-Thesis!G64)</f>
        <v>0.0656456058503526</v>
      </c>
      <c r="H11753" s="7" t="n">
        <f aca="false">CF!H45/(Seg!H56-Thesis!H64)</f>
        <v>0.0641950889132003</v>
      </c>
      <c r="I11753" s="7" t="n">
        <f aca="false">CF!I45/(Seg!I56-Thesis!I64)</f>
        <v>0.063960269667854</v>
      </c>
      <c r="J11753" s="7" t="n">
        <f aca="false">CF!J45/(Seg!J56-Thesis!J64)</f>
        <v>0.0646607917002597</v>
      </c>
      <c r="K11753" s="7" t="n">
        <f aca="false">CF!K45/(Seg!K56-Thesis!K64)</f>
        <v>0.0659511546529383</v>
      </c>
    </row>
    <row r="11754" customFormat="false" ht="17.15" hidden="false" customHeight="false" outlineLevel="0" collapsed="false">
      <c r="A11754" s="0" t="s">
        <v>949</v>
      </c>
      <c r="B11754" s="0" t="s">
        <v>95</v>
      </c>
      <c r="F11754" s="6" t="n">
        <f aca="false">Seg!F41*(al_m365+Sens!F11753)</f>
        <v>79.4713323717639</v>
      </c>
      <c r="G11754" s="6" t="n">
        <f aca="false">Seg!G41*(al_m365+Sens!G11753)</f>
        <v>91.222848535282</v>
      </c>
      <c r="H11754" s="6" t="n">
        <f aca="false">Seg!H41*(al_m365+Sens!H11753)</f>
        <v>103.134459525438</v>
      </c>
      <c r="I11754" s="6" t="n">
        <f aca="false">Seg!I41*(al_m365+Sens!I11753)</f>
        <v>114.09096761677</v>
      </c>
      <c r="J11754" s="6" t="n">
        <f aca="false">Seg!J41*(al_m365+Sens!J11753)</f>
        <v>123.914507832207</v>
      </c>
      <c r="K11754" s="6" t="n">
        <f aca="false">Seg!K41*(al_m365+Sens!K11753)</f>
        <v>133.375360010951</v>
      </c>
    </row>
    <row r="11755" customFormat="false" ht="17.15" hidden="false" customHeight="false" outlineLevel="0" collapsed="false">
      <c r="A11755" s="0" t="s">
        <v>950</v>
      </c>
      <c r="B11755" s="0" t="s">
        <v>95</v>
      </c>
      <c r="F11755" s="6" t="n">
        <f aca="false">Seg!F42*(al_lic+Sens!F11753)</f>
        <v>31.9777960098625</v>
      </c>
      <c r="G11755" s="6" t="n">
        <f aca="false">Seg!G42*(al_lic+Sens!G11753)</f>
        <v>33.2184421146294</v>
      </c>
      <c r="H11755" s="6" t="n">
        <f aca="false">Seg!H42*(al_lic+Sens!H11753)</f>
        <v>34.3782467188855</v>
      </c>
      <c r="I11755" s="6" t="n">
        <f aca="false">Seg!I42*(al_lic+Sens!I11753)</f>
        <v>35.4396663788333</v>
      </c>
      <c r="J11755" s="6" t="n">
        <f aca="false">Seg!J42*(al_lic+Sens!J11753)</f>
        <v>36.377709205557</v>
      </c>
      <c r="K11755" s="6" t="n">
        <f aca="false">Seg!K42*(al_lic+Sens!K11753)</f>
        <v>37.1640354058437</v>
      </c>
    </row>
    <row r="11756" customFormat="false" ht="17.15" hidden="false" customHeight="false" outlineLevel="0" collapsed="false">
      <c r="A11756" s="0" t="s">
        <v>951</v>
      </c>
      <c r="B11756" s="0" t="s">
        <v>95</v>
      </c>
      <c r="F11756" s="6" t="n">
        <f aca="false">Seg!F44*(al_ind+Sens!F11753)</f>
        <v>8.23708828923978</v>
      </c>
      <c r="G11756" s="6" t="n">
        <f aca="false">Seg!G44*(al_ind+Sens!G11753)</f>
        <v>8.93609064049065</v>
      </c>
      <c r="H11756" s="6" t="n">
        <f aca="false">Seg!H44*(al_ind+Sens!H11753)</f>
        <v>9.67804935051386</v>
      </c>
      <c r="I11756" s="6" t="n">
        <f aca="false">Seg!I44*(al_ind+Sens!I11753)</f>
        <v>10.4606610595832</v>
      </c>
      <c r="J11756" s="6" t="n">
        <f aca="false">Seg!J44*(al_ind+Sens!J11753)</f>
        <v>11.275039839171</v>
      </c>
      <c r="K11756" s="6" t="n">
        <f aca="false">Seg!K44*(al_ind+Sens!K11753)</f>
        <v>12.106982482736</v>
      </c>
    </row>
    <row r="11757" customFormat="false" ht="17.15" hidden="false" customHeight="false" outlineLevel="0" collapsed="false">
      <c r="A11757" s="0" t="s">
        <v>952</v>
      </c>
      <c r="B11757" s="0" t="s">
        <v>95</v>
      </c>
      <c r="F11757" s="6" t="n">
        <f aca="false">Seg!F46*(al_fro+Sens!F11753)</f>
        <v>3.24214686942203</v>
      </c>
      <c r="G11757" s="6" t="n">
        <f aca="false">Seg!G46*(al_fro+Sens!G11753)</f>
        <v>3.43093048931594</v>
      </c>
      <c r="H11757" s="6" t="n">
        <f aca="false">Seg!H46*(al_fro+Sens!H11753)</f>
        <v>3.6470202512287</v>
      </c>
      <c r="I11757" s="6" t="n">
        <f aca="false">Seg!I46*(al_fro+Sens!I11753)</f>
        <v>3.89303230264912</v>
      </c>
      <c r="J11757" s="6" t="n">
        <f aca="false">Seg!J46*(al_fro+Sens!J11753)</f>
        <v>4.16994303150246</v>
      </c>
      <c r="K11757" s="6" t="n">
        <f aca="false">Seg!K46*(al_fro+Sens!K11753)</f>
        <v>4.47762739258926</v>
      </c>
    </row>
    <row r="11758" customFormat="false" ht="17.15" hidden="false" customHeight="false" outlineLevel="0" collapsed="false">
      <c r="A11758" s="0" t="s">
        <v>953</v>
      </c>
      <c r="B11758" s="0" t="s">
        <v>95</v>
      </c>
      <c r="F11758" s="6" t="n">
        <f aca="false">Seg!F49*(al_srch+Sens!F11753)</f>
        <v>10.1729230470907</v>
      </c>
      <c r="G11758" s="6" t="n">
        <f aca="false">Seg!G49*(al_srch+Sens!G11753)</f>
        <v>11.1403318971852</v>
      </c>
      <c r="H11758" s="6" t="n">
        <f aca="false">Seg!H49*(al_srch+Sens!H11753)</f>
        <v>12.1511421371799</v>
      </c>
      <c r="I11758" s="6" t="n">
        <f aca="false">Seg!I49*(al_srch+Sens!I11753)</f>
        <v>13.1963628712968</v>
      </c>
      <c r="J11758" s="6" t="n">
        <f aca="false">Seg!J49*(al_srch+Sens!J11753)</f>
        <v>14.2578127803031</v>
      </c>
      <c r="K11758" s="6" t="n">
        <f aca="false">Seg!K49*(al_srch+Sens!K11753)</f>
        <v>15.3098429837522</v>
      </c>
    </row>
    <row r="11759" customFormat="false" ht="17.15" hidden="false" customHeight="false" outlineLevel="0" collapsed="false">
      <c r="A11759" s="0" t="s">
        <v>954</v>
      </c>
      <c r="B11759" s="0" t="s">
        <v>95</v>
      </c>
      <c r="F11759" s="6" t="n">
        <f aca="false">Thesis!F70</f>
        <v>39.4594407491938</v>
      </c>
      <c r="G11759" s="6" t="n">
        <f aca="false">Thesis!G70</f>
        <v>66.5527545578061</v>
      </c>
      <c r="H11759" s="6" t="n">
        <f aca="false">Thesis!H70</f>
        <v>95.219644983859</v>
      </c>
      <c r="I11759" s="6" t="n">
        <f aca="false">Thesis!I70</f>
        <v>124.031840462493</v>
      </c>
      <c r="J11759" s="6" t="n">
        <f aca="false">Thesis!J70</f>
        <v>152.919994097909</v>
      </c>
      <c r="K11759" s="6" t="n">
        <f aca="false">Thesis!K70</f>
        <v>181.852830263848</v>
      </c>
    </row>
    <row r="11760" customFormat="false" ht="17.15" hidden="false" customHeight="false" outlineLevel="0" collapsed="false">
      <c r="A11760" s="0" t="s">
        <v>955</v>
      </c>
      <c r="B11760" s="0" t="s">
        <v>95</v>
      </c>
      <c r="F11760" s="6" t="n">
        <f aca="false">PL!F67+Thesis!F81+Sens!F11753*(Seg!F48-Thesis!F64)</f>
        <v>211.444651350023</v>
      </c>
      <c r="G11760" s="6" t="n">
        <f aca="false">PL!G67+Thesis!G81+Sens!G11753*(Seg!G48-Thesis!G64)</f>
        <v>258.603564397354</v>
      </c>
      <c r="H11760" s="6" t="n">
        <f aca="false">PL!H67+Thesis!H81+Sens!H11753*(Seg!H48-Thesis!H64)</f>
        <v>307.569865351584</v>
      </c>
      <c r="I11760" s="6" t="n">
        <f aca="false">PL!I67+Thesis!I81+Sens!I11753*(Seg!I48-Thesis!I64)</f>
        <v>355.542793549845</v>
      </c>
      <c r="J11760" s="6" t="n">
        <f aca="false">PL!J67+Thesis!J81+Sens!J11753*(Seg!J48-Thesis!J64)</f>
        <v>401.64028415844</v>
      </c>
      <c r="K11760" s="6" t="n">
        <f aca="false">PL!K67+Thesis!K81+Sens!K11753*(Seg!K48-Thesis!K64)</f>
        <v>445.850798387254</v>
      </c>
    </row>
    <row r="11761" customFormat="false" ht="17.15" hidden="false" customHeight="false" outlineLevel="0" collapsed="false">
      <c r="A11761" s="0" t="s">
        <v>956</v>
      </c>
      <c r="B11761" s="0" t="s">
        <v>95</v>
      </c>
      <c r="F11761" s="6" t="n">
        <f aca="false">Sens!F11760-Sens!F11754-Sens!F11755-Sens!F11756-Sens!F11757-Sens!F11759</f>
        <v>49.0568470605414</v>
      </c>
      <c r="G11761" s="6" t="n">
        <f aca="false">Sens!G11760-Sens!G11754-Sens!G11755-Sens!G11756-Sens!G11757-Sens!G11759</f>
        <v>55.2424980598302</v>
      </c>
      <c r="H11761" s="6" t="n">
        <f aca="false">Sens!H11760-Sens!H11754-Sens!H11755-Sens!H11756-Sens!H11757-Sens!H11759</f>
        <v>61.5124445216581</v>
      </c>
      <c r="I11761" s="6" t="n">
        <f aca="false">Sens!I11760-Sens!I11754-Sens!I11755-Sens!I11756-Sens!I11757-Sens!I11759</f>
        <v>67.6266257295162</v>
      </c>
      <c r="J11761" s="6" t="n">
        <f aca="false">Sens!J11760-Sens!J11754-Sens!J11755-Sens!J11756-Sens!J11757-Sens!J11759</f>
        <v>72.9830901520934</v>
      </c>
      <c r="K11761" s="6" t="n">
        <f aca="false">Sens!K11760-Sens!K11754-Sens!K11755-Sens!K11756-Sens!K11757-Sens!K11759</f>
        <v>76.8739628312856</v>
      </c>
    </row>
    <row r="11762" customFormat="false" ht="17.15" hidden="false" customHeight="false" outlineLevel="0" collapsed="false">
      <c r="A11762" s="0" t="s">
        <v>957</v>
      </c>
      <c r="B11762" s="0" t="s">
        <v>95</v>
      </c>
      <c r="F11762" s="6" t="n">
        <f aca="false">PL!F69+Sens!F11753*Seg!F55</f>
        <v>23.7531412609386</v>
      </c>
      <c r="G11762" s="6" t="n">
        <f aca="false">PL!G69+Sens!G11753*Seg!G55</f>
        <v>24.289549634664</v>
      </c>
      <c r="H11762" s="6" t="n">
        <f aca="false">PL!H69+Sens!H11753*Seg!H55</f>
        <v>25.0756909710291</v>
      </c>
      <c r="I11762" s="6" t="n">
        <f aca="false">PL!I69+Sens!I11753*Seg!I55</f>
        <v>26.084576762931</v>
      </c>
      <c r="J11762" s="6" t="n">
        <f aca="false">PL!J69+Sens!J11753*Seg!J55</f>
        <v>27.2832671034962</v>
      </c>
      <c r="K11762" s="6" t="n">
        <f aca="false">PL!K69+Sens!K11753*Seg!K55</f>
        <v>28.6364406758481</v>
      </c>
    </row>
    <row r="11763" customFormat="false" ht="17.15" hidden="false" customHeight="false" outlineLevel="0" collapsed="false">
      <c r="A11763" s="0" t="s">
        <v>958</v>
      </c>
      <c r="B11763" s="0" t="s">
        <v>95</v>
      </c>
      <c r="F11763" s="6" t="n">
        <f aca="false">(Sens!F11762-Sens!F11758)*Seg!F51/(Seg!F51+Seg!F53)</f>
        <v>7.4445433554226</v>
      </c>
      <c r="G11763" s="6" t="n">
        <f aca="false">(Sens!G11762-Sens!G11758)*Seg!G51/(Seg!G51+Seg!G53)</f>
        <v>7.07975003595558</v>
      </c>
      <c r="H11763" s="6" t="n">
        <f aca="false">(Sens!H11762-Sens!H11758)*Seg!H51/(Seg!H51+Seg!H53)</f>
        <v>6.86478313784268</v>
      </c>
      <c r="I11763" s="6" t="n">
        <f aca="false">(Sens!I11762-Sens!I11758)*Seg!I51/(Seg!I51+Seg!I53)</f>
        <v>6.78354606184423</v>
      </c>
      <c r="J11763" s="6" t="n">
        <f aca="false">(Sens!J11762-Sens!J11758)*Seg!J51/(Seg!J51+Seg!J53)</f>
        <v>6.82477921474853</v>
      </c>
      <c r="K11763" s="6" t="n">
        <f aca="false">(Sens!K11762-Sens!K11758)*Seg!K51/(Seg!K51+Seg!K53)</f>
        <v>6.98256541964795</v>
      </c>
    </row>
    <row r="11764" customFormat="false" ht="17.15" hidden="false" customHeight="false" outlineLevel="0" collapsed="false">
      <c r="A11764" s="0" t="s">
        <v>959</v>
      </c>
      <c r="B11764" s="0" t="s">
        <v>95</v>
      </c>
      <c r="F11764" s="6" t="n">
        <f aca="false">Sens!F11762-Sens!F11758-Sens!F11763</f>
        <v>6.1356748584253</v>
      </c>
      <c r="G11764" s="6" t="n">
        <f aca="false">Sens!G11762-Sens!G11758-Sens!G11763</f>
        <v>6.06946770152326</v>
      </c>
      <c r="H11764" s="6" t="n">
        <f aca="false">Sens!H11762-Sens!H11758-Sens!H11763</f>
        <v>6.05976569600657</v>
      </c>
      <c r="I11764" s="6" t="n">
        <f aca="false">Sens!I11762-Sens!I11758-Sens!I11763</f>
        <v>6.10466782979</v>
      </c>
      <c r="J11764" s="6" t="n">
        <f aca="false">Sens!J11762-Sens!J11758-Sens!J11763</f>
        <v>6.20067510844453</v>
      </c>
      <c r="K11764" s="6" t="n">
        <f aca="false">Sens!K11762-Sens!K11758-Sens!K11763</f>
        <v>6.34403227244794</v>
      </c>
    </row>
    <row r="11765" customFormat="false" ht="17.15" hidden="false" customHeight="false" outlineLevel="0" collapsed="false">
      <c r="A11765" s="1" t="s">
        <v>960</v>
      </c>
      <c r="B11765" s="0" t="s">
        <v>95</v>
      </c>
      <c r="C11765" s="6" t="n">
        <f aca="false">(w_ntm28*Sens!G11759+(1-w_ntm28)*Sens!H11759)*m_ai*1</f>
        <v>454.922440830797</v>
      </c>
    </row>
    <row r="11766" customFormat="false" ht="17.15" hidden="false" customHeight="false" outlineLevel="0" collapsed="false">
      <c r="A11766" s="1" t="s">
        <v>961</v>
      </c>
      <c r="B11766" s="0" t="s">
        <v>95</v>
      </c>
      <c r="C11766" s="6" t="n">
        <f aca="false">(w_ntm28*Sens!G11761+(1-w_ntm28)*Sens!H11761)*m_own*1</f>
        <v>897.412978035094</v>
      </c>
    </row>
    <row r="11767" customFormat="false" ht="17.15" hidden="false" customHeight="false" outlineLevel="0" collapsed="false">
      <c r="A11767" s="1" t="s">
        <v>962</v>
      </c>
      <c r="B11767" s="0" t="s">
        <v>95</v>
      </c>
      <c r="C11767" s="6" t="n">
        <f aca="false">(w_ntm28*Sens!G11754+(1-w_ntm28)*Sens!H11754)*m_own*1</f>
        <v>1489.80527878748</v>
      </c>
    </row>
    <row r="11768" customFormat="false" ht="17.15" hidden="false" customHeight="false" outlineLevel="0" collapsed="false">
      <c r="A11768" s="1" t="s">
        <v>963</v>
      </c>
      <c r="B11768" s="0" t="s">
        <v>95</v>
      </c>
      <c r="C11768" s="6" t="n">
        <f aca="false">(w_ntm28*Sens!G11755+(1-w_ntm28)*Sens!H11755)*m_own*1</f>
        <v>526.408462734999</v>
      </c>
    </row>
    <row r="11769" customFormat="false" ht="17.15" hidden="false" customHeight="false" outlineLevel="0" collapsed="false">
      <c r="A11769" s="1" t="s">
        <v>964</v>
      </c>
      <c r="B11769" s="0" t="s">
        <v>95</v>
      </c>
      <c r="C11769" s="6" t="n">
        <f aca="false">(w_ntm28*Sens!G11756+(1-w_ntm28)*Sens!H11756)*m_own*1</f>
        <v>143.787242178558</v>
      </c>
    </row>
    <row r="11770" customFormat="false" ht="17.15" hidden="false" customHeight="false" outlineLevel="0" collapsed="false">
      <c r="A11770" s="1" t="s">
        <v>965</v>
      </c>
      <c r="B11770" s="0" t="s">
        <v>95</v>
      </c>
      <c r="C11770" s="6" t="n">
        <f aca="false">(w_ntm28*Sens!G11757+(1-w_ntm28)*Sens!H11757)*m_own*1</f>
        <v>54.8573737406285</v>
      </c>
    </row>
    <row r="11771" customFormat="false" ht="17.15" hidden="false" customHeight="false" outlineLevel="0" collapsed="false">
      <c r="A11771" s="1" t="s">
        <v>966</v>
      </c>
      <c r="B11771" s="0" t="s">
        <v>95</v>
      </c>
      <c r="C11771" s="6" t="n">
        <f aca="false">(w_ntm28*Sens!G11758+(1-w_ntm28)*Sens!H11758)*m_own*1</f>
        <v>179.689682424411</v>
      </c>
    </row>
    <row r="11772" customFormat="false" ht="17.15" hidden="false" customHeight="false" outlineLevel="0" collapsed="false">
      <c r="A11772" s="1" t="s">
        <v>967</v>
      </c>
      <c r="B11772" s="0" t="s">
        <v>95</v>
      </c>
      <c r="C11772" s="6" t="n">
        <f aca="false">(w_ntm28*Sens!G11763+(1-w_ntm28)*Sens!H11763)*m_own*1</f>
        <v>109.850678426096</v>
      </c>
    </row>
    <row r="11773" customFormat="false" ht="17.15" hidden="false" customHeight="false" outlineLevel="0" collapsed="false">
      <c r="A11773" s="1" t="s">
        <v>968</v>
      </c>
      <c r="B11773" s="0" t="s">
        <v>95</v>
      </c>
      <c r="C11773" s="6" t="n">
        <f aca="false">(w_ntm28*Sens!G11764+(1-w_ntm28)*Sens!H11764)*m_own*1</f>
        <v>95.059409320347</v>
      </c>
    </row>
    <row r="11774" customFormat="false" ht="17.15" hidden="false" customHeight="false" outlineLevel="0" collapsed="false">
      <c r="A11774" s="1" t="s">
        <v>969</v>
      </c>
      <c r="B11774" s="0" t="s">
        <v>95</v>
      </c>
      <c r="C11774" s="6" t="n">
        <f aca="false">Sens!$C$11765+Sens!$C$11766+Sens!$C$11767+Sens!$C$11768+Sens!$C$11769+Sens!$C$11770+Sens!$C$11771+Sens!$C$11772+Sens!$C$11773</f>
        <v>3951.79354647841</v>
      </c>
    </row>
    <row r="11775" customFormat="false" ht="17.15" hidden="false" customHeight="false" outlineLevel="0" collapsed="false">
      <c r="A11775" s="1" t="s">
        <v>903</v>
      </c>
      <c r="B11775" s="0" t="s">
        <v>95</v>
      </c>
      <c r="C11775" s="6" t="n">
        <f aca="false">CF!F64+oai_v-CF!F53</f>
        <v>111.253995542787</v>
      </c>
      <c r="L11775" s="1" t="s">
        <v>970</v>
      </c>
    </row>
    <row r="11776" customFormat="false" ht="15" hidden="false" customHeight="false" outlineLevel="0" collapsed="false">
      <c r="A11776" s="1" t="s">
        <v>904</v>
      </c>
      <c r="B11776" s="0" t="s">
        <v>73</v>
      </c>
      <c r="C11776" s="5" t="n">
        <f aca="false">(Sens!$C$11774+Sens!$C$11775)/CF!F66</f>
        <v>543.769745987848</v>
      </c>
    </row>
    <row r="11777" customFormat="false" ht="17.15" hidden="false" customHeight="false" outlineLevel="0" collapsed="false">
      <c r="A11777" s="1" t="s">
        <v>971</v>
      </c>
      <c r="B11777" s="0" t="s">
        <v>73</v>
      </c>
      <c r="C11777" s="5" t="n">
        <f aca="false">w_dcf*Sens!$C$11752+(1-w_dcf)*Sens!$C$11776</f>
        <v>390.414398932592</v>
      </c>
    </row>
    <row r="11778" customFormat="false" ht="17.15" hidden="false" customHeight="false" outlineLevel="0" collapsed="false">
      <c r="A11778" s="3" t="s">
        <v>1448</v>
      </c>
    </row>
    <row r="11779" customFormat="false" ht="15" hidden="false" customHeight="false" outlineLevel="0" collapsed="false">
      <c r="A11779" s="4" t="s">
        <v>43</v>
      </c>
      <c r="B11779" s="4" t="s">
        <v>63</v>
      </c>
      <c r="C11779" s="19" t="s">
        <v>710</v>
      </c>
      <c r="D11779" s="19" t="s">
        <v>711</v>
      </c>
      <c r="E11779" s="19" t="s">
        <v>712</v>
      </c>
      <c r="F11779" s="19" t="s">
        <v>713</v>
      </c>
      <c r="G11779" s="19" t="s">
        <v>714</v>
      </c>
      <c r="H11779" s="19" t="s">
        <v>715</v>
      </c>
      <c r="I11779" s="19" t="s">
        <v>716</v>
      </c>
      <c r="J11779" s="19" t="s">
        <v>717</v>
      </c>
      <c r="K11779" s="19" t="s">
        <v>718</v>
      </c>
      <c r="L11779" s="4" t="s">
        <v>47</v>
      </c>
    </row>
    <row r="11780" customFormat="false" ht="17.15" hidden="false" customHeight="false" outlineLevel="0" collapsed="false">
      <c r="A11780" s="1" t="s">
        <v>938</v>
      </c>
      <c r="B11780" s="1" t="s">
        <v>213</v>
      </c>
      <c r="F11780" s="34" t="n">
        <f aca="false">1-0.5</f>
        <v>0.5</v>
      </c>
      <c r="G11780" s="34" t="n">
        <f aca="false">2-0.5</f>
        <v>1.5</v>
      </c>
      <c r="H11780" s="34" t="n">
        <f aca="false">3-0.5</f>
        <v>2.5</v>
      </c>
      <c r="I11780" s="34" t="n">
        <f aca="false">4-0.5</f>
        <v>3.5</v>
      </c>
      <c r="J11780" s="34" t="n">
        <f aca="false">5-0.5</f>
        <v>4.5</v>
      </c>
      <c r="K11780" s="34" t="n">
        <f aca="false">6-0.5</f>
        <v>5.5</v>
      </c>
    </row>
    <row r="11781" customFormat="false" ht="15" hidden="false" customHeight="false" outlineLevel="0" collapsed="false">
      <c r="A11781" s="1" t="s">
        <v>939</v>
      </c>
      <c r="B11781" s="0" t="s">
        <v>182</v>
      </c>
      <c r="F11781" s="18" t="n">
        <f aca="false">1/(1+wacc)^Sens!F11780</f>
        <v>0.949601579913219</v>
      </c>
      <c r="G11781" s="18" t="n">
        <f aca="false">1/(1+wacc)^Sens!G11780</f>
        <v>0.856296729956707</v>
      </c>
      <c r="H11781" s="18" t="n">
        <f aca="false">1/(1+wacc)^Sens!H11780</f>
        <v>0.772159719660069</v>
      </c>
      <c r="I11781" s="18" t="n">
        <f aca="false">1/(1+wacc)^Sens!I11780</f>
        <v>0.696289746073958</v>
      </c>
      <c r="J11781" s="18" t="n">
        <f aca="false">1/(1+wacc)^Sens!J11780</f>
        <v>0.627874516299776</v>
      </c>
      <c r="K11781" s="18" t="n">
        <f aca="false">1/(1+wacc)^Sens!K11780</f>
        <v>0.566181550771831</v>
      </c>
    </row>
    <row r="11782" customFormat="false" ht="15" hidden="false" customHeight="false" outlineLevel="0" collapsed="false">
      <c r="A11782" s="1" t="s">
        <v>940</v>
      </c>
      <c r="B11782" s="0" t="s">
        <v>95</v>
      </c>
      <c r="F11782" s="6" t="n">
        <f aca="false">CF!F83*Sens!F11781</f>
        <v>-3.06653414679568</v>
      </c>
      <c r="G11782" s="6" t="n">
        <f aca="false">CF!G83*Sens!G11781</f>
        <v>15.3370464106998</v>
      </c>
      <c r="H11782" s="6" t="n">
        <f aca="false">CF!H83*Sens!H11781</f>
        <v>32.741830912959</v>
      </c>
      <c r="I11782" s="6" t="n">
        <f aca="false">CF!I83*Sens!I11781</f>
        <v>32.5345194226033</v>
      </c>
      <c r="J11782" s="6" t="n">
        <f aca="false">CF!J83*Sens!J11781</f>
        <v>41.02711694846</v>
      </c>
      <c r="K11782" s="6" t="n">
        <f aca="false">CF!K83*Sens!K11781</f>
        <v>30.3740488668364</v>
      </c>
    </row>
    <row r="11783" customFormat="false" ht="17.15" hidden="false" customHeight="false" outlineLevel="0" collapsed="false">
      <c r="A11783" s="1" t="s">
        <v>941</v>
      </c>
      <c r="B11783" s="0" t="s">
        <v>95</v>
      </c>
      <c r="C11783" s="6" t="n">
        <f aca="false">SUM(Sens!F11782:K11782)</f>
        <v>148.948028414763</v>
      </c>
    </row>
    <row r="11784" customFormat="false" ht="17.15" hidden="false" customHeight="false" outlineLevel="0" collapsed="false">
      <c r="A11784" s="1" t="s">
        <v>942</v>
      </c>
      <c r="B11784" s="0" t="s">
        <v>95</v>
      </c>
      <c r="C11784" s="6" t="n">
        <f aca="false">PL!K105*(1+g_tv)*(1-tax_f)</f>
        <v>165.083397962666</v>
      </c>
    </row>
    <row r="11785" customFormat="false" ht="17.15" hidden="false" customHeight="false" outlineLevel="0" collapsed="false">
      <c r="A11785" s="1" t="s">
        <v>943</v>
      </c>
      <c r="B11785" s="0" t="s">
        <v>95</v>
      </c>
      <c r="C11785" s="6" t="n">
        <f aca="false">Sens!$C$11784*(1-g_tv/(wacc+ronic_prem))</f>
        <v>119.632264207628</v>
      </c>
    </row>
    <row r="11786" customFormat="false" ht="17.15" hidden="false" customHeight="false" outlineLevel="0" collapsed="false">
      <c r="A11786" s="1" t="s">
        <v>944</v>
      </c>
      <c r="B11786" s="0" t="s">
        <v>95</v>
      </c>
      <c r="C11786" s="6" t="n">
        <f aca="false">Sens!$C$11785/(wacc-g_tv)</f>
        <v>1515.0377918346</v>
      </c>
    </row>
    <row r="11787" customFormat="false" ht="15" hidden="false" customHeight="false" outlineLevel="0" collapsed="false">
      <c r="A11787" s="1" t="s">
        <v>945</v>
      </c>
      <c r="B11787" s="0" t="s">
        <v>95</v>
      </c>
      <c r="C11787" s="6" t="n">
        <f aca="false">Sens!$C$11786/(1+wacc)^6</f>
        <v>814.555364785464</v>
      </c>
    </row>
    <row r="11788" customFormat="false" ht="17.15" hidden="false" customHeight="false" outlineLevel="0" collapsed="false">
      <c r="A11788" s="0" t="s">
        <v>877</v>
      </c>
      <c r="B11788" s="0" t="s">
        <v>95</v>
      </c>
      <c r="C11788" s="6" t="n">
        <f aca="false">Sens!$C$11783+Sens!$C$11787</f>
        <v>963.503393200227</v>
      </c>
    </row>
    <row r="11789" customFormat="false" ht="15" hidden="false" customHeight="false" outlineLevel="0" collapsed="false">
      <c r="A11789" s="1" t="s">
        <v>878</v>
      </c>
      <c r="B11789" s="0" t="s">
        <v>126</v>
      </c>
      <c r="C11789" s="7" t="n">
        <f aca="false">Sens!$C$11787/Sens!$C$11788</f>
        <v>0.845409959668082</v>
      </c>
    </row>
    <row r="11790" customFormat="false" ht="17.15" hidden="false" customHeight="false" outlineLevel="0" collapsed="false">
      <c r="A11790" s="1" t="s">
        <v>946</v>
      </c>
      <c r="B11790" s="0" t="s">
        <v>95</v>
      </c>
      <c r="C11790" s="6" t="n">
        <f aca="false">Sens!$C$11788+CF!E92+oai_v</f>
        <v>1164.61039320023</v>
      </c>
    </row>
    <row r="11791" customFormat="false" ht="17.15" hidden="false" customHeight="false" outlineLevel="0" collapsed="false">
      <c r="A11791" s="0" t="s">
        <v>883</v>
      </c>
      <c r="B11791" s="0" t="s">
        <v>73</v>
      </c>
      <c r="C11791" s="5" t="n">
        <f aca="false">Sens!$C$11790/sh_dil26</f>
        <v>156.260618972256</v>
      </c>
    </row>
    <row r="11792" customFormat="false" ht="17.15" hidden="false" customHeight="false" outlineLevel="0" collapsed="false">
      <c r="A11792" s="0" t="s">
        <v>947</v>
      </c>
      <c r="B11792" s="0" t="s">
        <v>73</v>
      </c>
      <c r="C11792" s="5" t="n">
        <f aca="false">Sens!$C$11791*(1+wacc)^t_roll</f>
        <v>179.230081585006</v>
      </c>
    </row>
    <row r="11793" customFormat="false" ht="17.15" hidden="false" customHeight="false" outlineLevel="0" collapsed="false">
      <c r="A11793" s="1" t="s">
        <v>948</v>
      </c>
      <c r="B11793" s="0" t="s">
        <v>126</v>
      </c>
      <c r="F11793" s="7" t="n">
        <f aca="false">CF!F73/(Seg!F83-Thesis!F108)</f>
        <v>0.0686864325746334</v>
      </c>
      <c r="G11793" s="7" t="n">
        <f aca="false">CF!G73/(Seg!G83-Thesis!G108)</f>
        <v>0.066267001590801</v>
      </c>
      <c r="H11793" s="7" t="n">
        <f aca="false">CF!H73/(Seg!H83-Thesis!H108)</f>
        <v>0.0650366246750144</v>
      </c>
      <c r="I11793" s="7" t="n">
        <f aca="false">CF!I73/(Seg!I83-Thesis!I108)</f>
        <v>0.0648573271390164</v>
      </c>
      <c r="J11793" s="7" t="n">
        <f aca="false">CF!J73/(Seg!J83-Thesis!J108)</f>
        <v>0.0655189837669657</v>
      </c>
      <c r="K11793" s="7" t="n">
        <f aca="false">CF!K73/(Seg!K83-Thesis!K108)</f>
        <v>0.0667878921367872</v>
      </c>
    </row>
    <row r="11794" customFormat="false" ht="17.15" hidden="false" customHeight="false" outlineLevel="0" collapsed="false">
      <c r="A11794" s="0" t="s">
        <v>949</v>
      </c>
      <c r="B11794" s="0" t="s">
        <v>95</v>
      </c>
      <c r="F11794" s="6" t="n">
        <f aca="false">Seg!F68*(al_m365+Sens!F11793)</f>
        <v>78.4986969872395</v>
      </c>
      <c r="G11794" s="6" t="n">
        <f aca="false">Seg!G68*(al_m365+Sens!G11793)</f>
        <v>88.3098056906507</v>
      </c>
      <c r="H11794" s="6" t="n">
        <f aca="false">Seg!H68*(al_m365+Sens!H11793)</f>
        <v>98.2773562913015</v>
      </c>
      <c r="I11794" s="6" t="n">
        <f aca="false">Seg!I68*(al_m365+Sens!I11793)</f>
        <v>107.762753675846</v>
      </c>
      <c r="J11794" s="6" t="n">
        <f aca="false">Seg!J68*(al_m365+Sens!J11793)</f>
        <v>116.587414331333</v>
      </c>
      <c r="K11794" s="6" t="n">
        <f aca="false">Seg!K68*(al_m365+Sens!K11793)</f>
        <v>125.041394489287</v>
      </c>
    </row>
    <row r="11795" customFormat="false" ht="17.15" hidden="false" customHeight="false" outlineLevel="0" collapsed="false">
      <c r="A11795" s="0" t="s">
        <v>950</v>
      </c>
      <c r="B11795" s="0" t="s">
        <v>95</v>
      </c>
      <c r="F11795" s="6" t="n">
        <f aca="false">Seg!F69*(al_lic+Sens!F11793)</f>
        <v>31.9877845991607</v>
      </c>
      <c r="G11795" s="6" t="n">
        <f aca="false">Seg!G69*(al_lic+Sens!G11793)</f>
        <v>33.243749427372</v>
      </c>
      <c r="H11795" s="6" t="n">
        <f aca="false">Seg!H69*(al_lic+Sens!H11793)</f>
        <v>34.4137793872059</v>
      </c>
      <c r="I11795" s="6" t="n">
        <f aca="false">Seg!I69*(al_lic+Sens!I11793)</f>
        <v>35.4787240806467</v>
      </c>
      <c r="J11795" s="6" t="n">
        <f aca="false">Seg!J69*(al_lic+Sens!J11793)</f>
        <v>36.4160307520991</v>
      </c>
      <c r="K11795" s="6" t="n">
        <f aca="false">Seg!K69*(al_lic+Sens!K11793)</f>
        <v>37.2021461938459</v>
      </c>
    </row>
    <row r="11796" customFormat="false" ht="17.15" hidden="false" customHeight="false" outlineLevel="0" collapsed="false">
      <c r="A11796" s="0" t="s">
        <v>951</v>
      </c>
      <c r="B11796" s="0" t="s">
        <v>95</v>
      </c>
      <c r="F11796" s="6" t="n">
        <f aca="false">Seg!F71*(al_ind+Sens!F11793)</f>
        <v>8.24280380456612</v>
      </c>
      <c r="G11796" s="6" t="n">
        <f aca="false">Seg!G71*(al_ind+Sens!G11793)</f>
        <v>8.9512770630031</v>
      </c>
      <c r="H11796" s="6" t="n">
        <f aca="false">Seg!H71*(al_ind+Sens!H11793)</f>
        <v>9.70041215792393</v>
      </c>
      <c r="I11796" s="6" t="n">
        <f aca="false">Seg!I71*(al_ind+Sens!I11793)</f>
        <v>10.4864435829487</v>
      </c>
      <c r="J11796" s="6" t="n">
        <f aca="false">Seg!J71*(al_ind+Sens!J11793)</f>
        <v>11.3015744981253</v>
      </c>
      <c r="K11796" s="6" t="n">
        <f aca="false">Seg!K71*(al_ind+Sens!K11793)</f>
        <v>12.1346647729291</v>
      </c>
    </row>
    <row r="11797" customFormat="false" ht="17.15" hidden="false" customHeight="false" outlineLevel="0" collapsed="false">
      <c r="A11797" s="0" t="s">
        <v>952</v>
      </c>
      <c r="B11797" s="0" t="s">
        <v>95</v>
      </c>
      <c r="F11797" s="6" t="n">
        <f aca="false">Seg!F73*(al_fro+Sens!F11793)</f>
        <v>3.24439651632051</v>
      </c>
      <c r="G11797" s="6" t="n">
        <f aca="false">Seg!G73*(al_fro+Sens!G11793)</f>
        <v>3.43676117771401</v>
      </c>
      <c r="H11797" s="6" t="n">
        <f aca="false">Seg!H73*(al_fro+Sens!H11793)</f>
        <v>3.65544732248501</v>
      </c>
      <c r="I11797" s="6" t="n">
        <f aca="false">Seg!I73*(al_fro+Sens!I11793)</f>
        <v>3.90262750850979</v>
      </c>
      <c r="J11797" s="6" t="n">
        <f aca="false">Seg!J73*(al_fro+Sens!J11793)</f>
        <v>4.17975656810881</v>
      </c>
      <c r="K11797" s="6" t="n">
        <f aca="false">Seg!K73*(al_fro+Sens!K11793)</f>
        <v>4.48786536733111</v>
      </c>
    </row>
    <row r="11798" customFormat="false" ht="17.15" hidden="false" customHeight="false" outlineLevel="0" collapsed="false">
      <c r="A11798" s="0" t="s">
        <v>953</v>
      </c>
      <c r="B11798" s="0" t="s">
        <v>95</v>
      </c>
      <c r="F11798" s="6" t="n">
        <f aca="false">Seg!F76*(al_srch+Sens!F11793)</f>
        <v>10.1799817910968</v>
      </c>
      <c r="G11798" s="6" t="n">
        <f aca="false">Seg!G76*(al_srch+Sens!G11793)</f>
        <v>11.1592643133754</v>
      </c>
      <c r="H11798" s="6" t="n">
        <f aca="false">Seg!H76*(al_srch+Sens!H11793)</f>
        <v>12.1792194533398</v>
      </c>
      <c r="I11798" s="6" t="n">
        <f aca="false">Seg!I76*(al_srch+Sens!I11793)</f>
        <v>13.2288881134521</v>
      </c>
      <c r="J11798" s="6" t="n">
        <f aca="false">Seg!J76*(al_srch+Sens!J11793)</f>
        <v>14.2913670918582</v>
      </c>
      <c r="K11798" s="6" t="n">
        <f aca="false">Seg!K76*(al_srch+Sens!K11793)</f>
        <v>15.3448485284362</v>
      </c>
    </row>
    <row r="11799" customFormat="false" ht="17.15" hidden="false" customHeight="false" outlineLevel="0" collapsed="false">
      <c r="A11799" s="0" t="s">
        <v>954</v>
      </c>
      <c r="B11799" s="0" t="s">
        <v>95</v>
      </c>
      <c r="F11799" s="6" t="n">
        <f aca="false">Thesis!F114</f>
        <v>35.0573455625419</v>
      </c>
      <c r="G11799" s="6" t="n">
        <f aca="false">Thesis!G114</f>
        <v>52.2504971712871</v>
      </c>
      <c r="H11799" s="6" t="n">
        <f aca="false">Thesis!H114</f>
        <v>65.2796698510271</v>
      </c>
      <c r="I11799" s="6" t="n">
        <f aca="false">Thesis!I114</f>
        <v>85.5659922535278</v>
      </c>
      <c r="J11799" s="6" t="n">
        <f aca="false">Thesis!J114</f>
        <v>105.90773710582</v>
      </c>
      <c r="K11799" s="6" t="n">
        <f aca="false">Thesis!K114</f>
        <v>126.282084319851</v>
      </c>
    </row>
    <row r="11800" customFormat="false" ht="17.15" hidden="false" customHeight="false" outlineLevel="0" collapsed="false">
      <c r="A11800" s="0" t="s">
        <v>955</v>
      </c>
      <c r="B11800" s="0" t="s">
        <v>95</v>
      </c>
      <c r="F11800" s="6" t="n">
        <f aca="false">PL!F102+Thesis!F125+Sens!F11793*(Seg!F75-Thesis!F108)</f>
        <v>206.154467007856</v>
      </c>
      <c r="G11800" s="6" t="n">
        <f aca="false">PL!G102+Thesis!G125+Sens!G11793*(Seg!G75-Thesis!G108)</f>
        <v>241.631787518433</v>
      </c>
      <c r="H11800" s="6" t="n">
        <f aca="false">PL!H102+Thesis!H125+Sens!H11793*(Seg!H75-Thesis!H108)</f>
        <v>273.161508717552</v>
      </c>
      <c r="I11800" s="6" t="n">
        <f aca="false">PL!I102+Thesis!I125+Sens!I11793*(Seg!I75-Thesis!I108)</f>
        <v>311.232758290592</v>
      </c>
      <c r="J11800" s="6" t="n">
        <f aca="false">PL!J102+Thesis!J125+Sens!J11793*(Seg!J75-Thesis!J108)</f>
        <v>347.836227364385</v>
      </c>
      <c r="K11800" s="6" t="n">
        <f aca="false">PL!K102+Thesis!K125+Sens!K11793*(Seg!K75-Thesis!K108)</f>
        <v>382.533402332059</v>
      </c>
    </row>
    <row r="11801" customFormat="false" ht="17.15" hidden="false" customHeight="false" outlineLevel="0" collapsed="false">
      <c r="A11801" s="0" t="s">
        <v>956</v>
      </c>
      <c r="B11801" s="0" t="s">
        <v>95</v>
      </c>
      <c r="F11801" s="6" t="n">
        <f aca="false">Sens!F11800-Sens!F11794-Sens!F11795-Sens!F11796-Sens!F11797-Sens!F11799</f>
        <v>49.123439538027</v>
      </c>
      <c r="G11801" s="6" t="n">
        <f aca="false">Sens!G11800-Sens!G11794-Sens!G11795-Sens!G11796-Sens!G11797-Sens!G11799</f>
        <v>55.4396969884061</v>
      </c>
      <c r="H11801" s="6" t="n">
        <f aca="false">Sens!H11800-Sens!H11794-Sens!H11795-Sens!H11796-Sens!H11797-Sens!H11799</f>
        <v>61.8348437076084</v>
      </c>
      <c r="I11801" s="6" t="n">
        <f aca="false">Sens!I11800-Sens!I11794-Sens!I11795-Sens!I11796-Sens!I11797-Sens!I11799</f>
        <v>68.0362171891129</v>
      </c>
      <c r="J11801" s="6" t="n">
        <f aca="false">Sens!J11800-Sens!J11794-Sens!J11795-Sens!J11796-Sens!J11797-Sens!J11799</f>
        <v>73.4437141088982</v>
      </c>
      <c r="K11801" s="6" t="n">
        <f aca="false">Sens!K11800-Sens!K11794-Sens!K11795-Sens!K11796-Sens!K11797-Sens!K11799</f>
        <v>77.3852471888144</v>
      </c>
    </row>
    <row r="11802" customFormat="false" ht="17.15" hidden="false" customHeight="false" outlineLevel="0" collapsed="false">
      <c r="A11802" s="0" t="s">
        <v>957</v>
      </c>
      <c r="B11802" s="0" t="s">
        <v>95</v>
      </c>
      <c r="F11802" s="6" t="n">
        <f aca="false">PL!F104+Sens!F11793*Seg!F82</f>
        <v>23.7697943901369</v>
      </c>
      <c r="G11802" s="6" t="n">
        <f aca="false">PL!G104+Sens!G11793*Seg!G82</f>
        <v>24.331261048114</v>
      </c>
      <c r="H11802" s="6" t="n">
        <f aca="false">PL!H104+Sens!H11793*Seg!H82</f>
        <v>25.1342423406419</v>
      </c>
      <c r="I11802" s="6" t="n">
        <f aca="false">PL!I104+Sens!I11793*Seg!I82</f>
        <v>26.1495446421549</v>
      </c>
      <c r="J11802" s="6" t="n">
        <f aca="false">PL!J104+Sens!J11793*Seg!J82</f>
        <v>27.3481502080811</v>
      </c>
      <c r="K11802" s="6" t="n">
        <f aca="false">PL!K104+Sens!K11793*Seg!K82</f>
        <v>28.7026027133478</v>
      </c>
    </row>
    <row r="11803" customFormat="false" ht="17.15" hidden="false" customHeight="false" outlineLevel="0" collapsed="false">
      <c r="A11803" s="0" t="s">
        <v>958</v>
      </c>
      <c r="B11803" s="0" t="s">
        <v>95</v>
      </c>
      <c r="F11803" s="6" t="n">
        <f aca="false">(Sens!F11802-Sens!F11798)*Seg!F78/(Seg!F78+Seg!F80)</f>
        <v>7.44980290393703</v>
      </c>
      <c r="G11803" s="6" t="n">
        <f aca="false">(Sens!G11802-Sens!G11798)*Seg!G78/(Seg!G78+Seg!G80)</f>
        <v>7.09201461396229</v>
      </c>
      <c r="H11803" s="6" t="n">
        <f aca="false">(Sens!H11802-Sens!H11798)*Seg!H78/(Seg!H78+Seg!H80)</f>
        <v>6.8809692168288</v>
      </c>
      <c r="I11803" s="6" t="n">
        <f aca="false">(Sens!I11802-Sens!I11798)*Seg!I78/(Seg!I78+Seg!I80)</f>
        <v>6.80062182771623</v>
      </c>
      <c r="J11803" s="6" t="n">
        <f aca="false">(Sens!J11802-Sens!J11798)*Seg!J78/(Seg!J78+Seg!J80)</f>
        <v>6.84119415814997</v>
      </c>
      <c r="K11803" s="6" t="n">
        <f aca="false">(Sens!K11802-Sens!K11798)*Seg!K78/(Seg!K78+Seg!K80)</f>
        <v>6.99889008512966</v>
      </c>
    </row>
    <row r="11804" customFormat="false" ht="17.15" hidden="false" customHeight="false" outlineLevel="0" collapsed="false">
      <c r="A11804" s="0" t="s">
        <v>959</v>
      </c>
      <c r="B11804" s="0" t="s">
        <v>95</v>
      </c>
      <c r="F11804" s="6" t="n">
        <f aca="false">Sens!F11802-Sens!F11798-Sens!F11803</f>
        <v>6.14000969510312</v>
      </c>
      <c r="G11804" s="6" t="n">
        <f aca="false">Sens!G11802-Sens!G11798-Sens!G11803</f>
        <v>6.07998212077627</v>
      </c>
      <c r="H11804" s="6" t="n">
        <f aca="false">Sens!H11802-Sens!H11798-Sens!H11803</f>
        <v>6.07405367047327</v>
      </c>
      <c r="I11804" s="6" t="n">
        <f aca="false">Sens!I11802-Sens!I11798-Sens!I11803</f>
        <v>6.12003470098649</v>
      </c>
      <c r="J11804" s="6" t="n">
        <f aca="false">Sens!J11802-Sens!J11798-Sens!J11803</f>
        <v>6.21558895807294</v>
      </c>
      <c r="K11804" s="6" t="n">
        <f aca="false">Sens!K11802-Sens!K11798-Sens!K11803</f>
        <v>6.35886409978198</v>
      </c>
    </row>
    <row r="11805" customFormat="false" ht="17.15" hidden="false" customHeight="false" outlineLevel="0" collapsed="false">
      <c r="A11805" s="1" t="s">
        <v>960</v>
      </c>
      <c r="B11805" s="0" t="s">
        <v>95</v>
      </c>
      <c r="C11805" s="6" t="n">
        <f aca="false">(w_ntm28*Sens!G11799+(1-w_ntm28)*Sens!H11799)*m_ai*1</f>
        <v>338.776008390068</v>
      </c>
    </row>
    <row r="11806" customFormat="false" ht="17.15" hidden="false" customHeight="false" outlineLevel="0" collapsed="false">
      <c r="A11806" s="1" t="s">
        <v>961</v>
      </c>
      <c r="B11806" s="0" t="s">
        <v>95</v>
      </c>
      <c r="C11806" s="6" t="n">
        <f aca="false">(w_ntm28*Sens!G11801+(1-w_ntm28)*Sens!H11801)*m_own*1</f>
        <v>901.137339459305</v>
      </c>
    </row>
    <row r="11807" customFormat="false" ht="17.15" hidden="false" customHeight="false" outlineLevel="0" collapsed="false">
      <c r="A11807" s="1" t="s">
        <v>962</v>
      </c>
      <c r="B11807" s="0" t="s">
        <v>95</v>
      </c>
      <c r="C11807" s="6" t="n">
        <f aca="false">(w_ntm28*Sens!G11794+(1-w_ntm28)*Sens!H11794)*m_own*1</f>
        <v>1434.30944726466</v>
      </c>
    </row>
    <row r="11808" customFormat="false" ht="17.15" hidden="false" customHeight="false" outlineLevel="0" collapsed="false">
      <c r="A11808" s="1" t="s">
        <v>963</v>
      </c>
      <c r="B11808" s="0" t="s">
        <v>95</v>
      </c>
      <c r="C11808" s="6" t="n">
        <f aca="false">(w_ntm28*Sens!G11795+(1-w_ntm28)*Sens!H11795)*m_own*1</f>
        <v>526.856829136592</v>
      </c>
    </row>
    <row r="11809" customFormat="false" ht="17.15" hidden="false" customHeight="false" outlineLevel="0" collapsed="false">
      <c r="A11809" s="1" t="s">
        <v>964</v>
      </c>
      <c r="B11809" s="0" t="s">
        <v>95</v>
      </c>
      <c r="C11809" s="6" t="n">
        <f aca="false">(w_ntm28*Sens!G11796+(1-w_ntm28)*Sens!H11796)*m_own*1</f>
        <v>144.06156839538</v>
      </c>
    </row>
    <row r="11810" customFormat="false" ht="17.15" hidden="false" customHeight="false" outlineLevel="0" collapsed="false">
      <c r="A11810" s="1" t="s">
        <v>965</v>
      </c>
      <c r="B11810" s="0" t="s">
        <v>95</v>
      </c>
      <c r="C11810" s="6" t="n">
        <f aca="false">(w_ntm28*Sens!G11797+(1-w_ntm28)*Sens!H11797)*m_own*1</f>
        <v>54.9618936899847</v>
      </c>
    </row>
    <row r="11811" customFormat="false" ht="17.15" hidden="false" customHeight="false" outlineLevel="0" collapsed="false">
      <c r="A11811" s="1" t="s">
        <v>966</v>
      </c>
      <c r="B11811" s="0" t="s">
        <v>95</v>
      </c>
      <c r="C11811" s="6" t="n">
        <f aca="false">(w_ntm28*Sens!G11798+(1-w_ntm28)*Sens!H11798)*m_own*1</f>
        <v>180.032680697723</v>
      </c>
    </row>
    <row r="11812" customFormat="false" ht="17.15" hidden="false" customHeight="false" outlineLevel="0" collapsed="false">
      <c r="A11812" s="1" t="s">
        <v>967</v>
      </c>
      <c r="B11812" s="0" t="s">
        <v>95</v>
      </c>
      <c r="C11812" s="6" t="n">
        <f aca="false">(w_ntm28*Sens!G11803+(1-w_ntm28)*Sens!H11803)*m_own*1</f>
        <v>110.062730365108</v>
      </c>
    </row>
    <row r="11813" customFormat="false" ht="17.15" hidden="false" customHeight="false" outlineLevel="0" collapsed="false">
      <c r="A11813" s="1" t="s">
        <v>968</v>
      </c>
      <c r="B11813" s="0" t="s">
        <v>95</v>
      </c>
      <c r="C11813" s="6" t="n">
        <f aca="false">(w_ntm28*Sens!G11804+(1-w_ntm28)*Sens!H11804)*m_own*1</f>
        <v>95.243286790599</v>
      </c>
    </row>
    <row r="11814" customFormat="false" ht="17.15" hidden="false" customHeight="false" outlineLevel="0" collapsed="false">
      <c r="A11814" s="1" t="s">
        <v>969</v>
      </c>
      <c r="B11814" s="0" t="s">
        <v>95</v>
      </c>
      <c r="C11814" s="6" t="n">
        <f aca="false">Sens!$C$11805+Sens!$C$11806+Sens!$C$11807+Sens!$C$11808+Sens!$C$11809+Sens!$C$11810+Sens!$C$11811+Sens!$C$11812+Sens!$C$11813</f>
        <v>3785.44178418942</v>
      </c>
    </row>
    <row r="11815" customFormat="false" ht="17.15" hidden="false" customHeight="false" outlineLevel="0" collapsed="false">
      <c r="A11815" s="1" t="s">
        <v>903</v>
      </c>
      <c r="B11815" s="0" t="s">
        <v>95</v>
      </c>
      <c r="C11815" s="6" t="n">
        <f aca="false">CF!F92+oai_v-CF!F81</f>
        <v>106.814034990727</v>
      </c>
      <c r="L11815" s="1" t="s">
        <v>970</v>
      </c>
    </row>
    <row r="11816" customFormat="false" ht="15" hidden="false" customHeight="false" outlineLevel="0" collapsed="false">
      <c r="A11816" s="1" t="s">
        <v>904</v>
      </c>
      <c r="B11816" s="0" t="s">
        <v>73</v>
      </c>
      <c r="C11816" s="5" t="n">
        <f aca="false">(Sens!$C$11814+Sens!$C$11815)/CF!F94</f>
        <v>520.912181367792</v>
      </c>
    </row>
    <row r="11817" customFormat="false" ht="17.15" hidden="false" customHeight="false" outlineLevel="0" collapsed="false">
      <c r="A11817" s="1" t="s">
        <v>971</v>
      </c>
      <c r="B11817" s="0" t="s">
        <v>73</v>
      </c>
      <c r="C11817" s="5" t="n">
        <f aca="false">w_dcf*Sens!$C$11792+(1-w_dcf)*Sens!$C$11816</f>
        <v>350.071131476399</v>
      </c>
    </row>
    <row r="11818" customFormat="false" ht="17.15" hidden="false" customHeight="false" outlineLevel="0" collapsed="false">
      <c r="A11818" s="3" t="s">
        <v>1449</v>
      </c>
    </row>
    <row r="11819" customFormat="false" ht="15" hidden="false" customHeight="false" outlineLevel="0" collapsed="false">
      <c r="A11819" s="4" t="s">
        <v>43</v>
      </c>
      <c r="B11819" s="4" t="s">
        <v>63</v>
      </c>
      <c r="C11819" s="19" t="s">
        <v>710</v>
      </c>
      <c r="D11819" s="19" t="s">
        <v>711</v>
      </c>
      <c r="E11819" s="19" t="s">
        <v>712</v>
      </c>
      <c r="F11819" s="19" t="s">
        <v>713</v>
      </c>
      <c r="G11819" s="19" t="s">
        <v>714</v>
      </c>
      <c r="H11819" s="19" t="s">
        <v>715</v>
      </c>
      <c r="I11819" s="19" t="s">
        <v>716</v>
      </c>
      <c r="J11819" s="19" t="s">
        <v>717</v>
      </c>
      <c r="K11819" s="19" t="s">
        <v>718</v>
      </c>
      <c r="L11819" s="4" t="s">
        <v>47</v>
      </c>
    </row>
    <row r="11820" customFormat="false" ht="17.15" hidden="false" customHeight="false" outlineLevel="0" collapsed="false">
      <c r="A11820" s="1" t="s">
        <v>938</v>
      </c>
      <c r="B11820" s="1" t="s">
        <v>213</v>
      </c>
      <c r="F11820" s="34" t="n">
        <f aca="false">1-0.5</f>
        <v>0.5</v>
      </c>
      <c r="G11820" s="34" t="n">
        <f aca="false">2-0.5</f>
        <v>1.5</v>
      </c>
      <c r="H11820" s="34" t="n">
        <f aca="false">3-0.5</f>
        <v>2.5</v>
      </c>
      <c r="I11820" s="34" t="n">
        <f aca="false">4-0.5</f>
        <v>3.5</v>
      </c>
      <c r="J11820" s="34" t="n">
        <f aca="false">5-0.5</f>
        <v>4.5</v>
      </c>
      <c r="K11820" s="34" t="n">
        <f aca="false">6-0.5</f>
        <v>5.5</v>
      </c>
    </row>
    <row r="11821" customFormat="false" ht="15" hidden="false" customHeight="false" outlineLevel="0" collapsed="false">
      <c r="A11821" s="1" t="s">
        <v>939</v>
      </c>
      <c r="B11821" s="0" t="s">
        <v>182</v>
      </c>
      <c r="F11821" s="18" t="n">
        <f aca="false">1/(1+wacc)^Sens!F11820</f>
        <v>0.949601579913219</v>
      </c>
      <c r="G11821" s="18" t="n">
        <f aca="false">1/(1+wacc)^Sens!G11820</f>
        <v>0.856296729956707</v>
      </c>
      <c r="H11821" s="18" t="n">
        <f aca="false">1/(1+wacc)^Sens!H11820</f>
        <v>0.772159719660069</v>
      </c>
      <c r="I11821" s="18" t="n">
        <f aca="false">1/(1+wacc)^Sens!I11820</f>
        <v>0.696289746073958</v>
      </c>
      <c r="J11821" s="18" t="n">
        <f aca="false">1/(1+wacc)^Sens!J11820</f>
        <v>0.627874516299776</v>
      </c>
      <c r="K11821" s="18" t="n">
        <f aca="false">1/(1+wacc)^Sens!K11820</f>
        <v>0.566181550771831</v>
      </c>
    </row>
    <row r="11822" customFormat="false" ht="15" hidden="false" customHeight="false" outlineLevel="0" collapsed="false">
      <c r="A11822" s="1" t="s">
        <v>940</v>
      </c>
      <c r="B11822" s="0" t="s">
        <v>95</v>
      </c>
      <c r="F11822" s="6" t="n">
        <f aca="false">CF!F27*Sens!F11821</f>
        <v>4.78244341517868</v>
      </c>
      <c r="G11822" s="6" t="n">
        <f aca="false">CF!G27*Sens!G11821</f>
        <v>37.2678177028369</v>
      </c>
      <c r="H11822" s="6" t="n">
        <f aca="false">CF!H27*Sens!H11821</f>
        <v>72.9878911803064</v>
      </c>
      <c r="I11822" s="6" t="n">
        <f aca="false">CF!I27*Sens!I11821</f>
        <v>79.2928055259562</v>
      </c>
      <c r="J11822" s="6" t="n">
        <f aca="false">CF!J27*Sens!J11821</f>
        <v>92.2861122369862</v>
      </c>
      <c r="K11822" s="6" t="n">
        <f aca="false">CF!K27*Sens!K11821</f>
        <v>84.8150303666</v>
      </c>
    </row>
    <row r="11823" customFormat="false" ht="17.15" hidden="false" customHeight="false" outlineLevel="0" collapsed="false">
      <c r="A11823" s="1" t="s">
        <v>941</v>
      </c>
      <c r="B11823" s="0" t="s">
        <v>95</v>
      </c>
      <c r="C11823" s="6" t="n">
        <f aca="false">SUM(Sens!F11822:K11822)</f>
        <v>371.432100427865</v>
      </c>
    </row>
    <row r="11824" customFormat="false" ht="17.15" hidden="false" customHeight="false" outlineLevel="0" collapsed="false">
      <c r="A11824" s="1" t="s">
        <v>942</v>
      </c>
      <c r="B11824" s="0" t="s">
        <v>95</v>
      </c>
      <c r="C11824" s="6" t="n">
        <f aca="false">PL!K35*(1+g_tv)*(1-tax_f)</f>
        <v>261.070427358719</v>
      </c>
    </row>
    <row r="11825" customFormat="false" ht="17.15" hidden="false" customHeight="false" outlineLevel="0" collapsed="false">
      <c r="A11825" s="1" t="s">
        <v>943</v>
      </c>
      <c r="B11825" s="0" t="s">
        <v>95</v>
      </c>
      <c r="C11825" s="6" t="n">
        <f aca="false">Sens!$C$11824*(1-g_tv/(wacc+ronic_prem))</f>
        <v>189.191928007442</v>
      </c>
    </row>
    <row r="11826" customFormat="false" ht="17.15" hidden="false" customHeight="false" outlineLevel="0" collapsed="false">
      <c r="A11826" s="1" t="s">
        <v>944</v>
      </c>
      <c r="B11826" s="0" t="s">
        <v>95</v>
      </c>
      <c r="C11826" s="6" t="n">
        <f aca="false">Sens!$C$11825/(wacc-g_tv)</f>
        <v>2395.9499783759</v>
      </c>
    </row>
    <row r="11827" customFormat="false" ht="15" hidden="false" customHeight="false" outlineLevel="0" collapsed="false">
      <c r="A11827" s="1" t="s">
        <v>945</v>
      </c>
      <c r="B11827" s="0" t="s">
        <v>95</v>
      </c>
      <c r="C11827" s="6" t="n">
        <f aca="false">Sens!$C$11826/(1+wacc)^6</f>
        <v>1288.17506676214</v>
      </c>
    </row>
    <row r="11828" customFormat="false" ht="17.15" hidden="false" customHeight="false" outlineLevel="0" collapsed="false">
      <c r="A11828" s="0" t="s">
        <v>877</v>
      </c>
      <c r="B11828" s="0" t="s">
        <v>95</v>
      </c>
      <c r="C11828" s="6" t="n">
        <f aca="false">Sens!$C$11823+Sens!$C$11827</f>
        <v>1659.60716719001</v>
      </c>
    </row>
    <row r="11829" customFormat="false" ht="15" hidden="false" customHeight="false" outlineLevel="0" collapsed="false">
      <c r="A11829" s="1" t="s">
        <v>878</v>
      </c>
      <c r="B11829" s="0" t="s">
        <v>126</v>
      </c>
      <c r="C11829" s="7" t="n">
        <f aca="false">Sens!$C$11827/Sens!$C$11828</f>
        <v>0.776192759484908</v>
      </c>
    </row>
    <row r="11830" customFormat="false" ht="17.15" hidden="false" customHeight="false" outlineLevel="0" collapsed="false">
      <c r="A11830" s="1" t="s">
        <v>946</v>
      </c>
      <c r="B11830" s="0" t="s">
        <v>95</v>
      </c>
      <c r="C11830" s="6" t="n">
        <f aca="false">Sens!$C$11828+CF!E36+(oai_stake_hi*oai_val)</f>
        <v>1920.35416719001</v>
      </c>
    </row>
    <row r="11831" customFormat="false" ht="17.15" hidden="false" customHeight="false" outlineLevel="0" collapsed="false">
      <c r="A11831" s="0" t="s">
        <v>883</v>
      </c>
      <c r="B11831" s="0" t="s">
        <v>73</v>
      </c>
      <c r="C11831" s="5" t="n">
        <f aca="false">Sens!$C$11830/sh_dil26</f>
        <v>257.661903554274</v>
      </c>
    </row>
    <row r="11832" customFormat="false" ht="17.15" hidden="false" customHeight="false" outlineLevel="0" collapsed="false">
      <c r="A11832" s="0" t="s">
        <v>947</v>
      </c>
      <c r="B11832" s="0" t="s">
        <v>73</v>
      </c>
      <c r="C11832" s="5" t="n">
        <f aca="false">Sens!$C$11831*(1+wacc)^t_roll</f>
        <v>295.536804468821</v>
      </c>
    </row>
    <row r="11833" customFormat="false" ht="17.15" hidden="false" customHeight="false" outlineLevel="0" collapsed="false">
      <c r="A11833" s="1" t="s">
        <v>948</v>
      </c>
      <c r="B11833" s="0" t="s">
        <v>126</v>
      </c>
      <c r="F11833" s="7" t="n">
        <f aca="false">CF!F17/(Seg!F29-Thesis!F20)</f>
        <v>0.0681773598226415</v>
      </c>
      <c r="G11833" s="7" t="n">
        <f aca="false">CF!G17/(Seg!G29-Thesis!G20)</f>
        <v>0.0650385409375172</v>
      </c>
      <c r="H11833" s="7" t="n">
        <f aca="false">CF!H17/(Seg!H29-Thesis!H20)</f>
        <v>0.063382542471986</v>
      </c>
      <c r="I11833" s="7" t="n">
        <f aca="false">CF!I17/(Seg!I29-Thesis!I20)</f>
        <v>0.0630998138876076</v>
      </c>
      <c r="J11833" s="7" t="n">
        <f aca="false">CF!J17/(Seg!J29-Thesis!J20)</f>
        <v>0.0638399980286975</v>
      </c>
      <c r="K11833" s="7" t="n">
        <f aca="false">CF!K17/(Seg!K29-Thesis!K20)</f>
        <v>0.0651531082402687</v>
      </c>
    </row>
    <row r="11834" customFormat="false" ht="17.15" hidden="false" customHeight="false" outlineLevel="0" collapsed="false">
      <c r="A11834" s="0" t="s">
        <v>949</v>
      </c>
      <c r="B11834" s="0" t="s">
        <v>95</v>
      </c>
      <c r="F11834" s="6" t="n">
        <f aca="false">Seg!F14*(al_m365+Sens!F11833)</f>
        <v>80.4434678008041</v>
      </c>
      <c r="G11834" s="6" t="n">
        <f aca="false">Seg!G14*(al_m365+Sens!G11833)</f>
        <v>94.1323272633269</v>
      </c>
      <c r="H11834" s="6" t="n">
        <f aca="false">Seg!H14*(al_m365+Sens!H11833)</f>
        <v>107.983658528206</v>
      </c>
      <c r="I11834" s="6" t="n">
        <f aca="false">Seg!I14*(al_m365+Sens!I11833)</f>
        <v>120.408335219477</v>
      </c>
      <c r="J11834" s="6" t="n">
        <f aca="false">Seg!J14*(al_m365+Sens!J11833)</f>
        <v>131.229685027411</v>
      </c>
      <c r="K11834" s="6" t="n">
        <f aca="false">Seg!K14*(al_m365+Sens!K11833)</f>
        <v>141.696231007978</v>
      </c>
    </row>
    <row r="11835" customFormat="false" ht="17.15" hidden="false" customHeight="false" outlineLevel="0" collapsed="false">
      <c r="A11835" s="0" t="s">
        <v>950</v>
      </c>
      <c r="B11835" s="0" t="s">
        <v>95</v>
      </c>
      <c r="F11835" s="6" t="n">
        <f aca="false">Seg!F15*(al_lic+Sens!F11833)</f>
        <v>31.9678940661213</v>
      </c>
      <c r="G11835" s="6" t="n">
        <f aca="false">Seg!G15*(al_lic+Sens!G11833)</f>
        <v>33.1937184472398</v>
      </c>
      <c r="H11835" s="6" t="n">
        <f aca="false">Seg!H15*(al_lic+Sens!H11833)</f>
        <v>34.3439380840055</v>
      </c>
      <c r="I11835" s="6" t="n">
        <f aca="false">Seg!I15*(al_lic+Sens!I11833)</f>
        <v>35.4022023072784</v>
      </c>
      <c r="J11835" s="6" t="n">
        <f aca="false">Seg!J15*(al_lic+Sens!J11833)</f>
        <v>36.3410576398918</v>
      </c>
      <c r="K11835" s="6" t="n">
        <f aca="false">Seg!K15*(al_lic+Sens!K11833)</f>
        <v>37.1276868757058</v>
      </c>
    </row>
    <row r="11836" customFormat="false" ht="17.15" hidden="false" customHeight="false" outlineLevel="0" collapsed="false">
      <c r="A11836" s="0" t="s">
        <v>951</v>
      </c>
      <c r="B11836" s="0" t="s">
        <v>95</v>
      </c>
      <c r="F11836" s="6" t="n">
        <f aca="false">Seg!F17*(al_ind+Sens!F11833)</f>
        <v>8.23142235288747</v>
      </c>
      <c r="G11836" s="6" t="n">
        <f aca="false">Seg!G17*(al_ind+Sens!G11833)</f>
        <v>8.92125445211874</v>
      </c>
      <c r="H11836" s="6" t="n">
        <f aca="false">Seg!H17*(al_ind+Sens!H11833)</f>
        <v>9.65645689966252</v>
      </c>
      <c r="I11836" s="6" t="n">
        <f aca="false">Seg!I17*(al_ind+Sens!I11833)</f>
        <v>10.4359305133559</v>
      </c>
      <c r="J11836" s="6" t="n">
        <f aca="false">Seg!J17*(al_ind+Sens!J11833)</f>
        <v>11.2496615107155</v>
      </c>
      <c r="K11836" s="6" t="n">
        <f aca="false">Seg!K17*(al_ind+Sens!K11833)</f>
        <v>12.0805802325565</v>
      </c>
    </row>
    <row r="11837" customFormat="false" ht="17.15" hidden="false" customHeight="false" outlineLevel="0" collapsed="false">
      <c r="A11837" s="0" t="s">
        <v>952</v>
      </c>
      <c r="B11837" s="0" t="s">
        <v>95</v>
      </c>
      <c r="F11837" s="6" t="n">
        <f aca="false">Seg!F19*(al_fro+Sens!F11833)</f>
        <v>3.23991673698178</v>
      </c>
      <c r="G11837" s="6" t="n">
        <f aca="false">Seg!G19*(al_fro+Sens!G11833)</f>
        <v>3.42523427012141</v>
      </c>
      <c r="H11837" s="6" t="n">
        <f aca="false">Seg!H19*(al_fro+Sens!H11833)</f>
        <v>3.63888347669114</v>
      </c>
      <c r="I11837" s="6" t="n">
        <f aca="false">Seg!I19*(al_fro+Sens!I11833)</f>
        <v>3.88382859986432</v>
      </c>
      <c r="J11837" s="6" t="n">
        <f aca="false">Seg!J19*(al_fro+Sens!J11833)</f>
        <v>4.16055715035227</v>
      </c>
      <c r="K11837" s="6" t="n">
        <f aca="false">Seg!K19*(al_fro+Sens!K11833)</f>
        <v>4.46786282583631</v>
      </c>
    </row>
    <row r="11838" customFormat="false" ht="17.15" hidden="false" customHeight="false" outlineLevel="0" collapsed="false">
      <c r="A11838" s="0" t="s">
        <v>953</v>
      </c>
      <c r="B11838" s="0" t="s">
        <v>95</v>
      </c>
      <c r="F11838" s="6" t="n">
        <f aca="false">Seg!F22*(al_srch+Sens!F11833)</f>
        <v>10.1659255338338</v>
      </c>
      <c r="G11838" s="6" t="n">
        <f aca="false">Seg!G22*(al_srch+Sens!G11833)</f>
        <v>11.1218361064416</v>
      </c>
      <c r="H11838" s="6" t="n">
        <f aca="false">Seg!H22*(al_srch+Sens!H11833)</f>
        <v>12.1240320316325</v>
      </c>
      <c r="I11838" s="6" t="n">
        <f aca="false">Seg!I22*(al_srch+Sens!I11833)</f>
        <v>13.1651647223307</v>
      </c>
      <c r="J11838" s="6" t="n">
        <f aca="false">Seg!J22*(al_srch+Sens!J11833)</f>
        <v>14.2257207024961</v>
      </c>
      <c r="K11838" s="6" t="n">
        <f aca="false">Seg!K22*(al_srch+Sens!K11833)</f>
        <v>15.2764561092572</v>
      </c>
    </row>
    <row r="11839" customFormat="false" ht="17.15" hidden="false" customHeight="false" outlineLevel="0" collapsed="false">
      <c r="A11839" s="0" t="s">
        <v>954</v>
      </c>
      <c r="B11839" s="0" t="s">
        <v>95</v>
      </c>
      <c r="F11839" s="6" t="n">
        <f aca="false">Thesis!F26</f>
        <v>43.1278534047371</v>
      </c>
      <c r="G11839" s="6" t="n">
        <f aca="false">Thesis!G26</f>
        <v>78.4713023799053</v>
      </c>
      <c r="H11839" s="6" t="n">
        <f aca="false">Thesis!H26</f>
        <v>120.169624261219</v>
      </c>
      <c r="I11839" s="6" t="n">
        <f aca="false">Thesis!I26</f>
        <v>156.086713969963</v>
      </c>
      <c r="J11839" s="6" t="n">
        <f aca="false">Thesis!J26</f>
        <v>192.09687492465</v>
      </c>
      <c r="K11839" s="6" t="n">
        <f aca="false">Thesis!K26</f>
        <v>228.161785217179</v>
      </c>
    </row>
    <row r="11840" customFormat="false" ht="17.15" hidden="false" customHeight="false" outlineLevel="0" collapsed="false">
      <c r="A11840" s="0" t="s">
        <v>955</v>
      </c>
      <c r="B11840" s="0" t="s">
        <v>95</v>
      </c>
      <c r="F11840" s="6" t="n">
        <f aca="false">PL!F32+Thesis!F37+Sens!F11833*(Seg!F21-Thesis!F20)</f>
        <v>216.001008704281</v>
      </c>
      <c r="G11840" s="6" t="n">
        <f aca="false">PL!G32+Thesis!G37+Sens!G11833*(Seg!G21-Thesis!G20)</f>
        <v>273.190669749878</v>
      </c>
      <c r="H11840" s="6" t="n">
        <f aca="false">PL!H32+Thesis!H37+Sens!H11833*(Seg!H21-Thesis!H20)</f>
        <v>336.986209145837</v>
      </c>
      <c r="I11840" s="6" t="n">
        <f aca="false">PL!I32+Thesis!I37+Sens!I11833*(Seg!I21-Thesis!I20)</f>
        <v>393.439203291672</v>
      </c>
      <c r="J11840" s="6" t="n">
        <f aca="false">PL!J32+Thesis!J37+Sens!J11833*(Seg!J21-Thesis!J20)</f>
        <v>447.606137303559</v>
      </c>
      <c r="K11840" s="6" t="n">
        <f aca="false">PL!K32+Thesis!K37+Sens!K11833*(Seg!K21-Thesis!K20)</f>
        <v>499.903344093081</v>
      </c>
    </row>
    <row r="11841" customFormat="false" ht="17.15" hidden="false" customHeight="false" outlineLevel="0" collapsed="false">
      <c r="A11841" s="0" t="s">
        <v>956</v>
      </c>
      <c r="B11841" s="0" t="s">
        <v>95</v>
      </c>
      <c r="F11841" s="6" t="n">
        <f aca="false">Sens!F11840-Sens!F11834-Sens!F11835-Sens!F11836-Sens!F11837-Sens!F11839</f>
        <v>48.9904543427497</v>
      </c>
      <c r="G11841" s="6" t="n">
        <f aca="false">Sens!G11840-Sens!G11834-Sens!G11835-Sens!G11836-Sens!G11837-Sens!G11839</f>
        <v>55.0468329371655</v>
      </c>
      <c r="H11841" s="6" t="n">
        <f aca="false">Sens!H11840-Sens!H11834-Sens!H11835-Sens!H11836-Sens!H11837-Sens!H11839</f>
        <v>61.1936478960528</v>
      </c>
      <c r="I11841" s="6" t="n">
        <f aca="false">Sens!I11840-Sens!I11834-Sens!I11835-Sens!I11836-Sens!I11837-Sens!I11839</f>
        <v>67.2221926817336</v>
      </c>
      <c r="J11841" s="6" t="n">
        <f aca="false">Sens!J11840-Sens!J11834-Sens!J11835-Sens!J11836-Sens!J11837-Sens!J11839</f>
        <v>72.5283010505383</v>
      </c>
      <c r="K11841" s="6" t="n">
        <f aca="false">Sens!K11840-Sens!K11834-Sens!K11835-Sens!K11836-Sens!K11837-Sens!K11839</f>
        <v>76.3691979338254</v>
      </c>
    </row>
    <row r="11842" customFormat="false" ht="17.15" hidden="false" customHeight="false" outlineLevel="0" collapsed="false">
      <c r="A11842" s="0" t="s">
        <v>957</v>
      </c>
      <c r="B11842" s="0" t="s">
        <v>95</v>
      </c>
      <c r="F11842" s="6" t="n">
        <f aca="false">PL!F34+Sens!F11833*Seg!F28</f>
        <v>23.7366325885412</v>
      </c>
      <c r="G11842" s="6" t="n">
        <f aca="false">PL!G34+Sens!G11833*Seg!G28</f>
        <v>24.2488001831921</v>
      </c>
      <c r="H11842" s="6" t="n">
        <f aca="false">PL!H34+Sens!H11833*Seg!H28</f>
        <v>25.0191565857232</v>
      </c>
      <c r="I11842" s="6" t="n">
        <f aca="false">PL!I34+Sens!I11833*Seg!I28</f>
        <v>26.0222596996374</v>
      </c>
      <c r="J11842" s="6" t="n">
        <f aca="false">PL!J34+Sens!J11833*Seg!J28</f>
        <v>27.2212114824986</v>
      </c>
      <c r="K11842" s="6" t="n">
        <f aca="false">PL!K34+Sens!K11833*Seg!K28</f>
        <v>28.5733379970501</v>
      </c>
    </row>
    <row r="11843" customFormat="false" ht="17.15" hidden="false" customHeight="false" outlineLevel="0" collapsed="false">
      <c r="A11843" s="0" t="s">
        <v>958</v>
      </c>
      <c r="B11843" s="0" t="s">
        <v>95</v>
      </c>
      <c r="F11843" s="6" t="n">
        <f aca="false">(Sens!F11842-Sens!F11838)*Seg!F24/(Seg!F24+Seg!F26)</f>
        <v>7.43932943061911</v>
      </c>
      <c r="G11843" s="6" t="n">
        <f aca="false">(Sens!G11842-Sens!G11838)*Seg!G24/(Seg!G24+Seg!G26)</f>
        <v>7.06776830757547</v>
      </c>
      <c r="H11843" s="6" t="n">
        <f aca="false">(Sens!H11842-Sens!H11838)*Seg!H24/(Seg!H24+Seg!H26)</f>
        <v>6.84915463876495</v>
      </c>
      <c r="I11843" s="6" t="n">
        <f aca="false">(Sens!I11842-Sens!I11838)*Seg!I24/(Seg!I24+Seg!I26)</f>
        <v>6.76716702045722</v>
      </c>
      <c r="J11843" s="6" t="n">
        <f aca="false">(Sens!J11842-Sens!J11838)*Seg!J24/(Seg!J24+Seg!J26)</f>
        <v>6.80907960368748</v>
      </c>
      <c r="K11843" s="6" t="n">
        <f aca="false">(Sens!K11842-Sens!K11838)*Seg!K24/(Seg!K24+Seg!K26)</f>
        <v>6.96699561313494</v>
      </c>
    </row>
    <row r="11844" customFormat="false" ht="17.15" hidden="false" customHeight="false" outlineLevel="0" collapsed="false">
      <c r="A11844" s="0" t="s">
        <v>959</v>
      </c>
      <c r="B11844" s="0" t="s">
        <v>95</v>
      </c>
      <c r="F11844" s="6" t="n">
        <f aca="false">Sens!F11842-Sens!F11838-Sens!F11843</f>
        <v>6.13137762408826</v>
      </c>
      <c r="G11844" s="6" t="n">
        <f aca="false">Sens!G11842-Sens!G11838-Sens!G11843</f>
        <v>6.05919576917506</v>
      </c>
      <c r="H11844" s="6" t="n">
        <f aca="false">Sens!H11842-Sens!H11838-Sens!H11843</f>
        <v>6.04596991532572</v>
      </c>
      <c r="I11844" s="6" t="n">
        <f aca="false">Sens!I11842-Sens!I11838-Sens!I11843</f>
        <v>6.08992795684943</v>
      </c>
      <c r="J11844" s="6" t="n">
        <f aca="false">Sens!J11842-Sens!J11838-Sens!J11843</f>
        <v>6.18641117631496</v>
      </c>
      <c r="K11844" s="6" t="n">
        <f aca="false">Sens!K11842-Sens!K11838-Sens!K11843</f>
        <v>6.32988627465802</v>
      </c>
    </row>
    <row r="11845" customFormat="false" ht="17.15" hidden="false" customHeight="false" outlineLevel="0" collapsed="false">
      <c r="A11845" s="1" t="s">
        <v>960</v>
      </c>
      <c r="B11845" s="0" t="s">
        <v>95</v>
      </c>
      <c r="C11845" s="6" t="n">
        <f aca="false">(w_ntm28*Sens!G11839+(1-w_ntm28)*Sens!H11839)*m_ai*1</f>
        <v>551.711134531404</v>
      </c>
    </row>
    <row r="11846" customFormat="false" ht="17.15" hidden="false" customHeight="false" outlineLevel="0" collapsed="false">
      <c r="A11846" s="1" t="s">
        <v>961</v>
      </c>
      <c r="B11846" s="0" t="s">
        <v>95</v>
      </c>
      <c r="C11846" s="6" t="n">
        <f aca="false">(w_ntm28*Sens!G11841+(1-w_ntm28)*Sens!H11841)*m_cloud*1</f>
        <v>788.2101899926</v>
      </c>
    </row>
    <row r="11847" customFormat="false" ht="17.15" hidden="false" customHeight="false" outlineLevel="0" collapsed="false">
      <c r="A11847" s="1" t="s">
        <v>962</v>
      </c>
      <c r="B11847" s="0" t="s">
        <v>95</v>
      </c>
      <c r="C11847" s="6" t="n">
        <f aca="false">(w_ntm28*Sens!G11834+(1-w_ntm28)*Sens!H11834)*m_sw*1</f>
        <v>1064.99115242739</v>
      </c>
    </row>
    <row r="11848" customFormat="false" ht="17.15" hidden="false" customHeight="false" outlineLevel="0" collapsed="false">
      <c r="A11848" s="1" t="s">
        <v>963</v>
      </c>
      <c r="B11848" s="0" t="s">
        <v>95</v>
      </c>
      <c r="C11848" s="6" t="n">
        <f aca="false">(w_ntm28*Sens!G11835+(1-w_ntm28)*Sens!H11835)*m_sw*1</f>
        <v>362.508158970174</v>
      </c>
    </row>
    <row r="11849" customFormat="false" ht="17.15" hidden="false" customHeight="false" outlineLevel="0" collapsed="false">
      <c r="A11849" s="1" t="s">
        <v>964</v>
      </c>
      <c r="B11849" s="0" t="s">
        <v>95</v>
      </c>
      <c r="C11849" s="6" t="n">
        <f aca="false">(w_ntm28*Sens!G11836+(1-w_ntm28)*Sens!H11836)*m_sw*1</f>
        <v>98.9165124641147</v>
      </c>
    </row>
    <row r="11850" customFormat="false" ht="17.15" hidden="false" customHeight="false" outlineLevel="0" collapsed="false">
      <c r="A11850" s="1" t="s">
        <v>965</v>
      </c>
      <c r="B11850" s="0" t="s">
        <v>95</v>
      </c>
      <c r="C11850" s="6" t="n">
        <f aca="false">(w_ntm28*Sens!G11837+(1-w_ntm28)*Sens!H11837)*m_sw*1</f>
        <v>37.7384877854002</v>
      </c>
    </row>
    <row r="11851" customFormat="false" ht="17.15" hidden="false" customHeight="false" outlineLevel="0" collapsed="false">
      <c r="A11851" s="1" t="s">
        <v>966</v>
      </c>
      <c r="B11851" s="0" t="s">
        <v>95</v>
      </c>
      <c r="C11851" s="6" t="n">
        <f aca="false">(w_ntm28*Sens!G11838+(1-w_ntm28)*Sens!H11838)*m_ads*1</f>
        <v>104.271544945195</v>
      </c>
    </row>
    <row r="11852" customFormat="false" ht="17.15" hidden="false" customHeight="false" outlineLevel="0" collapsed="false">
      <c r="A11852" s="1" t="s">
        <v>967</v>
      </c>
      <c r="B11852" s="0" t="s">
        <v>95</v>
      </c>
      <c r="C11852" s="6" t="n">
        <f aca="false">(w_ntm28*Sens!G11843+(1-w_ntm28)*Sens!H11843)*m_game*1</f>
        <v>88.3732871625547</v>
      </c>
    </row>
    <row r="11853" customFormat="false" ht="17.15" hidden="false" customHeight="false" outlineLevel="0" collapsed="false">
      <c r="A11853" s="1" t="s">
        <v>968</v>
      </c>
      <c r="B11853" s="0" t="s">
        <v>95</v>
      </c>
      <c r="C11853" s="6" t="n">
        <f aca="false">(w_ntm28*Sens!G11844+(1-w_ntm28)*Sens!H11844)*m_pc*1</f>
        <v>87.614692598008</v>
      </c>
    </row>
    <row r="11854" customFormat="false" ht="17.15" hidden="false" customHeight="false" outlineLevel="0" collapsed="false">
      <c r="A11854" s="1" t="s">
        <v>969</v>
      </c>
      <c r="B11854" s="0" t="s">
        <v>95</v>
      </c>
      <c r="C11854" s="6" t="n">
        <f aca="false">Sens!$C$11845+Sens!$C$11846+Sens!$C$11847+Sens!$C$11848+Sens!$C$11849+Sens!$C$11850+Sens!$C$11851+Sens!$C$11852+Sens!$C$11853</f>
        <v>3184.33516087684</v>
      </c>
    </row>
    <row r="11855" customFormat="false" ht="17.15" hidden="false" customHeight="false" outlineLevel="0" collapsed="false">
      <c r="A11855" s="1" t="s">
        <v>903</v>
      </c>
      <c r="B11855" s="0" t="s">
        <v>95</v>
      </c>
      <c r="C11855" s="6" t="n">
        <f aca="false">CF!F36+(oai_stake_hi*oai_val)-CF!F25</f>
        <v>174.719583119545</v>
      </c>
      <c r="L11855" s="1" t="s">
        <v>970</v>
      </c>
    </row>
    <row r="11856" customFormat="false" ht="15" hidden="false" customHeight="false" outlineLevel="0" collapsed="false">
      <c r="A11856" s="1" t="s">
        <v>904</v>
      </c>
      <c r="B11856" s="0" t="s">
        <v>73</v>
      </c>
      <c r="C11856" s="5" t="n">
        <f aca="false">(Sens!$C$11854+Sens!$C$11855)/CF!F38</f>
        <v>449.552294432064</v>
      </c>
    </row>
    <row r="11857" customFormat="false" ht="17.15" hidden="false" customHeight="false" outlineLevel="0" collapsed="false">
      <c r="A11857" s="1" t="s">
        <v>971</v>
      </c>
      <c r="B11857" s="0" t="s">
        <v>73</v>
      </c>
      <c r="C11857" s="5" t="n">
        <f aca="false">w_dcf*Sens!$C$11832+(1-w_dcf)*Sens!$C$11856</f>
        <v>372.544549450442</v>
      </c>
    </row>
    <row r="11858" customFormat="false" ht="17.15" hidden="false" customHeight="false" outlineLevel="0" collapsed="false">
      <c r="A11858" s="3" t="s">
        <v>1450</v>
      </c>
    </row>
    <row r="11859" customFormat="false" ht="15" hidden="false" customHeight="false" outlineLevel="0" collapsed="false">
      <c r="A11859" s="4" t="s">
        <v>43</v>
      </c>
      <c r="B11859" s="4" t="s">
        <v>63</v>
      </c>
      <c r="C11859" s="19" t="s">
        <v>710</v>
      </c>
      <c r="D11859" s="19" t="s">
        <v>711</v>
      </c>
      <c r="E11859" s="19" t="s">
        <v>712</v>
      </c>
      <c r="F11859" s="19" t="s">
        <v>713</v>
      </c>
      <c r="G11859" s="19" t="s">
        <v>714</v>
      </c>
      <c r="H11859" s="19" t="s">
        <v>715</v>
      </c>
      <c r="I11859" s="19" t="s">
        <v>716</v>
      </c>
      <c r="J11859" s="19" t="s">
        <v>717</v>
      </c>
      <c r="K11859" s="19" t="s">
        <v>718</v>
      </c>
      <c r="L11859" s="4" t="s">
        <v>47</v>
      </c>
    </row>
    <row r="11860" customFormat="false" ht="17.15" hidden="false" customHeight="false" outlineLevel="0" collapsed="false">
      <c r="A11860" s="1" t="s">
        <v>938</v>
      </c>
      <c r="B11860" s="1" t="s">
        <v>213</v>
      </c>
      <c r="F11860" s="34" t="n">
        <f aca="false">1-0.5</f>
        <v>0.5</v>
      </c>
      <c r="G11860" s="34" t="n">
        <f aca="false">2-0.5</f>
        <v>1.5</v>
      </c>
      <c r="H11860" s="34" t="n">
        <f aca="false">3-0.5</f>
        <v>2.5</v>
      </c>
      <c r="I11860" s="34" t="n">
        <f aca="false">4-0.5</f>
        <v>3.5</v>
      </c>
      <c r="J11860" s="34" t="n">
        <f aca="false">5-0.5</f>
        <v>4.5</v>
      </c>
      <c r="K11860" s="34" t="n">
        <f aca="false">6-0.5</f>
        <v>5.5</v>
      </c>
    </row>
    <row r="11861" customFormat="false" ht="15" hidden="false" customHeight="false" outlineLevel="0" collapsed="false">
      <c r="A11861" s="1" t="s">
        <v>939</v>
      </c>
      <c r="B11861" s="0" t="s">
        <v>182</v>
      </c>
      <c r="F11861" s="18" t="n">
        <f aca="false">1/(1+wacc)^Sens!F11860</f>
        <v>0.949601579913219</v>
      </c>
      <c r="G11861" s="18" t="n">
        <f aca="false">1/(1+wacc)^Sens!G11860</f>
        <v>0.856296729956707</v>
      </c>
      <c r="H11861" s="18" t="n">
        <f aca="false">1/(1+wacc)^Sens!H11860</f>
        <v>0.772159719660069</v>
      </c>
      <c r="I11861" s="18" t="n">
        <f aca="false">1/(1+wacc)^Sens!I11860</f>
        <v>0.696289746073958</v>
      </c>
      <c r="J11861" s="18" t="n">
        <f aca="false">1/(1+wacc)^Sens!J11860</f>
        <v>0.627874516299776</v>
      </c>
      <c r="K11861" s="18" t="n">
        <f aca="false">1/(1+wacc)^Sens!K11860</f>
        <v>0.566181550771831</v>
      </c>
    </row>
    <row r="11862" customFormat="false" ht="15" hidden="false" customHeight="false" outlineLevel="0" collapsed="false">
      <c r="A11862" s="1" t="s">
        <v>940</v>
      </c>
      <c r="B11862" s="0" t="s">
        <v>95</v>
      </c>
      <c r="F11862" s="6" t="n">
        <f aca="false">CF!F55*Sens!F11861</f>
        <v>1.14965940819235</v>
      </c>
      <c r="G11862" s="6" t="n">
        <f aca="false">CF!G55*Sens!G11861</f>
        <v>27.1570491091597</v>
      </c>
      <c r="H11862" s="6" t="n">
        <f aca="false">CF!H55*Sens!H11861</f>
        <v>54.4781094985992</v>
      </c>
      <c r="I11862" s="6" t="n">
        <f aca="false">CF!I55*Sens!I11861</f>
        <v>57.7826568404409</v>
      </c>
      <c r="J11862" s="6" t="n">
        <f aca="false">CF!J55*Sens!J11861</f>
        <v>68.7164221032162</v>
      </c>
      <c r="K11862" s="6" t="n">
        <f aca="false">CF!K55*Sens!K11861</f>
        <v>59.7900961252081</v>
      </c>
    </row>
    <row r="11863" customFormat="false" ht="17.15" hidden="false" customHeight="false" outlineLevel="0" collapsed="false">
      <c r="A11863" s="1" t="s">
        <v>941</v>
      </c>
      <c r="B11863" s="0" t="s">
        <v>95</v>
      </c>
      <c r="C11863" s="6" t="n">
        <f aca="false">SUM(Sens!F11862:K11862)</f>
        <v>269.073993084816</v>
      </c>
    </row>
    <row r="11864" customFormat="false" ht="17.15" hidden="false" customHeight="false" outlineLevel="0" collapsed="false">
      <c r="A11864" s="1" t="s">
        <v>942</v>
      </c>
      <c r="B11864" s="0" t="s">
        <v>95</v>
      </c>
      <c r="C11864" s="6" t="n">
        <f aca="false">PL!K70*(1+g_tv)*(1-tax_f)</f>
        <v>216.892770548847</v>
      </c>
    </row>
    <row r="11865" customFormat="false" ht="17.15" hidden="false" customHeight="false" outlineLevel="0" collapsed="false">
      <c r="A11865" s="1" t="s">
        <v>943</v>
      </c>
      <c r="B11865" s="0" t="s">
        <v>95</v>
      </c>
      <c r="C11865" s="6" t="n">
        <f aca="false">Sens!$C$11864*(1-g_tv/(wacc+ronic_prem))</f>
        <v>157.177363388729</v>
      </c>
    </row>
    <row r="11866" customFormat="false" ht="17.15" hidden="false" customHeight="false" outlineLevel="0" collapsed="false">
      <c r="A11866" s="1" t="s">
        <v>944</v>
      </c>
      <c r="B11866" s="0" t="s">
        <v>95</v>
      </c>
      <c r="C11866" s="6" t="n">
        <f aca="false">Sens!$C$11865/(wacc-g_tv)</f>
        <v>1990.51357200394</v>
      </c>
    </row>
    <row r="11867" customFormat="false" ht="15" hidden="false" customHeight="false" outlineLevel="0" collapsed="false">
      <c r="A11867" s="1" t="s">
        <v>945</v>
      </c>
      <c r="B11867" s="0" t="s">
        <v>95</v>
      </c>
      <c r="C11867" s="6" t="n">
        <f aca="false">Sens!$C$11866/(1+wacc)^6</f>
        <v>1070.19344170333</v>
      </c>
    </row>
    <row r="11868" customFormat="false" ht="17.15" hidden="false" customHeight="false" outlineLevel="0" collapsed="false">
      <c r="A11868" s="0" t="s">
        <v>877</v>
      </c>
      <c r="B11868" s="0" t="s">
        <v>95</v>
      </c>
      <c r="C11868" s="6" t="n">
        <f aca="false">Sens!$C$11863+Sens!$C$11867</f>
        <v>1339.26743478815</v>
      </c>
    </row>
    <row r="11869" customFormat="false" ht="15" hidden="false" customHeight="false" outlineLevel="0" collapsed="false">
      <c r="A11869" s="1" t="s">
        <v>878</v>
      </c>
      <c r="B11869" s="0" t="s">
        <v>126</v>
      </c>
      <c r="C11869" s="7" t="n">
        <f aca="false">Sens!$C$11867/Sens!$C$11868</f>
        <v>0.799088676319991</v>
      </c>
    </row>
    <row r="11870" customFormat="false" ht="17.15" hidden="false" customHeight="false" outlineLevel="0" collapsed="false">
      <c r="A11870" s="1" t="s">
        <v>946</v>
      </c>
      <c r="B11870" s="0" t="s">
        <v>95</v>
      </c>
      <c r="C11870" s="6" t="n">
        <f aca="false">Sens!$C$11868+CF!E64+(oai_stake_hi*oai_val)</f>
        <v>1600.01443478815</v>
      </c>
    </row>
    <row r="11871" customFormat="false" ht="17.15" hidden="false" customHeight="false" outlineLevel="0" collapsed="false">
      <c r="A11871" s="0" t="s">
        <v>883</v>
      </c>
      <c r="B11871" s="0" t="s">
        <v>73</v>
      </c>
      <c r="C11871" s="5" t="n">
        <f aca="false">Sens!$C$11870/sh_dil26</f>
        <v>214.680589666999</v>
      </c>
    </row>
    <row r="11872" customFormat="false" ht="17.15" hidden="false" customHeight="false" outlineLevel="0" collapsed="false">
      <c r="A11872" s="0" t="s">
        <v>947</v>
      </c>
      <c r="B11872" s="0" t="s">
        <v>73</v>
      </c>
      <c r="C11872" s="5" t="n">
        <f aca="false">Sens!$C$11871*(1+wacc)^t_roll</f>
        <v>246.237470795921</v>
      </c>
    </row>
    <row r="11873" customFormat="false" ht="17.15" hidden="false" customHeight="false" outlineLevel="0" collapsed="false">
      <c r="A11873" s="1" t="s">
        <v>948</v>
      </c>
      <c r="B11873" s="0" t="s">
        <v>126</v>
      </c>
      <c r="F11873" s="7" t="n">
        <f aca="false">CF!F45/(Seg!F56-Thesis!F64)</f>
        <v>0.0684307874075333</v>
      </c>
      <c r="G11873" s="7" t="n">
        <f aca="false">CF!G45/(Seg!G56-Thesis!G64)</f>
        <v>0.0656456058503526</v>
      </c>
      <c r="H11873" s="7" t="n">
        <f aca="false">CF!H45/(Seg!H56-Thesis!H64)</f>
        <v>0.0641950889132003</v>
      </c>
      <c r="I11873" s="7" t="n">
        <f aca="false">CF!I45/(Seg!I56-Thesis!I64)</f>
        <v>0.063960269667854</v>
      </c>
      <c r="J11873" s="7" t="n">
        <f aca="false">CF!J45/(Seg!J56-Thesis!J64)</f>
        <v>0.0646607917002597</v>
      </c>
      <c r="K11873" s="7" t="n">
        <f aca="false">CF!K45/(Seg!K56-Thesis!K64)</f>
        <v>0.0659511546529383</v>
      </c>
    </row>
    <row r="11874" customFormat="false" ht="17.15" hidden="false" customHeight="false" outlineLevel="0" collapsed="false">
      <c r="A11874" s="0" t="s">
        <v>949</v>
      </c>
      <c r="B11874" s="0" t="s">
        <v>95</v>
      </c>
      <c r="F11874" s="6" t="n">
        <f aca="false">Seg!F41*(al_m365+Sens!F11873)</f>
        <v>79.4713323717639</v>
      </c>
      <c r="G11874" s="6" t="n">
        <f aca="false">Seg!G41*(al_m365+Sens!G11873)</f>
        <v>91.222848535282</v>
      </c>
      <c r="H11874" s="6" t="n">
        <f aca="false">Seg!H41*(al_m365+Sens!H11873)</f>
        <v>103.134459525438</v>
      </c>
      <c r="I11874" s="6" t="n">
        <f aca="false">Seg!I41*(al_m365+Sens!I11873)</f>
        <v>114.09096761677</v>
      </c>
      <c r="J11874" s="6" t="n">
        <f aca="false">Seg!J41*(al_m365+Sens!J11873)</f>
        <v>123.914507832207</v>
      </c>
      <c r="K11874" s="6" t="n">
        <f aca="false">Seg!K41*(al_m365+Sens!K11873)</f>
        <v>133.375360010951</v>
      </c>
    </row>
    <row r="11875" customFormat="false" ht="17.15" hidden="false" customHeight="false" outlineLevel="0" collapsed="false">
      <c r="A11875" s="0" t="s">
        <v>950</v>
      </c>
      <c r="B11875" s="0" t="s">
        <v>95</v>
      </c>
      <c r="F11875" s="6" t="n">
        <f aca="false">Seg!F42*(al_lic+Sens!F11873)</f>
        <v>31.9777960098625</v>
      </c>
      <c r="G11875" s="6" t="n">
        <f aca="false">Seg!G42*(al_lic+Sens!G11873)</f>
        <v>33.2184421146294</v>
      </c>
      <c r="H11875" s="6" t="n">
        <f aca="false">Seg!H42*(al_lic+Sens!H11873)</f>
        <v>34.3782467188855</v>
      </c>
      <c r="I11875" s="6" t="n">
        <f aca="false">Seg!I42*(al_lic+Sens!I11873)</f>
        <v>35.4396663788333</v>
      </c>
      <c r="J11875" s="6" t="n">
        <f aca="false">Seg!J42*(al_lic+Sens!J11873)</f>
        <v>36.377709205557</v>
      </c>
      <c r="K11875" s="6" t="n">
        <f aca="false">Seg!K42*(al_lic+Sens!K11873)</f>
        <v>37.1640354058437</v>
      </c>
    </row>
    <row r="11876" customFormat="false" ht="17.15" hidden="false" customHeight="false" outlineLevel="0" collapsed="false">
      <c r="A11876" s="0" t="s">
        <v>951</v>
      </c>
      <c r="B11876" s="0" t="s">
        <v>95</v>
      </c>
      <c r="F11876" s="6" t="n">
        <f aca="false">Seg!F44*(al_ind+Sens!F11873)</f>
        <v>8.23708828923978</v>
      </c>
      <c r="G11876" s="6" t="n">
        <f aca="false">Seg!G44*(al_ind+Sens!G11873)</f>
        <v>8.93609064049065</v>
      </c>
      <c r="H11876" s="6" t="n">
        <f aca="false">Seg!H44*(al_ind+Sens!H11873)</f>
        <v>9.67804935051386</v>
      </c>
      <c r="I11876" s="6" t="n">
        <f aca="false">Seg!I44*(al_ind+Sens!I11873)</f>
        <v>10.4606610595832</v>
      </c>
      <c r="J11876" s="6" t="n">
        <f aca="false">Seg!J44*(al_ind+Sens!J11873)</f>
        <v>11.275039839171</v>
      </c>
      <c r="K11876" s="6" t="n">
        <f aca="false">Seg!K44*(al_ind+Sens!K11873)</f>
        <v>12.106982482736</v>
      </c>
    </row>
    <row r="11877" customFormat="false" ht="17.15" hidden="false" customHeight="false" outlineLevel="0" collapsed="false">
      <c r="A11877" s="0" t="s">
        <v>952</v>
      </c>
      <c r="B11877" s="0" t="s">
        <v>95</v>
      </c>
      <c r="F11877" s="6" t="n">
        <f aca="false">Seg!F46*(al_fro+Sens!F11873)</f>
        <v>3.24214686942203</v>
      </c>
      <c r="G11877" s="6" t="n">
        <f aca="false">Seg!G46*(al_fro+Sens!G11873)</f>
        <v>3.43093048931594</v>
      </c>
      <c r="H11877" s="6" t="n">
        <f aca="false">Seg!H46*(al_fro+Sens!H11873)</f>
        <v>3.6470202512287</v>
      </c>
      <c r="I11877" s="6" t="n">
        <f aca="false">Seg!I46*(al_fro+Sens!I11873)</f>
        <v>3.89303230264912</v>
      </c>
      <c r="J11877" s="6" t="n">
        <f aca="false">Seg!J46*(al_fro+Sens!J11873)</f>
        <v>4.16994303150246</v>
      </c>
      <c r="K11877" s="6" t="n">
        <f aca="false">Seg!K46*(al_fro+Sens!K11873)</f>
        <v>4.47762739258926</v>
      </c>
    </row>
    <row r="11878" customFormat="false" ht="17.15" hidden="false" customHeight="false" outlineLevel="0" collapsed="false">
      <c r="A11878" s="0" t="s">
        <v>953</v>
      </c>
      <c r="B11878" s="0" t="s">
        <v>95</v>
      </c>
      <c r="F11878" s="6" t="n">
        <f aca="false">Seg!F49*(al_srch+Sens!F11873)</f>
        <v>10.1729230470907</v>
      </c>
      <c r="G11878" s="6" t="n">
        <f aca="false">Seg!G49*(al_srch+Sens!G11873)</f>
        <v>11.1403318971852</v>
      </c>
      <c r="H11878" s="6" t="n">
        <f aca="false">Seg!H49*(al_srch+Sens!H11873)</f>
        <v>12.1511421371799</v>
      </c>
      <c r="I11878" s="6" t="n">
        <f aca="false">Seg!I49*(al_srch+Sens!I11873)</f>
        <v>13.1963628712968</v>
      </c>
      <c r="J11878" s="6" t="n">
        <f aca="false">Seg!J49*(al_srch+Sens!J11873)</f>
        <v>14.2578127803031</v>
      </c>
      <c r="K11878" s="6" t="n">
        <f aca="false">Seg!K49*(al_srch+Sens!K11873)</f>
        <v>15.3098429837522</v>
      </c>
    </row>
    <row r="11879" customFormat="false" ht="17.15" hidden="false" customHeight="false" outlineLevel="0" collapsed="false">
      <c r="A11879" s="0" t="s">
        <v>954</v>
      </c>
      <c r="B11879" s="0" t="s">
        <v>95</v>
      </c>
      <c r="F11879" s="6" t="n">
        <f aca="false">Thesis!F70</f>
        <v>39.4594407491938</v>
      </c>
      <c r="G11879" s="6" t="n">
        <f aca="false">Thesis!G70</f>
        <v>66.5527545578061</v>
      </c>
      <c r="H11879" s="6" t="n">
        <f aca="false">Thesis!H70</f>
        <v>95.219644983859</v>
      </c>
      <c r="I11879" s="6" t="n">
        <f aca="false">Thesis!I70</f>
        <v>124.031840462493</v>
      </c>
      <c r="J11879" s="6" t="n">
        <f aca="false">Thesis!J70</f>
        <v>152.919994097909</v>
      </c>
      <c r="K11879" s="6" t="n">
        <f aca="false">Thesis!K70</f>
        <v>181.852830263848</v>
      </c>
    </row>
    <row r="11880" customFormat="false" ht="17.15" hidden="false" customHeight="false" outlineLevel="0" collapsed="false">
      <c r="A11880" s="0" t="s">
        <v>955</v>
      </c>
      <c r="B11880" s="0" t="s">
        <v>95</v>
      </c>
      <c r="F11880" s="6" t="n">
        <f aca="false">PL!F67+Thesis!F81+Sens!F11873*(Seg!F48-Thesis!F64)</f>
        <v>211.444651350023</v>
      </c>
      <c r="G11880" s="6" t="n">
        <f aca="false">PL!G67+Thesis!G81+Sens!G11873*(Seg!G48-Thesis!G64)</f>
        <v>258.603564397354</v>
      </c>
      <c r="H11880" s="6" t="n">
        <f aca="false">PL!H67+Thesis!H81+Sens!H11873*(Seg!H48-Thesis!H64)</f>
        <v>307.569865351584</v>
      </c>
      <c r="I11880" s="6" t="n">
        <f aca="false">PL!I67+Thesis!I81+Sens!I11873*(Seg!I48-Thesis!I64)</f>
        <v>355.542793549845</v>
      </c>
      <c r="J11880" s="6" t="n">
        <f aca="false">PL!J67+Thesis!J81+Sens!J11873*(Seg!J48-Thesis!J64)</f>
        <v>401.64028415844</v>
      </c>
      <c r="K11880" s="6" t="n">
        <f aca="false">PL!K67+Thesis!K81+Sens!K11873*(Seg!K48-Thesis!K64)</f>
        <v>445.850798387254</v>
      </c>
    </row>
    <row r="11881" customFormat="false" ht="17.15" hidden="false" customHeight="false" outlineLevel="0" collapsed="false">
      <c r="A11881" s="0" t="s">
        <v>956</v>
      </c>
      <c r="B11881" s="0" t="s">
        <v>95</v>
      </c>
      <c r="F11881" s="6" t="n">
        <f aca="false">Sens!F11880-Sens!F11874-Sens!F11875-Sens!F11876-Sens!F11877-Sens!F11879</f>
        <v>49.0568470605414</v>
      </c>
      <c r="G11881" s="6" t="n">
        <f aca="false">Sens!G11880-Sens!G11874-Sens!G11875-Sens!G11876-Sens!G11877-Sens!G11879</f>
        <v>55.2424980598302</v>
      </c>
      <c r="H11881" s="6" t="n">
        <f aca="false">Sens!H11880-Sens!H11874-Sens!H11875-Sens!H11876-Sens!H11877-Sens!H11879</f>
        <v>61.5124445216581</v>
      </c>
      <c r="I11881" s="6" t="n">
        <f aca="false">Sens!I11880-Sens!I11874-Sens!I11875-Sens!I11876-Sens!I11877-Sens!I11879</f>
        <v>67.6266257295162</v>
      </c>
      <c r="J11881" s="6" t="n">
        <f aca="false">Sens!J11880-Sens!J11874-Sens!J11875-Sens!J11876-Sens!J11877-Sens!J11879</f>
        <v>72.9830901520934</v>
      </c>
      <c r="K11881" s="6" t="n">
        <f aca="false">Sens!K11880-Sens!K11874-Sens!K11875-Sens!K11876-Sens!K11877-Sens!K11879</f>
        <v>76.8739628312856</v>
      </c>
    </row>
    <row r="11882" customFormat="false" ht="17.15" hidden="false" customHeight="false" outlineLevel="0" collapsed="false">
      <c r="A11882" s="0" t="s">
        <v>957</v>
      </c>
      <c r="B11882" s="0" t="s">
        <v>95</v>
      </c>
      <c r="F11882" s="6" t="n">
        <f aca="false">PL!F69+Sens!F11873*Seg!F55</f>
        <v>23.7531412609386</v>
      </c>
      <c r="G11882" s="6" t="n">
        <f aca="false">PL!G69+Sens!G11873*Seg!G55</f>
        <v>24.289549634664</v>
      </c>
      <c r="H11882" s="6" t="n">
        <f aca="false">PL!H69+Sens!H11873*Seg!H55</f>
        <v>25.0756909710291</v>
      </c>
      <c r="I11882" s="6" t="n">
        <f aca="false">PL!I69+Sens!I11873*Seg!I55</f>
        <v>26.084576762931</v>
      </c>
      <c r="J11882" s="6" t="n">
        <f aca="false">PL!J69+Sens!J11873*Seg!J55</f>
        <v>27.2832671034962</v>
      </c>
      <c r="K11882" s="6" t="n">
        <f aca="false">PL!K69+Sens!K11873*Seg!K55</f>
        <v>28.6364406758481</v>
      </c>
    </row>
    <row r="11883" customFormat="false" ht="17.15" hidden="false" customHeight="false" outlineLevel="0" collapsed="false">
      <c r="A11883" s="0" t="s">
        <v>958</v>
      </c>
      <c r="B11883" s="0" t="s">
        <v>95</v>
      </c>
      <c r="F11883" s="6" t="n">
        <f aca="false">(Sens!F11882-Sens!F11878)*Seg!F51/(Seg!F51+Seg!F53)</f>
        <v>7.4445433554226</v>
      </c>
      <c r="G11883" s="6" t="n">
        <f aca="false">(Sens!G11882-Sens!G11878)*Seg!G51/(Seg!G51+Seg!G53)</f>
        <v>7.07975003595558</v>
      </c>
      <c r="H11883" s="6" t="n">
        <f aca="false">(Sens!H11882-Sens!H11878)*Seg!H51/(Seg!H51+Seg!H53)</f>
        <v>6.86478313784268</v>
      </c>
      <c r="I11883" s="6" t="n">
        <f aca="false">(Sens!I11882-Sens!I11878)*Seg!I51/(Seg!I51+Seg!I53)</f>
        <v>6.78354606184423</v>
      </c>
      <c r="J11883" s="6" t="n">
        <f aca="false">(Sens!J11882-Sens!J11878)*Seg!J51/(Seg!J51+Seg!J53)</f>
        <v>6.82477921474853</v>
      </c>
      <c r="K11883" s="6" t="n">
        <f aca="false">(Sens!K11882-Sens!K11878)*Seg!K51/(Seg!K51+Seg!K53)</f>
        <v>6.98256541964795</v>
      </c>
    </row>
    <row r="11884" customFormat="false" ht="17.15" hidden="false" customHeight="false" outlineLevel="0" collapsed="false">
      <c r="A11884" s="0" t="s">
        <v>959</v>
      </c>
      <c r="B11884" s="0" t="s">
        <v>95</v>
      </c>
      <c r="F11884" s="6" t="n">
        <f aca="false">Sens!F11882-Sens!F11878-Sens!F11883</f>
        <v>6.1356748584253</v>
      </c>
      <c r="G11884" s="6" t="n">
        <f aca="false">Sens!G11882-Sens!G11878-Sens!G11883</f>
        <v>6.06946770152326</v>
      </c>
      <c r="H11884" s="6" t="n">
        <f aca="false">Sens!H11882-Sens!H11878-Sens!H11883</f>
        <v>6.05976569600657</v>
      </c>
      <c r="I11884" s="6" t="n">
        <f aca="false">Sens!I11882-Sens!I11878-Sens!I11883</f>
        <v>6.10466782979</v>
      </c>
      <c r="J11884" s="6" t="n">
        <f aca="false">Sens!J11882-Sens!J11878-Sens!J11883</f>
        <v>6.20067510844453</v>
      </c>
      <c r="K11884" s="6" t="n">
        <f aca="false">Sens!K11882-Sens!K11878-Sens!K11883</f>
        <v>6.34403227244794</v>
      </c>
    </row>
    <row r="11885" customFormat="false" ht="17.15" hidden="false" customHeight="false" outlineLevel="0" collapsed="false">
      <c r="A11885" s="1" t="s">
        <v>960</v>
      </c>
      <c r="B11885" s="0" t="s">
        <v>95</v>
      </c>
      <c r="C11885" s="6" t="n">
        <f aca="false">(w_ntm28*Sens!G11879+(1-w_ntm28)*Sens!H11879)*m_ai*1</f>
        <v>454.922440830797</v>
      </c>
    </row>
    <row r="11886" customFormat="false" ht="17.15" hidden="false" customHeight="false" outlineLevel="0" collapsed="false">
      <c r="A11886" s="1" t="s">
        <v>961</v>
      </c>
      <c r="B11886" s="0" t="s">
        <v>95</v>
      </c>
      <c r="C11886" s="6" t="n">
        <f aca="false">(w_ntm28*Sens!G11881+(1-w_ntm28)*Sens!H11881)*m_cloud*1</f>
        <v>791.46441330217</v>
      </c>
    </row>
    <row r="11887" customFormat="false" ht="17.15" hidden="false" customHeight="false" outlineLevel="0" collapsed="false">
      <c r="A11887" s="1" t="s">
        <v>962</v>
      </c>
      <c r="B11887" s="0" t="s">
        <v>95</v>
      </c>
      <c r="C11887" s="6" t="n">
        <f aca="false">(w_ntm28*Sens!G11874+(1-w_ntm28)*Sens!H11874)*m_sw*1</f>
        <v>1026.79623553955</v>
      </c>
    </row>
    <row r="11888" customFormat="false" ht="17.15" hidden="false" customHeight="false" outlineLevel="0" collapsed="false">
      <c r="A11888" s="1" t="s">
        <v>963</v>
      </c>
      <c r="B11888" s="0" t="s">
        <v>95</v>
      </c>
      <c r="C11888" s="6" t="n">
        <f aca="false">(w_ntm28*Sens!G11875+(1-w_ntm28)*Sens!H11875)*m_sw*1</f>
        <v>362.808640557625</v>
      </c>
    </row>
    <row r="11889" customFormat="false" ht="17.15" hidden="false" customHeight="false" outlineLevel="0" collapsed="false">
      <c r="A11889" s="1" t="s">
        <v>964</v>
      </c>
      <c r="B11889" s="0" t="s">
        <v>95</v>
      </c>
      <c r="C11889" s="6" t="n">
        <f aca="false">(w_ntm28*Sens!G11876+(1-w_ntm28)*Sens!H11876)*m_sw*1</f>
        <v>99.1003328352541</v>
      </c>
    </row>
    <row r="11890" customFormat="false" ht="17.15" hidden="false" customHeight="false" outlineLevel="0" collapsed="false">
      <c r="A11890" s="1" t="s">
        <v>965</v>
      </c>
      <c r="B11890" s="0" t="s">
        <v>95</v>
      </c>
      <c r="C11890" s="6" t="n">
        <f aca="false">(w_ntm28*Sens!G11877+(1-w_ntm28)*Sens!H11877)*m_sw*1</f>
        <v>37.8085281683974</v>
      </c>
    </row>
    <row r="11891" customFormat="false" ht="17.15" hidden="false" customHeight="false" outlineLevel="0" collapsed="false">
      <c r="A11891" s="1" t="s">
        <v>966</v>
      </c>
      <c r="B11891" s="0" t="s">
        <v>95</v>
      </c>
      <c r="C11891" s="6" t="n">
        <f aca="false">(w_ntm28*Sens!G11878+(1-w_ntm28)*Sens!H11878)*m_ads*1</f>
        <v>104.465412054013</v>
      </c>
    </row>
    <row r="11892" customFormat="false" ht="17.15" hidden="false" customHeight="false" outlineLevel="0" collapsed="false">
      <c r="A11892" s="1" t="s">
        <v>967</v>
      </c>
      <c r="B11892" s="0" t="s">
        <v>95</v>
      </c>
      <c r="C11892" s="6" t="n">
        <f aca="false">(w_ntm28*Sens!G11883+(1-w_ntm28)*Sens!H11883)*m_game*1</f>
        <v>88.5395066063557</v>
      </c>
    </row>
    <row r="11893" customFormat="false" ht="17.15" hidden="false" customHeight="false" outlineLevel="0" collapsed="false">
      <c r="A11893" s="1" t="s">
        <v>968</v>
      </c>
      <c r="B11893" s="0" t="s">
        <v>95</v>
      </c>
      <c r="C11893" s="6" t="n">
        <f aca="false">(w_ntm28*Sens!G11884+(1-w_ntm28)*Sens!H11884)*m_pc*1</f>
        <v>87.7798119250428</v>
      </c>
    </row>
    <row r="11894" customFormat="false" ht="17.15" hidden="false" customHeight="false" outlineLevel="0" collapsed="false">
      <c r="A11894" s="1" t="s">
        <v>969</v>
      </c>
      <c r="B11894" s="0" t="s">
        <v>95</v>
      </c>
      <c r="C11894" s="6" t="n">
        <f aca="false">Sens!$C$11885+Sens!$C$11886+Sens!$C$11887+Sens!$C$11888+Sens!$C$11889+Sens!$C$11890+Sens!$C$11891+Sens!$C$11892+Sens!$C$11893</f>
        <v>3053.68532181921</v>
      </c>
    </row>
    <row r="11895" customFormat="false" ht="17.15" hidden="false" customHeight="false" outlineLevel="0" collapsed="false">
      <c r="A11895" s="1" t="s">
        <v>903</v>
      </c>
      <c r="B11895" s="0" t="s">
        <v>95</v>
      </c>
      <c r="C11895" s="6" t="n">
        <f aca="false">CF!F64+(oai_stake_hi*oai_val)-CF!F53</f>
        <v>170.893995542787</v>
      </c>
      <c r="L11895" s="1" t="s">
        <v>970</v>
      </c>
    </row>
    <row r="11896" customFormat="false" ht="15" hidden="false" customHeight="false" outlineLevel="0" collapsed="false">
      <c r="A11896" s="1" t="s">
        <v>904</v>
      </c>
      <c r="B11896" s="0" t="s">
        <v>73</v>
      </c>
      <c r="C11896" s="5" t="n">
        <f aca="false">(Sens!$C$11894+Sens!$C$11895)/CF!F66</f>
        <v>431.555047826819</v>
      </c>
    </row>
    <row r="11897" customFormat="false" ht="17.15" hidden="false" customHeight="false" outlineLevel="0" collapsed="false">
      <c r="A11897" s="1" t="s">
        <v>971</v>
      </c>
      <c r="B11897" s="0" t="s">
        <v>73</v>
      </c>
      <c r="C11897" s="5" t="n">
        <f aca="false">w_dcf*Sens!$C$11872+(1-w_dcf)*Sens!$C$11896</f>
        <v>338.89625931137</v>
      </c>
    </row>
    <row r="11898" customFormat="false" ht="17.15" hidden="false" customHeight="false" outlineLevel="0" collapsed="false">
      <c r="A11898" s="3" t="s">
        <v>1451</v>
      </c>
    </row>
    <row r="11899" customFormat="false" ht="15" hidden="false" customHeight="false" outlineLevel="0" collapsed="false">
      <c r="A11899" s="4" t="s">
        <v>43</v>
      </c>
      <c r="B11899" s="4" t="s">
        <v>63</v>
      </c>
      <c r="C11899" s="19" t="s">
        <v>710</v>
      </c>
      <c r="D11899" s="19" t="s">
        <v>711</v>
      </c>
      <c r="E11899" s="19" t="s">
        <v>712</v>
      </c>
      <c r="F11899" s="19" t="s">
        <v>713</v>
      </c>
      <c r="G11899" s="19" t="s">
        <v>714</v>
      </c>
      <c r="H11899" s="19" t="s">
        <v>715</v>
      </c>
      <c r="I11899" s="19" t="s">
        <v>716</v>
      </c>
      <c r="J11899" s="19" t="s">
        <v>717</v>
      </c>
      <c r="K11899" s="19" t="s">
        <v>718</v>
      </c>
      <c r="L11899" s="4" t="s">
        <v>47</v>
      </c>
    </row>
    <row r="11900" customFormat="false" ht="17.15" hidden="false" customHeight="false" outlineLevel="0" collapsed="false">
      <c r="A11900" s="1" t="s">
        <v>938</v>
      </c>
      <c r="B11900" s="1" t="s">
        <v>213</v>
      </c>
      <c r="F11900" s="34" t="n">
        <f aca="false">1-0.5</f>
        <v>0.5</v>
      </c>
      <c r="G11900" s="34" t="n">
        <f aca="false">2-0.5</f>
        <v>1.5</v>
      </c>
      <c r="H11900" s="34" t="n">
        <f aca="false">3-0.5</f>
        <v>2.5</v>
      </c>
      <c r="I11900" s="34" t="n">
        <f aca="false">4-0.5</f>
        <v>3.5</v>
      </c>
      <c r="J11900" s="34" t="n">
        <f aca="false">5-0.5</f>
        <v>4.5</v>
      </c>
      <c r="K11900" s="34" t="n">
        <f aca="false">6-0.5</f>
        <v>5.5</v>
      </c>
    </row>
    <row r="11901" customFormat="false" ht="15" hidden="false" customHeight="false" outlineLevel="0" collapsed="false">
      <c r="A11901" s="1" t="s">
        <v>939</v>
      </c>
      <c r="B11901" s="0" t="s">
        <v>182</v>
      </c>
      <c r="F11901" s="18" t="n">
        <f aca="false">1/(1+wacc)^Sens!F11900</f>
        <v>0.949601579913219</v>
      </c>
      <c r="G11901" s="18" t="n">
        <f aca="false">1/(1+wacc)^Sens!G11900</f>
        <v>0.856296729956707</v>
      </c>
      <c r="H11901" s="18" t="n">
        <f aca="false">1/(1+wacc)^Sens!H11900</f>
        <v>0.772159719660069</v>
      </c>
      <c r="I11901" s="18" t="n">
        <f aca="false">1/(1+wacc)^Sens!I11900</f>
        <v>0.696289746073958</v>
      </c>
      <c r="J11901" s="18" t="n">
        <f aca="false">1/(1+wacc)^Sens!J11900</f>
        <v>0.627874516299776</v>
      </c>
      <c r="K11901" s="18" t="n">
        <f aca="false">1/(1+wacc)^Sens!K11900</f>
        <v>0.566181550771831</v>
      </c>
    </row>
    <row r="11902" customFormat="false" ht="15" hidden="false" customHeight="false" outlineLevel="0" collapsed="false">
      <c r="A11902" s="1" t="s">
        <v>940</v>
      </c>
      <c r="B11902" s="0" t="s">
        <v>95</v>
      </c>
      <c r="F11902" s="6" t="n">
        <f aca="false">CF!F83*Sens!F11901</f>
        <v>-3.06653414679568</v>
      </c>
      <c r="G11902" s="6" t="n">
        <f aca="false">CF!G83*Sens!G11901</f>
        <v>15.3370464106998</v>
      </c>
      <c r="H11902" s="6" t="n">
        <f aca="false">CF!H83*Sens!H11901</f>
        <v>32.741830912959</v>
      </c>
      <c r="I11902" s="6" t="n">
        <f aca="false">CF!I83*Sens!I11901</f>
        <v>32.5345194226033</v>
      </c>
      <c r="J11902" s="6" t="n">
        <f aca="false">CF!J83*Sens!J11901</f>
        <v>41.02711694846</v>
      </c>
      <c r="K11902" s="6" t="n">
        <f aca="false">CF!K83*Sens!K11901</f>
        <v>30.3740488668364</v>
      </c>
    </row>
    <row r="11903" customFormat="false" ht="17.15" hidden="false" customHeight="false" outlineLevel="0" collapsed="false">
      <c r="A11903" s="1" t="s">
        <v>941</v>
      </c>
      <c r="B11903" s="0" t="s">
        <v>95</v>
      </c>
      <c r="C11903" s="6" t="n">
        <f aca="false">SUM(Sens!F11902:K11902)</f>
        <v>148.948028414763</v>
      </c>
    </row>
    <row r="11904" customFormat="false" ht="17.15" hidden="false" customHeight="false" outlineLevel="0" collapsed="false">
      <c r="A11904" s="1" t="s">
        <v>942</v>
      </c>
      <c r="B11904" s="0" t="s">
        <v>95</v>
      </c>
      <c r="C11904" s="6" t="n">
        <f aca="false">PL!K105*(1+g_tv)*(1-tax_f)</f>
        <v>165.083397962666</v>
      </c>
    </row>
    <row r="11905" customFormat="false" ht="17.15" hidden="false" customHeight="false" outlineLevel="0" collapsed="false">
      <c r="A11905" s="1" t="s">
        <v>943</v>
      </c>
      <c r="B11905" s="0" t="s">
        <v>95</v>
      </c>
      <c r="C11905" s="6" t="n">
        <f aca="false">Sens!$C$11904*(1-g_tv/(wacc+ronic_prem))</f>
        <v>119.632264207628</v>
      </c>
    </row>
    <row r="11906" customFormat="false" ht="17.15" hidden="false" customHeight="false" outlineLevel="0" collapsed="false">
      <c r="A11906" s="1" t="s">
        <v>944</v>
      </c>
      <c r="B11906" s="0" t="s">
        <v>95</v>
      </c>
      <c r="C11906" s="6" t="n">
        <f aca="false">Sens!$C$11905/(wacc-g_tv)</f>
        <v>1515.0377918346</v>
      </c>
    </row>
    <row r="11907" customFormat="false" ht="15" hidden="false" customHeight="false" outlineLevel="0" collapsed="false">
      <c r="A11907" s="1" t="s">
        <v>945</v>
      </c>
      <c r="B11907" s="0" t="s">
        <v>95</v>
      </c>
      <c r="C11907" s="6" t="n">
        <f aca="false">Sens!$C$11906/(1+wacc)^6</f>
        <v>814.555364785464</v>
      </c>
    </row>
    <row r="11908" customFormat="false" ht="17.15" hidden="false" customHeight="false" outlineLevel="0" collapsed="false">
      <c r="A11908" s="0" t="s">
        <v>877</v>
      </c>
      <c r="B11908" s="0" t="s">
        <v>95</v>
      </c>
      <c r="C11908" s="6" t="n">
        <f aca="false">Sens!$C$11903+Sens!$C$11907</f>
        <v>963.503393200227</v>
      </c>
    </row>
    <row r="11909" customFormat="false" ht="15" hidden="false" customHeight="false" outlineLevel="0" collapsed="false">
      <c r="A11909" s="1" t="s">
        <v>878</v>
      </c>
      <c r="B11909" s="0" t="s">
        <v>126</v>
      </c>
      <c r="C11909" s="7" t="n">
        <f aca="false">Sens!$C$11907/Sens!$C$11908</f>
        <v>0.845409959668082</v>
      </c>
    </row>
    <row r="11910" customFormat="false" ht="17.15" hidden="false" customHeight="false" outlineLevel="0" collapsed="false">
      <c r="A11910" s="1" t="s">
        <v>946</v>
      </c>
      <c r="B11910" s="0" t="s">
        <v>95</v>
      </c>
      <c r="C11910" s="6" t="n">
        <f aca="false">Sens!$C$11908+CF!E92+(oai_stake_hi*oai_val)</f>
        <v>1224.25039320023</v>
      </c>
    </row>
    <row r="11911" customFormat="false" ht="17.15" hidden="false" customHeight="false" outlineLevel="0" collapsed="false">
      <c r="A11911" s="0" t="s">
        <v>883</v>
      </c>
      <c r="B11911" s="0" t="s">
        <v>73</v>
      </c>
      <c r="C11911" s="5" t="n">
        <f aca="false">Sens!$C$11910/sh_dil26</f>
        <v>164.262765758785</v>
      </c>
    </row>
    <row r="11912" customFormat="false" ht="17.15" hidden="false" customHeight="false" outlineLevel="0" collapsed="false">
      <c r="A11912" s="0" t="s">
        <v>947</v>
      </c>
      <c r="B11912" s="0" t="s">
        <v>73</v>
      </c>
      <c r="C11912" s="5" t="n">
        <f aca="false">Sens!$C$11911*(1+wacc)^t_roll</f>
        <v>188.408500503591</v>
      </c>
    </row>
    <row r="11913" customFormat="false" ht="17.15" hidden="false" customHeight="false" outlineLevel="0" collapsed="false">
      <c r="A11913" s="1" t="s">
        <v>948</v>
      </c>
      <c r="B11913" s="0" t="s">
        <v>126</v>
      </c>
      <c r="F11913" s="7" t="n">
        <f aca="false">CF!F73/(Seg!F83-Thesis!F108)</f>
        <v>0.0686864325746334</v>
      </c>
      <c r="G11913" s="7" t="n">
        <f aca="false">CF!G73/(Seg!G83-Thesis!G108)</f>
        <v>0.066267001590801</v>
      </c>
      <c r="H11913" s="7" t="n">
        <f aca="false">CF!H73/(Seg!H83-Thesis!H108)</f>
        <v>0.0650366246750144</v>
      </c>
      <c r="I11913" s="7" t="n">
        <f aca="false">CF!I73/(Seg!I83-Thesis!I108)</f>
        <v>0.0648573271390164</v>
      </c>
      <c r="J11913" s="7" t="n">
        <f aca="false">CF!J73/(Seg!J83-Thesis!J108)</f>
        <v>0.0655189837669657</v>
      </c>
      <c r="K11913" s="7" t="n">
        <f aca="false">CF!K73/(Seg!K83-Thesis!K108)</f>
        <v>0.0667878921367872</v>
      </c>
    </row>
    <row r="11914" customFormat="false" ht="17.15" hidden="false" customHeight="false" outlineLevel="0" collapsed="false">
      <c r="A11914" s="0" t="s">
        <v>949</v>
      </c>
      <c r="B11914" s="0" t="s">
        <v>95</v>
      </c>
      <c r="F11914" s="6" t="n">
        <f aca="false">Seg!F68*(al_m365+Sens!F11913)</f>
        <v>78.4986969872395</v>
      </c>
      <c r="G11914" s="6" t="n">
        <f aca="false">Seg!G68*(al_m365+Sens!G11913)</f>
        <v>88.3098056906507</v>
      </c>
      <c r="H11914" s="6" t="n">
        <f aca="false">Seg!H68*(al_m365+Sens!H11913)</f>
        <v>98.2773562913015</v>
      </c>
      <c r="I11914" s="6" t="n">
        <f aca="false">Seg!I68*(al_m365+Sens!I11913)</f>
        <v>107.762753675846</v>
      </c>
      <c r="J11914" s="6" t="n">
        <f aca="false">Seg!J68*(al_m365+Sens!J11913)</f>
        <v>116.587414331333</v>
      </c>
      <c r="K11914" s="6" t="n">
        <f aca="false">Seg!K68*(al_m365+Sens!K11913)</f>
        <v>125.041394489287</v>
      </c>
    </row>
    <row r="11915" customFormat="false" ht="17.15" hidden="false" customHeight="false" outlineLevel="0" collapsed="false">
      <c r="A11915" s="0" t="s">
        <v>950</v>
      </c>
      <c r="B11915" s="0" t="s">
        <v>95</v>
      </c>
      <c r="F11915" s="6" t="n">
        <f aca="false">Seg!F69*(al_lic+Sens!F11913)</f>
        <v>31.9877845991607</v>
      </c>
      <c r="G11915" s="6" t="n">
        <f aca="false">Seg!G69*(al_lic+Sens!G11913)</f>
        <v>33.243749427372</v>
      </c>
      <c r="H11915" s="6" t="n">
        <f aca="false">Seg!H69*(al_lic+Sens!H11913)</f>
        <v>34.4137793872059</v>
      </c>
      <c r="I11915" s="6" t="n">
        <f aca="false">Seg!I69*(al_lic+Sens!I11913)</f>
        <v>35.4787240806467</v>
      </c>
      <c r="J11915" s="6" t="n">
        <f aca="false">Seg!J69*(al_lic+Sens!J11913)</f>
        <v>36.4160307520991</v>
      </c>
      <c r="K11915" s="6" t="n">
        <f aca="false">Seg!K69*(al_lic+Sens!K11913)</f>
        <v>37.2021461938459</v>
      </c>
    </row>
    <row r="11916" customFormat="false" ht="17.15" hidden="false" customHeight="false" outlineLevel="0" collapsed="false">
      <c r="A11916" s="0" t="s">
        <v>951</v>
      </c>
      <c r="B11916" s="0" t="s">
        <v>95</v>
      </c>
      <c r="F11916" s="6" t="n">
        <f aca="false">Seg!F71*(al_ind+Sens!F11913)</f>
        <v>8.24280380456612</v>
      </c>
      <c r="G11916" s="6" t="n">
        <f aca="false">Seg!G71*(al_ind+Sens!G11913)</f>
        <v>8.9512770630031</v>
      </c>
      <c r="H11916" s="6" t="n">
        <f aca="false">Seg!H71*(al_ind+Sens!H11913)</f>
        <v>9.70041215792393</v>
      </c>
      <c r="I11916" s="6" t="n">
        <f aca="false">Seg!I71*(al_ind+Sens!I11913)</f>
        <v>10.4864435829487</v>
      </c>
      <c r="J11916" s="6" t="n">
        <f aca="false">Seg!J71*(al_ind+Sens!J11913)</f>
        <v>11.3015744981253</v>
      </c>
      <c r="K11916" s="6" t="n">
        <f aca="false">Seg!K71*(al_ind+Sens!K11913)</f>
        <v>12.1346647729291</v>
      </c>
    </row>
    <row r="11917" customFormat="false" ht="17.15" hidden="false" customHeight="false" outlineLevel="0" collapsed="false">
      <c r="A11917" s="0" t="s">
        <v>952</v>
      </c>
      <c r="B11917" s="0" t="s">
        <v>95</v>
      </c>
      <c r="F11917" s="6" t="n">
        <f aca="false">Seg!F73*(al_fro+Sens!F11913)</f>
        <v>3.24439651632051</v>
      </c>
      <c r="G11917" s="6" t="n">
        <f aca="false">Seg!G73*(al_fro+Sens!G11913)</f>
        <v>3.43676117771401</v>
      </c>
      <c r="H11917" s="6" t="n">
        <f aca="false">Seg!H73*(al_fro+Sens!H11913)</f>
        <v>3.65544732248501</v>
      </c>
      <c r="I11917" s="6" t="n">
        <f aca="false">Seg!I73*(al_fro+Sens!I11913)</f>
        <v>3.90262750850979</v>
      </c>
      <c r="J11917" s="6" t="n">
        <f aca="false">Seg!J73*(al_fro+Sens!J11913)</f>
        <v>4.17975656810881</v>
      </c>
      <c r="K11917" s="6" t="n">
        <f aca="false">Seg!K73*(al_fro+Sens!K11913)</f>
        <v>4.48786536733111</v>
      </c>
    </row>
    <row r="11918" customFormat="false" ht="17.15" hidden="false" customHeight="false" outlineLevel="0" collapsed="false">
      <c r="A11918" s="0" t="s">
        <v>953</v>
      </c>
      <c r="B11918" s="0" t="s">
        <v>95</v>
      </c>
      <c r="F11918" s="6" t="n">
        <f aca="false">Seg!F76*(al_srch+Sens!F11913)</f>
        <v>10.1799817910968</v>
      </c>
      <c r="G11918" s="6" t="n">
        <f aca="false">Seg!G76*(al_srch+Sens!G11913)</f>
        <v>11.1592643133754</v>
      </c>
      <c r="H11918" s="6" t="n">
        <f aca="false">Seg!H76*(al_srch+Sens!H11913)</f>
        <v>12.1792194533398</v>
      </c>
      <c r="I11918" s="6" t="n">
        <f aca="false">Seg!I76*(al_srch+Sens!I11913)</f>
        <v>13.2288881134521</v>
      </c>
      <c r="J11918" s="6" t="n">
        <f aca="false">Seg!J76*(al_srch+Sens!J11913)</f>
        <v>14.2913670918582</v>
      </c>
      <c r="K11918" s="6" t="n">
        <f aca="false">Seg!K76*(al_srch+Sens!K11913)</f>
        <v>15.3448485284362</v>
      </c>
    </row>
    <row r="11919" customFormat="false" ht="17.15" hidden="false" customHeight="false" outlineLevel="0" collapsed="false">
      <c r="A11919" s="0" t="s">
        <v>954</v>
      </c>
      <c r="B11919" s="0" t="s">
        <v>95</v>
      </c>
      <c r="F11919" s="6" t="n">
        <f aca="false">Thesis!F114</f>
        <v>35.0573455625419</v>
      </c>
      <c r="G11919" s="6" t="n">
        <f aca="false">Thesis!G114</f>
        <v>52.2504971712871</v>
      </c>
      <c r="H11919" s="6" t="n">
        <f aca="false">Thesis!H114</f>
        <v>65.2796698510271</v>
      </c>
      <c r="I11919" s="6" t="n">
        <f aca="false">Thesis!I114</f>
        <v>85.5659922535278</v>
      </c>
      <c r="J11919" s="6" t="n">
        <f aca="false">Thesis!J114</f>
        <v>105.90773710582</v>
      </c>
      <c r="K11919" s="6" t="n">
        <f aca="false">Thesis!K114</f>
        <v>126.282084319851</v>
      </c>
    </row>
    <row r="11920" customFormat="false" ht="17.15" hidden="false" customHeight="false" outlineLevel="0" collapsed="false">
      <c r="A11920" s="0" t="s">
        <v>955</v>
      </c>
      <c r="B11920" s="0" t="s">
        <v>95</v>
      </c>
      <c r="F11920" s="6" t="n">
        <f aca="false">PL!F102+Thesis!F125+Sens!F11913*(Seg!F75-Thesis!F108)</f>
        <v>206.154467007856</v>
      </c>
      <c r="G11920" s="6" t="n">
        <f aca="false">PL!G102+Thesis!G125+Sens!G11913*(Seg!G75-Thesis!G108)</f>
        <v>241.631787518433</v>
      </c>
      <c r="H11920" s="6" t="n">
        <f aca="false">PL!H102+Thesis!H125+Sens!H11913*(Seg!H75-Thesis!H108)</f>
        <v>273.161508717552</v>
      </c>
      <c r="I11920" s="6" t="n">
        <f aca="false">PL!I102+Thesis!I125+Sens!I11913*(Seg!I75-Thesis!I108)</f>
        <v>311.232758290592</v>
      </c>
      <c r="J11920" s="6" t="n">
        <f aca="false">PL!J102+Thesis!J125+Sens!J11913*(Seg!J75-Thesis!J108)</f>
        <v>347.836227364385</v>
      </c>
      <c r="K11920" s="6" t="n">
        <f aca="false">PL!K102+Thesis!K125+Sens!K11913*(Seg!K75-Thesis!K108)</f>
        <v>382.533402332059</v>
      </c>
    </row>
    <row r="11921" customFormat="false" ht="17.15" hidden="false" customHeight="false" outlineLevel="0" collapsed="false">
      <c r="A11921" s="0" t="s">
        <v>956</v>
      </c>
      <c r="B11921" s="0" t="s">
        <v>95</v>
      </c>
      <c r="F11921" s="6" t="n">
        <f aca="false">Sens!F11920-Sens!F11914-Sens!F11915-Sens!F11916-Sens!F11917-Sens!F11919</f>
        <v>49.123439538027</v>
      </c>
      <c r="G11921" s="6" t="n">
        <f aca="false">Sens!G11920-Sens!G11914-Sens!G11915-Sens!G11916-Sens!G11917-Sens!G11919</f>
        <v>55.4396969884061</v>
      </c>
      <c r="H11921" s="6" t="n">
        <f aca="false">Sens!H11920-Sens!H11914-Sens!H11915-Sens!H11916-Sens!H11917-Sens!H11919</f>
        <v>61.8348437076084</v>
      </c>
      <c r="I11921" s="6" t="n">
        <f aca="false">Sens!I11920-Sens!I11914-Sens!I11915-Sens!I11916-Sens!I11917-Sens!I11919</f>
        <v>68.0362171891129</v>
      </c>
      <c r="J11921" s="6" t="n">
        <f aca="false">Sens!J11920-Sens!J11914-Sens!J11915-Sens!J11916-Sens!J11917-Sens!J11919</f>
        <v>73.4437141088982</v>
      </c>
      <c r="K11921" s="6" t="n">
        <f aca="false">Sens!K11920-Sens!K11914-Sens!K11915-Sens!K11916-Sens!K11917-Sens!K11919</f>
        <v>77.3852471888144</v>
      </c>
    </row>
    <row r="11922" customFormat="false" ht="17.15" hidden="false" customHeight="false" outlineLevel="0" collapsed="false">
      <c r="A11922" s="0" t="s">
        <v>957</v>
      </c>
      <c r="B11922" s="0" t="s">
        <v>95</v>
      </c>
      <c r="F11922" s="6" t="n">
        <f aca="false">PL!F104+Sens!F11913*Seg!F82</f>
        <v>23.7697943901369</v>
      </c>
      <c r="G11922" s="6" t="n">
        <f aca="false">PL!G104+Sens!G11913*Seg!G82</f>
        <v>24.331261048114</v>
      </c>
      <c r="H11922" s="6" t="n">
        <f aca="false">PL!H104+Sens!H11913*Seg!H82</f>
        <v>25.1342423406419</v>
      </c>
      <c r="I11922" s="6" t="n">
        <f aca="false">PL!I104+Sens!I11913*Seg!I82</f>
        <v>26.1495446421549</v>
      </c>
      <c r="J11922" s="6" t="n">
        <f aca="false">PL!J104+Sens!J11913*Seg!J82</f>
        <v>27.3481502080811</v>
      </c>
      <c r="K11922" s="6" t="n">
        <f aca="false">PL!K104+Sens!K11913*Seg!K82</f>
        <v>28.7026027133478</v>
      </c>
    </row>
    <row r="11923" customFormat="false" ht="17.15" hidden="false" customHeight="false" outlineLevel="0" collapsed="false">
      <c r="A11923" s="0" t="s">
        <v>958</v>
      </c>
      <c r="B11923" s="0" t="s">
        <v>95</v>
      </c>
      <c r="F11923" s="6" t="n">
        <f aca="false">(Sens!F11922-Sens!F11918)*Seg!F78/(Seg!F78+Seg!F80)</f>
        <v>7.44980290393703</v>
      </c>
      <c r="G11923" s="6" t="n">
        <f aca="false">(Sens!G11922-Sens!G11918)*Seg!G78/(Seg!G78+Seg!G80)</f>
        <v>7.09201461396229</v>
      </c>
      <c r="H11923" s="6" t="n">
        <f aca="false">(Sens!H11922-Sens!H11918)*Seg!H78/(Seg!H78+Seg!H80)</f>
        <v>6.8809692168288</v>
      </c>
      <c r="I11923" s="6" t="n">
        <f aca="false">(Sens!I11922-Sens!I11918)*Seg!I78/(Seg!I78+Seg!I80)</f>
        <v>6.80062182771623</v>
      </c>
      <c r="J11923" s="6" t="n">
        <f aca="false">(Sens!J11922-Sens!J11918)*Seg!J78/(Seg!J78+Seg!J80)</f>
        <v>6.84119415814997</v>
      </c>
      <c r="K11923" s="6" t="n">
        <f aca="false">(Sens!K11922-Sens!K11918)*Seg!K78/(Seg!K78+Seg!K80)</f>
        <v>6.99889008512966</v>
      </c>
    </row>
    <row r="11924" customFormat="false" ht="17.15" hidden="false" customHeight="false" outlineLevel="0" collapsed="false">
      <c r="A11924" s="0" t="s">
        <v>959</v>
      </c>
      <c r="B11924" s="0" t="s">
        <v>95</v>
      </c>
      <c r="F11924" s="6" t="n">
        <f aca="false">Sens!F11922-Sens!F11918-Sens!F11923</f>
        <v>6.14000969510312</v>
      </c>
      <c r="G11924" s="6" t="n">
        <f aca="false">Sens!G11922-Sens!G11918-Sens!G11923</f>
        <v>6.07998212077627</v>
      </c>
      <c r="H11924" s="6" t="n">
        <f aca="false">Sens!H11922-Sens!H11918-Sens!H11923</f>
        <v>6.07405367047327</v>
      </c>
      <c r="I11924" s="6" t="n">
        <f aca="false">Sens!I11922-Sens!I11918-Sens!I11923</f>
        <v>6.12003470098649</v>
      </c>
      <c r="J11924" s="6" t="n">
        <f aca="false">Sens!J11922-Sens!J11918-Sens!J11923</f>
        <v>6.21558895807294</v>
      </c>
      <c r="K11924" s="6" t="n">
        <f aca="false">Sens!K11922-Sens!K11918-Sens!K11923</f>
        <v>6.35886409978198</v>
      </c>
    </row>
    <row r="11925" customFormat="false" ht="17.15" hidden="false" customHeight="false" outlineLevel="0" collapsed="false">
      <c r="A11925" s="1" t="s">
        <v>960</v>
      </c>
      <c r="B11925" s="0" t="s">
        <v>95</v>
      </c>
      <c r="C11925" s="6" t="n">
        <f aca="false">(w_ntm28*Sens!G11919+(1-w_ntm28)*Sens!H11919)*m_ai*1</f>
        <v>338.776008390068</v>
      </c>
    </row>
    <row r="11926" customFormat="false" ht="17.15" hidden="false" customHeight="false" outlineLevel="0" collapsed="false">
      <c r="A11926" s="1" t="s">
        <v>961</v>
      </c>
      <c r="B11926" s="0" t="s">
        <v>95</v>
      </c>
      <c r="C11926" s="6" t="n">
        <f aca="false">(w_ntm28*Sens!G11921+(1-w_ntm28)*Sens!H11921)*m_cloud*1</f>
        <v>794.749076664173</v>
      </c>
    </row>
    <row r="11927" customFormat="false" ht="17.15" hidden="false" customHeight="false" outlineLevel="0" collapsed="false">
      <c r="A11927" s="1" t="s">
        <v>962</v>
      </c>
      <c r="B11927" s="0" t="s">
        <v>95</v>
      </c>
      <c r="C11927" s="6" t="n">
        <f aca="false">(w_ntm28*Sens!G11914+(1-w_ntm28)*Sens!H11914)*m_sw*1</f>
        <v>988.547672652094</v>
      </c>
    </row>
    <row r="11928" customFormat="false" ht="17.15" hidden="false" customHeight="false" outlineLevel="0" collapsed="false">
      <c r="A11928" s="1" t="s">
        <v>963</v>
      </c>
      <c r="B11928" s="0" t="s">
        <v>95</v>
      </c>
      <c r="C11928" s="6" t="n">
        <f aca="false">(w_ntm28*Sens!G11915+(1-w_ntm28)*Sens!H11915)*m_sw*1</f>
        <v>363.117661434282</v>
      </c>
    </row>
    <row r="11929" customFormat="false" ht="17.15" hidden="false" customHeight="false" outlineLevel="0" collapsed="false">
      <c r="A11929" s="1" t="s">
        <v>964</v>
      </c>
      <c r="B11929" s="0" t="s">
        <v>95</v>
      </c>
      <c r="C11929" s="6" t="n">
        <f aca="false">(w_ntm28*Sens!G11916+(1-w_ntm28)*Sens!H11916)*m_sw*1</f>
        <v>99.2894025954118</v>
      </c>
    </row>
    <row r="11930" customFormat="false" ht="17.15" hidden="false" customHeight="false" outlineLevel="0" collapsed="false">
      <c r="A11930" s="1" t="s">
        <v>965</v>
      </c>
      <c r="B11930" s="0" t="s">
        <v>95</v>
      </c>
      <c r="C11930" s="6" t="n">
        <f aca="false">(w_ntm28*Sens!G11917+(1-w_ntm28)*Sens!H11917)*m_sw*1</f>
        <v>37.8805648916295</v>
      </c>
    </row>
    <row r="11931" customFormat="false" ht="17.15" hidden="false" customHeight="false" outlineLevel="0" collapsed="false">
      <c r="A11931" s="1" t="s">
        <v>966</v>
      </c>
      <c r="B11931" s="0" t="s">
        <v>95</v>
      </c>
      <c r="C11931" s="6" t="n">
        <f aca="false">(w_ntm28*Sens!G11918+(1-w_ntm28)*Sens!H11918)*m_ads*1</f>
        <v>104.664819473916</v>
      </c>
    </row>
    <row r="11932" customFormat="false" ht="17.15" hidden="false" customHeight="false" outlineLevel="0" collapsed="false">
      <c r="A11932" s="1" t="s">
        <v>967</v>
      </c>
      <c r="B11932" s="0" t="s">
        <v>95</v>
      </c>
      <c r="C11932" s="6" t="n">
        <f aca="false">(w_ntm28*Sens!G11923+(1-w_ntm28)*Sens!H11923)*m_game*1</f>
        <v>88.7104201985522</v>
      </c>
    </row>
    <row r="11933" customFormat="false" ht="17.15" hidden="false" customHeight="false" outlineLevel="0" collapsed="false">
      <c r="A11933" s="1" t="s">
        <v>968</v>
      </c>
      <c r="B11933" s="0" t="s">
        <v>95</v>
      </c>
      <c r="C11933" s="6" t="n">
        <f aca="false">(w_ntm28*Sens!G11924+(1-w_ntm28)*Sens!H11924)*m_pc*1</f>
        <v>87.9496081595385</v>
      </c>
    </row>
    <row r="11934" customFormat="false" ht="17.15" hidden="false" customHeight="false" outlineLevel="0" collapsed="false">
      <c r="A11934" s="1" t="s">
        <v>969</v>
      </c>
      <c r="B11934" s="0" t="s">
        <v>95</v>
      </c>
      <c r="C11934" s="6" t="n">
        <f aca="false">Sens!$C$11925+Sens!$C$11926+Sens!$C$11927+Sens!$C$11928+Sens!$C$11929+Sens!$C$11930+Sens!$C$11931+Sens!$C$11932+Sens!$C$11933</f>
        <v>2903.68523445966</v>
      </c>
    </row>
    <row r="11935" customFormat="false" ht="17.15" hidden="false" customHeight="false" outlineLevel="0" collapsed="false">
      <c r="A11935" s="1" t="s">
        <v>903</v>
      </c>
      <c r="B11935" s="0" t="s">
        <v>95</v>
      </c>
      <c r="C11935" s="6" t="n">
        <f aca="false">CF!F92+(oai_stake_hi*oai_val)-CF!F81</f>
        <v>166.454034990727</v>
      </c>
      <c r="L11935" s="1" t="s">
        <v>970</v>
      </c>
    </row>
    <row r="11936" customFormat="false" ht="15" hidden="false" customHeight="false" outlineLevel="0" collapsed="false">
      <c r="A11936" s="1" t="s">
        <v>904</v>
      </c>
      <c r="B11936" s="0" t="s">
        <v>73</v>
      </c>
      <c r="C11936" s="5" t="n">
        <f aca="false">(Sens!$C$11934+Sens!$C$11935)/CF!F94</f>
        <v>410.88587653244</v>
      </c>
    </row>
    <row r="11937" customFormat="false" ht="17.15" hidden="false" customHeight="false" outlineLevel="0" collapsed="false">
      <c r="A11937" s="1" t="s">
        <v>971</v>
      </c>
      <c r="B11937" s="0" t="s">
        <v>73</v>
      </c>
      <c r="C11937" s="5" t="n">
        <f aca="false">w_dcf*Sens!$C$11912+(1-w_dcf)*Sens!$C$11936</f>
        <v>299.647188518016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90"/>
    <col collapsed="false" customWidth="true" hidden="false" outlineLevel="0" max="3" min="3" style="0" width="22"/>
    <col collapsed="false" customWidth="true" hidden="false" outlineLevel="0" max="4" min="4" style="0" width="80"/>
    <col collapsed="false" customWidth="true" hidden="false" outlineLevel="0" max="5" min="5" style="0" width="24"/>
  </cols>
  <sheetData>
    <row r="1" customFormat="false" ht="15" hidden="false" customHeight="false" outlineLevel="0" collapsed="false">
      <c r="A1" s="4" t="s">
        <v>1452</v>
      </c>
      <c r="B1" s="4" t="s">
        <v>1453</v>
      </c>
      <c r="C1" s="4" t="s">
        <v>1454</v>
      </c>
      <c r="D1" s="4" t="s">
        <v>1455</v>
      </c>
      <c r="E1" s="4" t="s">
        <v>67</v>
      </c>
    </row>
    <row r="2" customFormat="false" ht="17.15" hidden="false" customHeight="false" outlineLevel="0" collapsed="false">
      <c r="A2" s="0" t="n">
        <v>1</v>
      </c>
      <c r="B2" s="0" t="s">
        <v>1456</v>
      </c>
      <c r="C2" s="0" t="s">
        <v>1457</v>
      </c>
      <c r="D2" s="0" t="s">
        <v>1458</v>
      </c>
      <c r="E2" s="0" t="s">
        <v>74</v>
      </c>
    </row>
    <row r="3" customFormat="false" ht="17.15" hidden="false" customHeight="false" outlineLevel="0" collapsed="false">
      <c r="A3" s="0" t="n">
        <v>2</v>
      </c>
      <c r="B3" s="0" t="s">
        <v>1459</v>
      </c>
      <c r="C3" s="0" t="s">
        <v>1460</v>
      </c>
      <c r="D3" s="0" t="s">
        <v>1461</v>
      </c>
      <c r="E3" s="0" t="s">
        <v>1462</v>
      </c>
    </row>
    <row r="4" customFormat="false" ht="17.15" hidden="false" customHeight="false" outlineLevel="0" collapsed="false">
      <c r="A4" s="0" t="n">
        <v>3</v>
      </c>
      <c r="B4" s="0" t="s">
        <v>1463</v>
      </c>
      <c r="C4" s="0" t="s">
        <v>1464</v>
      </c>
      <c r="D4" s="0" t="s">
        <v>1465</v>
      </c>
      <c r="E4" s="0" t="s">
        <v>1466</v>
      </c>
    </row>
    <row r="5" customFormat="false" ht="17.15" hidden="false" customHeight="false" outlineLevel="0" collapsed="false">
      <c r="A5" s="0" t="n">
        <v>4</v>
      </c>
      <c r="B5" s="0" t="s">
        <v>1467</v>
      </c>
      <c r="C5" s="0" t="s">
        <v>264</v>
      </c>
      <c r="D5" s="0" t="s">
        <v>1468</v>
      </c>
      <c r="E5" s="1" t="s">
        <v>1469</v>
      </c>
    </row>
    <row r="6" customFormat="false" ht="17.15" hidden="false" customHeight="false" outlineLevel="0" collapsed="false">
      <c r="A6" s="0" t="n">
        <v>5</v>
      </c>
      <c r="B6" s="0" t="s">
        <v>1470</v>
      </c>
      <c r="C6" s="0" t="s">
        <v>1471</v>
      </c>
      <c r="D6" s="0" t="s">
        <v>1472</v>
      </c>
      <c r="E6" s="0" t="s">
        <v>87</v>
      </c>
    </row>
    <row r="7" customFormat="false" ht="17.15" hidden="false" customHeight="false" outlineLevel="0" collapsed="false">
      <c r="A7" s="0" t="n">
        <v>6</v>
      </c>
      <c r="B7" s="0" t="s">
        <v>1473</v>
      </c>
      <c r="C7" s="0" t="s">
        <v>264</v>
      </c>
      <c r="D7" s="0" t="s">
        <v>1474</v>
      </c>
      <c r="E7" s="0" t="s">
        <v>1475</v>
      </c>
    </row>
    <row r="8" customFormat="false" ht="17.15" hidden="false" customHeight="false" outlineLevel="0" collapsed="false">
      <c r="A8" s="0" t="n">
        <v>7</v>
      </c>
      <c r="B8" s="1" t="s">
        <v>1476</v>
      </c>
      <c r="C8" s="0" t="s">
        <v>264</v>
      </c>
      <c r="D8" s="0" t="s">
        <v>561</v>
      </c>
      <c r="E8" s="0" t="s">
        <v>167</v>
      </c>
    </row>
    <row r="9" customFormat="false" ht="17.15" hidden="false" customHeight="false" outlineLevel="0" collapsed="false">
      <c r="A9" s="0" t="n">
        <v>8</v>
      </c>
      <c r="B9" s="0" t="s">
        <v>1477</v>
      </c>
      <c r="C9" s="0" t="s">
        <v>1478</v>
      </c>
      <c r="D9" s="0" t="s">
        <v>1479</v>
      </c>
      <c r="E9" s="0" t="s">
        <v>74</v>
      </c>
    </row>
    <row r="10" customFormat="false" ht="17.15" hidden="false" customHeight="false" outlineLevel="0" collapsed="false">
      <c r="A10" s="0" t="n">
        <v>9</v>
      </c>
      <c r="B10" s="0" t="s">
        <v>1480</v>
      </c>
      <c r="C10" s="0" t="s">
        <v>1478</v>
      </c>
      <c r="D10" s="0" t="s">
        <v>1481</v>
      </c>
      <c r="E10" s="0" t="s">
        <v>167</v>
      </c>
    </row>
    <row r="11" customFormat="false" ht="17.15" hidden="false" customHeight="false" outlineLevel="0" collapsed="false">
      <c r="A11" s="0" t="n">
        <v>10</v>
      </c>
      <c r="B11" s="1" t="s">
        <v>1482</v>
      </c>
      <c r="C11" s="0" t="s">
        <v>257</v>
      </c>
      <c r="D11" s="0" t="s">
        <v>1483</v>
      </c>
      <c r="E11" s="0" t="s">
        <v>87</v>
      </c>
    </row>
    <row r="12" customFormat="false" ht="17.15" hidden="false" customHeight="false" outlineLevel="0" collapsed="false">
      <c r="A12" s="0" t="n">
        <v>11</v>
      </c>
      <c r="B12" s="1" t="s">
        <v>1484</v>
      </c>
      <c r="C12" s="0" t="s">
        <v>257</v>
      </c>
      <c r="D12" s="0" t="s">
        <v>1485</v>
      </c>
      <c r="E12" s="0" t="s">
        <v>87</v>
      </c>
    </row>
    <row r="13" customFormat="false" ht="17.15" hidden="false" customHeight="false" outlineLevel="0" collapsed="false">
      <c r="A13" s="0" t="n">
        <v>12</v>
      </c>
      <c r="B13" s="0" t="s">
        <v>1486</v>
      </c>
      <c r="C13" s="0" t="s">
        <v>1487</v>
      </c>
      <c r="D13" s="0" t="s">
        <v>1488</v>
      </c>
      <c r="E13" s="0" t="s">
        <v>33</v>
      </c>
    </row>
    <row r="14" customFormat="false" ht="17.15" hidden="false" customHeight="false" outlineLevel="0" collapsed="false">
      <c r="A14" s="0" t="n">
        <v>13</v>
      </c>
      <c r="B14" s="0" t="s">
        <v>1489</v>
      </c>
      <c r="C14" s="0" t="s">
        <v>1471</v>
      </c>
      <c r="D14" s="0" t="s">
        <v>1490</v>
      </c>
      <c r="E14" s="0" t="s">
        <v>87</v>
      </c>
    </row>
    <row r="15" customFormat="false" ht="17.15" hidden="false" customHeight="false" outlineLevel="0" collapsed="false">
      <c r="A15" s="0" t="n">
        <v>14</v>
      </c>
      <c r="B15" s="1" t="s">
        <v>1491</v>
      </c>
      <c r="C15" s="0" t="s">
        <v>1492</v>
      </c>
      <c r="D15" s="0" t="s">
        <v>1493</v>
      </c>
      <c r="E15" s="0" t="s">
        <v>33</v>
      </c>
    </row>
    <row r="16" customFormat="false" ht="17.15" hidden="false" customHeight="false" outlineLevel="0" collapsed="false">
      <c r="A16" s="0" t="n">
        <v>15</v>
      </c>
      <c r="B16" s="0" t="s">
        <v>1494</v>
      </c>
      <c r="C16" s="0" t="s">
        <v>1492</v>
      </c>
      <c r="D16" s="0" t="s">
        <v>1495</v>
      </c>
      <c r="E16" s="0" t="s">
        <v>33</v>
      </c>
    </row>
    <row r="18" customFormat="false" ht="17.15" hidden="false" customHeight="false" outlineLevel="0" collapsed="false">
      <c r="A18" s="1" t="s">
        <v>1496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2026-10-27T06:24:47Z</dcterms:created>
  <dc:creator>openpyxl</dc:creator>
  <dc:description/>
  <dc:language>en-US</dc:language>
  <cp:lastModifiedBy/>
  <dcterms:modified xsi:type="dcterms:W3CDTF">2026-10-27T06:24:48Z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